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9.xml" ContentType="application/vnd.openxmlformats-officedocument.customXmlProperties+xml"/>
  <Override PartName="/customXml/itemProps2.xml" ContentType="application/vnd.openxmlformats-officedocument.customXmlProperties+xml"/>
  <Override PartName="/customXml/itemProps8.xml" ContentType="application/vnd.openxmlformats-officedocument.customXmlProperties+xml"/>
  <Override PartName="/customXml/itemProps13.xml" ContentType="application/vnd.openxmlformats-officedocument.customXmlProperties+xml"/>
  <Override PartName="/customXml/itemProps6.xml" ContentType="application/vnd.openxmlformats-officedocument.customXmlProperties+xml"/>
  <Override PartName="/customXml/itemProps16.xml" ContentType="application/vnd.openxmlformats-officedocument.customXmlProperties+xml"/>
  <Override PartName="/customXml/itemProps1.xml" ContentType="application/vnd.openxmlformats-officedocument.customXmlProperties+xml"/>
  <Override PartName="/customXml/itemProps18.xml" ContentType="application/vnd.openxmlformats-officedocument.customXmlProperties+xml"/>
  <Override PartName="/customXml/itemProps20.xml" ContentType="application/vnd.openxmlformats-officedocument.customXmlProperties+xml"/>
  <Override PartName="/customXml/itemProps15.xml" ContentType="application/vnd.openxmlformats-officedocument.customXmlProperties+xml"/>
  <Override PartName="/customXml/itemProps3.xml" ContentType="application/vnd.openxmlformats-officedocument.customXmlProperties+xml"/>
  <Override PartName="/customXml/itemProps7.xml" ContentType="application/vnd.openxmlformats-officedocument.customXmlProperties+xml"/>
  <Override PartName="/customXml/itemProps4.xml" ContentType="application/vnd.openxmlformats-officedocument.customXmlProperties+xml"/>
  <Override PartName="/customXml/itemProps14.xml" ContentType="application/vnd.openxmlformats-officedocument.customXmlProperties+xml"/>
  <Override PartName="/customXml/itemProps10.xml" ContentType="application/vnd.openxmlformats-officedocument.customXmlProperties+xml"/>
  <Override PartName="/customXml/itemProps17.xml" ContentType="application/vnd.openxmlformats-officedocument.customXmlProperties+xml"/>
  <Override PartName="/customXml/itemProps11.xml" ContentType="application/vnd.openxmlformats-officedocument.customXmlProperties+xml"/>
  <Override PartName="/customXml/itemProps19.xml" ContentType="application/vnd.openxmlformats-officedocument.customXmlProperties+xml"/>
  <Override PartName="/customXml/itemProps5.xml" ContentType="application/vnd.openxmlformats-officedocument.customXmlProperties+xml"/>
  <Override PartName="/customXml/itemProps1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op Redes" sheetId="1" state="visible" r:id="rId23"/>
    <sheet name="12.326" sheetId="2" state="hidden" r:id="rId24"/>
    <sheet name="319" sheetId="3" state="hidden" r:id="rId25"/>
    <sheet name="12.326ana" sheetId="4" state="hidden" r:id="rId26"/>
    <sheet name="Loja a Loja" sheetId="5" state="visible" r:id="rId27"/>
    <sheet name="redes" sheetId="6" state="hidden" r:id="rId28"/>
    <sheet name="Equipe" sheetId="7" state="hidden" r:id="rId29"/>
  </sheets>
  <definedNames>
    <definedName function="false" hidden="true" localSheetId="6" name="_xlnm._FilterDatabase" vbProcedure="false">Equipe!$A$1:$D$24</definedName>
    <definedName function="false" hidden="true" localSheetId="4" name="_xlnm._FilterDatabase" vbProcedure="false">'Loja a Loja'!$A$2:$G$160</definedName>
    <definedName function="false" hidden="false" localSheetId="0" name="_xlnm.Print_Area" vbProcedure="false">'Top Redes'!$A$1:$J$20</definedName>
    <definedName function="false" hidden="false" localSheetId="0" name="_xlnm.Print_Titles" vbProcedure="false">'Top Redes'!$1:$3</definedName>
    <definedName function="false" hidden="true" localSheetId="0" name="_xlnm._FilterDatabase" vbProcedure="false">'Top Redes'!$A$3:$M$25</definedName>
    <definedName function="false" hidden="false" name="a" vbProcedure="false">#REF!</definedName>
    <definedName function="false" hidden="false" name="aa" vbProcedure="false">#REF!</definedName>
    <definedName function="false" hidden="false" name="aaaaaaaaaaaaaaaaaaaaa" vbProcedure="false">#REF!</definedName>
    <definedName function="false" hidden="false" name="ABRILL" vbProcedure="false">#REF!</definedName>
    <definedName function="false" hidden="false" name="ABRILL99" vbProcedure="false">#REF!</definedName>
    <definedName function="false" hidden="false" name="adsad" vbProcedure="false">#REF!</definedName>
    <definedName function="false" hidden="false" name="AGOSTO" vbProcedure="false">#REF!</definedName>
    <definedName function="false" hidden="false" name="AGOSTOO" vbProcedure="false">#REF!</definedName>
    <definedName function="false" hidden="false" name="AGOSTOO99" vbProcedure="false">#REF!</definedName>
    <definedName function="false" hidden="false" name="AGUA" vbProcedure="false">#REF!</definedName>
    <definedName function="false" hidden="false" name="AllMaintenance" vbProcedure="false">#REF!</definedName>
    <definedName function="false" hidden="false" name="anderson" vbProcedure="false">#REF!</definedName>
    <definedName function="false" hidden="false" name="ANO" vbProcedure="false">#REF!</definedName>
    <definedName function="false" hidden="false" name="ASDAS" vbProcedure="false">#REF!</definedName>
    <definedName function="false" hidden="false" name="ASDFASF" vbProcedure="false">#REF!</definedName>
    <definedName function="false" hidden="false" name="ASDSA" vbProcedure="false">#REF!</definedName>
    <definedName function="false" hidden="false" name="at" vbProcedure="false">#REF!</definedName>
    <definedName function="false" hidden="false" name="Atendimento" vbProcedure="false">#REF!</definedName>
    <definedName function="false" hidden="false" name="b" vbProcedure="false">#REF!</definedName>
    <definedName function="false" hidden="false" name="bas" vbProcedure="false">#REF!</definedName>
    <definedName function="false" hidden="false" name="base" vbProcedure="false">#REF!</definedName>
    <definedName function="false" hidden="false" name="base1" vbProcedure="false">#REF!</definedName>
    <definedName function="false" hidden="false" name="base2" vbProcedure="false">#REF!</definedName>
    <definedName function="false" hidden="false" name="BaseComlGVM" vbProcedure="false">#REF!</definedName>
    <definedName function="false" hidden="false" name="BRAHMA" vbProcedure="false">#REF!</definedName>
    <definedName function="false" hidden="false" name="BRANDSACTYTD" vbProcedure="false">#REF!</definedName>
    <definedName function="false" hidden="false" name="Braz" vbProcedure="false">#REF!</definedName>
    <definedName function="false" hidden="false" name="BS00BM" vbProcedure="false">#REF!</definedName>
    <definedName function="false" hidden="false" name="BS00EM" vbProcedure="false">#REF!</definedName>
    <definedName function="false" hidden="false" name="BS99AM" vbProcedure="false">#REF!</definedName>
    <definedName function="false" hidden="false" name="BSH" vbProcedure="false">#REF!</definedName>
    <definedName function="false" hidden="false" name="BSheetMaintenance" vbProcedure="false">#REF!</definedName>
    <definedName function="false" hidden="false" name="BSNH2000M" vbProcedure="false">#REF!</definedName>
    <definedName function="false" hidden="false" name="BSNHSUMMARY" vbProcedure="false">#REF!</definedName>
    <definedName function="false" hidden="false" name="CAD" vbProcedure="false">#REF!</definedName>
    <definedName function="false" hidden="false" name="cad_GVM" vbProcedure="false">#REF!</definedName>
    <definedName function="false" hidden="false" name="CashflowMnt" vbProcedure="false">#REF!</definedName>
    <definedName function="false" hidden="false" name="CF99AM" vbProcedure="false">#REF!</definedName>
    <definedName function="false" hidden="false" name="CFOOBM" vbProcedure="false">#REF!</definedName>
    <definedName function="false" hidden="false" name="CFOOEM" vbProcedure="false">#REF!</definedName>
    <definedName function="false" hidden="false" name="COLPLMONTHACT" vbProcedure="false">#REF!</definedName>
    <definedName function="false" hidden="false" name="CondTypes" vbProcedure="false">#REF!</definedName>
    <definedName function="false" hidden="false" name="CONSPYL" vbProcedure="false">#REF!</definedName>
    <definedName function="false" hidden="false" name="CONT" vbProcedure="false">#REF!</definedName>
    <definedName function="false" hidden="false" name="CONT2" vbProcedure="false">#REF!</definedName>
    <definedName function="false" hidden="false" name="CPPLMONTHACT" vbProcedure="false">#REF!</definedName>
    <definedName function="false" hidden="false" name="CPPLMONTHACTFEB" vbProcedure="false">#REF!</definedName>
    <definedName function="false" hidden="false" name="CPPLMONTHACTJAN" vbProcedure="false">#REF!</definedName>
    <definedName function="false" hidden="false" name="CPPLMONTHACTMAR" vbProcedure="false">#REF!</definedName>
    <definedName function="false" hidden="false" name="CPPLMONTHAPR" vbProcedure="false">#REF!</definedName>
    <definedName function="false" hidden="false" name="CPPLMONTHAUG" vbProcedure="false">#REF!</definedName>
    <definedName function="false" hidden="false" name="CPPLMONTHDEC" vbProcedure="false">#REF!</definedName>
    <definedName function="false" hidden="false" name="CPPLMONTHFEB" vbProcedure="false">#REF!</definedName>
    <definedName function="false" hidden="false" name="CPPLMONTHJAN" vbProcedure="false">#REF!</definedName>
    <definedName function="false" hidden="false" name="CPPLMONTHJUL" vbProcedure="false">#REF!</definedName>
    <definedName function="false" hidden="false" name="CPPLMONTHJUN" vbProcedure="false">#REF!</definedName>
    <definedName function="false" hidden="false" name="CPPLMONTHMAR" vbProcedure="false">#REF!</definedName>
    <definedName function="false" hidden="false" name="CPPLMONTHMAY" vbProcedure="false">#REF!</definedName>
    <definedName function="false" hidden="false" name="CPPLMONTHNOV" vbProcedure="false">#REF!</definedName>
    <definedName function="false" hidden="false" name="CPPLMONTHOCT" vbProcedure="false">#REF!</definedName>
    <definedName function="false" hidden="false" name="CPPLMONTHSEP" vbProcedure="false">#REF!</definedName>
    <definedName function="false" hidden="false" name="CPPLPRYORYTDACT" vbProcedure="false">#REF!</definedName>
    <definedName function="false" hidden="false" name="CPPLYTDACT" vbProcedure="false">#REF!</definedName>
    <definedName function="false" hidden="false" name="cppyl" vbProcedure="false">#REF!</definedName>
    <definedName function="false" hidden="false" name="CPSUMPYL" vbProcedure="false">#REF!</definedName>
    <definedName function="false" hidden="false" name="CUSTO_VAR" vbProcedure="false">#REF!</definedName>
    <definedName function="false" hidden="false" name="CVGQ" vbProcedure="false">#REF!</definedName>
    <definedName function="false" hidden="false" name="DADOS" vbProcedure="false">#REF!</definedName>
    <definedName function="false" hidden="false" name="DADOS2" vbProcedure="false">#REF!</definedName>
    <definedName function="false" hidden="false" name="dededed" vbProcedure="false">#REF!</definedName>
    <definedName function="false" hidden="false" name="DELEI" vbProcedure="false">#REF!</definedName>
    <definedName function="false" hidden="false" name="DEZEMBRO" vbProcedure="false">#REF!</definedName>
    <definedName function="false" hidden="false" name="DEZEMBROO" vbProcedure="false">#REF!</definedName>
    <definedName function="false" hidden="false" name="DEZENBROO99" vbProcedure="false">#REF!</definedName>
    <definedName function="false" hidden="false" name="DFASF" vbProcedure="false">#REF!</definedName>
    <definedName function="false" hidden="false" name="dfgdfgrt" vbProcedure="false">#REF!</definedName>
    <definedName function="false" hidden="false" name="DIST" vbProcedure="false">#REF!</definedName>
    <definedName function="false" hidden="false" name="dsssssssssssssssssssssssss" vbProcedure="false">#REF!</definedName>
    <definedName function="false" hidden="false" name="eeee" vbProcedure="false">#REF!</definedName>
    <definedName function="false" hidden="false" name="EEWR" vbProcedure="false">#REF!</definedName>
    <definedName function="false" hidden="false" name="EFASEF" vbProcedure="false">#REF!</definedName>
    <definedName function="false" hidden="false" name="ER" vbProcedure="false">#REF!</definedName>
    <definedName function="false" hidden="false" name="EXP" vbProcedure="false">#REF!</definedName>
    <definedName function="false" hidden="false" name="Fad" vbProcedure="false">#REF!</definedName>
    <definedName function="false" hidden="false" name="FEVEREIROO" vbProcedure="false">#REF!</definedName>
    <definedName function="false" hidden="false" name="fevereiroo99" vbProcedure="false">#REF!</definedName>
    <definedName function="false" hidden="false" name="fghsdfg" vbProcedure="false">#REF!</definedName>
    <definedName function="false" hidden="false" name="GENTE" vbProcedure="false">#REF!</definedName>
    <definedName function="false" hidden="false" name="GVMs" vbProcedure="false">#REF!</definedName>
    <definedName function="false" hidden="false" name="hyper" vbProcedure="false">#REF!</definedName>
    <definedName function="false" hidden="false" name="Idadep_atual" vbProcedure="false">"[\\Nre00070\c\Controle\Carrao\IDADEP_0204]LIBERADO!$D$4:$G$200"</definedName>
    <definedName function="false" hidden="false" name="INCTAXESMONACT" vbProcedure="false">#REF!</definedName>
    <definedName function="false" hidden="false" name="INCTAXESYTDACT" vbProcedure="false">#REF!</definedName>
    <definedName function="false" hidden="false" name="INTEGRACAO" vbProcedure="false">#REF!</definedName>
    <definedName function="false" hidden="false" name="INTERESTMONACT" vbProcedure="false">#REF!</definedName>
    <definedName function="false" hidden="false" name="INTERESTYTDACT" vbProcedure="false">#REF!</definedName>
    <definedName function="false" hidden="false" name="iurtuty" vbProcedure="false">#REF!</definedName>
    <definedName function="false" hidden="false" name="JANEIROO" vbProcedure="false">#REF!</definedName>
    <definedName function="false" hidden="false" name="janeiroo99" vbProcedure="false">#REF!</definedName>
    <definedName function="false" hidden="false" name="jhajhs" vbProcedure="false">#REF!</definedName>
    <definedName function="false" hidden="false" name="jojo" vbProcedure="false">#REF!</definedName>
    <definedName function="false" hidden="false" name="JULHOO" vbProcedure="false">#REF!</definedName>
    <definedName function="false" hidden="false" name="JULHOO99" vbProcedure="false">#REF!</definedName>
    <definedName function="false" hidden="false" name="JUNHOO" vbProcedure="false">#REF!</definedName>
    <definedName function="false" hidden="false" name="JUNHOO99" vbProcedure="false">#REF!</definedName>
    <definedName function="false" hidden="false" name="kolpyl" vbProcedure="false">#REF!</definedName>
    <definedName function="false" hidden="false" name="KOLSUMPYL" vbProcedure="false">#REF!</definedName>
    <definedName function="false" hidden="false" name="LC_AD2" vbProcedure="false">#REF!</definedName>
    <definedName function="false" hidden="false" name="LC_AD2_TITLE" vbProcedure="false">#REF!</definedName>
    <definedName function="false" hidden="false" name="LC_FA2" vbProcedure="false">#REF!</definedName>
    <definedName function="false" hidden="false" name="LC_FA2_TITLE" vbProcedure="false">#REF!</definedName>
    <definedName function="false" hidden="false" name="Leda" vbProcedure="false">#REF!</definedName>
    <definedName function="false" hidden="false" name="lele" vbProcedure="false">#REF!</definedName>
    <definedName function="false" hidden="false" name="LI" vbProcedure="false">#REF!</definedName>
    <definedName function="false" hidden="false" name="LIPTON" vbProcedure="false">#REF!</definedName>
    <definedName function="false" hidden="false" name="LLSTA_SELECAO_ACORDO" vbProcedure="false">#REF!</definedName>
    <definedName function="false" hidden="false" name="LÇLK" vbProcedure="false">#REF!</definedName>
    <definedName function="false" hidden="false" name="MAIOO" vbProcedure="false">#REF!</definedName>
    <definedName function="false" hidden="false" name="MAIOO99" vbProcedure="false">#REF!</definedName>
    <definedName function="false" hidden="false" name="MARATHON" vbProcedure="false">#REF!</definedName>
    <definedName function="false" hidden="false" name="MARCAS" vbProcedure="false">#REF!</definedName>
    <definedName function="false" hidden="false" name="MARÇOO" vbProcedure="false">#REF!</definedName>
    <definedName function="false" hidden="false" name="marçoo99" vbProcedure="false">#REF!</definedName>
    <definedName function="false" hidden="false" name="MES" vbProcedure="false">#REF!</definedName>
    <definedName function="false" hidden="false" name="MesDadosMetas" vbProcedure="false">#REF!</definedName>
    <definedName function="false" hidden="false" name="MESES" vbProcedure="false">#REF!</definedName>
    <definedName function="false" hidden="false" name="MesVersaoMetas" vbProcedure="false">#REF!</definedName>
    <definedName function="false" hidden="false" name="META" vbProcedure="false">#REF!</definedName>
    <definedName function="false" hidden="false" name="META1" vbProcedure="false">#REF!</definedName>
    <definedName function="false" hidden="false" name="META_TOP" vbProcedure="false">#REF!</definedName>
    <definedName function="false" hidden="false" name="MINHOCA" vbProcedure="false">#REF!</definedName>
    <definedName function="false" hidden="false" name="MOCONSPYL" vbProcedure="false">#REF!</definedName>
    <definedName function="false" hidden="false" name="Mês" vbProcedure="false">#REF!</definedName>
    <definedName function="false" hidden="false" name="NOME1" vbProcedure="false">#REF!</definedName>
    <definedName function="false" hidden="false" name="nonhyper" vbProcedure="false">#REF!</definedName>
    <definedName function="false" hidden="false" name="NOVEMBROO" vbProcedure="false">#REF!</definedName>
    <definedName function="false" hidden="false" name="NOVEMBROO99" vbProcedure="false">#REF!</definedName>
    <definedName function="false" hidden="false" name="Novo_Negociado_2___Jan01" vbProcedure="false">#REF!</definedName>
    <definedName function="false" hidden="false" name="Novo_Tendencia___Dez00" vbProcedure="false">#REF!</definedName>
    <definedName function="false" hidden="false" name="nvo" vbProcedure="false">#REF!</definedName>
    <definedName function="false" hidden="false" name="OBZ" vbProcedure="false">#REF!</definedName>
    <definedName function="false" hidden="false" name="OBZGQ" vbProcedure="false">#REF!</definedName>
    <definedName function="false" hidden="false" name="OUTUBROO" vbProcedure="false">#REF!</definedName>
    <definedName function="false" hidden="false" name="OUTUBROO99" vbProcedure="false">#REF!</definedName>
    <definedName function="false" hidden="false" name="P299Q" vbProcedure="false">#REF!</definedName>
    <definedName function="false" hidden="false" name="page1" vbProcedure="false">#REF!</definedName>
    <definedName function="false" hidden="false" name="page1a" vbProcedure="false">#REF!</definedName>
    <definedName function="false" hidden="false" name="page2" vbProcedure="false">#REF!</definedName>
    <definedName function="false" hidden="false" name="page2a" vbProcedure="false">#REF!</definedName>
    <definedName function="false" hidden="false" name="page3" vbProcedure="false">#REF!</definedName>
    <definedName function="false" hidden="false" name="page3a" vbProcedure="false">#REF!</definedName>
    <definedName function="false" hidden="false" name="page4" vbProcedure="false">#REF!</definedName>
    <definedName function="false" hidden="false" name="page4a" vbProcedure="false">#REF!</definedName>
    <definedName function="false" hidden="false" name="papap" vbProcedure="false">#REF!</definedName>
    <definedName function="false" hidden="false" name="pepe" vbProcedure="false">#REF!</definedName>
    <definedName function="false" hidden="false" name="PEPSI" vbProcedure="false">#REF!</definedName>
    <definedName function="false" hidden="false" name="PL00BM" vbProcedure="false">#REF!</definedName>
    <definedName function="false" hidden="false" name="PL00BQTR" vbProcedure="false">#REF!</definedName>
    <definedName function="false" hidden="false" name="PL00EM" vbProcedure="false">#REF!</definedName>
    <definedName function="false" hidden="false" name="PL00EQTR" vbProcedure="false">#REF!</definedName>
    <definedName function="false" hidden="false" name="PL2000Q" vbProcedure="false">#REF!</definedName>
    <definedName function="false" hidden="false" name="PL2OOOM" vbProcedure="false">#REF!</definedName>
    <definedName function="false" hidden="false" name="pl999M" vbProcedure="false">#REF!</definedName>
    <definedName function="false" hidden="false" name="PL99AM" vbProcedure="false">#REF!</definedName>
    <definedName function="false" hidden="false" name="PL99AQTR" vbProcedure="false">#REF!</definedName>
    <definedName function="false" hidden="false" name="PLMONTHACT" vbProcedure="false">#REF!</definedName>
    <definedName function="false" hidden="false" name="PLMonthActApr" vbProcedure="false">#REF!</definedName>
    <definedName function="false" hidden="false" name="PLMonthActAug" vbProcedure="false">#REF!</definedName>
    <definedName function="false" hidden="false" name="PLMonthActDec" vbProcedure="false">#REF!</definedName>
    <definedName function="false" hidden="false" name="PLMonthActFeb" vbProcedure="false">#REF!</definedName>
    <definedName function="false" hidden="false" name="PLMonthActJan" vbProcedure="false">#REF!</definedName>
    <definedName function="false" hidden="false" name="PLMonthActJul" vbProcedure="false">#REF!</definedName>
    <definedName function="false" hidden="false" name="PLMonthActJun" vbProcedure="false">#REF!</definedName>
    <definedName function="false" hidden="false" name="PLMonthActMar" vbProcedure="false">#REF!</definedName>
    <definedName function="false" hidden="false" name="PLMonthActMay" vbProcedure="false">#REF!</definedName>
    <definedName function="false" hidden="false" name="PLMonthActNov" vbProcedure="false">#REF!</definedName>
    <definedName function="false" hidden="false" name="PLMonthActOct" vbProcedure="false">#REF!</definedName>
    <definedName function="false" hidden="false" name="PLMonthActSep" vbProcedure="false">#REF!</definedName>
    <definedName function="false" hidden="false" name="PLPRYORYTDACT" vbProcedure="false">#REF!</definedName>
    <definedName function="false" hidden="false" name="PLSUMM" vbProcedure="false">#REF!</definedName>
    <definedName function="false" hidden="false" name="PLYTDACT" vbProcedure="false">#REF!</definedName>
    <definedName function="false" hidden="false" name="po" vbProcedure="false">#REF!</definedName>
    <definedName function="false" hidden="false" name="popo" vbProcedure="false">#REF!</definedName>
    <definedName function="false" hidden="false" name="PREÇO" vbProcedure="false">#REF!</definedName>
    <definedName function="false" hidden="false" name="Print_Area_MI" vbProcedure="false">#REF!</definedName>
    <definedName function="false" hidden="false" name="PRODUTIVIDADE" vbProcedure="false">#REF!</definedName>
    <definedName function="false" hidden="false" name="PRODUTIVIDADEQA" vbProcedure="false">#REF!</definedName>
    <definedName function="false" hidden="false" name="produtos" vbProcedure="false">#REF!</definedName>
    <definedName function="false" hidden="false" name="ProfitMnt" vbProcedure="false">#REF!</definedName>
    <definedName function="false" hidden="false" name="PRTCON" vbProcedure="false">#REF!</definedName>
    <definedName function="false" hidden="false" name="PRTCON2" vbProcedure="false">#REF!</definedName>
    <definedName function="false" hidden="false" name="PRTHEAD" vbProcedure="false">#REF!</definedName>
    <definedName function="false" hidden="false" name="PRTMONTHLY" vbProcedure="false">#REF!</definedName>
    <definedName function="false" hidden="false" name="PRTPUTTAKE" vbProcedure="false">#REF!</definedName>
    <definedName function="false" hidden="false" name="PRTSUMMARY" vbProcedure="false">#REF!</definedName>
    <definedName function="false" hidden="false" name="q" vbProcedure="false">#REF!</definedName>
    <definedName function="false" hidden="false" name="qq" vbProcedure="false">#REF!</definedName>
    <definedName function="false" hidden="false" name="QUALIDADADEQA" vbProcedure="false">#REF!</definedName>
    <definedName function="false" hidden="false" name="QUALIDADE" vbProcedure="false">#REF!</definedName>
    <definedName function="false" hidden="false" name="qw" vbProcedure="false">#REF!</definedName>
    <definedName function="false" hidden="false" name="QWE" vbProcedure="false">#REF!</definedName>
    <definedName function="false" hidden="false" name="RE" vbProcedure="false">#REF!</definedName>
    <definedName function="false" hidden="false" name="real" vbProcedure="false">#REF!</definedName>
    <definedName function="false" hidden="false" name="reclassed" vbProcedure="false">#REF!</definedName>
    <definedName function="false" hidden="false" name="REG" vbProcedure="false">#REF!</definedName>
    <definedName function="false" hidden="false" name="REGUR" vbProcedure="false">#REF!</definedName>
    <definedName function="false" hidden="false" name="REPORTS" vbProcedure="false">#REF!</definedName>
    <definedName function="false" hidden="false" name="repre" vbProcedure="false">#REF!</definedName>
    <definedName function="false" hidden="false" name="REVENDA" vbProcedure="false">#REF!</definedName>
    <definedName function="false" hidden="false" name="Revendas" vbProcedure="false">#REF!</definedName>
    <definedName function="false" hidden="false" name="ROYALTIESMONACT" vbProcedure="false">#REF!</definedName>
    <definedName function="false" hidden="false" name="ROYALTIESYTDACT" vbProcedure="false">#REF!</definedName>
    <definedName function="false" hidden="false" name="rtr" vbProcedure="false">#REF!</definedName>
    <definedName function="false" hidden="false" name="SADAS" vbProcedure="false">#REF!</definedName>
    <definedName function="false" hidden="false" name="SAPBEXrevision" vbProcedure="false">0</definedName>
    <definedName function="false" hidden="false" name="SAPBEXsysID" vbProcedure="false">"BIP"</definedName>
    <definedName function="false" hidden="false" name="SAPBEXwbID" vbProcedure="false">"3W0KU9JHOU6E380MK6H9DUFN9"</definedName>
    <definedName function="false" hidden="false" name="SDASD" vbProcedure="false">#REF!</definedName>
    <definedName function="false" hidden="false" name="SETEMBRO" vbProcedure="false">#REF!</definedName>
    <definedName function="false" hidden="false" name="SETEMBROO" vbProcedure="false">#REF!</definedName>
    <definedName function="false" hidden="false" name="SETEMBROO99" vbProcedure="false">#REF!</definedName>
    <definedName function="false" hidden="false" name="shval1" vbProcedure="false">#REF!</definedName>
    <definedName function="false" hidden="false" name="shval2" vbProcedure="false">#REF!</definedName>
    <definedName function="false" hidden="false" name="shval3" vbProcedure="false">#REF!</definedName>
    <definedName function="false" hidden="false" name="shval4" vbProcedure="false">#REF!</definedName>
    <definedName function="false" hidden="false" name="shval5" vbProcedure="false">#REF!</definedName>
    <definedName function="false" hidden="false" name="shval6" vbProcedure="false">#REF!</definedName>
    <definedName function="false" hidden="false" name="shval7" vbProcedure="false">#REF!</definedName>
    <definedName function="false" hidden="false" name="shvalbr" vbProcedure="false">#REF!</definedName>
    <definedName function="false" hidden="false" name="shvol1" vbProcedure="false">#REF!</definedName>
    <definedName function="false" hidden="false" name="shvol2" vbProcedure="false">#REF!</definedName>
    <definedName function="false" hidden="false" name="shvol3" vbProcedure="false">#REF!</definedName>
    <definedName function="false" hidden="false" name="shvol4" vbProcedure="false">#REF!</definedName>
    <definedName function="false" hidden="false" name="shvol5" vbProcedure="false">#REF!</definedName>
    <definedName function="false" hidden="false" name="shvol6" vbProcedure="false">#REF!</definedName>
    <definedName function="false" hidden="false" name="shvol7" vbProcedure="false">#REF!</definedName>
    <definedName function="false" hidden="false" name="shvolbr" vbProcedure="false">#REF!</definedName>
    <definedName function="false" hidden="false" name="SIST" vbProcedure="false">#REF!</definedName>
    <definedName function="false" hidden="false" name="ssdsd" vbProcedure="false">#REF!</definedName>
    <definedName function="false" hidden="false" name="sssssssssssssssss" vbProcedure="false">#REF!</definedName>
    <definedName function="false" hidden="false" name="SUMMARY" vbProcedure="false">#REF!</definedName>
    <definedName function="false" hidden="false" name="T" vbProcedure="false">#REF!</definedName>
    <definedName function="false" hidden="false" name="TAB" vbProcedure="false">#REF!</definedName>
    <definedName function="false" hidden="false" name="TEST1" vbProcedure="false">#REF!</definedName>
    <definedName function="false" hidden="false" name="TESTHKEY" vbProcedure="false">#REF!</definedName>
    <definedName function="false" hidden="false" name="TESTKEYS" vbProcedure="false">#REF!</definedName>
    <definedName function="false" hidden="false" name="TESTVKEY" vbProcedure="false">#REF!</definedName>
    <definedName function="false" hidden="false" name="Tons_Cases_Split_and_Unsplit" vbProcedure="false">#REF!</definedName>
    <definedName function="false" hidden="false" name="TOP" vbProcedure="false">#REF!</definedName>
    <definedName function="false" hidden="false" name="TOTALL" vbProcedure="false">#REF!</definedName>
    <definedName function="false" hidden="false" name="tyutyu" vbProcedure="false">#REF!</definedName>
    <definedName function="false" hidden="false" name="ue" vbProcedure="false">#REF!</definedName>
    <definedName function="false" hidden="false" name="ui" vbProcedure="false">#REF!</definedName>
    <definedName function="false" hidden="false" name="uiouio" vbProcedure="false">#REF!</definedName>
    <definedName function="false" hidden="false" name="US_AD2" vbProcedure="false">#REF!</definedName>
    <definedName function="false" hidden="false" name="US_AD2_TITLE" vbProcedure="false">#REF!</definedName>
    <definedName function="false" hidden="false" name="US_FA2" vbProcedure="false">#REF!</definedName>
    <definedName function="false" hidden="false" name="US_FA2_TITLE" vbProcedure="false">#REF!</definedName>
    <definedName function="false" hidden="false" name="Valores_padrao" vbProcedure="false">#REF!</definedName>
    <definedName function="false" hidden="false" name="valores_revistos" vbProcedure="false">#REF!</definedName>
    <definedName function="false" hidden="false" name="VariavelMetas" vbProcedure="false">#REF!</definedName>
    <definedName function="false" hidden="false" name="vda" vbProcedure="false">#REF!</definedName>
    <definedName function="false" hidden="false" name="VEND" vbProcedure="false">#REF!</definedName>
    <definedName function="false" hidden="false" name="VersaoDadosMetas" vbProcedure="false">#REF!</definedName>
    <definedName function="false" hidden="false" name="vlr" vbProcedure="false">#REF!</definedName>
    <definedName function="false" hidden="false" name="WE" vbProcedure="false">#REF!</definedName>
    <definedName function="false" hidden="false" name="WEE" vbProcedure="false">#REF!</definedName>
    <definedName function="false" hidden="false" name="WEEE" vbProcedure="false">#REF!</definedName>
    <definedName function="false" hidden="false" name="wewe" vbProcedure="false">#REF!</definedName>
    <definedName function="false" hidden="false" name="wrn.1998._.MI._.PROGRAM." vbProcedure="false">{#N/A,#N/A,0,"Summary";#N/A,#N/A,0,"Goals &amp; Results";#N/A,#N/A,0,"Oral Care Summary";#N/A,#N/A,0,"Soaps Summary";#N/A,#N/A,0,"Personal Care Summary";#N/A,#N/A,0,"Household Care Summary";#N/A,#N/A,0,"Fabric Care Summary";#N/A,#N/A,0,"General Projects Summary";#N/A,#N/A,0,"Logistics &amp; Distribution";#N/A,#N/A,0,"Argentina";#N/A,#N/A,0,"Brazil";#N/A,#N/A,0,"Caricom";#N/A,#N/A,0,"Central America-NCA";#N/A,#N/A,0,"Central America-Panama";#N/A,#N/A,0,"Chile";#N/A,#N/A,0,"Colombia";#N/A,#N/A,0,"Dominican Republic";#N/A,#N/A,0,"Ecuador";#N/A,#N/A,0,"Mexico";#N/A,#N/A,0,"Peru";#N/A,#N/A,0,"Uruguay";#N/A,#N/A,0,"Venezuela"}</definedName>
    <definedName function="false" hidden="false" name="X" vbProcedure="false">#REF!</definedName>
    <definedName function="false" hidden="false" name="yt" vbProcedure="false">#REF!</definedName>
    <definedName function="false" hidden="false" name="YTDCONSPYL" vbProcedure="false">#REF!</definedName>
    <definedName function="false" hidden="false" name="ZSX" vbProcedure="false">#REF!</definedName>
    <definedName function="false" hidden="false" name="ZX" vbProcedure="false">#REF!</definedName>
    <definedName function="false" hidden="false" name="_2" vbProcedure="false">#REF!</definedName>
    <definedName function="false" hidden="false" name="_31_01_2014" vbProcedure="false">#REF!</definedName>
    <definedName function="false" hidden="false" name="_DAT1" vbProcedure="false">#REF!</definedName>
    <definedName function="false" hidden="false" name="_DAT10" vbProcedure="false">#REF!</definedName>
    <definedName function="false" hidden="false" name="_DAT11" vbProcedure="false">#REF!</definedName>
    <definedName function="false" hidden="false" name="_DAT12" vbProcedure="false">#REF!</definedName>
    <definedName function="false" hidden="false" name="_DAT13" vbProcedure="false">#REF!</definedName>
    <definedName function="false" hidden="false" name="_DAT14" vbProcedure="false">#REF!</definedName>
    <definedName function="false" hidden="false" name="_DAT15" vbProcedure="false">#REF!</definedName>
    <definedName function="false" hidden="false" name="_DAT2" vbProcedure="false">#REF!</definedName>
    <definedName function="false" hidden="false" name="_DAT3" vbProcedure="false">#REF!</definedName>
    <definedName function="false" hidden="false" name="_DAT4" vbProcedure="false">#REF!</definedName>
    <definedName function="false" hidden="false" name="_DAT5" vbProcedure="false">#REF!</definedName>
    <definedName function="false" hidden="false" name="_DAT6" vbProcedure="false">#REF!</definedName>
    <definedName function="false" hidden="false" name="_DAT7" vbProcedure="false">#REF!</definedName>
    <definedName function="false" hidden="false" name="_DAT8" vbProcedure="false">#REF!</definedName>
    <definedName function="false" hidden="false" name="_DAT9" vbProcedure="false">#REF!</definedName>
    <definedName function="false" hidden="false" name="_Fill" vbProcedure="false">#REF!</definedName>
    <definedName function="false" hidden="false" name="_top1" vbProcedure="false">#REF!</definedName>
    <definedName function="false" hidden="true" name="_xleta.SUM" vbProcedure="false">#NAME?</definedName>
    <definedName function="false" hidden="false" name="_xlnm.Database" vbProcedure="false">#REF!</definedName>
    <definedName function="false" hidden="true" localSheetId="1" name="DadosExternos_1" vbProcedure="false">'12.326'!$B$1:$V$107</definedName>
    <definedName function="false" hidden="true" localSheetId="2" name="DadosExternos_1" vbProcedure="false">'319'!$A$1:$P$762</definedName>
    <definedName function="false" hidden="true" localSheetId="3" name="DadosExternos_1" vbProcedure="false">'12.326ana'!$A$1:$L$1572</definedName>
    <definedName function="false" hidden="true" localSheetId="5" name="DadosExternos_1" vbProcedure="false">redes!$A$1:$E$19160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/>
</file>

<file path=xl/sharedStrings.xml><?xml version="1.0" encoding="utf-8"?>
<sst xmlns="http://schemas.openxmlformats.org/spreadsheetml/2006/main" count="71152" uniqueCount="34766">
  <si>
    <t xml:space="preserve">TOP REDES</t>
  </si>
  <si>
    <t xml:space="preserve">META REDES</t>
  </si>
  <si>
    <t xml:space="preserve">META TOPS</t>
  </si>
  <si>
    <t xml:space="preserve">Realizado R$</t>
  </si>
  <si>
    <t xml:space="preserve">% REDES</t>
  </si>
  <si>
    <t xml:space="preserve">% TOPS</t>
  </si>
  <si>
    <t xml:space="preserve">A Faturar R$</t>
  </si>
  <si>
    <t xml:space="preserve">Faltando R$</t>
  </si>
  <si>
    <t xml:space="preserve">%Fat + a Faturar REDES</t>
  </si>
  <si>
    <t xml:space="preserve">%Fat + a Fat TOPS</t>
  </si>
  <si>
    <t xml:space="preserve">Última atualização</t>
  </si>
  <si>
    <t xml:space="preserve">JULHO</t>
  </si>
  <si>
    <t xml:space="preserve">REDE</t>
  </si>
  <si>
    <t xml:space="preserve">EQUIPE</t>
  </si>
  <si>
    <t xml:space="preserve">CÓD RCA</t>
  </si>
  <si>
    <t xml:space="preserve">REALIZADO</t>
  </si>
  <si>
    <t xml:space="preserve">Falta GAP</t>
  </si>
  <si>
    <t xml:space="preserve">Real + A Faturar</t>
  </si>
  <si>
    <t xml:space="preserve">REDE ABV</t>
  </si>
  <si>
    <t xml:space="preserve">REDE VRA / MEGA </t>
  </si>
  <si>
    <t xml:space="preserve">REDE PIRES</t>
  </si>
  <si>
    <t xml:space="preserve">REDE CIDADE BRANCA (QUADRI) </t>
  </si>
  <si>
    <t xml:space="preserve">REDE NOVA ESTRELA </t>
  </si>
  <si>
    <t xml:space="preserve">REDE SOL - ANDRE RICARDO</t>
  </si>
  <si>
    <t xml:space="preserve">REDE NUNES</t>
  </si>
  <si>
    <t xml:space="preserve">REDE DAMASCENO-PORTAL/PRINCESA</t>
  </si>
  <si>
    <t xml:space="preserve">REDE JCHAGAS - FOGO/CHAMA </t>
  </si>
  <si>
    <t xml:space="preserve">REDEMS UNIBEM </t>
  </si>
  <si>
    <t xml:space="preserve">REDE SUPER VALE </t>
  </si>
  <si>
    <t xml:space="preserve">REDE ATLANTICO</t>
  </si>
  <si>
    <t xml:space="preserve">REDEMS CENTRAL ECONOMICA</t>
  </si>
  <si>
    <t xml:space="preserve">REDE THOME</t>
  </si>
  <si>
    <t xml:space="preserve">REDE SANTOS </t>
  </si>
  <si>
    <t xml:space="preserve">REDE DKASA</t>
  </si>
  <si>
    <t xml:space="preserve">REDE SUP FERNANDES F</t>
  </si>
  <si>
    <t xml:space="preserve">REDE GRUPO COSTA</t>
  </si>
  <si>
    <t xml:space="preserve">REDE ALVORADA </t>
  </si>
  <si>
    <t xml:space="preserve">REDEMS ATACADO DA CASA</t>
  </si>
  <si>
    <t xml:space="preserve">REDE GAUCHAO</t>
  </si>
  <si>
    <t xml:space="preserve">REDE MACAUBA</t>
  </si>
  <si>
    <t xml:space="preserve">PEDIDO.SETOR</t>
  </si>
  <si>
    <t xml:space="preserve">PEDIDO</t>
  </si>
  <si>
    <t xml:space="preserve">RAZÃO</t>
  </si>
  <si>
    <t xml:space="preserve">CNPJ</t>
  </si>
  <si>
    <t xml:space="preserve">MARGEM</t>
  </si>
  <si>
    <t xml:space="preserve">CFOP</t>
  </si>
  <si>
    <t xml:space="preserve">PORTADOR</t>
  </si>
  <si>
    <t xml:space="preserve">LISTA</t>
  </si>
  <si>
    <t xml:space="preserve">SALDO DMC</t>
  </si>
  <si>
    <t xml:space="preserve">TROCAS</t>
  </si>
  <si>
    <t xml:space="preserve">TOTAL PEDIDO</t>
  </si>
  <si>
    <t xml:space="preserve">PRAZOS</t>
  </si>
  <si>
    <t xml:space="preserve">SITUAÇÃO</t>
  </si>
  <si>
    <t xml:space="preserve">DIG IMP</t>
  </si>
  <si>
    <t xml:space="preserve">PROGRAMADO</t>
  </si>
  <si>
    <t xml:space="preserve">P.BRUTO</t>
  </si>
  <si>
    <t xml:space="preserve">SETOR</t>
  </si>
  <si>
    <t xml:space="preserve">USUARIO</t>
  </si>
  <si>
    <t xml:space="preserve">REG</t>
  </si>
  <si>
    <t xml:space="preserve">QTD CX</t>
  </si>
  <si>
    <t xml:space="preserve">CIDADE</t>
  </si>
  <si>
    <t xml:space="preserve">MOV</t>
  </si>
  <si>
    <t xml:space="preserve">CORREA MERC E COM VAR</t>
  </si>
  <si>
    <t xml:space="preserve">  32,29</t>
  </si>
  <si>
    <t xml:space="preserve">51234</t>
  </si>
  <si>
    <t xml:space="preserve">BANCO ITAU</t>
  </si>
  <si>
    <t xml:space="preserve">   08</t>
  </si>
  <si>
    <t xml:space="preserve">      5,14-</t>
  </si>
  <si>
    <t xml:space="preserve">      0,00</t>
  </si>
  <si>
    <t xml:space="preserve">007 014 000</t>
  </si>
  <si>
    <t xml:space="preserve">*****</t>
  </si>
  <si>
    <t xml:space="preserve">23/07/26</t>
  </si>
  <si>
    <t xml:space="preserve">  30/07/26</t>
  </si>
  <si>
    <t xml:space="preserve">      38,36</t>
  </si>
  <si>
    <t xml:space="preserve">kuba</t>
  </si>
  <si>
    <t xml:space="preserve"> 002</t>
  </si>
  <si>
    <t xml:space="preserve">00071</t>
  </si>
  <si>
    <t xml:space="preserve">CAMPO GRANDE</t>
  </si>
  <si>
    <t xml:space="preserve"> I</t>
  </si>
  <si>
    <t xml:space="preserve">NOVA ESTRELA COM DE A</t>
  </si>
  <si>
    <t xml:space="preserve">  30,46</t>
  </si>
  <si>
    <t xml:space="preserve">51201</t>
  </si>
  <si>
    <t xml:space="preserve">035 000 000</t>
  </si>
  <si>
    <t xml:space="preserve">2-LIB</t>
  </si>
  <si>
    <t xml:space="preserve">29/07/26</t>
  </si>
  <si>
    <t xml:space="preserve">       2,37</t>
  </si>
  <si>
    <t xml:space="preserve">vinicius</t>
  </si>
  <si>
    <t xml:space="preserve"> 305</t>
  </si>
  <si>
    <t xml:space="preserve">00012</t>
  </si>
  <si>
    <t xml:space="preserve">TRES LAGOAS</t>
  </si>
  <si>
    <t xml:space="preserve"> A</t>
  </si>
  <si>
    <t xml:space="preserve">NOVA ESTRELA COMERCIO</t>
  </si>
  <si>
    <t xml:space="preserve"> 306</t>
  </si>
  <si>
    <t xml:space="preserve"> 304</t>
  </si>
  <si>
    <t xml:space="preserve"> 303</t>
  </si>
  <si>
    <t xml:space="preserve">A R S SUPERMERCADOS L</t>
  </si>
  <si>
    <t xml:space="preserve">  25,22</t>
  </si>
  <si>
    <t xml:space="preserve">     38,74-</t>
  </si>
  <si>
    <t xml:space="preserve">028 035 042</t>
  </si>
  <si>
    <t xml:space="preserve">30/07/26</t>
  </si>
  <si>
    <t xml:space="preserve">      34,41</t>
  </si>
  <si>
    <t xml:space="preserve"> 320</t>
  </si>
  <si>
    <t xml:space="preserve">00204</t>
  </si>
  <si>
    <t xml:space="preserve">PONTA PORA</t>
  </si>
  <si>
    <t xml:space="preserve">CD-00 ABV COMERCIO DE</t>
  </si>
  <si>
    <t xml:space="preserve">039 000 000</t>
  </si>
  <si>
    <t xml:space="preserve"> 336</t>
  </si>
  <si>
    <t xml:space="preserve">DOURADOS</t>
  </si>
  <si>
    <t xml:space="preserve">SUPERMERCADO GAUCHAO</t>
  </si>
  <si>
    <t xml:space="preserve">  22,07</t>
  </si>
  <si>
    <t xml:space="preserve">     43,02-</t>
  </si>
  <si>
    <t xml:space="preserve">028 000 000</t>
  </si>
  <si>
    <t xml:space="preserve">      16,60</t>
  </si>
  <si>
    <t xml:space="preserve">willian</t>
  </si>
  <si>
    <t xml:space="preserve"> 418</t>
  </si>
  <si>
    <t xml:space="preserve">00077</t>
  </si>
  <si>
    <t xml:space="preserve"> 038</t>
  </si>
  <si>
    <t xml:space="preserve">SIDROLANDIA</t>
  </si>
  <si>
    <t xml:space="preserve"> 008</t>
  </si>
  <si>
    <t xml:space="preserve">  21,86</t>
  </si>
  <si>
    <t xml:space="preserve">      15,29</t>
  </si>
  <si>
    <t xml:space="preserve">00065</t>
  </si>
  <si>
    <t xml:space="preserve">  22,30</t>
  </si>
  <si>
    <t xml:space="preserve">   01</t>
  </si>
  <si>
    <t xml:space="preserve">      16,75</t>
  </si>
  <si>
    <t xml:space="preserve"> 041</t>
  </si>
  <si>
    <t xml:space="preserve">00080</t>
  </si>
  <si>
    <t xml:space="preserve">SONORA</t>
  </si>
  <si>
    <t xml:space="preserve"> 036</t>
  </si>
  <si>
    <t xml:space="preserve">NOVA ALVORADA DO SUL</t>
  </si>
  <si>
    <t xml:space="preserve">OLIVEIRA E CARNEIRO L</t>
  </si>
  <si>
    <t xml:space="preserve">  24,79</t>
  </si>
  <si>
    <t xml:space="preserve">   05</t>
  </si>
  <si>
    <t xml:space="preserve">  2.084,44-</t>
  </si>
  <si>
    <t xml:space="preserve">049 000 000</t>
  </si>
  <si>
    <t xml:space="preserve">1-BLO</t>
  </si>
  <si>
    <t xml:space="preserve">   1.514,25</t>
  </si>
  <si>
    <t xml:space="preserve"> 034</t>
  </si>
  <si>
    <t xml:space="preserve">07662</t>
  </si>
  <si>
    <t xml:space="preserve">CORUMBA</t>
  </si>
  <si>
    <t xml:space="preserve">  26,47</t>
  </si>
  <si>
    <t xml:space="preserve">    608,21-</t>
  </si>
  <si>
    <t xml:space="preserve">     290,10</t>
  </si>
  <si>
    <t xml:space="preserve"> 428</t>
  </si>
  <si>
    <t xml:space="preserve">01995</t>
  </si>
  <si>
    <t xml:space="preserve">  27,15</t>
  </si>
  <si>
    <t xml:space="preserve">    125,73-</t>
  </si>
  <si>
    <t xml:space="preserve">     140,11</t>
  </si>
  <si>
    <t xml:space="preserve">00640</t>
  </si>
  <si>
    <t xml:space="preserve">  27,17</t>
  </si>
  <si>
    <t xml:space="preserve">    109,85-</t>
  </si>
  <si>
    <t xml:space="preserve">      96,36</t>
  </si>
  <si>
    <t xml:space="preserve"> 413</t>
  </si>
  <si>
    <t xml:space="preserve">00566</t>
  </si>
  <si>
    <t xml:space="preserve">TERENOS</t>
  </si>
  <si>
    <t xml:space="preserve">  24,05</t>
  </si>
  <si>
    <t xml:space="preserve">     90,48-</t>
  </si>
  <si>
    <t xml:space="preserve">      36,08</t>
  </si>
  <si>
    <t xml:space="preserve"> 004</t>
  </si>
  <si>
    <t xml:space="preserve">00262</t>
  </si>
  <si>
    <t xml:space="preserve">  25,07</t>
  </si>
  <si>
    <t xml:space="preserve">    221,42-</t>
  </si>
  <si>
    <t xml:space="preserve">     108,98</t>
  </si>
  <si>
    <t xml:space="preserve">00639</t>
  </si>
  <si>
    <t xml:space="preserve">  30,28</t>
  </si>
  <si>
    <t xml:space="preserve">     19,54-</t>
  </si>
  <si>
    <t xml:space="preserve">      20,53</t>
  </si>
  <si>
    <t xml:space="preserve"> 006</t>
  </si>
  <si>
    <t xml:space="preserve">00152</t>
  </si>
  <si>
    <t xml:space="preserve">  24,95</t>
  </si>
  <si>
    <t xml:space="preserve">    164,38-</t>
  </si>
  <si>
    <t xml:space="preserve">      50,04</t>
  </si>
  <si>
    <t xml:space="preserve"> 427</t>
  </si>
  <si>
    <t xml:space="preserve">00382</t>
  </si>
  <si>
    <t xml:space="preserve">  28,54</t>
  </si>
  <si>
    <t xml:space="preserve">     85,52-</t>
  </si>
  <si>
    <t xml:space="preserve">     107,34</t>
  </si>
  <si>
    <t xml:space="preserve"> 010</t>
  </si>
  <si>
    <t xml:space="preserve">00539</t>
  </si>
  <si>
    <t xml:space="preserve">  26,66</t>
  </si>
  <si>
    <t xml:space="preserve">    175,48-</t>
  </si>
  <si>
    <t xml:space="preserve">      95,10</t>
  </si>
  <si>
    <t xml:space="preserve">00687</t>
  </si>
  <si>
    <t xml:space="preserve">  25,81</t>
  </si>
  <si>
    <t xml:space="preserve">    161,16-</t>
  </si>
  <si>
    <t xml:space="preserve">      84,90</t>
  </si>
  <si>
    <t xml:space="preserve">00505</t>
  </si>
  <si>
    <t xml:space="preserve">DAMASCENO E DAMASCENO</t>
  </si>
  <si>
    <t xml:space="preserve">  14,36</t>
  </si>
  <si>
    <t xml:space="preserve">    337,76-</t>
  </si>
  <si>
    <t xml:space="preserve">      79,34</t>
  </si>
  <si>
    <t xml:space="preserve"> 330</t>
  </si>
  <si>
    <t xml:space="preserve">AQUIDAUANA</t>
  </si>
  <si>
    <t xml:space="preserve">  14,47</t>
  </si>
  <si>
    <t xml:space="preserve">    367,71-</t>
  </si>
  <si>
    <t xml:space="preserve">      85,20</t>
  </si>
  <si>
    <t xml:space="preserve">00243</t>
  </si>
  <si>
    <t xml:space="preserve">ANASTACIO</t>
  </si>
  <si>
    <t xml:space="preserve">  11,01</t>
  </si>
  <si>
    <t xml:space="preserve">  1.009,96-</t>
  </si>
  <si>
    <t xml:space="preserve">     259,14</t>
  </si>
  <si>
    <t xml:space="preserve">00666</t>
  </si>
  <si>
    <t xml:space="preserve">  14,90</t>
  </si>
  <si>
    <t xml:space="preserve">    300,15-</t>
  </si>
  <si>
    <t xml:space="preserve">      76,73</t>
  </si>
  <si>
    <t xml:space="preserve"> 331</t>
  </si>
  <si>
    <t xml:space="preserve">00180</t>
  </si>
  <si>
    <t xml:space="preserve">MIRANDA</t>
  </si>
  <si>
    <t xml:space="preserve">  14,48</t>
  </si>
  <si>
    <t xml:space="preserve">    372,60-</t>
  </si>
  <si>
    <t xml:space="preserve">      88,57</t>
  </si>
  <si>
    <t xml:space="preserve"> 039</t>
  </si>
  <si>
    <t xml:space="preserve">00267</t>
  </si>
  <si>
    <t xml:space="preserve">CHAPADAO DO SUL</t>
  </si>
  <si>
    <t xml:space="preserve">  11,77</t>
  </si>
  <si>
    <t xml:space="preserve">    668,89-</t>
  </si>
  <si>
    <t xml:space="preserve">     179,74</t>
  </si>
  <si>
    <t xml:space="preserve">00432</t>
  </si>
  <si>
    <t xml:space="preserve">  12,18</t>
  </si>
  <si>
    <t xml:space="preserve">    618,42-</t>
  </si>
  <si>
    <t xml:space="preserve">     157,51</t>
  </si>
  <si>
    <t xml:space="preserve">00510</t>
  </si>
  <si>
    <t xml:space="preserve">BATISTA QUADROS E CIA</t>
  </si>
  <si>
    <t xml:space="preserve">  12,17</t>
  </si>
  <si>
    <t xml:space="preserve">    369,94-</t>
  </si>
  <si>
    <t xml:space="preserve">      61,50</t>
  </si>
  <si>
    <t xml:space="preserve"> 033</t>
  </si>
  <si>
    <t xml:space="preserve">00168</t>
  </si>
  <si>
    <t xml:space="preserve">  15,36</t>
  </si>
  <si>
    <t xml:space="preserve">    288,62-</t>
  </si>
  <si>
    <t xml:space="preserve">      49,95</t>
  </si>
  <si>
    <t xml:space="preserve">00162</t>
  </si>
  <si>
    <t xml:space="preserve">  15,63</t>
  </si>
  <si>
    <t xml:space="preserve">    407,65-</t>
  </si>
  <si>
    <t xml:space="preserve">      87,17</t>
  </si>
  <si>
    <t xml:space="preserve">00276</t>
  </si>
  <si>
    <t xml:space="preserve">  13,63</t>
  </si>
  <si>
    <t xml:space="preserve">    300,04-</t>
  </si>
  <si>
    <t xml:space="preserve">      72,18</t>
  </si>
  <si>
    <t xml:space="preserve">00216</t>
  </si>
  <si>
    <t xml:space="preserve">CACIQUE SUPERMERCADO</t>
  </si>
  <si>
    <t xml:space="preserve">  15,65</t>
  </si>
  <si>
    <t xml:space="preserve">    216,55-</t>
  </si>
  <si>
    <t xml:space="preserve">007 000 000</t>
  </si>
  <si>
    <t xml:space="preserve">      69,94</t>
  </si>
  <si>
    <t xml:space="preserve">ESSENCIAL ATACADO LTD</t>
  </si>
  <si>
    <t xml:space="preserve">  22,02</t>
  </si>
  <si>
    <t xml:space="preserve">  1.082,22-</t>
  </si>
  <si>
    <t xml:space="preserve">021 028 035</t>
  </si>
  <si>
    <t xml:space="preserve">     712,14</t>
  </si>
  <si>
    <t xml:space="preserve">03486</t>
  </si>
  <si>
    <t xml:space="preserve">  23,05</t>
  </si>
  <si>
    <t xml:space="preserve">    819,92-</t>
  </si>
  <si>
    <t xml:space="preserve">     615,96</t>
  </si>
  <si>
    <t xml:space="preserve">03642</t>
  </si>
  <si>
    <t xml:space="preserve">  22,16</t>
  </si>
  <si>
    <t xml:space="preserve">    116,56-</t>
  </si>
  <si>
    <t xml:space="preserve">      31,92</t>
  </si>
  <si>
    <t xml:space="preserve">00084</t>
  </si>
  <si>
    <t xml:space="preserve">  18,43</t>
  </si>
  <si>
    <t xml:space="preserve">    954,26-</t>
  </si>
  <si>
    <t xml:space="preserve">     164,72</t>
  </si>
  <si>
    <t xml:space="preserve">00506</t>
  </si>
  <si>
    <t xml:space="preserve">  19,59</t>
  </si>
  <si>
    <t xml:space="preserve">    100,77-</t>
  </si>
  <si>
    <t xml:space="preserve">      25,16</t>
  </si>
  <si>
    <t xml:space="preserve">00072</t>
  </si>
  <si>
    <t xml:space="preserve">  19,90</t>
  </si>
  <si>
    <t xml:space="preserve">    101,97-</t>
  </si>
  <si>
    <t xml:space="preserve">      28,52</t>
  </si>
  <si>
    <t xml:space="preserve">  20,13</t>
  </si>
  <si>
    <t xml:space="preserve">     90,81-</t>
  </si>
  <si>
    <t xml:space="preserve">      24,18</t>
  </si>
  <si>
    <t xml:space="preserve">00066</t>
  </si>
  <si>
    <t xml:space="preserve">  19,68</t>
  </si>
  <si>
    <t xml:space="preserve">    144,25-</t>
  </si>
  <si>
    <t xml:space="preserve">      35,85</t>
  </si>
  <si>
    <t xml:space="preserve">00096</t>
  </si>
  <si>
    <t xml:space="preserve">  19,46</t>
  </si>
  <si>
    <t xml:space="preserve">    151,42-</t>
  </si>
  <si>
    <t xml:space="preserve">      40,33</t>
  </si>
  <si>
    <t xml:space="preserve">00102</t>
  </si>
  <si>
    <t xml:space="preserve">  18,38</t>
  </si>
  <si>
    <t xml:space="preserve">    911,87-</t>
  </si>
  <si>
    <t xml:space="preserve">     152,88</t>
  </si>
  <si>
    <t xml:space="preserve">00464</t>
  </si>
  <si>
    <t xml:space="preserve">  21,83</t>
  </si>
  <si>
    <t xml:space="preserve">      28,56</t>
  </si>
  <si>
    <t xml:space="preserve">TOMAZI E GOLFETI LTDA</t>
  </si>
  <si>
    <t xml:space="preserve">  28,31</t>
  </si>
  <si>
    <t xml:space="preserve">     10,49-</t>
  </si>
  <si>
    <t xml:space="preserve">021 035 000</t>
  </si>
  <si>
    <t xml:space="preserve">      13,75</t>
  </si>
  <si>
    <t xml:space="preserve">00052</t>
  </si>
  <si>
    <t xml:space="preserve">AQUINO COMERCIO VAREJ</t>
  </si>
  <si>
    <t xml:space="preserve">  32,34</t>
  </si>
  <si>
    <t xml:space="preserve">BODOQUENA</t>
  </si>
  <si>
    <t xml:space="preserve">SUPERMERCADO JORGE LT</t>
  </si>
  <si>
    <t xml:space="preserve"> 044</t>
  </si>
  <si>
    <t xml:space="preserve">FATIMA DO SUL</t>
  </si>
  <si>
    <t xml:space="preserve">JCHAGAS ALIMENTOS LTD</t>
  </si>
  <si>
    <t xml:space="preserve">  25,65</t>
  </si>
  <si>
    <t xml:space="preserve">PIX</t>
  </si>
  <si>
    <t xml:space="preserve">  1.959,19-</t>
  </si>
  <si>
    <t xml:space="preserve">000 000 000</t>
  </si>
  <si>
    <t xml:space="preserve">27/07/26</t>
  </si>
  <si>
    <t xml:space="preserve">   2.678,00</t>
  </si>
  <si>
    <t xml:space="preserve"> 042</t>
  </si>
  <si>
    <t xml:space="preserve">17404</t>
  </si>
  <si>
    <t xml:space="preserve">NAVIRAI</t>
  </si>
  <si>
    <t xml:space="preserve">  23,26</t>
  </si>
  <si>
    <t xml:space="preserve">59901</t>
  </si>
  <si>
    <t xml:space="preserve">BONIFICACA</t>
  </si>
  <si>
    <t xml:space="preserve">  1.628,40-</t>
  </si>
  <si>
    <t xml:space="preserve">      37,17</t>
  </si>
  <si>
    <t xml:space="preserve">00354</t>
  </si>
  <si>
    <t xml:space="preserve">  28,04</t>
  </si>
  <si>
    <t xml:space="preserve">  1.141,68-</t>
  </si>
  <si>
    <t xml:space="preserve">   1.681,00</t>
  </si>
  <si>
    <t xml:space="preserve"> 340</t>
  </si>
  <si>
    <t xml:space="preserve">10614</t>
  </si>
  <si>
    <t xml:space="preserve">JOSE MANUEL DE JESUS</t>
  </si>
  <si>
    <t xml:space="preserve">  28,08</t>
  </si>
  <si>
    <t xml:space="preserve">    345,61-</t>
  </si>
  <si>
    <t xml:space="preserve">014 021 028</t>
  </si>
  <si>
    <t xml:space="preserve">     225,00</t>
  </si>
  <si>
    <t xml:space="preserve"> 045</t>
  </si>
  <si>
    <t xml:space="preserve">00808</t>
  </si>
  <si>
    <t xml:space="preserve">BATAYPORA</t>
  </si>
  <si>
    <t xml:space="preserve">JAIR DOS SANTOS LTDA</t>
  </si>
  <si>
    <t xml:space="preserve">  20,68</t>
  </si>
  <si>
    <t xml:space="preserve">      3,79-</t>
  </si>
  <si>
    <t xml:space="preserve">021 028 000</t>
  </si>
  <si>
    <t xml:space="preserve">      16,93</t>
  </si>
  <si>
    <t xml:space="preserve"> 441</t>
  </si>
  <si>
    <t xml:space="preserve">00018</t>
  </si>
  <si>
    <t xml:space="preserve">IVINHEMA</t>
  </si>
  <si>
    <t xml:space="preserve">COOP AGROINDUSTRIAL V</t>
  </si>
  <si>
    <t xml:space="preserve">  24,58</t>
  </si>
  <si>
    <t xml:space="preserve">    256,87-</t>
  </si>
  <si>
    <t xml:space="preserve">     247,84</t>
  </si>
  <si>
    <t xml:space="preserve">00680</t>
  </si>
  <si>
    <t xml:space="preserve">NOVA ANDRADINA</t>
  </si>
  <si>
    <t xml:space="preserve">CRISPINIANO SUPERMERC</t>
  </si>
  <si>
    <t xml:space="preserve">BENFICA SUPERMERCADOS</t>
  </si>
  <si>
    <t xml:space="preserve">   6,44</t>
  </si>
  <si>
    <t xml:space="preserve">    321,65-</t>
  </si>
  <si>
    <t xml:space="preserve">021 000 000</t>
  </si>
  <si>
    <t xml:space="preserve">      55,91</t>
  </si>
  <si>
    <t xml:space="preserve"> 410</t>
  </si>
  <si>
    <t xml:space="preserve">00144</t>
  </si>
  <si>
    <t xml:space="preserve">SAO GABRIEL DO OESTE</t>
  </si>
  <si>
    <t xml:space="preserve">MERCADO JOTALI LTDA</t>
  </si>
  <si>
    <t xml:space="preserve">   7,33</t>
  </si>
  <si>
    <t xml:space="preserve">    156,75-</t>
  </si>
  <si>
    <t xml:space="preserve">      21,03</t>
  </si>
  <si>
    <t xml:space="preserve">00075</t>
  </si>
  <si>
    <t xml:space="preserve">COXIM</t>
  </si>
  <si>
    <t xml:space="preserve">IRMAOS GP COMERCIO E</t>
  </si>
  <si>
    <t xml:space="preserve">  10,01</t>
  </si>
  <si>
    <t xml:space="preserve">    824,39-</t>
  </si>
  <si>
    <t xml:space="preserve">      90,91</t>
  </si>
  <si>
    <t xml:space="preserve">00318</t>
  </si>
  <si>
    <t xml:space="preserve">COMERCIAL DE ALIMENTO</t>
  </si>
  <si>
    <t xml:space="preserve">   7,84</t>
  </si>
  <si>
    <t xml:space="preserve">    889,62-</t>
  </si>
  <si>
    <t xml:space="preserve">     103,38</t>
  </si>
  <si>
    <t xml:space="preserve">00384</t>
  </si>
  <si>
    <t xml:space="preserve">UNIBEM ATACADISTA LTD</t>
  </si>
  <si>
    <t xml:space="preserve">   9,36</t>
  </si>
  <si>
    <t xml:space="preserve">    591,32-</t>
  </si>
  <si>
    <t xml:space="preserve">      91,76</t>
  </si>
  <si>
    <t xml:space="preserve">00450</t>
  </si>
  <si>
    <t xml:space="preserve">D P DA SILVEIRA</t>
  </si>
  <si>
    <t xml:space="preserve">  35,13</t>
  </si>
  <si>
    <t xml:space="preserve">      2,15-</t>
  </si>
  <si>
    <t xml:space="preserve">       3,41</t>
  </si>
  <si>
    <t xml:space="preserve">RIO VERDE DE MATO GROSSO</t>
  </si>
  <si>
    <t xml:space="preserve">ATACADO DA CASA LTDA</t>
  </si>
  <si>
    <t xml:space="preserve">  26,68</t>
  </si>
  <si>
    <t xml:space="preserve">      5,73-</t>
  </si>
  <si>
    <t xml:space="preserve">      26,91</t>
  </si>
  <si>
    <t xml:space="preserve">00030</t>
  </si>
  <si>
    <t xml:space="preserve">NELSON ARGENTINO JUNI</t>
  </si>
  <si>
    <t xml:space="preserve">  25,97</t>
  </si>
  <si>
    <t xml:space="preserve">   09</t>
  </si>
  <si>
    <t xml:space="preserve">      2,89-</t>
  </si>
  <si>
    <t xml:space="preserve">       3,48</t>
  </si>
  <si>
    <t xml:space="preserve">00014</t>
  </si>
  <si>
    <t xml:space="preserve">ALCINOPOLIS</t>
  </si>
  <si>
    <t xml:space="preserve">IM DO NASCIMENTO</t>
  </si>
  <si>
    <t xml:space="preserve">  34,38</t>
  </si>
  <si>
    <t xml:space="preserve">      1,38-</t>
  </si>
  <si>
    <t xml:space="preserve">       4,01</t>
  </si>
  <si>
    <t xml:space="preserve">00015</t>
  </si>
  <si>
    <t xml:space="preserve">JOSE CARDOSO DOS SANT</t>
  </si>
  <si>
    <t xml:space="preserve">  28,36</t>
  </si>
  <si>
    <t xml:space="preserve">      2,10-</t>
  </si>
  <si>
    <t xml:space="preserve">       3,80</t>
  </si>
  <si>
    <t xml:space="preserve">00021</t>
  </si>
  <si>
    <t xml:space="preserve">IVANETE CARVALHO SOUZ</t>
  </si>
  <si>
    <t xml:space="preserve">  26,72</t>
  </si>
  <si>
    <t xml:space="preserve">      6,54-</t>
  </si>
  <si>
    <t xml:space="preserve">      27,55</t>
  </si>
  <si>
    <t xml:space="preserve">00036</t>
  </si>
  <si>
    <t xml:space="preserve">PEDRO GOMES</t>
  </si>
  <si>
    <t xml:space="preserve">GESSI DOS SANTOS SALO</t>
  </si>
  <si>
    <t xml:space="preserve">  27,20</t>
  </si>
  <si>
    <t xml:space="preserve">      5,24-</t>
  </si>
  <si>
    <t xml:space="preserve">      21,25</t>
  </si>
  <si>
    <t xml:space="preserve">00033</t>
  </si>
  <si>
    <t xml:space="preserve">JOSE HIVANO GUILHERME</t>
  </si>
  <si>
    <t xml:space="preserve">  34,07</t>
  </si>
  <si>
    <t xml:space="preserve">      1,16-</t>
  </si>
  <si>
    <t xml:space="preserve">       3,96</t>
  </si>
  <si>
    <t xml:space="preserve">TIAGO SANTOS FREITAS</t>
  </si>
  <si>
    <t xml:space="preserve">  27,13</t>
  </si>
  <si>
    <t xml:space="preserve">      2,58-</t>
  </si>
  <si>
    <t xml:space="preserve">       2,47</t>
  </si>
  <si>
    <t xml:space="preserve">00005</t>
  </si>
  <si>
    <t xml:space="preserve">  36,44</t>
  </si>
  <si>
    <t xml:space="preserve">      2,20-</t>
  </si>
  <si>
    <t xml:space="preserve">       2,90</t>
  </si>
  <si>
    <t xml:space="preserve">00010</t>
  </si>
  <si>
    <t xml:space="preserve">  35,51</t>
  </si>
  <si>
    <t xml:space="preserve">      2,16-</t>
  </si>
  <si>
    <t xml:space="preserve">V LUNARDELLO DA SILVA</t>
  </si>
  <si>
    <t xml:space="preserve">   6,17</t>
  </si>
  <si>
    <t xml:space="preserve">    233,63-</t>
  </si>
  <si>
    <t xml:space="preserve">      24,21</t>
  </si>
  <si>
    <t xml:space="preserve">00108</t>
  </si>
  <si>
    <t xml:space="preserve">  25,25</t>
  </si>
  <si>
    <t xml:space="preserve">    836,28-</t>
  </si>
  <si>
    <t xml:space="preserve">     500,57</t>
  </si>
  <si>
    <t xml:space="preserve">03026</t>
  </si>
  <si>
    <t xml:space="preserve">COMERCIAL JULIFRAN LT</t>
  </si>
  <si>
    <t xml:space="preserve">  20,14</t>
  </si>
  <si>
    <t xml:space="preserve">  1.984,72-</t>
  </si>
  <si>
    <t xml:space="preserve">007 012 017</t>
  </si>
  <si>
    <t xml:space="preserve">     758,96</t>
  </si>
  <si>
    <t xml:space="preserve">04140</t>
  </si>
  <si>
    <t xml:space="preserve">    717,90-</t>
  </si>
  <si>
    <t xml:space="preserve">      24,09</t>
  </si>
  <si>
    <t xml:space="preserve">00147</t>
  </si>
  <si>
    <t xml:space="preserve">ABIR CRISPINIANO LTDA</t>
  </si>
  <si>
    <t xml:space="preserve">  23,97</t>
  </si>
  <si>
    <t xml:space="preserve">    248,41-</t>
  </si>
  <si>
    <t xml:space="preserve">      99,67</t>
  </si>
  <si>
    <t xml:space="preserve">DEODAPOLIS</t>
  </si>
  <si>
    <t xml:space="preserve">SUPERMERCADO THOME -</t>
  </si>
  <si>
    <t xml:space="preserve">  29,11</t>
  </si>
  <si>
    <t xml:space="preserve">     31,88-</t>
  </si>
  <si>
    <t xml:space="preserve">       9,48</t>
  </si>
  <si>
    <t xml:space="preserve"> 307</t>
  </si>
  <si>
    <t xml:space="preserve">00048</t>
  </si>
  <si>
    <t xml:space="preserve">SETE PHARMA 4 LTDA</t>
  </si>
  <si>
    <t xml:space="preserve">  32,05</t>
  </si>
  <si>
    <t xml:space="preserve">      5,05-</t>
  </si>
  <si>
    <t xml:space="preserve">       2,23</t>
  </si>
  <si>
    <t xml:space="preserve"> 030</t>
  </si>
  <si>
    <t xml:space="preserve">00009</t>
  </si>
  <si>
    <t xml:space="preserve">GMAIS COMERCIO DE ALI</t>
  </si>
  <si>
    <t xml:space="preserve"> 047</t>
  </si>
  <si>
    <t xml:space="preserve">JARDIM</t>
  </si>
  <si>
    <t xml:space="preserve">BONITO</t>
  </si>
  <si>
    <t xml:space="preserve">HIPERMERCADO BOM GOST</t>
  </si>
  <si>
    <t xml:space="preserve">  25,15</t>
  </si>
  <si>
    <t xml:space="preserve">    877,80-</t>
  </si>
  <si>
    <t xml:space="preserve">     433,38</t>
  </si>
  <si>
    <t xml:space="preserve"> 032</t>
  </si>
  <si>
    <t xml:space="preserve">02094</t>
  </si>
  <si>
    <t xml:space="preserve">VRA COMERCIO LTDA</t>
  </si>
  <si>
    <t xml:space="preserve"> 031</t>
  </si>
  <si>
    <t xml:space="preserve">AMAMBAI</t>
  </si>
  <si>
    <t xml:space="preserve"> 339</t>
  </si>
  <si>
    <t xml:space="preserve">COSTA RICA</t>
  </si>
  <si>
    <t xml:space="preserve">MARINO E COSTA LTDA</t>
  </si>
  <si>
    <t xml:space="preserve"> 301</t>
  </si>
  <si>
    <t xml:space="preserve">RIBAS DO RIO PARDO</t>
  </si>
  <si>
    <t xml:space="preserve"> 341</t>
  </si>
  <si>
    <t xml:space="preserve">RANK</t>
  </si>
  <si>
    <t xml:space="preserve">RAZÃO SOCIAL</t>
  </si>
  <si>
    <t xml:space="preserve">ENDEREÇO</t>
  </si>
  <si>
    <t xml:space="preserve">PESO BRUTO</t>
  </si>
  <si>
    <t xml:space="preserve">CAIXA</t>
  </si>
  <si>
    <t xml:space="preserve">VALOR</t>
  </si>
  <si>
    <t xml:space="preserve">%PB</t>
  </si>
  <si>
    <t xml:space="preserve">%CX</t>
  </si>
  <si>
    <t xml:space="preserve">%VLR</t>
  </si>
  <si>
    <t xml:space="preserve">%ACP</t>
  </si>
  <si>
    <t xml:space="preserve">%ACG</t>
  </si>
  <si>
    <t xml:space="preserve">REP</t>
  </si>
  <si>
    <t xml:space="preserve">PR MED</t>
  </si>
  <si>
    <t xml:space="preserve">CENSO</t>
  </si>
  <si>
    <t xml:space="preserve">CD-00 ABV COMERCIO DE AL</t>
  </si>
  <si>
    <t xml:space="preserve">SALETE TEREZINHA HAR</t>
  </si>
  <si>
    <t xml:space="preserve">A36</t>
  </si>
  <si>
    <t xml:space="preserve">PEDRO DE MEDEIROS</t>
  </si>
  <si>
    <t xml:space="preserve">A03</t>
  </si>
  <si>
    <t xml:space="preserve">CENTRAL ECONOMICA DE DIS</t>
  </si>
  <si>
    <t xml:space="preserve">AV DOUTOR GUNTER HAN</t>
  </si>
  <si>
    <t xml:space="preserve">A15</t>
  </si>
  <si>
    <t xml:space="preserve">A R S SUPERMERCADOS LTDA</t>
  </si>
  <si>
    <t xml:space="preserve">BRASIL</t>
  </si>
  <si>
    <t xml:space="preserve">A35</t>
  </si>
  <si>
    <t xml:space="preserve">AV URUMBELA</t>
  </si>
  <si>
    <t xml:space="preserve">NOVA ESTRELA COM DE ALIM</t>
  </si>
  <si>
    <t xml:space="preserve">CLODOALDO GARCIA</t>
  </si>
  <si>
    <t xml:space="preserve">IYOBE E CIA LTDA</t>
  </si>
  <si>
    <t xml:space="preserve">JORGE ROBERTO SALOMA</t>
  </si>
  <si>
    <t xml:space="preserve">A41</t>
  </si>
  <si>
    <t xml:space="preserve"> JOSE FERREIRA DA CO</t>
  </si>
  <si>
    <t xml:space="preserve">JCHAGAS ALIMENTOS LTDA</t>
  </si>
  <si>
    <t xml:space="preserve">AV CAMPO GRANDE</t>
  </si>
  <si>
    <t xml:space="preserve">CAPITAO OLINTO MANCI</t>
  </si>
  <si>
    <t xml:space="preserve">AVENIDA ALEMANHA</t>
  </si>
  <si>
    <t xml:space="preserve">CDA COMERCIO ATACADISTA</t>
  </si>
  <si>
    <t xml:space="preserve">NICOLAU OTANO</t>
  </si>
  <si>
    <t xml:space="preserve">A02</t>
  </si>
  <si>
    <t xml:space="preserve">CIDADE BRANCA COMERCIO D</t>
  </si>
  <si>
    <t xml:space="preserve">RUA LUIZ FEITOSA ROD</t>
  </si>
  <si>
    <t xml:space="preserve">F A ARROYO EIRELLI</t>
  </si>
  <si>
    <t xml:space="preserve">REPUBLICA</t>
  </si>
  <si>
    <t xml:space="preserve">UNIBEM ATACADISTA LTDA</t>
  </si>
  <si>
    <t xml:space="preserve">NORBERTO ANTONIO SCH</t>
  </si>
  <si>
    <t xml:space="preserve">SUPERMERCADO JORGE LTDA</t>
  </si>
  <si>
    <t xml:space="preserve">PRESIDENTE VARGAS</t>
  </si>
  <si>
    <t xml:space="preserve">CIRIACO DE TOLEDO</t>
  </si>
  <si>
    <t xml:space="preserve">OLIVEIRA E CARNEIRO LTDA</t>
  </si>
  <si>
    <t xml:space="preserve">AVENIDA RIO BRANCO</t>
  </si>
  <si>
    <t xml:space="preserve">DAMASCENO E DAMASCENO LT</t>
  </si>
  <si>
    <t xml:space="preserve">AVENIDA DA INTEGRACA</t>
  </si>
  <si>
    <t xml:space="preserve">BATISTA QUADROS E CIA LT</t>
  </si>
  <si>
    <t xml:space="preserve">OSCAR TRINDADE DE BA</t>
  </si>
  <si>
    <t xml:space="preserve">DAS GARCAS</t>
  </si>
  <si>
    <t xml:space="preserve">NOVA ESTRELA COMERCIO DE</t>
  </si>
  <si>
    <t xml:space="preserve">DUQUE DE CAXIAS</t>
  </si>
  <si>
    <t xml:space="preserve">JOSE FERREIRA DA COS</t>
  </si>
  <si>
    <t xml:space="preserve">RIBAS DO RIO PA</t>
  </si>
  <si>
    <t xml:space="preserve">GUSTAVO TEIXEIRA</t>
  </si>
  <si>
    <t xml:space="preserve">RUA OSCAR TRINDADE D</t>
  </si>
  <si>
    <t xml:space="preserve">SOUZA E QUEIROZ ALIMENTO</t>
  </si>
  <si>
    <t xml:space="preserve">MILTON MODESTO</t>
  </si>
  <si>
    <t xml:space="preserve">MACAUBA COMERCIO DE ALIM</t>
  </si>
  <si>
    <t xml:space="preserve">GENARIO DA COSTA MAT</t>
  </si>
  <si>
    <t xml:space="preserve">COMERCIAL PANTANAL LTDA</t>
  </si>
  <si>
    <t xml:space="preserve">PARANHOS</t>
  </si>
  <si>
    <t xml:space="preserve">ALBERTO RATIER</t>
  </si>
  <si>
    <t xml:space="preserve">RIO VERDE DE MA</t>
  </si>
  <si>
    <t xml:space="preserve">PORFIRIO GONCALVES</t>
  </si>
  <si>
    <t xml:space="preserve">WILSON CARVALHO VIAN</t>
  </si>
  <si>
    <t xml:space="preserve">RUA JOAQUIM MURTINHO</t>
  </si>
  <si>
    <t xml:space="preserve">COMERCIAL JULIFRAN LTDA</t>
  </si>
  <si>
    <t xml:space="preserve">TENENTE ANTONIO JOAO</t>
  </si>
  <si>
    <t xml:space="preserve">HIPERMERCADO BOM GOSTO L</t>
  </si>
  <si>
    <t xml:space="preserve">DEPUTADO ARAL MOREIR</t>
  </si>
  <si>
    <t xml:space="preserve">LJ-32 PIRES E CIA LTDA</t>
  </si>
  <si>
    <t xml:space="preserve">AV GUAICURUS</t>
  </si>
  <si>
    <t xml:space="preserve">ESSENCIAL ATACADO LTDA</t>
  </si>
  <si>
    <t xml:space="preserve">AV DA INTEGRACAO   1</t>
  </si>
  <si>
    <t xml:space="preserve">AVENIDA SAO NICOLAU</t>
  </si>
  <si>
    <t xml:space="preserve">UILSON APARECIDO ULIAN E</t>
  </si>
  <si>
    <t xml:space="preserve">BATAGUASSU</t>
  </si>
  <si>
    <t xml:space="preserve">AVENIDA CAMPO GRANDE</t>
  </si>
  <si>
    <t xml:space="preserve">RUY RODRIGUES PANIAGO</t>
  </si>
  <si>
    <t xml:space="preserve">AGUA CLARA</t>
  </si>
  <si>
    <t xml:space="preserve">JULIO MAIA</t>
  </si>
  <si>
    <t xml:space="preserve">G P COMERCIAL DE ALIMENT</t>
  </si>
  <si>
    <t xml:space="preserve">FILINTO MULLER</t>
  </si>
  <si>
    <t xml:space="preserve">SAO GABRIEL DO</t>
  </si>
  <si>
    <t xml:space="preserve">RUA CEARA</t>
  </si>
  <si>
    <t xml:space="preserve">SUPERMERCADO FERNANDES P</t>
  </si>
  <si>
    <t xml:space="preserve">PORTO CARRERO</t>
  </si>
  <si>
    <t xml:space="preserve">FRANCISCO ANTONIO DE</t>
  </si>
  <si>
    <t xml:space="preserve">EFRAIN CRUZ LLUSCO</t>
  </si>
  <si>
    <t xml:space="preserve">EDU ROCHA</t>
  </si>
  <si>
    <t xml:space="preserve">GMAIS COMERCIO DE ALIMEN</t>
  </si>
  <si>
    <t xml:space="preserve">NOVA JERUSALEM</t>
  </si>
  <si>
    <t xml:space="preserve">BENEVENUTO  OTTONE</t>
  </si>
  <si>
    <t xml:space="preserve">AV PEDRO MANVAILER</t>
  </si>
  <si>
    <t xml:space="preserve">LJ-27 BONANCA COM DE ALI</t>
  </si>
  <si>
    <t xml:space="preserve">VICENTINA</t>
  </si>
  <si>
    <t xml:space="preserve">AV PADRE JOSE DANIEL</t>
  </si>
  <si>
    <t xml:space="preserve">RUA DA REPUBLICA</t>
  </si>
  <si>
    <t xml:space="preserve">COMERCIAL FENIX ALIMENTO</t>
  </si>
  <si>
    <t xml:space="preserve">MISS MARIA SOARES SI</t>
  </si>
  <si>
    <t xml:space="preserve">ESTEVAO ALVES CORREA</t>
  </si>
  <si>
    <t xml:space="preserve">SUPERMERCADO GAUCHAO LTD</t>
  </si>
  <si>
    <t xml:space="preserve">NOVA ALVORADA D</t>
  </si>
  <si>
    <t xml:space="preserve">AV IRINEU DE SOUZA A</t>
  </si>
  <si>
    <t xml:space="preserve">CIDADE BRANCA COMER DE A</t>
  </si>
  <si>
    <t xml:space="preserve">PARANA</t>
  </si>
  <si>
    <t xml:space="preserve">SETE DE SETEMBRO</t>
  </si>
  <si>
    <t xml:space="preserve">LJ-14 BONANCA COM DE ALI</t>
  </si>
  <si>
    <t xml:space="preserve">RIO BRILHANTE</t>
  </si>
  <si>
    <t xml:space="preserve">PROFESSORA ETELVINA</t>
  </si>
  <si>
    <t xml:space="preserve">RUA PEDRO CELESTINO</t>
  </si>
  <si>
    <t xml:space="preserve">SUPERMERCADO BEIRA RIO P</t>
  </si>
  <si>
    <t xml:space="preserve">BRASILANDIA</t>
  </si>
  <si>
    <t xml:space="preserve">MANOEL GALDINO SOUZA</t>
  </si>
  <si>
    <t xml:space="preserve">AURELIO MOURA BRANDA</t>
  </si>
  <si>
    <t xml:space="preserve">RITA VIEIRA DE ANDRA</t>
  </si>
  <si>
    <t xml:space="preserve">RUA PONTA PORA</t>
  </si>
  <si>
    <t xml:space="preserve">LJ-28 BONANCA COM DE ALI</t>
  </si>
  <si>
    <t xml:space="preserve">MARACAJU</t>
  </si>
  <si>
    <t xml:space="preserve">JOAQUIM MURTINHO</t>
  </si>
  <si>
    <t xml:space="preserve">BENFICA SUPERMERCADOS LT</t>
  </si>
  <si>
    <t xml:space="preserve">JUSCELINO K DE OLIVE</t>
  </si>
  <si>
    <t xml:space="preserve">NICOLA CANDIA</t>
  </si>
  <si>
    <t xml:space="preserve">COMERCIAL DE ALIMENTOS G</t>
  </si>
  <si>
    <t xml:space="preserve">PAULO AMERICO DOS RE</t>
  </si>
  <si>
    <t xml:space="preserve">RUA PADRE MUSA TUMA</t>
  </si>
  <si>
    <t xml:space="preserve">AV AMARO CASTRO LIMA</t>
  </si>
  <si>
    <t xml:space="preserve">SUPERMERCADO THOME - EIR</t>
  </si>
  <si>
    <t xml:space="preserve">RUA EVELINA FIGUEIRE</t>
  </si>
  <si>
    <t xml:space="preserve">LJ-39 S PIRES COMERCIO D</t>
  </si>
  <si>
    <t xml:space="preserve">RUA IRINEU DE SOUZA</t>
  </si>
  <si>
    <t xml:space="preserve">AVENIDA HIROSHIMA</t>
  </si>
  <si>
    <t xml:space="preserve">D C PRODUTO ALIMENTICIOS</t>
  </si>
  <si>
    <t xml:space="preserve">TOCANTINS</t>
  </si>
  <si>
    <t xml:space="preserve">LJ-37 BONANCA COMERCIO D</t>
  </si>
  <si>
    <t xml:space="preserve">AVENIDA MARECHAL DEO</t>
  </si>
  <si>
    <t xml:space="preserve">LJ-17 BONANCA COM DE ALI</t>
  </si>
  <si>
    <t xml:space="preserve">RUA JERONIMO DE ALBU</t>
  </si>
  <si>
    <t xml:space="preserve">29 DE MAIO</t>
  </si>
  <si>
    <t xml:space="preserve">BIG ATACADO COM PROD ALI</t>
  </si>
  <si>
    <t xml:space="preserve">CORONEL SAPUCAI</t>
  </si>
  <si>
    <t xml:space="preserve">BALTAZAR SALDANHA</t>
  </si>
  <si>
    <t xml:space="preserve">LJ-15 BONANCA COM DE ALI</t>
  </si>
  <si>
    <t xml:space="preserve">SIDNEY COELHO NOGUEI</t>
  </si>
  <si>
    <t xml:space="preserve">SUPERMERCADO SANTANA LTD</t>
  </si>
  <si>
    <t xml:space="preserve">PARANAIBA</t>
  </si>
  <si>
    <t xml:space="preserve">ANTONIO GARCIA DE FR</t>
  </si>
  <si>
    <t xml:space="preserve">LJ-04 S PIRES COM DE ALI</t>
  </si>
  <si>
    <t xml:space="preserve">RAQUEL DE QUEIROZ</t>
  </si>
  <si>
    <t xml:space="preserve">COMERCIAL SAO JOSE DE AL</t>
  </si>
  <si>
    <t xml:space="preserve">AVENIDA ONZE DE DEZE</t>
  </si>
  <si>
    <t xml:space="preserve">DEZESSETE</t>
  </si>
  <si>
    <t xml:space="preserve">COMERCIAL DUAS NACOES</t>
  </si>
  <si>
    <t xml:space="preserve">AVENIDA MARECHAL DUT</t>
  </si>
  <si>
    <t xml:space="preserve">ALESSANDRO M DOS SANTOS</t>
  </si>
  <si>
    <t xml:space="preserve">PEDRO ANTONIO DE LIM</t>
  </si>
  <si>
    <t xml:space="preserve">RUA 15 DE NOVEMBRO</t>
  </si>
  <si>
    <t xml:space="preserve">LJ-08 S PIRES COM DE ALI</t>
  </si>
  <si>
    <t xml:space="preserve">BARUERI</t>
  </si>
  <si>
    <t xml:space="preserve">LJ-03 PIRES E CIA LTDA</t>
  </si>
  <si>
    <t xml:space="preserve">LJ-12 S PIRES COM DE ALI</t>
  </si>
  <si>
    <t xml:space="preserve">MARQUES DE POMBAL</t>
  </si>
  <si>
    <t xml:space="preserve">LJ-29 BONANCA COM DE ALI</t>
  </si>
  <si>
    <t xml:space="preserve">DOS CAFEZAIS</t>
  </si>
  <si>
    <t xml:space="preserve">LJ-35 BONANCA COM DE ALI</t>
  </si>
  <si>
    <t xml:space="preserve">RUA RAMAO OSORIO</t>
  </si>
  <si>
    <t xml:space="preserve">CENTRAL SUPERMECADOS LTD</t>
  </si>
  <si>
    <t xml:space="preserve">APARECIDA DO TA</t>
  </si>
  <si>
    <t xml:space="preserve">AV SAO CRISTOVAO</t>
  </si>
  <si>
    <t xml:space="preserve">CENTRAL SUPERMERCADOS LT</t>
  </si>
  <si>
    <t xml:space="preserve">CEL GUSTAVO RODRIGUE</t>
  </si>
  <si>
    <t xml:space="preserve">ROSSANA LORENZO BARBOZA</t>
  </si>
  <si>
    <t xml:space="preserve">PEDRO CORREA DA SILV</t>
  </si>
  <si>
    <t xml:space="preserve">RUA DA JUSTICA</t>
  </si>
  <si>
    <t xml:space="preserve">LJ-30 BONANCA COM DE ALI</t>
  </si>
  <si>
    <t xml:space="preserve">RUA LINDALVA MARQUES</t>
  </si>
  <si>
    <t xml:space="preserve">LJ-10 PIRES E CIA LTDA</t>
  </si>
  <si>
    <t xml:space="preserve">ANA LUIZA DE SOUZA</t>
  </si>
  <si>
    <t xml:space="preserve">LJ-36 BONANCA COMERCIO D</t>
  </si>
  <si>
    <t xml:space="preserve">RUA EDIBERTO CELESTI</t>
  </si>
  <si>
    <t xml:space="preserve">LJ-31 BONANCA COM DE ALI</t>
  </si>
  <si>
    <t xml:space="preserve">RUA MAJOR CARLOS DA</t>
  </si>
  <si>
    <t xml:space="preserve">PATRICIA RAMSDORFF</t>
  </si>
  <si>
    <t xml:space="preserve">URQUIZA</t>
  </si>
  <si>
    <t xml:space="preserve">LJ-09 BONANCA COM DE ALI</t>
  </si>
  <si>
    <t xml:space="preserve">AVENIDA DOS CAFESAIS</t>
  </si>
  <si>
    <t xml:space="preserve">LJ-07 BONANCA COM DE ALI</t>
  </si>
  <si>
    <t xml:space="preserve">TAMANDARE</t>
  </si>
  <si>
    <t xml:space="preserve">LJ-38 S PIRES COMERCIO D</t>
  </si>
  <si>
    <t xml:space="preserve">LJ-25 S PIRES COM DE ALI</t>
  </si>
  <si>
    <t xml:space="preserve">GEN AMARO BITENCOURT</t>
  </si>
  <si>
    <t xml:space="preserve">LJ-22 BONANCA COM DE ALI</t>
  </si>
  <si>
    <t xml:space="preserve">EXPEDICIONARIO HUGO</t>
  </si>
  <si>
    <t xml:space="preserve">FRAIBURGO</t>
  </si>
  <si>
    <t xml:space="preserve">LADARIO</t>
  </si>
  <si>
    <t xml:space="preserve">AFONSO PENA</t>
  </si>
  <si>
    <t xml:space="preserve">LJ-11 BONANCA COM DE ALI</t>
  </si>
  <si>
    <t xml:space="preserve">TUPINIQUINS</t>
  </si>
  <si>
    <t xml:space="preserve">LJ-13 S PIRES COM DE ALI</t>
  </si>
  <si>
    <t xml:space="preserve">RACHEL DE QUEIROZ</t>
  </si>
  <si>
    <t xml:space="preserve">TRAVESSA RAGALZI</t>
  </si>
  <si>
    <t xml:space="preserve">LJ-21 BONANCA COM DE ALI</t>
  </si>
  <si>
    <t xml:space="preserve">DEODATO LEONARDO DA</t>
  </si>
  <si>
    <t xml:space="preserve">LJ-23 BONANCA COM DE ALI</t>
  </si>
  <si>
    <t xml:space="preserve">JOAQUIM TEIXEIRA ALV</t>
  </si>
  <si>
    <t xml:space="preserve">GULART E CIA LTDA EPP</t>
  </si>
  <si>
    <t xml:space="preserve">SANTA RITA DO P</t>
  </si>
  <si>
    <t xml:space="preserve">JULIO C PAULINO MAIA</t>
  </si>
  <si>
    <t xml:space="preserve">AVENIDA RACHEL DE QU</t>
  </si>
  <si>
    <t xml:space="preserve">LJ-16 S PIRES COM DE ALI</t>
  </si>
  <si>
    <t xml:space="preserve">ACACIA</t>
  </si>
  <si>
    <t xml:space="preserve">AURELIANO MOURA BRAN</t>
  </si>
  <si>
    <t xml:space="preserve">PRINCIPAL 01</t>
  </si>
  <si>
    <t xml:space="preserve">LJ-33 BONANCA COM DE ALI</t>
  </si>
  <si>
    <t xml:space="preserve">RUA ONTE ALEGRE</t>
  </si>
  <si>
    <t xml:space="preserve">COOP AGROINDUSTRIAL VALE</t>
  </si>
  <si>
    <t xml:space="preserve">EURICO SOARES ANDRAD</t>
  </si>
  <si>
    <t xml:space="preserve">LJ-26 S PIRES COM DE ALI</t>
  </si>
  <si>
    <t xml:space="preserve">MARIA LUIZA MORAES</t>
  </si>
  <si>
    <t xml:space="preserve">SUPERMERCADO KAIO LTDA</t>
  </si>
  <si>
    <t xml:space="preserve">ANTONIO JOAO</t>
  </si>
  <si>
    <t xml:space="preserve">AMANTINO RODRIGUES D</t>
  </si>
  <si>
    <t xml:space="preserve">LJ-24 S PIRES COM DE ALI</t>
  </si>
  <si>
    <t xml:space="preserve">CAPIBARIBE</t>
  </si>
  <si>
    <t xml:space="preserve">LJ-34 BONANCA COM DE ALI</t>
  </si>
  <si>
    <t xml:space="preserve">RUA FREI ANTONIO</t>
  </si>
  <si>
    <t xml:space="preserve">JONAS ANTONIO LAZZARIN</t>
  </si>
  <si>
    <t xml:space="preserve">ITAQUIRAI</t>
  </si>
  <si>
    <t xml:space="preserve">INDUSTRIAL</t>
  </si>
  <si>
    <t xml:space="preserve">JULIO DE CASTILHO</t>
  </si>
  <si>
    <t xml:space="preserve">LJ-06 PIRES E CIA LTDA</t>
  </si>
  <si>
    <t xml:space="preserve">SOUZA LIMA</t>
  </si>
  <si>
    <t xml:space="preserve">LJ-02 S PIRES COM DE ALI</t>
  </si>
  <si>
    <t xml:space="preserve">ANCHIETA</t>
  </si>
  <si>
    <t xml:space="preserve">FALEIROS E STRADA LTDA</t>
  </si>
  <si>
    <t xml:space="preserve">JUTI</t>
  </si>
  <si>
    <t xml:space="preserve">ANTONIO IGNACIO FREI</t>
  </si>
  <si>
    <t xml:space="preserve">SUPERMERCADO AMERICA LTD</t>
  </si>
  <si>
    <t xml:space="preserve">AVENIDA QUEDU LEAL</t>
  </si>
  <si>
    <t xml:space="preserve">MERCADO COSTA EIRELI</t>
  </si>
  <si>
    <t xml:space="preserve">DOS EXPEDICIONARIOS</t>
  </si>
  <si>
    <t xml:space="preserve">LJ-18 S PIRES COM DE ALI</t>
  </si>
  <si>
    <t xml:space="preserve">AVENIDA JULIO DE CAS</t>
  </si>
  <si>
    <t xml:space="preserve">JAIR ABRANCHES MELLA</t>
  </si>
  <si>
    <t xml:space="preserve">LJ-05 S PIRES COM DE ALI</t>
  </si>
  <si>
    <t xml:space="preserve">OURO VERDE</t>
  </si>
  <si>
    <t xml:space="preserve">D CASA SUPERMERCADO LTDA</t>
  </si>
  <si>
    <t xml:space="preserve">RUA MINAS GERAIS</t>
  </si>
  <si>
    <t xml:space="preserve">MATOS E SILVA LTDA</t>
  </si>
  <si>
    <t xml:space="preserve">ESPIRITO SANTO</t>
  </si>
  <si>
    <t xml:space="preserve">ALDOINO SERENA</t>
  </si>
  <si>
    <t xml:space="preserve">BELA VISTA</t>
  </si>
  <si>
    <t xml:space="preserve">BARAO DE LADARIO</t>
  </si>
  <si>
    <t xml:space="preserve">RUA DOUTOR OSCAR GUI</t>
  </si>
  <si>
    <t xml:space="preserve">THEODULO M MALHEIROS</t>
  </si>
  <si>
    <t xml:space="preserve">NALEPA MACHADO E CIA LTD</t>
  </si>
  <si>
    <t xml:space="preserve">MONTE ALEGRE</t>
  </si>
  <si>
    <t xml:space="preserve">EVANDRO MARINI EPP</t>
  </si>
  <si>
    <t xml:space="preserve">ELDORADO</t>
  </si>
  <si>
    <t xml:space="preserve">SANTA TEREZINHA</t>
  </si>
  <si>
    <t xml:space="preserve">ARY SERENA</t>
  </si>
  <si>
    <t xml:space="preserve">NIVALDO DE SOUZA MEIRA</t>
  </si>
  <si>
    <t xml:space="preserve">TREZE DE MAIO</t>
  </si>
  <si>
    <t xml:space="preserve">AQUINO COMERCIO VAREJIST</t>
  </si>
  <si>
    <t xml:space="preserve">JOSE R DE CARVALHO</t>
  </si>
  <si>
    <t xml:space="preserve">SEMPREBOM COMERCIO DE AL</t>
  </si>
  <si>
    <t xml:space="preserve">BEZERRA DE MENESES</t>
  </si>
  <si>
    <t xml:space="preserve">DMS SUPERMERCADO EIRELI</t>
  </si>
  <si>
    <t xml:space="preserve">TAPAUA</t>
  </si>
  <si>
    <t xml:space="preserve">RUA NATAL</t>
  </si>
  <si>
    <t xml:space="preserve">TIAGO CEZAR FERREIRA LTD</t>
  </si>
  <si>
    <t xml:space="preserve">AVENIDA REYNALDO MAS</t>
  </si>
  <si>
    <t xml:space="preserve">SUPERMERCADO ARCO IRIS L</t>
  </si>
  <si>
    <t xml:space="preserve">TEODORO SATIVA</t>
  </si>
  <si>
    <t xml:space="preserve">JOAO LEITE RIBEIRO</t>
  </si>
  <si>
    <t xml:space="preserve">PELLIM E DE NADAI LTDA</t>
  </si>
  <si>
    <t xml:space="preserve">GLORIA DE DOURA</t>
  </si>
  <si>
    <t xml:space="preserve">G A CELLI ANDRADE</t>
  </si>
  <si>
    <t xml:space="preserve">SETE QUEDAS</t>
  </si>
  <si>
    <t xml:space="preserve">DOM PEDRO II</t>
  </si>
  <si>
    <t xml:space="preserve">LJ-19 S PIRES COM DE ALI</t>
  </si>
  <si>
    <t xml:space="preserve">AVENIDA BOM PASTOR</t>
  </si>
  <si>
    <t xml:space="preserve">NANDI SUPERMERCADOS LTDA</t>
  </si>
  <si>
    <t xml:space="preserve">DAS CURRUIRAS</t>
  </si>
  <si>
    <t xml:space="preserve">ALENTINO SOUZA OLIVE</t>
  </si>
  <si>
    <t xml:space="preserve">MARCOS ROGERIO MINANTE</t>
  </si>
  <si>
    <t xml:space="preserve">AV BRASIL</t>
  </si>
  <si>
    <t xml:space="preserve">A43</t>
  </si>
  <si>
    <t xml:space="preserve">AMOROSO DELICATESSEN LTD</t>
  </si>
  <si>
    <t xml:space="preserve">HIDELBRANDO NENO DE</t>
  </si>
  <si>
    <t xml:space="preserve">A60</t>
  </si>
  <si>
    <t xml:space="preserve">JOAO PEDRO PEDROSSIA</t>
  </si>
  <si>
    <t xml:space="preserve">CENTRAL SUPERMERCADO</t>
  </si>
  <si>
    <t xml:space="preserve">AVENIDA ARISTIDES KL</t>
  </si>
  <si>
    <t xml:space="preserve">JV COMERCIO VAREJISTA LT</t>
  </si>
  <si>
    <t xml:space="preserve">PORTO MURTINHO</t>
  </si>
  <si>
    <t xml:space="preserve">CANDIDO MARIANO</t>
  </si>
  <si>
    <t xml:space="preserve">WELLINGTON GONCALVES ROD</t>
  </si>
  <si>
    <t xml:space="preserve">SUPERMERCADO PARAISO LTD</t>
  </si>
  <si>
    <t xml:space="preserve">AV IVINHEMA</t>
  </si>
  <si>
    <t xml:space="preserve">SUPERMERCADO NACAGAMI AQ</t>
  </si>
  <si>
    <t xml:space="preserve">BARNABE FRANCISCO DA</t>
  </si>
  <si>
    <t xml:space="preserve">C E G DE MATOS EIRELI ME</t>
  </si>
  <si>
    <t xml:space="preserve">REMULO GUARIENTI</t>
  </si>
  <si>
    <t xml:space="preserve">MERCADO PARANA LTDA</t>
  </si>
  <si>
    <t xml:space="preserve">RUA ZEFERINO DAVILA</t>
  </si>
  <si>
    <t xml:space="preserve">AV AURELIANO MOURA B</t>
  </si>
  <si>
    <t xml:space="preserve">SUPERMERCADO DA FAMILIA</t>
  </si>
  <si>
    <t xml:space="preserve">AV SAO JOSE</t>
  </si>
  <si>
    <t xml:space="preserve">LUIZARI E LUIZARI LTDA</t>
  </si>
  <si>
    <t xml:space="preserve">LJ-20 S PIRES COM DE ALI</t>
  </si>
  <si>
    <t xml:space="preserve">AVENIDA RAUL PIRES B</t>
  </si>
  <si>
    <t xml:space="preserve">CONCORDIA MATERIAIS PARA</t>
  </si>
  <si>
    <t xml:space="preserve">JOSE HEITOR DE ALMEI</t>
  </si>
  <si>
    <t xml:space="preserve">H23</t>
  </si>
  <si>
    <t xml:space="preserve">L D ALVES BALBINO LTDA</t>
  </si>
  <si>
    <t xml:space="preserve">NUCLEO URBANO LOTE 1</t>
  </si>
  <si>
    <t xml:space="preserve">A M DE MATOS E CIA LTDA</t>
  </si>
  <si>
    <t xml:space="preserve">ANAURILANDIA</t>
  </si>
  <si>
    <t xml:space="preserve">MATO GROSSO</t>
  </si>
  <si>
    <t xml:space="preserve">JOSE LEONARDO AGUILAR AZ</t>
  </si>
  <si>
    <t xml:space="preserve">RONDONOPOLIS</t>
  </si>
  <si>
    <t xml:space="preserve">ROBERTO CARLOS TERENCIAN</t>
  </si>
  <si>
    <t xml:space="preserve">ANGELICA</t>
  </si>
  <si>
    <t xml:space="preserve">STEFAN DUDAS</t>
  </si>
  <si>
    <t xml:space="preserve">MANSOU COMERCIAL  DE ALI</t>
  </si>
  <si>
    <t xml:space="preserve">SUPERMERCADO LUISA LTDA</t>
  </si>
  <si>
    <t xml:space="preserve">AVENIDA PRESIDENTE V</t>
  </si>
  <si>
    <t xml:space="preserve">DOUTOR EULER DE AZEV</t>
  </si>
  <si>
    <t xml:space="preserve">MAIDANA E OBA LTDA</t>
  </si>
  <si>
    <t xml:space="preserve">MARIO GUERREIRO</t>
  </si>
  <si>
    <t xml:space="preserve">GERSON COSMO NUNES COUTI</t>
  </si>
  <si>
    <t xml:space="preserve"> RUA ANTONIO ESTEVAN</t>
  </si>
  <si>
    <t xml:space="preserve">MERCADO PAVANELI LTDA</t>
  </si>
  <si>
    <t xml:space="preserve">BENEVENUTO OTTONI</t>
  </si>
  <si>
    <t xml:space="preserve">LUAN B DOS SANTOS</t>
  </si>
  <si>
    <t xml:space="preserve">SERGIO MACIEL</t>
  </si>
  <si>
    <t xml:space="preserve">CLEODIR SUPERMERCADOS EI</t>
  </si>
  <si>
    <t xml:space="preserve">GENEROSO PONCE</t>
  </si>
  <si>
    <t xml:space="preserve">LJ-01 PIRES E CIA LTDA</t>
  </si>
  <si>
    <t xml:space="preserve">GOIATUBA</t>
  </si>
  <si>
    <t xml:space="preserve">PRACA DAS NACOES</t>
  </si>
  <si>
    <t xml:space="preserve">MERCEARIA E CONVENIENCIA</t>
  </si>
  <si>
    <t xml:space="preserve">AVENIDA ALBERTO RATI</t>
  </si>
  <si>
    <t xml:space="preserve">PEDROSO E LEITE LTDA</t>
  </si>
  <si>
    <t xml:space="preserve">RODOVIA MS164 KM 60</t>
  </si>
  <si>
    <t xml:space="preserve">CELSON MAGALHAES DE OLIV</t>
  </si>
  <si>
    <t xml:space="preserve">AV NOSSA SENHORA</t>
  </si>
  <si>
    <t xml:space="preserve">A04</t>
  </si>
  <si>
    <t xml:space="preserve">PALMA COMERCIO ALIMENTOS</t>
  </si>
  <si>
    <t xml:space="preserve">D PEDRO II</t>
  </si>
  <si>
    <t xml:space="preserve">MERCAFRIOS PRATICO COM D</t>
  </si>
  <si>
    <t xml:space="preserve">MARIA C DA SILVA</t>
  </si>
  <si>
    <t xml:space="preserve">SUPERMERCADO DUARTE LTDA</t>
  </si>
  <si>
    <t xml:space="preserve">MANOEL DA COSTA LIMA</t>
  </si>
  <si>
    <t xml:space="preserve">FARMA VIDA LTDA</t>
  </si>
  <si>
    <t xml:space="preserve">INOCENCIA</t>
  </si>
  <si>
    <t xml:space="preserve">ALEXANDRE BATISTA GA</t>
  </si>
  <si>
    <t xml:space="preserve">A08</t>
  </si>
  <si>
    <t xml:space="preserve">MERCADO ALIANCA EIRELI</t>
  </si>
  <si>
    <t xml:space="preserve">EULINA PAULA ROCHA</t>
  </si>
  <si>
    <t xml:space="preserve">RENATA BARBOSA NOGUEIRA</t>
  </si>
  <si>
    <t xml:space="preserve">NIOAQUE</t>
  </si>
  <si>
    <t xml:space="preserve">VISCONDE DE TAUNAY</t>
  </si>
  <si>
    <t xml:space="preserve">SUPERMERCADO FERNANDES M</t>
  </si>
  <si>
    <t xml:space="preserve">COLOMBO</t>
  </si>
  <si>
    <t xml:space="preserve">BRAULIO CACERES</t>
  </si>
  <si>
    <t xml:space="preserve">THYAGO ALVES BEIJO</t>
  </si>
  <si>
    <t xml:space="preserve">FANOEL DO OURO</t>
  </si>
  <si>
    <t xml:space="preserve">RUA JOSE BATISTA DA</t>
  </si>
  <si>
    <t xml:space="preserve">FRANCISCO FERREIRA BARBO</t>
  </si>
  <si>
    <t xml:space="preserve">GOVERNADOR PEDRO PED</t>
  </si>
  <si>
    <t xml:space="preserve">TREVO ALIMENTOS LTDA</t>
  </si>
  <si>
    <t xml:space="preserve">RUA DOUTOR NICOLA CA</t>
  </si>
  <si>
    <t xml:space="preserve">MINI MERCADO CENTRAL LTD</t>
  </si>
  <si>
    <t xml:space="preserve">RUA RUI BARBOSA</t>
  </si>
  <si>
    <t xml:space="preserve">BRUNO HENRIQUE SCHREINER</t>
  </si>
  <si>
    <t xml:space="preserve">LUCILENE SOCORRO DE VERG</t>
  </si>
  <si>
    <t xml:space="preserve">RUA ANACA</t>
  </si>
  <si>
    <t xml:space="preserve">CAMPOS COMERCIO E SERVIC</t>
  </si>
  <si>
    <t xml:space="preserve">RUA CACHOEIRA DO CAM</t>
  </si>
  <si>
    <t xml:space="preserve">NELDAIR JOSE VANUCCHI</t>
  </si>
  <si>
    <t xml:space="preserve">MERCADO IPORA LTDA</t>
  </si>
  <si>
    <t xml:space="preserve">RUA ANDORINHA</t>
  </si>
  <si>
    <t xml:space="preserve">IVC REPRESENTACAO COMERC</t>
  </si>
  <si>
    <t xml:space="preserve">ANTONIO OTONI</t>
  </si>
  <si>
    <t xml:space="preserve">MERCADO KIBACANA LTDA</t>
  </si>
  <si>
    <t xml:space="preserve">AVENIDA  PEDRO MANVA</t>
  </si>
  <si>
    <t xml:space="preserve">FERREIRA COM VAREJ MERC</t>
  </si>
  <si>
    <t xml:space="preserve">JOSE PEREIRA</t>
  </si>
  <si>
    <t xml:space="preserve">MARIA SIMAILDE DE MELO M</t>
  </si>
  <si>
    <t xml:space="preserve">AMERICO DE SOUZA BRI</t>
  </si>
  <si>
    <t xml:space="preserve">IRMAOS GP COMERCIO E REP</t>
  </si>
  <si>
    <t xml:space="preserve">VIRGINIA FERREIRA</t>
  </si>
  <si>
    <t xml:space="preserve">SOCOLOSKI SUPERMERCADO E</t>
  </si>
  <si>
    <t xml:space="preserve">MUNDO NOVO</t>
  </si>
  <si>
    <t xml:space="preserve">AV CAMPO  GRANDE</t>
  </si>
  <si>
    <t xml:space="preserve">MANSUR LOPES DUARTE</t>
  </si>
  <si>
    <t xml:space="preserve">RUA BARAO DO RIO BRA</t>
  </si>
  <si>
    <t xml:space="preserve">SUPERMERCADO PAGUE MENOS</t>
  </si>
  <si>
    <t xml:space="preserve">RUI BARBOSA</t>
  </si>
  <si>
    <t xml:space="preserve">JANETE ARAUJO MORI ME</t>
  </si>
  <si>
    <t xml:space="preserve">RUA AFONSO PENA</t>
  </si>
  <si>
    <t xml:space="preserve">F M MORAGA</t>
  </si>
  <si>
    <t xml:space="preserve">MARECHAL DUTRA</t>
  </si>
  <si>
    <t xml:space="preserve">MERCADO RAMOS LTDA ME</t>
  </si>
  <si>
    <t xml:space="preserve">RUA TUPACIGUARA</t>
  </si>
  <si>
    <t xml:space="preserve">MERCADO SABOR DE MEL LTD</t>
  </si>
  <si>
    <t xml:space="preserve">NOVE DE JULHO</t>
  </si>
  <si>
    <t xml:space="preserve">SUPERMERCADO NANTES LTDA</t>
  </si>
  <si>
    <t xml:space="preserve">RUA ANTONIO REIS COE</t>
  </si>
  <si>
    <t xml:space="preserve">W J ALIMENTOS EIRELI</t>
  </si>
  <si>
    <t xml:space="preserve">JOSE HEITOR DE A CAM</t>
  </si>
  <si>
    <t xml:space="preserve">HELO COMERCIO DE ALIMENT</t>
  </si>
  <si>
    <t xml:space="preserve">RUA BRASIL</t>
  </si>
  <si>
    <t xml:space="preserve">PRISCILA OCTACIO DE SOUZ</t>
  </si>
  <si>
    <t xml:space="preserve">SEBASTIAO ESTANISLAU</t>
  </si>
  <si>
    <t xml:space="preserve">MERCADO REI DOS REIS LTD</t>
  </si>
  <si>
    <t xml:space="preserve">JOAO BATISTA PARREIR</t>
  </si>
  <si>
    <t xml:space="preserve">L A ROCHA LTDA</t>
  </si>
  <si>
    <t xml:space="preserve">RUA TREMEMBE</t>
  </si>
  <si>
    <t xml:space="preserve">VALDIRENE DUTRA CARDOSO</t>
  </si>
  <si>
    <t xml:space="preserve">MERCADO MILENA LTDA</t>
  </si>
  <si>
    <t xml:space="preserve">RUA DAS VALQUIRIAS</t>
  </si>
  <si>
    <t xml:space="preserve">ALIMENTOS FLOR DO VALE 3</t>
  </si>
  <si>
    <t xml:space="preserve">AVENIDA ALCIDES MENE</t>
  </si>
  <si>
    <t xml:space="preserve">BARATAO SUPERMERCADO LTD</t>
  </si>
  <si>
    <t xml:space="preserve">RUA LOURDES</t>
  </si>
  <si>
    <t xml:space="preserve">MERCADO FENIX EIRELI ME</t>
  </si>
  <si>
    <t xml:space="preserve">RUA SIDNEY COELHO NO</t>
  </si>
  <si>
    <t xml:space="preserve">C J VECCHI EIRELI  ME</t>
  </si>
  <si>
    <t xml:space="preserve">HORMINDO ALVES PEREI</t>
  </si>
  <si>
    <t xml:space="preserve">JAMILET SCARLEN CUELLAR</t>
  </si>
  <si>
    <t xml:space="preserve">RUA SAO PAULO</t>
  </si>
  <si>
    <t xml:space="preserve">YINA MARIBEL CHUQUIMIA M</t>
  </si>
  <si>
    <t xml:space="preserve">UNIAO COMERCIO DE ALIMEN</t>
  </si>
  <si>
    <t xml:space="preserve">ANTONIO AMARO DE MAT</t>
  </si>
  <si>
    <t xml:space="preserve">TONIAZZO E TONIAZZO LTDA</t>
  </si>
  <si>
    <t xml:space="preserve">NUNES E SOUZA LTDA</t>
  </si>
  <si>
    <t xml:space="preserve">ANTONIO J MOURA ANDR</t>
  </si>
  <si>
    <t xml:space="preserve">PEREIRA E CIA LTDA</t>
  </si>
  <si>
    <t xml:space="preserve">RUA MILTON MODESTO</t>
  </si>
  <si>
    <t xml:space="preserve">M A DA SILVA PRODUTOS AL</t>
  </si>
  <si>
    <t xml:space="preserve">AFLUENTE</t>
  </si>
  <si>
    <t xml:space="preserve">EDUARDO RAMOS RIBEIRO</t>
  </si>
  <si>
    <t xml:space="preserve">INDIANAPOLIS</t>
  </si>
  <si>
    <t xml:space="preserve">ERNESTINA MACHACA HUANCA</t>
  </si>
  <si>
    <t xml:space="preserve">RUA RIACHUELO</t>
  </si>
  <si>
    <t xml:space="preserve">CAROLINE LUCATO ME</t>
  </si>
  <si>
    <t xml:space="preserve">CAARAPO</t>
  </si>
  <si>
    <t xml:space="preserve">M S S DE ALMEIDA ME</t>
  </si>
  <si>
    <t xml:space="preserve">R ANTARES</t>
  </si>
  <si>
    <t xml:space="preserve">MGC RODRIGUES EIRELI-ME</t>
  </si>
  <si>
    <t xml:space="preserve">RUA MARIA GUILHERMIN</t>
  </si>
  <si>
    <t xml:space="preserve">MPB COMERCIO DE ALIMENTO</t>
  </si>
  <si>
    <t xml:space="preserve">CORONEL SEBASTIAO LI</t>
  </si>
  <si>
    <t xml:space="preserve">REGINA LIMA PORTELA EIRE</t>
  </si>
  <si>
    <t xml:space="preserve">RUA BATISTA AZEVEDO</t>
  </si>
  <si>
    <t xml:space="preserve">SUPERMERCADO E ACOUGUE V</t>
  </si>
  <si>
    <t xml:space="preserve">AVE EUGENIO PENZO 12</t>
  </si>
  <si>
    <t xml:space="preserve">MERCADO ALTONIA LTDA</t>
  </si>
  <si>
    <t xml:space="preserve">ELVIRA PACHECO SAPAI</t>
  </si>
  <si>
    <t xml:space="preserve">AV OTAVIANO CORREA</t>
  </si>
  <si>
    <t xml:space="preserve">JAQUELINE DE ALENCAR PUL</t>
  </si>
  <si>
    <t xml:space="preserve">RUA CANAA</t>
  </si>
  <si>
    <t xml:space="preserve">ANTONIO BATISTA PEREIRA</t>
  </si>
  <si>
    <t xml:space="preserve">JURACY LUIZ DE CASTR</t>
  </si>
  <si>
    <t xml:space="preserve">MERCADO SHEBA LTDA</t>
  </si>
  <si>
    <t xml:space="preserve">JARAGUARI</t>
  </si>
  <si>
    <t xml:space="preserve">RUA JOSE SERAFIM RIB</t>
  </si>
  <si>
    <t xml:space="preserve">VALERIA APARECIDA MORTEN</t>
  </si>
  <si>
    <t xml:space="preserve">JAPORA</t>
  </si>
  <si>
    <t xml:space="preserve">DEPUTADO FERNANDO SA</t>
  </si>
  <si>
    <t xml:space="preserve">R DE S MENDES LTDA</t>
  </si>
  <si>
    <t xml:space="preserve">RUA COMANDANTE SOUZA</t>
  </si>
  <si>
    <t xml:space="preserve">CARLOS ADRIANO LIRA ALBE</t>
  </si>
  <si>
    <t xml:space="preserve">DOURADINA</t>
  </si>
  <si>
    <t xml:space="preserve">PRESIDENTE DUTRA</t>
  </si>
  <si>
    <t xml:space="preserve">LUCAS PACARA ADRIAN</t>
  </si>
  <si>
    <t xml:space="preserve"> RUA GONCALVES DIAS</t>
  </si>
  <si>
    <t xml:space="preserve">ELZA FERNANDES QUINHONES</t>
  </si>
  <si>
    <t xml:space="preserve">TACURU</t>
  </si>
  <si>
    <t xml:space="preserve">AV FRANCISCO SEREJO</t>
  </si>
  <si>
    <t xml:space="preserve">JOSE CARLOS DA SILVA</t>
  </si>
  <si>
    <t xml:space="preserve">JORNALISTA MARCIA ME</t>
  </si>
  <si>
    <t xml:space="preserve">ECR COMERCIO DE PRODUTOS</t>
  </si>
  <si>
    <t xml:space="preserve">RUA SANTA TEREZINHA</t>
  </si>
  <si>
    <t xml:space="preserve">ALIMENTOS FLOR DO VALE I</t>
  </si>
  <si>
    <t xml:space="preserve">JOAQUIM SAMPAIO NETO</t>
  </si>
  <si>
    <t xml:space="preserve">SUPERMERCADO JATEI LTDA</t>
  </si>
  <si>
    <t xml:space="preserve">JATEI</t>
  </si>
  <si>
    <t xml:space="preserve">AV WEIMAR G TORRES</t>
  </si>
  <si>
    <t xml:space="preserve">EVERTON HONORIO DA SILVA</t>
  </si>
  <si>
    <t xml:space="preserve">ITAPORA</t>
  </si>
  <si>
    <t xml:space="preserve"> RUA PAULO YUTAKA MI</t>
  </si>
  <si>
    <t xml:space="preserve">UEMURA E SANCHES LTDA ME</t>
  </si>
  <si>
    <t xml:space="preserve">RUA PERNAMBUCANA</t>
  </si>
  <si>
    <t xml:space="preserve">ANA CRISTINA ALVES DE AR</t>
  </si>
  <si>
    <t xml:space="preserve">RUA EDMUNDO DE ALMEI</t>
  </si>
  <si>
    <t xml:space="preserve">MINI MERCADO POR DO SOL</t>
  </si>
  <si>
    <t xml:space="preserve">RUA PROFESSOR JOAO P</t>
  </si>
  <si>
    <t xml:space="preserve">SELMA ROSA FERREIRA RAPO</t>
  </si>
  <si>
    <t xml:space="preserve">AV. CUIABA</t>
  </si>
  <si>
    <t xml:space="preserve">H24</t>
  </si>
  <si>
    <t xml:space="preserve">A M DE MATOS LTDA</t>
  </si>
  <si>
    <t xml:space="preserve">ELAINE APARECIDA GUIRELL</t>
  </si>
  <si>
    <t xml:space="preserve">RUA ANTONIO ESTEVAN</t>
  </si>
  <si>
    <t xml:space="preserve">SERENA E CIA LTDA</t>
  </si>
  <si>
    <t xml:space="preserve">CARACOL</t>
  </si>
  <si>
    <t xml:space="preserve">AVENIDA BRASIL</t>
  </si>
  <si>
    <t xml:space="preserve">S I VERON LTDA</t>
  </si>
  <si>
    <t xml:space="preserve">DISTRITO NOVA ITAMAR</t>
  </si>
  <si>
    <t xml:space="preserve">ALMEIDA CONVENIENCIAS LT</t>
  </si>
  <si>
    <t xml:space="preserve">INDIANOPOLIS</t>
  </si>
  <si>
    <t xml:space="preserve">DML COMERCIO DE ALIMENTO</t>
  </si>
  <si>
    <t xml:space="preserve">AVENIDA ANTONIO TEOD</t>
  </si>
  <si>
    <t xml:space="preserve">PANDOLFO MINIMERCADO LTD</t>
  </si>
  <si>
    <t xml:space="preserve">GONCALVES DIAS</t>
  </si>
  <si>
    <t xml:space="preserve">MERCADO FAVORITO DE COXI</t>
  </si>
  <si>
    <t xml:space="preserve">AV GASPAR RIES COELH</t>
  </si>
  <si>
    <t xml:space="preserve">MERCADO E PANIFICADORA P</t>
  </si>
  <si>
    <t xml:space="preserve">AVENIDA FRANCISCO NE</t>
  </si>
  <si>
    <t xml:space="preserve">MINIMERCADO SOLDERA EIRE</t>
  </si>
  <si>
    <t xml:space="preserve">FRANCISCO MARCOLINO</t>
  </si>
  <si>
    <t xml:space="preserve">COPACABANA SUPERMERCADO</t>
  </si>
  <si>
    <t xml:space="preserve">AV ANTONIO TRAJANO D</t>
  </si>
  <si>
    <t xml:space="preserve">DOMINGOS JORGE VELHO</t>
  </si>
  <si>
    <t xml:space="preserve">STHEFANI KAROLINE ZORRIL</t>
  </si>
  <si>
    <t xml:space="preserve">RUA ANTONIEL CARDOSO</t>
  </si>
  <si>
    <t xml:space="preserve">FRIORAMA ATACADO E VAREJ</t>
  </si>
  <si>
    <t xml:space="preserve">RUA TIRADENTES</t>
  </si>
  <si>
    <t xml:space="preserve">ARY SERENA E CIA LTDA</t>
  </si>
  <si>
    <t xml:space="preserve">RUA BARAO DO LADARIO</t>
  </si>
  <si>
    <t xml:space="preserve">EVANDRO NUNES DE ALMEIDA</t>
  </si>
  <si>
    <t xml:space="preserve">PADRE LUIZ PASA</t>
  </si>
  <si>
    <t xml:space="preserve">COMERCIAL FHS DE GENEROS</t>
  </si>
  <si>
    <t xml:space="preserve">ARAPONGAS SUPERMERCADO E</t>
  </si>
  <si>
    <t xml:space="preserve">RUA NAVIRAI</t>
  </si>
  <si>
    <t xml:space="preserve">HQM COMERCIO DE ALIMENTO</t>
  </si>
  <si>
    <t xml:space="preserve">RUA JOAO CARRATO</t>
  </si>
  <si>
    <t xml:space="preserve">COMERCIO DE ALIMENTOS PL</t>
  </si>
  <si>
    <t xml:space="preserve">RODOVIA MS 164 KM 50</t>
  </si>
  <si>
    <t xml:space="preserve">MARCILIO ALVARO BENEDITO</t>
  </si>
  <si>
    <t xml:space="preserve">NOVO HORIZONTE</t>
  </si>
  <si>
    <t xml:space="preserve">MARCOS FREIRE</t>
  </si>
  <si>
    <t xml:space="preserve">FABRICIO COSTA DO AMARAL</t>
  </si>
  <si>
    <t xml:space="preserve">ALBA CANDIDA P DA SI</t>
  </si>
  <si>
    <t xml:space="preserve">AMADA BENITEZ VALLEJOS</t>
  </si>
  <si>
    <t xml:space="preserve">EDMILSON MARQUES CHARAO</t>
  </si>
  <si>
    <t xml:space="preserve">AVENIDA BAOBA</t>
  </si>
  <si>
    <t xml:space="preserve">LUX COMERCIO E SERVICOS</t>
  </si>
  <si>
    <t xml:space="preserve">RUA DONA TERESA CRIS</t>
  </si>
  <si>
    <t xml:space="preserve">A06</t>
  </si>
  <si>
    <t xml:space="preserve">E R STORARI</t>
  </si>
  <si>
    <t xml:space="preserve">HORTENCIA</t>
  </si>
  <si>
    <t xml:space="preserve">ELAINE CRISTINA DO CARMO</t>
  </si>
  <si>
    <t xml:space="preserve">VALINHOS</t>
  </si>
  <si>
    <t xml:space="preserve">MERCADO HR LTDA</t>
  </si>
  <si>
    <t xml:space="preserve">MARECHAL CANDIDO RON</t>
  </si>
  <si>
    <t xml:space="preserve">V LUNARDELLO DA SILVA LT</t>
  </si>
  <si>
    <t xml:space="preserve">RUA PRESIDENTE VARGA</t>
  </si>
  <si>
    <t xml:space="preserve">ESMERALDO MALUF</t>
  </si>
  <si>
    <t xml:space="preserve">EDICARLOS GARCIA ME</t>
  </si>
  <si>
    <t xml:space="preserve">AVENIDA CLODOALDO GA</t>
  </si>
  <si>
    <t xml:space="preserve">GONCALVES E CRUZ LTDA</t>
  </si>
  <si>
    <t xml:space="preserve">DAS BANDEIRAS</t>
  </si>
  <si>
    <t xml:space="preserve">IRMAOS SARRUF LTDA</t>
  </si>
  <si>
    <t xml:space="preserve">ELAINE MARIA ALMEIDA ME</t>
  </si>
  <si>
    <t xml:space="preserve">BANDEIRANTES</t>
  </si>
  <si>
    <t xml:space="preserve">COMERCIO DE ALIMENTOS MA</t>
  </si>
  <si>
    <t xml:space="preserve">AV SAO NICOLAU</t>
  </si>
  <si>
    <t xml:space="preserve">MERCEARIA FILLIPPI LTDA</t>
  </si>
  <si>
    <t xml:space="preserve">RUA GALO DA SERRA 40</t>
  </si>
  <si>
    <t xml:space="preserve">D C PRODUTOS ALIMENTICIO</t>
  </si>
  <si>
    <t xml:space="preserve">RUA JOSE EVARISTO DE</t>
  </si>
  <si>
    <t xml:space="preserve">ARAPONGAS SUPERMERCADOS</t>
  </si>
  <si>
    <t xml:space="preserve">RUA ABRAO JULIO RAHE</t>
  </si>
  <si>
    <t xml:space="preserve">ASSIS PASSOS E CIA LTDA</t>
  </si>
  <si>
    <t xml:space="preserve">RIO GRANDE DO SUL</t>
  </si>
  <si>
    <t xml:space="preserve">PAULO HENRIQUE PARO GIME</t>
  </si>
  <si>
    <t xml:space="preserve">OTAVIO SIGEFREDO ROR</t>
  </si>
  <si>
    <t xml:space="preserve">RD VARIEDADES LTDA</t>
  </si>
  <si>
    <t xml:space="preserve">RUA JORNALISTA VICEN</t>
  </si>
  <si>
    <t xml:space="preserve">SANTOS E LOUVEIRO LTDA</t>
  </si>
  <si>
    <t xml:space="preserve">R ANTONIO DE MORAIS</t>
  </si>
  <si>
    <t xml:space="preserve">DOUTOR OLAVO VILELLA</t>
  </si>
  <si>
    <t xml:space="preserve">DANILO PALAORO NETO - ME</t>
  </si>
  <si>
    <t xml:space="preserve">AV VISCONDE DE TAUNA</t>
  </si>
  <si>
    <t xml:space="preserve">JOSE CICERO DA SILVA MER</t>
  </si>
  <si>
    <t xml:space="preserve">GENTIL BARBOSA DE CA</t>
  </si>
  <si>
    <t xml:space="preserve">MANSUR LOPES DUARTE EIRE</t>
  </si>
  <si>
    <t xml:space="preserve">GAL AMARO BITENCOURT</t>
  </si>
  <si>
    <t xml:space="preserve">MARCIANO BORTOLI</t>
  </si>
  <si>
    <t xml:space="preserve">RUA PERNAMBUCO</t>
  </si>
  <si>
    <t xml:space="preserve">IRMAS RODRIGUES OLIVEIRA</t>
  </si>
  <si>
    <t xml:space="preserve">AV TAMER GELELAITE</t>
  </si>
  <si>
    <t xml:space="preserve">MADRE SILVA</t>
  </si>
  <si>
    <t xml:space="preserve">WF FERREIRA DE MELO LTDA</t>
  </si>
  <si>
    <t xml:space="preserve">RUA SERRA DAS ARARAS</t>
  </si>
  <si>
    <t xml:space="preserve">MERCADO E ACOUGUE BIG FR</t>
  </si>
  <si>
    <t xml:space="preserve">SANTO AUGUSTO</t>
  </si>
  <si>
    <t xml:space="preserve">SILVA E XAVIER LTDA</t>
  </si>
  <si>
    <t xml:space="preserve">JOSE DE LA PAZ ORTIZ</t>
  </si>
  <si>
    <t xml:space="preserve">CLEUZA MARQUES DUTRA MAS</t>
  </si>
  <si>
    <t xml:space="preserve">MANOEL DE FARIA DUQU</t>
  </si>
  <si>
    <t xml:space="preserve">MSP PRODUTOS ALIMENTICIO</t>
  </si>
  <si>
    <t xml:space="preserve">VT PARANA SUPERMERCADO L</t>
  </si>
  <si>
    <t xml:space="preserve">MERCADO VILA NOVA LTDA</t>
  </si>
  <si>
    <t xml:space="preserve">EGYDIO THOME</t>
  </si>
  <si>
    <t xml:space="preserve">CONVENIENCIA AVENIDA TRE</t>
  </si>
  <si>
    <t xml:space="preserve">RODOVIA MARTIM ROCHA</t>
  </si>
  <si>
    <t xml:space="preserve">SACCHI E CIA COM DE ALIM</t>
  </si>
  <si>
    <t xml:space="preserve">ABRAAO ANACHE</t>
  </si>
  <si>
    <t xml:space="preserve">VITAEURO COMERCIO DE ALI</t>
  </si>
  <si>
    <t xml:space="preserve">SANTA CATARINA</t>
  </si>
  <si>
    <t xml:space="preserve">SALLES E SALLES LTDA</t>
  </si>
  <si>
    <t xml:space="preserve">AV RODEO DRIVE</t>
  </si>
  <si>
    <t xml:space="preserve">EXPRESSO MERCADO E CONVE</t>
  </si>
  <si>
    <t xml:space="preserve"> RUA SECUNDINO JUSTI</t>
  </si>
  <si>
    <t xml:space="preserve">MINI MERCADO ODNEY LTDA</t>
  </si>
  <si>
    <t xml:space="preserve">RUA EVARISTO ROBERTO</t>
  </si>
  <si>
    <t xml:space="preserve">COMERCIO DO SILVA COMERC</t>
  </si>
  <si>
    <t xml:space="preserve">RUA LAGOA DA PRATA</t>
  </si>
  <si>
    <t xml:space="preserve">MERCADO PEG PAG LTDA</t>
  </si>
  <si>
    <t xml:space="preserve">RUA ROMUALDO AFONSO</t>
  </si>
  <si>
    <t xml:space="preserve">MERCADINHO MONTEZE LTDA</t>
  </si>
  <si>
    <t xml:space="preserve">AVE CASTRO ALVES</t>
  </si>
  <si>
    <t xml:space="preserve">ENA CASA DE CARNES E CON</t>
  </si>
  <si>
    <t xml:space="preserve">AVENIDA 2</t>
  </si>
  <si>
    <t xml:space="preserve">ELIANE CASTAGNAZZI DA FO</t>
  </si>
  <si>
    <t xml:space="preserve">ANDRE LOYER</t>
  </si>
  <si>
    <t xml:space="preserve">ARCELINA MOSCOSO BASTOS</t>
  </si>
  <si>
    <t xml:space="preserve">REPUBLICA DO PARAGUA</t>
  </si>
  <si>
    <t xml:space="preserve">SCHWINN E CIA LTDA</t>
  </si>
  <si>
    <t xml:space="preserve">INDEPENDENCIA</t>
  </si>
  <si>
    <t xml:space="preserve">MERCADO AZUL LTDA</t>
  </si>
  <si>
    <t xml:space="preserve">LETICIA ZANETTI BARR</t>
  </si>
  <si>
    <t xml:space="preserve">RUA DIVA FERREIRA</t>
  </si>
  <si>
    <t xml:space="preserve">S E OLIVEIRA AVILA E CIA</t>
  </si>
  <si>
    <t xml:space="preserve">QUATORZE DE JULHO</t>
  </si>
  <si>
    <t xml:space="preserve">A M DE MATOS EIRELI ME</t>
  </si>
  <si>
    <t xml:space="preserve">AV MATO GROSSO</t>
  </si>
  <si>
    <t xml:space="preserve">G REGENOLD NETO ME</t>
  </si>
  <si>
    <t xml:space="preserve">21 DE SETEMBRO</t>
  </si>
  <si>
    <t xml:space="preserve">SUPERMERCADO ECONOMIA LT</t>
  </si>
  <si>
    <t xml:space="preserve">VINTE E TRES</t>
  </si>
  <si>
    <t xml:space="preserve">MARIA ROSA ALVES</t>
  </si>
  <si>
    <t xml:space="preserve">MARCILIO DIAS</t>
  </si>
  <si>
    <t xml:space="preserve">S G CARDOSO LTDA</t>
  </si>
  <si>
    <t xml:space="preserve">A07</t>
  </si>
  <si>
    <t xml:space="preserve">MERC CASA DE CARNE FERRE</t>
  </si>
  <si>
    <t xml:space="preserve">MARQUES DE HERVAL</t>
  </si>
  <si>
    <t xml:space="preserve">GARCIA E GARCIA UTILID D</t>
  </si>
  <si>
    <t xml:space="preserve">RUA QUIXERAMOBIM</t>
  </si>
  <si>
    <t xml:space="preserve">D S NASCIMENTO</t>
  </si>
  <si>
    <t xml:space="preserve">LIRIO DA PAZ</t>
  </si>
  <si>
    <t xml:space="preserve">SIRLENE R ROSSI DA SILVA</t>
  </si>
  <si>
    <t xml:space="preserve">PEDRO MANVAILER</t>
  </si>
  <si>
    <t xml:space="preserve">VALDIRENE CARDOZO DUTRA</t>
  </si>
  <si>
    <t xml:space="preserve">AVENIDA CORONEL VALE</t>
  </si>
  <si>
    <t xml:space="preserve">GENESI ALVES DE OLIVEIRA</t>
  </si>
  <si>
    <t xml:space="preserve">SUPERMERCADO PIRACEMA LT</t>
  </si>
  <si>
    <t xml:space="preserve">FEDERAL</t>
  </si>
  <si>
    <t xml:space="preserve">DANIELA CRISTINA DOS SAN</t>
  </si>
  <si>
    <t xml:space="preserve">MARIA GUILHERMINA ES</t>
  </si>
  <si>
    <t xml:space="preserve">IZIDRO CANDIA</t>
  </si>
  <si>
    <t xml:space="preserve">RUA ENEDINA PEREIRA</t>
  </si>
  <si>
    <t xml:space="preserve">PAULO QUEVEDO</t>
  </si>
  <si>
    <t xml:space="preserve">RUA GUALTER BARBOSA</t>
  </si>
  <si>
    <t xml:space="preserve">JULIAO DE LIMA MAIA</t>
  </si>
  <si>
    <t xml:space="preserve">JOAO PEDRO LOURO MARTINS</t>
  </si>
  <si>
    <t xml:space="preserve">RODOVIA MS 275</t>
  </si>
  <si>
    <t xml:space="preserve">MERCADO TEIXEIRA 2 LTDA</t>
  </si>
  <si>
    <t xml:space="preserve">RUA JOAO RIGONATO</t>
  </si>
  <si>
    <t xml:space="preserve">NELIDA CRUZ LLUSCO</t>
  </si>
  <si>
    <t xml:space="preserve">MERCADO FORTALEZA LTDA</t>
  </si>
  <si>
    <t xml:space="preserve">GENY</t>
  </si>
  <si>
    <t xml:space="preserve">RUA PLANALTINA</t>
  </si>
  <si>
    <t xml:space="preserve">MERCADO AMAMBAI LTDA</t>
  </si>
  <si>
    <t xml:space="preserve">CASSIANO MARCELO</t>
  </si>
  <si>
    <t xml:space="preserve">MERKADORES COMERCIO DE P</t>
  </si>
  <si>
    <t xml:space="preserve">RUA MARACAJU</t>
  </si>
  <si>
    <t xml:space="preserve">COMERCIAL ALIMENTOS THOM</t>
  </si>
  <si>
    <t xml:space="preserve">MINAS NOVAS</t>
  </si>
  <si>
    <t xml:space="preserve">THALINY DIAS RIBEIRO</t>
  </si>
  <si>
    <t xml:space="preserve">RUA RIO PARANA</t>
  </si>
  <si>
    <t xml:space="preserve">CATARINENSE COM DE FRIOS</t>
  </si>
  <si>
    <t xml:space="preserve">RUA SEBASTIAO LIMA</t>
  </si>
  <si>
    <t xml:space="preserve">RAMONA MOREIRA FERNANDES</t>
  </si>
  <si>
    <t xml:space="preserve">60</t>
  </si>
  <si>
    <t xml:space="preserve">RCJ COMERCIO DE PRODUTOS</t>
  </si>
  <si>
    <t xml:space="preserve">MAJOR CAPILE</t>
  </si>
  <si>
    <t xml:space="preserve">DORIVAL BERSANI ME</t>
  </si>
  <si>
    <t xml:space="preserve">JOAQUIM FERNANDES DA</t>
  </si>
  <si>
    <t xml:space="preserve">MERCADO CARVALHO LTDA ME</t>
  </si>
  <si>
    <t xml:space="preserve">J L L  LANCHES E REFEICO</t>
  </si>
  <si>
    <t xml:space="preserve">AVENIDA REDENTOR</t>
  </si>
  <si>
    <t xml:space="preserve">ROSA DALVA WALTER BERTAN</t>
  </si>
  <si>
    <t xml:space="preserve">RUA PIRAPUTANGA</t>
  </si>
  <si>
    <t xml:space="preserve">GUILHERME CICERO DA SILV</t>
  </si>
  <si>
    <t xml:space="preserve">R HELIO MARTINEZ JUN</t>
  </si>
  <si>
    <t xml:space="preserve">BAENA E CIA LTDA</t>
  </si>
  <si>
    <t xml:space="preserve">FRANCISMAR ALBUQUERQUE C</t>
  </si>
  <si>
    <t xml:space="preserve">MAURICIO DIOGO DE OLIVEI</t>
  </si>
  <si>
    <t xml:space="preserve">AV GOIAS</t>
  </si>
  <si>
    <t xml:space="preserve">ARAPONGAS SUPERMERCADO L</t>
  </si>
  <si>
    <t xml:space="preserve">RUA AMAZONAS</t>
  </si>
  <si>
    <t xml:space="preserve">IVANETE CARVALHO SOUZA</t>
  </si>
  <si>
    <t xml:space="preserve">ZENALIA DIAS SERAFIM</t>
  </si>
  <si>
    <t xml:space="preserve">URIAS RIBEIRO</t>
  </si>
  <si>
    <t xml:space="preserve">BARAO DO RIO BRANCO</t>
  </si>
  <si>
    <t xml:space="preserve">J S OLIVEIRA</t>
  </si>
  <si>
    <t xml:space="preserve">GENERAL ALBERTO CARL</t>
  </si>
  <si>
    <t xml:space="preserve">LIRA E RUFINO LTDA ME</t>
  </si>
  <si>
    <t xml:space="preserve">E M COSTA</t>
  </si>
  <si>
    <t xml:space="preserve">RUA EMANOEL PINHEIRO</t>
  </si>
  <si>
    <t xml:space="preserve">COMERCIO DE BEBIDAS LAUR</t>
  </si>
  <si>
    <t xml:space="preserve">QUINHEIRA</t>
  </si>
  <si>
    <t xml:space="preserve">LAINA RAMIRES PINHEIRO</t>
  </si>
  <si>
    <t xml:space="preserve">CONVENIENCIA CAMARGO EIR</t>
  </si>
  <si>
    <t xml:space="preserve">RUA CAMBUCISEIRO</t>
  </si>
  <si>
    <t xml:space="preserve">FRED CONVENIENCIA LTDA</t>
  </si>
  <si>
    <t xml:space="preserve">AVENIDA DOUTOR GUNTE</t>
  </si>
  <si>
    <t xml:space="preserve">EDENIR TAGARA MARECO</t>
  </si>
  <si>
    <t xml:space="preserve">RUA MARIA DE JESUS C</t>
  </si>
  <si>
    <t xml:space="preserve">DOMINGUES CONVENIENCIAS</t>
  </si>
  <si>
    <t xml:space="preserve">RUA ARAGUACEMA</t>
  </si>
  <si>
    <t xml:space="preserve">RUA ELDORADO</t>
  </si>
  <si>
    <t xml:space="preserve">JOSE CARLOS RODRIGUES SA</t>
  </si>
  <si>
    <t xml:space="preserve">SETE PHARMA 3 LTDA</t>
  </si>
  <si>
    <t xml:space="preserve">RUA URIAS RIBEIRO</t>
  </si>
  <si>
    <t xml:space="preserve">LOURO E MARQUES LTDA</t>
  </si>
  <si>
    <t xml:space="preserve">GERMINO MACHADO FEIT</t>
  </si>
  <si>
    <t xml:space="preserve">YPE SUPERMERCADO</t>
  </si>
  <si>
    <t xml:space="preserve">CEL PILAD DE REBUA</t>
  </si>
  <si>
    <t xml:space="preserve">GESSI DOS SANTOS SALOMAO</t>
  </si>
  <si>
    <t xml:space="preserve">DIAMANTINO</t>
  </si>
  <si>
    <t xml:space="preserve">CORREA MERC E COM VAREJI</t>
  </si>
  <si>
    <t xml:space="preserve">TRAVESSA SANTIAGO</t>
  </si>
  <si>
    <t xml:space="preserve">MERCADO VIANA LTDA.</t>
  </si>
  <si>
    <t xml:space="preserve">RUA ANTONIO DE SOUZA</t>
  </si>
  <si>
    <t xml:space="preserve">LEVE FACIL DISTRIBUIDORA</t>
  </si>
  <si>
    <t xml:space="preserve">AVENIDA JARY MERCANT</t>
  </si>
  <si>
    <t xml:space="preserve">COMERCIAL LUNARDI DE ALI</t>
  </si>
  <si>
    <t xml:space="preserve">AVENIDA ZULMIRA BORB</t>
  </si>
  <si>
    <t xml:space="preserve">JC COMERCIO DE PRODUTOS</t>
  </si>
  <si>
    <t xml:space="preserve">R BARAO DE LIMEIRA</t>
  </si>
  <si>
    <t xml:space="preserve">MOCCELIN E DIAS LTDA</t>
  </si>
  <si>
    <t xml:space="preserve">AICAS</t>
  </si>
  <si>
    <t xml:space="preserve">OLIVEIRA E SIQUEIRA LTDA</t>
  </si>
  <si>
    <t xml:space="preserve">RUA MUTSUO YONEKAWA</t>
  </si>
  <si>
    <t xml:space="preserve">MERCADO BOLANDO LTDA</t>
  </si>
  <si>
    <t xml:space="preserve">DA FLAUTA</t>
  </si>
  <si>
    <t xml:space="preserve">DANIEL JUNQUEIRA ME</t>
  </si>
  <si>
    <t xml:space="preserve">HALLEY COIMBRA RIBEI</t>
  </si>
  <si>
    <t xml:space="preserve">ODAIR APARECIDO PEREIRA</t>
  </si>
  <si>
    <t xml:space="preserve">DAS ANHUMAS</t>
  </si>
  <si>
    <t xml:space="preserve">V A GOMES E CIA LTDA</t>
  </si>
  <si>
    <t xml:space="preserve">SUPERMERCADO MARAMBAIA L</t>
  </si>
  <si>
    <t xml:space="preserve">AVE NOVE DE JULHO 14</t>
  </si>
  <si>
    <t xml:space="preserve">REGINALDO ANDRADE DE OLI</t>
  </si>
  <si>
    <t xml:space="preserve">DR SEYO TERUYA</t>
  </si>
  <si>
    <t xml:space="preserve">CARMO E SALES LTDA</t>
  </si>
  <si>
    <t xml:space="preserve">MARECHAL RONDON</t>
  </si>
  <si>
    <t xml:space="preserve">DFD COMERCIO DE ALIMENTO</t>
  </si>
  <si>
    <t xml:space="preserve">RUA LAGOA RICA</t>
  </si>
  <si>
    <t xml:space="preserve">ORMEZINDO FERNANDES HOLG</t>
  </si>
  <si>
    <t xml:space="preserve">VX DE NOVEMBRO</t>
  </si>
  <si>
    <t xml:space="preserve">HENRIQUE E HENRIQUE LTDA</t>
  </si>
  <si>
    <t xml:space="preserve">BENJAMIN CONSTANT</t>
  </si>
  <si>
    <t xml:space="preserve">APARECIDA PAREDES AMARIL</t>
  </si>
  <si>
    <t xml:space="preserve">G R PEREIRA</t>
  </si>
  <si>
    <t xml:space="preserve">CLENIR CRISTALDO FERREIR</t>
  </si>
  <si>
    <t xml:space="preserve">RODOVIA BELA VISTA C</t>
  </si>
  <si>
    <t xml:space="preserve">M DE FATIMA DA SILVA EIR</t>
  </si>
  <si>
    <t xml:space="preserve">RUA DOM PEDRO II</t>
  </si>
  <si>
    <t xml:space="preserve">MARIA APARECIDA ARRUDA L</t>
  </si>
  <si>
    <t xml:space="preserve">RUA THEODOMIRO SERRA</t>
  </si>
  <si>
    <t xml:space="preserve">COMERCIAL FLORES LTDA</t>
  </si>
  <si>
    <t xml:space="preserve">RUA TREZE DE JUNHO</t>
  </si>
  <si>
    <t xml:space="preserve">TACHINHA SUPERMERCADO LT</t>
  </si>
  <si>
    <t xml:space="preserve">RUA GERALDO FERREIRA</t>
  </si>
  <si>
    <t xml:space="preserve">ELDER CHRISTIAN RIBEIRO</t>
  </si>
  <si>
    <t xml:space="preserve">INTIHUATANA ROSA MOREIRA</t>
  </si>
  <si>
    <t xml:space="preserve">RUA ELVINO RAMOS NOG</t>
  </si>
  <si>
    <t xml:space="preserve">MASTER SUPERMERCADO LTDA</t>
  </si>
  <si>
    <t xml:space="preserve">CASSILANDIA</t>
  </si>
  <si>
    <t xml:space="preserve">AVENIDA JUSCELINO KU</t>
  </si>
  <si>
    <t xml:space="preserve">RILDO NERI SIMAO E CIA L</t>
  </si>
  <si>
    <t xml:space="preserve">AV MARCOS FREIRE</t>
  </si>
  <si>
    <t xml:space="preserve">JOSE RIBEIRO DA SILVA JU</t>
  </si>
  <si>
    <t xml:space="preserve">AVENIDA D PEDRO II</t>
  </si>
  <si>
    <t xml:space="preserve">A99</t>
  </si>
  <si>
    <t xml:space="preserve">SALOME D GERONIMO</t>
  </si>
  <si>
    <t xml:space="preserve">RUA EDU ROCHA</t>
  </si>
  <si>
    <t xml:space="preserve">MARCOS FERREZ</t>
  </si>
  <si>
    <t xml:space="preserve">VERA LUCIA PISKE SILVA</t>
  </si>
  <si>
    <t xml:space="preserve">SETENTA E SEIS</t>
  </si>
  <si>
    <t xml:space="preserve">ANA MARTA CARDEAL DOS SA</t>
  </si>
  <si>
    <t xml:space="preserve">EZEQUIEL FERREIRA LI</t>
  </si>
  <si>
    <t xml:space="preserve">ROVANILDA MELLO ANTUNES</t>
  </si>
  <si>
    <t xml:space="preserve">VINTE E NOVE</t>
  </si>
  <si>
    <t xml:space="preserve">BUY AT HOME COMERCIO VAR</t>
  </si>
  <si>
    <t xml:space="preserve">CONSUL ASSAF TRAD</t>
  </si>
  <si>
    <t xml:space="preserve">OITO</t>
  </si>
  <si>
    <t xml:space="preserve">LEANDRO RIBEIRO</t>
  </si>
  <si>
    <t xml:space="preserve">TULIO LOUREIRO</t>
  </si>
  <si>
    <t xml:space="preserve">SILVA E VASQUES LTDA</t>
  </si>
  <si>
    <t xml:space="preserve">RUA PAISSANDU</t>
  </si>
  <si>
    <t xml:space="preserve">AGUIMAR MARTINS DA FONSE</t>
  </si>
  <si>
    <t xml:space="preserve">FRANCISCO DE ASSIS R</t>
  </si>
  <si>
    <t xml:space="preserve">MARIA JOSE LIMA</t>
  </si>
  <si>
    <t xml:space="preserve">RAINHA DOS APOSTOLOS</t>
  </si>
  <si>
    <t xml:space="preserve">SUPERMERCADO ARIES LTDA</t>
  </si>
  <si>
    <t xml:space="preserve">ASTURIO LUIZ BRAGA</t>
  </si>
  <si>
    <t xml:space="preserve">SUPERMERCADO ATHENAS LTD</t>
  </si>
  <si>
    <t xml:space="preserve">PEREIRA E GAZOLLA PROD A</t>
  </si>
  <si>
    <t xml:space="preserve">DOS RECIFES</t>
  </si>
  <si>
    <t xml:space="preserve">M F M COMERCIO DE PRODUT</t>
  </si>
  <si>
    <t xml:space="preserve">G C PICININ GONCALVES</t>
  </si>
  <si>
    <t xml:space="preserve">TAQUARUSSU</t>
  </si>
  <si>
    <t xml:space="preserve">GETULIO VARGAS</t>
  </si>
  <si>
    <t xml:space="preserve">YSS SUPERMERCADO LTDA</t>
  </si>
  <si>
    <t xml:space="preserve">EULALIA PIRES</t>
  </si>
  <si>
    <t xml:space="preserve">APARECIDO ALVES DA SILVA</t>
  </si>
  <si>
    <t xml:space="preserve">SOUTO MAIOR</t>
  </si>
  <si>
    <t xml:space="preserve">FRANCISCO DA SILVA FLORE</t>
  </si>
  <si>
    <t xml:space="preserve">DOMINGOS CHAVES</t>
  </si>
  <si>
    <t xml:space="preserve">SUPERMERCADO MARQUES LTD</t>
  </si>
  <si>
    <t xml:space="preserve">GUNTER HANS</t>
  </si>
  <si>
    <t xml:space="preserve">CLAUDIO FERNANDO PAREDES</t>
  </si>
  <si>
    <t xml:space="preserve">ROMANO ROSSATO</t>
  </si>
  <si>
    <t xml:space="preserve">V BIEZON EIRELI - ME</t>
  </si>
  <si>
    <t xml:space="preserve">ACAIA</t>
  </si>
  <si>
    <t xml:space="preserve">CRISTINA APARECIDA OLIVE</t>
  </si>
  <si>
    <t xml:space="preserve">EXPEDICIONARIO JOAO</t>
  </si>
  <si>
    <t xml:space="preserve">HILTON RISSELY FELIPE DE</t>
  </si>
  <si>
    <t xml:space="preserve">SAO JOSE</t>
  </si>
  <si>
    <t xml:space="preserve">ANGELA MENDES DE SOUZA E</t>
  </si>
  <si>
    <t xml:space="preserve">RUA BRAZ CLEMENTINO</t>
  </si>
  <si>
    <t xml:space="preserve">V DE J ALVES LTDA</t>
  </si>
  <si>
    <t xml:space="preserve">AVENIDA VEREADOR AIL</t>
  </si>
  <si>
    <t xml:space="preserve">OLIVEIRA HIPER CENTER LT</t>
  </si>
  <si>
    <t xml:space="preserve">MERCADO BONS AMIGOS LTDA</t>
  </si>
  <si>
    <t xml:space="preserve">FRANCISCO SEREJO NET</t>
  </si>
  <si>
    <t xml:space="preserve">VANDA DE FATIMA FERREIRA</t>
  </si>
  <si>
    <t xml:space="preserve">ROMILDO MILANI GRANGEIRO</t>
  </si>
  <si>
    <t xml:space="preserve">RUA JOSE DELA PAZ OR</t>
  </si>
  <si>
    <t xml:space="preserve">ZENIR DE MACEDO</t>
  </si>
  <si>
    <t xml:space="preserve">RUA JOSE MESQUITA</t>
  </si>
  <si>
    <t xml:space="preserve">VALDOMIRO FRANCISCO DOS</t>
  </si>
  <si>
    <t xml:space="preserve">RUA ALBERTO MARIANO</t>
  </si>
  <si>
    <t xml:space="preserve">CAMILA MARTINES DE MATOS</t>
  </si>
  <si>
    <t xml:space="preserve">PEREIRA BARRETOS</t>
  </si>
  <si>
    <t xml:space="preserve">FABIO LUIZ DE SOUZA</t>
  </si>
  <si>
    <t xml:space="preserve">GLORIA DE DOURADOS</t>
  </si>
  <si>
    <t xml:space="preserve">J A M DE SOUZA ME</t>
  </si>
  <si>
    <t xml:space="preserve">ASSARE</t>
  </si>
  <si>
    <t xml:space="preserve">MINI MERCADO TEIXEIRA EI</t>
  </si>
  <si>
    <t xml:space="preserve">AMELIA FUKUDA</t>
  </si>
  <si>
    <t xml:space="preserve">MATHEUS FORGIARINI DA SI</t>
  </si>
  <si>
    <t xml:space="preserve">RUA MONTE ALEGRE</t>
  </si>
  <si>
    <t xml:space="preserve">UEDER SILVA FEITOSA EIRE</t>
  </si>
  <si>
    <t xml:space="preserve">MARIO MADEIRA</t>
  </si>
  <si>
    <t xml:space="preserve">NANDARA SIMONE DE ALMEID</t>
  </si>
  <si>
    <t xml:space="preserve">JOAQUIM SAO BRAZ DA</t>
  </si>
  <si>
    <t xml:space="preserve">PEDRO CELSO CRUZ ME</t>
  </si>
  <si>
    <t xml:space="preserve">J A COSTA JUNIOR E CIA L</t>
  </si>
  <si>
    <t xml:space="preserve">AV TRES LAGOAS</t>
  </si>
  <si>
    <t xml:space="preserve">ROSANA PEREIRA DOS SANTO</t>
  </si>
  <si>
    <t xml:space="preserve">AV 1</t>
  </si>
  <si>
    <t xml:space="preserve">AMARAL E PUREZA LTDA</t>
  </si>
  <si>
    <t xml:space="preserve">D M DE OLIVEIRA JUNIOR L</t>
  </si>
  <si>
    <t xml:space="preserve">BELO HORIZONTE</t>
  </si>
  <si>
    <t xml:space="preserve">MERCADO LIBRA LTDA</t>
  </si>
  <si>
    <t xml:space="preserve">RUA LEOPOLDINA DE QU</t>
  </si>
  <si>
    <t xml:space="preserve">MATOS E SOLTO LTDA</t>
  </si>
  <si>
    <t xml:space="preserve">MANSOUR CONTAR</t>
  </si>
  <si>
    <t xml:space="preserve">COMERCIO DE ALIMENTOS DA</t>
  </si>
  <si>
    <t xml:space="preserve">RUA JOSE PAES DE FAR</t>
  </si>
  <si>
    <t xml:space="preserve">KEILA DE OLIVEIRA ZANGIR</t>
  </si>
  <si>
    <t xml:space="preserve">AV JOAO PAULO II</t>
  </si>
  <si>
    <t xml:space="preserve">MERCADO LYLLA LTDA</t>
  </si>
  <si>
    <t xml:space="preserve">RUA NOVA ESPERANCA</t>
  </si>
  <si>
    <t xml:space="preserve">BOA SORTE MERCADO E GAS</t>
  </si>
  <si>
    <t xml:space="preserve">RUA JOAQUIM ALVES TA</t>
  </si>
  <si>
    <t xml:space="preserve">SUPERMERCADO LARA LTDA</t>
  </si>
  <si>
    <t xml:space="preserve">RUA ESPIRITO SANTO</t>
  </si>
  <si>
    <t xml:space="preserve">J RIOS GOMES LTDA</t>
  </si>
  <si>
    <t xml:space="preserve">RUA 13 DE SETEMBRO</t>
  </si>
  <si>
    <t xml:space="preserve">SUPER MARIANO</t>
  </si>
  <si>
    <t xml:space="preserve">RUA PASCACIO SILVEIR</t>
  </si>
  <si>
    <t xml:space="preserve">COMERCIAL MATHEUS LTDA</t>
  </si>
  <si>
    <t xml:space="preserve">AVENIDA PREFEITO SIN</t>
  </si>
  <si>
    <t xml:space="preserve">LH MARUYAMA</t>
  </si>
  <si>
    <t xml:space="preserve">RUA EDUARDO PRADO</t>
  </si>
  <si>
    <t xml:space="preserve">AMANDA TAYNAH DA SILVA</t>
  </si>
  <si>
    <t xml:space="preserve">RUA OREADE</t>
  </si>
  <si>
    <t xml:space="preserve">SANDRA CORREA RODRIGUES</t>
  </si>
  <si>
    <t xml:space="preserve">VINTE E SETE DE OUTU</t>
  </si>
  <si>
    <t xml:space="preserve">M G SILVA LTDA</t>
  </si>
  <si>
    <t xml:space="preserve">RUA PROFESSOR ISAAC</t>
  </si>
  <si>
    <t xml:space="preserve">VITAL MINIMERCADO E SERR</t>
  </si>
  <si>
    <t xml:space="preserve">HERON DA ROSA BRUN</t>
  </si>
  <si>
    <t xml:space="preserve">ROGERIO TOSHIRO UMADA</t>
  </si>
  <si>
    <t xml:space="preserve">MARQUES E CATTI LTDA</t>
  </si>
  <si>
    <t xml:space="preserve">LOURIVAL BARBOSA</t>
  </si>
  <si>
    <t xml:space="preserve">JACIR MALACARNE</t>
  </si>
  <si>
    <t xml:space="preserve">AZULAO</t>
  </si>
  <si>
    <t xml:space="preserve">TIAGO FRANCISCO DA SILVA</t>
  </si>
  <si>
    <t xml:space="preserve">RUA RIBAS DO RIO PAR</t>
  </si>
  <si>
    <t xml:space="preserve">DAVI RODRIGO SARVIANO DE</t>
  </si>
  <si>
    <t xml:space="preserve">AVENIDA JOAO FARID Z</t>
  </si>
  <si>
    <t xml:space="preserve">ALOISIO PEREIRA MARTINS</t>
  </si>
  <si>
    <t xml:space="preserve">NEEMIAS QUEIROZ MONTEIRO</t>
  </si>
  <si>
    <t xml:space="preserve">EDING DE SOUZA NEVES MEI</t>
  </si>
  <si>
    <t xml:space="preserve">FELINTO MULLER</t>
  </si>
  <si>
    <t xml:space="preserve">NATALIA LEITE MACEDO 001</t>
  </si>
  <si>
    <t xml:space="preserve">ANTONIA SPINOSA MUST</t>
  </si>
  <si>
    <t xml:space="preserve">COPACABANA CONVENIENCIA</t>
  </si>
  <si>
    <t xml:space="preserve">ELOY CHAVES</t>
  </si>
  <si>
    <t xml:space="preserve">ELISANDRA AGUEDA</t>
  </si>
  <si>
    <t xml:space="preserve">ASSEMBLEIA DE DEUS</t>
  </si>
  <si>
    <t xml:space="preserve">COMERCIAL DIAS DE ALIMEN</t>
  </si>
  <si>
    <t xml:space="preserve">CAIO FELIPE FERNANDES PE</t>
  </si>
  <si>
    <t xml:space="preserve">LARANJEIRA</t>
  </si>
  <si>
    <t xml:space="preserve">ANDRE JUSTINO PULEA</t>
  </si>
  <si>
    <t xml:space="preserve">MESTRE ESTANISLAU PA</t>
  </si>
  <si>
    <t xml:space="preserve">QUITANDA MAIOR LTDA.</t>
  </si>
  <si>
    <t xml:space="preserve">RUA SOUTO MAIOR</t>
  </si>
  <si>
    <t xml:space="preserve">A E F CONVENIENCIAS EIRE</t>
  </si>
  <si>
    <t xml:space="preserve">TANCREDO TASSO CARDO</t>
  </si>
  <si>
    <t xml:space="preserve">SILVIO ANTUNES DA LUZ</t>
  </si>
  <si>
    <t xml:space="preserve">RUA SERGIPE</t>
  </si>
  <si>
    <t xml:space="preserve">RODRIGUES E CARVALHO LTD</t>
  </si>
  <si>
    <t xml:space="preserve">AVENIDA MAJOR PEDRO</t>
  </si>
  <si>
    <t xml:space="preserve">CUSTODIO E ANDRADE LTDA</t>
  </si>
  <si>
    <t xml:space="preserve">JOSE FERREIRA FILHO</t>
  </si>
  <si>
    <t xml:space="preserve">SAO BENEDITO</t>
  </si>
  <si>
    <t xml:space="preserve">DISTRIBUIDORA DE BEBIDAS</t>
  </si>
  <si>
    <t xml:space="preserve">AVENIDA CAPITAO OLIN</t>
  </si>
  <si>
    <t xml:space="preserve">MERCADO MONDINI LTDA</t>
  </si>
  <si>
    <t xml:space="preserve">FERNANDO ANTONIO DE</t>
  </si>
  <si>
    <t xml:space="preserve">SOLEDADE E SILVA LTDA</t>
  </si>
  <si>
    <t xml:space="preserve">MIRANDA REIS</t>
  </si>
  <si>
    <t xml:space="preserve">JAMERSON DA SILVA FIGUEI</t>
  </si>
  <si>
    <t xml:space="preserve">AV INTEGRACAO</t>
  </si>
  <si>
    <t xml:space="preserve">KELI FERREIRA MARIM 0174</t>
  </si>
  <si>
    <t xml:space="preserve">ALAIDES DA SILVA COR</t>
  </si>
  <si>
    <t xml:space="preserve">SUPERMERCADOS JULIFRAN L</t>
  </si>
  <si>
    <t xml:space="preserve">ANA CLAUDIA DE PAULA E C</t>
  </si>
  <si>
    <t xml:space="preserve">AV RIO GRANDE DO SUL</t>
  </si>
  <si>
    <t xml:space="preserve">KIYOTA E MORAES ALIMENTO</t>
  </si>
  <si>
    <t xml:space="preserve">ARLINDO RAMOS</t>
  </si>
  <si>
    <t xml:space="preserve">MARIO MARCIO PEREIRA LOP</t>
  </si>
  <si>
    <t xml:space="preserve">MONTE CASTELO</t>
  </si>
  <si>
    <t xml:space="preserve">J C ALVES DOS SANTOS LTD</t>
  </si>
  <si>
    <t xml:space="preserve">AVENIDA BRASILIA</t>
  </si>
  <si>
    <t xml:space="preserve">CRISPINIANO SUPERMERCADO</t>
  </si>
  <si>
    <t xml:space="preserve">RUA NAOR LEMES BARBO</t>
  </si>
  <si>
    <t xml:space="preserve">COMERCIO DE ALIM SIQUEIR</t>
  </si>
  <si>
    <t xml:space="preserve">SETE</t>
  </si>
  <si>
    <t xml:space="preserve">MULTIMARCAS COMERCIO DE</t>
  </si>
  <si>
    <t xml:space="preserve">BASSO BASSO E GARLET LTD</t>
  </si>
  <si>
    <t xml:space="preserve">PREFEITO THEOFANES</t>
  </si>
  <si>
    <t xml:space="preserve">PIVETA E SCHWINN ME</t>
  </si>
  <si>
    <t xml:space="preserve">ALMIR DE MORAES RIBE</t>
  </si>
  <si>
    <t xml:space="preserve">GABRIEL GOMES ARAUJO</t>
  </si>
  <si>
    <t xml:space="preserve">AVENIDA FELINTO MULL</t>
  </si>
  <si>
    <t xml:space="preserve">T D COMERCIO DE ALIMENTO</t>
  </si>
  <si>
    <t xml:space="preserve">RUA  WAGNER JORGE BO</t>
  </si>
  <si>
    <t xml:space="preserve">IVONETE GALVAO NOGUEIRA</t>
  </si>
  <si>
    <t xml:space="preserve">VISC DE TAUNAY</t>
  </si>
  <si>
    <t xml:space="preserve">SUPERMERCADO KARINNE LTD</t>
  </si>
  <si>
    <t xml:space="preserve">CEL PILAD REBUA</t>
  </si>
  <si>
    <t xml:space="preserve">VALQUIRIA APARECIDA TOMI</t>
  </si>
  <si>
    <t xml:space="preserve">JOAO FARID ZOGBI</t>
  </si>
  <si>
    <t xml:space="preserve">GILVAN LINO DA SILVA</t>
  </si>
  <si>
    <t xml:space="preserve">RUA CARLOTA MASSA FA</t>
  </si>
  <si>
    <t xml:space="preserve">HERMES ROMAN TOMICHA EIR</t>
  </si>
  <si>
    <t xml:space="preserve">RUA GENERAL DUTRA</t>
  </si>
  <si>
    <t xml:space="preserve">MINI MERCADO FREITAS LTD</t>
  </si>
  <si>
    <t xml:space="preserve">RUA HORACIO LEMOS</t>
  </si>
  <si>
    <t xml:space="preserve">BRUNO TUCUNDUVA DE PAULA</t>
  </si>
  <si>
    <t xml:space="preserve">TACIO LIMA DA SILVA</t>
  </si>
  <si>
    <t xml:space="preserve">RUA DENTISTA MUNIF T</t>
  </si>
  <si>
    <t xml:space="preserve">GILSON FERREIRA DA SILVA</t>
  </si>
  <si>
    <t xml:space="preserve">RUA VERIDIANA</t>
  </si>
  <si>
    <t xml:space="preserve">JOSIELI DE ALMEIDA MALDO</t>
  </si>
  <si>
    <t xml:space="preserve">AVE PADRE JOSE DANIE</t>
  </si>
  <si>
    <t xml:space="preserve">MERCADO RANCHO 2 P LTDA</t>
  </si>
  <si>
    <t xml:space="preserve">JOAO LOUREIRO</t>
  </si>
  <si>
    <t xml:space="preserve">DISTRIBUIDORA DE ISCA VI</t>
  </si>
  <si>
    <t xml:space="preserve">RUA MANOEL MENDES</t>
  </si>
  <si>
    <t xml:space="preserve">SUPERMERCADO MIYAKE LTDA</t>
  </si>
  <si>
    <t xml:space="preserve">ODINEI PLACIDO AMARILHA</t>
  </si>
  <si>
    <t xml:space="preserve">APARECIDO PEREIRA BU</t>
  </si>
  <si>
    <t xml:space="preserve">MARILENE PEREIRA DE SOUZ</t>
  </si>
  <si>
    <t xml:space="preserve">RODOLFO ANDRADE PINH</t>
  </si>
  <si>
    <t xml:space="preserve">DIOMAR DACOME DA SILVA</t>
  </si>
  <si>
    <t xml:space="preserve">RUA PARANA</t>
  </si>
  <si>
    <t xml:space="preserve">MARCELO DE SOUZA BARTOLO</t>
  </si>
  <si>
    <t xml:space="preserve">AV JOSE ESTEVAM DA S</t>
  </si>
  <si>
    <t xml:space="preserve">PETRO MS APOIO EMPRESARI</t>
  </si>
  <si>
    <t xml:space="preserve">MINISTRO JOAO ARINOS</t>
  </si>
  <si>
    <t xml:space="preserve">M A VALENCUELA MINIMERCA</t>
  </si>
  <si>
    <t xml:space="preserve">RUA YOKOAMA</t>
  </si>
  <si>
    <t xml:space="preserve">LUCILIA DA CONCEICAO COU</t>
  </si>
  <si>
    <t xml:space="preserve">AVENIDA SAO JOSE</t>
  </si>
  <si>
    <t xml:space="preserve">ERIKA MAGALHAES RODRIGUE</t>
  </si>
  <si>
    <t xml:space="preserve">RUA LEVY DOS SANTOS</t>
  </si>
  <si>
    <t xml:space="preserve">LUCIMAR CERQUEIRA TOMAZ</t>
  </si>
  <si>
    <t xml:space="preserve">JOSE EDUARDO TURIBIO DE</t>
  </si>
  <si>
    <t xml:space="preserve">ROSARIO CONGRO</t>
  </si>
  <si>
    <t xml:space="preserve">ANGELA XIMENES ORTEGA LT</t>
  </si>
  <si>
    <t xml:space="preserve">JOSE PAIVA</t>
  </si>
  <si>
    <t xml:space="preserve">SILVIA E PAULINO FARMACI</t>
  </si>
  <si>
    <t xml:space="preserve">RUA TEMBES</t>
  </si>
  <si>
    <t xml:space="preserve">COMERCIAL BRITES ALIMENT</t>
  </si>
  <si>
    <t xml:space="preserve">ROTTERDAN</t>
  </si>
  <si>
    <t xml:space="preserve">COMERCIAL BRITES DE ALIM</t>
  </si>
  <si>
    <t xml:space="preserve">RUA DA CEGONHA</t>
  </si>
  <si>
    <t xml:space="preserve">DROGARIA S L LTDA EPP</t>
  </si>
  <si>
    <t xml:space="preserve">CORONEL ANTONINO</t>
  </si>
  <si>
    <t xml:space="preserve">DROGARIA S L LTDA</t>
  </si>
  <si>
    <t xml:space="preserve">EDUARDO ELIAS ZAHRAN</t>
  </si>
  <si>
    <t xml:space="preserve">TV RAGALZI</t>
  </si>
  <si>
    <t xml:space="preserve">PARAISO DAS AGU</t>
  </si>
  <si>
    <t xml:space="preserve">MANUEL RODRIGUES DA</t>
  </si>
  <si>
    <t xml:space="preserve">IRMA FERNANDES DOS SANTO</t>
  </si>
  <si>
    <t xml:space="preserve">RUA PIRAJUI</t>
  </si>
  <si>
    <t xml:space="preserve">CUNHA E VAZ LTDA</t>
  </si>
  <si>
    <t xml:space="preserve">ALMIRANTE TAMANDARE</t>
  </si>
  <si>
    <t xml:space="preserve">PAULO IZIDIO BENTO DE SO</t>
  </si>
  <si>
    <t xml:space="preserve"> MANUEL JOSE DE LIMA</t>
  </si>
  <si>
    <t xml:space="preserve">ANDRE MORAES DA SILVA</t>
  </si>
  <si>
    <t xml:space="preserve">ONZE</t>
  </si>
  <si>
    <t xml:space="preserve">ROSANA DOS SANTOS SILVA</t>
  </si>
  <si>
    <t xml:space="preserve">RUA DO PINTOR</t>
  </si>
  <si>
    <t xml:space="preserve">VALDIR GONCALVES DE AZEV</t>
  </si>
  <si>
    <t xml:space="preserve">CHARLOTE</t>
  </si>
  <si>
    <t xml:space="preserve">AVENIDA HONDURAS</t>
  </si>
  <si>
    <t xml:space="preserve">V F DA SILVA CONVENIENCI</t>
  </si>
  <si>
    <t xml:space="preserve">SAO RAMAO</t>
  </si>
  <si>
    <t xml:space="preserve">TANIA BELEN HUANACOTA AC</t>
  </si>
  <si>
    <t xml:space="preserve">EMERSON SOUZA DA SILVA</t>
  </si>
  <si>
    <t xml:space="preserve"> EDESIO NOGUEIRA</t>
  </si>
  <si>
    <t xml:space="preserve">IRACEMA MARTINS FERREIRA</t>
  </si>
  <si>
    <t xml:space="preserve">ALICE DE FATIMA RODRIGUE</t>
  </si>
  <si>
    <t xml:space="preserve">LEONCIO DE S BRITO</t>
  </si>
  <si>
    <t xml:space="preserve">ROSELI J DE OLIVEIRA</t>
  </si>
  <si>
    <t xml:space="preserve">JOICIELI IFRAN SORRILHA</t>
  </si>
  <si>
    <t xml:space="preserve">DIJALMA JOSE PEREIRA</t>
  </si>
  <si>
    <t xml:space="preserve">RUA JULIO CESAR P. M</t>
  </si>
  <si>
    <t xml:space="preserve">FRUTARIA MIYAZAKI LTDA</t>
  </si>
  <si>
    <t xml:space="preserve">JOAO CARRATO</t>
  </si>
  <si>
    <t xml:space="preserve">COMERCIO E CONVENIENCIA</t>
  </si>
  <si>
    <t xml:space="preserve">BR 163 KM 730 SN</t>
  </si>
  <si>
    <t xml:space="preserve">EDSON APARECIDO DA SILVA</t>
  </si>
  <si>
    <t xml:space="preserve">RUA PEDRO MENDES FON</t>
  </si>
  <si>
    <t xml:space="preserve">A P DE ANDRADE VAZ LTDA</t>
  </si>
  <si>
    <t xml:space="preserve">RUA ANDRE MAGRO</t>
  </si>
  <si>
    <t xml:space="preserve">CLAUDENIR DE ASSUNCAO</t>
  </si>
  <si>
    <t xml:space="preserve">RUA JOSE DE LA PAZ O</t>
  </si>
  <si>
    <t xml:space="preserve">JOAO DA SILVA FILHO ME</t>
  </si>
  <si>
    <t xml:space="preserve">JOAO DANTAS FILGUEIR</t>
  </si>
  <si>
    <t xml:space="preserve">RUA RAUL PIRES BARBO</t>
  </si>
  <si>
    <t xml:space="preserve">OLIVEIRA E AMARAL LTDA</t>
  </si>
  <si>
    <t xml:space="preserve">AVE NICOLAU OTTANO 9</t>
  </si>
  <si>
    <t xml:space="preserve">COMERCIAL DE GENEROS ALI</t>
  </si>
  <si>
    <t xml:space="preserve">AVENIDA ESPLANADA</t>
  </si>
  <si>
    <t xml:space="preserve">SUPERMERCADO FRAZAO LTDA</t>
  </si>
  <si>
    <t xml:space="preserve">ONZE DE DEZEMBRO</t>
  </si>
  <si>
    <t xml:space="preserve">CLEBERSON RODRIGUES XAVI</t>
  </si>
  <si>
    <t xml:space="preserve">RUA ESTUDANTE SONI B</t>
  </si>
  <si>
    <t xml:space="preserve">SIMONE DA SILVA LEITE</t>
  </si>
  <si>
    <t xml:space="preserve">GUIA LOPES DA L</t>
  </si>
  <si>
    <t xml:space="preserve">OVIDIO PAULO DE OLIV</t>
  </si>
  <si>
    <t xml:space="preserve">MERCADO MANGABA EIRELI</t>
  </si>
  <si>
    <t xml:space="preserve">DAS PERDIZES</t>
  </si>
  <si>
    <t xml:space="preserve">SETE FARMA 5 LTDA</t>
  </si>
  <si>
    <t xml:space="preserve">BRAKOM CONVENIENCIA EIRE</t>
  </si>
  <si>
    <t xml:space="preserve">AVENIDA NOROESTE</t>
  </si>
  <si>
    <t xml:space="preserve">ARMAL</t>
  </si>
  <si>
    <t xml:space="preserve">J S SANTOS SUPERMERCADO</t>
  </si>
  <si>
    <t xml:space="preserve">MERCEARIA O SUPER LTDA</t>
  </si>
  <si>
    <t xml:space="preserve">RAUL FROST</t>
  </si>
  <si>
    <t xml:space="preserve">BORDIN E RIBEIRO LTDA</t>
  </si>
  <si>
    <t xml:space="preserve">FLAVIO DE ALBUQUERQUE CA</t>
  </si>
  <si>
    <t xml:space="preserve">V.S.B COMERCIO DE ALIMEN</t>
  </si>
  <si>
    <t xml:space="preserve">LEONIDAS ALEM</t>
  </si>
  <si>
    <t xml:space="preserve">TORAL E GILIOLI LTDA</t>
  </si>
  <si>
    <t xml:space="preserve">ODAIR SILVERIO BENAGE</t>
  </si>
  <si>
    <t xml:space="preserve">MARIA LUIZA DE SOUZA</t>
  </si>
  <si>
    <t xml:space="preserve">SUPERMERCADO DUTRA LTDA</t>
  </si>
  <si>
    <t xml:space="preserve">NELSON XAVIER DOS SANTOS</t>
  </si>
  <si>
    <t xml:space="preserve">RUA EULALIA PIRES</t>
  </si>
  <si>
    <t xml:space="preserve">LUIZ MARQUES ANTONIO ME</t>
  </si>
  <si>
    <t xml:space="preserve">AV NOVE DE JULHO</t>
  </si>
  <si>
    <t xml:space="preserve">HF COMERCIO DE ALIMENTOS</t>
  </si>
  <si>
    <t xml:space="preserve">RUA ENGENHEIRO PAULO</t>
  </si>
  <si>
    <t xml:space="preserve">MAGDA APARECIDA DE AQUIN</t>
  </si>
  <si>
    <t xml:space="preserve">ELIEL MARCOS DE BARROS E</t>
  </si>
  <si>
    <t xml:space="preserve">DAS FLORES</t>
  </si>
  <si>
    <t xml:space="preserve">E TORAL</t>
  </si>
  <si>
    <t xml:space="preserve">IGUATEMI</t>
  </si>
  <si>
    <t xml:space="preserve">AVE PRESIDENTE VARGA</t>
  </si>
  <si>
    <t xml:space="preserve">WANDERLEIA ANTUNES CARDO</t>
  </si>
  <si>
    <t xml:space="preserve">MANOEL SILVERIO DO N</t>
  </si>
  <si>
    <t xml:space="preserve">SUPERMERCADO COLOMBI LTD</t>
  </si>
  <si>
    <t xml:space="preserve">MARIA BARBOSA CARNEI</t>
  </si>
  <si>
    <t xml:space="preserve">MONICA SERPA GONCALVES -</t>
  </si>
  <si>
    <t xml:space="preserve">ALAIDE CORREA DA SIL</t>
  </si>
  <si>
    <t xml:space="preserve">MARIA JOSE DA SILVA MINI</t>
  </si>
  <si>
    <t xml:space="preserve">RUA DAS ARARAS</t>
  </si>
  <si>
    <t xml:space="preserve">SUPERMERCADO NEON LTDA</t>
  </si>
  <si>
    <t xml:space="preserve">ARAL MOREIRA</t>
  </si>
  <si>
    <t xml:space="preserve">VALDECIR AMBROSIO PEREIR</t>
  </si>
  <si>
    <t xml:space="preserve">LUIZ GUSTAVO RAMOS A</t>
  </si>
  <si>
    <t xml:space="preserve">JOSAFA BALBINO FALCAO</t>
  </si>
  <si>
    <t xml:space="preserve">IVERTON BRAGA SARAIVA</t>
  </si>
  <si>
    <t xml:space="preserve">RUA NOSSA SENHORA DA</t>
  </si>
  <si>
    <t xml:space="preserve">NOGUEIRA E BALBUENA LTDA</t>
  </si>
  <si>
    <t xml:space="preserve">CALOGERAS</t>
  </si>
  <si>
    <t xml:space="preserve">N C DE ALMEIDA SUPERMERC</t>
  </si>
  <si>
    <t xml:space="preserve">RUA ARGEMIRO JOSE DE</t>
  </si>
  <si>
    <t xml:space="preserve">RUA FERNANDO DE AZEV</t>
  </si>
  <si>
    <t xml:space="preserve">JESSICA DE LIMA CERRI</t>
  </si>
  <si>
    <t xml:space="preserve">RUA GONCALVES DIAS</t>
  </si>
  <si>
    <t xml:space="preserve">MERCADO SANTO AFONSO LTD</t>
  </si>
  <si>
    <t xml:space="preserve">RUA SANTO AFONSO</t>
  </si>
  <si>
    <t xml:space="preserve">MINI MERCADO BOM PRECO L</t>
  </si>
  <si>
    <t xml:space="preserve">FIGUEIRAO</t>
  </si>
  <si>
    <t xml:space="preserve">MOISES ARAUJO GALVAO</t>
  </si>
  <si>
    <t xml:space="preserve">DISTRIBUIDORA DE ALIMENT</t>
  </si>
  <si>
    <t xml:space="preserve">AV MIGUEL SOTANI</t>
  </si>
  <si>
    <t xml:space="preserve">DINAMARCA</t>
  </si>
  <si>
    <t xml:space="preserve">SUPERMERCADO NAVIRAI LTD</t>
  </si>
  <si>
    <t xml:space="preserve">RUA VIDAL NEGREIROS</t>
  </si>
  <si>
    <t xml:space="preserve">PROSPERIDADE COMERCIO DE</t>
  </si>
  <si>
    <t xml:space="preserve">AV NOSSO SENHOR DO B</t>
  </si>
  <si>
    <t xml:space="preserve">BIG FRUTAS PRODUTOS ALIM</t>
  </si>
  <si>
    <t xml:space="preserve">ATUBA</t>
  </si>
  <si>
    <t xml:space="preserve">JOHNNY CARDOSO BONFIM</t>
  </si>
  <si>
    <t xml:space="preserve">AVENIDA CAPIBARIBE</t>
  </si>
  <si>
    <t xml:space="preserve">VALERIA SOARES GONGORA D</t>
  </si>
  <si>
    <t xml:space="preserve">RUA AGOSTINHO T. MON</t>
  </si>
  <si>
    <t xml:space="preserve">FELLER COMERCIO DE ALIME</t>
  </si>
  <si>
    <t xml:space="preserve">PONTALINA</t>
  </si>
  <si>
    <t xml:space="preserve">ATLANTA CONVENIENCIA EIR</t>
  </si>
  <si>
    <t xml:space="preserve">PLINIO ALARCON</t>
  </si>
  <si>
    <t xml:space="preserve">BIANCA CASTRO FERNANDES</t>
  </si>
  <si>
    <t xml:space="preserve">AVENIDA VIRGINIA FER</t>
  </si>
  <si>
    <t xml:space="preserve">MERCADO ITAPIRY LTDA</t>
  </si>
  <si>
    <t xml:space="preserve">GILMAR DE MATOS SILVA</t>
  </si>
  <si>
    <t xml:space="preserve">BURGEDURF COM DE PROD AL</t>
  </si>
  <si>
    <t xml:space="preserve">SUPERMERCADO SANTOS E AL</t>
  </si>
  <si>
    <t xml:space="preserve">IONARA QUADROS PAGLIOCO</t>
  </si>
  <si>
    <t xml:space="preserve">SUPERMERCADO RIO BRANCO</t>
  </si>
  <si>
    <t xml:space="preserve">MACIAS BARBOSA</t>
  </si>
  <si>
    <t xml:space="preserve">E FERNANDES E CIA LTDA</t>
  </si>
  <si>
    <t xml:space="preserve">CARAJAS</t>
  </si>
  <si>
    <t xml:space="preserve">D J COMERCIAL DE ALIMENT</t>
  </si>
  <si>
    <t xml:space="preserve">SAGARANA</t>
  </si>
  <si>
    <t xml:space="preserve">CRISTIANO MATIAS DE OLIV</t>
  </si>
  <si>
    <t xml:space="preserve">EVELYM CAMILA REGOS ME</t>
  </si>
  <si>
    <t xml:space="preserve">AV VIVE PREFEITO TIM</t>
  </si>
  <si>
    <t xml:space="preserve">COMERCIO DE ALIMENTOS LG</t>
  </si>
  <si>
    <t xml:space="preserve">AVENIDA MONTE CASTEL</t>
  </si>
  <si>
    <t xml:space="preserve">M A ALVES PEREIRA DE SOU</t>
  </si>
  <si>
    <t xml:space="preserve">RUA MATO GROSSO DO S</t>
  </si>
  <si>
    <t xml:space="preserve">CLAUDIENE CRISTINA GARCI</t>
  </si>
  <si>
    <t xml:space="preserve">DOIS IRMAOS DO</t>
  </si>
  <si>
    <t xml:space="preserve">AURISVANIA RODRIGUES MIR</t>
  </si>
  <si>
    <t xml:space="preserve">SUPERMERCADO E C BORGES</t>
  </si>
  <si>
    <t xml:space="preserve">RUA PADRE JOSE DE AN</t>
  </si>
  <si>
    <t xml:space="preserve">IRMAOS MARQUES SUPERMERC</t>
  </si>
  <si>
    <t xml:space="preserve">JOAO GARCIA DE SOUZA</t>
  </si>
  <si>
    <t xml:space="preserve">W JOSE DE ALMEIDA</t>
  </si>
  <si>
    <t xml:space="preserve">PANTANAL</t>
  </si>
  <si>
    <t xml:space="preserve">E O DOS SANTOS CARVALHO</t>
  </si>
  <si>
    <t xml:space="preserve">DA REPUPLICA</t>
  </si>
  <si>
    <t xml:space="preserve">E DA SILVA CASA DE CARNE</t>
  </si>
  <si>
    <t xml:space="preserve">RUA CLARK</t>
  </si>
  <si>
    <t xml:space="preserve">I E C LTDA</t>
  </si>
  <si>
    <t xml:space="preserve">ELIO AZAMBUJA</t>
  </si>
  <si>
    <t xml:space="preserve">LETICIA OLIVEIRA DE PAUL</t>
  </si>
  <si>
    <t xml:space="preserve">RUA PELICANO</t>
  </si>
  <si>
    <t xml:space="preserve">MG SUPERMERCADO LTDA</t>
  </si>
  <si>
    <t xml:space="preserve">MERCADO CRO E CRA LTDA</t>
  </si>
  <si>
    <t xml:space="preserve">JOAO PAULO II</t>
  </si>
  <si>
    <t xml:space="preserve">EDER CAIRES FERREIRA ME</t>
  </si>
  <si>
    <t xml:space="preserve">ERON DO COUTO</t>
  </si>
  <si>
    <t xml:space="preserve">ROBERTO CARLOS DA SILVA</t>
  </si>
  <si>
    <t xml:space="preserve">CAMAPUA</t>
  </si>
  <si>
    <t xml:space="preserve">ALCINDO FRANCISCO DE</t>
  </si>
  <si>
    <t xml:space="preserve">A50</t>
  </si>
  <si>
    <t xml:space="preserve">RAIMUNDO ALVES GENARO</t>
  </si>
  <si>
    <t xml:space="preserve">RUA PROJETADA B</t>
  </si>
  <si>
    <t xml:space="preserve">OTAVIANO JOSE ALVES DOS</t>
  </si>
  <si>
    <t xml:space="preserve">GERBERA</t>
  </si>
  <si>
    <t xml:space="preserve">JOSE HIVANO GUILHERME DA</t>
  </si>
  <si>
    <t xml:space="preserve">RUA ANTURIO</t>
  </si>
  <si>
    <t xml:space="preserve">SARA CRISTINA DUARTE TOR</t>
  </si>
  <si>
    <t xml:space="preserve">FRANK SINATRA</t>
  </si>
  <si>
    <t xml:space="preserve">APARECIDA NEVES DA SILVA</t>
  </si>
  <si>
    <t xml:space="preserve">PARA</t>
  </si>
  <si>
    <t xml:space="preserve">RUA TRES DE OUTUBRO</t>
  </si>
  <si>
    <t xml:space="preserve">TRAZZI ESPINOSA E CIA LT</t>
  </si>
  <si>
    <t xml:space="preserve">RUA ANA JACINTA DE O</t>
  </si>
  <si>
    <t xml:space="preserve">MARSUL ATACADISTA LTDA</t>
  </si>
  <si>
    <t xml:space="preserve">RUA RIO BRILHANTE</t>
  </si>
  <si>
    <t xml:space="preserve">AMARO CASTRO LIMA</t>
  </si>
  <si>
    <t xml:space="preserve">ANA PAULA FERREIRA DE SO</t>
  </si>
  <si>
    <t xml:space="preserve">RUA DOM LADISLAU PAZ</t>
  </si>
  <si>
    <t xml:space="preserve">CLAUDEMIR VAZ</t>
  </si>
  <si>
    <t xml:space="preserve">MAIRA APARECIDA GUIMARAE</t>
  </si>
  <si>
    <t xml:space="preserve">AUCELIO SOUZA CASTRO</t>
  </si>
  <si>
    <t xml:space="preserve">J P DA SILVA LTDA</t>
  </si>
  <si>
    <t xml:space="preserve">RUA SAO JOSE PINHAIS</t>
  </si>
  <si>
    <t xml:space="preserve">KIL COMERCIO DE BEBIDAS</t>
  </si>
  <si>
    <t xml:space="preserve">RUA EGIDIO THOME</t>
  </si>
  <si>
    <t xml:space="preserve">MINI MERCADO SORRISO LTD</t>
  </si>
  <si>
    <t xml:space="preserve">DALTON AILTON DOS SA</t>
  </si>
  <si>
    <t xml:space="preserve">LOCA MANIA CONVENIENCIA</t>
  </si>
  <si>
    <t xml:space="preserve">RUA BRASILANDIA</t>
  </si>
  <si>
    <t xml:space="preserve">MALIBU COMERCIO DE BEBID</t>
  </si>
  <si>
    <t xml:space="preserve">YAMAGUTI KANKIT</t>
  </si>
  <si>
    <t xml:space="preserve">TOMAS CASTILLO RIVERA</t>
  </si>
  <si>
    <t xml:space="preserve">SANDRA PEREIRA DE SOUZA</t>
  </si>
  <si>
    <t xml:space="preserve">RUA NENEGRO GRATIVAL</t>
  </si>
  <si>
    <t xml:space="preserve">ZELI DOS SANTOS PERES</t>
  </si>
  <si>
    <t xml:space="preserve">LEONEL MONTEIRO</t>
  </si>
  <si>
    <t xml:space="preserve">MARIA LUIZA GUERRERO GAM</t>
  </si>
  <si>
    <t xml:space="preserve">FRANCISCO DE OLIVEIR</t>
  </si>
  <si>
    <t xml:space="preserve">PANIFICADORA COOPHASUL L</t>
  </si>
  <si>
    <t xml:space="preserve">MARIO DA COSTA FREIT</t>
  </si>
  <si>
    <t xml:space="preserve">PRUDENTMED PROD FARMACEU</t>
  </si>
  <si>
    <t xml:space="preserve">GRANDE</t>
  </si>
  <si>
    <t xml:space="preserve">RUA EPAMINONDAS CAMP</t>
  </si>
  <si>
    <t xml:space="preserve">LUCIANE JOSE DOS SANTOS</t>
  </si>
  <si>
    <t xml:space="preserve">MANOEL ANTONIO JEREM</t>
  </si>
  <si>
    <t xml:space="preserve">COML ALIMENTOS CARVALHO</t>
  </si>
  <si>
    <t xml:space="preserve">PADRE MUSSA TUMA</t>
  </si>
  <si>
    <t xml:space="preserve">JOSE CARDOSO DOS SANTOS</t>
  </si>
  <si>
    <t xml:space="preserve">RUA PROGRESSO</t>
  </si>
  <si>
    <t xml:space="preserve">RI DE SOUZA COM TINTAS E</t>
  </si>
  <si>
    <t xml:space="preserve">CAMBOATA</t>
  </si>
  <si>
    <t xml:space="preserve">LAIZA MUDO DA SILVA LTDA</t>
  </si>
  <si>
    <t xml:space="preserve">AVENIDA TAMANDARE</t>
  </si>
  <si>
    <t xml:space="preserve">LOCAMANIA CONVENIENCIAS</t>
  </si>
  <si>
    <t xml:space="preserve">AVENIDA CORONEL ANTO</t>
  </si>
  <si>
    <t xml:space="preserve">SIDIVAL CENTURIAO PEREIR</t>
  </si>
  <si>
    <t xml:space="preserve">LIBINDO FERREIRA LEI</t>
  </si>
  <si>
    <t xml:space="preserve">MARIA LUIZA NERVIS BERTA</t>
  </si>
  <si>
    <t xml:space="preserve">ANA ROSA CASTILHO OC</t>
  </si>
  <si>
    <t xml:space="preserve">COMERCIAL LUNARD DE ALIM</t>
  </si>
  <si>
    <t xml:space="preserve">RUA HUGO PEREIRA DO</t>
  </si>
  <si>
    <t xml:space="preserve">MURAKAMI E MURAKAMI LTDA</t>
  </si>
  <si>
    <t xml:space="preserve">CANAA SUPERMERCADO LTDA</t>
  </si>
  <si>
    <t xml:space="preserve">AV. HONDURAS</t>
  </si>
  <si>
    <t xml:space="preserve">MERCADO CANAA PRODUTOS A</t>
  </si>
  <si>
    <t xml:space="preserve">AVENIDA FLORESTAL</t>
  </si>
  <si>
    <t xml:space="preserve">TIRADENTES</t>
  </si>
  <si>
    <t xml:space="preserve">MARCIO COSTA BARBUENO ME</t>
  </si>
  <si>
    <t xml:space="preserve">OITO DE MAIO</t>
  </si>
  <si>
    <t xml:space="preserve">FRANCISCO EDSON DA SILVA</t>
  </si>
  <si>
    <t xml:space="preserve">RUA ANTONIO MARIA CO</t>
  </si>
  <si>
    <t xml:space="preserve">DLB COMERCIO DE ALIMENTO</t>
  </si>
  <si>
    <t xml:space="preserve">RUA COTEGIPE</t>
  </si>
  <si>
    <t xml:space="preserve">VICENTE MARQUES DA S</t>
  </si>
  <si>
    <t xml:space="preserve">CARDOSO E SOUZA LTDA EPP</t>
  </si>
  <si>
    <t xml:space="preserve">WARTO BARBOSA DE MOR</t>
  </si>
  <si>
    <t xml:space="preserve">MERCADO SAO PEDRO EIRELI</t>
  </si>
  <si>
    <t xml:space="preserve">RUA GALDINO AFONSO V</t>
  </si>
  <si>
    <t xml:space="preserve">SUPERMERCADO FORTALEZA L</t>
  </si>
  <si>
    <t xml:space="preserve">JOSE ROBERTO TEIXEIR</t>
  </si>
  <si>
    <t xml:space="preserve">NUTRI SHOPPING LTDA</t>
  </si>
  <si>
    <t xml:space="preserve">TOMAZ DA SILVA FRANC</t>
  </si>
  <si>
    <t xml:space="preserve">SUPERMERCADO VILA REAL L</t>
  </si>
  <si>
    <t xml:space="preserve">AV FRANCISCO STAUT</t>
  </si>
  <si>
    <t xml:space="preserve">RUA OSCAR FERREIRA B</t>
  </si>
  <si>
    <t xml:space="preserve">OZEIAS GASPAR DA SILVA</t>
  </si>
  <si>
    <t xml:space="preserve">DR DOUTOR JOSE LAURO</t>
  </si>
  <si>
    <t xml:space="preserve">LJ-07 ABV COMERCIO DE AL</t>
  </si>
  <si>
    <t xml:space="preserve">LJ-22 ABV COMERCIO DE AL</t>
  </si>
  <si>
    <t xml:space="preserve">RAUL PIRES BARBOSA</t>
  </si>
  <si>
    <t xml:space="preserve">LJ-25 ABV COMERCIO DE AL</t>
  </si>
  <si>
    <t xml:space="preserve">AV DUQUE DE CAXIAS</t>
  </si>
  <si>
    <t xml:space="preserve">VOLK ALIMENTOS EIRELI</t>
  </si>
  <si>
    <t xml:space="preserve">AV REGINALDO LEMES D</t>
  </si>
  <si>
    <t xml:space="preserve">F DA SILVA FERREIRA LTDA</t>
  </si>
  <si>
    <t xml:space="preserve">RUA JOSE BATAGLIM</t>
  </si>
  <si>
    <t xml:space="preserve">NELSON JARA</t>
  </si>
  <si>
    <t xml:space="preserve">JOSE MARIA PALMIERI</t>
  </si>
  <si>
    <t xml:space="preserve">M DE FATIMA DA SILVA LTD</t>
  </si>
  <si>
    <t xml:space="preserve">MERCADO PAULISTA LTDA</t>
  </si>
  <si>
    <t xml:space="preserve">RUA EZER MIRANDA DA</t>
  </si>
  <si>
    <t xml:space="preserve">JEFHERSON LORINI MIGUEIL</t>
  </si>
  <si>
    <t xml:space="preserve">AVENIDA 16</t>
  </si>
  <si>
    <t xml:space="preserve">A NETO RUNICHI CARNAVALE</t>
  </si>
  <si>
    <t xml:space="preserve">SENA E PENTEADO LTDA</t>
  </si>
  <si>
    <t xml:space="preserve">E</t>
  </si>
  <si>
    <t xml:space="preserve">ALEX JOSE DA CRUZ EIRELI</t>
  </si>
  <si>
    <t xml:space="preserve">AV JOSE AMANCIO DE S</t>
  </si>
  <si>
    <t xml:space="preserve">MERCADO E ACOUGUE SANTA</t>
  </si>
  <si>
    <t xml:space="preserve">RUA BARAO DO TRIUNFO</t>
  </si>
  <si>
    <t xml:space="preserve">FREI GALVAO</t>
  </si>
  <si>
    <t xml:space="preserve">E C LLUSCO - ME</t>
  </si>
  <si>
    <t xml:space="preserve">CUIABA</t>
  </si>
  <si>
    <t xml:space="preserve">A3 SUPERMERCADO EIRELI</t>
  </si>
  <si>
    <t xml:space="preserve">RUA COMENDADOR GARCI</t>
  </si>
  <si>
    <t xml:space="preserve">JONAS JUSTINO EPP</t>
  </si>
  <si>
    <t xml:space="preserve">SUPERMERCADO FAMILIAR LT</t>
  </si>
  <si>
    <t xml:space="preserve">BENTO MACHADO LOBO</t>
  </si>
  <si>
    <t xml:space="preserve">JOSE VANDO DE SOUSA ME</t>
  </si>
  <si>
    <t xml:space="preserve">CARLOS FERREIRA BAND</t>
  </si>
  <si>
    <t xml:space="preserve">MERCADO LAYS LTDA</t>
  </si>
  <si>
    <t xml:space="preserve">TENENTE LIRA</t>
  </si>
  <si>
    <t xml:space="preserve">AUTO POSTO AMP LTDA</t>
  </si>
  <si>
    <t xml:space="preserve">AVENIDA MINISTRO JOA</t>
  </si>
  <si>
    <t xml:space="preserve">IZABEL FERREIRA DIAS IOR</t>
  </si>
  <si>
    <t xml:space="preserve">MARISA LONGO E CIA LTDA</t>
  </si>
  <si>
    <t xml:space="preserve">CINCO DE MAIO</t>
  </si>
  <si>
    <t xml:space="preserve">COOPERATIVA AGROPECUARIA</t>
  </si>
  <si>
    <t xml:space="preserve">AVENIDA BARAO DO RIO</t>
  </si>
  <si>
    <t xml:space="preserve">LJ-02 ABV COMERCIO DE AL</t>
  </si>
  <si>
    <t xml:space="preserve">ALBINO TORRACA</t>
  </si>
  <si>
    <t xml:space="preserve">LJ-09 ABV COMERCIO DE AL</t>
  </si>
  <si>
    <t xml:space="preserve">OLINDA PIRES DE ALME</t>
  </si>
  <si>
    <t xml:space="preserve">LJ-16 ABV COMERCIO DE AL</t>
  </si>
  <si>
    <t xml:space="preserve">ANTONIO EMILIO DE FI</t>
  </si>
  <si>
    <t xml:space="preserve">LJ-31 ABV COMERCIO DE AL</t>
  </si>
  <si>
    <t xml:space="preserve">AV MARCELINO PIRES</t>
  </si>
  <si>
    <t xml:space="preserve">LJ-32 ABV COMERCIO DE AL</t>
  </si>
  <si>
    <t xml:space="preserve">RUA 13 DE JUNHO</t>
  </si>
  <si>
    <t xml:space="preserve">RODOVIA BR 463</t>
  </si>
  <si>
    <t xml:space="preserve">LJ-20 ABV COMERCIO DE AL</t>
  </si>
  <si>
    <t xml:space="preserve">AV DURVAL RODRIGUES</t>
  </si>
  <si>
    <t xml:space="preserve">OLIVEIRA E MOTTI COM DE</t>
  </si>
  <si>
    <t xml:space="preserve">SUPERMERCADO GUANABARA L</t>
  </si>
  <si>
    <t xml:space="preserve">GENI FERREIRA VIDA 33861</t>
  </si>
  <si>
    <t xml:space="preserve">AVENIDA JOB GOMES DE</t>
  </si>
  <si>
    <t xml:space="preserve">SANDRO ANTONIO MACIEL EP</t>
  </si>
  <si>
    <t xml:space="preserve">WEIMAR GONCALVES TOR</t>
  </si>
  <si>
    <t xml:space="preserve">APARECIDA SANTOS DE OLIV</t>
  </si>
  <si>
    <t xml:space="preserve">PRIMAVERA</t>
  </si>
  <si>
    <t xml:space="preserve">CLEVELANDIA</t>
  </si>
  <si>
    <t xml:space="preserve">L DE OLIVEIRA VELASQUES</t>
  </si>
  <si>
    <t xml:space="preserve">RUA CEFERINO VILLANU</t>
  </si>
  <si>
    <t xml:space="preserve">ILENE THERESINHA BOLLER</t>
  </si>
  <si>
    <t xml:space="preserve">RUA FRANCISCO FERNAN</t>
  </si>
  <si>
    <t xml:space="preserve">MERCADO BRILHANTE</t>
  </si>
  <si>
    <t xml:space="preserve">AVENIDA XV DE NOVEMB</t>
  </si>
  <si>
    <t xml:space="preserve">SUPERMERCADO THOME LTDA</t>
  </si>
  <si>
    <t xml:space="preserve">RUA YAMAGUTI KANKIT</t>
  </si>
  <si>
    <t xml:space="preserve">DORVALINO DOS SANTOS</t>
  </si>
  <si>
    <t xml:space="preserve">ABIMAEL H DOS S SILVA LT</t>
  </si>
  <si>
    <t xml:space="preserve">AVENIDA PADRE AQUILI</t>
  </si>
  <si>
    <t xml:space="preserve">SUPERMERCADO THOME EIREL</t>
  </si>
  <si>
    <t xml:space="preserve">QUEXEROMBIM</t>
  </si>
  <si>
    <t xml:space="preserve">COMERCIAL DE ALIMENTOS N</t>
  </si>
  <si>
    <t xml:space="preserve">MERCADO JOTALI LTDA ME</t>
  </si>
  <si>
    <t xml:space="preserve">RUA PROJETADA</t>
  </si>
  <si>
    <t xml:space="preserve">TRAZZI E ESPINOSA LTDA</t>
  </si>
  <si>
    <t xml:space="preserve">SANTO ANTONIO DISTRIBUID</t>
  </si>
  <si>
    <t xml:space="preserve">NELSON ARGENTINO JUNIOR</t>
  </si>
  <si>
    <t xml:space="preserve">RUA FREI GILBERTO JO</t>
  </si>
  <si>
    <t xml:space="preserve">QUEIROZ E SOUSA ALIMENTO</t>
  </si>
  <si>
    <t xml:space="preserve">PORTO XV DE NOVEMBRO</t>
  </si>
  <si>
    <t xml:space="preserve">MERCADO BRASIL LTDA</t>
  </si>
  <si>
    <t xml:space="preserve">EMPORIO SAINT PHILLIPE L</t>
  </si>
  <si>
    <t xml:space="preserve">RR COMERCIAL LTDA</t>
  </si>
  <si>
    <t xml:space="preserve">ANTONIO LUIZ PEREIRA</t>
  </si>
  <si>
    <t xml:space="preserve">MINI MERCADO PAULISTANO</t>
  </si>
  <si>
    <t xml:space="preserve">AV FRANCISCO FERNAND</t>
  </si>
  <si>
    <t xml:space="preserve">Cod Prod</t>
  </si>
  <si>
    <t xml:space="preserve">Desc Prod</t>
  </si>
  <si>
    <t xml:space="preserve">Total Vlr</t>
  </si>
  <si>
    <t xml:space="preserve">Desc $</t>
  </si>
  <si>
    <t xml:space="preserve">Qtde</t>
  </si>
  <si>
    <t xml:space="preserve">Vlr Und</t>
  </si>
  <si>
    <t xml:space="preserve">%D.Maxi</t>
  </si>
  <si>
    <t xml:space="preserve">%D.Pedido</t>
  </si>
  <si>
    <t xml:space="preserve">%DM</t>
  </si>
  <si>
    <t xml:space="preserve">Dif $</t>
  </si>
  <si>
    <t xml:space="preserve">Nº Pedido</t>
  </si>
  <si>
    <t xml:space="preserve">Rep</t>
  </si>
  <si>
    <t xml:space="preserve">AJAX FDF MAR DE FLORES..........01X500ML    </t>
  </si>
  <si>
    <t xml:space="preserve">    0,00</t>
  </si>
  <si>
    <t xml:space="preserve">   0,00</t>
  </si>
  <si>
    <t xml:space="preserve">       0,00    </t>
  </si>
  <si>
    <t xml:space="preserve">AJAX FRESH LIMAO................01X500ML    </t>
  </si>
  <si>
    <t xml:space="preserve">AJAX LIMP PERF BOUQUET FLORES...01X500ML    </t>
  </si>
  <si>
    <t xml:space="preserve">CD COLG L12 TRI 90G GT3 LUM 60G.01X 15UN    </t>
  </si>
  <si>
    <t xml:space="preserve">CD SORR DENTES BRANCOS..........01X 50GR    </t>
  </si>
  <si>
    <t xml:space="preserve">SAB PALM MELANCIA E LICHIA......01X 85GR    </t>
  </si>
  <si>
    <t xml:space="preserve">      5,00</t>
  </si>
  <si>
    <t xml:space="preserve">       2,58-   </t>
  </si>
  <si>
    <t xml:space="preserve">SAB PALM TOQ NUT FRAMB E AMORA..01X 85GR    </t>
  </si>
  <si>
    <t xml:space="preserve">ED COLG AD SMILES HARRY POTTER..01X 02UN    </t>
  </si>
  <si>
    <t xml:space="preserve">CD COLG LUM WHIT COLOR CORRECT..01X133GR    </t>
  </si>
  <si>
    <t xml:space="preserve">SAB LIQ CORP AMEND ABACAT LEITE.01X250ML    </t>
  </si>
  <si>
    <t xml:space="preserve">SAB LIQ CORP AMORA BANAN IOGURT.01X250ML    </t>
  </si>
  <si>
    <t xml:space="preserve">CD COLG TT LIMP PROF INTERDENT..01X 90GR    </t>
  </si>
  <si>
    <t xml:space="preserve">CD COLG TT LIMP PROF INTERDENT..01X180GR    </t>
  </si>
  <si>
    <t xml:space="preserve">     15,00</t>
  </si>
  <si>
    <t xml:space="preserve">      19,36-   </t>
  </si>
  <si>
    <t xml:space="preserve">COND DARLING CACHOS.............01X315ML    </t>
  </si>
  <si>
    <t xml:space="preserve">     10,00</t>
  </si>
  <si>
    <t xml:space="preserve">       4,14-   </t>
  </si>
  <si>
    <t xml:space="preserve">CD COLG SMILES INF HARRY POTTER.01X100GR    </t>
  </si>
  <si>
    <t xml:space="preserve">SAB LIQ PALM OIL ABAC IRIS P ES.01X200ML    </t>
  </si>
  <si>
    <t xml:space="preserve">       3,90-   </t>
  </si>
  <si>
    <t xml:space="preserve">SAB LIQ PALM LUM OIL FIGO ORQUI.01X200ML    </t>
  </si>
  <si>
    <t xml:space="preserve">       9,68-   </t>
  </si>
  <si>
    <t xml:space="preserve">SAB LIQ PROTEX ERV DOCE RF LMPM.01X500ML    </t>
  </si>
  <si>
    <t xml:space="preserve">       7,76-   </t>
  </si>
  <si>
    <t xml:space="preserve">SH DARLING CACHOS...............01X315ML    </t>
  </si>
  <si>
    <t xml:space="preserve">       3,94-   </t>
  </si>
  <si>
    <t xml:space="preserve">ED COLG SMILES HARRY POTTER 6M..01X 02UN    </t>
  </si>
  <si>
    <t xml:space="preserve">CD COLG TRIP ACAO...............01X180GR    </t>
  </si>
  <si>
    <t xml:space="preserve">      8,35</t>
  </si>
  <si>
    <t xml:space="preserve">   1.560,11-   </t>
  </si>
  <si>
    <t xml:space="preserve">CD COLG MPA.....................01X 90GR    </t>
  </si>
  <si>
    <t xml:space="preserve">CD COLG MPA.....................01X180GR    </t>
  </si>
  <si>
    <t xml:space="preserve">CD COLG NAT EXT CARV MENTA......01X 90GR    </t>
  </si>
  <si>
    <t xml:space="preserve">CD COLG NAT EXT COC GENGIB......01X 90GR    </t>
  </si>
  <si>
    <t xml:space="preserve">CD COLG TRIP ACAO HORT..........01X 90GR    </t>
  </si>
  <si>
    <t xml:space="preserve">CD COLG TRIP ACAO...............01X 90GR    </t>
  </si>
  <si>
    <t xml:space="preserve">CD COLG TT12 ADVANCED GEL.......01X 90GR    </t>
  </si>
  <si>
    <t xml:space="preserve">CD COLG TT12 CARVAO ATIVADO.....01X 90GR    </t>
  </si>
  <si>
    <t xml:space="preserve">CD COLG TT12 CARVAO ATIVADO.....01X180GR    </t>
  </si>
  <si>
    <t xml:space="preserve">CD COLG TT12 WHITENING GEL......01X 90GR    </t>
  </si>
  <si>
    <t xml:space="preserve">CD COLG TT12 WHITENING..........01X180GR    </t>
  </si>
  <si>
    <t xml:space="preserve">CD SORR CARVAO ATIVADO..........01X 90GR    </t>
  </si>
  <si>
    <t xml:space="preserve">CD SORR DENTES BRANCOS..........01X 90GR    </t>
  </si>
  <si>
    <t xml:space="preserve">CD SORR DENTES BRANCOS..........01X180GR    </t>
  </si>
  <si>
    <t xml:space="preserve">CD SORR TRIP LIMP COMPL.........01X120GR    </t>
  </si>
  <si>
    <t xml:space="preserve">COND DARLING CERAMIDAS..........01X350ML    </t>
  </si>
  <si>
    <t xml:space="preserve">      12,43-   </t>
  </si>
  <si>
    <t xml:space="preserve">COND DARLING DETOX..............01X350ML    </t>
  </si>
  <si>
    <t xml:space="preserve">COND DARLING TILIA..............01X350ML    </t>
  </si>
  <si>
    <t xml:space="preserve">COND PALM CERAMIDAS FORCE.......01X350ML    </t>
  </si>
  <si>
    <t xml:space="preserve">       4,76-   </t>
  </si>
  <si>
    <t xml:space="preserve">COND PALM COLAGENO BIOT.........01X350ML    </t>
  </si>
  <si>
    <t xml:space="preserve">       4,75-   </t>
  </si>
  <si>
    <t xml:space="preserve">COND PALM DETOX ENERGIZAN.......01X350ML    </t>
  </si>
  <si>
    <t xml:space="preserve">COND PALM KIDS TODO TIPO TROLLS.01X350ML    </t>
  </si>
  <si>
    <t xml:space="preserve">       7,14-   </t>
  </si>
  <si>
    <t xml:space="preserve">COND PALM NUTRICAO EXTRA........01X350ML    </t>
  </si>
  <si>
    <t xml:space="preserve">ED COLG CLASSIC CLEAN L3.P2.....01X 03UN    </t>
  </si>
  <si>
    <t xml:space="preserve">ED COLG CLASSIC LG MEDIA........01X 01UN    </t>
  </si>
  <si>
    <t xml:space="preserve">ED COLG EXTRA CLEAN L3.P2.......01X 03UN    </t>
  </si>
  <si>
    <t xml:space="preserve">ED COLG SLIM SOFT BLACK L2.P1...01X 02UN    </t>
  </si>
  <si>
    <t xml:space="preserve">ED COLG TANDY...................01X 02UN    </t>
  </si>
  <si>
    <t xml:space="preserve">ED COLG ZIG ZAG CARVAO..........01X 02UN    </t>
  </si>
  <si>
    <t xml:space="preserve">ED SORR CARVAO..................01X 02UN    </t>
  </si>
  <si>
    <t xml:space="preserve">ED SORR TRIPLA L3.P2............01X 03UN    </t>
  </si>
  <si>
    <t xml:space="preserve">ENXAG PLAX FR MINT..............01X250ML    </t>
  </si>
  <si>
    <t xml:space="preserve">GD SORR FRESH XTRA MINT.........01X 90GR    </t>
  </si>
  <si>
    <t xml:space="preserve">GD TANDY MORANGO................01X 50GR    </t>
  </si>
  <si>
    <t xml:space="preserve">      1,00</t>
  </si>
  <si>
    <t xml:space="preserve">       1,89-   </t>
  </si>
  <si>
    <t xml:space="preserve">GD TANDY TUTTI FRUTTI...........01X 50GR    </t>
  </si>
  <si>
    <t xml:space="preserve">LAVA ROUPA OLA BEBE.............01X500ML    </t>
  </si>
  <si>
    <t xml:space="preserve">LAVA ROUPA OLA COCO.............01X500ML    </t>
  </si>
  <si>
    <t xml:space="preserve">LAVA ROUPA OLA..................01X500ML    </t>
  </si>
  <si>
    <t xml:space="preserve">SAB LIQ PALM JASMIM CACAU RF....01X900ML    </t>
  </si>
  <si>
    <t xml:space="preserve">SAB LIQ PROTEX INTIMO DELICATE..01X200ML    </t>
  </si>
  <si>
    <t xml:space="preserve">SAB PALM HIDR INT CACAU KARIT...01X150GR    </t>
  </si>
  <si>
    <t xml:space="preserve">       4,82-   </t>
  </si>
  <si>
    <t xml:space="preserve">SAB PALM HIDR SAUD ALOE OLIVA...01X150GR    </t>
  </si>
  <si>
    <t xml:space="preserve">SAB PALM NAT SENSA PURI CARV....01X150GR    </t>
  </si>
  <si>
    <t xml:space="preserve">      8,00</t>
  </si>
  <si>
    <t xml:space="preserve">      38,47-   </t>
  </si>
  <si>
    <t xml:space="preserve">SAB PALM SENS LUMIN OLEO ARGA...01X150GR    </t>
  </si>
  <si>
    <t xml:space="preserve">SH DARLING 2EM1.................01X350ML    </t>
  </si>
  <si>
    <t xml:space="preserve">      79,08-   </t>
  </si>
  <si>
    <t xml:space="preserve">SH DARLING 2EM1.................01X650ML    </t>
  </si>
  <si>
    <t xml:space="preserve">SH DARLING CERAMIDAS............01X350ML    </t>
  </si>
  <si>
    <t xml:space="preserve">SH DARLING DETOX................01X350ML    </t>
  </si>
  <si>
    <t xml:space="preserve">SH DARLING TILIA................01X350ML    </t>
  </si>
  <si>
    <t xml:space="preserve">SH PALM ANTICASPA ANTIQUEDA.....01X350ML    </t>
  </si>
  <si>
    <t xml:space="preserve">      15,44-   </t>
  </si>
  <si>
    <t xml:space="preserve">SH PALM CERAMIDAS FORCE.........01X650ML    </t>
  </si>
  <si>
    <t xml:space="preserve">SH PALM DETOX ENERGIZANTE.......01X350ML    </t>
  </si>
  <si>
    <t xml:space="preserve">       9,08-   </t>
  </si>
  <si>
    <t xml:space="preserve">SH PALM FORCE COLAGENO BIOT.....01X350ML    </t>
  </si>
  <si>
    <t xml:space="preserve">SH PALM HYDRATE HIALURONICO.....01X350ML    </t>
  </si>
  <si>
    <t xml:space="preserve">SH PALM KIDS SUAVE..............01X350ML    </t>
  </si>
  <si>
    <t xml:space="preserve">      13,62-   </t>
  </si>
  <si>
    <t xml:space="preserve">SH PALM LUM OIL NUTRE E HID.....01X350ML    </t>
  </si>
  <si>
    <t xml:space="preserve">       7,72-   </t>
  </si>
  <si>
    <t xml:space="preserve">SH PALM MEN ANTI COCEIRA........01X350ML    </t>
  </si>
  <si>
    <t xml:space="preserve">SH PALM NUTRI EXTRAORDINARIA....01X350ML    </t>
  </si>
  <si>
    <t xml:space="preserve">SH PALM PRETOS RADIANTES........01X350ML    </t>
  </si>
  <si>
    <t xml:space="preserve">SAB LIQ PROTEX PRO SER RETINOL..01X250ML    </t>
  </si>
  <si>
    <t xml:space="preserve">ED COLG TOTAL LIMPEZA ESPUMOSA..01X 02UN    </t>
  </si>
  <si>
    <t xml:space="preserve">CD COLG TT ORIG MINT P ESP......01X180GR    </t>
  </si>
  <si>
    <t xml:space="preserve">CD COLG LUM WHIT COLOR CORRECT..01X 70GR    </t>
  </si>
  <si>
    <t xml:space="preserve">SAB PALM FRAMB AMORA 85G........01X 03UN    </t>
  </si>
  <si>
    <t xml:space="preserve">ENXAG PLAX MELANCIA.............01X500ML    </t>
  </si>
  <si>
    <t xml:space="preserve">SAB PROTEX MEN SPORTS...........01X 85GR    </t>
  </si>
  <si>
    <t xml:space="preserve">     30,00</t>
  </si>
  <si>
    <t xml:space="preserve">      35,74-   </t>
  </si>
  <si>
    <t xml:space="preserve">SH PALM NEUTRO LIMPEZA BALANC...01X350ML    </t>
  </si>
  <si>
    <t xml:space="preserve">      9,42</t>
  </si>
  <si>
    <t xml:space="preserve">       6,75-   </t>
  </si>
  <si>
    <t xml:space="preserve">SAB PROTEX CREAM................01X 85GR    </t>
  </si>
  <si>
    <t xml:space="preserve">      59,58-   </t>
  </si>
  <si>
    <t xml:space="preserve">SAB PROTEX MACADAMIA............01X 85GR    </t>
  </si>
  <si>
    <t xml:space="preserve">     178,74-   </t>
  </si>
  <si>
    <t xml:space="preserve">SAB PROTEX CARVAO DETOX.........01X 85GR    </t>
  </si>
  <si>
    <t xml:space="preserve">      47,66-   </t>
  </si>
  <si>
    <t xml:space="preserve">GD SORR FRESH MENT IMPACT.......01X 90GR    </t>
  </si>
  <si>
    <t xml:space="preserve">      13,58-   </t>
  </si>
  <si>
    <t xml:space="preserve">KIT SH COND PALM DETOX 350ML....01X 02UN    </t>
  </si>
  <si>
    <t xml:space="preserve">     12,00</t>
  </si>
  <si>
    <t xml:space="preserve">      19,92-   </t>
  </si>
  <si>
    <t xml:space="preserve">CD SORR TRIP LIMP COMPL.........01X 70GR    </t>
  </si>
  <si>
    <t xml:space="preserve">      9,00</t>
  </si>
  <si>
    <t xml:space="preserve">      82,68-   </t>
  </si>
  <si>
    <t xml:space="preserve">      3,00</t>
  </si>
  <si>
    <t xml:space="preserve">       2,99-   </t>
  </si>
  <si>
    <t xml:space="preserve">      2,00</t>
  </si>
  <si>
    <t xml:space="preserve">       2,64-   </t>
  </si>
  <si>
    <t xml:space="preserve">      31,36-   </t>
  </si>
  <si>
    <t xml:space="preserve">       5,28-   </t>
  </si>
  <si>
    <t xml:space="preserve">CD COLG TT ORIG MINT 90G P ESP..01X 03UN    </t>
  </si>
  <si>
    <t xml:space="preserve">       4,16-   </t>
  </si>
  <si>
    <t xml:space="preserve">      12,49-   </t>
  </si>
  <si>
    <t xml:space="preserve">      20,82-   </t>
  </si>
  <si>
    <t xml:space="preserve">       8,32-   </t>
  </si>
  <si>
    <t xml:space="preserve">       1,58-   </t>
  </si>
  <si>
    <t xml:space="preserve">       4,74-   </t>
  </si>
  <si>
    <t xml:space="preserve">       3,16-   </t>
  </si>
  <si>
    <t xml:space="preserve">       5,01-   </t>
  </si>
  <si>
    <t xml:space="preserve">      16,94-   </t>
  </si>
  <si>
    <t xml:space="preserve">      10,13-   </t>
  </si>
  <si>
    <t xml:space="preserve">       8,13-   </t>
  </si>
  <si>
    <t xml:space="preserve">       4,78-   </t>
  </si>
  <si>
    <t xml:space="preserve">       9,56-   </t>
  </si>
  <si>
    <t xml:space="preserve">SAB PALM NUTRE E HIDR LANOLINA..01X 85GR    </t>
  </si>
  <si>
    <t xml:space="preserve">     14,00</t>
  </si>
  <si>
    <t xml:space="preserve">      11,34-   </t>
  </si>
  <si>
    <t xml:space="preserve">SAB PROTEX BABY PROT DELICADA...01X 85GR    </t>
  </si>
  <si>
    <t xml:space="preserve">      11,49-   </t>
  </si>
  <si>
    <t xml:space="preserve">       1,49-   </t>
  </si>
  <si>
    <t xml:space="preserve">CD COLG TRIP ACAO PRECO ESPEC...01X180GR    </t>
  </si>
  <si>
    <t xml:space="preserve">       9,14-   </t>
  </si>
  <si>
    <t xml:space="preserve">       3,48-   </t>
  </si>
  <si>
    <t xml:space="preserve">       2,14-   </t>
  </si>
  <si>
    <t xml:space="preserve">      10,16-   </t>
  </si>
  <si>
    <t xml:space="preserve">       3,37-   </t>
  </si>
  <si>
    <t xml:space="preserve">       0,71-   </t>
  </si>
  <si>
    <t xml:space="preserve">       5,77-   </t>
  </si>
  <si>
    <t xml:space="preserve">SAB PROTEX AVEIA................01X 85GR    </t>
  </si>
  <si>
    <t xml:space="preserve">      11,66-   </t>
  </si>
  <si>
    <t xml:space="preserve">ED COLG CLASSIC LG MACIA........01X 01UN    </t>
  </si>
  <si>
    <t xml:space="preserve">     18,00</t>
  </si>
  <si>
    <t xml:space="preserve">      23,11-   </t>
  </si>
  <si>
    <t xml:space="preserve">CD COLG SENS PRO ALIV ORIG......01X 90GR    </t>
  </si>
  <si>
    <t xml:space="preserve">       9,12-   </t>
  </si>
  <si>
    <t xml:space="preserve">       5,97-   </t>
  </si>
  <si>
    <t xml:space="preserve">       1,29-   </t>
  </si>
  <si>
    <t xml:space="preserve">       6,82-   </t>
  </si>
  <si>
    <t xml:space="preserve">CD COLG TT12 ANTI TARTARO.......01X 90GR    </t>
  </si>
  <si>
    <t xml:space="preserve">       8,14-   </t>
  </si>
  <si>
    <t xml:space="preserve">       4,90-   </t>
  </si>
  <si>
    <t xml:space="preserve">       2,10-   </t>
  </si>
  <si>
    <t xml:space="preserve">      13,24-   </t>
  </si>
  <si>
    <t xml:space="preserve">       4,68-   </t>
  </si>
  <si>
    <t xml:space="preserve">SAB PALM NUTRIMILK SUAV GELEIA..01X 85GR    </t>
  </si>
  <si>
    <t xml:space="preserve">      11,91-   </t>
  </si>
  <si>
    <t xml:space="preserve">SAB PROTEX LIM PROFUNDA.........01X 85GR    </t>
  </si>
  <si>
    <t xml:space="preserve">      23,83-   </t>
  </si>
  <si>
    <t xml:space="preserve">       3,04-   </t>
  </si>
  <si>
    <t xml:space="preserve">       6,96-   </t>
  </si>
  <si>
    <t xml:space="preserve">       3,96-   </t>
  </si>
  <si>
    <t xml:space="preserve">       6,77-   </t>
  </si>
  <si>
    <t xml:space="preserve">      80,89-   </t>
  </si>
  <si>
    <t xml:space="preserve">      34,99-   </t>
  </si>
  <si>
    <t xml:space="preserve">SH PALM CERAMIDAS FORCE.........01X350ML    </t>
  </si>
  <si>
    <t xml:space="preserve">       3,74-   </t>
  </si>
  <si>
    <t xml:space="preserve">       2,20-   </t>
  </si>
  <si>
    <t xml:space="preserve">       5,47-   </t>
  </si>
  <si>
    <t xml:space="preserve">       1,46-   </t>
  </si>
  <si>
    <t xml:space="preserve">       1,99-   </t>
  </si>
  <si>
    <t xml:space="preserve">       4,27-   </t>
  </si>
  <si>
    <t xml:space="preserve">      12,22-   </t>
  </si>
  <si>
    <t xml:space="preserve">      16,29-   </t>
  </si>
  <si>
    <t xml:space="preserve">       6,62-   </t>
  </si>
  <si>
    <t xml:space="preserve">SAB PALM NAT CREM LEITE E PET...01X 85GR    </t>
  </si>
  <si>
    <t xml:space="preserve">       7,42-   </t>
  </si>
  <si>
    <t xml:space="preserve">       1,19-   </t>
  </si>
  <si>
    <t xml:space="preserve">      10,33-   </t>
  </si>
  <si>
    <t xml:space="preserve">       1,91-   </t>
  </si>
  <si>
    <t xml:space="preserve">       1,74-   </t>
  </si>
  <si>
    <t xml:space="preserve">FIO DENT COLG MENTA.............01X 50MT    </t>
  </si>
  <si>
    <t xml:space="preserve">       6,89-   </t>
  </si>
  <si>
    <t xml:space="preserve">       7,66-   </t>
  </si>
  <si>
    <t xml:space="preserve">       8,57-   </t>
  </si>
  <si>
    <t xml:space="preserve">       3,38-   </t>
  </si>
  <si>
    <t xml:space="preserve">       1,82-   </t>
  </si>
  <si>
    <t xml:space="preserve">       3,82-   </t>
  </si>
  <si>
    <t xml:space="preserve">       2,25-   </t>
  </si>
  <si>
    <t xml:space="preserve">       9,31-   </t>
  </si>
  <si>
    <t xml:space="preserve">      20,90-   </t>
  </si>
  <si>
    <t xml:space="preserve">       2,07-   </t>
  </si>
  <si>
    <t xml:space="preserve">ED COLG SLIM SOFT BLACK.........01X 04UN    </t>
  </si>
  <si>
    <t xml:space="preserve">       1,60-   </t>
  </si>
  <si>
    <t xml:space="preserve">       8,72-   </t>
  </si>
  <si>
    <t xml:space="preserve">      10,02-   </t>
  </si>
  <si>
    <t xml:space="preserve">       3,21-   </t>
  </si>
  <si>
    <t xml:space="preserve">      44,78-   </t>
  </si>
  <si>
    <t xml:space="preserve">COND PALM PRETOS VIBRANTES......01X350ML    </t>
  </si>
  <si>
    <t xml:space="preserve">      8,90</t>
  </si>
  <si>
    <t xml:space="preserve">       4,46-   </t>
  </si>
  <si>
    <t xml:space="preserve">      13,78-   </t>
  </si>
  <si>
    <t xml:space="preserve">       3,83-   </t>
  </si>
  <si>
    <t xml:space="preserve">      22,65-   </t>
  </si>
  <si>
    <t xml:space="preserve">      16,65-   </t>
  </si>
  <si>
    <t xml:space="preserve">       2,15-   </t>
  </si>
  <si>
    <t xml:space="preserve">       3,78-   </t>
  </si>
  <si>
    <t xml:space="preserve">CD COLG LUM WHIT BRILLIANT......01X140GR    </t>
  </si>
  <si>
    <t xml:space="preserve">      26,58-   </t>
  </si>
  <si>
    <t xml:space="preserve">PINHO SOL NAT ESSENT LAVANDA....01X 01LT    </t>
  </si>
  <si>
    <t xml:space="preserve">      21,00-   </t>
  </si>
  <si>
    <t xml:space="preserve">PINHO SOL NAT ESSENT LAVANDA...01X1.75LT    </t>
  </si>
  <si>
    <t xml:space="preserve">      30,87-   </t>
  </si>
  <si>
    <t xml:space="preserve">      37,72-   </t>
  </si>
  <si>
    <t xml:space="preserve">      31,06-   </t>
  </si>
  <si>
    <t xml:space="preserve">      37,62-   </t>
  </si>
  <si>
    <t xml:space="preserve">      12,42-   </t>
  </si>
  <si>
    <t xml:space="preserve">      23,68-   </t>
  </si>
  <si>
    <t xml:space="preserve">      11,70-   </t>
  </si>
  <si>
    <t xml:space="preserve">      27,63-   </t>
  </si>
  <si>
    <t xml:space="preserve">      27,01-   </t>
  </si>
  <si>
    <t xml:space="preserve">ENXAG PLAX MELANCIA.............01X250ML    </t>
  </si>
  <si>
    <t xml:space="preserve">      19,76-   </t>
  </si>
  <si>
    <t xml:space="preserve">ED SORR ORIGINAL MACIA..........01X 01UN    </t>
  </si>
  <si>
    <t xml:space="preserve">       6,04-   </t>
  </si>
  <si>
    <t xml:space="preserve">     106,34-   </t>
  </si>
  <si>
    <t xml:space="preserve">      63,01-   </t>
  </si>
  <si>
    <t xml:space="preserve">      77,17-   </t>
  </si>
  <si>
    <t xml:space="preserve">     150,48-   </t>
  </si>
  <si>
    <t xml:space="preserve">     23,50</t>
  </si>
  <si>
    <t xml:space="preserve">      58,37-   </t>
  </si>
  <si>
    <t xml:space="preserve">     185,55-   </t>
  </si>
  <si>
    <t xml:space="preserve">      23,40-   </t>
  </si>
  <si>
    <t xml:space="preserve">     108,07-   </t>
  </si>
  <si>
    <t xml:space="preserve">      29,64-   </t>
  </si>
  <si>
    <t xml:space="preserve">SAB PALM CAFE E OLEO AMENDOA....01X 85GR    </t>
  </si>
  <si>
    <t xml:space="preserve">     26,90</t>
  </si>
  <si>
    <t xml:space="preserve">      13,81-   </t>
  </si>
  <si>
    <t xml:space="preserve">      18,81-   </t>
  </si>
  <si>
    <t xml:space="preserve">      53,17-   </t>
  </si>
  <si>
    <t xml:space="preserve">      46,30-   </t>
  </si>
  <si>
    <t xml:space="preserve">      59,31-   </t>
  </si>
  <si>
    <t xml:space="preserve">      75,24-   </t>
  </si>
  <si>
    <t xml:space="preserve">      38,91-   </t>
  </si>
  <si>
    <t xml:space="preserve">      92,77-   </t>
  </si>
  <si>
    <t xml:space="preserve">      55,26-   </t>
  </si>
  <si>
    <t xml:space="preserve">      54,03-   </t>
  </si>
  <si>
    <t xml:space="preserve">      19,45-   </t>
  </si>
  <si>
    <t xml:space="preserve">      42,01-   </t>
  </si>
  <si>
    <t xml:space="preserve">      39,54-   </t>
  </si>
  <si>
    <t xml:space="preserve">       8,29-   </t>
  </si>
  <si>
    <t xml:space="preserve">      59,29-   </t>
  </si>
  <si>
    <t xml:space="preserve">      62,17-   </t>
  </si>
  <si>
    <t xml:space="preserve">     20,00</t>
  </si>
  <si>
    <t xml:space="preserve">      42,00-   </t>
  </si>
  <si>
    <t xml:space="preserve">      51,33-   </t>
  </si>
  <si>
    <t xml:space="preserve">      31,69-   </t>
  </si>
  <si>
    <t xml:space="preserve">      51,16-   </t>
  </si>
  <si>
    <t xml:space="preserve">     28,00</t>
  </si>
  <si>
    <t xml:space="preserve">      23,65-   </t>
  </si>
  <si>
    <t xml:space="preserve">      45,09-   </t>
  </si>
  <si>
    <t xml:space="preserve">       5,96-   </t>
  </si>
  <si>
    <t xml:space="preserve">      73,53-   </t>
  </si>
  <si>
    <t xml:space="preserve">      15,75-   </t>
  </si>
  <si>
    <t xml:space="preserve">      38,50-   </t>
  </si>
  <si>
    <t xml:space="preserve">      38,37-   </t>
  </si>
  <si>
    <t xml:space="preserve">      19,85-   </t>
  </si>
  <si>
    <t xml:space="preserve">      37,84-   </t>
  </si>
  <si>
    <t xml:space="preserve">      55,15-   </t>
  </si>
  <si>
    <t xml:space="preserve">      12,67-   </t>
  </si>
  <si>
    <t xml:space="preserve">      24,15-   </t>
  </si>
  <si>
    <t xml:space="preserve">      21,43-   </t>
  </si>
  <si>
    <t xml:space="preserve">      31,50-   </t>
  </si>
  <si>
    <t xml:space="preserve">      28,18-   </t>
  </si>
  <si>
    <t xml:space="preserve">      21,11-   </t>
  </si>
  <si>
    <t xml:space="preserve">       6,17-   </t>
  </si>
  <si>
    <t xml:space="preserve">      27,12-   </t>
  </si>
  <si>
    <t xml:space="preserve">      20,16-   </t>
  </si>
  <si>
    <t xml:space="preserve">      18,86-   </t>
  </si>
  <si>
    <t xml:space="preserve">      15,53-   </t>
  </si>
  <si>
    <t xml:space="preserve">      11,84-   </t>
  </si>
  <si>
    <t xml:space="preserve">       5,85-   </t>
  </si>
  <si>
    <t xml:space="preserve">      21,26-   </t>
  </si>
  <si>
    <t xml:space="preserve">      12,34-   </t>
  </si>
  <si>
    <t xml:space="preserve">      15,09-   </t>
  </si>
  <si>
    <t xml:space="preserve">      15,04-   </t>
  </si>
  <si>
    <t xml:space="preserve">       9,93-   </t>
  </si>
  <si>
    <t xml:space="preserve">      18,95-   </t>
  </si>
  <si>
    <t xml:space="preserve">      22,10-   </t>
  </si>
  <si>
    <t xml:space="preserve">      21,61-   </t>
  </si>
  <si>
    <t xml:space="preserve">      33,60-   </t>
  </si>
  <si>
    <t xml:space="preserve">      15,81-   </t>
  </si>
  <si>
    <t xml:space="preserve">SH PALM ANTIARMADO..............01X350ML    </t>
  </si>
  <si>
    <t xml:space="preserve">COND PALM NATURALS CERAMIDAS....01X600ML    </t>
  </si>
  <si>
    <t xml:space="preserve">       6,93-   </t>
  </si>
  <si>
    <t xml:space="preserve">       7,90-   </t>
  </si>
  <si>
    <t xml:space="preserve">      15,79-   </t>
  </si>
  <si>
    <t xml:space="preserve">       7,17-   </t>
  </si>
  <si>
    <t xml:space="preserve">SH PALM KIDS CAB CACHEADO.......01X350ML    </t>
  </si>
  <si>
    <t xml:space="preserve">       5,26-   </t>
  </si>
  <si>
    <t xml:space="preserve">       8,28-   </t>
  </si>
  <si>
    <t xml:space="preserve">COND PALM KIDS CAB CACHEADO.....01X350ML    </t>
  </si>
  <si>
    <t xml:space="preserve">AJAX FRESH BLUE.................01X500ML    </t>
  </si>
  <si>
    <t xml:space="preserve">CD COLG LUM WHIT BRILLANT.......01X 70GR    </t>
  </si>
  <si>
    <t xml:space="preserve">CD COLG LUM WHIT CARV ATIV......01X 70GR    </t>
  </si>
  <si>
    <t xml:space="preserve">      33,26-   </t>
  </si>
  <si>
    <t xml:space="preserve">      10,04-   </t>
  </si>
  <si>
    <t xml:space="preserve">       7,08-   </t>
  </si>
  <si>
    <t xml:space="preserve">CD COLG SENS PRO ALIV XTRE......01X 90GR    </t>
  </si>
  <si>
    <t xml:space="preserve">CD COLG SENS PRO ALIV XTRE......01X140GR    </t>
  </si>
  <si>
    <t xml:space="preserve">       8,49-   </t>
  </si>
  <si>
    <t xml:space="preserve">      34,77-   </t>
  </si>
  <si>
    <t xml:space="preserve">CD COLG TT12 ANTI TARTARO 90G...01X 03UN    </t>
  </si>
  <si>
    <t xml:space="preserve">CD COLG TT12 GENGIV REFOR 90G...01X 03UN    </t>
  </si>
  <si>
    <t xml:space="preserve">       8,75-   </t>
  </si>
  <si>
    <t xml:space="preserve">      10,97-   </t>
  </si>
  <si>
    <t xml:space="preserve">     118,58-   </t>
  </si>
  <si>
    <t xml:space="preserve">      12,98-   </t>
  </si>
  <si>
    <t xml:space="preserve">ED COLG TRIPLA ACAO L2.P1.......01X 02UN    </t>
  </si>
  <si>
    <t xml:space="preserve">ENXAG PLAX ICE INFINITY.........01X500ML    </t>
  </si>
  <si>
    <t xml:space="preserve">ENXAG PLAX ICE L500.P350........01X500ML    </t>
  </si>
  <si>
    <t xml:space="preserve">ENXAG PLAX KIDS MINIONS.........01X250ML    </t>
  </si>
  <si>
    <t xml:space="preserve">ENXAG PLAX KIDS.................01X250ML    </t>
  </si>
  <si>
    <t xml:space="preserve">ENXAG PLAX ODOR CONTR...........01X250ML    </t>
  </si>
  <si>
    <t xml:space="preserve">ENXAG PLAX ODOR CONTR...........01X500ML    </t>
  </si>
  <si>
    <t xml:space="preserve">       2,78-   </t>
  </si>
  <si>
    <t xml:space="preserve">FIO DENT COLG TOTAL.............01X 50MT    </t>
  </si>
  <si>
    <t xml:space="preserve">       6,94-   </t>
  </si>
  <si>
    <t xml:space="preserve">       1,79-   </t>
  </si>
  <si>
    <t xml:space="preserve">GD TANDY UVA....................01X 50GR    </t>
  </si>
  <si>
    <t xml:space="preserve">       3,00-   </t>
  </si>
  <si>
    <t xml:space="preserve">      15,43-   </t>
  </si>
  <si>
    <t xml:space="preserve">PINHO SOL ORIGINAL..............01X 01LT    </t>
  </si>
  <si>
    <t xml:space="preserve">       8,40-   </t>
  </si>
  <si>
    <t xml:space="preserve">PINHO SOL ORIGINAL..............01X500ML    </t>
  </si>
  <si>
    <t xml:space="preserve">       3,25-   </t>
  </si>
  <si>
    <t xml:space="preserve">SAB LIQ PALM CAMELIA RF.........01X900ML    </t>
  </si>
  <si>
    <t xml:space="preserve">SAB LIQ PALM NAT OLEO NUTRIT....01X250ML    </t>
  </si>
  <si>
    <t xml:space="preserve">SAB LIQ PALM NAT TURMALINA......01X250ML    </t>
  </si>
  <si>
    <t xml:space="preserve">SAB LIQ PROTEX INTIMO INTIM DEL.01X 02UN    </t>
  </si>
  <si>
    <t xml:space="preserve">     24,92</t>
  </si>
  <si>
    <t xml:space="preserve">      56,33-   </t>
  </si>
  <si>
    <t xml:space="preserve">SAB PROTEX ERVA DOCE............01X 85GR    </t>
  </si>
  <si>
    <t xml:space="preserve">     112,67-   </t>
  </si>
  <si>
    <t xml:space="preserve">SAB PROTEX OMEGA3...............01X 85GR    </t>
  </si>
  <si>
    <t xml:space="preserve">SAB PROTEX VITAMINA E...........01X 85GR    </t>
  </si>
  <si>
    <t xml:space="preserve">ENXAG COLG 500ML GTS CD MIN 90G.01X 01UN    </t>
  </si>
  <si>
    <t xml:space="preserve">SAB LIQ PALM MELANCIA LICHIA....01X250ML    </t>
  </si>
  <si>
    <t xml:space="preserve">CD SORR KOLYNOS ED LIMITADA.....01X 90GR    </t>
  </si>
  <si>
    <t xml:space="preserve">ED COLG PRO CUIDADO SENSITIVE...01X 02UN    </t>
  </si>
  <si>
    <t xml:space="preserve">      21,70-   </t>
  </si>
  <si>
    <t xml:space="preserve">ED COLG LUM WHITE CHARCOAL MC...01X 02UN    </t>
  </si>
  <si>
    <t xml:space="preserve">      20,35-   </t>
  </si>
  <si>
    <t xml:space="preserve">ED COLG SMILES HARRY POTTER 6M..01X 01UN    </t>
  </si>
  <si>
    <t xml:space="preserve">      11,61-   </t>
  </si>
  <si>
    <t xml:space="preserve">     110,52-   </t>
  </si>
  <si>
    <t xml:space="preserve">       7,12-   </t>
  </si>
  <si>
    <t xml:space="preserve">       7,31-   </t>
  </si>
  <si>
    <t xml:space="preserve">AJAX FRESH......................01X500ML    </t>
  </si>
  <si>
    <t xml:space="preserve">AJAX LIMP PERF FLORES CAMPOS....01X500ML    </t>
  </si>
  <si>
    <t xml:space="preserve">AJAX LIMP PERF LAVANDA..........01X500ML    </t>
  </si>
  <si>
    <t xml:space="preserve">       7,73-   </t>
  </si>
  <si>
    <t xml:space="preserve">      54,25-   </t>
  </si>
  <si>
    <t xml:space="preserve">CD COLG LUM WHIT GLOW...........01X 70GR    </t>
  </si>
  <si>
    <t xml:space="preserve">       4,71-   </t>
  </si>
  <si>
    <t xml:space="preserve">CD COLG NAT EXT CARV MENTA......01X140GR    </t>
  </si>
  <si>
    <t xml:space="preserve">CD COLG NEUTRACUCAR.............01X 70GR    </t>
  </si>
  <si>
    <t xml:space="preserve">       3,11-   </t>
  </si>
  <si>
    <t xml:space="preserve">       7,22-   </t>
  </si>
  <si>
    <t xml:space="preserve">      14,83-   </t>
  </si>
  <si>
    <t xml:space="preserve">      11,82-   </t>
  </si>
  <si>
    <t xml:space="preserve">CD COLG TRIP ACAO X WHITE.......01X 70GR    </t>
  </si>
  <si>
    <t xml:space="preserve">       2,47-   </t>
  </si>
  <si>
    <t xml:space="preserve">CD COLG TRIP ACAO X WHITE.......01X120GR    </t>
  </si>
  <si>
    <t xml:space="preserve">       3,81-   </t>
  </si>
  <si>
    <t xml:space="preserve">       3,76-   </t>
  </si>
  <si>
    <t xml:space="preserve">CD COLG TT12 GENGIV REFOR.......01X180GR    </t>
  </si>
  <si>
    <t xml:space="preserve">CD PREVENT ANTIPLACA............01X 90GR    </t>
  </si>
  <si>
    <t xml:space="preserve">      11,20-   </t>
  </si>
  <si>
    <t xml:space="preserve">CD SORR XTREM FRESH.............01X120GR    </t>
  </si>
  <si>
    <t xml:space="preserve">ED COLG ESSENCIAL CLEAN MACIA...01X 01UN    </t>
  </si>
  <si>
    <t xml:space="preserve">       2,40-   </t>
  </si>
  <si>
    <t xml:space="preserve">ED COLG ZIG ZAG CHARC...........01X 01UN    </t>
  </si>
  <si>
    <t xml:space="preserve">       1,25-   </t>
  </si>
  <si>
    <t xml:space="preserve">ENXAG PLAX FR MINT L500.P350....01X500ML    </t>
  </si>
  <si>
    <t xml:space="preserve">ENXAG PLAX FR MINT L750.P500....01X750ML    </t>
  </si>
  <si>
    <t xml:space="preserve">ENXAG PLAX ICE INFIN............01X250ML    </t>
  </si>
  <si>
    <t xml:space="preserve">ENXAG PLAX ODOR CONTR L750.P500.01X750ML    </t>
  </si>
  <si>
    <t xml:space="preserve">       3,66-   </t>
  </si>
  <si>
    <t xml:space="preserve">       3,06-   </t>
  </si>
  <si>
    <t xml:space="preserve">PINHO SOL CITRUS FLORAL.........01X500ML    </t>
  </si>
  <si>
    <t xml:space="preserve">PINHO SOL CITRUS LIMAO..........01X 01LT    </t>
  </si>
  <si>
    <t xml:space="preserve">       2,85-   </t>
  </si>
  <si>
    <t xml:space="preserve">      14,29-   </t>
  </si>
  <si>
    <t xml:space="preserve">       8,30-   </t>
  </si>
  <si>
    <t xml:space="preserve">SAB PALM ESF DELICADA JASMIN....01X 85GR    </t>
  </si>
  <si>
    <t xml:space="preserve">      32,96-   </t>
  </si>
  <si>
    <t xml:space="preserve">SAB PALM HIDRATA SAUDAVEL ALOE..01X 85GR    </t>
  </si>
  <si>
    <t xml:space="preserve">SAB PALM HIDRATRAC INT KARITE...01X 85GR    </t>
  </si>
  <si>
    <t xml:space="preserve">SAB PALM NAT SENSA PURI CARVAO..01X 85GR    </t>
  </si>
  <si>
    <t xml:space="preserve">SAB PALM TANGERINA ALECRIM......01X 85GR    </t>
  </si>
  <si>
    <t xml:space="preserve">      57,41-   </t>
  </si>
  <si>
    <t xml:space="preserve">SAB PROTEX SUAVE................01X 85GR    </t>
  </si>
  <si>
    <t xml:space="preserve">      16,93-   </t>
  </si>
  <si>
    <t xml:space="preserve">ED COLG SLIM SOFT GOLD MACIA....01X 02UN    </t>
  </si>
  <si>
    <t xml:space="preserve">      26,76-   </t>
  </si>
  <si>
    <t xml:space="preserve">SAB PALM KARITE 85G.............01X 03UN    </t>
  </si>
  <si>
    <t xml:space="preserve">SAB LIQ PROT LIMPEZA PROFUNDA...01X650ML    </t>
  </si>
  <si>
    <t xml:space="preserve">      22,01-   </t>
  </si>
  <si>
    <t xml:space="preserve">SAB LIQ PALM OIL FIGO ORQUIDEA..01X650ML    </t>
  </si>
  <si>
    <t xml:space="preserve">      18,60-   </t>
  </si>
  <si>
    <t xml:space="preserve">       3,87-   </t>
  </si>
  <si>
    <t xml:space="preserve">SAB LIQ PROTEX CREAM RF.........01X200ML    </t>
  </si>
  <si>
    <t xml:space="preserve">       7,96-   </t>
  </si>
  <si>
    <t xml:space="preserve">      22,15-   </t>
  </si>
  <si>
    <t xml:space="preserve">      16,63-   </t>
  </si>
  <si>
    <t xml:space="preserve">      63,33-   </t>
  </si>
  <si>
    <t xml:space="preserve">SAB LIQ PROT LIMPEZA PERFUM RF..01X200ML    </t>
  </si>
  <si>
    <t xml:space="preserve">GD TANDY MELANCIA...............01X 50GR    </t>
  </si>
  <si>
    <t xml:space="preserve">SAB LIQ PROTEX CREAM RF.........01X900ML    </t>
  </si>
  <si>
    <t xml:space="preserve">      24,91-   </t>
  </si>
  <si>
    <t xml:space="preserve">SAB LIQ PALM MELANCIA LICHIA RF.01X200ML    </t>
  </si>
  <si>
    <t xml:space="preserve">       4,98-   </t>
  </si>
  <si>
    <t xml:space="preserve">      41,54-   </t>
  </si>
  <si>
    <t xml:space="preserve">       2,81-   </t>
  </si>
  <si>
    <t xml:space="preserve">CD COLG TT12 ANTI TARTARO.......01X180GR    </t>
  </si>
  <si>
    <t xml:space="preserve">       7,52-   </t>
  </si>
  <si>
    <t xml:space="preserve">LAVA ROUPA OLA ORIGI L1000P800..01X 01LT    </t>
  </si>
  <si>
    <t xml:space="preserve">       4,41-   </t>
  </si>
  <si>
    <t xml:space="preserve">CD COLG MPA.....................01X120GR    </t>
  </si>
  <si>
    <t xml:space="preserve">      16,12-   </t>
  </si>
  <si>
    <t xml:space="preserve">       9,30-   </t>
  </si>
  <si>
    <t xml:space="preserve">      10,38-   </t>
  </si>
  <si>
    <t xml:space="preserve">      24,41-   </t>
  </si>
  <si>
    <t xml:space="preserve">      21,57-   </t>
  </si>
  <si>
    <t xml:space="preserve">      14,34-   </t>
  </si>
  <si>
    <t xml:space="preserve">      15,60-   </t>
  </si>
  <si>
    <t xml:space="preserve">      18,23-   </t>
  </si>
  <si>
    <t xml:space="preserve">      13,87-   </t>
  </si>
  <si>
    <t xml:space="preserve">      40,71-   </t>
  </si>
  <si>
    <t xml:space="preserve">       9,77-   </t>
  </si>
  <si>
    <t xml:space="preserve">      23,22-   </t>
  </si>
  <si>
    <t xml:space="preserve">      16,59-   </t>
  </si>
  <si>
    <t xml:space="preserve">       5,51-   </t>
  </si>
  <si>
    <t xml:space="preserve">     538,08-   </t>
  </si>
  <si>
    <t xml:space="preserve">      71,74-   </t>
  </si>
  <si>
    <t xml:space="preserve">     107,61-   </t>
  </si>
  <si>
    <t xml:space="preserve">      12,54-   </t>
  </si>
  <si>
    <t xml:space="preserve">       9,11-   </t>
  </si>
  <si>
    <t xml:space="preserve">       7,80-   </t>
  </si>
  <si>
    <t xml:space="preserve">       4,88-   </t>
  </si>
  <si>
    <t xml:space="preserve">      10,17-   </t>
  </si>
  <si>
    <t xml:space="preserve">      10,78-   </t>
  </si>
  <si>
    <t xml:space="preserve">      12,20-   </t>
  </si>
  <si>
    <t xml:space="preserve">       0,60-   </t>
  </si>
  <si>
    <t xml:space="preserve">       2,75-   </t>
  </si>
  <si>
    <t xml:space="preserve">       1,20-   </t>
  </si>
  <si>
    <t xml:space="preserve">       5,80-   </t>
  </si>
  <si>
    <t xml:space="preserve">CD COLG LUM WHIT CARV ATIV......01X 60GR    </t>
  </si>
  <si>
    <t xml:space="preserve">       1,48-   </t>
  </si>
  <si>
    <t xml:space="preserve">       1,81-   </t>
  </si>
  <si>
    <t xml:space="preserve">CD COLG TRIP ACAO 180G L15.P12..01X 15UN    </t>
  </si>
  <si>
    <t xml:space="preserve">       2,13-   </t>
  </si>
  <si>
    <t xml:space="preserve">       0,94-   </t>
  </si>
  <si>
    <t xml:space="preserve">ED SORR ORIGINAL DURA...........01X 01UN    </t>
  </si>
  <si>
    <t xml:space="preserve">       0,41-   </t>
  </si>
  <si>
    <t xml:space="preserve">PINHO SOL CITRUS LAVANDA........01X500ML    </t>
  </si>
  <si>
    <t xml:space="preserve">       1,67-   </t>
  </si>
  <si>
    <t xml:space="preserve">GD COLG TANDY MOR TFRU 50G L6P5.01X 06UN    </t>
  </si>
  <si>
    <t xml:space="preserve">       0,76-   </t>
  </si>
  <si>
    <t xml:space="preserve">CD COLG TT ORIG MINT 90G LMPM...01X 06UN    </t>
  </si>
  <si>
    <t xml:space="preserve">       1,07-   </t>
  </si>
  <si>
    <t xml:space="preserve">       0,18-   </t>
  </si>
  <si>
    <t xml:space="preserve">      0,04</t>
  </si>
  <si>
    <t xml:space="preserve">       2,05-   </t>
  </si>
  <si>
    <t xml:space="preserve">CD COLG TT12 GENGIV REFOR.......01X 90GR    </t>
  </si>
  <si>
    <t xml:space="preserve">      10,03-   </t>
  </si>
  <si>
    <t xml:space="preserve">CD SORR DENTES BRANCOS..........01X120GR    </t>
  </si>
  <si>
    <t xml:space="preserve">     392,68-   </t>
  </si>
  <si>
    <t xml:space="preserve">      41,46-   </t>
  </si>
  <si>
    <t xml:space="preserve">     111,94-   </t>
  </si>
  <si>
    <t xml:space="preserve">COND PALM ANTIARMADO............01X350ML    </t>
  </si>
  <si>
    <t xml:space="preserve">COND PALM LISOS RADIANTES.......01X350ML    </t>
  </si>
  <si>
    <t xml:space="preserve">      42,87-   </t>
  </si>
  <si>
    <t xml:space="preserve">      28,58-   </t>
  </si>
  <si>
    <t xml:space="preserve">ENXAG PLAX ICE COLD MINT........01X250ML    </t>
  </si>
  <si>
    <t xml:space="preserve">KIT SH COND LISOS RADIAN 350ML..01X 02UN    </t>
  </si>
  <si>
    <t xml:space="preserve">      21,04-   </t>
  </si>
  <si>
    <t xml:space="preserve">SAB PALM ESF DELICADA JASMIN....01X150GR    </t>
  </si>
  <si>
    <t xml:space="preserve">      96,48-   </t>
  </si>
  <si>
    <t xml:space="preserve">SAB PALM HIDR PERF LEIT ROSAS...01X150GR    </t>
  </si>
  <si>
    <t xml:space="preserve">     115,77-   </t>
  </si>
  <si>
    <t xml:space="preserve">      32,35-   </t>
  </si>
  <si>
    <t xml:space="preserve">     226,49-   </t>
  </si>
  <si>
    <t xml:space="preserve">SAB PALM SEGR SEDUTOR TURMALINA.01X150GR    </t>
  </si>
  <si>
    <t xml:space="preserve">     135,07-   </t>
  </si>
  <si>
    <t xml:space="preserve">SAB PROTEX BALANCE SAUDAVEL.....01X 85GR    </t>
  </si>
  <si>
    <t xml:space="preserve">     225,35-   </t>
  </si>
  <si>
    <t xml:space="preserve">     281,69-   </t>
  </si>
  <si>
    <t xml:space="preserve">     169,01-   </t>
  </si>
  <si>
    <t xml:space="preserve">      47,44-   </t>
  </si>
  <si>
    <t xml:space="preserve">      55,35-   </t>
  </si>
  <si>
    <t xml:space="preserve">     166,06-   </t>
  </si>
  <si>
    <t xml:space="preserve">      54,50-   </t>
  </si>
  <si>
    <t xml:space="preserve">      36,33-   </t>
  </si>
  <si>
    <t xml:space="preserve">SH PALM LISOS RADIANTES.........01X350ML    </t>
  </si>
  <si>
    <t xml:space="preserve">      63,58-   </t>
  </si>
  <si>
    <t xml:space="preserve">     109,00-   </t>
  </si>
  <si>
    <t xml:space="preserve">      59,04-   </t>
  </si>
  <si>
    <t xml:space="preserve">      1,60</t>
  </si>
  <si>
    <t xml:space="preserve">      32,10-   </t>
  </si>
  <si>
    <t xml:space="preserve">     117,80-   </t>
  </si>
  <si>
    <t xml:space="preserve">      82,92-   </t>
  </si>
  <si>
    <t xml:space="preserve">      77,18-   </t>
  </si>
  <si>
    <t xml:space="preserve">      97,07-   </t>
  </si>
  <si>
    <t xml:space="preserve">      31,63-   </t>
  </si>
  <si>
    <t xml:space="preserve">      31,79-   </t>
  </si>
  <si>
    <t xml:space="preserve">      45,42-   </t>
  </si>
  <si>
    <t xml:space="preserve">      10,26-   </t>
  </si>
  <si>
    <t xml:space="preserve">      11,26-   </t>
  </si>
  <si>
    <t xml:space="preserve">       6,19-   </t>
  </si>
  <si>
    <t xml:space="preserve">CD COLG SENS IMED RELE WN.......01X 90GR    </t>
  </si>
  <si>
    <t xml:space="preserve">       6,74-   </t>
  </si>
  <si>
    <t xml:space="preserve">      11,76-   </t>
  </si>
  <si>
    <t xml:space="preserve">       7,28-   </t>
  </si>
  <si>
    <t xml:space="preserve">      10,92-   </t>
  </si>
  <si>
    <t xml:space="preserve">       2,53-   </t>
  </si>
  <si>
    <t xml:space="preserve">       1,05-   </t>
  </si>
  <si>
    <t xml:space="preserve">       2,66-   </t>
  </si>
  <si>
    <t xml:space="preserve">       2,69-   </t>
  </si>
  <si>
    <t xml:space="preserve">ED SORR FRESH...................01X 02UN    </t>
  </si>
  <si>
    <t xml:space="preserve">ENXAG PLAX CLASSIC L500.P350....01X500ML    </t>
  </si>
  <si>
    <t xml:space="preserve">       1,64-   </t>
  </si>
  <si>
    <t xml:space="preserve">       2,24-   </t>
  </si>
  <si>
    <t xml:space="preserve">ENXAG PLAX ICE FUSION L500.P350.01X500ML    </t>
  </si>
  <si>
    <t xml:space="preserve">GD SORR FRESH HORT EXPLOS 90G...01X 03UN    </t>
  </si>
  <si>
    <t xml:space="preserve">       5,37-   </t>
  </si>
  <si>
    <t xml:space="preserve">       7,11-   </t>
  </si>
  <si>
    <t xml:space="preserve">     22,60</t>
  </si>
  <si>
    <t xml:space="preserve">      52,96-   </t>
  </si>
  <si>
    <t xml:space="preserve">      40,10-   </t>
  </si>
  <si>
    <t xml:space="preserve">SAB PALM CAFE E OLEO AMENDOA....01X150GR    </t>
  </si>
  <si>
    <t xml:space="preserve">     17,20</t>
  </si>
  <si>
    <t xml:space="preserve">      42,10-   </t>
  </si>
  <si>
    <t xml:space="preserve">      35,97-   </t>
  </si>
  <si>
    <t xml:space="preserve">      36,57-   </t>
  </si>
  <si>
    <t xml:space="preserve">      12,73-   </t>
  </si>
  <si>
    <t xml:space="preserve">       7,85-   </t>
  </si>
  <si>
    <t xml:space="preserve">       0,45-   </t>
  </si>
  <si>
    <t xml:space="preserve">       0,91-   </t>
  </si>
  <si>
    <t xml:space="preserve">ED COLG GENGIVA THERAPY.........01X 01UN    </t>
  </si>
  <si>
    <t xml:space="preserve">       1,13-   </t>
  </si>
  <si>
    <t xml:space="preserve">CD COLG SENS PRO ALIV IMED 90G..01X 03UN    </t>
  </si>
  <si>
    <t xml:space="preserve">      13,27-   </t>
  </si>
  <si>
    <t xml:space="preserve">      11,59-   </t>
  </si>
  <si>
    <t xml:space="preserve">CD COLG TRIP ACAO X FRESH.......01X 70GR    </t>
  </si>
  <si>
    <t xml:space="preserve">       7,37-   </t>
  </si>
  <si>
    <t xml:space="preserve">      10,76-   </t>
  </si>
  <si>
    <t xml:space="preserve">       1,31-   </t>
  </si>
  <si>
    <t xml:space="preserve">       1,10-   </t>
  </si>
  <si>
    <t xml:space="preserve">       1,61-   </t>
  </si>
  <si>
    <t xml:space="preserve">       5,29-   </t>
  </si>
  <si>
    <t xml:space="preserve">GD TANDY MORANGO 50G............01X 02UN    </t>
  </si>
  <si>
    <t xml:space="preserve">       3,88-   </t>
  </si>
  <si>
    <t xml:space="preserve">LAVA ROUPA OLA COCO.............01X 01LT    </t>
  </si>
  <si>
    <t xml:space="preserve">SAB LIQ PROTEX PRO TATTOO.......01X230ML    </t>
  </si>
  <si>
    <t xml:space="preserve">      12,48-   </t>
  </si>
  <si>
    <t xml:space="preserve">SH PALM NEUTRO LIMP BALANC......01X650ML    </t>
  </si>
  <si>
    <t xml:space="preserve">       4,32-   </t>
  </si>
  <si>
    <t xml:space="preserve">SH DARLING CERAMIDAS............01X650ML    </t>
  </si>
  <si>
    <t xml:space="preserve">KIT SH COND DARLING TILIA 350ML.01X 02UN    </t>
  </si>
  <si>
    <t xml:space="preserve">      14,95-   </t>
  </si>
  <si>
    <t xml:space="preserve">CD COLG TR ACAO MENTA 90G LMPM..01X 03UN    </t>
  </si>
  <si>
    <t xml:space="preserve">      14,74-   </t>
  </si>
  <si>
    <t xml:space="preserve">       7,89-   </t>
  </si>
  <si>
    <t xml:space="preserve">      26,35-   </t>
  </si>
  <si>
    <t xml:space="preserve">      35,44-   </t>
  </si>
  <si>
    <t xml:space="preserve">      28,00-   </t>
  </si>
  <si>
    <t xml:space="preserve">      41,16-   </t>
  </si>
  <si>
    <t xml:space="preserve">       4,03-   </t>
  </si>
  <si>
    <t xml:space="preserve">       5,53-   </t>
  </si>
  <si>
    <t xml:space="preserve">      14,47-   </t>
  </si>
  <si>
    <t xml:space="preserve">      17,48-   </t>
  </si>
  <si>
    <t xml:space="preserve">      27,14-   </t>
  </si>
  <si>
    <t xml:space="preserve">     31,20</t>
  </si>
  <si>
    <t xml:space="preserve">       4,00-   </t>
  </si>
  <si>
    <t xml:space="preserve">     26,40</t>
  </si>
  <si>
    <t xml:space="preserve">       5,30-   </t>
  </si>
  <si>
    <t xml:space="preserve">      15,48-   </t>
  </si>
  <si>
    <t xml:space="preserve">      18,01-   </t>
  </si>
  <si>
    <t xml:space="preserve">      18,42-   </t>
  </si>
  <si>
    <t xml:space="preserve">      25,15-   </t>
  </si>
  <si>
    <t xml:space="preserve">      17,98-   </t>
  </si>
  <si>
    <t xml:space="preserve">      13,36-   </t>
  </si>
  <si>
    <t xml:space="preserve">       2,04-   </t>
  </si>
  <si>
    <t xml:space="preserve">      10,44-   </t>
  </si>
  <si>
    <t xml:space="preserve">       5,61-   </t>
  </si>
  <si>
    <t xml:space="preserve">       7,03-   </t>
  </si>
  <si>
    <t xml:space="preserve">       7,34-   </t>
  </si>
  <si>
    <t xml:space="preserve">       8,87-   </t>
  </si>
  <si>
    <t xml:space="preserve">       4,06-   </t>
  </si>
  <si>
    <t xml:space="preserve">       5,38-   </t>
  </si>
  <si>
    <t xml:space="preserve">      13,77-   </t>
  </si>
  <si>
    <t xml:space="preserve">      12,76-   </t>
  </si>
  <si>
    <t xml:space="preserve">       6,36-   </t>
  </si>
  <si>
    <t xml:space="preserve">       4,20-   </t>
  </si>
  <si>
    <t xml:space="preserve">       9,34-   </t>
  </si>
  <si>
    <t xml:space="preserve">      13,68-   </t>
  </si>
  <si>
    <t xml:space="preserve">      36,79-   </t>
  </si>
  <si>
    <t xml:space="preserve">      58,17-   </t>
  </si>
  <si>
    <t xml:space="preserve">      42,74-   </t>
  </si>
  <si>
    <t xml:space="preserve">       8,35-   </t>
  </si>
  <si>
    <t xml:space="preserve">       7,20-   </t>
  </si>
  <si>
    <t xml:space="preserve">       5,74-   </t>
  </si>
  <si>
    <t xml:space="preserve">       7,51-   </t>
  </si>
  <si>
    <t xml:space="preserve">      36,31-   </t>
  </si>
  <si>
    <t xml:space="preserve">      14,08-   </t>
  </si>
  <si>
    <t xml:space="preserve">       8,31-   </t>
  </si>
  <si>
    <t xml:space="preserve">      10,99-   </t>
  </si>
  <si>
    <t xml:space="preserve">     104,16-   </t>
  </si>
  <si>
    <t xml:space="preserve">      32,13-   </t>
  </si>
  <si>
    <t xml:space="preserve">       4,09-   </t>
  </si>
  <si>
    <t xml:space="preserve">       4,29-   </t>
  </si>
  <si>
    <t xml:space="preserve">     224,49-   </t>
  </si>
  <si>
    <t xml:space="preserve">     153,02-   </t>
  </si>
  <si>
    <t xml:space="preserve">      52,24-   </t>
  </si>
  <si>
    <t xml:space="preserve">      35,80-   </t>
  </si>
  <si>
    <t xml:space="preserve">      79,92-   </t>
  </si>
  <si>
    <t xml:space="preserve">      56,59-   </t>
  </si>
  <si>
    <t xml:space="preserve">      41,56-   </t>
  </si>
  <si>
    <t xml:space="preserve">       5,58-   </t>
  </si>
  <si>
    <t xml:space="preserve">       7,00-   </t>
  </si>
  <si>
    <t xml:space="preserve">      14,61-   </t>
  </si>
  <si>
    <t xml:space="preserve">      35,32-   </t>
  </si>
  <si>
    <t xml:space="preserve">       8,08-   </t>
  </si>
  <si>
    <t xml:space="preserve">      10,70-   </t>
  </si>
  <si>
    <t xml:space="preserve">      27,42-   </t>
  </si>
  <si>
    <t xml:space="preserve">      31,27-   </t>
  </si>
  <si>
    <t xml:space="preserve">      50,80-   </t>
  </si>
  <si>
    <t xml:space="preserve">     101,37-   </t>
  </si>
  <si>
    <t xml:space="preserve">       4,18-   </t>
  </si>
  <si>
    <t xml:space="preserve">       3,99-   </t>
  </si>
  <si>
    <t xml:space="preserve">     148,89-   </t>
  </si>
  <si>
    <t xml:space="preserve">     218,30-   </t>
  </si>
  <si>
    <t xml:space="preserve">     319,68-   </t>
  </si>
  <si>
    <t xml:space="preserve">      14,14-   </t>
  </si>
  <si>
    <t xml:space="preserve">      20,78-   </t>
  </si>
  <si>
    <t xml:space="preserve">       8,83-   </t>
  </si>
  <si>
    <t xml:space="preserve">      48,52-   </t>
  </si>
  <si>
    <t xml:space="preserve">      54,84-   </t>
  </si>
  <si>
    <t xml:space="preserve">       7,81-   </t>
  </si>
  <si>
    <t xml:space="preserve">      12,70-   </t>
  </si>
  <si>
    <t xml:space="preserve">      25,34-   </t>
  </si>
  <si>
    <t xml:space="preserve">       9,09-   </t>
  </si>
  <si>
    <t xml:space="preserve">CD COLG MPA.....................01X 50GR    </t>
  </si>
  <si>
    <t xml:space="preserve">       0,36-   </t>
  </si>
  <si>
    <t xml:space="preserve">       0,81-   </t>
  </si>
  <si>
    <t xml:space="preserve">       2,82-   </t>
  </si>
  <si>
    <t xml:space="preserve">       0,80-   </t>
  </si>
  <si>
    <t xml:space="preserve">       2,08-   </t>
  </si>
  <si>
    <t xml:space="preserve">       0,27-   </t>
  </si>
  <si>
    <t xml:space="preserve">       0,84-   </t>
  </si>
  <si>
    <t xml:space="preserve">       1,00-   </t>
  </si>
  <si>
    <t xml:space="preserve">       2,84-   </t>
  </si>
  <si>
    <t xml:space="preserve">       0,61-   </t>
  </si>
  <si>
    <t xml:space="preserve">       0,85-   </t>
  </si>
  <si>
    <t xml:space="preserve">       1,44-   </t>
  </si>
  <si>
    <t xml:space="preserve">       2,11-   </t>
  </si>
  <si>
    <t xml:space="preserve">       0,82-   </t>
  </si>
  <si>
    <t xml:space="preserve">       0,46-   </t>
  </si>
  <si>
    <t xml:space="preserve">       2,12-   </t>
  </si>
  <si>
    <t xml:space="preserve">       1,08-   </t>
  </si>
  <si>
    <t xml:space="preserve">      13,17-   </t>
  </si>
  <si>
    <t xml:space="preserve">       2,01-   </t>
  </si>
  <si>
    <t xml:space="preserve">      10,29-   </t>
  </si>
  <si>
    <t xml:space="preserve">       7,23-   </t>
  </si>
  <si>
    <t xml:space="preserve">       8,74-   </t>
  </si>
  <si>
    <t xml:space="preserve">       8,01-   </t>
  </si>
  <si>
    <t xml:space="preserve">      10,61-   </t>
  </si>
  <si>
    <t xml:space="preserve">      13,57-   </t>
  </si>
  <si>
    <t xml:space="preserve">       7,74-   </t>
  </si>
  <si>
    <t xml:space="preserve">      12,57-   </t>
  </si>
  <si>
    <t xml:space="preserve">      25,08-   </t>
  </si>
  <si>
    <t xml:space="preserve">      36,84-   </t>
  </si>
  <si>
    <t xml:space="preserve">       9,00-   </t>
  </si>
  <si>
    <t xml:space="preserve">      13,79-   </t>
  </si>
  <si>
    <t xml:space="preserve">AJAX DESENG KITCHEN SQ GTS100...01X500ML    </t>
  </si>
  <si>
    <t xml:space="preserve">       2,61-   </t>
  </si>
  <si>
    <t xml:space="preserve">      15,16-   </t>
  </si>
  <si>
    <t xml:space="preserve">CD COLG LUM WHIT CARV ATIV......01X140GR    </t>
  </si>
  <si>
    <t xml:space="preserve">CD COLG LUM WHIT LOVE CAFE......01X 70GR    </t>
  </si>
  <si>
    <t xml:space="preserve">       5,55-   </t>
  </si>
  <si>
    <t xml:space="preserve">      39,74-   </t>
  </si>
  <si>
    <t xml:space="preserve">      11,85-   </t>
  </si>
  <si>
    <t xml:space="preserve">      19,91-   </t>
  </si>
  <si>
    <t xml:space="preserve">CD COLG SENS PRO ALIV GENG......01X 90GR    </t>
  </si>
  <si>
    <t xml:space="preserve">      21,24-   </t>
  </si>
  <si>
    <t xml:space="preserve">      25,47-   </t>
  </si>
  <si>
    <t xml:space="preserve">CD COLG SENS PRO ALV IMEDI ORI..01X140GR    </t>
  </si>
  <si>
    <t xml:space="preserve">      21,81-   </t>
  </si>
  <si>
    <t xml:space="preserve">      18,68-   </t>
  </si>
  <si>
    <t xml:space="preserve">CD SORR CARVAO ATIVADO 90G......01X 02UN    </t>
  </si>
  <si>
    <t xml:space="preserve">      11,16-   </t>
  </si>
  <si>
    <t xml:space="preserve">      49,37-   </t>
  </si>
  <si>
    <t xml:space="preserve">       9,74-   </t>
  </si>
  <si>
    <t xml:space="preserve">      11,51-   </t>
  </si>
  <si>
    <t xml:space="preserve">ED COLG 360 ADVANC WHITE L2.P1..01X 02UN    </t>
  </si>
  <si>
    <t xml:space="preserve">       7,25-   </t>
  </si>
  <si>
    <t xml:space="preserve">       1,56-   </t>
  </si>
  <si>
    <t xml:space="preserve">       6,64-   </t>
  </si>
  <si>
    <t xml:space="preserve">ED COLG RECYCLEAN MACIA.........01X 02UN    </t>
  </si>
  <si>
    <t xml:space="preserve">      10,31-   </t>
  </si>
  <si>
    <t xml:space="preserve">       5,24-   </t>
  </si>
  <si>
    <t xml:space="preserve">       3,97-   </t>
  </si>
  <si>
    <t xml:space="preserve">       3,69-   </t>
  </si>
  <si>
    <t xml:space="preserve">       3,10-   </t>
  </si>
  <si>
    <t xml:space="preserve">ENXAG COLG LUMINOUS WHIT CARVAO.01X500ML    </t>
  </si>
  <si>
    <t xml:space="preserve">       6,40-   </t>
  </si>
  <si>
    <t xml:space="preserve">       4,22-   </t>
  </si>
  <si>
    <t xml:space="preserve">      16,71-   </t>
  </si>
  <si>
    <t xml:space="preserve">FIO DENT COLG NAT EXTRA CARVAO..01X 25MT    </t>
  </si>
  <si>
    <t xml:space="preserve">   3,00</t>
  </si>
  <si>
    <t xml:space="preserve">FITA DENT COLG TOTAL............01X 25MT    </t>
  </si>
  <si>
    <t xml:space="preserve">      13,65-   </t>
  </si>
  <si>
    <t xml:space="preserve">GD COLG AGNES...................01X 60GR    </t>
  </si>
  <si>
    <t xml:space="preserve">      20,32-   </t>
  </si>
  <si>
    <t xml:space="preserve">GD COLG KIDS SEM FLUOR..........01X 50GR    </t>
  </si>
  <si>
    <t xml:space="preserve">       6,87-   </t>
  </si>
  <si>
    <t xml:space="preserve">GD COLG SMILES LIGA JUST........01X 75ML    </t>
  </si>
  <si>
    <t xml:space="preserve">       4,48-   </t>
  </si>
  <si>
    <t xml:space="preserve">GD COLG SMILES MINIONS..........01X100GR    </t>
  </si>
  <si>
    <t xml:space="preserve">       7,94-   </t>
  </si>
  <si>
    <t xml:space="preserve">      11,62-   </t>
  </si>
  <si>
    <t xml:space="preserve">      10,41-   </t>
  </si>
  <si>
    <t xml:space="preserve">      13,11-   </t>
  </si>
  <si>
    <t xml:space="preserve">      16,15-   </t>
  </si>
  <si>
    <t xml:space="preserve">PINHO SOL 2X PODER ORIGINAL.....01X 01LT    </t>
  </si>
  <si>
    <t xml:space="preserve">      10,08-   </t>
  </si>
  <si>
    <t xml:space="preserve">PINHO SOL CITR LAVAN L500.P450..01X500ML    </t>
  </si>
  <si>
    <t xml:space="preserve">       4,39-   </t>
  </si>
  <si>
    <t xml:space="preserve">PINHO SOL LAVANDA..............01X1.75LT    </t>
  </si>
  <si>
    <t xml:space="preserve">       3,08-   </t>
  </si>
  <si>
    <t xml:space="preserve">PINHO SOL ORIGINAL L1000.PG900..01X 01LT    </t>
  </si>
  <si>
    <t xml:space="preserve">PINHO SOL ORIGINAL L500.P450....01X500ML    </t>
  </si>
  <si>
    <t xml:space="preserve">       6,59-   </t>
  </si>
  <si>
    <t xml:space="preserve">PINHO SOL ORIGINAL.............01X1.75LT    </t>
  </si>
  <si>
    <t xml:space="preserve">ED COLG SENSITIVE PRO ALIVIO....01X 01UN    </t>
  </si>
  <si>
    <t xml:space="preserve">      12,13-   </t>
  </si>
  <si>
    <t xml:space="preserve">AJAX LIMP PERF PRIMA L1000P800..01X 01LT    </t>
  </si>
  <si>
    <t xml:space="preserve">PINHO SOL CITRUS FLORAL........01X1.75LT    </t>
  </si>
  <si>
    <t xml:space="preserve">ED ELET COLG PHIL S10 BRANCO....01X 01UN    </t>
  </si>
  <si>
    <t xml:space="preserve">KIT 1ENXAG 60ML 1CD 30G 1ED.....01X 01UN    </t>
  </si>
  <si>
    <t xml:space="preserve">       9,10-   </t>
  </si>
  <si>
    <t xml:space="preserve">CD SORR FRESH BRANQUIADOR.......01X 90GR    </t>
  </si>
  <si>
    <t xml:space="preserve">       3,64-   </t>
  </si>
  <si>
    <t xml:space="preserve">      21,36-   </t>
  </si>
  <si>
    <t xml:space="preserve">      32,42-   </t>
  </si>
  <si>
    <t xml:space="preserve">       8,27-   </t>
  </si>
  <si>
    <t xml:space="preserve">     242,13-   </t>
  </si>
  <si>
    <t xml:space="preserve">     284,60-   </t>
  </si>
  <si>
    <t xml:space="preserve">      70,89-   </t>
  </si>
  <si>
    <t xml:space="preserve">CD COLG LUM WHIT CARV ATIV 70G..01X 03UN    </t>
  </si>
  <si>
    <t xml:space="preserve">     119,23-   </t>
  </si>
  <si>
    <t xml:space="preserve">      49,89-   </t>
  </si>
  <si>
    <t xml:space="preserve">      32,28-   </t>
  </si>
  <si>
    <t xml:space="preserve">      34,12-   </t>
  </si>
  <si>
    <t xml:space="preserve">      79,05-   </t>
  </si>
  <si>
    <t xml:space="preserve">      19,48-   </t>
  </si>
  <si>
    <t xml:space="preserve">      23,02-   </t>
  </si>
  <si>
    <t xml:space="preserve">       2,48-   </t>
  </si>
  <si>
    <t xml:space="preserve">       9,52-   </t>
  </si>
  <si>
    <t xml:space="preserve">COND PALM BOOM DE HIDRATACAO....01X350ML    </t>
  </si>
  <si>
    <t xml:space="preserve">       9,51-   </t>
  </si>
  <si>
    <t xml:space="preserve">COND PALM HYDRATE HIALURONICO...01X350ML    </t>
  </si>
  <si>
    <t xml:space="preserve">COND PALM NEUTRO LIMPEZA BRILHO.01X350ML    </t>
  </si>
  <si>
    <t xml:space="preserve">      14,00-   </t>
  </si>
  <si>
    <t xml:space="preserve">      20,58-   </t>
  </si>
  <si>
    <t xml:space="preserve">SAB LIQ PROT INT DL CARE RF.....01X140ML    </t>
  </si>
  <si>
    <t xml:space="preserve">SAB LIQ PROTEX CREAM............01X250ML    </t>
  </si>
  <si>
    <t xml:space="preserve">       8,85-   </t>
  </si>
  <si>
    <t xml:space="preserve">SAB LIQ PROTEX LIMPEZA PROFUNDA.01X250ML    </t>
  </si>
  <si>
    <t xml:space="preserve">SAB LIQ PROTEX VITAMINA E.......01X250ML    </t>
  </si>
  <si>
    <t xml:space="preserve">SH PALM ANTICASPA CLASSICO......01X350ML    </t>
  </si>
  <si>
    <t xml:space="preserve">SH PALM BOOM DE HIDRATACAO......01X350ML    </t>
  </si>
  <si>
    <t xml:space="preserve">       1,36-   </t>
  </si>
  <si>
    <t xml:space="preserve">       8,60-   </t>
  </si>
  <si>
    <t xml:space="preserve">SH PALM EXT COCO NUT EXTR.......01X650ML    </t>
  </si>
  <si>
    <t xml:space="preserve">      10,75-   </t>
  </si>
  <si>
    <t xml:space="preserve">SH PALM SOS HYDRATE ACIDO HIAL..01X650ML    </t>
  </si>
  <si>
    <t xml:space="preserve">       6,45-   </t>
  </si>
  <si>
    <t xml:space="preserve">      63,18-   </t>
  </si>
  <si>
    <t xml:space="preserve">      11,83-   </t>
  </si>
  <si>
    <t xml:space="preserve">      11,06-   </t>
  </si>
  <si>
    <t xml:space="preserve">      28,94-   </t>
  </si>
  <si>
    <t xml:space="preserve">      34,96-   </t>
  </si>
  <si>
    <t xml:space="preserve">      72,10-   </t>
  </si>
  <si>
    <t xml:space="preserve">      63,67-   </t>
  </si>
  <si>
    <t xml:space="preserve">      54,28-   </t>
  </si>
  <si>
    <t xml:space="preserve">      30,96-   </t>
  </si>
  <si>
    <t xml:space="preserve">      70,22-   </t>
  </si>
  <si>
    <t xml:space="preserve">     103,15-   </t>
  </si>
  <si>
    <t xml:space="preserve">      72,04-   </t>
  </si>
  <si>
    <t xml:space="preserve">       6,81-   </t>
  </si>
  <si>
    <t xml:space="preserve">       7,58-   </t>
  </si>
  <si>
    <t xml:space="preserve">      15,14-   </t>
  </si>
  <si>
    <t xml:space="preserve">      19,87-   </t>
  </si>
  <si>
    <t xml:space="preserve">       9,96-   </t>
  </si>
  <si>
    <t xml:space="preserve">      10,90-   </t>
  </si>
  <si>
    <t xml:space="preserve">      96,85-   </t>
  </si>
  <si>
    <t xml:space="preserve">      11,37-   </t>
  </si>
  <si>
    <t xml:space="preserve">       3,75-   </t>
  </si>
  <si>
    <t xml:space="preserve">       1,34-   </t>
  </si>
  <si>
    <t xml:space="preserve">ED COLG PREMI CLEAN MEDIA.......01X 01UN    </t>
  </si>
  <si>
    <t xml:space="preserve">       1,41-   </t>
  </si>
  <si>
    <t xml:space="preserve">       1,84-   </t>
  </si>
  <si>
    <t xml:space="preserve">       1,21-   </t>
  </si>
  <si>
    <t xml:space="preserve">       3,41-   </t>
  </si>
  <si>
    <t xml:space="preserve">      16,14-   </t>
  </si>
  <si>
    <t xml:space="preserve">CD COLG NAT EXT BICARB HORTELA..01X 90GR    </t>
  </si>
  <si>
    <t xml:space="preserve">      15,06-   </t>
  </si>
  <si>
    <t xml:space="preserve">       5,65-   </t>
  </si>
  <si>
    <t xml:space="preserve">SAB LIQ PROTEX BABY GLICERINADO.01X200ML    </t>
  </si>
  <si>
    <t xml:space="preserve">   5,00</t>
  </si>
  <si>
    <t xml:space="preserve">       2,52    </t>
  </si>
  <si>
    <t xml:space="preserve">SAB LIQ PROTEX BABY LAVANDA.....01X200ML    </t>
  </si>
  <si>
    <t xml:space="preserve">ED COLG WHITENING...............01X 02UN    </t>
  </si>
  <si>
    <t xml:space="preserve">      8,10</t>
  </si>
  <si>
    <t xml:space="preserve">      53,65-   </t>
  </si>
  <si>
    <t xml:space="preserve">KIT 1SH 1COND PALM FORCE 350ML..01X 02UN    </t>
  </si>
  <si>
    <t xml:space="preserve">CD SORR TRIP LIMP COMPL.........01X180GR    </t>
  </si>
  <si>
    <t xml:space="preserve">CD SORR XTREM FRESH MENTA.......01X140GR    </t>
  </si>
  <si>
    <t xml:space="preserve">       7,70    </t>
  </si>
  <si>
    <t xml:space="preserve">      6,00</t>
  </si>
  <si>
    <t xml:space="preserve">CD COLG TT12 WHI ADV 90G L6.P5..01X 06UN    </t>
  </si>
  <si>
    <t xml:space="preserve">     25,00</t>
  </si>
  <si>
    <t xml:space="preserve">      56,52-   </t>
  </si>
  <si>
    <t xml:space="preserve">CD COLG LUM WHIT INSTANT........01X 70GR    </t>
  </si>
  <si>
    <t xml:space="preserve">      14,41-   </t>
  </si>
  <si>
    <t xml:space="preserve">CD COLG SENS PRO REL IM ORG.....01X 60GR    </t>
  </si>
  <si>
    <t xml:space="preserve">       4,80-   </t>
  </si>
  <si>
    <t xml:space="preserve">CD COLG SENS PRO ALIV R E.......01X110GR    </t>
  </si>
  <si>
    <t xml:space="preserve">       8,44-   </t>
  </si>
  <si>
    <t xml:space="preserve">ED COLG 360 MACIA L2.P1.........01X 02UN    </t>
  </si>
  <si>
    <t xml:space="preserve">     266,11-   </t>
  </si>
  <si>
    <t xml:space="preserve">      10,10-   </t>
  </si>
  <si>
    <t xml:space="preserve">CD COLG LUM WHIT GLOW 70G.......01X 02UN    </t>
  </si>
  <si>
    <t xml:space="preserve">      11,41    </t>
  </si>
  <si>
    <t xml:space="preserve">       6,72-   </t>
  </si>
  <si>
    <t xml:space="preserve">       5,00-   </t>
  </si>
  <si>
    <t xml:space="preserve">ED COLG COLORS PACK FAMILIA.....01X 05UN    </t>
  </si>
  <si>
    <t xml:space="preserve">       6,18-   </t>
  </si>
  <si>
    <t xml:space="preserve">       0,89-   </t>
  </si>
  <si>
    <t xml:space="preserve">       3,49-   </t>
  </si>
  <si>
    <t xml:space="preserve">       4,70-   </t>
  </si>
  <si>
    <t xml:space="preserve">ENXAG PLAX FR MINT ANTIBAC......01X 01LT    </t>
  </si>
  <si>
    <t xml:space="preserve">       9,01-   </t>
  </si>
  <si>
    <t xml:space="preserve">       2,21-   </t>
  </si>
  <si>
    <t xml:space="preserve">       3,23-   </t>
  </si>
  <si>
    <t xml:space="preserve">       5,57-   </t>
  </si>
  <si>
    <t xml:space="preserve">SAB LIQ PALM NAT CAMELIA RF.....01X500ML    </t>
  </si>
  <si>
    <t xml:space="preserve">       7,76    </t>
  </si>
  <si>
    <t xml:space="preserve">       3,95-   </t>
  </si>
  <si>
    <t xml:space="preserve">       0,90-   </t>
  </si>
  <si>
    <t xml:space="preserve">       2,72-   </t>
  </si>
  <si>
    <t xml:space="preserve">       1,43-   </t>
  </si>
  <si>
    <t xml:space="preserve">       6,99-   </t>
  </si>
  <si>
    <t xml:space="preserve">Razao</t>
  </si>
  <si>
    <t xml:space="preserve">Rede</t>
  </si>
  <si>
    <t xml:space="preserve">Fantasia</t>
  </si>
  <si>
    <t xml:space="preserve">Cidade</t>
  </si>
  <si>
    <t xml:space="preserve">META</t>
  </si>
  <si>
    <t xml:space="preserve">DAMASCENO E DAMASCENO LTDA</t>
  </si>
  <si>
    <t xml:space="preserve">SUPERMERCADOS PRINCESA I</t>
  </si>
  <si>
    <t xml:space="preserve">SUPERMERCADOS PRINCESAS II</t>
  </si>
  <si>
    <t xml:space="preserve">SM PRINCESA III</t>
  </si>
  <si>
    <t xml:space="preserve">SUPERMERCADO PRINCESA</t>
  </si>
  <si>
    <t xml:space="preserve">PORTAL ATACADO</t>
  </si>
  <si>
    <t xml:space="preserve">SUPERMERCADOS PRINCESA</t>
  </si>
  <si>
    <t xml:space="preserve">SM VERATTI - LJ01</t>
  </si>
  <si>
    <t xml:space="preserve">MEGA ATACADISTA LJ2</t>
  </si>
  <si>
    <t xml:space="preserve">SM VERATTI - LJ53</t>
  </si>
  <si>
    <t xml:space="preserve">MEGA ATACADISTA</t>
  </si>
  <si>
    <t xml:space="preserve">ATACADISTA MEGA</t>
  </si>
  <si>
    <t xml:space="preserve">MEGA MERCADO</t>
  </si>
  <si>
    <t xml:space="preserve">MEGA MERCADO CORUMBA</t>
  </si>
  <si>
    <t xml:space="preserve">MELO CUENCA E FILHOS LTDA</t>
  </si>
  <si>
    <t xml:space="preserve">SUPER MERCADO CUENCA</t>
  </si>
  <si>
    <t xml:space="preserve">SUPER VALLE SUPERMERCADO LTDA</t>
  </si>
  <si>
    <t xml:space="preserve">SUPER VALLE SUPERMRCADOS</t>
  </si>
  <si>
    <t xml:space="preserve"> SUPER VALLE SUPERMRCADOS</t>
  </si>
  <si>
    <t xml:space="preserve">LJ-01 ABV COMERCIO DE ALIMENTOS LTDA</t>
  </si>
  <si>
    <t xml:space="preserve">LEVEMAX CAARAPO</t>
  </si>
  <si>
    <t xml:space="preserve">LJ-02 ABV COMERCIO DE ALIMENTOS LTDA</t>
  </si>
  <si>
    <t xml:space="preserve">ABEVE ALBINO TORRACA</t>
  </si>
  <si>
    <t xml:space="preserve">CD-00 ABV COMERCIO DE ALIMENTOS LTDA</t>
  </si>
  <si>
    <t xml:space="preserve">CD-ABV SUPERMERCADO</t>
  </si>
  <si>
    <t xml:space="preserve">LJ-04 ABV COMERCIO DE ALIMENTOS LTDA</t>
  </si>
  <si>
    <t xml:space="preserve">ABEVE AGUA BOA</t>
  </si>
  <si>
    <t xml:space="preserve">LJ-03 ABV COMERCIO DE ALIMENTOS LTDA</t>
  </si>
  <si>
    <t xml:space="preserve">LEVEMAX AGUA BOA</t>
  </si>
  <si>
    <t xml:space="preserve">LJ-07 ABV COMERCIO DE ALIMENTOS LTDA</t>
  </si>
  <si>
    <t xml:space="preserve">ABEVE MARACAJU I</t>
  </si>
  <si>
    <t xml:space="preserve">LJ-09 ABV COMERCIO DE ALIMENTOS LTDA</t>
  </si>
  <si>
    <t xml:space="preserve">ABEVE PARQUE DOS IPES</t>
  </si>
  <si>
    <t xml:space="preserve">LJ-10 ABV COMERCIO DE ALIMENTOS LTDA</t>
  </si>
  <si>
    <t xml:space="preserve">ABEVE MARACAJU II</t>
  </si>
  <si>
    <t xml:space="preserve">LJ-13 ABV COMERCIO DE ALIMENTOS LTDA</t>
  </si>
  <si>
    <t xml:space="preserve">ABEVE ITAPORA</t>
  </si>
  <si>
    <t xml:space="preserve">LJ-16 ABV COMERCIO DE ALIMENTOS LTDA</t>
  </si>
  <si>
    <t xml:space="preserve">LEVEMAX PARQUE DO LAGO</t>
  </si>
  <si>
    <t xml:space="preserve">LJ-14 ABV COMERCIO DE ALIMENTOS LTDA</t>
  </si>
  <si>
    <t xml:space="preserve">LEVEMAX RIO BRILHANTE</t>
  </si>
  <si>
    <t xml:space="preserve">LJ-17 ABV COMERCIO DE ALIMENTOS LTDA</t>
  </si>
  <si>
    <t xml:space="preserve">ABEVE NOVA ANDRADINA</t>
  </si>
  <si>
    <t xml:space="preserve">LJ-21 ABV COMERCIO DE ALIMENTOS LTDA</t>
  </si>
  <si>
    <t xml:space="preserve">LEVEMAX SIDROLANDIA</t>
  </si>
  <si>
    <t xml:space="preserve">LJ-23 ABV COMERCIO DE ALIMENTOS LTDA</t>
  </si>
  <si>
    <t xml:space="preserve">ABEVE DOM PEDRO II</t>
  </si>
  <si>
    <t xml:space="preserve">LJ-24 ABV COMERCIO DE ALIMENTOS LTDA</t>
  </si>
  <si>
    <t xml:space="preserve">ABEVE AVENIDA BRASIL</t>
  </si>
  <si>
    <t xml:space="preserve">LJ-22 ABV COMERCIO DE ALIMENTOS LTDA</t>
  </si>
  <si>
    <t xml:space="preserve">LEVEMAX MARACAJU</t>
  </si>
  <si>
    <t xml:space="preserve">LJ-20 ABV COMERCIO DE ALIMENTOS LTDA</t>
  </si>
  <si>
    <t xml:space="preserve">ABEVE PARANAIBA</t>
  </si>
  <si>
    <t xml:space="preserve">LJ-18 ABV COMERCIO DE ALIMENTOS LTDA</t>
  </si>
  <si>
    <t xml:space="preserve">ABEVE FACIL UNIVERSITARIO</t>
  </si>
  <si>
    <t xml:space="preserve">LJ-25 ABV COMERCIO DE ALIMENTOS LTDA</t>
  </si>
  <si>
    <t xml:space="preserve">LEVEMAX JARDIM</t>
  </si>
  <si>
    <t xml:space="preserve">LJ-08 ABV COMERCIO DE ALIMENTOS LTDA</t>
  </si>
  <si>
    <t xml:space="preserve">LEVEMAX PARQUE ALVORADA</t>
  </si>
  <si>
    <t xml:space="preserve">LJ-27 ABV COMERCIO DE ALIMENTOS LTDA</t>
  </si>
  <si>
    <t xml:space="preserve">LEVEMAX PONTA PORA</t>
  </si>
  <si>
    <t xml:space="preserve">LJ-28 ABV COMERCIO DE ALIMENTOS LTDA</t>
  </si>
  <si>
    <t xml:space="preserve">LEVEMAX SAO GABRIEL DO OESTE</t>
  </si>
  <si>
    <t xml:space="preserve">LJ-29 ABV COMERCIO DE ALIMENTOS LTDA</t>
  </si>
  <si>
    <t xml:space="preserve">LEVEMAX COXIM</t>
  </si>
  <si>
    <t xml:space="preserve">LJ-31 ABV COMERCIO DE ALIMENTOS LTDA</t>
  </si>
  <si>
    <t xml:space="preserve">LEVEMAX SUPERATACADO MARCELINO PIRES</t>
  </si>
  <si>
    <t xml:space="preserve">LJ-32 ABV COMERCIO DE ALIMENTOS LTDA</t>
  </si>
  <si>
    <t xml:space="preserve">LEVEMAX AQUIDAUANA</t>
  </si>
  <si>
    <t xml:space="preserve">CENTRAL ECONOMICA DE DISTR REDEMS LTDA  </t>
  </si>
  <si>
    <t xml:space="preserve">REDEMS</t>
  </si>
  <si>
    <t xml:space="preserve">SUPERMERCADO VITORIA</t>
  </si>
  <si>
    <t xml:space="preserve">ATACADO DA CASA</t>
  </si>
  <si>
    <t xml:space="preserve">SUPERMERCADO BARATAO</t>
  </si>
  <si>
    <t xml:space="preserve">BATISTA QUADROS E CIA LTDA</t>
  </si>
  <si>
    <t xml:space="preserve">ATLANTICO SUPER CENTER</t>
  </si>
  <si>
    <t xml:space="preserve">ATLANTICO SUPERMERCADO</t>
  </si>
  <si>
    <t xml:space="preserve">ATLANTICO INTEGRACAO</t>
  </si>
  <si>
    <t xml:space="preserve">SUPERMERCADO ATLANTICO</t>
  </si>
  <si>
    <t xml:space="preserve">SUPERMERCADO CHAMA</t>
  </si>
  <si>
    <t xml:space="preserve">FOGO ATACADISTA</t>
  </si>
  <si>
    <t xml:space="preserve">SUP CHAMA</t>
  </si>
  <si>
    <t xml:space="preserve">CHAMA CAARAPO</t>
  </si>
  <si>
    <t xml:space="preserve">CHAMA PORTAL</t>
  </si>
  <si>
    <t xml:space="preserve">SUPERMERCADOS CHAMA</t>
  </si>
  <si>
    <t xml:space="preserve">CD NAVIRAI</t>
  </si>
  <si>
    <t xml:space="preserve">SM PIRES-LJ10</t>
  </si>
  <si>
    <t xml:space="preserve">SM PIRES- LJ06</t>
  </si>
  <si>
    <t xml:space="preserve">PIRES E CIA LTDA LJ01</t>
  </si>
  <si>
    <t xml:space="preserve">SUPERMERCADO PIRES</t>
  </si>
  <si>
    <t xml:space="preserve">SUPERMERADO PIRES LJ-32</t>
  </si>
  <si>
    <t xml:space="preserve">MELO E CUENCA LTDA</t>
  </si>
  <si>
    <t xml:space="preserve">D KASA SUPERMERCADOS</t>
  </si>
  <si>
    <t xml:space="preserve">DKASA EXPRESS</t>
  </si>
  <si>
    <t xml:space="preserve">SM COSTA 1070</t>
  </si>
  <si>
    <t xml:space="preserve">SUPERMERCADO COSTA 411</t>
  </si>
  <si>
    <t xml:space="preserve">SUPERMERCADO COSTA 2120</t>
  </si>
  <si>
    <t xml:space="preserve">SUPERMERCADO COSTA</t>
  </si>
  <si>
    <t xml:space="preserve">CENTRAL ATACADISTA</t>
  </si>
  <si>
    <t xml:space="preserve">NUNES SUPERMERCADOS LJ01</t>
  </si>
  <si>
    <t xml:space="preserve">NUNES SUPERMERCADOS LJ02</t>
  </si>
  <si>
    <t xml:space="preserve">NUNES SUPERMERCADOS LJ03</t>
  </si>
  <si>
    <t xml:space="preserve">NUNES SUPERMERCADOS LJ04</t>
  </si>
  <si>
    <t xml:space="preserve">NUNES SUPERMERCADOS LJ05</t>
  </si>
  <si>
    <t xml:space="preserve">NUNES SUPERMERCADO LJ06</t>
  </si>
  <si>
    <t xml:space="preserve">MORENA ATACADISTA</t>
  </si>
  <si>
    <t xml:space="preserve">NUNES SUPERMERCADO</t>
  </si>
  <si>
    <t xml:space="preserve">OLIVEIRA E CARNEIRO LTDA - CD</t>
  </si>
  <si>
    <t xml:space="preserve">NUNES SUPERMERCADOS</t>
  </si>
  <si>
    <t xml:space="preserve">MORENA</t>
  </si>
  <si>
    <t xml:space="preserve">LJ-11 BONANCA COM DE ALIMENTOS LTDA</t>
  </si>
  <si>
    <t xml:space="preserve">SM PIRES-LJ11</t>
  </si>
  <si>
    <t xml:space="preserve">LJ-14 BONANCA COM DE ALIMENTOS LTDA</t>
  </si>
  <si>
    <t xml:space="preserve">LOJA 14</t>
  </si>
  <si>
    <t xml:space="preserve">LJ-15 BONANCA COM DE ALIMENTOSLTDA</t>
  </si>
  <si>
    <t xml:space="preserve">LJ-09 BONANCA COM DE ALIMENTOS LTDA</t>
  </si>
  <si>
    <t xml:space="preserve">LJ-07 BONANCA COM DE ALIMENTOS LTDA</t>
  </si>
  <si>
    <t xml:space="preserve">LJ-17 BONANCA COM DE ALIMENTOS LTDA</t>
  </si>
  <si>
    <t xml:space="preserve">LJ-21 BONANCA COM DE ALIMENTOS LTDA</t>
  </si>
  <si>
    <t xml:space="preserve">LJ-22 BONANCA COM DE ALIMENTOS LTDA</t>
  </si>
  <si>
    <t xml:space="preserve">LJ-23 BONANCA COM DE ALIMENTOS LTDA</t>
  </si>
  <si>
    <t xml:space="preserve">LJ-27 BONANCA COM DE ALIMENTOS LTDA</t>
  </si>
  <si>
    <t xml:space="preserve">SUPERMERCADO PIRES LJ-27</t>
  </si>
  <si>
    <t xml:space="preserve">LJ-28 BONANCA COM DE ALIMENTOS LTDA</t>
  </si>
  <si>
    <t xml:space="preserve">LJ-29 BONANCA COM DE ALIMENTOS LTDA</t>
  </si>
  <si>
    <t xml:space="preserve">SUPERMERCADOS PIRES</t>
  </si>
  <si>
    <t xml:space="preserve">LJ-30 BONANCA COM DE ALIMENTOS LTDA</t>
  </si>
  <si>
    <t xml:space="preserve">LJ-31 BONANCA COM DE ALIMENTOS LTDA</t>
  </si>
  <si>
    <t xml:space="preserve">LJ-33 BONANCA COM DE ALIMENTOS LTDA</t>
  </si>
  <si>
    <t xml:space="preserve">LJ-34 BONANCA COM DE ALIMENTOS LTDA</t>
  </si>
  <si>
    <t xml:space="preserve">BONANCA COM DE ALIMENTOS LTDA</t>
  </si>
  <si>
    <t xml:space="preserve">LJ-35 BONANCA COM DE ALIMENTOS LTDA</t>
  </si>
  <si>
    <t xml:space="preserve">LJ-36 BONANCA COMERCIO DE ALIMENTOS LTDA</t>
  </si>
  <si>
    <t xml:space="preserve">LJ-37 BONANCA COMERCIO DE ALIMENTOS LTDA</t>
  </si>
  <si>
    <t xml:space="preserve">ALVORADA SUPERMERCADO</t>
  </si>
  <si>
    <t xml:space="preserve">SUPERMERCADO</t>
  </si>
  <si>
    <t xml:space="preserve">MATOS ESILVA LTDA</t>
  </si>
  <si>
    <t xml:space="preserve">MERCADO ALVORADA</t>
  </si>
  <si>
    <t xml:space="preserve">LJ-13 S PIRES COM DE ALIMENTOS LTDA</t>
  </si>
  <si>
    <t xml:space="preserve">SUP PIRES 1806</t>
  </si>
  <si>
    <t xml:space="preserve">LJ-02 S PIRES COM DE ALIMENTOS LTDA</t>
  </si>
  <si>
    <t xml:space="preserve">SUPERMERCADO PIRES-LJ02</t>
  </si>
  <si>
    <t xml:space="preserve">LJ-04 S PIRES COM DE ALIMENTOS LTDA</t>
  </si>
  <si>
    <t xml:space="preserve">SUP PIRES 568</t>
  </si>
  <si>
    <t xml:space="preserve">LJ-16 S PIRES COM DE ALIMENTOS LTDA</t>
  </si>
  <si>
    <t xml:space="preserve">PIRES-LJ16</t>
  </si>
  <si>
    <t xml:space="preserve">LJ-08 S PIRES COM DE ALIMENTOS LTDA</t>
  </si>
  <si>
    <t xml:space="preserve">LJ-05 S PIRES COM DE ALIMENTOS LTDA</t>
  </si>
  <si>
    <t xml:space="preserve">LJ-12 S PIRES COM DE ALIMENTOS LTDA</t>
  </si>
  <si>
    <t xml:space="preserve">LJ-18 S PIRES COM DE ALIMENTOS LTDA</t>
  </si>
  <si>
    <t xml:space="preserve">S PIRES COM DE ALIMENTOS LJ 18</t>
  </si>
  <si>
    <t xml:space="preserve">LJ-20 S PIRES COM DE ALIMENTOS LTDA</t>
  </si>
  <si>
    <t xml:space="preserve">S PIRES COM ALIMENTO LTDA LJ20</t>
  </si>
  <si>
    <t xml:space="preserve">LJ-19 S PIRES COM DE ALIMENTOS LTDA</t>
  </si>
  <si>
    <t xml:space="preserve">S PIRES COM ALIMENTO LTDA LJ19</t>
  </si>
  <si>
    <t xml:space="preserve">S. PIRES COMERCIO DE ALIMENTOS LTDA</t>
  </si>
  <si>
    <t xml:space="preserve">CD S. PIRES</t>
  </si>
  <si>
    <t xml:space="preserve">LJ-24 S PIRES COM DE ALIMENTOS LTDA</t>
  </si>
  <si>
    <t xml:space="preserve">SUP PIRES LJ 24</t>
  </si>
  <si>
    <t xml:space="preserve">LJ-25 S PIRES COM DE ALIMENTOS LTDA</t>
  </si>
  <si>
    <t xml:space="preserve">LJ-26 S PIRES COM DE ALIMENTOS LTDA</t>
  </si>
  <si>
    <t xml:space="preserve">NOVA ESTRELA COM DE ALIMENTOS SA-LJ01</t>
  </si>
  <si>
    <t xml:space="preserve">SUPERMERCADO NOVA ESTRELA-LJ01</t>
  </si>
  <si>
    <t xml:space="preserve">NOVA ESTRELA COM DE ALIMENTOS SA-LJ03</t>
  </si>
  <si>
    <t xml:space="preserve">SUPERMERCADO NOVA ESTRELA-LJ03</t>
  </si>
  <si>
    <t xml:space="preserve">NOVA ESTRELA COM DE ALIMENTOS SA</t>
  </si>
  <si>
    <t xml:space="preserve">SUPERMERCADO NOVA ESTRELA LJ 02</t>
  </si>
  <si>
    <t xml:space="preserve">NOVA ESTRELA COMERCIO DE ALIMENTOS S.A  </t>
  </si>
  <si>
    <t xml:space="preserve">NOVA ESTRELA</t>
  </si>
  <si>
    <t xml:space="preserve">MACAUBA COMERCIO DE ALIMENTOS LTDA</t>
  </si>
  <si>
    <t xml:space="preserve">COMERCIAL MACAUBA</t>
  </si>
  <si>
    <t xml:space="preserve">MERCEARIA MACAUBA</t>
  </si>
  <si>
    <t xml:space="preserve">CIDADE BRANCA COMERCIO DE ALIMENTOS EIRE</t>
  </si>
  <si>
    <t xml:space="preserve">CIDADE BRANCA SUPERMECADOS</t>
  </si>
  <si>
    <t xml:space="preserve">CIDADE BRANCA COMER DE ALIM EIRELI</t>
  </si>
  <si>
    <t xml:space="preserve">CIDADE BRANCA SUPERMERCADOS</t>
  </si>
  <si>
    <t xml:space="preserve">SOL SUPERMERCADO</t>
  </si>
  <si>
    <t xml:space="preserve">SUPERMERCADO SOL 2</t>
  </si>
  <si>
    <t xml:space="preserve">A R S SUPERMERCADOS LTDAIRELI</t>
  </si>
  <si>
    <t xml:space="preserve">CD SOL</t>
  </si>
  <si>
    <t xml:space="preserve">SUPERMERCADO SOL</t>
  </si>
  <si>
    <t xml:space="preserve">SUPERMERCADO ALVORADA</t>
  </si>
  <si>
    <t xml:space="preserve">GMAIS COMERCIO DE ALIMENTOS LTDA</t>
  </si>
  <si>
    <t xml:space="preserve">SUPERMERCADO SANTOS</t>
  </si>
  <si>
    <t xml:space="preserve">ATACADO RINCAO</t>
  </si>
  <si>
    <t xml:space="preserve">SANTOS JARDIM</t>
  </si>
  <si>
    <t xml:space="preserve">RINCAO ATACADISTA</t>
  </si>
  <si>
    <t xml:space="preserve">SUPERMERCADO THOME - EIRELI</t>
  </si>
  <si>
    <t xml:space="preserve">SUPERMERCADO THOME</t>
  </si>
  <si>
    <t xml:space="preserve">SUPERMERCADO THOME EIRELI</t>
  </si>
  <si>
    <t xml:space="preserve">SUPERMERCADO GAUCHAO LTDA</t>
  </si>
  <si>
    <t xml:space="preserve">SUPERMERCADO FERNANDES PRODUTOS ALIMENTI</t>
  </si>
  <si>
    <t xml:space="preserve">FERNANDES SUPERMERCADOS</t>
  </si>
  <si>
    <t xml:space="preserve">FERNANDES SUPERMERCADO</t>
  </si>
  <si>
    <t xml:space="preserve">A FATURAR</t>
  </si>
  <si>
    <t xml:space="preserve">JOICE MOTTA MENDES</t>
  </si>
  <si>
    <t xml:space="preserve">CONVENIENCIA SERVE MAIS</t>
  </si>
  <si>
    <t xml:space="preserve">GUSTAVO LORENTZ NEIVA</t>
  </si>
  <si>
    <t xml:space="preserve">GUGU</t>
  </si>
  <si>
    <t xml:space="preserve">ALMEIZINO BARBOSA DE SOUZA</t>
  </si>
  <si>
    <t xml:space="preserve">PANIFICADORA BARBOSA</t>
  </si>
  <si>
    <t xml:space="preserve">HEMERSON MATHEUS CHIELI</t>
  </si>
  <si>
    <t xml:space="preserve">MERCADO CHIELI</t>
  </si>
  <si>
    <t xml:space="preserve">ELIAS LONGO JUNIOR</t>
  </si>
  <si>
    <t xml:space="preserve">ESQUINA DO FRANGO</t>
  </si>
  <si>
    <t xml:space="preserve">CLEBERSON DA SILVA RODRIGUES</t>
  </si>
  <si>
    <t xml:space="preserve">ELISVALDO MARTINS DE MACEDO</t>
  </si>
  <si>
    <t xml:space="preserve">ART PAES PANIFICADORA</t>
  </si>
  <si>
    <t xml:space="preserve">ADRIANO APARECIDO GAMARRA (VEND 106)</t>
  </si>
  <si>
    <t xml:space="preserve">ADRIAN</t>
  </si>
  <si>
    <t xml:space="preserve">DALVA MARTINS ZANDONADI</t>
  </si>
  <si>
    <t xml:space="preserve">MERCADO FLORES</t>
  </si>
  <si>
    <t xml:space="preserve">ANTONIO MARCOS PEREIRA</t>
  </si>
  <si>
    <t xml:space="preserve">MERCADO ARCO IRIS</t>
  </si>
  <si>
    <t xml:space="preserve">MARCELO JOSE DA SILVA</t>
  </si>
  <si>
    <t xml:space="preserve">PANF J.K</t>
  </si>
  <si>
    <t xml:space="preserve">MARIA DAS DORES PINHEIRO DOMINGOS</t>
  </si>
  <si>
    <t xml:space="preserve">MERCADO MAIZA</t>
  </si>
  <si>
    <t xml:space="preserve">JOSE HUMBERTO MACHADO MACEDO</t>
  </si>
  <si>
    <t xml:space="preserve">BIROSCA CONVENIENCIA</t>
  </si>
  <si>
    <t xml:space="preserve">CLAUDIA FREITAS DE SOUZA</t>
  </si>
  <si>
    <t xml:space="preserve">MERCADO MORAES</t>
  </si>
  <si>
    <t xml:space="preserve">HEMERSOM PRADO ELIAS</t>
  </si>
  <si>
    <t xml:space="preserve">APARECIDA DO TABOADO</t>
  </si>
  <si>
    <t xml:space="preserve">MINI MERCADO TABOADO</t>
  </si>
  <si>
    <t xml:space="preserve">NILTON ARAUJO SILVA</t>
  </si>
  <si>
    <t xml:space="preserve">MERCADO VITORIA</t>
  </si>
  <si>
    <t xml:space="preserve">KLEITON SAFFE DELMONTES</t>
  </si>
  <si>
    <t xml:space="preserve">MERCADO PAULISTA</t>
  </si>
  <si>
    <t xml:space="preserve">MARCELO DOS SANTOS RIBEIRO</t>
  </si>
  <si>
    <t xml:space="preserve">JOSE FERNANDO DOS SANTOS</t>
  </si>
  <si>
    <t xml:space="preserve">CONVENIENCIA DO PAXECO</t>
  </si>
  <si>
    <t xml:space="preserve">JAIME DOS SANTOS</t>
  </si>
  <si>
    <t xml:space="preserve">LANCHONETE BAMBINA</t>
  </si>
  <si>
    <t xml:space="preserve">CLEITON DA SILVA ANJOLIN</t>
  </si>
  <si>
    <t xml:space="preserve">LEIDE DE ALENCAR KLEIN</t>
  </si>
  <si>
    <t xml:space="preserve">ESCOLA PADRE BLANDINO</t>
  </si>
  <si>
    <t xml:space="preserve">ELIZANGELA COSTA PEIXOTO</t>
  </si>
  <si>
    <t xml:space="preserve">MERCEARIA ANACHE</t>
  </si>
  <si>
    <t xml:space="preserve">DORIANE BENITES</t>
  </si>
  <si>
    <t xml:space="preserve">LAV AKY LAVANDERIA</t>
  </si>
  <si>
    <t xml:space="preserve">SUZI MEIRE VITTORAZI</t>
  </si>
  <si>
    <t xml:space="preserve">JOSE TIAGO DOS SANTOS</t>
  </si>
  <si>
    <t xml:space="preserve">MRC IDEAL</t>
  </si>
  <si>
    <t xml:space="preserve">ADRIANI ZIGLIOLI</t>
  </si>
  <si>
    <t xml:space="preserve">WEBER BARCELOS PAULINO</t>
  </si>
  <si>
    <t xml:space="preserve">MEGA BEER</t>
  </si>
  <si>
    <t xml:space="preserve">EDNA CONCEICAO DE OLIVEIRA</t>
  </si>
  <si>
    <t xml:space="preserve">PADARIA YULLIAYAME</t>
  </si>
  <si>
    <t xml:space="preserve">EVANILSON SIGARINI SOARES</t>
  </si>
  <si>
    <t xml:space="preserve">LUCIANE PEREIRA</t>
  </si>
  <si>
    <t xml:space="preserve">LUA CONVENIENCIA</t>
  </si>
  <si>
    <t xml:space="preserve">FERNANDO WEINERT</t>
  </si>
  <si>
    <t xml:space="preserve">FERNANDO</t>
  </si>
  <si>
    <t xml:space="preserve">ROGERIO ROBEIRO AMORIM</t>
  </si>
  <si>
    <t xml:space="preserve">PANIF HAWAY</t>
  </si>
  <si>
    <t xml:space="preserve">ZENAIDE MARTINS DA SILVA</t>
  </si>
  <si>
    <t xml:space="preserve">MERCEARIA MARTIANO</t>
  </si>
  <si>
    <t xml:space="preserve">LORETE TAWIL</t>
  </si>
  <si>
    <t xml:space="preserve">HORA DO LANCHE</t>
  </si>
  <si>
    <t xml:space="preserve">CLEOMAR MAIA</t>
  </si>
  <si>
    <t xml:space="preserve">CLEOMAR DEPOSITO</t>
  </si>
  <si>
    <t xml:space="preserve">CLEONICE R DE LIMA</t>
  </si>
  <si>
    <t xml:space="preserve">MERCEARIA VIEIRA</t>
  </si>
  <si>
    <t xml:space="preserve">ROSANGELA FREIRE DE CASTRO</t>
  </si>
  <si>
    <t xml:space="preserve">MERCEARIA CONVENIENCIA DA NEGA</t>
  </si>
  <si>
    <t xml:space="preserve">ALEXANDRA DOS SANTOS RODRIGUES</t>
  </si>
  <si>
    <t xml:space="preserve">SILVANA CAETANO DE SOUZA</t>
  </si>
  <si>
    <t xml:space="preserve">MERCEARIA SM</t>
  </si>
  <si>
    <t xml:space="preserve">EMERSON DIAS DOS SANTOS</t>
  </si>
  <si>
    <t xml:space="preserve">MERCADO DIAS</t>
  </si>
  <si>
    <t xml:space="preserve">NEREIDE BRAULIO NOVAES</t>
  </si>
  <si>
    <t xml:space="preserve">LESSIO DOS SANTOS ME</t>
  </si>
  <si>
    <t xml:space="preserve">MERCADO E ACOUGUE BOIADEIRO S</t>
  </si>
  <si>
    <t xml:space="preserve">MILENE DE OLIVEIRA SPESSATTO</t>
  </si>
  <si>
    <t xml:space="preserve">AUTO POSTO LILIAM</t>
  </si>
  <si>
    <t xml:space="preserve">TIAGO RIBEIRO DE MORAES</t>
  </si>
  <si>
    <t xml:space="preserve">MERCADO MEG BOM</t>
  </si>
  <si>
    <t xml:space="preserve">DOUGLAS MAGNO ESPINDOLO DELGADO</t>
  </si>
  <si>
    <t xml:space="preserve">TAQUARAS BAR</t>
  </si>
  <si>
    <t xml:space="preserve">HELLEN CRISTIE DE ARRUDA VIEDES</t>
  </si>
  <si>
    <t xml:space="preserve">CONVENIENCIA CEBOLINHA</t>
  </si>
  <si>
    <t xml:space="preserve">PAULO GEOVANI TEIXEIRA NETTO</t>
  </si>
  <si>
    <t xml:space="preserve">CONVENIENCIA E PADARIA</t>
  </si>
  <si>
    <t xml:space="preserve">SUZANA FAGUNDES DOS SANTOS</t>
  </si>
  <si>
    <t xml:space="preserve">SANTA RITA DO PARDO</t>
  </si>
  <si>
    <t xml:space="preserve">CABECINHAS BAR</t>
  </si>
  <si>
    <t xml:space="preserve">ADRIANA AMARILLA CRISTALDO</t>
  </si>
  <si>
    <t xml:space="preserve">SANTA MARIA</t>
  </si>
  <si>
    <t xml:space="preserve">SANDRA REGINA SARTORIO FERRAZ</t>
  </si>
  <si>
    <t xml:space="preserve">MILENE DIAS DE SOUZA</t>
  </si>
  <si>
    <t xml:space="preserve">MERCADO BOM PRECO</t>
  </si>
  <si>
    <t xml:space="preserve">SIDNEY PRESTES DE MACEDO</t>
  </si>
  <si>
    <t xml:space="preserve">MERCADO VANDAO</t>
  </si>
  <si>
    <t xml:space="preserve">RENATA DA SILVA CRUZ</t>
  </si>
  <si>
    <t xml:space="preserve">CORUJINHA CON</t>
  </si>
  <si>
    <t xml:space="preserve">SILVANA BARBOSA MELO</t>
  </si>
  <si>
    <t xml:space="preserve">PINHEIROS CONVENIENCIA</t>
  </si>
  <si>
    <t xml:space="preserve">RONI AUGUSTO COVRE</t>
  </si>
  <si>
    <t xml:space="preserve">MERCADO J.A</t>
  </si>
  <si>
    <t xml:space="preserve">RICARDO BOTELHO GOMES</t>
  </si>
  <si>
    <t xml:space="preserve">MERCEARIA UNIVERSAL</t>
  </si>
  <si>
    <t xml:space="preserve">ANDREIA MARIANO</t>
  </si>
  <si>
    <t xml:space="preserve">MERCADO BOM JESUS</t>
  </si>
  <si>
    <t xml:space="preserve">ALDEVINO LUIZ DA CUNHA</t>
  </si>
  <si>
    <t xml:space="preserve">TRIGAL DE OURO</t>
  </si>
  <si>
    <t xml:space="preserve">ANDERSON NUNES DOS SANTOS</t>
  </si>
  <si>
    <t xml:space="preserve">MERCADO ATUAL</t>
  </si>
  <si>
    <t xml:space="preserve">JORGE LUIZ MAGALHAES BRANDAO</t>
  </si>
  <si>
    <t xml:space="preserve">MERCEARIA BRANDAO</t>
  </si>
  <si>
    <t xml:space="preserve">ELIZANGELAPIRES DOS SANTOS</t>
  </si>
  <si>
    <t xml:space="preserve">BUTIQUIM</t>
  </si>
  <si>
    <t xml:space="preserve">PEDRO CLAUDEMIR DOS SANTOS DE JESUS</t>
  </si>
  <si>
    <t xml:space="preserve">MADRI</t>
  </si>
  <si>
    <t xml:space="preserve">CAROLINA POMPLILHA RODRIGUES</t>
  </si>
  <si>
    <t xml:space="preserve">MERCADO E ACOUGUE GASPARZINHO</t>
  </si>
  <si>
    <t xml:space="preserve">ALAN PETERSON CUNHA</t>
  </si>
  <si>
    <t xml:space="preserve">CONVENIENCIA TODA HORA</t>
  </si>
  <si>
    <t xml:space="preserve">SANDRO TADEU DIRSCHNABEL ARRUDA</t>
  </si>
  <si>
    <t xml:space="preserve">PANIF PALADAR</t>
  </si>
  <si>
    <t xml:space="preserve">ELIZANGELA RODRIGUES</t>
  </si>
  <si>
    <t xml:space="preserve">PIT STOP</t>
  </si>
  <si>
    <t xml:space="preserve">NOELHA OVIEDO DOS SANTOS</t>
  </si>
  <si>
    <t xml:space="preserve">MERCADO BARATINHA</t>
  </si>
  <si>
    <t xml:space="preserve">LEONIR TEREZA BRAUNER MILANI</t>
  </si>
  <si>
    <t xml:space="preserve">LANCH MILANI</t>
  </si>
  <si>
    <t xml:space="preserve">LUCIANO ROLIM DE MATOS</t>
  </si>
  <si>
    <t xml:space="preserve">MERC ASSIS BRASIL</t>
  </si>
  <si>
    <t xml:space="preserve">RAQUEL CARDOSO</t>
  </si>
  <si>
    <t xml:space="preserve">SACOLAO PANAMA</t>
  </si>
  <si>
    <t xml:space="preserve">VANIA SIMOES DUARTE</t>
  </si>
  <si>
    <t xml:space="preserve">BIG FRUTAS</t>
  </si>
  <si>
    <t xml:space="preserve">VILMA AGASSMANN</t>
  </si>
  <si>
    <t xml:space="preserve">REST CHAPADAO DO SUL</t>
  </si>
  <si>
    <t xml:space="preserve">MARIA APARECIADA PORTELA</t>
  </si>
  <si>
    <t xml:space="preserve">PORTELA</t>
  </si>
  <si>
    <t xml:space="preserve">RITA SOUZA DE AMORIM OLIVEIRA</t>
  </si>
  <si>
    <t xml:space="preserve">MERCADO OLIVEIRA</t>
  </si>
  <si>
    <t xml:space="preserve">RODRIGO MIRANDA MONTEIRO</t>
  </si>
  <si>
    <t xml:space="preserve">APARECIDA SALETE DELISE DE AQUINO</t>
  </si>
  <si>
    <t xml:space="preserve">MERCEARIA SAO JOAO BATISTA</t>
  </si>
  <si>
    <t xml:space="preserve">CLAUDEMIR DE FREITAS BERNANDO</t>
  </si>
  <si>
    <t xml:space="preserve">MINI MERCADO SKINAO</t>
  </si>
  <si>
    <t xml:space="preserve">GERALDO BARBOSA SOLARI</t>
  </si>
  <si>
    <t xml:space="preserve">ROSA MENDES SANTIAGO</t>
  </si>
  <si>
    <t xml:space="preserve">PANIF JL</t>
  </si>
  <si>
    <t xml:space="preserve">APARECIDO GUEDES DE SOUZA</t>
  </si>
  <si>
    <t xml:space="preserve">LAURA SOLANGE</t>
  </si>
  <si>
    <t xml:space="preserve">SM AGUA NOVA</t>
  </si>
  <si>
    <t xml:space="preserve">MERCADO E ACOUGUE JS</t>
  </si>
  <si>
    <t xml:space="preserve">MERCADO ACOUGUE JS</t>
  </si>
  <si>
    <t xml:space="preserve">LAURENTINO FERREIRA DE OL NETO</t>
  </si>
  <si>
    <t xml:space="preserve">PSICULTURA LANCH CACHOEIRA</t>
  </si>
  <si>
    <t xml:space="preserve">ALDOIR ANTONIO BOLLER</t>
  </si>
  <si>
    <t xml:space="preserve">CANTINA RODOVIARIA</t>
  </si>
  <si>
    <t xml:space="preserve">DIANA PRADO DA SILVA</t>
  </si>
  <si>
    <t xml:space="preserve">PANF CABREUVA</t>
  </si>
  <si>
    <t xml:space="preserve">VALDECI FRANCA DE SOUZA</t>
  </si>
  <si>
    <t xml:space="preserve">MERCEARIA CW</t>
  </si>
  <si>
    <t xml:space="preserve">TANIA GOMES FERREIRA</t>
  </si>
  <si>
    <t xml:space="preserve">PANIF 7 COPAS</t>
  </si>
  <si>
    <t xml:space="preserve">SELMA PEREIRA GUIMARAES</t>
  </si>
  <si>
    <t xml:space="preserve">MERCADO MANANCIAL</t>
  </si>
  <si>
    <t xml:space="preserve">SILVIA HELENA PEREIRA DOS SANTOS</t>
  </si>
  <si>
    <t xml:space="preserve">SILVINHA</t>
  </si>
  <si>
    <t xml:space="preserve">RICARDO DOS SANTOS FERREIRA</t>
  </si>
  <si>
    <t xml:space="preserve">SAO JOAO MERCEARIA</t>
  </si>
  <si>
    <t xml:space="preserve">RODRIGO DE SOUZA SOARES</t>
  </si>
  <si>
    <t xml:space="preserve">MERCEARIA LOPES</t>
  </si>
  <si>
    <t xml:space="preserve">GISLAINE DE OLIVEIRA JOVINO</t>
  </si>
  <si>
    <t xml:space="preserve">GOIAS CONVENIENCIA</t>
  </si>
  <si>
    <t xml:space="preserve">LARI L PAS DO REAL</t>
  </si>
  <si>
    <t xml:space="preserve">PANIF TRES LAGOAS</t>
  </si>
  <si>
    <t xml:space="preserve">MARILCE DOS SANTOS</t>
  </si>
  <si>
    <t xml:space="preserve">INACIO ANTONIO DE CARVALHO JUNIOR</t>
  </si>
  <si>
    <t xml:space="preserve">GIBA CONVENIENCIA</t>
  </si>
  <si>
    <t xml:space="preserve">EDVALDO JUNIOR DE QUEIROZ</t>
  </si>
  <si>
    <t xml:space="preserve">MERCADO GANGURU</t>
  </si>
  <si>
    <t xml:space="preserve">EDINEI APOLONIO BARBOSA</t>
  </si>
  <si>
    <t xml:space="preserve">CONV E MERCEARIA BARBOSA</t>
  </si>
  <si>
    <t xml:space="preserve">VALMIR DE JESUS LOPES</t>
  </si>
  <si>
    <t xml:space="preserve">CONVENIENCIA DO CARECA</t>
  </si>
  <si>
    <t xml:space="preserve">WAGNER APARECIDO MOURA</t>
  </si>
  <si>
    <t xml:space="preserve">MERCEARIA E SACOLAO</t>
  </si>
  <si>
    <t xml:space="preserve">SONIA LOPES DUTRA</t>
  </si>
  <si>
    <t xml:space="preserve">MINI MERCADO DUTRA</t>
  </si>
  <si>
    <t xml:space="preserve">BENTO FERREIRA DE LEMOS</t>
  </si>
  <si>
    <t xml:space="preserve">MERCEARIA FERREIRA</t>
  </si>
  <si>
    <t xml:space="preserve">CAMILA DUTRA CARDOSO</t>
  </si>
  <si>
    <t xml:space="preserve">PANIF ALIANCA</t>
  </si>
  <si>
    <t xml:space="preserve">ELIANE DOS SANTOS GAUTO</t>
  </si>
  <si>
    <t xml:space="preserve">MERCADO AQUARIOS</t>
  </si>
  <si>
    <t xml:space="preserve">ANA CLAUDIA OLIVEIRA RAFAEL</t>
  </si>
  <si>
    <t xml:space="preserve">MERCEARIA RAFAEL</t>
  </si>
  <si>
    <t xml:space="preserve">SOLANGE LAURINDO DE LIMA</t>
  </si>
  <si>
    <t xml:space="preserve">MERCEARIA E LOJA ALTERNATIVA</t>
  </si>
  <si>
    <t xml:space="preserve">ANGELICA MARTINS CABREIRA</t>
  </si>
  <si>
    <t xml:space="preserve">COVENIENCIA KAROLINA</t>
  </si>
  <si>
    <t xml:space="preserve">TANIA AP DOS SANTOS</t>
  </si>
  <si>
    <t xml:space="preserve">MERCEARIA MERCEBRAS</t>
  </si>
  <si>
    <t xml:space="preserve">ALESSANDRA BARBOSA DA SILVA OLIVEIRA</t>
  </si>
  <si>
    <t xml:space="preserve">24 HS CONVENIENCIA</t>
  </si>
  <si>
    <t xml:space="preserve">FLAVIO DE ALMEIDA LOPES</t>
  </si>
  <si>
    <t xml:space="preserve">NOROESTE CONVENIENCIA</t>
  </si>
  <si>
    <t xml:space="preserve">DAIANE FREITAS BARROS</t>
  </si>
  <si>
    <t xml:space="preserve">TODA HORA CONVERNIENCIA</t>
  </si>
  <si>
    <t xml:space="preserve">MAURO FLORENCIO DA SILVA</t>
  </si>
  <si>
    <t xml:space="preserve">MERCADO DO BAU</t>
  </si>
  <si>
    <t xml:space="preserve">ELOI VOLPATO</t>
  </si>
  <si>
    <t xml:space="preserve">MERCEARIA VOLPATO</t>
  </si>
  <si>
    <t xml:space="preserve">ELIZABETE DOS SANTOS</t>
  </si>
  <si>
    <t xml:space="preserve">CONVENIENCIA MOTTO</t>
  </si>
  <si>
    <t xml:space="preserve">MIGUEL ABRAYIM AYACH</t>
  </si>
  <si>
    <t xml:space="preserve">CANTINA PISTACHE</t>
  </si>
  <si>
    <t xml:space="preserve">RAFAEL DA SILVA ALVES</t>
  </si>
  <si>
    <t xml:space="preserve">ALEGRETE LANCHES</t>
  </si>
  <si>
    <t xml:space="preserve">ALDA SARAIVA DA SILVA</t>
  </si>
  <si>
    <t xml:space="preserve">MERCADO SUL</t>
  </si>
  <si>
    <t xml:space="preserve">RICKSON AYNORI BENEDITO LIMA</t>
  </si>
  <si>
    <t xml:space="preserve">MERCADO REAL</t>
  </si>
  <si>
    <t xml:space="preserve">ANTONIO DA SILVA ARAUJO</t>
  </si>
  <si>
    <t xml:space="preserve">TATIANA FRANCA</t>
  </si>
  <si>
    <t xml:space="preserve">APARECIDA FRAGATO DOS SANTOS</t>
  </si>
  <si>
    <t xml:space="preserve">MERCEARIA TUIUIU</t>
  </si>
  <si>
    <t xml:space="preserve">GIL PASSIFICO TOGNINI</t>
  </si>
  <si>
    <t xml:space="preserve">AVENIDA CONVENIENCIA</t>
  </si>
  <si>
    <t xml:space="preserve">EZEQUIEL ANTONIO ROSATO</t>
  </si>
  <si>
    <t xml:space="preserve">CONVEN LA</t>
  </si>
  <si>
    <t xml:space="preserve">LAURO FERREIRA BARBOSA</t>
  </si>
  <si>
    <t xml:space="preserve">LOJA DO LAURO</t>
  </si>
  <si>
    <t xml:space="preserve">PEDRO DE SOUZA OLIVEIRA</t>
  </si>
  <si>
    <t xml:space="preserve">MERCEARIA OLIVEIRA</t>
  </si>
  <si>
    <t xml:space="preserve">MARIA APARECIDA DA SILVA</t>
  </si>
  <si>
    <t xml:space="preserve">SM VERDURAO JVM</t>
  </si>
  <si>
    <t xml:space="preserve">DOUGLAS SOUZA DA SILVA</t>
  </si>
  <si>
    <t xml:space="preserve">DIEGO DE OLIVEIRA PEREIRA (REP 107)</t>
  </si>
  <si>
    <t xml:space="preserve">PAIA SECA</t>
  </si>
  <si>
    <t xml:space="preserve">MARIA APARECIDA BARBOSA</t>
  </si>
  <si>
    <t xml:space="preserve">CANTINA DA MACE</t>
  </si>
  <si>
    <t xml:space="preserve">MARCELLO DELFIM DE BARROS GONZAGA</t>
  </si>
  <si>
    <t xml:space="preserve">WALDECY DE OLIVEIRA LUIZ</t>
  </si>
  <si>
    <t xml:space="preserve">WAL CONVENIENCIA</t>
  </si>
  <si>
    <t xml:space="preserve">SIMONE BATISTA REIS</t>
  </si>
  <si>
    <t xml:space="preserve">MERCADO SIVAL</t>
  </si>
  <si>
    <t xml:space="preserve">ELIANE DE JESUS GASPARETO</t>
  </si>
  <si>
    <t xml:space="preserve">FRUTAO</t>
  </si>
  <si>
    <t xml:space="preserve">VANESSA DE OLIVEIRA NANTES DA SILVA</t>
  </si>
  <si>
    <t xml:space="preserve">FUNCIONARIA</t>
  </si>
  <si>
    <t xml:space="preserve">MICHELLA ALVES DE FREITAS</t>
  </si>
  <si>
    <t xml:space="preserve">UNIAO BAR</t>
  </si>
  <si>
    <t xml:space="preserve">ROSANGELA AJALA JARSON</t>
  </si>
  <si>
    <t xml:space="preserve">MERCEARIA MICKEY</t>
  </si>
  <si>
    <t xml:space="preserve">RICARDO SCHLEY CUNHA</t>
  </si>
  <si>
    <t xml:space="preserve">ACELINO ROBERTO FERREIRA</t>
  </si>
  <si>
    <t xml:space="preserve">ACELINO</t>
  </si>
  <si>
    <t xml:space="preserve">FRANCISCO XAVIER DE OLIVEIRA</t>
  </si>
  <si>
    <t xml:space="preserve">WENIA MARTINS AFONSO</t>
  </si>
  <si>
    <t xml:space="preserve">MERCEARIA PROCO</t>
  </si>
  <si>
    <t xml:space="preserve">LUCIMAR CALISTO DE OLIVEIRA</t>
  </si>
  <si>
    <t xml:space="preserve">RAQUEL DE OLIVEIRA</t>
  </si>
  <si>
    <t xml:space="preserve">MERCADO RAQUEL</t>
  </si>
  <si>
    <t xml:space="preserve">NILSON RODRIGUES JUNIOR</t>
  </si>
  <si>
    <t xml:space="preserve">ANA CAROLINA TEIXEIRA DE MENEZES</t>
  </si>
  <si>
    <t xml:space="preserve">MERCADO 3M</t>
  </si>
  <si>
    <t xml:space="preserve">AZONA COSTA DE OLIVEIRA</t>
  </si>
  <si>
    <t xml:space="preserve">MERCADO DO PANTEIRA</t>
  </si>
  <si>
    <t xml:space="preserve">ANTONIO PINTO MENEZES</t>
  </si>
  <si>
    <t xml:space="preserve">LUIZ CARLOS DE OLIVEIRA TEIXEIRA</t>
  </si>
  <si>
    <t xml:space="preserve">CASA DE CARNE SIMENTAL</t>
  </si>
  <si>
    <t xml:space="preserve">JULIO ROMEIRO RAMOS</t>
  </si>
  <si>
    <t xml:space="preserve">ACOUGUE E CONVENIENCIA JG</t>
  </si>
  <si>
    <t xml:space="preserve">MARIA FATIMA DOS SANTOS</t>
  </si>
  <si>
    <t xml:space="preserve">MERCEARIA SANTA RITA</t>
  </si>
  <si>
    <t xml:space="preserve">MARCOS LUCAS DE ROCHA</t>
  </si>
  <si>
    <t xml:space="preserve">JARAMA LANCHONETE</t>
  </si>
  <si>
    <t xml:space="preserve">ODAIR JOSE MAGALHAES</t>
  </si>
  <si>
    <t xml:space="preserve">COMERCIAL PLUMA</t>
  </si>
  <si>
    <t xml:space="preserve">IVO DOS SANTOS</t>
  </si>
  <si>
    <t xml:space="preserve">MERCEARIA ZERIEL</t>
  </si>
  <si>
    <t xml:space="preserve">MARIA APARECIDA FERREIRA SILVA</t>
  </si>
  <si>
    <t xml:space="preserve">PADARIA DALAS</t>
  </si>
  <si>
    <t xml:space="preserve">AVANILLER REGIS DA SILVA</t>
  </si>
  <si>
    <t xml:space="preserve">MULTIOPCOES</t>
  </si>
  <si>
    <t xml:space="preserve">PAULO EDUARDO FERREIRA DE SOUZA</t>
  </si>
  <si>
    <t xml:space="preserve">MERCEARIA AMIGOS</t>
  </si>
  <si>
    <t xml:space="preserve">LEANDRO ALVES NETO</t>
  </si>
  <si>
    <t xml:space="preserve">FABIANA VIANA DE OLIVEIRA</t>
  </si>
  <si>
    <t xml:space="preserve">COVENIENCIA DO CARLAO</t>
  </si>
  <si>
    <t xml:space="preserve">JOAO TADEU SOUZA DE LIMA</t>
  </si>
  <si>
    <t xml:space="preserve">BLASOD CAFE (CANTINHO DA FAC)</t>
  </si>
  <si>
    <t xml:space="preserve">ALESSANDRA APARECIDA DE SOUZA</t>
  </si>
  <si>
    <t xml:space="preserve">ELZA MARGARIDA ESPINOSA</t>
  </si>
  <si>
    <t xml:space="preserve">MARA TRAUTWEIN DE WEISS</t>
  </si>
  <si>
    <t xml:space="preserve">MARA</t>
  </si>
  <si>
    <t xml:space="preserve">MEIRILANE CORSINO DOS SANTOS</t>
  </si>
  <si>
    <t xml:space="preserve">MEIRILANE DOS SANTOS</t>
  </si>
  <si>
    <t xml:space="preserve">MARCOS CABREIRA DE OLIVEIRA</t>
  </si>
  <si>
    <t xml:space="preserve">ROGERIO APARECIDO PEREIRA</t>
  </si>
  <si>
    <t xml:space="preserve">MERCADO BETANIA</t>
  </si>
  <si>
    <t xml:space="preserve">MARCIO CASSIANO MOREIRA DA SILVA</t>
  </si>
  <si>
    <t xml:space="preserve">MERCEARIA MOREIRA</t>
  </si>
  <si>
    <t xml:space="preserve">RCA JEFFERSON PEREIRA RODRIGUES</t>
  </si>
  <si>
    <t xml:space="preserve">JHOZE PEREIRA DA SILVA</t>
  </si>
  <si>
    <t xml:space="preserve">PIST TOP</t>
  </si>
  <si>
    <t xml:space="preserve">RAFAEL MORAZ</t>
  </si>
  <si>
    <t xml:space="preserve">IENES CONFEITARIA</t>
  </si>
  <si>
    <t xml:space="preserve">CLAUDIA REGINA ALVES RIBAS</t>
  </si>
  <si>
    <t xml:space="preserve">PADARIA E CONFEITARIA UNIAO</t>
  </si>
  <si>
    <t xml:space="preserve">LUCIANA DA SILVA AZEVEDA</t>
  </si>
  <si>
    <t xml:space="preserve">MERCADO LIBERATO COM</t>
  </si>
  <si>
    <t xml:space="preserve">JOSE VITORIANO DE OLIVEIRA</t>
  </si>
  <si>
    <t xml:space="preserve">NEIMARA BUSELATTO</t>
  </si>
  <si>
    <t xml:space="preserve">MARA PANIFICADORA</t>
  </si>
  <si>
    <t xml:space="preserve">CLAUDIO AUGUSTO QUEIROZ</t>
  </si>
  <si>
    <t xml:space="preserve">SACOLAO DO PEQUENO</t>
  </si>
  <si>
    <t xml:space="preserve">ROBSON SALES UHDE</t>
  </si>
  <si>
    <t xml:space="preserve">ERVA MATE CASEIRA</t>
  </si>
  <si>
    <t xml:space="preserve">MIGUEL FARAH NETO</t>
  </si>
  <si>
    <t xml:space="preserve">MERCADO SANTA RITA</t>
  </si>
  <si>
    <t xml:space="preserve">VILMA OZORIO GOMES</t>
  </si>
  <si>
    <t xml:space="preserve">NAO TEM</t>
  </si>
  <si>
    <t xml:space="preserve">NIUZA APARECIDA DA SILVA AQUINO</t>
  </si>
  <si>
    <t xml:space="preserve">MERCEARIA ESTRELA</t>
  </si>
  <si>
    <t xml:space="preserve">SOLANGE FERREIRA TEODORO</t>
  </si>
  <si>
    <t xml:space="preserve">GILDA BATISTA DE SOUZA</t>
  </si>
  <si>
    <t xml:space="preserve">MERCEARIA COSMOS</t>
  </si>
  <si>
    <t xml:space="preserve">KLEITON AQUINO DE OLIVEIRA</t>
  </si>
  <si>
    <t xml:space="preserve">SABOR E CIA</t>
  </si>
  <si>
    <t xml:space="preserve">JULIANO NENE FERREIRA</t>
  </si>
  <si>
    <t xml:space="preserve">FRANGO NA BRASA</t>
  </si>
  <si>
    <t xml:space="preserve">ELIZANGELA KRAESKI</t>
  </si>
  <si>
    <t xml:space="preserve">SNAK GRIL</t>
  </si>
  <si>
    <t xml:space="preserve">CLAUDINEI CAVALCANTE DA SILVA</t>
  </si>
  <si>
    <t xml:space="preserve">CONVENIENCIA SEABRA</t>
  </si>
  <si>
    <t xml:space="preserve">IMAD GERYES ABOU RAHAL</t>
  </si>
  <si>
    <t xml:space="preserve">REST CEDRO DO LIBANO</t>
  </si>
  <si>
    <t xml:space="preserve">NOELI FERREIRA DOS SANTOS</t>
  </si>
  <si>
    <t xml:space="preserve">MERCEAIRA FERREIRA</t>
  </si>
  <si>
    <t xml:space="preserve">PAULICEIA DUARTE BOTELHO</t>
  </si>
  <si>
    <t xml:space="preserve">CANTINHO DO PEIXE</t>
  </si>
  <si>
    <t xml:space="preserve">CHISLAINE ARAUJO DE LIMA</t>
  </si>
  <si>
    <t xml:space="preserve">MERCADO TAMBOARA</t>
  </si>
  <si>
    <t xml:space="preserve">EZIQUIEL LEITE</t>
  </si>
  <si>
    <t xml:space="preserve">MERCEARIA LEITE</t>
  </si>
  <si>
    <t xml:space="preserve">SALETE BORGES BRAGA</t>
  </si>
  <si>
    <t xml:space="preserve">MERCEARIA BEM BOM</t>
  </si>
  <si>
    <t xml:space="preserve">RODRIGO PEREGO RIBEIRO</t>
  </si>
  <si>
    <t xml:space="preserve">MERCADO GUINAY</t>
  </si>
  <si>
    <t xml:space="preserve">AARAO PEDRO PIRES DE MEDEIROS</t>
  </si>
  <si>
    <t xml:space="preserve">REDE GRUPO UNIAO</t>
  </si>
  <si>
    <t xml:space="preserve">SM ALIANCA</t>
  </si>
  <si>
    <t xml:space="preserve">JOSEFA FABIANA DAS NEVES</t>
  </si>
  <si>
    <t xml:space="preserve">CONVENIENCIA NEVES</t>
  </si>
  <si>
    <t xml:space="preserve">MARCIO HENRIQUE BENITES</t>
  </si>
  <si>
    <t xml:space="preserve">NAILS HAIR</t>
  </si>
  <si>
    <t xml:space="preserve">EDINEIA ADAO DE OLIVEIRA</t>
  </si>
  <si>
    <t xml:space="preserve">MERCADO DO NEGO</t>
  </si>
  <si>
    <t xml:space="preserve">MARILZA DE SOUSA CACERES</t>
  </si>
  <si>
    <t xml:space="preserve">MERCADO CONTINENTAL</t>
  </si>
  <si>
    <t xml:space="preserve">URACIARA MOREIRA DE OLIVEIRA</t>
  </si>
  <si>
    <t xml:space="preserve">UNIFRIOS</t>
  </si>
  <si>
    <t xml:space="preserve">DIRCEU SILVERIO</t>
  </si>
  <si>
    <t xml:space="preserve">MERCADO AVENIDA</t>
  </si>
  <si>
    <t xml:space="preserve">TACY ANTONIO SANDINI NETO</t>
  </si>
  <si>
    <t xml:space="preserve">ANTONIO'S CONVENIENCIA</t>
  </si>
  <si>
    <t xml:space="preserve">MICHELLE APARECIDA DE FREITAS OLIVEIRA  </t>
  </si>
  <si>
    <t xml:space="preserve">SUP VITORIA</t>
  </si>
  <si>
    <t xml:space="preserve">DAIANA FATIMA P OLIVEIRA</t>
  </si>
  <si>
    <t xml:space="preserve">CASA DE CARNE N SHRA FATINA</t>
  </si>
  <si>
    <t xml:space="preserve">ISABEL CRISTINA AMARANTE</t>
  </si>
  <si>
    <t xml:space="preserve">BAR MERC TREVO</t>
  </si>
  <si>
    <t xml:space="preserve">FLORIANO FARIAS</t>
  </si>
  <si>
    <t xml:space="preserve">MERCADO MS</t>
  </si>
  <si>
    <t xml:space="preserve">EUFRAZIA ROJAS GUARACIABA</t>
  </si>
  <si>
    <t xml:space="preserve">PANIFICADORA SANTA MONICA</t>
  </si>
  <si>
    <t xml:space="preserve">LUANA GLACIELE SOUZA</t>
  </si>
  <si>
    <t xml:space="preserve">MERCADO JUCA</t>
  </si>
  <si>
    <t xml:space="preserve">MARCOS OLIVEIRA SOARES</t>
  </si>
  <si>
    <t xml:space="preserve">MERCEARIA SOARES</t>
  </si>
  <si>
    <t xml:space="preserve">FRANCISCO KISHIRO SAKAGUTI</t>
  </si>
  <si>
    <t xml:space="preserve">FK SUPERMERCADO</t>
  </si>
  <si>
    <t xml:space="preserve">ANA PAULA DOMINGOS</t>
  </si>
  <si>
    <t xml:space="preserve">CELSO CONVENIENCIA</t>
  </si>
  <si>
    <t xml:space="preserve">DONETE DIAS DA SILVA</t>
  </si>
  <si>
    <t xml:space="preserve">CASA DE CARNE CONVENIENCIA CIA DO BIFE</t>
  </si>
  <si>
    <t xml:space="preserve">LUCIMEIRE DE SOUZA</t>
  </si>
  <si>
    <t xml:space="preserve">R L CONVENIENCIA</t>
  </si>
  <si>
    <t xml:space="preserve">JOSE BATISTA DE QUEIROZ</t>
  </si>
  <si>
    <t xml:space="preserve">ACOUGUE CALEGARO</t>
  </si>
  <si>
    <t xml:space="preserve">MARCELA NUNES CHAVES</t>
  </si>
  <si>
    <t xml:space="preserve">EVELINE DE SOUZA SHENA</t>
  </si>
  <si>
    <t xml:space="preserve">ANDERSON NUNES</t>
  </si>
  <si>
    <t xml:space="preserve">CONV MAIDANA</t>
  </si>
  <si>
    <t xml:space="preserve">COSME PEREIRA</t>
  </si>
  <si>
    <t xml:space="preserve">MERCADO DAIANE</t>
  </si>
  <si>
    <t xml:space="preserve">ELAINE CRISTINA ALVES DOS SANTOS</t>
  </si>
  <si>
    <t xml:space="preserve">MANOEL RODRIGUES DOURADOS</t>
  </si>
  <si>
    <t xml:space="preserve">CASASAO PEDRO</t>
  </si>
  <si>
    <t xml:space="preserve">REGIANE CONCEICAO BARRETO - CPD</t>
  </si>
  <si>
    <t xml:space="preserve">ARIANA DE MORAES SCULTZ</t>
  </si>
  <si>
    <t xml:space="preserve">MERCADO SOBERANO</t>
  </si>
  <si>
    <t xml:space="preserve">ANDRE DOS SANTOS FROIS</t>
  </si>
  <si>
    <t xml:space="preserve">PANIF E CONF VITORIA</t>
  </si>
  <si>
    <t xml:space="preserve">JUSSINEIA DIAS DA SILVA</t>
  </si>
  <si>
    <t xml:space="preserve">J K PRESENTES</t>
  </si>
  <si>
    <t xml:space="preserve">ORESTES PRATA LIBERY JUNIOR</t>
  </si>
  <si>
    <t xml:space="preserve">FAZENDA SAO JOAO</t>
  </si>
  <si>
    <t xml:space="preserve">GISELE SILVA CINTRA NOGUEIRA</t>
  </si>
  <si>
    <t xml:space="preserve">LEGAL KAR VEICULOS</t>
  </si>
  <si>
    <t xml:space="preserve">RAIMUNDO ALEXANDRE PEREIRA</t>
  </si>
  <si>
    <t xml:space="preserve">MERCEARIA ORIENTE</t>
  </si>
  <si>
    <t xml:space="preserve">REGIANE GOES TOSATO</t>
  </si>
  <si>
    <t xml:space="preserve">MERCADO ADONA</t>
  </si>
  <si>
    <t xml:space="preserve">JANIVAL PIRES FERNANDES</t>
  </si>
  <si>
    <t xml:space="preserve">BAR JANIO SOM</t>
  </si>
  <si>
    <t xml:space="preserve">ELIENAI CALDAS RENIZZI</t>
  </si>
  <si>
    <t xml:space="preserve">MERCADO PAGUE MENOS</t>
  </si>
  <si>
    <t xml:space="preserve">VIVIANE CRISTINA B SOUZA</t>
  </si>
  <si>
    <t xml:space="preserve">FLOR DE MAIO</t>
  </si>
  <si>
    <t xml:space="preserve">TONY EWERTON GUNIZEL SIQUEIRA  1536</t>
  </si>
  <si>
    <t xml:space="preserve">STOP BEEF</t>
  </si>
  <si>
    <t xml:space="preserve">APARECIDA MARQUES DE OLIVEIRA</t>
  </si>
  <si>
    <t xml:space="preserve">PANIF TIO TICO</t>
  </si>
  <si>
    <t xml:space="preserve">MARCIA MARIA FIRMINO RODRIGUES</t>
  </si>
  <si>
    <t xml:space="preserve">PANF CORACAO DE JESUS</t>
  </si>
  <si>
    <t xml:space="preserve">ROZANE DUARTE MANDADORI</t>
  </si>
  <si>
    <t xml:space="preserve">MERCADO SAO JUDAS TADEU</t>
  </si>
  <si>
    <t xml:space="preserve">KENYA MARTINS BOSCOLO</t>
  </si>
  <si>
    <t xml:space="preserve">PANIFICDORA IMPERIO</t>
  </si>
  <si>
    <t xml:space="preserve">YARA GOULART</t>
  </si>
  <si>
    <t xml:space="preserve">NOSSO PONTO CAFE E CIA</t>
  </si>
  <si>
    <t xml:space="preserve">GEOVANA CARDOSO ROLAO</t>
  </si>
  <si>
    <t xml:space="preserve">MERCEARIA ROB</t>
  </si>
  <si>
    <t xml:space="preserve">JOSE BORGES GOUVEIA</t>
  </si>
  <si>
    <t xml:space="preserve">MERCADO E CASA DE CAR PAULISTA</t>
  </si>
  <si>
    <t xml:space="preserve">ELAINE GRISON</t>
  </si>
  <si>
    <t xml:space="preserve">LUANA GABRIELA SILVEIRA</t>
  </si>
  <si>
    <t xml:space="preserve">RESTAURANTE E PIZZARIA RECANFO</t>
  </si>
  <si>
    <t xml:space="preserve">ELLIS MARIANI PEREIRA DE PAULA</t>
  </si>
  <si>
    <t xml:space="preserve">ROSENILDA FILHO DE GOES CASTRO</t>
  </si>
  <si>
    <t xml:space="preserve">LANCHONETE PADARIA</t>
  </si>
  <si>
    <t xml:space="preserve">CLEBER GOMES COSTA</t>
  </si>
  <si>
    <t xml:space="preserve">SM CEARA</t>
  </si>
  <si>
    <t xml:space="preserve">FERNANDA MANICA NUNES TORQUETTI</t>
  </si>
  <si>
    <t xml:space="preserve">ROZE MEZA</t>
  </si>
  <si>
    <t xml:space="preserve">FAZENDA JATOBA</t>
  </si>
  <si>
    <t xml:space="preserve">POUSADA JATOBA</t>
  </si>
  <si>
    <t xml:space="preserve">LEANDRO LESCANO DE MIRANDA</t>
  </si>
  <si>
    <t xml:space="preserve">DANTAS VINICIUS HALSBACK DA SILVA</t>
  </si>
  <si>
    <t xml:space="preserve">MINI MERCADO OPCAO</t>
  </si>
  <si>
    <t xml:space="preserve">MARIO ZIPPEL MASCARENHAS</t>
  </si>
  <si>
    <t xml:space="preserve">MERCEARIA ZIPPEL</t>
  </si>
  <si>
    <t xml:space="preserve">SIDNEI APOLONIO VIEIRA</t>
  </si>
  <si>
    <t xml:space="preserve">MERCADO MORIA</t>
  </si>
  <si>
    <t xml:space="preserve">THIAGO MARTINS BARROS DE OLIVEIRA</t>
  </si>
  <si>
    <t xml:space="preserve">THIAGO MARTINS (ASSIST VENDAS)</t>
  </si>
  <si>
    <t xml:space="preserve">VANESSA PIRES DA SILVA</t>
  </si>
  <si>
    <t xml:space="preserve">BOM DIA CARNES E BEBIDAS</t>
  </si>
  <si>
    <t xml:space="preserve">JOSE RICARDO CARVALHO DE ELIAS</t>
  </si>
  <si>
    <t xml:space="preserve">MAL PIZZA</t>
  </si>
  <si>
    <t xml:space="preserve">MURILO PICINIM</t>
  </si>
  <si>
    <t xml:space="preserve">MERCEARIA PICINIM</t>
  </si>
  <si>
    <t xml:space="preserve">ARIANE FERREIRA MENDES</t>
  </si>
  <si>
    <t xml:space="preserve">MERCEARIA MANANCIAL</t>
  </si>
  <si>
    <t xml:space="preserve">CLEONICE FERREIRA DA SILVA</t>
  </si>
  <si>
    <t xml:space="preserve">MERCEARIA BOM JESUS</t>
  </si>
  <si>
    <t xml:space="preserve">SANDRO NUNES XER</t>
  </si>
  <si>
    <t xml:space="preserve">MERCEARIA GARIBALDI</t>
  </si>
  <si>
    <t xml:space="preserve">FABIO MENDES GONTIGIO</t>
  </si>
  <si>
    <t xml:space="preserve">CASA DE SUCOS VITALIS</t>
  </si>
  <si>
    <t xml:space="preserve">MARCELA LEITE MORALES</t>
  </si>
  <si>
    <t xml:space="preserve">MERCEARIA POPULAR</t>
  </si>
  <si>
    <t xml:space="preserve">TERESINHA SEDEI</t>
  </si>
  <si>
    <t xml:space="preserve">TAMARINDO LANCHES</t>
  </si>
  <si>
    <t xml:space="preserve">HENRIQUE DONATO AZEVEDO</t>
  </si>
  <si>
    <t xml:space="preserve">REPRESENTANTE</t>
  </si>
  <si>
    <t xml:space="preserve">JANAINA SOARES DE SOUZA</t>
  </si>
  <si>
    <t xml:space="preserve">PADARIA CAFE</t>
  </si>
  <si>
    <t xml:space="preserve">ALEXANDRE FLORES GUIMARAES</t>
  </si>
  <si>
    <t xml:space="preserve">PINNAS BEER</t>
  </si>
  <si>
    <t xml:space="preserve">ANDREIA DOS SANTOS LOPES</t>
  </si>
  <si>
    <t xml:space="preserve">PADARIA TRIANGULO</t>
  </si>
  <si>
    <t xml:space="preserve">TALITA GOMES MUNIZ</t>
  </si>
  <si>
    <t xml:space="preserve">MERCADO MUNIZ</t>
  </si>
  <si>
    <t xml:space="preserve">JOSE LEONEL FEREIRA SANTOS</t>
  </si>
  <si>
    <t xml:space="preserve">SM PAO E CIA</t>
  </si>
  <si>
    <t xml:space="preserve">CARLOS ALBERTO FERREIRA JUNIOR</t>
  </si>
  <si>
    <t xml:space="preserve">LEANDRO FERREIRA SOBRINHO</t>
  </si>
  <si>
    <t xml:space="preserve">MERCADO AMIGAO</t>
  </si>
  <si>
    <t xml:space="preserve">VIVIANE DA SILVA XERES</t>
  </si>
  <si>
    <t xml:space="preserve">MERCEARIA BOM GOSTO</t>
  </si>
  <si>
    <t xml:space="preserve">JERUSA DE OLIVEIRA SOUZA RIBEIRO</t>
  </si>
  <si>
    <t xml:space="preserve">ELZIO BEZERRA DOS SANTOS</t>
  </si>
  <si>
    <t xml:space="preserve">MERCADO NASCENTE</t>
  </si>
  <si>
    <t xml:space="preserve">JOAO ELI DA SILVA</t>
  </si>
  <si>
    <t xml:space="preserve">ULTIMA PARADA</t>
  </si>
  <si>
    <t xml:space="preserve">DAISA MOREIRA ALVES</t>
  </si>
  <si>
    <t xml:space="preserve">CASA DE CARNE LIDER</t>
  </si>
  <si>
    <t xml:space="preserve">THIAGO PEREIRA SORRILHA</t>
  </si>
  <si>
    <t xml:space="preserve">SUPERMERCADO NOSSA SENHORA APARECIDA</t>
  </si>
  <si>
    <t xml:space="preserve">RCA-ALEXANDER FERNANDES DE QUEIROZ</t>
  </si>
  <si>
    <t xml:space="preserve">MARCOS SILVA DOS SANTOS (FRETE)</t>
  </si>
  <si>
    <t xml:space="preserve">FLOR</t>
  </si>
  <si>
    <t xml:space="preserve">HELTON RODRIGUES NOGUEIRA</t>
  </si>
  <si>
    <t xml:space="preserve">MERCEARIA PH</t>
  </si>
  <si>
    <t xml:space="preserve">ANDERSON MARTINS COELHO</t>
  </si>
  <si>
    <t xml:space="preserve">MERCADO TERRA NOSSA</t>
  </si>
  <si>
    <t xml:space="preserve">JANIELY DE SOUZA SILVA</t>
  </si>
  <si>
    <t xml:space="preserve">MERC ZION</t>
  </si>
  <si>
    <t xml:space="preserve">RODRIGO RAMOS DA SILVA</t>
  </si>
  <si>
    <t xml:space="preserve">SUP GUANABARA</t>
  </si>
  <si>
    <t xml:space="preserve">JURANDIR MARQUES DA SILVA</t>
  </si>
  <si>
    <t xml:space="preserve">PANIF CENTRAL</t>
  </si>
  <si>
    <t xml:space="preserve">ANDRE MOREIRA MORAES</t>
  </si>
  <si>
    <t xml:space="preserve">MIRIAM CESPEDE</t>
  </si>
  <si>
    <t xml:space="preserve">MERCADO SERO MOLHADO</t>
  </si>
  <si>
    <t xml:space="preserve">JULIAMA HAMMA DE OLIVEIRA</t>
  </si>
  <si>
    <t xml:space="preserve">DOCE SONHO</t>
  </si>
  <si>
    <t xml:space="preserve">FRANCISLAINE AMARAL BARROSO</t>
  </si>
  <si>
    <t xml:space="preserve">SM NACIONAL</t>
  </si>
  <si>
    <t xml:space="preserve">ANA PAULA DOS SANTOS RODRIGUES</t>
  </si>
  <si>
    <t xml:space="preserve">FUNC TCG</t>
  </si>
  <si>
    <t xml:space="preserve">IRENY JESUS DE FREITAS</t>
  </si>
  <si>
    <t xml:space="preserve">MINI MERCADO GIRA SOL</t>
  </si>
  <si>
    <t xml:space="preserve">JOILSON ARRUDA DE SOUZA</t>
  </si>
  <si>
    <t xml:space="preserve">MERCEARIA DO DIDI</t>
  </si>
  <si>
    <t xml:space="preserve">FABIO OREON</t>
  </si>
  <si>
    <t xml:space="preserve">PAULO HENRIQUE RANGEL COSTA</t>
  </si>
  <si>
    <t xml:space="preserve">PANIL COVENIENCIA SHIRAYA</t>
  </si>
  <si>
    <t xml:space="preserve">KEITTY MARINA RIBEIRO MAZIERO</t>
  </si>
  <si>
    <t xml:space="preserve">MERCADO TRIUNFO</t>
  </si>
  <si>
    <t xml:space="preserve">MARIA APARECIDA RODRIQUES DOS SANTOS</t>
  </si>
  <si>
    <t xml:space="preserve">MERCEARIA NATAL</t>
  </si>
  <si>
    <t xml:space="preserve">ELIZABET DE MORAIS SANTOS</t>
  </si>
  <si>
    <t xml:space="preserve">MERCADO RESIDNCIAL I</t>
  </si>
  <si>
    <t xml:space="preserve">MAURO AFONSO PEREIRA NETO</t>
  </si>
  <si>
    <t xml:space="preserve">PANIF E CONF PEDRO SDIAN</t>
  </si>
  <si>
    <t xml:space="preserve">ZAIRA BRITO GONCALVES</t>
  </si>
  <si>
    <t xml:space="preserve">ARISTIDES GABRIEL BORRALHO SILVERO</t>
  </si>
  <si>
    <t xml:space="preserve">MERC DU LAR</t>
  </si>
  <si>
    <t xml:space="preserve">ANDRE RICK ASSIS</t>
  </si>
  <si>
    <t xml:space="preserve">ACADEMIA STILUS</t>
  </si>
  <si>
    <t xml:space="preserve">WESLEY CACERES DOS SANTOS</t>
  </si>
  <si>
    <t xml:space="preserve">CONVENIENCIA AC BEER</t>
  </si>
  <si>
    <t xml:space="preserve">JOHN LENON MENDES ARCE</t>
  </si>
  <si>
    <t xml:space="preserve">MERCADO MONICA</t>
  </si>
  <si>
    <t xml:space="preserve">WAGNER ALVES AGUERO</t>
  </si>
  <si>
    <t xml:space="preserve">IRANI BRITO MATOS</t>
  </si>
  <si>
    <t xml:space="preserve">SIRLEI ZANETTE MGUEL</t>
  </si>
  <si>
    <t xml:space="preserve">MERCADO PIKIRI</t>
  </si>
  <si>
    <t xml:space="preserve">BENEDITA GONCALVES</t>
  </si>
  <si>
    <t xml:space="preserve">SACOLAO COLONIAL</t>
  </si>
  <si>
    <t xml:space="preserve">RONALDO DA SILVA CORREIA</t>
  </si>
  <si>
    <t xml:space="preserve">PANIFICADORA PROGRESSO</t>
  </si>
  <si>
    <t xml:space="preserve">WILLIAN BRUN CUSTODIO</t>
  </si>
  <si>
    <t xml:space="preserve">CONVENIENCIA ROUXINOIS</t>
  </si>
  <si>
    <t xml:space="preserve">ANDERSON BORGES DA SILVA</t>
  </si>
  <si>
    <t xml:space="preserve">PADARIA GERGELIM</t>
  </si>
  <si>
    <t xml:space="preserve">VALERIA LIMA LEITE</t>
  </si>
  <si>
    <t xml:space="preserve">MERCEARIA 3M</t>
  </si>
  <si>
    <t xml:space="preserve">FRANTCHESCO CON</t>
  </si>
  <si>
    <t xml:space="preserve">SUPERMERCADO FRAN</t>
  </si>
  <si>
    <t xml:space="preserve">ADILSON SANTOS DA SILVA</t>
  </si>
  <si>
    <t xml:space="preserve">MERCEARIA MARTINS</t>
  </si>
  <si>
    <t xml:space="preserve">ADRIANA COSTA SILVA RODRIGUES</t>
  </si>
  <si>
    <t xml:space="preserve">MERCEARIA RODRIGUES</t>
  </si>
  <si>
    <t xml:space="preserve">ELAINE CRISTINA SOARES</t>
  </si>
  <si>
    <t xml:space="preserve">PANIFICADORA PAO QUENTE</t>
  </si>
  <si>
    <t xml:space="preserve">EDUARDO GONZAGA MARQUES</t>
  </si>
  <si>
    <t xml:space="preserve">MERCEARIA E ACOUGUE SOL</t>
  </si>
  <si>
    <t xml:space="preserve">ZELOIR DE OLIVEIRA</t>
  </si>
  <si>
    <t xml:space="preserve">BAR OLIVEIRA</t>
  </si>
  <si>
    <t xml:space="preserve">REGIANE DE ALMEIDA ROSA</t>
  </si>
  <si>
    <t xml:space="preserve">MERCEARIA TIAGO</t>
  </si>
  <si>
    <t xml:space="preserve">VALDIRENE DE OLIVEIRA LOURENCO</t>
  </si>
  <si>
    <t xml:space="preserve">MERCEARIA VAL</t>
  </si>
  <si>
    <t xml:space="preserve">MARIA ZELINA FERREIRA</t>
  </si>
  <si>
    <t xml:space="preserve">MERCADO E PANIFICADORA CLARO</t>
  </si>
  <si>
    <t xml:space="preserve">SUZANA DA CRUZ DE OLIVERIA</t>
  </si>
  <si>
    <t xml:space="preserve">MINI MERCADO MENDES JUNIOR</t>
  </si>
  <si>
    <t xml:space="preserve">JORGE DORNELES BARBOSA JR</t>
  </si>
  <si>
    <t xml:space="preserve">MERCADO JJ</t>
  </si>
  <si>
    <t xml:space="preserve">PATRICIA DA SILVA MATOS</t>
  </si>
  <si>
    <t xml:space="preserve">SUPERMERCADO SANTANA</t>
  </si>
  <si>
    <t xml:space="preserve">FERNANDO AUGUSTO VIEIRA DE MATOS</t>
  </si>
  <si>
    <t xml:space="preserve">CONVENIENCIA DO VIZINHO</t>
  </si>
  <si>
    <t xml:space="preserve">ADRIANO ARLOVERDE DOS SANTOS</t>
  </si>
  <si>
    <t xml:space="preserve">MERCADINHO FERNANDES</t>
  </si>
  <si>
    <t xml:space="preserve">ANDREIA PERIGO BARBOSA</t>
  </si>
  <si>
    <t xml:space="preserve">MINI MERCADO LM</t>
  </si>
  <si>
    <t xml:space="preserve">LUIZ ANTONIO DE FARIAS CHAMOS</t>
  </si>
  <si>
    <t xml:space="preserve">ERIDA DARMAZIO ZANATTI LTDA</t>
  </si>
  <si>
    <t xml:space="preserve">VILLAGI CONVENIENCIA</t>
  </si>
  <si>
    <t xml:space="preserve">ANA PAULA FERREIRA DE SOUZA</t>
  </si>
  <si>
    <t xml:space="preserve">MERCEARIA DA ANA</t>
  </si>
  <si>
    <t xml:space="preserve">ELIEBLER MARQUES MOYA</t>
  </si>
  <si>
    <t xml:space="preserve">MERCEARIA NANICO</t>
  </si>
  <si>
    <t xml:space="preserve">LUIS ANTONIO DE LA H PUIG</t>
  </si>
  <si>
    <t xml:space="preserve">DELICIAS DO SERRADO</t>
  </si>
  <si>
    <t xml:space="preserve">ROSELENE VENEGA DA SILVA MONTEIRO</t>
  </si>
  <si>
    <t xml:space="preserve">SORVETERIA MAIS QUE BOM</t>
  </si>
  <si>
    <t xml:space="preserve">JOSIANA RODRIGUES</t>
  </si>
  <si>
    <t xml:space="preserve">MERCADINHO SANTOS</t>
  </si>
  <si>
    <t xml:space="preserve">SIMONE RODRIGUES ALVES DOS SANTOS</t>
  </si>
  <si>
    <t xml:space="preserve">MERCADO</t>
  </si>
  <si>
    <t xml:space="preserve">FERNANDA DE BASTIANI</t>
  </si>
  <si>
    <t xml:space="preserve">MINI MERCADO CAROLA</t>
  </si>
  <si>
    <t xml:space="preserve">CARLOS ALEXANDRE COSTA RIVAS</t>
  </si>
  <si>
    <t xml:space="preserve">MERCEARIA PLANALTO</t>
  </si>
  <si>
    <t xml:space="preserve">BARBARA CRAVEIRO DIAS</t>
  </si>
  <si>
    <t xml:space="preserve">SORVETERIA KI DELICIA</t>
  </si>
  <si>
    <t xml:space="preserve">ALEX FERNANDO SOARES</t>
  </si>
  <si>
    <t xml:space="preserve">SUZELI DE SOUZA</t>
  </si>
  <si>
    <t xml:space="preserve">MERCADO SOUZA</t>
  </si>
  <si>
    <t xml:space="preserve">EZEQUIAS DA COSTA E COSTA</t>
  </si>
  <si>
    <t xml:space="preserve">FUNC EZEQUIAS</t>
  </si>
  <si>
    <t xml:space="preserve">HELENA FLORENCIANO SANGUINA</t>
  </si>
  <si>
    <t xml:space="preserve">MERCADO HS</t>
  </si>
  <si>
    <t xml:space="preserve">ADRIANO DE OLIVEIRA</t>
  </si>
  <si>
    <t xml:space="preserve">DOIS IRMAOS DO BURITI</t>
  </si>
  <si>
    <t xml:space="preserve">OZEAR DE PAULA MUNIZ</t>
  </si>
  <si>
    <t xml:space="preserve">CANT DA SECT AGESUL</t>
  </si>
  <si>
    <t xml:space="preserve">DENISE MOREIRA ALVES</t>
  </si>
  <si>
    <t xml:space="preserve">CASA DE CARNE LIPER</t>
  </si>
  <si>
    <t xml:space="preserve">LEYDIANE FIRMO DE OLIVEIRA</t>
  </si>
  <si>
    <t xml:space="preserve">LINIKER MOSVALES ARANDA</t>
  </si>
  <si>
    <t xml:space="preserve">MERCADO 3 IRMAOS</t>
  </si>
  <si>
    <t xml:space="preserve">CLOVIS ALBERT SAOVESSO</t>
  </si>
  <si>
    <t xml:space="preserve">ELIAS PEREIRA N GONCALVES</t>
  </si>
  <si>
    <t xml:space="preserve">PONTO DO SORVETE</t>
  </si>
  <si>
    <t xml:space="preserve">PATRICIA APARECIDA GARCIA</t>
  </si>
  <si>
    <t xml:space="preserve">MINI MERCADO PAMELA</t>
  </si>
  <si>
    <t xml:space="preserve">VIVIAN KRUGER SARATT</t>
  </si>
  <si>
    <t xml:space="preserve">CANTINA SEBRAE</t>
  </si>
  <si>
    <t xml:space="preserve">DIEGO MAISSON DE MAORES RODRIGUES</t>
  </si>
  <si>
    <t xml:space="preserve">MERCADO LUCENA</t>
  </si>
  <si>
    <t xml:space="preserve">MARCELE SANAVRIA DOS SANTOS</t>
  </si>
  <si>
    <t xml:space="preserve">RCA-ANTONIO N DA SILVA</t>
  </si>
  <si>
    <t xml:space="preserve"> RCA-ANTONIO N DA SILVA</t>
  </si>
  <si>
    <t xml:space="preserve">EDNEIA LEANDRO DA SILVA</t>
  </si>
  <si>
    <t xml:space="preserve">MERCADO AQUI TEM</t>
  </si>
  <si>
    <t xml:space="preserve">FABIANO FREITAS DIAS</t>
  </si>
  <si>
    <t xml:space="preserve">MERCADO CACULA</t>
  </si>
  <si>
    <t xml:space="preserve">THIAGO VILALBA VERDADO</t>
  </si>
  <si>
    <t xml:space="preserve">MERC.AMARELO</t>
  </si>
  <si>
    <t xml:space="preserve">AMILTOM LOPES ALBUQUERQUE</t>
  </si>
  <si>
    <t xml:space="preserve">LANCHO CHEGA MAIS</t>
  </si>
  <si>
    <t xml:space="preserve">MARIA DO CARMO LIMA DOS REIS</t>
  </si>
  <si>
    <t xml:space="preserve">HAMILTON BRANDAO P JUNIOR</t>
  </si>
  <si>
    <t xml:space="preserve">SORVETERIA MEGA</t>
  </si>
  <si>
    <t xml:space="preserve">MARCOS FABIANO MARIANO</t>
  </si>
  <si>
    <t xml:space="preserve">RESTAURANTE VIVA LIGHT</t>
  </si>
  <si>
    <t xml:space="preserve">SIMONE MOREIRA</t>
  </si>
  <si>
    <t xml:space="preserve">VALKIRE MATOS NASCIMENTO</t>
  </si>
  <si>
    <t xml:space="preserve">VALDILEIA FLORES BEZERRA</t>
  </si>
  <si>
    <t xml:space="preserve">MERCEARIA MIAGUI</t>
  </si>
  <si>
    <t xml:space="preserve">JOSEFA FERREIRA DA SILVA SANTOS</t>
  </si>
  <si>
    <t xml:space="preserve">MERCEARIA SANTOS</t>
  </si>
  <si>
    <t xml:space="preserve">RCA-EDMAURO CORREA DE SOUZA</t>
  </si>
  <si>
    <t xml:space="preserve">RCA - EDMAURO</t>
  </si>
  <si>
    <t xml:space="preserve">DAYANE LOPES DORETO</t>
  </si>
  <si>
    <t xml:space="preserve">DORETO</t>
  </si>
  <si>
    <t xml:space="preserve">MARIA AP. VIEIRA DE OLIVEIRA</t>
  </si>
  <si>
    <t xml:space="preserve">MERC.OLIVEIRA</t>
  </si>
  <si>
    <t xml:space="preserve">ELIANE MARTINS DA SILVA</t>
  </si>
  <si>
    <t xml:space="preserve">MERCADO BIM PRECO</t>
  </si>
  <si>
    <t xml:space="preserve">LUIZA OLAZAR DE SOUZA</t>
  </si>
  <si>
    <t xml:space="preserve">MERCEARIA D.L</t>
  </si>
  <si>
    <t xml:space="preserve">ROSIMARA GOMES CUSTODIO</t>
  </si>
  <si>
    <t xml:space="preserve">MERCADO ROCHA</t>
  </si>
  <si>
    <t xml:space="preserve">NATALIA RENATA GONCALVES</t>
  </si>
  <si>
    <t xml:space="preserve">MERCADO MINEIRO</t>
  </si>
  <si>
    <t xml:space="preserve">ARILDA RIBEIRO DA SILVA MELO</t>
  </si>
  <si>
    <t xml:space="preserve">MERCEARIA ARILDA</t>
  </si>
  <si>
    <t xml:space="preserve">DIEGO CORDEIRO ALVES WOETHU</t>
  </si>
  <si>
    <t xml:space="preserve">LANC MANGUEIRAO</t>
  </si>
  <si>
    <t xml:space="preserve">VALFRIDO ANTONIO DE SOUZA</t>
  </si>
  <si>
    <t xml:space="preserve">MERCEARIA E CONVENIENCIA JM</t>
  </si>
  <si>
    <t xml:space="preserve">SUZIANE DOS SANTOS BASSO</t>
  </si>
  <si>
    <t xml:space="preserve">SM SAO LUCAS</t>
  </si>
  <si>
    <t xml:space="preserve">JOAO BATISTA RODRIGUES</t>
  </si>
  <si>
    <t xml:space="preserve">MARQUISE CONST IND E COM</t>
  </si>
  <si>
    <t xml:space="preserve">SULINA APARECIDA MALDONADO DOS SANTOS</t>
  </si>
  <si>
    <t xml:space="preserve">CONVENIENCIA O MENSALAO</t>
  </si>
  <si>
    <t xml:space="preserve">JOSE RAUL DA SILVA</t>
  </si>
  <si>
    <t xml:space="preserve">PANIFICADORA NOVA ESPERANCA</t>
  </si>
  <si>
    <t xml:space="preserve">FRANCO POLISINI</t>
  </si>
  <si>
    <t xml:space="preserve">REST LANCH PE DE CEDRO</t>
  </si>
  <si>
    <t xml:space="preserve">SOLANGE QUINTINO</t>
  </si>
  <si>
    <t xml:space="preserve">MERCEARIA VITORIA</t>
  </si>
  <si>
    <t xml:space="preserve">JAQUELINE APARECIDA DE LIMA</t>
  </si>
  <si>
    <t xml:space="preserve">MERCADO AGUIAR</t>
  </si>
  <si>
    <t xml:space="preserve">DARLENE CAMPAGNOLLO DE SOUZA</t>
  </si>
  <si>
    <t xml:space="preserve">24 HORAS DO FITA</t>
  </si>
  <si>
    <t xml:space="preserve">MARIA APARECIDA NOBREGA SAOVESSO</t>
  </si>
  <si>
    <t xml:space="preserve">RESTAURANTE PRATA FEITO</t>
  </si>
  <si>
    <t xml:space="preserve">TANIA MARA DE SOUZA ARCE</t>
  </si>
  <si>
    <t xml:space="preserve">MERCEARIA NOVA ESTRELA</t>
  </si>
  <si>
    <t xml:space="preserve">ELVIS PEREIRA NANTES</t>
  </si>
  <si>
    <t xml:space="preserve">MERCEARIA</t>
  </si>
  <si>
    <t xml:space="preserve">ZENAIDE MENDROTE MUSSATO</t>
  </si>
  <si>
    <t xml:space="preserve">MERCEARIA ZENA</t>
  </si>
  <si>
    <t xml:space="preserve">THIAGO MUSSI DA SILVA</t>
  </si>
  <si>
    <t xml:space="preserve">MERCADO NANNY</t>
  </si>
  <si>
    <t xml:space="preserve">WELLIYNGTON ARAUJO NERY</t>
  </si>
  <si>
    <t xml:space="preserve">MERCADO MONIQUE</t>
  </si>
  <si>
    <t xml:space="preserve">ELIANI ANTONIA SOUZA OLIVEIRA</t>
  </si>
  <si>
    <t xml:space="preserve">CELIA APARECIDA SOUZA</t>
  </si>
  <si>
    <t xml:space="preserve">MERCEARIA MEDEIROS</t>
  </si>
  <si>
    <t xml:space="preserve">LUCIANA LUCAS DE LIMA</t>
  </si>
  <si>
    <t xml:space="preserve">CAFE EXPRESS ORIENT</t>
  </si>
  <si>
    <t xml:space="preserve">LUCELIA DUARTE BOTELHO</t>
  </si>
  <si>
    <t xml:space="preserve">ANDERSON MAIDANA ROSA</t>
  </si>
  <si>
    <t xml:space="preserve">MERCEARIA COLORADO</t>
  </si>
  <si>
    <t xml:space="preserve">ANTONIO LORENZI SOBRINHO</t>
  </si>
  <si>
    <t xml:space="preserve">HOTEL E REST NEVES</t>
  </si>
  <si>
    <t xml:space="preserve">PATRICIA LOPES MIRANDA</t>
  </si>
  <si>
    <t xml:space="preserve">MERCERIA FILIPI</t>
  </si>
  <si>
    <t xml:space="preserve">ADRIANO DE JESUS</t>
  </si>
  <si>
    <t xml:space="preserve">MERC VENEZA</t>
  </si>
  <si>
    <t xml:space="preserve">GUSTAVO MARTINS ZANDONADI</t>
  </si>
  <si>
    <t xml:space="preserve">MARA GLEICE FREITAS LOXEO</t>
  </si>
  <si>
    <t xml:space="preserve">MERCADO HAWAI II</t>
  </si>
  <si>
    <t xml:space="preserve">JOSE FERNANDO</t>
  </si>
  <si>
    <t xml:space="preserve">FUNCIONARIO</t>
  </si>
  <si>
    <t xml:space="preserve">MOISES DA SILVA PORTILHO DE ANDRADE</t>
  </si>
  <si>
    <t xml:space="preserve">MERCADO E CONVENIENCIA SUB ZERO</t>
  </si>
  <si>
    <t xml:space="preserve">VINICIUS DE OLIVEIRA NANTES</t>
  </si>
  <si>
    <t xml:space="preserve">FUNCIONARIO MCD</t>
  </si>
  <si>
    <t xml:space="preserve">JESSICA ALINE GARCIA DE SANTANA</t>
  </si>
  <si>
    <t xml:space="preserve">LOJITA VARIEDADES</t>
  </si>
  <si>
    <t xml:space="preserve">ALESSANDRO RODRIGUES</t>
  </si>
  <si>
    <t xml:space="preserve">ZENILDA ZANDONI</t>
  </si>
  <si>
    <t xml:space="preserve">MERCEARIA FN</t>
  </si>
  <si>
    <t xml:space="preserve">NEIVALDO VICTOR</t>
  </si>
  <si>
    <t xml:space="preserve">SADAN FESTAS</t>
  </si>
  <si>
    <t xml:space="preserve">ALEX COSTA SILVA</t>
  </si>
  <si>
    <t xml:space="preserve">MERCADO JB</t>
  </si>
  <si>
    <t xml:space="preserve">VALDOMIRO DA SILVA OLIVEIRA</t>
  </si>
  <si>
    <t xml:space="preserve">PANIFICADORA SUPER PAO</t>
  </si>
  <si>
    <t xml:space="preserve">CARLOS HENRIQUE COSTA CAVALCANTI</t>
  </si>
  <si>
    <t xml:space="preserve">DANGELO SILVA DE ALMEIDA</t>
  </si>
  <si>
    <t xml:space="preserve">PADARIA SILVA</t>
  </si>
  <si>
    <t xml:space="preserve">GIOVANI ROCHA VIANA</t>
  </si>
  <si>
    <t xml:space="preserve">PADARIA CALIFORNIA</t>
  </si>
  <si>
    <t xml:space="preserve">JOSEMAR SIQUEIRA SANTOS</t>
  </si>
  <si>
    <t xml:space="preserve">MERCADO TUIUIU</t>
  </si>
  <si>
    <t xml:space="preserve">CRYSTIANE MALDONADO VILHA</t>
  </si>
  <si>
    <t xml:space="preserve">LUANA CARLA SILVA JOBIM</t>
  </si>
  <si>
    <t xml:space="preserve">MERCADO PAO E MEL</t>
  </si>
  <si>
    <t xml:space="preserve">JESUS FERREIRA RODRIGUES DIAS</t>
  </si>
  <si>
    <t xml:space="preserve">MERCEARIA DO NENEM</t>
  </si>
  <si>
    <t xml:space="preserve">GRACIELA DOS SANTOS DE JESUS</t>
  </si>
  <si>
    <t xml:space="preserve">SUPERMERCADO MARI</t>
  </si>
  <si>
    <t xml:space="preserve">ANA PAULA TEIXEIRA DA SILVA</t>
  </si>
  <si>
    <t xml:space="preserve">MINI MERCADO WILSON</t>
  </si>
  <si>
    <t xml:space="preserve">ALEX ADRIANO ENZ</t>
  </si>
  <si>
    <t xml:space="preserve">SILMARA MARIA DA SILVA</t>
  </si>
  <si>
    <t xml:space="preserve">MERCADO JOIA</t>
  </si>
  <si>
    <t xml:space="preserve">MARIA ALVELINA FERREIRA</t>
  </si>
  <si>
    <t xml:space="preserve">IRACEMA NARIA GOMES</t>
  </si>
  <si>
    <t xml:space="preserve">EXCEL PARK HOTEL</t>
  </si>
  <si>
    <t xml:space="preserve">PAULO FERNANDO GOES FILHO</t>
  </si>
  <si>
    <t xml:space="preserve">GP COVENIENCIA</t>
  </si>
  <si>
    <t xml:space="preserve">NEUZA DIAS PERREIRA</t>
  </si>
  <si>
    <t xml:space="preserve">PANIF E MERCADO PROGRESSO</t>
  </si>
  <si>
    <t xml:space="preserve">JAQUELINE BERTO DE MELO</t>
  </si>
  <si>
    <t xml:space="preserve">JAQUELINE ASSISTENTE DE VENDAS</t>
  </si>
  <si>
    <t xml:space="preserve">WILSON FERNANDO TRINDADE</t>
  </si>
  <si>
    <t xml:space="preserve">CASA DE SUCO NATURAL</t>
  </si>
  <si>
    <t xml:space="preserve">GILMAR DA FONSECA SIMOES</t>
  </si>
  <si>
    <t xml:space="preserve">PANF E CONV IMPERIO DO PAO</t>
  </si>
  <si>
    <t xml:space="preserve">ANISIO RIBEIRO OLIVEIRA</t>
  </si>
  <si>
    <t xml:space="preserve">MERCEARIA DO ANISIO</t>
  </si>
  <si>
    <t xml:space="preserve">VALTER PIRES CARDOSO JR</t>
  </si>
  <si>
    <t xml:space="preserve">MERCADO 2 IRMAOS</t>
  </si>
  <si>
    <t xml:space="preserve">CARMELITA MIGUEL DE CARVALHO</t>
  </si>
  <si>
    <t xml:space="preserve">MERCEARIA ELVENEZER</t>
  </si>
  <si>
    <t xml:space="preserve">EVERTON TATSUMI KOGA</t>
  </si>
  <si>
    <t xml:space="preserve">MERCAPAO</t>
  </si>
  <si>
    <t xml:space="preserve">ELECIR PADILHA DIAS</t>
  </si>
  <si>
    <t xml:space="preserve">CONVENIENCIA PERPETO SOCORRO</t>
  </si>
  <si>
    <t xml:space="preserve">EDINALDO ALVES DA SILVA</t>
  </si>
  <si>
    <t xml:space="preserve">MERCADO FLAM</t>
  </si>
  <si>
    <t xml:space="preserve">JULIO CESAR DUARTE AGUIAR</t>
  </si>
  <si>
    <t xml:space="preserve">MARCELO SERRA DE LIMA</t>
  </si>
  <si>
    <t xml:space="preserve">CANTINA CLINICA PRONTO CLIM</t>
  </si>
  <si>
    <t xml:space="preserve">CRISTIANE DIAS ANDRADE</t>
  </si>
  <si>
    <t xml:space="preserve">SOS CONVENIENCIA</t>
  </si>
  <si>
    <t xml:space="preserve">TIAGO ROBERTO DE LIMA</t>
  </si>
  <si>
    <t xml:space="preserve">MERCEARIA LIMA</t>
  </si>
  <si>
    <t xml:space="preserve">MARCOS FELIPE P DE ALMEIDA</t>
  </si>
  <si>
    <t xml:space="preserve">KABANA CONVENIENCIA</t>
  </si>
  <si>
    <t xml:space="preserve">ELIANE SANCHES DE OLIVEIRA</t>
  </si>
  <si>
    <t xml:space="preserve">WAGNER FARELL COSTA</t>
  </si>
  <si>
    <t xml:space="preserve">MERCEARIA E CONVENIENCIA CONQUISTA</t>
  </si>
  <si>
    <t xml:space="preserve">DAYANE SILVA DE ARRUDA</t>
  </si>
  <si>
    <t xml:space="preserve">FUNC DAYANE</t>
  </si>
  <si>
    <t xml:space="preserve">JESSICA CARDOSO  DA SILVA</t>
  </si>
  <si>
    <t xml:space="preserve">MERCEARIA RIO GRANDE DO SUL</t>
  </si>
  <si>
    <t xml:space="preserve">LIDIANA SOARES DA SILVA</t>
  </si>
  <si>
    <t xml:space="preserve">CLAUDEMIR LOPES DE FREITAS</t>
  </si>
  <si>
    <t xml:space="preserve">MERCADO KI BARATO</t>
  </si>
  <si>
    <t xml:space="preserve">LUCAS OTAVIO DE FREITAS</t>
  </si>
  <si>
    <t xml:space="preserve">CAFE AVENIDA</t>
  </si>
  <si>
    <t xml:space="preserve">CLAUDIMIR DE LIMA SILVA</t>
  </si>
  <si>
    <t xml:space="preserve">SUPERMERCADO SOUZA</t>
  </si>
  <si>
    <t xml:space="preserve">RCA-GILBERTO LUIS GELAIN</t>
  </si>
  <si>
    <t xml:space="preserve">RCA - GILBERTO</t>
  </si>
  <si>
    <t xml:space="preserve">KELLY FERNANDES OLIVEIRA</t>
  </si>
  <si>
    <t xml:space="preserve">ACOUGUE BEEF CHIC</t>
  </si>
  <si>
    <t xml:space="preserve">WESLEY DA SILVA</t>
  </si>
  <si>
    <t xml:space="preserve">MARLENE GIL NUNES</t>
  </si>
  <si>
    <t xml:space="preserve">MERCADO PANORAMA</t>
  </si>
  <si>
    <t xml:space="preserve">ALESSANDRA DA SILVA RODRIGUES</t>
  </si>
  <si>
    <t xml:space="preserve">MERCADO SAO LUIZ</t>
  </si>
  <si>
    <t xml:space="preserve">URBANO GARCIA</t>
  </si>
  <si>
    <t xml:space="preserve">BAR MERCEARIA ESPERANCA</t>
  </si>
  <si>
    <t xml:space="preserve">AURILENE CANDIDO DA SILVA</t>
  </si>
  <si>
    <t xml:space="preserve">MERCADO DOIS IRMAOS</t>
  </si>
  <si>
    <t xml:space="preserve">ANDRE LUIZ DA CRUZ ALVARES</t>
  </si>
  <si>
    <t xml:space="preserve">MERCADO PAGANI</t>
  </si>
  <si>
    <t xml:space="preserve">ETELVINA MONTEIRO WOLLE</t>
  </si>
  <si>
    <t xml:space="preserve">REST PRODOESTE</t>
  </si>
  <si>
    <t xml:space="preserve">SIMAO AQUINO</t>
  </si>
  <si>
    <t xml:space="preserve">MERCADO LEITE</t>
  </si>
  <si>
    <t xml:space="preserve">DHIENY RODRIGUES PEREIRA</t>
  </si>
  <si>
    <t xml:space="preserve">SUPERMERCADO RODRIGUES</t>
  </si>
  <si>
    <t xml:space="preserve">EDSON MARTINS TORRES</t>
  </si>
  <si>
    <t xml:space="preserve">ELSIO SCHUSTER</t>
  </si>
  <si>
    <t xml:space="preserve">SORVETERIA BIG EXPRESS</t>
  </si>
  <si>
    <t xml:space="preserve">JANAINA PAVAN MOTA</t>
  </si>
  <si>
    <t xml:space="preserve">MERCEARIA PAULISTA</t>
  </si>
  <si>
    <t xml:space="preserve">LAIZA PEREIRA DA SILVA</t>
  </si>
  <si>
    <t xml:space="preserve">MERCEARIA CAMPOS</t>
  </si>
  <si>
    <t xml:space="preserve">EMERSON HENRIQUE DOS SANTOS</t>
  </si>
  <si>
    <t xml:space="preserve">SUPERMERCADO BIG STAR LEON</t>
  </si>
  <si>
    <t xml:space="preserve">VIVIANE GOMES PEREIRA</t>
  </si>
  <si>
    <t xml:space="preserve">LAN HOUSE</t>
  </si>
  <si>
    <t xml:space="preserve">EDVALDO DE SOUZA SANTOS</t>
  </si>
  <si>
    <t xml:space="preserve">MERCADO SORRIZO</t>
  </si>
  <si>
    <t xml:space="preserve">THIAGO DEFENDI</t>
  </si>
  <si>
    <t xml:space="preserve">MERCEARIA E CONV. TODO DIA</t>
  </si>
  <si>
    <t xml:space="preserve">CLEVERSON ANTUNES</t>
  </si>
  <si>
    <t xml:space="preserve">CHURR GAUCHA (POSTO JOIA)</t>
  </si>
  <si>
    <t xml:space="preserve">JOSE MIRANDA RABELO</t>
  </si>
  <si>
    <t xml:space="preserve">SORVETERIA NOVA CAMPO GRANDE</t>
  </si>
  <si>
    <t xml:space="preserve">MAYARA DA SILVA SIZIVAN</t>
  </si>
  <si>
    <t xml:space="preserve">CANTINA DA ESCOLA BIONATOS</t>
  </si>
  <si>
    <t xml:space="preserve">JOSIANE RODRIGUES MARIANO SOARES</t>
  </si>
  <si>
    <t xml:space="preserve">MERCEARIA 3 A</t>
  </si>
  <si>
    <t xml:space="preserve">GIOVANNA DOS SANTOS RAMALHO</t>
  </si>
  <si>
    <t xml:space="preserve">COMERCIAL SANTOS</t>
  </si>
  <si>
    <t xml:space="preserve">ADRIANA DELISE DE AQUINO</t>
  </si>
  <si>
    <t xml:space="preserve">MERCADO BOM JARDIM</t>
  </si>
  <si>
    <t xml:space="preserve">RAFAEL ARNALDO JUNIOR</t>
  </si>
  <si>
    <t xml:space="preserve">MERCADO COSTA</t>
  </si>
  <si>
    <t xml:space="preserve">GERALDO FRANCISCO LESSA</t>
  </si>
  <si>
    <t xml:space="preserve">PANIF BETEL</t>
  </si>
  <si>
    <t xml:space="preserve">EDSON MOREIRA JAIME JUNIOR</t>
  </si>
  <si>
    <t xml:space="preserve">PS LANCHONETE</t>
  </si>
  <si>
    <t xml:space="preserve">JUCELAINE MARIA CASALI</t>
  </si>
  <si>
    <t xml:space="preserve">SORVETERIA ITALIANINHO</t>
  </si>
  <si>
    <t xml:space="preserve">JESSICA GOMES CINTRA</t>
  </si>
  <si>
    <t xml:space="preserve">CONVENIENCIA QUERO MAIS</t>
  </si>
  <si>
    <t xml:space="preserve">JUCELIA DE OLIVEIRA MORAES</t>
  </si>
  <si>
    <t xml:space="preserve">SACOLAO E CONVENIENCIA LJ</t>
  </si>
  <si>
    <t xml:space="preserve">MARCIA REGINA FERNANDES</t>
  </si>
  <si>
    <t xml:space="preserve">PIZZA HUTT</t>
  </si>
  <si>
    <t xml:space="preserve">THIAGO PAREDES DOS SANTOS</t>
  </si>
  <si>
    <t xml:space="preserve">CONVENIENCIA DOGORDO</t>
  </si>
  <si>
    <t xml:space="preserve">LUCEMAR RAQUEL BUSSELATO</t>
  </si>
  <si>
    <t xml:space="preserve">VR CONVENIENCIA</t>
  </si>
  <si>
    <t xml:space="preserve">ZENAIDE CONTE LAUCHENER</t>
  </si>
  <si>
    <t xml:space="preserve">PANF MARCELI</t>
  </si>
  <si>
    <t xml:space="preserve">ADRIA DA SILVA AMORIM</t>
  </si>
  <si>
    <t xml:space="preserve">MERCADO O SUPER</t>
  </si>
  <si>
    <t xml:space="preserve">RENATO DOS SANTOS</t>
  </si>
  <si>
    <t xml:space="preserve">MINI PADARIA STILO</t>
  </si>
  <si>
    <t xml:space="preserve">SILVANEIDE DE MOURA CARDOSO MORO</t>
  </si>
  <si>
    <t xml:space="preserve">ANDRESSA CRISTINA DIAS COELHO</t>
  </si>
  <si>
    <t xml:space="preserve">PANIF ESDRAS</t>
  </si>
  <si>
    <t xml:space="preserve">RAMAO RIBEIRO</t>
  </si>
  <si>
    <t xml:space="preserve">ELOIR DA SILVA</t>
  </si>
  <si>
    <t xml:space="preserve">PANIFICADORA LUAL</t>
  </si>
  <si>
    <t xml:space="preserve">KELLI CAMPOS</t>
  </si>
  <si>
    <t xml:space="preserve">CONVENIENCIA CAMPOS</t>
  </si>
  <si>
    <t xml:space="preserve">RAFAELA CACERE SARTORI</t>
  </si>
  <si>
    <t xml:space="preserve">ANTIGO NOVO MILENIO</t>
  </si>
  <si>
    <t xml:space="preserve">FABIANA COSTA ARRUDA</t>
  </si>
  <si>
    <t xml:space="preserve">ILSARA DURAN ROSA DOS SANTOS</t>
  </si>
  <si>
    <t xml:space="preserve">MERCADO SANTA FELICIDADE</t>
  </si>
  <si>
    <t xml:space="preserve">EVA LUCELIA RAMOS DOS SANTOS</t>
  </si>
  <si>
    <t xml:space="preserve">MINI PRECO</t>
  </si>
  <si>
    <t xml:space="preserve">REGIANE DA SILVA GUEDES</t>
  </si>
  <si>
    <t xml:space="preserve">CONVENIENCIA ELDORADO</t>
  </si>
  <si>
    <t xml:space="preserve">MATHEUS DO ESPIRITO SANTO BARROS</t>
  </si>
  <si>
    <t xml:space="preserve">MATHEUS</t>
  </si>
  <si>
    <t xml:space="preserve">WAGNER MARQUES</t>
  </si>
  <si>
    <t xml:space="preserve">CONVENIENCIA VERAO</t>
  </si>
  <si>
    <t xml:space="preserve">ANDREA MARA ALVES DA COSTA</t>
  </si>
  <si>
    <t xml:space="preserve">MERCEARIA BEM VINDO CONVENIENC</t>
  </si>
  <si>
    <t xml:space="preserve">NAZIRA MARIA DOLABANI LIMA</t>
  </si>
  <si>
    <t xml:space="preserve">SUSETE PEDRALINO CARDOSO</t>
  </si>
  <si>
    <t xml:space="preserve">SUCO E SALADA OASIS</t>
  </si>
  <si>
    <t xml:space="preserve">ELISANGELA FERNANDES DA SILVA</t>
  </si>
  <si>
    <t xml:space="preserve">CASA DE CARNE KI BIFF</t>
  </si>
  <si>
    <t xml:space="preserve">ANA LUCIA GONCALVES DAS CANDEIAS GAIGHER</t>
  </si>
  <si>
    <t xml:space="preserve">MERCADO CAPIXABA</t>
  </si>
  <si>
    <t xml:space="preserve">CLERI TERESINHA ROSSA</t>
  </si>
  <si>
    <t xml:space="preserve">SUPERMERCADO ROSSA</t>
  </si>
  <si>
    <t xml:space="preserve">JOAO PEREIRA DE SOUZA</t>
  </si>
  <si>
    <t xml:space="preserve">SM GLOBO VERDE</t>
  </si>
  <si>
    <t xml:space="preserve">EMILIO RAFAEL MOSLAVES ARANDAS</t>
  </si>
  <si>
    <t xml:space="preserve">DANILO DIAS LIMA</t>
  </si>
  <si>
    <t xml:space="preserve">SACOLAO LIMA LIMAO</t>
  </si>
  <si>
    <t xml:space="preserve">ELIANA LOPES DE OLIVEIRA</t>
  </si>
  <si>
    <t xml:space="preserve">PANIFICADORA NOVO PAO</t>
  </si>
  <si>
    <t xml:space="preserve">JOSE CARLOS MENDONCA</t>
  </si>
  <si>
    <t xml:space="preserve">SM SAO FRANCISCO</t>
  </si>
  <si>
    <t xml:space="preserve">FAZENDA BELO HORIZONTE</t>
  </si>
  <si>
    <t xml:space="preserve">BONITO AVENTURA</t>
  </si>
  <si>
    <t xml:space="preserve">JOAO BRAZ DUARTE</t>
  </si>
  <si>
    <t xml:space="preserve">COLEGIO LATINO AMERICANO</t>
  </si>
  <si>
    <t xml:space="preserve">VALDEMAR ROJAS</t>
  </si>
  <si>
    <t xml:space="preserve">MERC. SAO CARLOS</t>
  </si>
  <si>
    <t xml:space="preserve">ANDRE ODILON LEITE DO EGITO</t>
  </si>
  <si>
    <t xml:space="preserve">FRETEIRO</t>
  </si>
  <si>
    <t xml:space="preserve">RCA-ALINE CHRISTMANN SANTOS</t>
  </si>
  <si>
    <t xml:space="preserve">JORGE LUIZ SANTANA</t>
  </si>
  <si>
    <t xml:space="preserve">TAKASHI KANASHIMA</t>
  </si>
  <si>
    <t xml:space="preserve">CANTINA KIMONE(FINAN FACULDADE</t>
  </si>
  <si>
    <t xml:space="preserve">LEANDRO MENDONCA SILVA</t>
  </si>
  <si>
    <t xml:space="preserve">ZULEIDE LISBOA DA SILVA</t>
  </si>
  <si>
    <t xml:space="preserve">BARRETOS MERCEARIA</t>
  </si>
  <si>
    <t xml:space="preserve">ELAINE LUIZ CANHETE</t>
  </si>
  <si>
    <t xml:space="preserve">JAQUELINE CORDEIRO XERES</t>
  </si>
  <si>
    <t xml:space="preserve">MINE MERCADO</t>
  </si>
  <si>
    <t xml:space="preserve">LAUDECIR FRANCISCO DE PAULA</t>
  </si>
  <si>
    <t xml:space="preserve">NEGAO CONV</t>
  </si>
  <si>
    <t xml:space="preserve">LUCIANA DE REZENDE</t>
  </si>
  <si>
    <t xml:space="preserve">PANIFICADORA BELEM BELEM</t>
  </si>
  <si>
    <t xml:space="preserve">GEISSA GOMES PEIXOTO</t>
  </si>
  <si>
    <t xml:space="preserve">MECEARIA CUIABANA</t>
  </si>
  <si>
    <t xml:space="preserve">MARIA MDALENA QUEIROZ</t>
  </si>
  <si>
    <t xml:space="preserve">MARIA MADALENA QUEIROZ</t>
  </si>
  <si>
    <t xml:space="preserve">MURILO CASTILHO MENDES</t>
  </si>
  <si>
    <t xml:space="preserve">MERCADO COMPRE MAIS</t>
  </si>
  <si>
    <t xml:space="preserve">NILSON SORIANO DA SILVA</t>
  </si>
  <si>
    <t xml:space="preserve">MERCADINHO DO BUIU</t>
  </si>
  <si>
    <t xml:space="preserve">ALAOR DE ALMEIDA SAMPAIO</t>
  </si>
  <si>
    <t xml:space="preserve">MARILZA FERREIRA DA SILVA</t>
  </si>
  <si>
    <t xml:space="preserve">CONVENIENCIA</t>
  </si>
  <si>
    <t xml:space="preserve">KARLA REGINA MARAGAMI FERREIRA</t>
  </si>
  <si>
    <t xml:space="preserve">COMERCIAL PORTO MARIA</t>
  </si>
  <si>
    <t xml:space="preserve">JONAS PEREIRA LOPES</t>
  </si>
  <si>
    <t xml:space="preserve">VAREJAO</t>
  </si>
  <si>
    <t xml:space="preserve">JOAO CARLOS DIAS CHIMENES</t>
  </si>
  <si>
    <t xml:space="preserve">PANIF UNIAO</t>
  </si>
  <si>
    <t xml:space="preserve">VALDOMIRO MOREIRA GOMES</t>
  </si>
  <si>
    <t xml:space="preserve">MERCADO MOREIRA</t>
  </si>
  <si>
    <t xml:space="preserve">ALAIR GUESSER</t>
  </si>
  <si>
    <t xml:space="preserve">MERCEARIA GUESSER</t>
  </si>
  <si>
    <t xml:space="preserve">WESLEY GOMES DA CUNHA</t>
  </si>
  <si>
    <t xml:space="preserve">COMPRE CERTO</t>
  </si>
  <si>
    <t xml:space="preserve">JULIANA  CRUZ DA COSTA</t>
  </si>
  <si>
    <t xml:space="preserve">ZERO GRAU CONVENIENCIA</t>
  </si>
  <si>
    <t xml:space="preserve">ADRIANO NUNES GOUVEIA</t>
  </si>
  <si>
    <t xml:space="preserve">MERCADO PORTUGUES</t>
  </si>
  <si>
    <t xml:space="preserve">MAIKON DE SOUZA QUINHOES</t>
  </si>
  <si>
    <t xml:space="preserve">CASA DE CARNE E CONVENIENCIA DO MAIKON</t>
  </si>
  <si>
    <t xml:space="preserve">ALCIDES FERREIRA DE SOUZA</t>
  </si>
  <si>
    <t xml:space="preserve">BAR E MERC ALCIDES</t>
  </si>
  <si>
    <t xml:space="preserve">SONIA MARIA ROSSATO</t>
  </si>
  <si>
    <t xml:space="preserve">MERCADO E DISTRIBUIDORA DE BEBIDAS</t>
  </si>
  <si>
    <t xml:space="preserve">GILSON CARLOS VISU</t>
  </si>
  <si>
    <t xml:space="preserve">AO LADO DA NAVIRAI CALCADOS</t>
  </si>
  <si>
    <t xml:space="preserve">MIGUEL JOAO CALEPES</t>
  </si>
  <si>
    <t xml:space="preserve">BAR DO MIGUEL</t>
  </si>
  <si>
    <t xml:space="preserve">AIRYANA MARTINS MENDES</t>
  </si>
  <si>
    <t xml:space="preserve">CONVENIENCIA NS APARECIDA</t>
  </si>
  <si>
    <t xml:space="preserve">NEUVAIR ANTONIO VANUCCHI</t>
  </si>
  <si>
    <t xml:space="preserve">PAG MENOS</t>
  </si>
  <si>
    <t xml:space="preserve">JUSCELIO ALVES RODRIGUES</t>
  </si>
  <si>
    <t xml:space="preserve">FESTA E CIA</t>
  </si>
  <si>
    <t xml:space="preserve">RCA JEANDERSON PEREIRA RODRIGUES</t>
  </si>
  <si>
    <t xml:space="preserve">RCA JEANDERSON</t>
  </si>
  <si>
    <t xml:space="preserve">ALEXANDRE RAMOS DE LIMA</t>
  </si>
  <si>
    <t xml:space="preserve">MERCEARIA DO DEDE</t>
  </si>
  <si>
    <t xml:space="preserve">FRANCISCO AQUINO DE AMORIM</t>
  </si>
  <si>
    <t xml:space="preserve">MERCADO SOL</t>
  </si>
  <si>
    <t xml:space="preserve">ROBERTO GUITTE MELGES</t>
  </si>
  <si>
    <t xml:space="preserve">EPIDIO DE SOUZA CARDOSO</t>
  </si>
  <si>
    <t xml:space="preserve">CONVENIENCIA AUTO POSTO 2000</t>
  </si>
  <si>
    <t xml:space="preserve">GEORGE FERNANDO CARVALHO</t>
  </si>
  <si>
    <t xml:space="preserve">MERCEARIA CONAIR</t>
  </si>
  <si>
    <t xml:space="preserve">JOSE J RIBEIRO</t>
  </si>
  <si>
    <t xml:space="preserve">SHIRLEY LANCHES</t>
  </si>
  <si>
    <t xml:space="preserve">MARLY NOGUEIRA FARIA</t>
  </si>
  <si>
    <t xml:space="preserve">CANTINA DOM BOSCO</t>
  </si>
  <si>
    <t xml:space="preserve">PAULO CESAR DE OLIVEIRA FERNANDES</t>
  </si>
  <si>
    <t xml:space="preserve">MERCEARIA FERNANDES</t>
  </si>
  <si>
    <t xml:space="preserve">RAFAEL SILVA BARCELOS</t>
  </si>
  <si>
    <t xml:space="preserve">MERCADO GUANABARA</t>
  </si>
  <si>
    <t xml:space="preserve">ANA FLAVIA TORRES</t>
  </si>
  <si>
    <t xml:space="preserve">IRENE EIDAN DA SILVA</t>
  </si>
  <si>
    <t xml:space="preserve">MERC.EIDAN</t>
  </si>
  <si>
    <t xml:space="preserve">MARIANA FIGUEREDO</t>
  </si>
  <si>
    <t xml:space="preserve">MERCEARIA ND</t>
  </si>
  <si>
    <t xml:space="preserve">MARCIA PAULINA SANTOS SOARES</t>
  </si>
  <si>
    <t xml:space="preserve">MERCADO ACOUGUE BIG STAR</t>
  </si>
  <si>
    <t xml:space="preserve">BIANCA LORETHA DELGADO DUARTE</t>
  </si>
  <si>
    <t xml:space="preserve">CANTINA DA NATALIA</t>
  </si>
  <si>
    <t xml:space="preserve">JORGE PEREIRA DE  SOUZA JUNIOR</t>
  </si>
  <si>
    <t xml:space="preserve">ROSANGELA PEREIRA DOS SANTOS</t>
  </si>
  <si>
    <t xml:space="preserve">RCA-EZEQUIEL DE BRITO RAMOS</t>
  </si>
  <si>
    <t xml:space="preserve">FERNANDA RODRIGUES GADIOLI</t>
  </si>
  <si>
    <t xml:space="preserve">TRAVESSOS LANCHES</t>
  </si>
  <si>
    <t xml:space="preserve">VANUSA DE LOSS DALO</t>
  </si>
  <si>
    <t xml:space="preserve">PANF PAO DOURADO</t>
  </si>
  <si>
    <t xml:space="preserve">WILLIAN GOMES DE SOUZA</t>
  </si>
  <si>
    <t xml:space="preserve">SUPERMERCADO PARANAENSE</t>
  </si>
  <si>
    <t xml:space="preserve">NIENE ALVES DOS SANTOS</t>
  </si>
  <si>
    <t xml:space="preserve">NIENE</t>
  </si>
  <si>
    <t xml:space="preserve">ADRIANA FERREIRA</t>
  </si>
  <si>
    <t xml:space="preserve">MINI MERCADO LEBLON</t>
  </si>
  <si>
    <t xml:space="preserve">MARIO SERGIO COSTA</t>
  </si>
  <si>
    <t xml:space="preserve">SERV RIBAS CONVENIENCIA</t>
  </si>
  <si>
    <t xml:space="preserve">CLEIDE RAQUEL RIBAS</t>
  </si>
  <si>
    <t xml:space="preserve">MERC DIAS</t>
  </si>
  <si>
    <t xml:space="preserve">FLAVIANE SANTANA DIAS DA SILVA</t>
  </si>
  <si>
    <t xml:space="preserve">MERCEARIA SANTANA</t>
  </si>
  <si>
    <t xml:space="preserve">JHONATAN JARA GONZALEZ</t>
  </si>
  <si>
    <t xml:space="preserve">VAGUINER GONCALVES</t>
  </si>
  <si>
    <t xml:space="preserve">ROSANGELA APARECIDA FERMINO BARBOSA</t>
  </si>
  <si>
    <t xml:space="preserve">MERCADO SAO JOSE</t>
  </si>
  <si>
    <t xml:space="preserve">ARIELLY CRISTALDO MACIEL</t>
  </si>
  <si>
    <t xml:space="preserve">JANDERSON RUNS</t>
  </si>
  <si>
    <t xml:space="preserve">LUIZ FERNANDO MOUREIRA</t>
  </si>
  <si>
    <t xml:space="preserve">MERCEARIA E CONVENIENCIA MOURA</t>
  </si>
  <si>
    <t xml:space="preserve">TAINARA PEREIRA DA SILVA</t>
  </si>
  <si>
    <t xml:space="preserve">PANIFICADORA PAO DOURADO</t>
  </si>
  <si>
    <t xml:space="preserve">ELVIS ARAUJO FEITOSA</t>
  </si>
  <si>
    <t xml:space="preserve">MERCEARIA MIL DELICIAS</t>
  </si>
  <si>
    <t xml:space="preserve">GASPARINA DE CARVALHO SANTOS</t>
  </si>
  <si>
    <t xml:space="preserve">PAES E CONV RENAN</t>
  </si>
  <si>
    <t xml:space="preserve">LUCIENE APARECIDA FERREIRA</t>
  </si>
  <si>
    <t xml:space="preserve">TIAGO ARAUJO LEIGUE</t>
  </si>
  <si>
    <t xml:space="preserve">ROSANA DELISE DE AQUINO</t>
  </si>
  <si>
    <t xml:space="preserve">DIEGO MAXSUEL GONCALVES</t>
  </si>
  <si>
    <t xml:space="preserve">NATALIA GOMES SALES SOUZA</t>
  </si>
  <si>
    <t xml:space="preserve">CONVENIENCIA SKINA</t>
  </si>
  <si>
    <t xml:space="preserve">ADELIO JOAO VINISKI</t>
  </si>
  <si>
    <t xml:space="preserve">BAR DO ADELIO</t>
  </si>
  <si>
    <t xml:space="preserve">PAULO ROBERTO OYADOMARI</t>
  </si>
  <si>
    <t xml:space="preserve">BETO SUCOS E LANCHES</t>
  </si>
  <si>
    <t xml:space="preserve">JOSE FRANCISCO BARROS</t>
  </si>
  <si>
    <t xml:space="preserve">MINI CONVIMIENCIA</t>
  </si>
  <si>
    <t xml:space="preserve">ANA PAULA CARDOSO DA SILVA</t>
  </si>
  <si>
    <t xml:space="preserve">MERCADO TREVO</t>
  </si>
  <si>
    <t xml:space="preserve">MARIA DAS GRACAS DE OLIVEIRA</t>
  </si>
  <si>
    <t xml:space="preserve">MERCADO E SACOLAO AVENIDA</t>
  </si>
  <si>
    <t xml:space="preserve">NELSON MARTINS SALVIANO</t>
  </si>
  <si>
    <t xml:space="preserve">RENATO MORAES DE OLIVEIRA</t>
  </si>
  <si>
    <t xml:space="preserve">FRANCISCO CARLOS MONTEIRO LIMA</t>
  </si>
  <si>
    <t xml:space="preserve">LANCHONETE PANTANAL</t>
  </si>
  <si>
    <t xml:space="preserve">EVANDRO NEY ARRUDA DOS SANTOS</t>
  </si>
  <si>
    <t xml:space="preserve">CAUE CONVENIENCIA</t>
  </si>
  <si>
    <t xml:space="preserve">YASER ABDEL HALIM SOMHA</t>
  </si>
  <si>
    <t xml:space="preserve">SAMHA CONVENIENCIA</t>
  </si>
  <si>
    <t xml:space="preserve">ANDRE CORREIA DE ARAUJO</t>
  </si>
  <si>
    <t xml:space="preserve">ZENAIDE FERREIRA BEZERRA</t>
  </si>
  <si>
    <t xml:space="preserve">MERCEARIA INDAIA</t>
  </si>
  <si>
    <t xml:space="preserve">FABRICIO DINO PEREIRA</t>
  </si>
  <si>
    <t xml:space="preserve">DINOS PIZZARIA</t>
  </si>
  <si>
    <t xml:space="preserve">LINGERIA RUIZ BARBOSA</t>
  </si>
  <si>
    <t xml:space="preserve">MERCEARIA BOM SUCESSO</t>
  </si>
  <si>
    <t xml:space="preserve">DONIZETH ARRUDA DA SILVA</t>
  </si>
  <si>
    <t xml:space="preserve">MAIKO RODRIGUES ANTUNES</t>
  </si>
  <si>
    <t xml:space="preserve">MERCEARIA ESPERAN€A</t>
  </si>
  <si>
    <t xml:space="preserve">MARIA APAREC DE REZENDE</t>
  </si>
  <si>
    <t xml:space="preserve">CANTINA SABOR SALESIANO</t>
  </si>
  <si>
    <t xml:space="preserve">THIAGO FRANCES BARBOSA DOS SANTOS</t>
  </si>
  <si>
    <t xml:space="preserve">MERCADO ATHOS</t>
  </si>
  <si>
    <t xml:space="preserve">REINALDO GOMES DOS SANTOS</t>
  </si>
  <si>
    <t xml:space="preserve">FERNANDO PEREIRA QUEIROZ</t>
  </si>
  <si>
    <t xml:space="preserve">MERCADO QUEIROZ II</t>
  </si>
  <si>
    <t xml:space="preserve">RENATA CAROLINE DE OLIVERIA DOS SANTOS  </t>
  </si>
  <si>
    <t xml:space="preserve">MERCADO OLIVEIRAS</t>
  </si>
  <si>
    <t xml:space="preserve">ADERCIO BARBUIO</t>
  </si>
  <si>
    <t xml:space="preserve">TATERSAL ESTANCIA ORSI</t>
  </si>
  <si>
    <t xml:space="preserve">ROSANGELA DOS SANTOS LIMA</t>
  </si>
  <si>
    <t xml:space="preserve">MAXIMO HORTI FRUTI</t>
  </si>
  <si>
    <t xml:space="preserve">SEBASTIAO SOUZA DA SILVA</t>
  </si>
  <si>
    <t xml:space="preserve">MERCADO MOURA</t>
  </si>
  <si>
    <t xml:space="preserve">ELIO CUSTODIO LOPES</t>
  </si>
  <si>
    <t xml:space="preserve">MERCADO LOPES</t>
  </si>
  <si>
    <t xml:space="preserve">ANTONIA MARIA CARDOSO RODRIGUES</t>
  </si>
  <si>
    <t xml:space="preserve">LANCHES CANAA</t>
  </si>
  <si>
    <t xml:space="preserve">EMERSON LUIZ CARDOSO</t>
  </si>
  <si>
    <t xml:space="preserve">LANCHONETE DA RODOVIARIA</t>
  </si>
  <si>
    <t xml:space="preserve">RODRIGO SOUZA FERNANDES</t>
  </si>
  <si>
    <t xml:space="preserve">SF CONVENIENCIA</t>
  </si>
  <si>
    <t xml:space="preserve">VALDONIRO PEREIRA CHAVES</t>
  </si>
  <si>
    <t xml:space="preserve">MINI MERCADO VIEIRA</t>
  </si>
  <si>
    <t xml:space="preserve">MASSAO ONODA</t>
  </si>
  <si>
    <t xml:space="preserve">MERCEARIA RADIAL</t>
  </si>
  <si>
    <t xml:space="preserve">JOSI MARA CANAVARRO</t>
  </si>
  <si>
    <t xml:space="preserve">SUP FRANCA</t>
  </si>
  <si>
    <t xml:space="preserve">RODRIGO MARTINS NUNES</t>
  </si>
  <si>
    <t xml:space="preserve">MERCADO DO DIGAO</t>
  </si>
  <si>
    <t xml:space="preserve">VANESSA PAULO DA SILVA</t>
  </si>
  <si>
    <t xml:space="preserve">CANTINHO DO LANCHE</t>
  </si>
  <si>
    <t xml:space="preserve">VALQUIMAR LEAO DOS SANTOS</t>
  </si>
  <si>
    <t xml:space="preserve">MERC.JB</t>
  </si>
  <si>
    <t xml:space="preserve">VILMAR DIAS ESPINDOLA</t>
  </si>
  <si>
    <t xml:space="preserve">CONV TIRADENTES</t>
  </si>
  <si>
    <t xml:space="preserve">ADRIANO REI DE SOUZA</t>
  </si>
  <si>
    <t xml:space="preserve">GIGA BEEFF</t>
  </si>
  <si>
    <t xml:space="preserve">LUCIANA FERREIRA PINTO</t>
  </si>
  <si>
    <t xml:space="preserve">CASA DE SHOWS STATUS</t>
  </si>
  <si>
    <t xml:space="preserve">FABIANO LINHARES FERNANDES</t>
  </si>
  <si>
    <t xml:space="preserve">GILMAR CARRARO</t>
  </si>
  <si>
    <t xml:space="preserve">MERCEARIA CONQUISTA</t>
  </si>
  <si>
    <t xml:space="preserve">PAULO HENRIQUE DUARTE</t>
  </si>
  <si>
    <t xml:space="preserve">MERCADO E ACOUGUE RIO NEGRO</t>
  </si>
  <si>
    <t xml:space="preserve">CESAR MACHADO</t>
  </si>
  <si>
    <t xml:space="preserve">FLORIANOPOLIS</t>
  </si>
  <si>
    <t xml:space="preserve">THALLES DUARTE SOUZA</t>
  </si>
  <si>
    <t xml:space="preserve">VAREJAO FAZENDAO</t>
  </si>
  <si>
    <t xml:space="preserve">CEFERINO DE SOUZA</t>
  </si>
  <si>
    <t xml:space="preserve">MERCEARIA MOUGUIJA</t>
  </si>
  <si>
    <t xml:space="preserve">DIEGO ACHUCARRO DE QUEIROZ</t>
  </si>
  <si>
    <t xml:space="preserve">MARIO ANTONIO ROQUE</t>
  </si>
  <si>
    <t xml:space="preserve">RAFAEL HENRIQUE NUNES SOUTO</t>
  </si>
  <si>
    <t xml:space="preserve">TABACARIA E CONVENIENCIA KUJUBA</t>
  </si>
  <si>
    <t xml:space="preserve">JOAO ISAIAS RENATO MOREIRA GONCALVES</t>
  </si>
  <si>
    <t xml:space="preserve">DENIS MICHEL DIAS</t>
  </si>
  <si>
    <t xml:space="preserve">CYBERIA LAN HOUSE</t>
  </si>
  <si>
    <t xml:space="preserve">CAIO FELIPE FERNANDES PERSEGUIM</t>
  </si>
  <si>
    <t xml:space="preserve">MERCADO MORENINHA</t>
  </si>
  <si>
    <t xml:space="preserve">JOSE  ANTONIO ALEXANDRE</t>
  </si>
  <si>
    <t xml:space="preserve">REST E LANCH AVENIDA POST AV.</t>
  </si>
  <si>
    <t xml:space="preserve">RODRIGO SILVA DA CUNHA</t>
  </si>
  <si>
    <t xml:space="preserve">FRANCIELE OLIVEIRA DE AMORIM</t>
  </si>
  <si>
    <t xml:space="preserve">LAIZA GODOY VEIGA</t>
  </si>
  <si>
    <t xml:space="preserve">MERCEARIA SIQUEIRA</t>
  </si>
  <si>
    <t xml:space="preserve">LEANDRO GUIMARAES FOSCACHES</t>
  </si>
  <si>
    <t xml:space="preserve">REPRESENTANTE G.D.C.</t>
  </si>
  <si>
    <t xml:space="preserve">CLEITON MARTINS DA SILVA</t>
  </si>
  <si>
    <t xml:space="preserve">FUNC - DEPOSITO</t>
  </si>
  <si>
    <t xml:space="preserve">GUMERCINDO FERREIRA VIDA</t>
  </si>
  <si>
    <t xml:space="preserve">CESTAO SUP</t>
  </si>
  <si>
    <t xml:space="preserve">JOSE JOAQUIM FILHO</t>
  </si>
  <si>
    <t xml:space="preserve">MERCEARIA SAO JOAQUIM</t>
  </si>
  <si>
    <t xml:space="preserve">THIAGO COORDEIRO</t>
  </si>
  <si>
    <t xml:space="preserve">MERCADO NUNES</t>
  </si>
  <si>
    <t xml:space="preserve">AVNER PENAJO NOGUEIRA</t>
  </si>
  <si>
    <t xml:space="preserve">MERCADO TARUMA</t>
  </si>
  <si>
    <t xml:space="preserve">IZAIAS SOUZA LEITAO</t>
  </si>
  <si>
    <t xml:space="preserve">CANT SECR GESTAO GASTOS</t>
  </si>
  <si>
    <t xml:space="preserve">ANDRE LOPES MENDES</t>
  </si>
  <si>
    <t xml:space="preserve">SACOLAO</t>
  </si>
  <si>
    <t xml:space="preserve">RAMAO ORTIZ</t>
  </si>
  <si>
    <t xml:space="preserve">GUIA LOPES DA LAGUNA</t>
  </si>
  <si>
    <t xml:space="preserve">MERCADO ORTIZ</t>
  </si>
  <si>
    <t xml:space="preserve">JOSE R DA SILVA NETO</t>
  </si>
  <si>
    <t xml:space="preserve">CERVE - JA II</t>
  </si>
  <si>
    <t xml:space="preserve">VALDEMIR NUNES PAIVA</t>
  </si>
  <si>
    <t xml:space="preserve">ZE TROVAO</t>
  </si>
  <si>
    <t xml:space="preserve">BENEDITO PEREIRA RAMOS</t>
  </si>
  <si>
    <t xml:space="preserve">BAR E MERCEARIA ESPERANCA</t>
  </si>
  <si>
    <t xml:space="preserve">MARIA ELZILENE ANDRADE D EARAUJO</t>
  </si>
  <si>
    <t xml:space="preserve">SM POPULAR</t>
  </si>
  <si>
    <t xml:space="preserve">XISTO PEREIRA</t>
  </si>
  <si>
    <t xml:space="preserve">RHAFAELA LIMA BURIGATO</t>
  </si>
  <si>
    <t xml:space="preserve">EDIRLENE MEIRA ACEDO</t>
  </si>
  <si>
    <t xml:space="preserve">MERCADO ACOUGUE JJ</t>
  </si>
  <si>
    <t xml:space="preserve">ELIAZAR CHINEM SILVEIRA</t>
  </si>
  <si>
    <t xml:space="preserve">MERCADO FENIX</t>
  </si>
  <si>
    <t xml:space="preserve">HILARIO SALVATICO</t>
  </si>
  <si>
    <t xml:space="preserve">CHAPADAO DO CEU</t>
  </si>
  <si>
    <t xml:space="preserve">PANIFICADORA PAO NOSSO</t>
  </si>
  <si>
    <t xml:space="preserve">HUDSON VIRIETO DE ALENCAR</t>
  </si>
  <si>
    <t xml:space="preserve">VANDA PAZ BARBOSA</t>
  </si>
  <si>
    <t xml:space="preserve">VANILDA APARECIDA DA SILVA</t>
  </si>
  <si>
    <t xml:space="preserve">MINI MERCADI VILA NOVA</t>
  </si>
  <si>
    <t xml:space="preserve">LAUDIR CAMPOS DE OLIVEIRA</t>
  </si>
  <si>
    <t xml:space="preserve">RESTAURANTE TAYO</t>
  </si>
  <si>
    <t xml:space="preserve">CINDY SUELEN MARA DOS SANTOS VERON</t>
  </si>
  <si>
    <t xml:space="preserve">LEANDRO GORISCH PARANA ANDOLFATO</t>
  </si>
  <si>
    <t xml:space="preserve">CICERO FERNANDES GUIMARAES</t>
  </si>
  <si>
    <t xml:space="preserve">SM SERRA DOURADO</t>
  </si>
  <si>
    <t xml:space="preserve">MICHELE DA CRUZ SOUZA</t>
  </si>
  <si>
    <t xml:space="preserve">MERCEARIA JM</t>
  </si>
  <si>
    <t xml:space="preserve">ERITON PEREIRA DE OLIVEIRA</t>
  </si>
  <si>
    <t xml:space="preserve">MERCEARIA RAMOS II</t>
  </si>
  <si>
    <t xml:space="preserve">HELENA PEREIRA</t>
  </si>
  <si>
    <t xml:space="preserve">LANCHES TROPICAL</t>
  </si>
  <si>
    <t xml:space="preserve">DIEGO FERNANDO TENORIO</t>
  </si>
  <si>
    <t xml:space="preserve">CAMILA CRISTINA DA SILVA</t>
  </si>
  <si>
    <t xml:space="preserve">MERCADO O POVO</t>
  </si>
  <si>
    <t xml:space="preserve">CAMILA CAMPOS</t>
  </si>
  <si>
    <t xml:space="preserve">ALISSON FERNANDO MENDES ALVES</t>
  </si>
  <si>
    <t xml:space="preserve">PAMELLA BENITES DUARTE</t>
  </si>
  <si>
    <t xml:space="preserve">MARIANA CESAR DA SILVA</t>
  </si>
  <si>
    <t xml:space="preserve">MERCADO BARBUENO</t>
  </si>
  <si>
    <t xml:space="preserve">PAULO ALFREDO DOS SANTOS</t>
  </si>
  <si>
    <t xml:space="preserve">PADARIA PAO DO DIA</t>
  </si>
  <si>
    <t xml:space="preserve">WILSON CONTE CORSO</t>
  </si>
  <si>
    <t xml:space="preserve">PANIF 02 IRMAOS</t>
  </si>
  <si>
    <t xml:space="preserve">RUBENS MARINHO DE CARBALHO</t>
  </si>
  <si>
    <t xml:space="preserve">MINI MERCADO RBG</t>
  </si>
  <si>
    <t xml:space="preserve">FLAVIO CASTILHO DOS SANTOS</t>
  </si>
  <si>
    <t xml:space="preserve">FC CONVENIENCIA</t>
  </si>
  <si>
    <t xml:space="preserve">KAUEH DE LIBERO BRITO</t>
  </si>
  <si>
    <t xml:space="preserve">CONVENIENCIA KAUEH</t>
  </si>
  <si>
    <t xml:space="preserve">MARCIA SANTOS SOUZA</t>
  </si>
  <si>
    <t xml:space="preserve">ELETRONICA RADAR</t>
  </si>
  <si>
    <t xml:space="preserve">SHIRLEY FERREIRA DA SILVA</t>
  </si>
  <si>
    <t xml:space="preserve">MERCEARIA DA SHIRLEY</t>
  </si>
  <si>
    <t xml:space="preserve">RUBENS ANTUNES BELMONTE</t>
  </si>
  <si>
    <t xml:space="preserve">BAR</t>
  </si>
  <si>
    <t xml:space="preserve">DIEGO BENITES DIAS</t>
  </si>
  <si>
    <t xml:space="preserve">DUDAS CONVENIENCIA</t>
  </si>
  <si>
    <t xml:space="preserve">CARINA CRISTINA DA SILVA</t>
  </si>
  <si>
    <t xml:space="preserve">MERCADO MUNICIPAL BOX 01</t>
  </si>
  <si>
    <t xml:space="preserve">JAQUELINE SILVA MARTINS</t>
  </si>
  <si>
    <t xml:space="preserve">SALAME E CUCA</t>
  </si>
  <si>
    <t xml:space="preserve">ANTONIEL COSTA DA SILVA</t>
  </si>
  <si>
    <t xml:space="preserve">FRUTARIA E MERCADO DOIS IRMAOS</t>
  </si>
  <si>
    <t xml:space="preserve">WALISON FERNANDO GOMES</t>
  </si>
  <si>
    <t xml:space="preserve">MERCADO PARAISO</t>
  </si>
  <si>
    <t xml:space="preserve">DIRCE NAZARE GONCALVES RODRIGUES</t>
  </si>
  <si>
    <t xml:space="preserve">MERCEARIA DIRCE</t>
  </si>
  <si>
    <t xml:space="preserve">MAIARA TOBIAS MACHADO</t>
  </si>
  <si>
    <t xml:space="preserve">ROSALIA TEREZINHA JAKUBOSWKI</t>
  </si>
  <si>
    <t xml:space="preserve">CONV 3 B</t>
  </si>
  <si>
    <t xml:space="preserve">FATIMA FRANCO LEMES DE OLIVEIRA</t>
  </si>
  <si>
    <t xml:space="preserve">MERCADO DA HRA</t>
  </si>
  <si>
    <t xml:space="preserve">KASSIO FELIPPE DE OLIV.</t>
  </si>
  <si>
    <t xml:space="preserve">MASTER CONV.</t>
  </si>
  <si>
    <t xml:space="preserve">LEANDRO DELFINO DOS SANTOS</t>
  </si>
  <si>
    <t xml:space="preserve">FALCAO CONVENIENCIA</t>
  </si>
  <si>
    <t xml:space="preserve">MEIRE NUNES DA SILVA</t>
  </si>
  <si>
    <t xml:space="preserve">CONVENIENCIA CHAPLIN</t>
  </si>
  <si>
    <t xml:space="preserve">MERCADO MAX BOM</t>
  </si>
  <si>
    <t xml:space="preserve">JOSE SEVERINO TORRES</t>
  </si>
  <si>
    <t xml:space="preserve">MERCEARIA SAO JOSE</t>
  </si>
  <si>
    <t xml:space="preserve">ODELY CARNEIRO AQUINO</t>
  </si>
  <si>
    <t xml:space="preserve">CONSUMIDOR</t>
  </si>
  <si>
    <t xml:space="preserve">ANTONIO JOSE DE SANTANA</t>
  </si>
  <si>
    <t xml:space="preserve">PNIF ROSE</t>
  </si>
  <si>
    <t xml:space="preserve">CLEVERSON ALFREDO VILA NOVA DA SILVA</t>
  </si>
  <si>
    <t xml:space="preserve">SORVETERIA MERC VARANDA</t>
  </si>
  <si>
    <t xml:space="preserve">JOSE ROBERTO GASPARETO</t>
  </si>
  <si>
    <t xml:space="preserve">MINI MERCADO FRUTAO</t>
  </si>
  <si>
    <t xml:space="preserve">AGENOR AMARAL</t>
  </si>
  <si>
    <t xml:space="preserve">MERCEARIA MODELO</t>
  </si>
  <si>
    <t xml:space="preserve">MARIANY VIEIRA MATOS</t>
  </si>
  <si>
    <t xml:space="preserve">CASA DE CARNE DUARTE</t>
  </si>
  <si>
    <t xml:space="preserve">MARIA APARECIDA RODRIGUES</t>
  </si>
  <si>
    <t xml:space="preserve">MERCEARIA VIDAL</t>
  </si>
  <si>
    <t xml:space="preserve">GILBERTO SANTOS SOUSA</t>
  </si>
  <si>
    <t xml:space="preserve">LUDMILLA AMARAL BITENCOURT GIROLETTA</t>
  </si>
  <si>
    <t xml:space="preserve">WELLEN ABRANCHES BERNARDINO (REP 206)</t>
  </si>
  <si>
    <t xml:space="preserve">ALINE DA SILVA RODRIGUES</t>
  </si>
  <si>
    <t xml:space="preserve">MERC DO CLAUDINHO</t>
  </si>
  <si>
    <t xml:space="preserve">RENATO LUIZ NUNES</t>
  </si>
  <si>
    <t xml:space="preserve">BISTECAO CARNE E MERC</t>
  </si>
  <si>
    <t xml:space="preserve">JOAO CAMILO</t>
  </si>
  <si>
    <t xml:space="preserve">MERCEARIA MORAES</t>
  </si>
  <si>
    <t xml:space="preserve">THIAGO VICTOR CORREA</t>
  </si>
  <si>
    <t xml:space="preserve">JOSEFINO DOS SANTOS</t>
  </si>
  <si>
    <t xml:space="preserve">MERCADO DEISEMAR</t>
  </si>
  <si>
    <t xml:space="preserve">FERNANDO LEONARDO CASANOVA ARAUJO</t>
  </si>
  <si>
    <t xml:space="preserve">FERNANDO LEONARDO PROMOTOR</t>
  </si>
  <si>
    <t xml:space="preserve">JOSSEANE APARECIDA S GOLFETI</t>
  </si>
  <si>
    <t xml:space="preserve">MERCADO TOMAZI</t>
  </si>
  <si>
    <t xml:space="preserve">ALEX ALAN COSTA GREGORIO</t>
  </si>
  <si>
    <t xml:space="preserve">MERCADO COSTA ARANTES</t>
  </si>
  <si>
    <t xml:space="preserve">JOSE LAILTON LEITE PEREIRA</t>
  </si>
  <si>
    <t xml:space="preserve">JOSIEL CORDEIRO GOMES</t>
  </si>
  <si>
    <t xml:space="preserve">SACOLAO E MERCEARIA GOMES</t>
  </si>
  <si>
    <t xml:space="preserve">GESSICA MARQUES GAMA</t>
  </si>
  <si>
    <t xml:space="preserve">MURIS ABDONOR</t>
  </si>
  <si>
    <t xml:space="preserve">ROCHEDO</t>
  </si>
  <si>
    <t xml:space="preserve">MERCADO ECONOMICO</t>
  </si>
  <si>
    <t xml:space="preserve">GEUSA DE AZEVEDA DE CAMPOS</t>
  </si>
  <si>
    <t xml:space="preserve">MERCEARIA RIBAMAR E GEUSA</t>
  </si>
  <si>
    <t xml:space="preserve">WENDER LAUSER MATOS JARDIM</t>
  </si>
  <si>
    <t xml:space="preserve">MONICA DIAS DOS SANTOS</t>
  </si>
  <si>
    <t xml:space="preserve">MERC E ACOUG BOM SUCESSO</t>
  </si>
  <si>
    <t xml:space="preserve">EMANUELY SANTANA SOUZA NASCIMENTO</t>
  </si>
  <si>
    <t xml:space="preserve">CONVENIENCIA DA 85</t>
  </si>
  <si>
    <t xml:space="preserve">DANIELE STEFANY BARBOSA SANTOS</t>
  </si>
  <si>
    <t xml:space="preserve">MERCADO LORENZE</t>
  </si>
  <si>
    <t xml:space="preserve">KARINA DA CRUZ BARBARESCO</t>
  </si>
  <si>
    <t xml:space="preserve">KARINA</t>
  </si>
  <si>
    <t xml:space="preserve">RAMAO SOUZA MEDINA</t>
  </si>
  <si>
    <t xml:space="preserve">GERALDINO DE S REBEIRO</t>
  </si>
  <si>
    <t xml:space="preserve">MERCEARIA SOUZA</t>
  </si>
  <si>
    <t xml:space="preserve">KASSIA DE LIMA SANTANA</t>
  </si>
  <si>
    <t xml:space="preserve">GUILHERMINA SALAZAR SALES</t>
  </si>
  <si>
    <t xml:space="preserve">HORTI FRUTI CONVENIENCIAS</t>
  </si>
  <si>
    <t xml:space="preserve">JEAN DE SOUZA RODRIGUES</t>
  </si>
  <si>
    <t xml:space="preserve">MERCADO DO BOSQUE</t>
  </si>
  <si>
    <t xml:space="preserve">OSMAR MARIANO</t>
  </si>
  <si>
    <t xml:space="preserve">MARIA DO CARMO DA SILVA</t>
  </si>
  <si>
    <t xml:space="preserve">MERCADO PAGE MENOS</t>
  </si>
  <si>
    <t xml:space="preserve">RAPHAELA PIMENTA DE OLIVEIRA DA SILVA</t>
  </si>
  <si>
    <t xml:space="preserve">ANDERSON AUGUSTO AQUINO DE MORAES</t>
  </si>
  <si>
    <t xml:space="preserve">MERCADO NOSSA SENHORA DE APARECIDA</t>
  </si>
  <si>
    <t xml:space="preserve">ELIZANDRA DE JESUS</t>
  </si>
  <si>
    <t xml:space="preserve">MERCEARIA O FRUTAL</t>
  </si>
  <si>
    <t xml:space="preserve">CLEVERSON JULLYANO FREITAS LOPES</t>
  </si>
  <si>
    <t xml:space="preserve">MERCEARIA LN</t>
  </si>
  <si>
    <t xml:space="preserve">GECIELE BIBERG</t>
  </si>
  <si>
    <t xml:space="preserve">MERCADO E ACOUGUE DUDU</t>
  </si>
  <si>
    <t xml:space="preserve">JOSE X . C. NETO</t>
  </si>
  <si>
    <t xml:space="preserve">REST E LANCH PRUDENTAO</t>
  </si>
  <si>
    <t xml:space="preserve">FERNANDA GONSALVES GARCIA</t>
  </si>
  <si>
    <t xml:space="preserve">MERCADO GARCIA</t>
  </si>
  <si>
    <t xml:space="preserve">MARCIA NOSS</t>
  </si>
  <si>
    <t xml:space="preserve">REST CONCORDIA</t>
  </si>
  <si>
    <t xml:space="preserve">ALISON BRUNO JUNQUEIRA DE LIMA</t>
  </si>
  <si>
    <t xml:space="preserve">MERCADO REIS</t>
  </si>
  <si>
    <t xml:space="preserve">CAROLINA RAFAELA C ALVES</t>
  </si>
  <si>
    <t xml:space="preserve">CASA DE CARNE FILE CARNES</t>
  </si>
  <si>
    <t xml:space="preserve">GILIARD BARRETO DELGADO</t>
  </si>
  <si>
    <t xml:space="preserve">CONVENIENCIA DELGADO</t>
  </si>
  <si>
    <t xml:space="preserve">LUCIANA GALVAO PRADO</t>
  </si>
  <si>
    <t xml:space="preserve">NOSSO EMPORIO</t>
  </si>
  <si>
    <t xml:space="preserve">ALESSANDRA PEREIRA</t>
  </si>
  <si>
    <t xml:space="preserve">CASA DO PAO DE QUEIJO</t>
  </si>
  <si>
    <t xml:space="preserve">MARIA APARECIDA SANTOS SILVA</t>
  </si>
  <si>
    <t xml:space="preserve">RED BULL CONVENIENCIA</t>
  </si>
  <si>
    <t xml:space="preserve">APARECIDO AMARAL</t>
  </si>
  <si>
    <t xml:space="preserve">BAR E PASTELARIA DO CIDAO</t>
  </si>
  <si>
    <t xml:space="preserve">NAYARA GOMES DA SILVA</t>
  </si>
  <si>
    <t xml:space="preserve">MAYRA GOMES</t>
  </si>
  <si>
    <t xml:space="preserve">TEREZINHA FRANCISCA DE LIMA PATROCINIO  </t>
  </si>
  <si>
    <t xml:space="preserve">BAZAR LIMA</t>
  </si>
  <si>
    <t xml:space="preserve">EVA NELY GONCALVES RODRIGUES</t>
  </si>
  <si>
    <t xml:space="preserve">JOAO DE SOUZA LIMA</t>
  </si>
  <si>
    <t xml:space="preserve">BAR E MERCEARIA SOUZA</t>
  </si>
  <si>
    <t xml:space="preserve">ADAILTO PEDRO DA SILVA FILHO</t>
  </si>
  <si>
    <t xml:space="preserve">NERCEARIA NAKASA</t>
  </si>
  <si>
    <t xml:space="preserve">MONICA REBECHI</t>
  </si>
  <si>
    <t xml:space="preserve">HANGAR</t>
  </si>
  <si>
    <t xml:space="preserve">KEILLA THEY MARCONDES FIRMINO</t>
  </si>
  <si>
    <t xml:space="preserve">MINI MERCADO SILVA</t>
  </si>
  <si>
    <t xml:space="preserve">MARCOS ANTONIO BRUNEL LOPES</t>
  </si>
  <si>
    <t xml:space="preserve">MERC FAVORITO</t>
  </si>
  <si>
    <t xml:space="preserve">DANIEL DA S DA SILVA</t>
  </si>
  <si>
    <t xml:space="preserve">OSMAR ALVES DE SOUZA JUNIOR</t>
  </si>
  <si>
    <t xml:space="preserve">GABRIELE SANTOS SATO AMARO</t>
  </si>
  <si>
    <t xml:space="preserve">SACOLAO SATO</t>
  </si>
  <si>
    <t xml:space="preserve">DORIVAL GONCALVES</t>
  </si>
  <si>
    <t xml:space="preserve">CANTINA DO COLEGIO STA TEREZA</t>
  </si>
  <si>
    <t xml:space="preserve">BRUNO WESLLEY SILVA ROCHA RODRIGUES</t>
  </si>
  <si>
    <t xml:space="preserve">RODRIGO ZAMBONI CAVALHEIRO</t>
  </si>
  <si>
    <t xml:space="preserve">SUELI VIEIRA ROSA</t>
  </si>
  <si>
    <t xml:space="preserve">MERCEARIA ALVORADA</t>
  </si>
  <si>
    <t xml:space="preserve">VALDEMAR SILVEIRA</t>
  </si>
  <si>
    <t xml:space="preserve">LOURIVALDO PIRES ALVES</t>
  </si>
  <si>
    <t xml:space="preserve">SM KELLY</t>
  </si>
  <si>
    <t xml:space="preserve">MARCELO WANDERSON CARDOSO NASCIMENTO</t>
  </si>
  <si>
    <t xml:space="preserve">MERCADO MONALISA</t>
  </si>
  <si>
    <t xml:space="preserve">ALMIR VIANA</t>
  </si>
  <si>
    <t xml:space="preserve">SOVERTEARIA VIANA</t>
  </si>
  <si>
    <t xml:space="preserve">JOSE BEZERRA</t>
  </si>
  <si>
    <t xml:space="preserve">MERCEARIA CENTENARIO</t>
  </si>
  <si>
    <t xml:space="preserve">DANIELI CUCATO BUQUE</t>
  </si>
  <si>
    <t xml:space="preserve">EMPORIO EM DOMICILIO</t>
  </si>
  <si>
    <t xml:space="preserve">FELIPE AUGUSTO NUNES</t>
  </si>
  <si>
    <t xml:space="preserve">RUBENS DA SILVA CARDOSO</t>
  </si>
  <si>
    <t xml:space="preserve">CASA DE CARNE MADRI</t>
  </si>
  <si>
    <t xml:space="preserve">PATRICIA LIMONGE BANADIMAN</t>
  </si>
  <si>
    <t xml:space="preserve">MERCAD BOM DE MAIS</t>
  </si>
  <si>
    <t xml:space="preserve">DRYELLI SILVA LOURENCO</t>
  </si>
  <si>
    <t xml:space="preserve">BIG BOX</t>
  </si>
  <si>
    <t xml:space="preserve">MICHELLE DA SILVA ELEOTERIO</t>
  </si>
  <si>
    <t xml:space="preserve">PANIFICADORA ELEOTERIOS</t>
  </si>
  <si>
    <t xml:space="preserve">LUANA RIQUELME BRITES</t>
  </si>
  <si>
    <t xml:space="preserve">LUANA CONVENIENCIA E MERCEARIA</t>
  </si>
  <si>
    <t xml:space="preserve">PABLO JOSE CANAVARRO VELOSO</t>
  </si>
  <si>
    <t xml:space="preserve">MERCADO MAIS</t>
  </si>
  <si>
    <t xml:space="preserve">KAMILA TEIXEIRA SIVA</t>
  </si>
  <si>
    <t xml:space="preserve">KAMILA</t>
  </si>
  <si>
    <t xml:space="preserve">JOYCE BUDDE CORREA</t>
  </si>
  <si>
    <t xml:space="preserve">IRIA TEREZINHA ALVES DIAS</t>
  </si>
  <si>
    <t xml:space="preserve">MERCEARIA SANTA LUZIA</t>
  </si>
  <si>
    <t xml:space="preserve">OSVALDO MONTORO</t>
  </si>
  <si>
    <t xml:space="preserve">MERCADINHO PAULISTA</t>
  </si>
  <si>
    <t xml:space="preserve">CARMEM LUCIA ZACCHI MORENO</t>
  </si>
  <si>
    <t xml:space="preserve">PASTELARIA BOM SABOR</t>
  </si>
  <si>
    <t xml:space="preserve">SIMONE DA SILVA CARDOSO</t>
  </si>
  <si>
    <t xml:space="preserve">MERCEARIA BOM PRECO</t>
  </si>
  <si>
    <t xml:space="preserve">JOAO EDUARDO BERGAMINI</t>
  </si>
  <si>
    <t xml:space="preserve">MERC BERGAMINI</t>
  </si>
  <si>
    <t xml:space="preserve">LOHAYNE CAROLINE TEODORO DA SILVA</t>
  </si>
  <si>
    <t xml:space="preserve">MERCADO MOURA II</t>
  </si>
  <si>
    <t xml:space="preserve">JONAS OLIVEIRA CORREA</t>
  </si>
  <si>
    <t xml:space="preserve">MC. SARA</t>
  </si>
  <si>
    <t xml:space="preserve">ALEXANDRE COELHO DA SILVA</t>
  </si>
  <si>
    <t xml:space="preserve"> CONV.</t>
  </si>
  <si>
    <t xml:space="preserve">SAMUEL OLIVEIRA SILVA</t>
  </si>
  <si>
    <t xml:space="preserve">VERDURAO KI PRE€O</t>
  </si>
  <si>
    <t xml:space="preserve">ARLETE DA SILVA BORGES</t>
  </si>
  <si>
    <t xml:space="preserve">MERCADO J N M</t>
  </si>
  <si>
    <t xml:space="preserve">IVETE FUSCLETE GANOSSINI</t>
  </si>
  <si>
    <t xml:space="preserve">MERCADO ESTRELA</t>
  </si>
  <si>
    <t xml:space="preserve">VICTOR FRANCA DO NASCIMENTO</t>
  </si>
  <si>
    <t xml:space="preserve">JOAO HENRIQUE PERREIRA</t>
  </si>
  <si>
    <t xml:space="preserve">MERCERIA PULISTA</t>
  </si>
  <si>
    <t xml:space="preserve">FRANCISCO JOAO DAMASCENO</t>
  </si>
  <si>
    <t xml:space="preserve">KAROLINE HELENA SE SOUZA ROMERO</t>
  </si>
  <si>
    <t xml:space="preserve">JESSICA ANDRADE BORGES</t>
  </si>
  <si>
    <t xml:space="preserve">MERCADO PORTO BELO</t>
  </si>
  <si>
    <t xml:space="preserve">RAINE DE SOUZA COXEV</t>
  </si>
  <si>
    <t xml:space="preserve">LOURIVAL MARCONDES</t>
  </si>
  <si>
    <t xml:space="preserve">MERCEARIA HAVELI</t>
  </si>
  <si>
    <t xml:space="preserve">FERNANDO JOSE MULLER CRESPIN</t>
  </si>
  <si>
    <t xml:space="preserve">A SALADERIA</t>
  </si>
  <si>
    <t xml:space="preserve">ALEX PARRONCHI OJEDA</t>
  </si>
  <si>
    <t xml:space="preserve">MERCEARIA ACOUGUE RAMIRES</t>
  </si>
  <si>
    <t xml:space="preserve">WOLFRAM ENOK PESSOA SANDES</t>
  </si>
  <si>
    <t xml:space="preserve">ADRIANO DE SOUZA BIAZOTO</t>
  </si>
  <si>
    <t xml:space="preserve">ADRIANO</t>
  </si>
  <si>
    <t xml:space="preserve">BRUNO FERNANDES DA SILVA DIAS</t>
  </si>
  <si>
    <t xml:space="preserve">MERCEARIA DUAS IRMAS</t>
  </si>
  <si>
    <t xml:space="preserve">MARCELO NUMES MOREIRA</t>
  </si>
  <si>
    <t xml:space="preserve">MERCADO J A</t>
  </si>
  <si>
    <t xml:space="preserve">GUTEMBERG ROSA DA SILVA</t>
  </si>
  <si>
    <t xml:space="preserve">ARIEL GONCALVES BRAGA</t>
  </si>
  <si>
    <t xml:space="preserve">CONVENIENCIA DO ARIEL</t>
  </si>
  <si>
    <t xml:space="preserve">DIOGENES LOVATO NOGUEIRA</t>
  </si>
  <si>
    <t xml:space="preserve">SERVINO ANTONIO DA SILVA</t>
  </si>
  <si>
    <t xml:space="preserve">ACOUGUE BOA VISTA</t>
  </si>
  <si>
    <t xml:space="preserve">JOSE EMERSUMK BORBO PEREIRA</t>
  </si>
  <si>
    <t xml:space="preserve">BAR REVISTAS ANDONHIA</t>
  </si>
  <si>
    <t xml:space="preserve">ALEXANDRA CORREIA DA SILVA</t>
  </si>
  <si>
    <t xml:space="preserve">SELVIRIA</t>
  </si>
  <si>
    <t xml:space="preserve">MERCEARIA TONHAO</t>
  </si>
  <si>
    <t xml:space="preserve">PAULO RICARDO DE MIRANDA  OVANDO</t>
  </si>
  <si>
    <t xml:space="preserve">EMPORIO PECORA</t>
  </si>
  <si>
    <t xml:space="preserve">RUI ANTONIO RODRIGUES MORAES</t>
  </si>
  <si>
    <t xml:space="preserve">CENTRO DE REABILITACAO ORAL</t>
  </si>
  <si>
    <t xml:space="preserve">ROSANGELA FIALHO ONORIO RODRIGUES</t>
  </si>
  <si>
    <t xml:space="preserve">MINI PRE€O</t>
  </si>
  <si>
    <t xml:space="preserve">CRISTIANE ROBLEDO ICASSADI</t>
  </si>
  <si>
    <t xml:space="preserve">MINI MERCADO LAR</t>
  </si>
  <si>
    <t xml:space="preserve">MERCEIS VILLANOVA DE SILVA</t>
  </si>
  <si>
    <t xml:space="preserve">PANIFICADORA PAVANI</t>
  </si>
  <si>
    <t xml:space="preserve">LUANA MORAES LEITE DA SILVA</t>
  </si>
  <si>
    <t xml:space="preserve">MERCADINHO SOBRAL</t>
  </si>
  <si>
    <t xml:space="preserve">PATRICK WILLIAN DOS S SIMOES</t>
  </si>
  <si>
    <t xml:space="preserve">FUNC PATRICK</t>
  </si>
  <si>
    <t xml:space="preserve">PAULO MARINHO DA SILVA</t>
  </si>
  <si>
    <t xml:space="preserve">MARINHO BOX</t>
  </si>
  <si>
    <t xml:space="preserve">TIAGO SOUZA DE OLIVEIRA</t>
  </si>
  <si>
    <t xml:space="preserve">SACOLAO DA PEDRA</t>
  </si>
  <si>
    <t xml:space="preserve">ISAQUE LAPORTE</t>
  </si>
  <si>
    <t xml:space="preserve">WAGNER FERREIRA MOLINA</t>
  </si>
  <si>
    <t xml:space="preserve">BRUNA TAINA WERLANG</t>
  </si>
  <si>
    <t xml:space="preserve">MERCEARIA E PANIFICADORA IMPERIO</t>
  </si>
  <si>
    <t xml:space="preserve">CARIANE MARTINS CABRERA</t>
  </si>
  <si>
    <t xml:space="preserve">MERCEARIA KAROLINA</t>
  </si>
  <si>
    <t xml:space="preserve">GILMAR ANTONIO JAKULOWISKY</t>
  </si>
  <si>
    <t xml:space="preserve">MERCADO TROPICAL</t>
  </si>
  <si>
    <t xml:space="preserve">VALDUIR DE MORAES</t>
  </si>
  <si>
    <t xml:space="preserve">PANIF NOVO MINAS GERAIS</t>
  </si>
  <si>
    <t xml:space="preserve">LUIZ RODRIGUES DA SILVA</t>
  </si>
  <si>
    <t xml:space="preserve">PAD E MERCEARIA LM</t>
  </si>
  <si>
    <t xml:space="preserve">ROSELI BRANDAO</t>
  </si>
  <si>
    <t xml:space="preserve">MERCADO EVERTON</t>
  </si>
  <si>
    <t xml:space="preserve">DIDIR SOUZA RAMEIRO</t>
  </si>
  <si>
    <t xml:space="preserve">MERCEARIA SANTO ANTONIO</t>
  </si>
  <si>
    <t xml:space="preserve">DURVALINO JOSE DA SILVA</t>
  </si>
  <si>
    <t xml:space="preserve">ADILSON DE SOUZA NUNES JUNIOR</t>
  </si>
  <si>
    <t xml:space="preserve">MERCADO MILA</t>
  </si>
  <si>
    <t xml:space="preserve">MARIONE DAUZACKER MOHR</t>
  </si>
  <si>
    <t xml:space="preserve">MERCADO E ACOUGUE TOKIO</t>
  </si>
  <si>
    <t xml:space="preserve">DRIELLY RODRIGUES SANTOS</t>
  </si>
  <si>
    <t xml:space="preserve">MONALISA DA SILVA ENZ</t>
  </si>
  <si>
    <t xml:space="preserve">GIOVANE MARTINS DOS SANTOS</t>
  </si>
  <si>
    <t xml:space="preserve">NOVO HORIZONTE DO SUL</t>
  </si>
  <si>
    <t xml:space="preserve">FABRICIA PEREIRA DE SOUZA</t>
  </si>
  <si>
    <t xml:space="preserve">MERCADO STA MONICA</t>
  </si>
  <si>
    <t xml:space="preserve">SEBASTIAO DOMINGOS DA AMARAL</t>
  </si>
  <si>
    <t xml:space="preserve">MERCADO MAO FORTE</t>
  </si>
  <si>
    <t xml:space="preserve">TAIME SOLANO COELHO</t>
  </si>
  <si>
    <t xml:space="preserve">CASA DE CARNE E CONVENIENCIA N</t>
  </si>
  <si>
    <t xml:space="preserve">KLEYMAN MARTINS PEREIRA TRINDADE</t>
  </si>
  <si>
    <t xml:space="preserve">ORLEI DE OLIVEIRA FILHO</t>
  </si>
  <si>
    <t xml:space="preserve">LUCAS FERREIRA DA SILVA</t>
  </si>
  <si>
    <t xml:space="preserve">PAULO CONCEI€AO DA COSTA</t>
  </si>
  <si>
    <t xml:space="preserve">PAULOS BAR E CONVENIENCIAS</t>
  </si>
  <si>
    <t xml:space="preserve">SANDRA TATIANA SELALER</t>
  </si>
  <si>
    <t xml:space="preserve">LANCHONETE PRUDENCIO THOMAZ</t>
  </si>
  <si>
    <t xml:space="preserve">PAULO HENRIQUE COSTA DE SOUZA</t>
  </si>
  <si>
    <t xml:space="preserve">COME BEM</t>
  </si>
  <si>
    <t xml:space="preserve">VERA LUCIA FLORENCIO DA ROSA</t>
  </si>
  <si>
    <t xml:space="preserve">MERCEARIA MONTEIRO</t>
  </si>
  <si>
    <t xml:space="preserve">VANILDO HEILMANM</t>
  </si>
  <si>
    <t xml:space="preserve">FRUTILA CONVENIENCIA</t>
  </si>
  <si>
    <t xml:space="preserve">JAMILE RODRIGUES DE LIMA</t>
  </si>
  <si>
    <t xml:space="preserve">FRITOS SALGADERIA</t>
  </si>
  <si>
    <t xml:space="preserve">MARCOS LUCAS DA ROCHA</t>
  </si>
  <si>
    <t xml:space="preserve">LANCHONETE JARAMA</t>
  </si>
  <si>
    <t xml:space="preserve">KETELY IRALA DOS SANTOS</t>
  </si>
  <si>
    <t xml:space="preserve">GELA MAIS CONVENIENCIA</t>
  </si>
  <si>
    <t xml:space="preserve">ANDERSON EDUARDO DE PAULA LOPES</t>
  </si>
  <si>
    <t xml:space="preserve">GRESIANE DA SILVA DE SANTANA</t>
  </si>
  <si>
    <t xml:space="preserve">LANCHONETE DO GAUCHO</t>
  </si>
  <si>
    <t xml:space="preserve">ABADIA CRISTINA DA SILVA</t>
  </si>
  <si>
    <t xml:space="preserve">CANTINA DO BAIS</t>
  </si>
  <si>
    <t xml:space="preserve">EDMUNDO JOSE DOS SANTOS</t>
  </si>
  <si>
    <t xml:space="preserve">MARIO MARCIO RODRIGUES DA SILVA</t>
  </si>
  <si>
    <t xml:space="preserve">MERCADO HEBENESEA</t>
  </si>
  <si>
    <t xml:space="preserve">TIAGO ARIOTTI</t>
  </si>
  <si>
    <t xml:space="preserve">TIAGO ARIOTI</t>
  </si>
  <si>
    <t xml:space="preserve">VANDERLEI MOREIRA</t>
  </si>
  <si>
    <t xml:space="preserve">MERCEARIA SILVA</t>
  </si>
  <si>
    <t xml:space="preserve">CARLA TAINARA BRAGA DA CRUZ</t>
  </si>
  <si>
    <t xml:space="preserve">JOSE CARLOS NELI</t>
  </si>
  <si>
    <t xml:space="preserve">J J CONVENIENCIAS</t>
  </si>
  <si>
    <t xml:space="preserve">JOSE VICENTE MARTINS</t>
  </si>
  <si>
    <t xml:space="preserve">MERCADO KI PRECO</t>
  </si>
  <si>
    <t xml:space="preserve">MARY VILMA PIRES GONCALVES</t>
  </si>
  <si>
    <t xml:space="preserve">ESQUINA DAS DELICIAS</t>
  </si>
  <si>
    <t xml:space="preserve">LEONARDO FARIAS BRANDAO</t>
  </si>
  <si>
    <t xml:space="preserve">IZAULINO SOUZA LIMA</t>
  </si>
  <si>
    <t xml:space="preserve">PANIFIADORA MARIZA</t>
  </si>
  <si>
    <t xml:space="preserve">HUENDER TIAGO PEREIRA</t>
  </si>
  <si>
    <t xml:space="preserve">RIO SUL CAFETEIRA</t>
  </si>
  <si>
    <t xml:space="preserve">LUIS OTAVIO DUBSKI BRANDAO DA SILVA</t>
  </si>
  <si>
    <t xml:space="preserve">MERCADO ITA</t>
  </si>
  <si>
    <t xml:space="preserve">LUIZ CARLOS DA COSTA VENTURA</t>
  </si>
  <si>
    <t xml:space="preserve">MERCEARIA VENTURA</t>
  </si>
  <si>
    <t xml:space="preserve">GILMAR APARECIDO ANDREA</t>
  </si>
  <si>
    <t xml:space="preserve">LANCH DA PRA€A</t>
  </si>
  <si>
    <t xml:space="preserve">MARIA NEUCI RODOLFO VAZ</t>
  </si>
  <si>
    <t xml:space="preserve">MERCEARIA ALIANCA</t>
  </si>
  <si>
    <t xml:space="preserve">JESSICA DA SILVA INASTOQUE</t>
  </si>
  <si>
    <t xml:space="preserve">PADARIA</t>
  </si>
  <si>
    <t xml:space="preserve">HELITON GODOI DA SILVA</t>
  </si>
  <si>
    <t xml:space="preserve">MERCADO PANIFICADORA MERCI</t>
  </si>
  <si>
    <t xml:space="preserve">ANA PAULA MACHADO DA SILVA</t>
  </si>
  <si>
    <t xml:space="preserve">MERCADO PAVANI</t>
  </si>
  <si>
    <t xml:space="preserve">ERICK DE SOUSA VANDE</t>
  </si>
  <si>
    <t xml:space="preserve">CONVENIENCIA ERICK</t>
  </si>
  <si>
    <t xml:space="preserve">CLAUDINEIA DA SILVA DOS SANTOS</t>
  </si>
  <si>
    <t xml:space="preserve">CLAUDINEIA DA SILVA</t>
  </si>
  <si>
    <t xml:space="preserve">LUCAS GUEDES PEREIRA MATIAS</t>
  </si>
  <si>
    <t xml:space="preserve">ZAGAIA CONVENIENCIA</t>
  </si>
  <si>
    <t xml:space="preserve">GRACIELE BUZINHANI</t>
  </si>
  <si>
    <t xml:space="preserve">CONVENIENCIA MULTIMARCAS</t>
  </si>
  <si>
    <t xml:space="preserve">ALYSON TAVARES DOS SANTOS</t>
  </si>
  <si>
    <t xml:space="preserve">SARA BACRON FERREIRA</t>
  </si>
  <si>
    <t xml:space="preserve">ANA MIRIAM DOS SANTOS FREITAS</t>
  </si>
  <si>
    <t xml:space="preserve">MERCADO BARAO</t>
  </si>
  <si>
    <t xml:space="preserve">FRANCIELLE CHAGAS DE ARRUDA</t>
  </si>
  <si>
    <t xml:space="preserve">MARCO AURELIO PEREIRA DE SOUZA</t>
  </si>
  <si>
    <t xml:space="preserve">MERCEARIA CARIOCA</t>
  </si>
  <si>
    <t xml:space="preserve">MILENA RODRIGUES MOURA</t>
  </si>
  <si>
    <t xml:space="preserve">CELMA SPECIE</t>
  </si>
  <si>
    <t xml:space="preserve">CONV JUNINHO FESTAS</t>
  </si>
  <si>
    <t xml:space="preserve">BRUNA THAYNARA S MENDES</t>
  </si>
  <si>
    <t xml:space="preserve">ALYNE MARCHINI DA SILVA</t>
  </si>
  <si>
    <t xml:space="preserve">ADEMAR UHDE</t>
  </si>
  <si>
    <t xml:space="preserve">ERVA MATE CASURA</t>
  </si>
  <si>
    <t xml:space="preserve">ISABEL GODOI BUENO</t>
  </si>
  <si>
    <t xml:space="preserve">VITALINO URBANER</t>
  </si>
  <si>
    <t xml:space="preserve">PADARIA SABOR E DELICIA</t>
  </si>
  <si>
    <t xml:space="preserve">KATIA TONEZER</t>
  </si>
  <si>
    <t xml:space="preserve">MERCADO SANTA LUZIA</t>
  </si>
  <si>
    <t xml:space="preserve">ARNO MIGUEL KRUGER</t>
  </si>
  <si>
    <t xml:space="preserve">QUITANDA DO ARNO</t>
  </si>
  <si>
    <t xml:space="preserve">ANILDO PRADO</t>
  </si>
  <si>
    <t xml:space="preserve">CONV PRADO</t>
  </si>
  <si>
    <t xml:space="preserve">GILBERTO H IANASE</t>
  </si>
  <si>
    <t xml:space="preserve">SM BARATEIRO</t>
  </si>
  <si>
    <t xml:space="preserve">BELMIRES SILVERIO DOS SANTOS</t>
  </si>
  <si>
    <t xml:space="preserve">BELL CAMISETERIA</t>
  </si>
  <si>
    <t xml:space="preserve">JONAS CANDIDO COELHO</t>
  </si>
  <si>
    <t xml:space="preserve">LUIZ FELIPE FRANCO</t>
  </si>
  <si>
    <t xml:space="preserve">LUIZ FUNCIONARIO DEPOSITO</t>
  </si>
  <si>
    <t xml:space="preserve">JOSE MARCOS MENOSSI PASSOS</t>
  </si>
  <si>
    <t xml:space="preserve">PADARIA PAULISTA</t>
  </si>
  <si>
    <t xml:space="preserve">GONCALVES PAULO DA AMARANTES</t>
  </si>
  <si>
    <t xml:space="preserve">MERCEARIA UNIAO</t>
  </si>
  <si>
    <t xml:space="preserve">LUCILENE SILVA MEDEIROS</t>
  </si>
  <si>
    <t xml:space="preserve">SUPERMERCADO STELA</t>
  </si>
  <si>
    <t xml:space="preserve">GILSON CANDIDO BRAGUINI</t>
  </si>
  <si>
    <t xml:space="preserve">FERRO CENTER</t>
  </si>
  <si>
    <t xml:space="preserve">KAIQUE MORETTI VASQUES</t>
  </si>
  <si>
    <t xml:space="preserve">VIA SAUDE</t>
  </si>
  <si>
    <t xml:space="preserve">LUIZ CRISTIANO KAPFENBERG</t>
  </si>
  <si>
    <t xml:space="preserve">MERCADO LEAO</t>
  </si>
  <si>
    <t xml:space="preserve">MARIA LIDIA ROCHA</t>
  </si>
  <si>
    <t xml:space="preserve">CASA CARNE MERC JOAO PAULO II</t>
  </si>
  <si>
    <t xml:space="preserve">KARINA ELIZABETH MORENO BATISTA</t>
  </si>
  <si>
    <t xml:space="preserve">KARINA ELIZABETH</t>
  </si>
  <si>
    <t xml:space="preserve">JAIME FIGRE VALSECHI</t>
  </si>
  <si>
    <t xml:space="preserve">POUSADA OLHO D`AGUA</t>
  </si>
  <si>
    <t xml:space="preserve">GUIDO VAZ RUIZ</t>
  </si>
  <si>
    <t xml:space="preserve">FUNCIONARIO DEPOSITO</t>
  </si>
  <si>
    <t xml:space="preserve">NADIA TIEZZI MARTINS DOS SANTOS</t>
  </si>
  <si>
    <t xml:space="preserve">MERCEARIA FLORES</t>
  </si>
  <si>
    <t xml:space="preserve">JOSE RICARDO DOS PASSOS MORAES</t>
  </si>
  <si>
    <t xml:space="preserve">VERGINIA VIEIRA</t>
  </si>
  <si>
    <t xml:space="preserve">NATURA</t>
  </si>
  <si>
    <t xml:space="preserve">JOAO RODRIGUES FILHO</t>
  </si>
  <si>
    <t xml:space="preserve">BAR E MERC DOS AMOGOS</t>
  </si>
  <si>
    <t xml:space="preserve">SOLANGE M C STELLA ME</t>
  </si>
  <si>
    <t xml:space="preserve">COMPANHIA DA COMIDA</t>
  </si>
  <si>
    <t xml:space="preserve">WALDNER MIGUEL RODRIGUES</t>
  </si>
  <si>
    <t xml:space="preserve">SUPERMERCADO COMPRE FACIL</t>
  </si>
  <si>
    <t xml:space="preserve">RAMAO PORFIRIO GON€ALVES</t>
  </si>
  <si>
    <t xml:space="preserve">EDILSON RAMOS</t>
  </si>
  <si>
    <t xml:space="preserve">CLEUMILDO BERNARDO DE AGUIAR</t>
  </si>
  <si>
    <t xml:space="preserve">MERCADO ML</t>
  </si>
  <si>
    <t xml:space="preserve">EVANDIR LOPES TRINDADE</t>
  </si>
  <si>
    <t xml:space="preserve">PANIF. TRINDADE</t>
  </si>
  <si>
    <t xml:space="preserve">GERALDO APAR BRIZANTE</t>
  </si>
  <si>
    <t xml:space="preserve">BAR E LANCH RODOVIARIA</t>
  </si>
  <si>
    <t xml:space="preserve">DELFIO CABREIRA</t>
  </si>
  <si>
    <t xml:space="preserve">MERCEARIA CANAA</t>
  </si>
  <si>
    <t xml:space="preserve">ANTONIO LINDENOR DOS SANTOS PERES</t>
  </si>
  <si>
    <t xml:space="preserve">RODRIGO ADRIANO ROSSA</t>
  </si>
  <si>
    <t xml:space="preserve">ROSSA SUPERMERCADO</t>
  </si>
  <si>
    <t xml:space="preserve">JOSE FUGARE</t>
  </si>
  <si>
    <t xml:space="preserve">MERCEARIA MARLON</t>
  </si>
  <si>
    <t xml:space="preserve">LUIZ FERNANDO BUAINAIM</t>
  </si>
  <si>
    <t xml:space="preserve">JAIR DA SILVA XAVIER</t>
  </si>
  <si>
    <t xml:space="preserve">MERCEARIA JK</t>
  </si>
  <si>
    <t xml:space="preserve">ALDEMEIRO SOARES BRANDAO</t>
  </si>
  <si>
    <t xml:space="preserve">MERCEARIA ECONOMICO</t>
  </si>
  <si>
    <t xml:space="preserve">PLASSIMO CORREIA MENDONCA</t>
  </si>
  <si>
    <t xml:space="preserve">MERCEARIA GUERRA</t>
  </si>
  <si>
    <t xml:space="preserve">PAULO JUNIOR DA SILVA BEZERRA</t>
  </si>
  <si>
    <t xml:space="preserve">MERCADO JUNIOR</t>
  </si>
  <si>
    <t xml:space="preserve">DOUGLAS ALVES PEREIRA GOMES</t>
  </si>
  <si>
    <t xml:space="preserve">CONVENIENCIA FA</t>
  </si>
  <si>
    <t xml:space="preserve">CARINA ZAMBONI CAVALHEIRO</t>
  </si>
  <si>
    <t xml:space="preserve">CARINA ZAMBONI</t>
  </si>
  <si>
    <t xml:space="preserve">KATIA ALVAREZ OLIVA MM</t>
  </si>
  <si>
    <t xml:space="preserve">MERCADO ONOFRE PAULISTA</t>
  </si>
  <si>
    <t xml:space="preserve">IRALDO  ALMEIDA  DA SILVA</t>
  </si>
  <si>
    <t xml:space="preserve">MERCEARIA SAO PAULO</t>
  </si>
  <si>
    <t xml:space="preserve">FELINTO RAMOS NOGUEIRA</t>
  </si>
  <si>
    <t xml:space="preserve">MERC PORTAL</t>
  </si>
  <si>
    <t xml:space="preserve">CLAUDINEY DOS SANTOS</t>
  </si>
  <si>
    <t xml:space="preserve">MERCADO POPULAR</t>
  </si>
  <si>
    <t xml:space="preserve">VANDA CEZAR MONTEIRO</t>
  </si>
  <si>
    <t xml:space="preserve">PADARIA PAO DE OURO</t>
  </si>
  <si>
    <t xml:space="preserve">SERGIO BERT</t>
  </si>
  <si>
    <t xml:space="preserve">MERCADO DO SERGIO</t>
  </si>
  <si>
    <t xml:space="preserve">ANTONIO DA SILVA COSTA</t>
  </si>
  <si>
    <t xml:space="preserve">MERCEARIA COSTA</t>
  </si>
  <si>
    <t xml:space="preserve">HIOCHIMOBU WAKIMOTO HONDA</t>
  </si>
  <si>
    <t xml:space="preserve">MERCADO VIEIRA</t>
  </si>
  <si>
    <t xml:space="preserve">KETLIN OJEDA NUNES</t>
  </si>
  <si>
    <t xml:space="preserve">LUCILA CAMARGO</t>
  </si>
  <si>
    <t xml:space="preserve">WELINGTON SANTOS E SOUZA</t>
  </si>
  <si>
    <t xml:space="preserve">ALEXIA MARIA LIMA LISBOA COUTINHO</t>
  </si>
  <si>
    <t xml:space="preserve">ANDRE CUNHA</t>
  </si>
  <si>
    <t xml:space="preserve">VIPS VIDEO LOCADORA</t>
  </si>
  <si>
    <t xml:space="preserve">PEDRO VITOR PEREIRA DE OLIVEIRA</t>
  </si>
  <si>
    <t xml:space="preserve">FUNC RH MCD</t>
  </si>
  <si>
    <t xml:space="preserve">MIRELA NUNES SIMONATO</t>
  </si>
  <si>
    <t xml:space="preserve">ANGELO CEZAR SCARSA</t>
  </si>
  <si>
    <t xml:space="preserve">LANCHONETE TREVO</t>
  </si>
  <si>
    <t xml:space="preserve">ENA BANHON DACA RABELO</t>
  </si>
  <si>
    <t xml:space="preserve">SORVETERIA NV CAMPO GRANDE</t>
  </si>
  <si>
    <t xml:space="preserve">MARIA CECILIA COSTA VIANA</t>
  </si>
  <si>
    <t xml:space="preserve">PRAKTIKA ACADEMIA</t>
  </si>
  <si>
    <t xml:space="preserve">ANTONIO DE OLIVEIRA PANHOTI</t>
  </si>
  <si>
    <t xml:space="preserve">MERCADO PROGRESSO</t>
  </si>
  <si>
    <t xml:space="preserve">TANIA MARA SOUZA SILVA</t>
  </si>
  <si>
    <t xml:space="preserve">VALDECIR RAMOS</t>
  </si>
  <si>
    <t xml:space="preserve">VALMANS</t>
  </si>
  <si>
    <t xml:space="preserve">ROSICLER CARVALHO</t>
  </si>
  <si>
    <t xml:space="preserve">PANIF CALENOS</t>
  </si>
  <si>
    <t xml:space="preserve">JULIO CESAR DUARTE RODRIGUES</t>
  </si>
  <si>
    <t xml:space="preserve">PADARIA SANTA RITA</t>
  </si>
  <si>
    <t xml:space="preserve">RICARDO CACCIA</t>
  </si>
  <si>
    <t xml:space="preserve">PANIF POPULAR</t>
  </si>
  <si>
    <t xml:space="preserve">JOSE FIGUEIREDO FILHO</t>
  </si>
  <si>
    <t xml:space="preserve">ADELSON SOUZA SANTANA</t>
  </si>
  <si>
    <t xml:space="preserve">PEDRO BORIM</t>
  </si>
  <si>
    <t xml:space="preserve">MERC MINI BOX</t>
  </si>
  <si>
    <t xml:space="preserve">NEUSA GOMES CHAVES</t>
  </si>
  <si>
    <t xml:space="preserve">SALAO CLARA</t>
  </si>
  <si>
    <t xml:space="preserve">PAULO GERALDO DE SOUZA</t>
  </si>
  <si>
    <t xml:space="preserve">CONVINIENCIA E MERCEARIA</t>
  </si>
  <si>
    <t xml:space="preserve">ELIAS DE OLIVEIRA RICALDE</t>
  </si>
  <si>
    <t xml:space="preserve">MERCADO CONQUISTA</t>
  </si>
  <si>
    <t xml:space="preserve">PEDRO PEREIRA GAMA</t>
  </si>
  <si>
    <t xml:space="preserve">MERCEARIA SANTA MARIA</t>
  </si>
  <si>
    <t xml:space="preserve">ALCINDO QUEIROZ JUNIOR</t>
  </si>
  <si>
    <t xml:space="preserve">MERCADO SUPER BOM</t>
  </si>
  <si>
    <t xml:space="preserve">VALTER CANDIDO DINIZ</t>
  </si>
  <si>
    <t xml:space="preserve">PANF VITORIA</t>
  </si>
  <si>
    <t xml:space="preserve">LUIZ GUALDENCIO FERNANDES</t>
  </si>
  <si>
    <t xml:space="preserve">JOSE ROBERTO RODRIGUES DA SILVA</t>
  </si>
  <si>
    <t xml:space="preserve">VENDURAO TEND TUDO</t>
  </si>
  <si>
    <t xml:space="preserve">CLEMENTE GOMES SANDIN - ME</t>
  </si>
  <si>
    <t xml:space="preserve">BAR E MERC.SANDIM</t>
  </si>
  <si>
    <t xml:space="preserve">FAUSTO FERREIRA MARTINS</t>
  </si>
  <si>
    <t xml:space="preserve">ESPETINHO LUA CHEIA</t>
  </si>
  <si>
    <t xml:space="preserve">IDALICIO MESSEAS LEONE</t>
  </si>
  <si>
    <t xml:space="preserve">BAR E MERCEARIA</t>
  </si>
  <si>
    <t xml:space="preserve">GIOVANNI DE MOURA CANO</t>
  </si>
  <si>
    <t xml:space="preserve">MERCEARIA ACOUGUE A R</t>
  </si>
  <si>
    <t xml:space="preserve">HARUO SATO</t>
  </si>
  <si>
    <t xml:space="preserve">SM SATO</t>
  </si>
  <si>
    <t xml:space="preserve">SORAIA VIRGINIA VIEIRA VILOTTI</t>
  </si>
  <si>
    <t xml:space="preserve">CANTINA BAR E.S.</t>
  </si>
  <si>
    <t xml:space="preserve">JOSE VICENTE DA SILVA NETO</t>
  </si>
  <si>
    <t xml:space="preserve">M M JR LTDA</t>
  </si>
  <si>
    <t xml:space="preserve">EXPEDITO SEVERIAMO DA SILVA</t>
  </si>
  <si>
    <t xml:space="preserve">ALTAIDE DOS SANTOS</t>
  </si>
  <si>
    <t xml:space="preserve">SALGADOS DO TIO</t>
  </si>
  <si>
    <t xml:space="preserve">NEULUCIO FERNANDES DE MEDEIROS</t>
  </si>
  <si>
    <t xml:space="preserve">CASA DE SUCO MANGUEIRA</t>
  </si>
  <si>
    <t xml:space="preserve">RENATA LEONARDO DE MELO</t>
  </si>
  <si>
    <t xml:space="preserve">JOAO AGOSTINHO RICARDO</t>
  </si>
  <si>
    <t xml:space="preserve">ADERBAL PEREIRA DE ADERNO</t>
  </si>
  <si>
    <t xml:space="preserve">PANF MINEIRA</t>
  </si>
  <si>
    <t xml:space="preserve">ERNESTINO ANTONIO DE OLIVEIRA</t>
  </si>
  <si>
    <t xml:space="preserve">LIMPEL</t>
  </si>
  <si>
    <t xml:space="preserve">ESTACIO QUEVEDO DE CARVALHO</t>
  </si>
  <si>
    <t xml:space="preserve">SILVIO HARUO SHIROMA</t>
  </si>
  <si>
    <t xml:space="preserve">BARRACA DA AMELIA</t>
  </si>
  <si>
    <t xml:space="preserve">HERLAN APONTE PAZ</t>
  </si>
  <si>
    <t xml:space="preserve">MERCEARIA RECANTO DA FORTALEZA</t>
  </si>
  <si>
    <t xml:space="preserve">ARLINDA DA SILVA ANDRADE</t>
  </si>
  <si>
    <t xml:space="preserve">PENSAO DA ARLINDA</t>
  </si>
  <si>
    <t xml:space="preserve">CAMILLA DANIELA SOARES</t>
  </si>
  <si>
    <t xml:space="preserve">ABADIO FARIAS CASTILHO</t>
  </si>
  <si>
    <t xml:space="preserve">COMERCIAL BOM JESUS</t>
  </si>
  <si>
    <t xml:space="preserve">PEDRO FERMINO LEITE MARTINS</t>
  </si>
  <si>
    <t xml:space="preserve">MERCADO PEDRO</t>
  </si>
  <si>
    <t xml:space="preserve">ANTONIO MANCHI NETO</t>
  </si>
  <si>
    <t xml:space="preserve">FAZENDA DO RIO FORMOSO</t>
  </si>
  <si>
    <t xml:space="preserve">NILO DUARTE BARBOSA</t>
  </si>
  <si>
    <t xml:space="preserve">BREAKFAST</t>
  </si>
  <si>
    <t xml:space="preserve">OUZIBIO LOPES DA SILVA</t>
  </si>
  <si>
    <t xml:space="preserve">MERCEARIA E BAR SANDRA ROBERTA</t>
  </si>
  <si>
    <t xml:space="preserve">MARCIA MAZINA</t>
  </si>
  <si>
    <t xml:space="preserve">APARECIDO CAVALHIERI</t>
  </si>
  <si>
    <t xml:space="preserve">FRANLEX LANCHES</t>
  </si>
  <si>
    <t xml:space="preserve">JOSE IVAN O.DE SOUZA</t>
  </si>
  <si>
    <t xml:space="preserve">MERCADO PARATI</t>
  </si>
  <si>
    <t xml:space="preserve">PORFIRIO ARGUELHO RIVEIRO</t>
  </si>
  <si>
    <t xml:space="preserve">ALINE PESSOA DE SA AMORIM</t>
  </si>
  <si>
    <t xml:space="preserve">CONVENIENCIA MANDACARU</t>
  </si>
  <si>
    <t xml:space="preserve">MARIA MADALENA  ALVES</t>
  </si>
  <si>
    <t xml:space="preserve">PANF CONV SALEAL</t>
  </si>
  <si>
    <t xml:space="preserve">MARIA SOCORRO DE SOUZA</t>
  </si>
  <si>
    <t xml:space="preserve">JOSE BENEDITO DA SILVA</t>
  </si>
  <si>
    <t xml:space="preserve">MERCADO NEGRIZAN SILVA</t>
  </si>
  <si>
    <t xml:space="preserve">APARECIDO DE JESUS</t>
  </si>
  <si>
    <t xml:space="preserve">MERCADO COMPRE BEM</t>
  </si>
  <si>
    <t xml:space="preserve">LEILA GOMES</t>
  </si>
  <si>
    <t xml:space="preserve">MERCADO J L</t>
  </si>
  <si>
    <t xml:space="preserve">JOSE VANDO DE SOUZA</t>
  </si>
  <si>
    <t xml:space="preserve">PADARIA E COVENIENCIA DOIS IRMAOS</t>
  </si>
  <si>
    <t xml:space="preserve">ELIZANGELA DIAS F DOS SANTOS</t>
  </si>
  <si>
    <t xml:space="preserve">RESIDENCIA</t>
  </si>
  <si>
    <t xml:space="preserve">ROSILENE CRUZ LOPES RAMIRES</t>
  </si>
  <si>
    <t xml:space="preserve">PADARIA DO UDSOM</t>
  </si>
  <si>
    <t xml:space="preserve">BENEDITO GOMES DE SOUZA</t>
  </si>
  <si>
    <t xml:space="preserve">MERCEARIA BENEDITO</t>
  </si>
  <si>
    <t xml:space="preserve">WEBERSON CARVALHO DE PINTO</t>
  </si>
  <si>
    <t xml:space="preserve">CHACARA CASA DY KAROL</t>
  </si>
  <si>
    <t xml:space="preserve">WILSON GONCALVES DA CUNHA</t>
  </si>
  <si>
    <t xml:space="preserve">ALBERTO MANEDE KALIL NIMER</t>
  </si>
  <si>
    <t xml:space="preserve">LANCHONETE BOMS AMIGOS</t>
  </si>
  <si>
    <t xml:space="preserve">ANTONIO FRANCISCO DA SILVA</t>
  </si>
  <si>
    <t xml:space="preserve">MAGNIVALDO GONCALVES SOUZA</t>
  </si>
  <si>
    <t xml:space="preserve">CONV DOS PODERES</t>
  </si>
  <si>
    <t xml:space="preserve">ZITO FRANSCISCO SALES</t>
  </si>
  <si>
    <t xml:space="preserve">ZITO</t>
  </si>
  <si>
    <t xml:space="preserve">MARCO ANTONIOP RIGO VILELLA</t>
  </si>
  <si>
    <t xml:space="preserve">EDMILSON CESAR DE ABREU</t>
  </si>
  <si>
    <t xml:space="preserve">BOCHA &amp; CIA</t>
  </si>
  <si>
    <t xml:space="preserve">OLIMPIO GOMES DE SILVEIRA</t>
  </si>
  <si>
    <t xml:space="preserve">MERCEARIA E CONVENIENCIA PRATA</t>
  </si>
  <si>
    <t xml:space="preserve">ROBERTO FRANCISCO BARBOSA</t>
  </si>
  <si>
    <t xml:space="preserve">ATACADISTA</t>
  </si>
  <si>
    <t xml:space="preserve">ALBA DIAS JAMAL MOHAMED</t>
  </si>
  <si>
    <t xml:space="preserve">SUPERMERCADO SUPER BOM</t>
  </si>
  <si>
    <t xml:space="preserve">MARIA OLIVIA DE QUEIROZ</t>
  </si>
  <si>
    <t xml:space="preserve">MERCADO SOTER</t>
  </si>
  <si>
    <t xml:space="preserve">ANTONIO FATIMO DE CAMPOS</t>
  </si>
  <si>
    <t xml:space="preserve">PANIFICADORA VIDA NOVA</t>
  </si>
  <si>
    <t xml:space="preserve">JOSE BARBOSA DE ABREU</t>
  </si>
  <si>
    <t xml:space="preserve">MERCADO CAMARGO</t>
  </si>
  <si>
    <t xml:space="preserve">MOACIR DIAS SERPA</t>
  </si>
  <si>
    <t xml:space="preserve">MERC CONV BRASIL</t>
  </si>
  <si>
    <t xml:space="preserve">ITALO GABRIEL JIMENEZ RODRIGUES GARCIA  </t>
  </si>
  <si>
    <t xml:space="preserve">FUNCIONARIO-AUX.CPD</t>
  </si>
  <si>
    <t xml:space="preserve">ANTONIO LIMA DE OHARA</t>
  </si>
  <si>
    <t xml:space="preserve">COMERCIAL CANDIA</t>
  </si>
  <si>
    <t xml:space="preserve">OZEMAR NUMES DE OLIVEIRA</t>
  </si>
  <si>
    <t xml:space="preserve">DIST MARQUES</t>
  </si>
  <si>
    <t xml:space="preserve">SAMUEL SIMAO REZENDE DA SILVA</t>
  </si>
  <si>
    <t xml:space="preserve">CELSO IWASHITA</t>
  </si>
  <si>
    <t xml:space="preserve">CONVENIECNIA CORTE FINO</t>
  </si>
  <si>
    <t xml:space="preserve">MAURILIO VICENTE FERREIRA</t>
  </si>
  <si>
    <t xml:space="preserve">MERCADO GUERREIRO</t>
  </si>
  <si>
    <t xml:space="preserve">GENI DA SILVA SOUZA</t>
  </si>
  <si>
    <t xml:space="preserve">MERC KELLEN</t>
  </si>
  <si>
    <t xml:space="preserve">URIAS JOVENAL HORACIO</t>
  </si>
  <si>
    <t xml:space="preserve">MERCEARIA PERMAMBUCO</t>
  </si>
  <si>
    <t xml:space="preserve">ANTONIO ALVES CAVALCANTE</t>
  </si>
  <si>
    <t xml:space="preserve">PET SHOP CAVALCANTE</t>
  </si>
  <si>
    <t xml:space="preserve">ALTAIR ANTONINHO BRESSIANI</t>
  </si>
  <si>
    <t xml:space="preserve">REDE JORGE</t>
  </si>
  <si>
    <t xml:space="preserve">CUSTODIO EVARISTO</t>
  </si>
  <si>
    <t xml:space="preserve">MERCEARIA ESPERANCA</t>
  </si>
  <si>
    <t xml:space="preserve">ROBERTO ARAUJO FEITOSA</t>
  </si>
  <si>
    <t xml:space="preserve">MERCEARIA NOVO SABOR</t>
  </si>
  <si>
    <t xml:space="preserve">SEBASTIAO LAZARO DA SILVA</t>
  </si>
  <si>
    <t xml:space="preserve">POUSADA SANTA ROSA</t>
  </si>
  <si>
    <t xml:space="preserve">LUIS MALAQUIAS JUNIOR</t>
  </si>
  <si>
    <t xml:space="preserve">JARDINS CONVENIENCIAS</t>
  </si>
  <si>
    <t xml:space="preserve">EDUARDA CLEMENTE DA SILVA</t>
  </si>
  <si>
    <t xml:space="preserve">MERCADINHO</t>
  </si>
  <si>
    <t xml:space="preserve">ROMARIO DE SOUSA RODRIGUES</t>
  </si>
  <si>
    <t xml:space="preserve">OTAVIO FREDERICO DA SILVA</t>
  </si>
  <si>
    <t xml:space="preserve">PADARIA SIM</t>
  </si>
  <si>
    <t xml:space="preserve">CARMELINA ROCHA TEIXEIRA</t>
  </si>
  <si>
    <t xml:space="preserve">MERCEARIA TEIXEIRA</t>
  </si>
  <si>
    <t xml:space="preserve">ANTONIO MARCOS SEGATTO</t>
  </si>
  <si>
    <t xml:space="preserve">REST TUIUIU</t>
  </si>
  <si>
    <t xml:space="preserve">MANOEL SOARES DE MORAES</t>
  </si>
  <si>
    <t xml:space="preserve">OLIVIA PACHECO DA SILVA COSTA</t>
  </si>
  <si>
    <t xml:space="preserve">(MAE DA VALERIA)</t>
  </si>
  <si>
    <t xml:space="preserve">IZABEL CRISTINA GOURLAT</t>
  </si>
  <si>
    <t xml:space="preserve">S.J.T CONV</t>
  </si>
  <si>
    <t xml:space="preserve">JOAO BARRICHELLO SOBRINHO</t>
  </si>
  <si>
    <t xml:space="preserve">COMERCIAL POPULAR</t>
  </si>
  <si>
    <t xml:space="preserve">VANDERLY DE SOUZA DIONIZIO</t>
  </si>
  <si>
    <t xml:space="preserve">CONV STO ANDRE</t>
  </si>
  <si>
    <t xml:space="preserve">LUCILA GONZALEZ</t>
  </si>
  <si>
    <t xml:space="preserve">MERCEARIA STA MARIA</t>
  </si>
  <si>
    <t xml:space="preserve">MARCOS TOSHIO IANASE</t>
  </si>
  <si>
    <t xml:space="preserve">LUIZ ANTONIO DA SILVA</t>
  </si>
  <si>
    <t xml:space="preserve">APOLINARIO MACIEL</t>
  </si>
  <si>
    <t xml:space="preserve">CORGUINHO</t>
  </si>
  <si>
    <t xml:space="preserve">HOTEL RES PADARIA DIAMANTE</t>
  </si>
  <si>
    <t xml:space="preserve">MARCELO RAFAGNANI</t>
  </si>
  <si>
    <t xml:space="preserve">ORLEI RODRIGUES DO NASCIMENTO</t>
  </si>
  <si>
    <t xml:space="preserve">ANTONIO CARLOS FURTUOSO</t>
  </si>
  <si>
    <t xml:space="preserve">MERCEARIA CAFE DO PONTO</t>
  </si>
  <si>
    <t xml:space="preserve">ALESSANDRA DOS SANTOS MOREIRA</t>
  </si>
  <si>
    <t xml:space="preserve">ANGELA CONTRERA C.</t>
  </si>
  <si>
    <t xml:space="preserve">MERCEARIA DO ALCINDO</t>
  </si>
  <si>
    <t xml:space="preserve">JOSE LUIZ DA SILVA COSTA</t>
  </si>
  <si>
    <t xml:space="preserve">MARCIA DAL FABBRA COSTA LIMA</t>
  </si>
  <si>
    <t xml:space="preserve">MELHOR CONV</t>
  </si>
  <si>
    <t xml:space="preserve">ROBERTO MAXINO DE OLIVEIRA</t>
  </si>
  <si>
    <t xml:space="preserve">AGENCIA DA SAO LUIS</t>
  </si>
  <si>
    <t xml:space="preserve">HENRIQUE  PERES NAUFAL</t>
  </si>
  <si>
    <t xml:space="preserve">PROJETO JIBOIA</t>
  </si>
  <si>
    <t xml:space="preserve">VALDIRLEI VICENTE MASSOLA</t>
  </si>
  <si>
    <t xml:space="preserve">CONV SERRANA</t>
  </si>
  <si>
    <t xml:space="preserve">SANDRO J. DA SILVA ARAUJO</t>
  </si>
  <si>
    <t xml:space="preserve">MERCEARIA BOA SORTE</t>
  </si>
  <si>
    <t xml:space="preserve">CELIA REGINA XAVIER MARTINS</t>
  </si>
  <si>
    <t xml:space="preserve">EXPRESSO ARACATUBA</t>
  </si>
  <si>
    <t xml:space="preserve">AGNALDO MARQUES</t>
  </si>
  <si>
    <t xml:space="preserve">MERC MARQUES</t>
  </si>
  <si>
    <t xml:space="preserve">APARECIDA CORREIA LIMA ROMUALDO</t>
  </si>
  <si>
    <t xml:space="preserve">MERCEARIA APARECIDA</t>
  </si>
  <si>
    <t xml:space="preserve">RAQUEL SERICO</t>
  </si>
  <si>
    <t xml:space="preserve">CANT RAIA OLIMPICA TENIS CLUBE</t>
  </si>
  <si>
    <t xml:space="preserve">MAURICIO FRANCISCO DA COSTA</t>
  </si>
  <si>
    <t xml:space="preserve">SANDRO FERREIRA DE OLIVEIRA</t>
  </si>
  <si>
    <t xml:space="preserve">O BOIZAO CONV E A‡OUGE</t>
  </si>
  <si>
    <t xml:space="preserve">SIL  LUIZA AQUINO MENDES</t>
  </si>
  <si>
    <t xml:space="preserve">MERCADO RENATA</t>
  </si>
  <si>
    <t xml:space="preserve">YOSHIRO TARIGUCHI</t>
  </si>
  <si>
    <t xml:space="preserve">PANIF CARANDA BOSQUE</t>
  </si>
  <si>
    <t xml:space="preserve">JOAO MALO SANCHEZ</t>
  </si>
  <si>
    <t xml:space="preserve">RESTAURANTE DO JOAO</t>
  </si>
  <si>
    <t xml:space="preserve">LUIZ H. MORAES DE ANDRADE</t>
  </si>
  <si>
    <t xml:space="preserve">LANCHONETE CILUZ</t>
  </si>
  <si>
    <t xml:space="preserve">JORGE ESPINDOLA IUNE</t>
  </si>
  <si>
    <t xml:space="preserve">ARMAZEM SAO JORGE</t>
  </si>
  <si>
    <t xml:space="preserve">MARIO FERREIRA VAZ</t>
  </si>
  <si>
    <t xml:space="preserve">CONVEN NSR APARECIDA</t>
  </si>
  <si>
    <t xml:space="preserve">MARIA BENITES MARIO</t>
  </si>
  <si>
    <t xml:space="preserve">MERCEARIA SAO SEBASTIAO</t>
  </si>
  <si>
    <t xml:space="preserve">IRACEMA COSTA</t>
  </si>
  <si>
    <t xml:space="preserve">IRACEMA SALGADOS</t>
  </si>
  <si>
    <t xml:space="preserve">APARECIDO ZANON</t>
  </si>
  <si>
    <t xml:space="preserve">SUPERMERCADO ZANON</t>
  </si>
  <si>
    <t xml:space="preserve">FARNCISCO MARTINELLI</t>
  </si>
  <si>
    <t xml:space="preserve">FRANCISCO MARTINELLI</t>
  </si>
  <si>
    <t xml:space="preserve">CLARICE CORREA E CASTRO DE ALENCASTRO</t>
  </si>
  <si>
    <t xml:space="preserve">RESTAURANTE UNIDERP AGRARIA</t>
  </si>
  <si>
    <t xml:space="preserve">EUZIRE OSMANI PEREIRA</t>
  </si>
  <si>
    <t xml:space="preserve">SEU LEONCIO</t>
  </si>
  <si>
    <t xml:space="preserve">REINALDO GOMEZ</t>
  </si>
  <si>
    <t xml:space="preserve">SALTENHARIA DO NANDINHO</t>
  </si>
  <si>
    <t xml:space="preserve">LOURDES PACHECO DOS REIS</t>
  </si>
  <si>
    <t xml:space="preserve">MERCADO LEF</t>
  </si>
  <si>
    <t xml:space="preserve">NILCE MARA DA SILVA</t>
  </si>
  <si>
    <t xml:space="preserve">MERCEARIA E PADARIA DO GARCIA</t>
  </si>
  <si>
    <t xml:space="preserve">MANOEL BELTRAO FILHO</t>
  </si>
  <si>
    <t xml:space="preserve">COMERCIAL FENIX</t>
  </si>
  <si>
    <t xml:space="preserve">MANOEL BENTO RODRIGUES PEREIRA</t>
  </si>
  <si>
    <t xml:space="preserve">ANTONIO QUADROS MACHADO</t>
  </si>
  <si>
    <t xml:space="preserve">CABURA MACHADO CONVENIENCIA</t>
  </si>
  <si>
    <t xml:space="preserve">VALMIR RODRIGUES DA SILVA</t>
  </si>
  <si>
    <t xml:space="preserve">BAR TIO DO SR VALMIR</t>
  </si>
  <si>
    <t xml:space="preserve">NELSON GABETE</t>
  </si>
  <si>
    <t xml:space="preserve">POSTO GAUCHO LTDA</t>
  </si>
  <si>
    <t xml:space="preserve">HILBERTO RAHAL</t>
  </si>
  <si>
    <t xml:space="preserve">PIZZARIA RAHAL</t>
  </si>
  <si>
    <t xml:space="preserve">ADELINO MARAL DE AVILA</t>
  </si>
  <si>
    <t xml:space="preserve">SM JABUTI</t>
  </si>
  <si>
    <t xml:space="preserve">EPIFANIO MORINIGO MOREL</t>
  </si>
  <si>
    <t xml:space="preserve">CANTINA MOREL</t>
  </si>
  <si>
    <t xml:space="preserve">PAULINO TEODORO DE SOUZA</t>
  </si>
  <si>
    <t xml:space="preserve">LANCHONETE CAIBI</t>
  </si>
  <si>
    <t xml:space="preserve">MANOEL HERVOSO GOMES SANTANA</t>
  </si>
  <si>
    <t xml:space="preserve">CONVENIENCIA JR</t>
  </si>
  <si>
    <t xml:space="preserve">ITELER CORREA</t>
  </si>
  <si>
    <t xml:space="preserve">EDGAR DIAS DE CAMPOS</t>
  </si>
  <si>
    <t xml:space="preserve">RESTAURANTE DO PARQUE</t>
  </si>
  <si>
    <t xml:space="preserve">ADOLFO FERNANDES LIMA</t>
  </si>
  <si>
    <t xml:space="preserve">MERCEARIA CAMPOS SILVA</t>
  </si>
  <si>
    <t xml:space="preserve">FRANCISCO ALEXANDRE SILVA</t>
  </si>
  <si>
    <t xml:space="preserve">BAR NER NEVES SILVA</t>
  </si>
  <si>
    <t xml:space="preserve">ALFREDO JOSE DOS SANTOS</t>
  </si>
  <si>
    <t xml:space="preserve">MERCEARIA SERRADINHO</t>
  </si>
  <si>
    <t xml:space="preserve">KEZER  MATTIOLI SOUSA</t>
  </si>
  <si>
    <t xml:space="preserve">KEZER MATTIOLI SOUZA</t>
  </si>
  <si>
    <t xml:space="preserve">EURIDES TEODORO DE CAMPOS</t>
  </si>
  <si>
    <t xml:space="preserve">ANTIGO 1.99</t>
  </si>
  <si>
    <t xml:space="preserve">VALMIR CHELES DA SILVA</t>
  </si>
  <si>
    <t xml:space="preserve">MERCADO M.A</t>
  </si>
  <si>
    <t xml:space="preserve">FIRMINO BENTO PESSOA</t>
  </si>
  <si>
    <t xml:space="preserve">BAR NEGAO</t>
  </si>
  <si>
    <t xml:space="preserve">LAURA CRISTOLDO</t>
  </si>
  <si>
    <t xml:space="preserve">PANIF MISSIONARIO</t>
  </si>
  <si>
    <t xml:space="preserve">ARMINDO CASSAVARA</t>
  </si>
  <si>
    <t xml:space="preserve">CASA SANTA LUZIA</t>
  </si>
  <si>
    <t xml:space="preserve">SUELI DA SILVA SANTOS ANDRADE</t>
  </si>
  <si>
    <t xml:space="preserve">RESTAURANTE BOM APETITE</t>
  </si>
  <si>
    <t xml:space="preserve">SEBASTIAO  JOSE MACEDO</t>
  </si>
  <si>
    <t xml:space="preserve">PANIF CAROLINE</t>
  </si>
  <si>
    <t xml:space="preserve">ALGUSTIN BELMONT RUIZ</t>
  </si>
  <si>
    <t xml:space="preserve">CINTHIA CONVENIENCIA</t>
  </si>
  <si>
    <t xml:space="preserve">RAMONA VIEIRA</t>
  </si>
  <si>
    <t xml:space="preserve">MERCEARIA AGUA DOCE</t>
  </si>
  <si>
    <t xml:space="preserve">JOMES JERONIMO DE BRITO</t>
  </si>
  <si>
    <t xml:space="preserve">MILTONM NEVES ROCHA</t>
  </si>
  <si>
    <t xml:space="preserve">JUNIOR CONV</t>
  </si>
  <si>
    <t xml:space="preserve">JOSE JORCELEI PEREIRA RODRIGUES</t>
  </si>
  <si>
    <t xml:space="preserve">MERCADO FAVORITO</t>
  </si>
  <si>
    <t xml:space="preserve">EDSON DA SILVA RIGO</t>
  </si>
  <si>
    <t xml:space="preserve">MERCADO MENDES</t>
  </si>
  <si>
    <t xml:space="preserve">JOAO BATISTA DE MATOS FERREIRA</t>
  </si>
  <si>
    <t xml:space="preserve">CONVENIENCIA AUGUSTO</t>
  </si>
  <si>
    <t xml:space="preserve">LENOAR SANTOS PERES</t>
  </si>
  <si>
    <t xml:space="preserve">MERCEARIA E CONV. CORUJA</t>
  </si>
  <si>
    <t xml:space="preserve">PEDRO ALICIO</t>
  </si>
  <si>
    <t xml:space="preserve">PANIF DA FAMILIA</t>
  </si>
  <si>
    <t xml:space="preserve">OSVALDO DA SILVA</t>
  </si>
  <si>
    <t xml:space="preserve">MERCEARIA E CONV. DOM AQUINO</t>
  </si>
  <si>
    <t xml:space="preserve">MARILDA NUNES DA SILVA</t>
  </si>
  <si>
    <t xml:space="preserve">PANF KIPAO</t>
  </si>
  <si>
    <t xml:space="preserve">JOAO ALVES FERREIRA</t>
  </si>
  <si>
    <t xml:space="preserve">CENTRAL MERC CONV</t>
  </si>
  <si>
    <t xml:space="preserve">OSVALDO FERREIRA BORGES</t>
  </si>
  <si>
    <t xml:space="preserve">CONVENIENCIA J J</t>
  </si>
  <si>
    <t xml:space="preserve">LUIZ BARBOSA DA SILVEIRA</t>
  </si>
  <si>
    <t xml:space="preserve">FRANGO DO DIA</t>
  </si>
  <si>
    <t xml:space="preserve">PEDRO PAULO SIMOES</t>
  </si>
  <si>
    <t xml:space="preserve">WALFRIDO ROSALINO TAVEIRA</t>
  </si>
  <si>
    <t xml:space="preserve">MERCEARIA SAMAMBAIA</t>
  </si>
  <si>
    <t xml:space="preserve">BENEDITO VIEIRA DE SOUZA</t>
  </si>
  <si>
    <t xml:space="preserve">MERCADO RAMOS</t>
  </si>
  <si>
    <t xml:space="preserve">LUIZ ARCE</t>
  </si>
  <si>
    <t xml:space="preserve">MERCEARIA LEAO</t>
  </si>
  <si>
    <t xml:space="preserve">MARIA JOSE VIEIRA</t>
  </si>
  <si>
    <t xml:space="preserve">CANTINA ROMEU E JULIETA</t>
  </si>
  <si>
    <t xml:space="preserve">DANIELLE GOMES DOS SANTOS</t>
  </si>
  <si>
    <t xml:space="preserve">JOSE BULGARELLI</t>
  </si>
  <si>
    <t xml:space="preserve">PANIF OURO PAO</t>
  </si>
  <si>
    <t xml:space="preserve">ADAIR NAIDE</t>
  </si>
  <si>
    <t xml:space="preserve">OPCAO CONVENIENCIA</t>
  </si>
  <si>
    <t xml:space="preserve">ROSEMEIRE C A CORREA</t>
  </si>
  <si>
    <t xml:space="preserve">CANTINA TRIBUNAL DA JUSTICA</t>
  </si>
  <si>
    <t xml:space="preserve">ALICIO MONTEIRO</t>
  </si>
  <si>
    <t xml:space="preserve">BAR STO ANTONIO</t>
  </si>
  <si>
    <t xml:space="preserve">ALZIRA BELMANTE DA SILVA</t>
  </si>
  <si>
    <t xml:space="preserve">LANCHONETE ZERO HORA</t>
  </si>
  <si>
    <t xml:space="preserve">BENEDITO GONCALVES DE  SOUZA</t>
  </si>
  <si>
    <t xml:space="preserve">MERCADO ERBE</t>
  </si>
  <si>
    <t xml:space="preserve">CICERO D DOS SANTOS</t>
  </si>
  <si>
    <t xml:space="preserve">LANCH COOPER CLUB</t>
  </si>
  <si>
    <t xml:space="preserve">ANTONIO GALLO</t>
  </si>
  <si>
    <t xml:space="preserve">MERCEARIA DO TONIN</t>
  </si>
  <si>
    <t xml:space="preserve">JUVANDIR PEREIRA DA SILVA</t>
  </si>
  <si>
    <t xml:space="preserve">CONVENIENCIA DAMASCO</t>
  </si>
  <si>
    <t xml:space="preserve">JOSE FRANCISCO MOREIRA</t>
  </si>
  <si>
    <t xml:space="preserve">NELSON LUIZ PEDRON</t>
  </si>
  <si>
    <t xml:space="preserve">HOTEL PARANA</t>
  </si>
  <si>
    <t xml:space="preserve">ALNILDO LEITE DA ROCHA</t>
  </si>
  <si>
    <t xml:space="preserve">CASA DA VERDURA</t>
  </si>
  <si>
    <t xml:space="preserve">ALONSO ANTONIO DA SILVA</t>
  </si>
  <si>
    <t xml:space="preserve">BAR DO ALONSO</t>
  </si>
  <si>
    <t xml:space="preserve">MANOEL PEDRO DA SILVA</t>
  </si>
  <si>
    <t xml:space="preserve">MERCADO DO MANE</t>
  </si>
  <si>
    <t xml:space="preserve">JOAO BATISTA DE SOUZA</t>
  </si>
  <si>
    <t xml:space="preserve">MERCEARIA FORTALEZA</t>
  </si>
  <si>
    <t xml:space="preserve">LUIZ DE CASTRO FILHO</t>
  </si>
  <si>
    <t xml:space="preserve">LM MERCEARIA</t>
  </si>
  <si>
    <t xml:space="preserve">NELSON MANOEL DE ANDRADE</t>
  </si>
  <si>
    <t xml:space="preserve">PADARIA ANDRADE</t>
  </si>
  <si>
    <t xml:space="preserve">ELIAS ROBERTO ATAIDE</t>
  </si>
  <si>
    <t xml:space="preserve">SACOLAO E CONV ATAIDE</t>
  </si>
  <si>
    <t xml:space="preserve">MARCOS YOSHINARI</t>
  </si>
  <si>
    <t xml:space="preserve">MERCADO STA TEREZINHA</t>
  </si>
  <si>
    <t xml:space="preserve">VICENTE GOMES DOS SANTOS</t>
  </si>
  <si>
    <t xml:space="preserve">PANIF DUQUE DE CAXIAS</t>
  </si>
  <si>
    <t xml:space="preserve">ARLEI DE OLIVEIRA MORAIS</t>
  </si>
  <si>
    <t xml:space="preserve">KANGOO CONV</t>
  </si>
  <si>
    <t xml:space="preserve">JOAO MARECO</t>
  </si>
  <si>
    <t xml:space="preserve">MERC MYARA</t>
  </si>
  <si>
    <t xml:space="preserve">SILVIO SUSUMU TAIRA</t>
  </si>
  <si>
    <t xml:space="preserve">MERCADO TAIRA</t>
  </si>
  <si>
    <t xml:space="preserve">ALFREDO RODRIGUES DA SILVA</t>
  </si>
  <si>
    <t xml:space="preserve">CANTINA GINASIO A B C</t>
  </si>
  <si>
    <t xml:space="preserve">FRANCISCO ANTERI DA SILVA</t>
  </si>
  <si>
    <t xml:space="preserve">MERCADO VAREJAO</t>
  </si>
  <si>
    <t xml:space="preserve">JOSE PEREIRA DO CARMO</t>
  </si>
  <si>
    <t xml:space="preserve">CONV DO ZE</t>
  </si>
  <si>
    <t xml:space="preserve">IDMAR COIMBRA PAULIQUEVIS</t>
  </si>
  <si>
    <t xml:space="preserve">CONVENIENCIA MAIS VOCE</t>
  </si>
  <si>
    <t xml:space="preserve">VICENTE CAMPOS DE ARAUJO</t>
  </si>
  <si>
    <t xml:space="preserve">LUIZ DINART TAVARES</t>
  </si>
  <si>
    <t xml:space="preserve">MERCADO MORINGAO</t>
  </si>
  <si>
    <t xml:space="preserve">MARGARETE MORAES DAS CHAGAS</t>
  </si>
  <si>
    <t xml:space="preserve">MERCADO SAO BENTO</t>
  </si>
  <si>
    <t xml:space="preserve">JOSE CRISTOVAO CASTELLO</t>
  </si>
  <si>
    <t xml:space="preserve">MERCADO BOA VISTA</t>
  </si>
  <si>
    <t xml:space="preserve">JOSE CARLOS DE OLIVEIRA</t>
  </si>
  <si>
    <t xml:space="preserve">CONVENIENCIA VILA ELIANE</t>
  </si>
  <si>
    <t xml:space="preserve">JOSE AMARO LEAL</t>
  </si>
  <si>
    <t xml:space="preserve">MERC EMPORIO LEAL</t>
  </si>
  <si>
    <t xml:space="preserve">JOAO BATISTA DOS SANTOS</t>
  </si>
  <si>
    <t xml:space="preserve">SORVETERIA</t>
  </si>
  <si>
    <t xml:space="preserve">EGIDIO DE ARAUJO THOME</t>
  </si>
  <si>
    <t xml:space="preserve">AYRES DOS SANTOS</t>
  </si>
  <si>
    <t xml:space="preserve">MERCEARIA AIRES</t>
  </si>
  <si>
    <t xml:space="preserve">AGOSTINHO ORTIZ</t>
  </si>
  <si>
    <t xml:space="preserve">CONV SAO JORGE</t>
  </si>
  <si>
    <t xml:space="preserve">TAKETOSHI TOKUY</t>
  </si>
  <si>
    <t xml:space="preserve">LANCHONETE BOA ESPERAN€A</t>
  </si>
  <si>
    <t xml:space="preserve">PAULO SEBASTIAO DA SILVA</t>
  </si>
  <si>
    <t xml:space="preserve">MERCADO BRASILIA</t>
  </si>
  <si>
    <t xml:space="preserve">JOSE FERREIRA DE OLIVEIRA</t>
  </si>
  <si>
    <t xml:space="preserve">MERCADO DO ZE DA PALHOCA</t>
  </si>
  <si>
    <t xml:space="preserve">MAANAIM</t>
  </si>
  <si>
    <t xml:space="preserve">JOAO LIBERATO DOS SANTOS</t>
  </si>
  <si>
    <t xml:space="preserve">MERCADO PAVAO</t>
  </si>
  <si>
    <t xml:space="preserve">VALDOMIRO APARECIDO VIEIRA</t>
  </si>
  <si>
    <t xml:space="preserve">MERCEARIA MIRIM</t>
  </si>
  <si>
    <t xml:space="preserve">FRANCISCO GOMES DA SILVA</t>
  </si>
  <si>
    <t xml:space="preserve">PADARIA ALTO DA SERRA</t>
  </si>
  <si>
    <t xml:space="preserve">WOSHINGTON PINTO DE OLIVEIRA</t>
  </si>
  <si>
    <t xml:space="preserve">MERCEARIA FIGUEIRA</t>
  </si>
  <si>
    <t xml:space="preserve">JOAO BATISTA LIRIO</t>
  </si>
  <si>
    <t xml:space="preserve">S L CONVENIENCIA</t>
  </si>
  <si>
    <t xml:space="preserve">SILVINO GOMES JARDIM</t>
  </si>
  <si>
    <t xml:space="preserve">PANIF ROSA II</t>
  </si>
  <si>
    <t xml:space="preserve">PAULO OMORIO DA SILVA</t>
  </si>
  <si>
    <t xml:space="preserve">LANCHONETE AGUIA DOURADA</t>
  </si>
  <si>
    <t xml:space="preserve">GERALDO GONCALVES DA SILVA</t>
  </si>
  <si>
    <t xml:space="preserve">MERCADO GONCALVES</t>
  </si>
  <si>
    <t xml:space="preserve">IRENIDES MARIA ALVES TOSTA</t>
  </si>
  <si>
    <t xml:space="preserve">HOTEL PARAISO</t>
  </si>
  <si>
    <t xml:space="preserve">SIZENANDO BRAZ</t>
  </si>
  <si>
    <t xml:space="preserve">MERC AGACHI</t>
  </si>
  <si>
    <t xml:space="preserve">JOSE CLAUDIO BARBOSA SILVA</t>
  </si>
  <si>
    <t xml:space="preserve">MERCADO SANTO ANTONIO</t>
  </si>
  <si>
    <t xml:space="preserve">ARIOVAL GERALDO BAITHA</t>
  </si>
  <si>
    <t xml:space="preserve">PANIF BOA ESPERANCA</t>
  </si>
  <si>
    <t xml:space="preserve">FAULLER FERNANDO NOGUEIRA</t>
  </si>
  <si>
    <t xml:space="preserve">FAULLER FERNANDO</t>
  </si>
  <si>
    <t xml:space="preserve">CARLOS APARECIDO RODRIGUES DA SILVA</t>
  </si>
  <si>
    <t xml:space="preserve">CONV VERDURAO</t>
  </si>
  <si>
    <t xml:space="preserve">JUVENAL FERREIRA BATISTA</t>
  </si>
  <si>
    <t xml:space="preserve">ERNESTINA MARTINS LEITE CARDOSO</t>
  </si>
  <si>
    <t xml:space="preserve">PAULO BRAGA DE OLIVEIRA</t>
  </si>
  <si>
    <t xml:space="preserve">LANCHONETE GRAMADAO</t>
  </si>
  <si>
    <t xml:space="preserve">ELAINE CRISTINA SAO FELIX</t>
  </si>
  <si>
    <t xml:space="preserve">CARLOS EDUARDO DA SILVA</t>
  </si>
  <si>
    <t xml:space="preserve">EMPRESA DE TRANSPORTES TRANSCONZ LTDA</t>
  </si>
  <si>
    <t xml:space="preserve">TRANSCONZ</t>
  </si>
  <si>
    <t xml:space="preserve">JESUALDO DA COSTA NERE</t>
  </si>
  <si>
    <t xml:space="preserve">BAR DO CEARA</t>
  </si>
  <si>
    <t xml:space="preserve">MEIRE BORTOLUCCI DE SOUZA</t>
  </si>
  <si>
    <t xml:space="preserve">MIX SORVETE ITALIANO</t>
  </si>
  <si>
    <t xml:space="preserve">IDA MARIA RUSSILIO ABDO</t>
  </si>
  <si>
    <t xml:space="preserve">NILZA ALVES DE ARAUJO</t>
  </si>
  <si>
    <t xml:space="preserve">MERCADINHO REAL</t>
  </si>
  <si>
    <t xml:space="preserve">MAURO SERGIO GIOLI ME</t>
  </si>
  <si>
    <t xml:space="preserve">VANIA AP ARAUJO PATUSSI</t>
  </si>
  <si>
    <t xml:space="preserve">SEALP</t>
  </si>
  <si>
    <t xml:space="preserve">ORACIO GOMES DE CASTRO</t>
  </si>
  <si>
    <t xml:space="preserve">BAR DO GOIANO</t>
  </si>
  <si>
    <t xml:space="preserve">JOSE OSVALDO DIAS</t>
  </si>
  <si>
    <t xml:space="preserve">BAR DO PEZAO</t>
  </si>
  <si>
    <t xml:space="preserve">CLODOALDO FONTANA LUCIANO</t>
  </si>
  <si>
    <t xml:space="preserve">BAR RODA VIVA</t>
  </si>
  <si>
    <t xml:space="preserve">FRANCISCO NOGUEIRA NETO</t>
  </si>
  <si>
    <t xml:space="preserve">MAIS SABOR REST COM CASEIRA</t>
  </si>
  <si>
    <t xml:space="preserve">JOSE MARIA DA CRUZ FILHO</t>
  </si>
  <si>
    <t xml:space="preserve">ANTONIO FRANCISCO DE LIMA</t>
  </si>
  <si>
    <t xml:space="preserve">LUIZ FERREIRA DUTRA</t>
  </si>
  <si>
    <t xml:space="preserve">BAR DO LUIZ</t>
  </si>
  <si>
    <t xml:space="preserve">EMILIO DE FREITAS CAMPOS</t>
  </si>
  <si>
    <t xml:space="preserve">AURELINO CUSTODIO RODRIGUES</t>
  </si>
  <si>
    <t xml:space="preserve">BACANA LANCHES</t>
  </si>
  <si>
    <t xml:space="preserve">GILSON GARCIA SERPA</t>
  </si>
  <si>
    <t xml:space="preserve">MERCADO PROMOCAO</t>
  </si>
  <si>
    <t xml:space="preserve">VALDEMIR ANTUNES</t>
  </si>
  <si>
    <t xml:space="preserve">POSTO E CHUR CAVEL</t>
  </si>
  <si>
    <t xml:space="preserve">LIRIAN SOARES DE OLIVEIRA</t>
  </si>
  <si>
    <t xml:space="preserve">SOL BE HAPPY</t>
  </si>
  <si>
    <t xml:space="preserve">LORIVAL CARDOSO DOS SANTOS</t>
  </si>
  <si>
    <t xml:space="preserve">MERCEARIA VAGALUME</t>
  </si>
  <si>
    <t xml:space="preserve">FRANCISCO ANTONIO GOMES</t>
  </si>
  <si>
    <t xml:space="preserve">MARIA E MERCADO JOSUE</t>
  </si>
  <si>
    <t xml:space="preserve">ITAMAR DE OMENA TELES</t>
  </si>
  <si>
    <t xml:space="preserve">LANCHONETE RODOVIARIA</t>
  </si>
  <si>
    <t xml:space="preserve">JOSE LORY SALGADO FILHO</t>
  </si>
  <si>
    <t xml:space="preserve">GALERIA DOS PAES</t>
  </si>
  <si>
    <t xml:space="preserve">ALMIR MONTE SANTOS</t>
  </si>
  <si>
    <t xml:space="preserve">MERCEARIA A.M.S</t>
  </si>
  <si>
    <t xml:space="preserve">JOAO DIAS DOS SANTOS</t>
  </si>
  <si>
    <t xml:space="preserve">J.D SUPERMERCADODOS</t>
  </si>
  <si>
    <t xml:space="preserve">FRANCISCO CARLOS HAUSCHILD FETTER</t>
  </si>
  <si>
    <t xml:space="preserve">KOMOTOMO</t>
  </si>
  <si>
    <t xml:space="preserve">ANAIR VIEIRA SOARES</t>
  </si>
  <si>
    <t xml:space="preserve">MERCEARIA JS</t>
  </si>
  <si>
    <t xml:space="preserve">DILSON MACIEL DE OLIVEIRA</t>
  </si>
  <si>
    <t xml:space="preserve">DAVI ULISSES DIAS</t>
  </si>
  <si>
    <t xml:space="preserve">MERCEARIA DIAS</t>
  </si>
  <si>
    <t xml:space="preserve">IVO DIAS QUEIROZ</t>
  </si>
  <si>
    <t xml:space="preserve">SM LISANE</t>
  </si>
  <si>
    <t xml:space="preserve">LUIZ FELIX DE MORAES</t>
  </si>
  <si>
    <t xml:space="preserve">MERCEARIA FAMA</t>
  </si>
  <si>
    <t xml:space="preserve">DIONIZIO VAZ</t>
  </si>
  <si>
    <t xml:space="preserve">CONVENIENCIA VAZ</t>
  </si>
  <si>
    <t xml:space="preserve">DANIEL GONCALVES</t>
  </si>
  <si>
    <t xml:space="preserve">PADARIA BUZIOS</t>
  </si>
  <si>
    <t xml:space="preserve">OTAVIO VOGADO GOLCALVES</t>
  </si>
  <si>
    <t xml:space="preserve">CONVENIENCIA JH</t>
  </si>
  <si>
    <t xml:space="preserve">JOEL VALERIO DA COSTA</t>
  </si>
  <si>
    <t xml:space="preserve">DANIEL LINARES ZABALLOS</t>
  </si>
  <si>
    <t xml:space="preserve">CANTINA A.B.C</t>
  </si>
  <si>
    <t xml:space="preserve">NESTOR DOS REIS</t>
  </si>
  <si>
    <t xml:space="preserve">MERCADO ALIANCA</t>
  </si>
  <si>
    <t xml:space="preserve">MARIO NELSON MALHADO DE LIMA</t>
  </si>
  <si>
    <t xml:space="preserve">MERCADO LIS</t>
  </si>
  <si>
    <t xml:space="preserve">VALDEMIR ALVES CAETANO (BALNEARIO)</t>
  </si>
  <si>
    <t xml:space="preserve">REST FIGUEIRA E JOTAS BAR</t>
  </si>
  <si>
    <t xml:space="preserve">MANOEL JUVENAL DE ALMEIDA</t>
  </si>
  <si>
    <t xml:space="preserve">BAR DO MANOEL</t>
  </si>
  <si>
    <t xml:space="preserve">EDSON RYOJI IYAMA</t>
  </si>
  <si>
    <t xml:space="preserve">MERCADO SUPER 10</t>
  </si>
  <si>
    <t xml:space="preserve">NICOLAU PAULO LEONEL SOUZA</t>
  </si>
  <si>
    <t xml:space="preserve">NILTON CARLOS PASSARINI</t>
  </si>
  <si>
    <t xml:space="preserve">PAD DO PASSARINI</t>
  </si>
  <si>
    <t xml:space="preserve">ABEL ALEXANDRE PEREIRA</t>
  </si>
  <si>
    <t xml:space="preserve">NARCISO PEREIRA SOBRINHO</t>
  </si>
  <si>
    <t xml:space="preserve">BAR NOSSA SRA APARECIDA</t>
  </si>
  <si>
    <t xml:space="preserve">NARCIZO LOPES DOS SANTOS</t>
  </si>
  <si>
    <t xml:space="preserve">JORGE ADAO DA SILVA</t>
  </si>
  <si>
    <t xml:space="preserve">MARIA JOSE DA SILVA</t>
  </si>
  <si>
    <t xml:space="preserve">SM MS</t>
  </si>
  <si>
    <t xml:space="preserve">GELSON VAZ PEREIRA</t>
  </si>
  <si>
    <t xml:space="preserve">ETEVANILDO MENDES DOS SANTOS</t>
  </si>
  <si>
    <t xml:space="preserve">SACOLAO ANASTACIO</t>
  </si>
  <si>
    <t xml:space="preserve">AMELIO FRANCISCO DE OLIVEIRA</t>
  </si>
  <si>
    <t xml:space="preserve">MERCADO CORACAO DE JESUS</t>
  </si>
  <si>
    <t xml:space="preserve">ARMANDO CESAR DE SOUZA</t>
  </si>
  <si>
    <t xml:space="preserve">TOCA DO JACARE</t>
  </si>
  <si>
    <t xml:space="preserve">JOSE MEINS</t>
  </si>
  <si>
    <t xml:space="preserve">MERCEARIA MEINS</t>
  </si>
  <si>
    <t xml:space="preserve">JOAO MANOEL DA SILVA</t>
  </si>
  <si>
    <t xml:space="preserve">MERC PEP SOCORRO</t>
  </si>
  <si>
    <t xml:space="preserve">FRANCISCO ALVES PEREIRA</t>
  </si>
  <si>
    <t xml:space="preserve">MERCEARIA DO POVO</t>
  </si>
  <si>
    <t xml:space="preserve">MARCO ANTONIO PEREIRA (TCG)</t>
  </si>
  <si>
    <t xml:space="preserve">MARCO</t>
  </si>
  <si>
    <t xml:space="preserve">MARIA CHAGAS CODORO</t>
  </si>
  <si>
    <t xml:space="preserve">PANIF DOCE SABORES</t>
  </si>
  <si>
    <t xml:space="preserve">JOAO MARIA DO PRADO</t>
  </si>
  <si>
    <t xml:space="preserve">BAR JM</t>
  </si>
  <si>
    <t xml:space="preserve">LUIZ DONIZETH ALVES DE FREITAS</t>
  </si>
  <si>
    <t xml:space="preserve">PANF JOVEM PAN</t>
  </si>
  <si>
    <t xml:space="preserve">RAIMUNDO ARAUJO ALVES</t>
  </si>
  <si>
    <t xml:space="preserve">MINI MERCADO</t>
  </si>
  <si>
    <t xml:space="preserve">ITALINO CELLI</t>
  </si>
  <si>
    <t xml:space="preserve">MERCADO PONTO CHIC</t>
  </si>
  <si>
    <t xml:space="preserve">PAULO EUGENIO PENZO JAQUET</t>
  </si>
  <si>
    <t xml:space="preserve">PANF MASSA PURA</t>
  </si>
  <si>
    <t xml:space="preserve">MIGUEL ESTIGARRIBIA DOS SANTOS</t>
  </si>
  <si>
    <t xml:space="preserve">MERCEARIA SAO MIGUEL</t>
  </si>
  <si>
    <t xml:space="preserve">MIRIAN VIERA LOPES</t>
  </si>
  <si>
    <t xml:space="preserve">CONV N SRA DA GRACA</t>
  </si>
  <si>
    <t xml:space="preserve">CICERO APARECIDO DA SILVA</t>
  </si>
  <si>
    <t xml:space="preserve">MERCADO E CONV.VITORIA</t>
  </si>
  <si>
    <t xml:space="preserve">JOSE BENTO DA SILVA NETO</t>
  </si>
  <si>
    <t xml:space="preserve">MERCEARIA PAJE</t>
  </si>
  <si>
    <t xml:space="preserve">EDSON GARCIA DE AVILA</t>
  </si>
  <si>
    <t xml:space="preserve">PASCOAL HURANHABI</t>
  </si>
  <si>
    <t xml:space="preserve">JOSE SANTOS DE OLIVEIRA</t>
  </si>
  <si>
    <t xml:space="preserve">MERCEARIA AVENIDA</t>
  </si>
  <si>
    <t xml:space="preserve">ADEMAR FRANCISCO ROSA</t>
  </si>
  <si>
    <t xml:space="preserve">CONVENIENCIA BOA ESPERANCA</t>
  </si>
  <si>
    <t xml:space="preserve">ADELITA DE OLIVEIRA FREITAS</t>
  </si>
  <si>
    <t xml:space="preserve">CANTINA DO SEBRAE</t>
  </si>
  <si>
    <t xml:space="preserve">NOEMIA GRELIMANN</t>
  </si>
  <si>
    <t xml:space="preserve">POSTO CHAPADAO</t>
  </si>
  <si>
    <t xml:space="preserve">JOSE HELIO F NOGUEIRA</t>
  </si>
  <si>
    <t xml:space="preserve">MERCEARIA SERTANEJO</t>
  </si>
  <si>
    <t xml:space="preserve">JOAO BATISTA</t>
  </si>
  <si>
    <t xml:space="preserve">CELEIDO ALCE DA FONSECA</t>
  </si>
  <si>
    <t xml:space="preserve">BAR E MERCEARIA KRASS BAR</t>
  </si>
  <si>
    <t xml:space="preserve">JOAO PAULO VALEJO</t>
  </si>
  <si>
    <t xml:space="preserve">ALONSO LUTTENZ FERREIRA VICENTE</t>
  </si>
  <si>
    <t xml:space="preserve">PADARIA OURO VERDE</t>
  </si>
  <si>
    <t xml:space="preserve">GILDSON SILVA</t>
  </si>
  <si>
    <t xml:space="preserve">MERCEARIA GUANABARA</t>
  </si>
  <si>
    <t xml:space="preserve">EVILAZIO AYRES PEREIRA</t>
  </si>
  <si>
    <t xml:space="preserve">NALDI ALVES</t>
  </si>
  <si>
    <t xml:space="preserve">JANUARIO JUSTINO ALVES</t>
  </si>
  <si>
    <t xml:space="preserve">MERCEARIA ALVES</t>
  </si>
  <si>
    <t xml:space="preserve">ANTONIO GENESIO TORRES DOS SANTOS</t>
  </si>
  <si>
    <t xml:space="preserve">ELIDA DEL VALE LIMA</t>
  </si>
  <si>
    <t xml:space="preserve">ZENIR ROMERO MONTIEL</t>
  </si>
  <si>
    <t xml:space="preserve">MERCEARIA TREVO</t>
  </si>
  <si>
    <t xml:space="preserve">MARIO DE SOUZA CARVALHO</t>
  </si>
  <si>
    <t xml:space="preserve">MINI MERCADO CHAPARRAL</t>
  </si>
  <si>
    <t xml:space="preserve">LUIS LOURENCO ALVES DE LIMA</t>
  </si>
  <si>
    <t xml:space="preserve">LOJA DE ARTESANATO</t>
  </si>
  <si>
    <t xml:space="preserve">MARINEZ MULLER CESCO</t>
  </si>
  <si>
    <t xml:space="preserve">DEDE CESCO BUFFET</t>
  </si>
  <si>
    <t xml:space="preserve">JOSE CARLOS CAMPOS</t>
  </si>
  <si>
    <t xml:space="preserve">JAIR ANDRE</t>
  </si>
  <si>
    <t xml:space="preserve">AIRTON RODRIGUES DA SILVA</t>
  </si>
  <si>
    <t xml:space="preserve">CONVENIENCIA VITORIA</t>
  </si>
  <si>
    <t xml:space="preserve">MARIO TOSHIAKI MAROTO ME</t>
  </si>
  <si>
    <t xml:space="preserve">BAR E MERCEARIA MAROTO</t>
  </si>
  <si>
    <t xml:space="preserve">JOAO OLIVEIRA ROCHA</t>
  </si>
  <si>
    <t xml:space="preserve">CONVENIENCIA CAFEZAIS</t>
  </si>
  <si>
    <t xml:space="preserve">SEBASTIAO CORREA DA SILVA</t>
  </si>
  <si>
    <t xml:space="preserve">CATETINHO LANCHES</t>
  </si>
  <si>
    <t xml:space="preserve">EDVALDO MARCELINO ARAUJO</t>
  </si>
  <si>
    <t xml:space="preserve">PANIFICADORA ARAUJO</t>
  </si>
  <si>
    <t xml:space="preserve">ELPIDEO CARVALHO DO NASCIMENTO</t>
  </si>
  <si>
    <t xml:space="preserve">MERCEARIA ELPIDIO</t>
  </si>
  <si>
    <t xml:space="preserve">CLOTILDE GODOY</t>
  </si>
  <si>
    <t xml:space="preserve">MERCADO BIG BOX</t>
  </si>
  <si>
    <t xml:space="preserve">IZAIAS RIBEIRO DE QUEIROZ</t>
  </si>
  <si>
    <t xml:space="preserve">MERCEARIA CAPIXABA</t>
  </si>
  <si>
    <t xml:space="preserve">AMI PINTO BRANDAO</t>
  </si>
  <si>
    <t xml:space="preserve">JAIRO DA COSTA GUERRA ME</t>
  </si>
  <si>
    <t xml:space="preserve">LUIZ GONCALVES FILHO</t>
  </si>
  <si>
    <t xml:space="preserve">MERCEARIA ESMERALDA</t>
  </si>
  <si>
    <t xml:space="preserve">VANIA LOPES DE ANDRADE</t>
  </si>
  <si>
    <t xml:space="preserve">MERCEARIA VIDA NOVA</t>
  </si>
  <si>
    <t xml:space="preserve">CLEUME PIMENTA MILHOMENS</t>
  </si>
  <si>
    <t xml:space="preserve">REST DA LILIAN 1 ENTRA</t>
  </si>
  <si>
    <t xml:space="preserve">RUBENS FUJIO TAKIGUCHI</t>
  </si>
  <si>
    <t xml:space="preserve">POSTO NIPOBRAS</t>
  </si>
  <si>
    <t xml:space="preserve">LINDINIRA APARECIDA REIS</t>
  </si>
  <si>
    <t xml:space="preserve">MERCADO BRASIL</t>
  </si>
  <si>
    <t xml:space="preserve">HEIDE WANDA ROBERTO PIRES</t>
  </si>
  <si>
    <t xml:space="preserve">MERCEARIA IDEAL</t>
  </si>
  <si>
    <t xml:space="preserve">ADELSO VIEIRA SILVA</t>
  </si>
  <si>
    <t xml:space="preserve">SENSACAO SORVETERIA</t>
  </si>
  <si>
    <t xml:space="preserve">JURANDIR B DA SLVA</t>
  </si>
  <si>
    <t xml:space="preserve">PANIFICADORA CRISTO REI</t>
  </si>
  <si>
    <t xml:space="preserve">ROSIMEIRE HIPOLITO DUARTE</t>
  </si>
  <si>
    <t xml:space="preserve">REST E LANCH A SABOROSA</t>
  </si>
  <si>
    <t xml:space="preserve">RAMAO VERA RODRIGUES</t>
  </si>
  <si>
    <t xml:space="preserve">MERCEARIA OURO PRETO</t>
  </si>
  <si>
    <t xml:space="preserve">EMIR FUCHS DA SILVA</t>
  </si>
  <si>
    <t xml:space="preserve">POSTO PANELA VERMELHA</t>
  </si>
  <si>
    <t xml:space="preserve">AMADEU MIRANDA</t>
  </si>
  <si>
    <t xml:space="preserve">MERCEARIA JUNIOR</t>
  </si>
  <si>
    <t xml:space="preserve">DEVANIR ALVES PINTO</t>
  </si>
  <si>
    <t xml:space="preserve">DEVANIR PADARIA</t>
  </si>
  <si>
    <t xml:space="preserve">VALDECIR CAMILO DE MEDEIROS</t>
  </si>
  <si>
    <t xml:space="preserve">CAFE E CIA</t>
  </si>
  <si>
    <t xml:space="preserve">CIOLA MARIA SCHMEING</t>
  </si>
  <si>
    <t xml:space="preserve">PEDRO SEVERINO MACEDO</t>
  </si>
  <si>
    <t xml:space="preserve">COMERCIO DE BEBIDAS ALVORADA</t>
  </si>
  <si>
    <t xml:space="preserve">IZILDA DO NASCIMENTO</t>
  </si>
  <si>
    <t xml:space="preserve">DONIZETE RIBEIRO DE LIMA</t>
  </si>
  <si>
    <t xml:space="preserve">GELA GUELA CONVENIENCIA</t>
  </si>
  <si>
    <t xml:space="preserve">RAMONA BALTA GONCALVES</t>
  </si>
  <si>
    <t xml:space="preserve">MERCEARIA TUCANO</t>
  </si>
  <si>
    <t xml:space="preserve">LUCIENE DE FATIMA PIRES GALLI DIAS</t>
  </si>
  <si>
    <t xml:space="preserve">CIA DO SALGADO</t>
  </si>
  <si>
    <t xml:space="preserve">ELIAS FRANCISCO OLIVEIRA</t>
  </si>
  <si>
    <t xml:space="preserve">DEPOSITO DE LARANJA</t>
  </si>
  <si>
    <t xml:space="preserve">ROMEU DOS ANTOS AZAMBUZA</t>
  </si>
  <si>
    <t xml:space="preserve">CONV PONTO ZERO</t>
  </si>
  <si>
    <t xml:space="preserve">FERNANDO JORGE C PALEMO</t>
  </si>
  <si>
    <t xml:space="preserve">MERC SAO JORGE</t>
  </si>
  <si>
    <t xml:space="preserve">VENIR RODRIGUES FERREIRA</t>
  </si>
  <si>
    <t xml:space="preserve">JORGE PEREIRA LACERDA</t>
  </si>
  <si>
    <t xml:space="preserve">ESPACO LIVRE REVISTA E JORNAIS</t>
  </si>
  <si>
    <t xml:space="preserve">CLEMENTINO D AVELLA</t>
  </si>
  <si>
    <t xml:space="preserve">MERCEARIA BELA VISTA</t>
  </si>
  <si>
    <t xml:space="preserve">VALDEMAR DA SILVA</t>
  </si>
  <si>
    <t xml:space="preserve">IDALMO DE LIMA</t>
  </si>
  <si>
    <t xml:space="preserve">CONVENIENCIA IDL</t>
  </si>
  <si>
    <t xml:space="preserve">JOSE MARLIN REINOSO</t>
  </si>
  <si>
    <t xml:space="preserve">PANIFICADORA VERDE</t>
  </si>
  <si>
    <t xml:space="preserve">SERGIO PAULO GROTTI</t>
  </si>
  <si>
    <t xml:space="preserve">SRGIO PAULO</t>
  </si>
  <si>
    <t xml:space="preserve">FRANCISCO ANTONIO DE SOUZA</t>
  </si>
  <si>
    <t xml:space="preserve">BAR DO IE</t>
  </si>
  <si>
    <t xml:space="preserve">JOAO DOS SANTOS</t>
  </si>
  <si>
    <t xml:space="preserve">SM VITORIA</t>
  </si>
  <si>
    <t xml:space="preserve">CLEUZA BATISTA DA SILVA</t>
  </si>
  <si>
    <t xml:space="preserve">CASARAO DO PORTO</t>
  </si>
  <si>
    <t xml:space="preserve">IVAM GOMES MONTEIRO</t>
  </si>
  <si>
    <t xml:space="preserve">PADARIA E CONV INGRID</t>
  </si>
  <si>
    <t xml:space="preserve">MARIA CONCEICAO RUIZ</t>
  </si>
  <si>
    <t xml:space="preserve">MERCADO NOBRE</t>
  </si>
  <si>
    <t xml:space="preserve">ELIZEU VALIM DOS REIS</t>
  </si>
  <si>
    <t xml:space="preserve">MERCEARIA ARAPONGAS</t>
  </si>
  <si>
    <t xml:space="preserve">ALEXANDRE DE SOUZA</t>
  </si>
  <si>
    <t xml:space="preserve">MARIA DE LOURDES TOLEDO</t>
  </si>
  <si>
    <t xml:space="preserve">BAE E MERCEARIA MLTN</t>
  </si>
  <si>
    <t xml:space="preserve">JOSE LUIZ MOURA SANTOS</t>
  </si>
  <si>
    <t xml:space="preserve">PANF D'PAULA</t>
  </si>
  <si>
    <t xml:space="preserve">MOISES DE SOUSA FREIRE</t>
  </si>
  <si>
    <t xml:space="preserve">JOSE DA COSTA SAMPAIO</t>
  </si>
  <si>
    <t xml:space="preserve">CASA CEARA</t>
  </si>
  <si>
    <t xml:space="preserve">LOURENCA VALDEZ DA SILVA</t>
  </si>
  <si>
    <t xml:space="preserve">SACOLAO VERDAO</t>
  </si>
  <si>
    <t xml:space="preserve">GUMENCINDA MARQUES LEAO</t>
  </si>
  <si>
    <t xml:space="preserve">DSIRIBUIDORA BOLIVA</t>
  </si>
  <si>
    <t xml:space="preserve">CILAS DAVID DELITE</t>
  </si>
  <si>
    <t xml:space="preserve">PASTELAO</t>
  </si>
  <si>
    <t xml:space="preserve">SEBASTIAO GUILHERME LEMOS</t>
  </si>
  <si>
    <t xml:space="preserve">DOCE BAR</t>
  </si>
  <si>
    <t xml:space="preserve">DIVINA GOMES CORREA</t>
  </si>
  <si>
    <t xml:space="preserve">FRANCISCO AUGUSTO VIEIRA DE MELLO</t>
  </si>
  <si>
    <t xml:space="preserve">FAZENDA HERAN€A</t>
  </si>
  <si>
    <t xml:space="preserve">MANOEL F DE SOUZA</t>
  </si>
  <si>
    <t xml:space="preserve">MERC SOUZA</t>
  </si>
  <si>
    <t xml:space="preserve">GERVASIO F ALVES</t>
  </si>
  <si>
    <t xml:space="preserve">TIEKO ICHI</t>
  </si>
  <si>
    <t xml:space="preserve">BAR E MERCEARIA TIEKO ICHI</t>
  </si>
  <si>
    <t xml:space="preserve">JULIA LEMES DE MORAES</t>
  </si>
  <si>
    <t xml:space="preserve">MICHELE NOSELE SCHAEFER</t>
  </si>
  <si>
    <t xml:space="preserve">PANTANAL CONVENIENCIAS</t>
  </si>
  <si>
    <t xml:space="preserve">ELIANE RODRIGUES DA SILVA</t>
  </si>
  <si>
    <t xml:space="preserve">MERC E CONV DOIS IRMAOS</t>
  </si>
  <si>
    <t xml:space="preserve">REGINA DA PAIXAO</t>
  </si>
  <si>
    <t xml:space="preserve">VARANDAS GRILL</t>
  </si>
  <si>
    <t xml:space="preserve">JOAQUIM JOSE DOS SANTOS</t>
  </si>
  <si>
    <t xml:space="preserve">MERCEARIA DO TIO</t>
  </si>
  <si>
    <t xml:space="preserve">VALDOMIRO ALTAFINI</t>
  </si>
  <si>
    <t xml:space="preserve">PALTELARIA CENTRAL</t>
  </si>
  <si>
    <t xml:space="preserve">RAIMUNDO RODRIGUES DOS SANTOS</t>
  </si>
  <si>
    <t xml:space="preserve">MERCADORIA</t>
  </si>
  <si>
    <t xml:space="preserve">PAULO CEZAR SOUZA</t>
  </si>
  <si>
    <t xml:space="preserve">PANIFECADORA ESTRELA</t>
  </si>
  <si>
    <t xml:space="preserve">MANOEL ANTONIO PORTELA</t>
  </si>
  <si>
    <t xml:space="preserve">MERCEARIA PORTELA</t>
  </si>
  <si>
    <t xml:space="preserve">JOSE ESPERIDIAO ALHO ASHID</t>
  </si>
  <si>
    <t xml:space="preserve">TERMINAL RODOVIARIO</t>
  </si>
  <si>
    <t xml:space="preserve">MARCUS VINICIUS SILVA FERREIRA</t>
  </si>
  <si>
    <t xml:space="preserve">SIBERLANDIA BAR</t>
  </si>
  <si>
    <t xml:space="preserve">DEIJANIRO NUNES OLIVEIRA</t>
  </si>
  <si>
    <t xml:space="preserve">LANCH.CACHORRAO</t>
  </si>
  <si>
    <t xml:space="preserve">LANCHONETE PANTANEIRA</t>
  </si>
  <si>
    <t xml:space="preserve">LANCH PANTANEIRO</t>
  </si>
  <si>
    <t xml:space="preserve">SEBASTIAO MIOLA DIAS</t>
  </si>
  <si>
    <t xml:space="preserve">BAR DO TIAO</t>
  </si>
  <si>
    <t xml:space="preserve">MARCOS SILVA</t>
  </si>
  <si>
    <t xml:space="preserve">SUPER CENTRAL II</t>
  </si>
  <si>
    <t xml:space="preserve">VITOR FELIX ROJAS</t>
  </si>
  <si>
    <t xml:space="preserve">SM SAO GERALDO</t>
  </si>
  <si>
    <t xml:space="preserve">VENANCIO MAIA DE CAMPOS</t>
  </si>
  <si>
    <t xml:space="preserve">PADARIA ESPANHOLA</t>
  </si>
  <si>
    <t xml:space="preserve">ODIR DORNELES MEDINA</t>
  </si>
  <si>
    <t xml:space="preserve">MERC. NS APARECIDA</t>
  </si>
  <si>
    <t xml:space="preserve">ANANIAS RAMAO DOS SANTOS</t>
  </si>
  <si>
    <t xml:space="preserve">FRUTARIA ANANIAS</t>
  </si>
  <si>
    <t xml:space="preserve">VALDENIR GOMES COELHO</t>
  </si>
  <si>
    <t xml:space="preserve">MERCEARIA COELHO</t>
  </si>
  <si>
    <t xml:space="preserve">ANTONIO RUBENS DE SOUZA</t>
  </si>
  <si>
    <t xml:space="preserve">BAR E MERCEARIA SANTO ANTONIO</t>
  </si>
  <si>
    <t xml:space="preserve">ECLAIR OLIVEIRA DO OURO</t>
  </si>
  <si>
    <t xml:space="preserve">CONV SALVADOR</t>
  </si>
  <si>
    <t xml:space="preserve">EDSON SIQUEIRA</t>
  </si>
  <si>
    <t xml:space="preserve">MERCADO DOURADO</t>
  </si>
  <si>
    <t xml:space="preserve">WALDEMAT ORTEGA FREITAS</t>
  </si>
  <si>
    <t xml:space="preserve">MERCEARIA BRONEL</t>
  </si>
  <si>
    <t xml:space="preserve">HERMES NATAL BENOTTI</t>
  </si>
  <si>
    <t xml:space="preserve">CONV BENOTTI</t>
  </si>
  <si>
    <t xml:space="preserve">VALDECI ABREU DE FRANCA</t>
  </si>
  <si>
    <t xml:space="preserve">CIRILO DA SILVA RAMALHO</t>
  </si>
  <si>
    <t xml:space="preserve">BAR DO CIRILO</t>
  </si>
  <si>
    <t xml:space="preserve">MARLY INES VIANA SANTOS</t>
  </si>
  <si>
    <t xml:space="preserve">CANT DA UNIDERP</t>
  </si>
  <si>
    <t xml:space="preserve">MARIA NEIDE NOGUEIRA</t>
  </si>
  <si>
    <t xml:space="preserve">BERNADINO ALVES NOGUEIRA</t>
  </si>
  <si>
    <t xml:space="preserve">CASA DE SUCO PINGUIM</t>
  </si>
  <si>
    <t xml:space="preserve">YOSHIO MINOHALA KATO</t>
  </si>
  <si>
    <t xml:space="preserve">ADEGA CONVENIENCIAS</t>
  </si>
  <si>
    <t xml:space="preserve">IRACI ALMEIDA DE SOUZA</t>
  </si>
  <si>
    <t xml:space="preserve">MERC CENTRO OESTE</t>
  </si>
  <si>
    <t xml:space="preserve">CARLOS TADEU LEANDRO DE MATOS</t>
  </si>
  <si>
    <t xml:space="preserve">COMITIVA QUEBRA TORTO</t>
  </si>
  <si>
    <t xml:space="preserve">ESPEDITO PEREIRA NUNES</t>
  </si>
  <si>
    <t xml:space="preserve">MERCEARIA NUNES</t>
  </si>
  <si>
    <t xml:space="preserve">MARLI SILVEIRO</t>
  </si>
  <si>
    <t xml:space="preserve">BAR DA MARLI</t>
  </si>
  <si>
    <t xml:space="preserve">JUAREZ DA SILVA SANTOS</t>
  </si>
  <si>
    <t xml:space="preserve">SACOLAO TUTI FRUTI</t>
  </si>
  <si>
    <t xml:space="preserve">NEUSA ACHAR RANIERE</t>
  </si>
  <si>
    <t xml:space="preserve">PANIFICADORA PAO NOBRE</t>
  </si>
  <si>
    <t xml:space="preserve">MANOEL GONCALVES PEREIRA</t>
  </si>
  <si>
    <t xml:space="preserve">PANIF NASCENTE DO SOL</t>
  </si>
  <si>
    <t xml:space="preserve">EZIO FERREIRA SANDIM</t>
  </si>
  <si>
    <t xml:space="preserve">MERCADO SANDIM</t>
  </si>
  <si>
    <t xml:space="preserve">VILMA CARDOSO DA SILVA</t>
  </si>
  <si>
    <t xml:space="preserve">ISRAEL RASTELLI</t>
  </si>
  <si>
    <t xml:space="preserve">RASTELLI</t>
  </si>
  <si>
    <t xml:space="preserve">VALMIR FALEIROS</t>
  </si>
  <si>
    <t xml:space="preserve">CONV AERO RANCHO</t>
  </si>
  <si>
    <t xml:space="preserve">OSCAR MARQUES SARMENTO</t>
  </si>
  <si>
    <t xml:space="preserve">SUPERMERCADO EMANUEL</t>
  </si>
  <si>
    <t xml:space="preserve">NICEIA APARECIDA LOPES FALEIROS</t>
  </si>
  <si>
    <t xml:space="preserve">AUTO POSTO BANDEIRANTES</t>
  </si>
  <si>
    <t xml:space="preserve">NEUZA VALEIJO</t>
  </si>
  <si>
    <t xml:space="preserve">NOSSA SENHORA APARECIDA</t>
  </si>
  <si>
    <t xml:space="preserve">HELENA RIBEIRO SOARES DA SILVA</t>
  </si>
  <si>
    <t xml:space="preserve">MERCEARIA NSRA APARECIDA</t>
  </si>
  <si>
    <t xml:space="preserve">MARIA PASTORA RIBEIRO</t>
  </si>
  <si>
    <t xml:space="preserve">RICARDO PINHONELI</t>
  </si>
  <si>
    <t xml:space="preserve">SUP ELDORADO</t>
  </si>
  <si>
    <t xml:space="preserve">MARCIA MARIA FERREIRA LIMA</t>
  </si>
  <si>
    <t xml:space="preserve">SAMUEL SILVERIO BARBOSA</t>
  </si>
  <si>
    <t xml:space="preserve">REST KI-SABOR</t>
  </si>
  <si>
    <t xml:space="preserve">LUIZ VIEIRA DE ALBURQUEQUE</t>
  </si>
  <si>
    <t xml:space="preserve">SACOLAO ARAUJO</t>
  </si>
  <si>
    <t xml:space="preserve">SILOE ROBERTO DE AMORIM</t>
  </si>
  <si>
    <t xml:space="preserve">BAR DA LAGOA</t>
  </si>
  <si>
    <t xml:space="preserve">TEREZINHA MARIA DA SILVA</t>
  </si>
  <si>
    <t xml:space="preserve">MERCADINHO S S</t>
  </si>
  <si>
    <t xml:space="preserve">RUBENS ALVES</t>
  </si>
  <si>
    <t xml:space="preserve">MERCADO E ACOUGUE MANA</t>
  </si>
  <si>
    <t xml:space="preserve">CARLOS CAMPOS</t>
  </si>
  <si>
    <t xml:space="preserve">ACOUGUE E CONV CAMPOS</t>
  </si>
  <si>
    <t xml:space="preserve">MARIA DE LURDES MATTOS</t>
  </si>
  <si>
    <t xml:space="preserve">MINI MERCADO SOUZA</t>
  </si>
  <si>
    <t xml:space="preserve">MAURO ALVES DE SA</t>
  </si>
  <si>
    <t xml:space="preserve">BAR E MERCEARIA DO SOSSEGO</t>
  </si>
  <si>
    <t xml:space="preserve">CICERO TENORIO CAVALCANTE</t>
  </si>
  <si>
    <t xml:space="preserve">JOSE ROMERO DE SOUZA</t>
  </si>
  <si>
    <t xml:space="preserve">MARTA CASTILHO RODRIGUES</t>
  </si>
  <si>
    <t xml:space="preserve">ANTONIO EDUARDO P ASENSIO</t>
  </si>
  <si>
    <t xml:space="preserve">PARQUE ITALIA</t>
  </si>
  <si>
    <t xml:space="preserve">IRES HOUNSTEIN</t>
  </si>
  <si>
    <t xml:space="preserve">JOAO BATISTA DEVETAK</t>
  </si>
  <si>
    <t xml:space="preserve">MERCEARIA JOTA</t>
  </si>
  <si>
    <t xml:space="preserve">KATIA UZUN DE OLIVEIRA</t>
  </si>
  <si>
    <t xml:space="preserve">MERCEARIA ATHENAS</t>
  </si>
  <si>
    <t xml:space="preserve">LAZARO SALVIANO DE AQUINO</t>
  </si>
  <si>
    <t xml:space="preserve">MERCEARIA DO LAZINHO</t>
  </si>
  <si>
    <t xml:space="preserve">LAERCIO DA SILVA LEME</t>
  </si>
  <si>
    <t xml:space="preserve">ZECAS BAR</t>
  </si>
  <si>
    <t xml:space="preserve">JOSE TOMAZ REZENDE</t>
  </si>
  <si>
    <t xml:space="preserve">SM REZENDE</t>
  </si>
  <si>
    <t xml:space="preserve">JANE MARIA VIRTTE</t>
  </si>
  <si>
    <t xml:space="preserve">CANTINA ANDORINHA</t>
  </si>
  <si>
    <t xml:space="preserve">ADELAR FRANCISCO DOS SANTOS</t>
  </si>
  <si>
    <t xml:space="preserve">RESTAURANTE SAO GABRIEL</t>
  </si>
  <si>
    <t xml:space="preserve">SALVADORA MARIA GOMES</t>
  </si>
  <si>
    <t xml:space="preserve">JOAQUIM DA SILVA REIS</t>
  </si>
  <si>
    <t xml:space="preserve">DOGUINHO LANCHES</t>
  </si>
  <si>
    <t xml:space="preserve">ROSA GIOEDANO</t>
  </si>
  <si>
    <t xml:space="preserve">VILMAR ANTONIO GONCALVES SILVEIRO</t>
  </si>
  <si>
    <t xml:space="preserve">GENIVAL SEVERINO DA SILVA</t>
  </si>
  <si>
    <t xml:space="preserve">MERCADO G</t>
  </si>
  <si>
    <t xml:space="preserve">NILCINA LOPES</t>
  </si>
  <si>
    <t xml:space="preserve">SORVERTERIA MONTE SENAI</t>
  </si>
  <si>
    <t xml:space="preserve">MOACIR JOSE DE ARAUJO</t>
  </si>
  <si>
    <t xml:space="preserve">FANCISCO FERREIRA DE AGUIAR</t>
  </si>
  <si>
    <t xml:space="preserve">MERCEARIA AGUIAR</t>
  </si>
  <si>
    <t xml:space="preserve">JOSE FRANCISCO DA SILVA FILHO</t>
  </si>
  <si>
    <t xml:space="preserve">BAR J F</t>
  </si>
  <si>
    <t xml:space="preserve">FRANCISCO GONCALVES DOS SANTOS</t>
  </si>
  <si>
    <t xml:space="preserve">DOCE ALINE</t>
  </si>
  <si>
    <t xml:space="preserve">ORMEZINDO FERNANDES HOLGADO</t>
  </si>
  <si>
    <t xml:space="preserve">MERCADO E ACOUGUE ARIANE</t>
  </si>
  <si>
    <t xml:space="preserve">ADAO CANDIDO DOS REIS</t>
  </si>
  <si>
    <t xml:space="preserve">PANIF PETER PAO</t>
  </si>
  <si>
    <t xml:space="preserve">MIGUEL ARCANJO CASARIM</t>
  </si>
  <si>
    <t xml:space="preserve">CANTINA DA IMACULADA</t>
  </si>
  <si>
    <t xml:space="preserve">DEJANIR MADRONA PACHECO</t>
  </si>
  <si>
    <t xml:space="preserve">MERCEARIA PACHECO</t>
  </si>
  <si>
    <t xml:space="preserve">ANTONIO LISBOA</t>
  </si>
  <si>
    <t xml:space="preserve">PIZZARIA DELLACASA</t>
  </si>
  <si>
    <t xml:space="preserve">APARECIDO DE SOUZA LEITE</t>
  </si>
  <si>
    <t xml:space="preserve">MERCADINHO PEDRA BONITA</t>
  </si>
  <si>
    <t xml:space="preserve">JOSE CICERO DA SILVA</t>
  </si>
  <si>
    <t xml:space="preserve">MERCADO ANUNCIADA</t>
  </si>
  <si>
    <t xml:space="preserve">JOSE DEOCLECIO DOS SANTOS FILHO</t>
  </si>
  <si>
    <t xml:space="preserve">PASTELARIA EBENEZER</t>
  </si>
  <si>
    <t xml:space="preserve">JOAO JOSE FERREIRA</t>
  </si>
  <si>
    <t xml:space="preserve">MERCADO DA ECONOMIA</t>
  </si>
  <si>
    <t xml:space="preserve">IZAIAS PEREIRA SOBRINHO</t>
  </si>
  <si>
    <t xml:space="preserve">MERCEARIA PARQUE DOS COQUEIROS</t>
  </si>
  <si>
    <t xml:space="preserve">CARLOS MIGUEL DE CARVALHO MATOS</t>
  </si>
  <si>
    <t xml:space="preserve">MERCEARIA ASSIS BRASIL</t>
  </si>
  <si>
    <t xml:space="preserve">VALDIRENE BARBOSA DE SANTANA</t>
  </si>
  <si>
    <t xml:space="preserve">SANTANA CONVENIENCIA</t>
  </si>
  <si>
    <t xml:space="preserve">PANIFICADORA E CONF GUAICURUS LTDA - ME </t>
  </si>
  <si>
    <t xml:space="preserve">PANIFICADORA GUAICURUS</t>
  </si>
  <si>
    <t xml:space="preserve">LUIZ ROSELI PEREIRA RODRIGUES</t>
  </si>
  <si>
    <t xml:space="preserve">MINE MERCADO HEXA</t>
  </si>
  <si>
    <t xml:space="preserve">JOSE CAETANO</t>
  </si>
  <si>
    <t xml:space="preserve">LIGIA ENGEL BERG DE SOUZA</t>
  </si>
  <si>
    <t xml:space="preserve">LIGIA GINASTIC CENTER</t>
  </si>
  <si>
    <t xml:space="preserve">NELSON JOSE DE MOURA</t>
  </si>
  <si>
    <t xml:space="preserve">VERA LUCIA PEREIRA CALDAS</t>
  </si>
  <si>
    <t xml:space="preserve">ROMILDO CONSOLINI</t>
  </si>
  <si>
    <t xml:space="preserve">MERCADO ORIENTE</t>
  </si>
  <si>
    <t xml:space="preserve">OSMAR VICTORIANO</t>
  </si>
  <si>
    <t xml:space="preserve">MERCADO ATLANTICO</t>
  </si>
  <si>
    <t xml:space="preserve">JURACI PEDROSA DA SILVA</t>
  </si>
  <si>
    <t xml:space="preserve">MERCEARIA COM PRECO</t>
  </si>
  <si>
    <t xml:space="preserve">AURORA MARQUES ALVARENGA</t>
  </si>
  <si>
    <t xml:space="preserve">PADARIA DOCE SONHO</t>
  </si>
  <si>
    <t xml:space="preserve">MARIA MAGARIDA DO NASCIMENTO</t>
  </si>
  <si>
    <t xml:space="preserve">BAR 199</t>
  </si>
  <si>
    <t xml:space="preserve">APARECIDA DOS SANTOS</t>
  </si>
  <si>
    <t xml:space="preserve">ADEJAMAR PEREIRA DE MAGALHAES</t>
  </si>
  <si>
    <t xml:space="preserve">MERCEARIA MAGALHAES</t>
  </si>
  <si>
    <t xml:space="preserve">RAMAO CANTERO</t>
  </si>
  <si>
    <t xml:space="preserve">MERCADO PARAGUAIA</t>
  </si>
  <si>
    <t xml:space="preserve">JOEL L NASCIMENTO</t>
  </si>
  <si>
    <t xml:space="preserve">MAURICIO TRINDADE DE BARROS</t>
  </si>
  <si>
    <t xml:space="preserve">CANTINA CULTURA INGLESA</t>
  </si>
  <si>
    <t xml:space="preserve">JOSE JAIME PEREIRA</t>
  </si>
  <si>
    <t xml:space="preserve">BAR PEREIRA</t>
  </si>
  <si>
    <t xml:space="preserve">SANDRA MARIA DOS SANTOS</t>
  </si>
  <si>
    <t xml:space="preserve">ALGEMIRO PORFILHO LEANEZ</t>
  </si>
  <si>
    <t xml:space="preserve">LANCH PANTANAL</t>
  </si>
  <si>
    <t xml:space="preserve">IDAIR LIMA GOMES</t>
  </si>
  <si>
    <t xml:space="preserve">SM ECONOMIA</t>
  </si>
  <si>
    <t xml:space="preserve">ALMERINDO BATISTA ALMEIDA</t>
  </si>
  <si>
    <t xml:space="preserve">ALCINDO LARA PICADA</t>
  </si>
  <si>
    <t xml:space="preserve">LUIZA JOSE BATISTA</t>
  </si>
  <si>
    <t xml:space="preserve">MERCADO POR DO SOL</t>
  </si>
  <si>
    <t xml:space="preserve">JOSE CATARINO BISPO</t>
  </si>
  <si>
    <t xml:space="preserve">LANCH DA P M</t>
  </si>
  <si>
    <t xml:space="preserve">PEDRO DE PIERRE NETO</t>
  </si>
  <si>
    <t xml:space="preserve">MERCADO POTENCIA</t>
  </si>
  <si>
    <t xml:space="preserve">SLEIMAN KHALIL SALAME</t>
  </si>
  <si>
    <t xml:space="preserve">JOAO CARLOS EUZEBIO DE SOUZA</t>
  </si>
  <si>
    <t xml:space="preserve">PAD SISTEMA</t>
  </si>
  <si>
    <t xml:space="preserve">LUIZ CARLOS GOES DE FREITAS</t>
  </si>
  <si>
    <t xml:space="preserve">JUNIOR CONVENIENCIA</t>
  </si>
  <si>
    <t xml:space="preserve">BAR DO BENEDITO</t>
  </si>
  <si>
    <t xml:space="preserve">ELIZEU KAZUKO GRAUTH</t>
  </si>
  <si>
    <t xml:space="preserve">MARCEARIA KAZUKO</t>
  </si>
  <si>
    <t xml:space="preserve">FELIX FERNANDO BRITES</t>
  </si>
  <si>
    <t xml:space="preserve">MINI MERCADO BRITES</t>
  </si>
  <si>
    <t xml:space="preserve">JORGE GALEANO ADORNO</t>
  </si>
  <si>
    <t xml:space="preserve">ACUCAR MASCAVO</t>
  </si>
  <si>
    <t xml:space="preserve">PEDRO DIAS DE OLIVEIRA</t>
  </si>
  <si>
    <t xml:space="preserve">JOSE YOKU FUKAGAWA</t>
  </si>
  <si>
    <t xml:space="preserve">CONV MAYUMI</t>
  </si>
  <si>
    <t xml:space="preserve">LIDIO PIMENTA OZORIO</t>
  </si>
  <si>
    <t xml:space="preserve">MERCEARIA STA MONICA</t>
  </si>
  <si>
    <t xml:space="preserve">ABILIO COELHO ARISTEMUNHO</t>
  </si>
  <si>
    <t xml:space="preserve">PAO CASEIRO NATURAL</t>
  </si>
  <si>
    <t xml:space="preserve">SILVIO OLAZAR REGES</t>
  </si>
  <si>
    <t xml:space="preserve">MERCADO BEM BOM</t>
  </si>
  <si>
    <t xml:space="preserve">ERNANI LOURENCO DA CONCEICAO</t>
  </si>
  <si>
    <t xml:space="preserve">JOSE SOARES DA SILVA</t>
  </si>
  <si>
    <t xml:space="preserve">MARILENE KERBER LOCATELLI</t>
  </si>
  <si>
    <t xml:space="preserve">CONV LOCATELLI</t>
  </si>
  <si>
    <t xml:space="preserve">MARIA AP. SANTAROSA DA SILVA</t>
  </si>
  <si>
    <t xml:space="preserve">MERCADO SANTA ROSA</t>
  </si>
  <si>
    <t xml:space="preserve">WANDI DUTRA FLORES</t>
  </si>
  <si>
    <t xml:space="preserve">ZOOM MUSIC HALL DANCETERIA</t>
  </si>
  <si>
    <t xml:space="preserve">JOSE VIANA DE OLIVEIRA</t>
  </si>
  <si>
    <t xml:space="preserve">FRUTARIA VIANA</t>
  </si>
  <si>
    <t xml:space="preserve">VALDOMIRO FERREIRA SOARES</t>
  </si>
  <si>
    <t xml:space="preserve">MERCEARIA FELIPE</t>
  </si>
  <si>
    <t xml:space="preserve">JOSE CAMILO DE OLIVEIRA</t>
  </si>
  <si>
    <t xml:space="preserve">MERCEARIA DO CAMILO</t>
  </si>
  <si>
    <t xml:space="preserve">EPAMINONDAS BARBOSA DE LIMA</t>
  </si>
  <si>
    <t xml:space="preserve">MERCADO NACIONAL</t>
  </si>
  <si>
    <t xml:space="preserve">WILSON EUGENIO DA SILVA</t>
  </si>
  <si>
    <t xml:space="preserve">SORVETERIA TROPICAL</t>
  </si>
  <si>
    <t xml:space="preserve">DEUSDETE COSTA</t>
  </si>
  <si>
    <t xml:space="preserve">PANIF UNIVERSO</t>
  </si>
  <si>
    <t xml:space="preserve">JOSE MARIA DE OLIVEIRA</t>
  </si>
  <si>
    <t xml:space="preserve">ALTAMIR RODRIGUES DA SILVA</t>
  </si>
  <si>
    <t xml:space="preserve">REDE ECONOMICO</t>
  </si>
  <si>
    <t xml:space="preserve">MERCADO SAGARANA</t>
  </si>
  <si>
    <t xml:space="preserve">JOAO PEDRO DE SOUZA</t>
  </si>
  <si>
    <t xml:space="preserve">SORVETERIA CARIRI</t>
  </si>
  <si>
    <t xml:space="preserve">MARBEM DALILA DA COSTA</t>
  </si>
  <si>
    <t xml:space="preserve">PANIFICADORA N¦ SR¦ APARECIDA</t>
  </si>
  <si>
    <t xml:space="preserve">VALDEMAR DA SILVA OLIVEIRA</t>
  </si>
  <si>
    <t xml:space="preserve">PANF OLIVEIRA</t>
  </si>
  <si>
    <t xml:space="preserve">ANTONIO FERREIRA DANTAS FILHO</t>
  </si>
  <si>
    <t xml:space="preserve">MERCADO SORRISO</t>
  </si>
  <si>
    <t xml:space="preserve">ANDREA MOREIRA MENDES</t>
  </si>
  <si>
    <t xml:space="preserve">MERCADO LIDER</t>
  </si>
  <si>
    <t xml:space="preserve">JOAO ROSA COSTA</t>
  </si>
  <si>
    <t xml:space="preserve">MERC JN</t>
  </si>
  <si>
    <t xml:space="preserve">GLACIA DOS SANTOS</t>
  </si>
  <si>
    <t xml:space="preserve">POSTO SAN MARTINS</t>
  </si>
  <si>
    <t xml:space="preserve">WAGNER LUIZ CANO DA SILVA</t>
  </si>
  <si>
    <t xml:space="preserve">ERCILIO FIGUEIRA DA SILVA</t>
  </si>
  <si>
    <t xml:space="preserve">MERCADO FIGUEIRA</t>
  </si>
  <si>
    <t xml:space="preserve">MARIA HELENA MADRID RODRIGUES</t>
  </si>
  <si>
    <t xml:space="preserve">ANTONIO APARECIDO</t>
  </si>
  <si>
    <t xml:space="preserve">CANTINA DA ROSE</t>
  </si>
  <si>
    <t xml:space="preserve">PAULO FERNANDO GOES DE FREITAS</t>
  </si>
  <si>
    <t xml:space="preserve">CONVENIENCIA GP</t>
  </si>
  <si>
    <t xml:space="preserve">EDNA APARECIDA FENANDES</t>
  </si>
  <si>
    <t xml:space="preserve">MERCEARIA LETICIA</t>
  </si>
  <si>
    <t xml:space="preserve">ELIO FERREIRA DA SILVEIRA</t>
  </si>
  <si>
    <t xml:space="preserve">REST TROPICAL</t>
  </si>
  <si>
    <t xml:space="preserve">LEOCIR AUGUSTO BORTOLI</t>
  </si>
  <si>
    <t xml:space="preserve">BAR E MERCEARIA SAO LOURENCO</t>
  </si>
  <si>
    <t xml:space="preserve">ALBERONI VASCONCELOS SILVA</t>
  </si>
  <si>
    <t xml:space="preserve">DEVAIR PEDRO POZZOBOM</t>
  </si>
  <si>
    <t xml:space="preserve">PADARIA PAO BOM</t>
  </si>
  <si>
    <t xml:space="preserve">ERNESTO GARCONE</t>
  </si>
  <si>
    <t xml:space="preserve">ANTONIO NUNES MARQUES</t>
  </si>
  <si>
    <t xml:space="preserve">MERCADO WALUMAR</t>
  </si>
  <si>
    <t xml:space="preserve">JOSE FRAZAO DE ARAUJO</t>
  </si>
  <si>
    <t xml:space="preserve">JOAO BATISTA ALVES DA SILVA</t>
  </si>
  <si>
    <t xml:space="preserve">ABS MERCADINHO</t>
  </si>
  <si>
    <t xml:space="preserve">JOSEFA MARIA MARTINS</t>
  </si>
  <si>
    <t xml:space="preserve">MARLY DEPILACAO</t>
  </si>
  <si>
    <t xml:space="preserve">LAURISMAR DO SANTOS</t>
  </si>
  <si>
    <t xml:space="preserve">REST CHUR GAUCHA</t>
  </si>
  <si>
    <t xml:space="preserve">MARIA DO CARMO DANTAS</t>
  </si>
  <si>
    <t xml:space="preserve">MINI MERCADO MACHADO</t>
  </si>
  <si>
    <t xml:space="preserve">JOSE TORQUATO NETO</t>
  </si>
  <si>
    <t xml:space="preserve">MERCEARIA COMPRE MAIS</t>
  </si>
  <si>
    <t xml:space="preserve">OSCAR PEIXOTO DE MIRANDA</t>
  </si>
  <si>
    <t xml:space="preserve">BAR E MERC ESKINAS</t>
  </si>
  <si>
    <t xml:space="preserve">OTACILIO GOMES</t>
  </si>
  <si>
    <t xml:space="preserve">RESTAURANTE CONGONHA</t>
  </si>
  <si>
    <t xml:space="preserve">JOAO DAL ACQUA</t>
  </si>
  <si>
    <t xml:space="preserve">AGENOR PEREIRA DA SILVA</t>
  </si>
  <si>
    <t xml:space="preserve">ISANTINO MOREIRA DA ROCHA</t>
  </si>
  <si>
    <t xml:space="preserve">LANCHONETE CANAA</t>
  </si>
  <si>
    <t xml:space="preserve">ELEOMAR QUEIROZ DE JESUS ME</t>
  </si>
  <si>
    <t xml:space="preserve">PANIFICADORA PURA GULA</t>
  </si>
  <si>
    <t xml:space="preserve">ENIO BITTENCOURT FILHO</t>
  </si>
  <si>
    <t xml:space="preserve">PANF DOM VELOSO II</t>
  </si>
  <si>
    <t xml:space="preserve">DALIUM ANTONIO DUARTE CABREIRA</t>
  </si>
  <si>
    <t xml:space="preserve">CONV CANSAGALO</t>
  </si>
  <si>
    <t xml:space="preserve">RUBENS GABRIEL FERES GOMES</t>
  </si>
  <si>
    <t xml:space="preserve">CONV GIGA BYTE</t>
  </si>
  <si>
    <t xml:space="preserve">LUIZ AUGUSTO DE MORAES</t>
  </si>
  <si>
    <t xml:space="preserve">QUADRA ESP SAUNA FLORESTA</t>
  </si>
  <si>
    <t xml:space="preserve">ANTONIO AMANCIO DA SILVA</t>
  </si>
  <si>
    <t xml:space="preserve">SACOLAO SANTO ANTONIO</t>
  </si>
  <si>
    <t xml:space="preserve">LUIS CARLOS MARTINS</t>
  </si>
  <si>
    <t xml:space="preserve">BAR MERC ESPORTE</t>
  </si>
  <si>
    <t xml:space="preserve">RUBENS DE OLIVEIRA</t>
  </si>
  <si>
    <t xml:space="preserve">MERCADINHO DO RUBINHO</t>
  </si>
  <si>
    <t xml:space="preserve">UZIAS PEREIRA PAES</t>
  </si>
  <si>
    <t xml:space="preserve">CONVENIENCIA J.B.</t>
  </si>
  <si>
    <t xml:space="preserve">MANOEL RODRIGUES FILHO</t>
  </si>
  <si>
    <t xml:space="preserve">RODRIGUES MAT P/CONSTRUCAO</t>
  </si>
  <si>
    <t xml:space="preserve">PAULO CESAR PEREIRA</t>
  </si>
  <si>
    <t xml:space="preserve">OZAIAS BEZERRA DE FREITAS</t>
  </si>
  <si>
    <t xml:space="preserve">ANDERSON VILALBA MARQUES</t>
  </si>
  <si>
    <t xml:space="preserve">MOVIMENTO CONVENIENCIA</t>
  </si>
  <si>
    <t xml:space="preserve">MARILISE BARBOSA MELLO DO AMARAL</t>
  </si>
  <si>
    <t xml:space="preserve">MERCADO AMARAL</t>
  </si>
  <si>
    <t xml:space="preserve">DORALICE SOARES DA ROCHA</t>
  </si>
  <si>
    <t xml:space="preserve">CLEUZA SALVA MOSCA</t>
  </si>
  <si>
    <t xml:space="preserve">PIRATAS LANCHES</t>
  </si>
  <si>
    <t xml:space="preserve">PAULO PEREIRA DOS SANTOS</t>
  </si>
  <si>
    <t xml:space="preserve">MERCEARIA GLORIA</t>
  </si>
  <si>
    <t xml:space="preserve">HELIO LUIZ PEREIRA</t>
  </si>
  <si>
    <t xml:space="preserve">MERCEARIA 3 ESTRELAS</t>
  </si>
  <si>
    <t xml:space="preserve">NILCEA CLARA QUEIROZ SARAVY</t>
  </si>
  <si>
    <t xml:space="preserve">NILCEA</t>
  </si>
  <si>
    <t xml:space="preserve">LUIZ CARLOS GARCIA G FONTOURA</t>
  </si>
  <si>
    <t xml:space="preserve">LUIZ CARLOS</t>
  </si>
  <si>
    <t xml:space="preserve">JOAQUIM TSUNEO AWADI</t>
  </si>
  <si>
    <t xml:space="preserve">ANTONIO MELCHIOR DE SOUZA</t>
  </si>
  <si>
    <t xml:space="preserve">MERCEARIA E A€OUGUE BARATAO</t>
  </si>
  <si>
    <t xml:space="preserve">SEBASTIAO P DE LIMA</t>
  </si>
  <si>
    <t xml:space="preserve">JAIRO RIBEIRO</t>
  </si>
  <si>
    <t xml:space="preserve">VEM QUE TEM SUPERMERCADO</t>
  </si>
  <si>
    <t xml:space="preserve">SILVIO EDSON TUTYA</t>
  </si>
  <si>
    <t xml:space="preserve">PANIFICADORA IGUACU</t>
  </si>
  <si>
    <t xml:space="preserve">ADEVAL NERES COSTA</t>
  </si>
  <si>
    <t xml:space="preserve">MERCEARIA NERES</t>
  </si>
  <si>
    <t xml:space="preserve">RAMAO OLMEDO BARRIOS</t>
  </si>
  <si>
    <t xml:space="preserve">MERCEARIA DO ANA MARIA DO COUTO</t>
  </si>
  <si>
    <t xml:space="preserve">EDSON ALVES BITTENCOURT</t>
  </si>
  <si>
    <t xml:space="preserve">MERCEARIA DO EDINHO</t>
  </si>
  <si>
    <t xml:space="preserve">CARLOS ERNESTO MULLER</t>
  </si>
  <si>
    <t xml:space="preserve">PONTO DA CARNE</t>
  </si>
  <si>
    <t xml:space="preserve">ILDA DIZA DE CASTRO</t>
  </si>
  <si>
    <t xml:space="preserve">MERCEARIA N Sra APARECIDA</t>
  </si>
  <si>
    <t xml:space="preserve">JACIRA BISPO DA CRUZ DOS SANTOS</t>
  </si>
  <si>
    <t xml:space="preserve">PANIF BISPO</t>
  </si>
  <si>
    <t xml:space="preserve">MARIA CLEUZA GIL CAMPOS</t>
  </si>
  <si>
    <t xml:space="preserve">MERCEARIA PROGRESSO</t>
  </si>
  <si>
    <t xml:space="preserve">ALCINDO GARCIA</t>
  </si>
  <si>
    <t xml:space="preserve">CONV SAO BENTO</t>
  </si>
  <si>
    <t xml:space="preserve">ELIZEU DOS SANTOS DE SOUZA</t>
  </si>
  <si>
    <t xml:space="preserve">GENARO COEVAS</t>
  </si>
  <si>
    <t xml:space="preserve">OLVIDES GABATTI</t>
  </si>
  <si>
    <t xml:space="preserve">POSTO GAUCHO 4</t>
  </si>
  <si>
    <t xml:space="preserve">NEIDE MONTEIRO ARRUDA</t>
  </si>
  <si>
    <t xml:space="preserve">PADARIA NOVA ESPERAN‡A</t>
  </si>
  <si>
    <t xml:space="preserve">ANA DE JESUS SALINAS DA SILVA</t>
  </si>
  <si>
    <t xml:space="preserve">MERCADO SILVA</t>
  </si>
  <si>
    <t xml:space="preserve">DOMINGO SAVIO PEREIRA LEITE</t>
  </si>
  <si>
    <t xml:space="preserve">ESCOLA MARCELAO (PADRE NUNES)</t>
  </si>
  <si>
    <t xml:space="preserve">AMELIA ARANDA C. DA SILVA</t>
  </si>
  <si>
    <t xml:space="preserve">IZAQUIAS GOMES DE FREITAS</t>
  </si>
  <si>
    <t xml:space="preserve">CARLOS ANTONIO CACERES FERREIRA</t>
  </si>
  <si>
    <t xml:space="preserve">ITAIPU MERCEARIA</t>
  </si>
  <si>
    <t xml:space="preserve">JULIO CRIZOSTOMO DE SOUZA</t>
  </si>
  <si>
    <t xml:space="preserve">MERCEARIA MIMEIRA</t>
  </si>
  <si>
    <t xml:space="preserve">AIRTON CARVALHO</t>
  </si>
  <si>
    <t xml:space="preserve">MERCEARIA STO ANTONIO</t>
  </si>
  <si>
    <t xml:space="preserve">DORVALINA MARTINEZ</t>
  </si>
  <si>
    <t xml:space="preserve">MERCEARIA DO PONTILHAO</t>
  </si>
  <si>
    <t xml:space="preserve">MARILDA AP FARIAS MATOS</t>
  </si>
  <si>
    <t xml:space="preserve">JOAO HONORIO FILHO</t>
  </si>
  <si>
    <t xml:space="preserve">SM AGUA VIVA</t>
  </si>
  <si>
    <t xml:space="preserve">MANOEL DE QUEIROZ SALLES</t>
  </si>
  <si>
    <t xml:space="preserve">ESTRELA MERCEARIA</t>
  </si>
  <si>
    <t xml:space="preserve">LUIZ CARLOS PAVANELLI</t>
  </si>
  <si>
    <t xml:space="preserve">PANF SAO LUIZ</t>
  </si>
  <si>
    <t xml:space="preserve">MARIA JOANA AMORIM</t>
  </si>
  <si>
    <t xml:space="preserve">LANCHONETE JH</t>
  </si>
  <si>
    <t xml:space="preserve">OLIVIO BUENO DE SOUZA</t>
  </si>
  <si>
    <t xml:space="preserve">MERCADO DO BAIXINHO</t>
  </si>
  <si>
    <t xml:space="preserve">JOSE PEREIRA MARTINS</t>
  </si>
  <si>
    <t xml:space="preserve">MERCADO CENTRAL</t>
  </si>
  <si>
    <t xml:space="preserve">ANTONIO ZARAT</t>
  </si>
  <si>
    <t xml:space="preserve">TOQUINHOS BAT</t>
  </si>
  <si>
    <t xml:space="preserve">SALATIEL LOPES FREITAS</t>
  </si>
  <si>
    <t xml:space="preserve">JOSE FRANCELIN DA SILVA</t>
  </si>
  <si>
    <t xml:space="preserve">MERCEARIA DO FEDEGOSO</t>
  </si>
  <si>
    <t xml:space="preserve">EUCLEIO DAVI RIBAS LOPES</t>
  </si>
  <si>
    <t xml:space="preserve">CHAVEIRO 13 DE MAIO</t>
  </si>
  <si>
    <t xml:space="preserve">AUGUSTINHA EULINA LUCINDO</t>
  </si>
  <si>
    <t xml:space="preserve">MERCEARIA E LANCH PACIFIQUE</t>
  </si>
  <si>
    <t xml:space="preserve">SONIA MARIA ESTEVAM FAUSTINO</t>
  </si>
  <si>
    <t xml:space="preserve">MERCADO CAMPO SUL</t>
  </si>
  <si>
    <t xml:space="preserve">MARIA CANDIDA DOS SANTOS</t>
  </si>
  <si>
    <t xml:space="preserve">VALDO DE BRITO FERREIRA SAMPAIO</t>
  </si>
  <si>
    <t xml:space="preserve">PADARIA MERC PAO DA VIDA</t>
  </si>
  <si>
    <t xml:space="preserve">JOSE CHAVES MARQUES</t>
  </si>
  <si>
    <t xml:space="preserve">CONVENIENCIA SOL</t>
  </si>
  <si>
    <t xml:space="preserve">IVO SANCHES</t>
  </si>
  <si>
    <t xml:space="preserve">SERV FESTAS CONVENIENCIAS</t>
  </si>
  <si>
    <t xml:space="preserve">MARIA SEBASTIANA MORAES SHULTZ</t>
  </si>
  <si>
    <t xml:space="preserve">ARINO RODRIGUES</t>
  </si>
  <si>
    <t xml:space="preserve">SUPER UNIAO</t>
  </si>
  <si>
    <t xml:space="preserve">MARIA DAS GRACAS DA SILVA</t>
  </si>
  <si>
    <t xml:space="preserve">ALECIR MOREIRA DE ANDRADE</t>
  </si>
  <si>
    <t xml:space="preserve">FARMACIA SABIN</t>
  </si>
  <si>
    <t xml:space="preserve">JODACI DA SILVA SANTOS</t>
  </si>
  <si>
    <t xml:space="preserve">CASA DE SUCOS</t>
  </si>
  <si>
    <t xml:space="preserve">ANTONIO SOUZA DE OLIVEIRA</t>
  </si>
  <si>
    <t xml:space="preserve">ARLINDO NUNES DURANES</t>
  </si>
  <si>
    <t xml:space="preserve">BAR E MERCEARIA DURANES</t>
  </si>
  <si>
    <t xml:space="preserve">SALVADOR FREITAS</t>
  </si>
  <si>
    <t xml:space="preserve">MERCEARIA CENTRAL</t>
  </si>
  <si>
    <t xml:space="preserve">NIVALDO GONCALVES DE AGUIAR</t>
  </si>
  <si>
    <t xml:space="preserve">SORVETERIA SKIMELL</t>
  </si>
  <si>
    <t xml:space="preserve">MOACIR RIBEIRO DA SILVA</t>
  </si>
  <si>
    <t xml:space="preserve">AUGUSTO MOSCATELLI</t>
  </si>
  <si>
    <t xml:space="preserve">MERCEARIA MOSCATTI</t>
  </si>
  <si>
    <t xml:space="preserve">ALFREDO MORENO ORTIZ</t>
  </si>
  <si>
    <t xml:space="preserve">CORUJINHA CONVENIENCIAS</t>
  </si>
  <si>
    <t xml:space="preserve">ALFREDO ROCHA TEIXEIRA</t>
  </si>
  <si>
    <t xml:space="preserve">MARIZA QUEIROZ</t>
  </si>
  <si>
    <t xml:space="preserve">GILBERTO EL CARDOSO</t>
  </si>
  <si>
    <t xml:space="preserve">PANIF GARCIA</t>
  </si>
  <si>
    <t xml:space="preserve">IVANILDA MARTINS ADARIO</t>
  </si>
  <si>
    <t xml:space="preserve">CANT DA SEC DA FAZENDA UNIFISC</t>
  </si>
  <si>
    <t xml:space="preserve">EUNICE NUNES FRANCA DE CAMPOS MIRANDA</t>
  </si>
  <si>
    <t xml:space="preserve">BIG PAO E CONVENIENCIA</t>
  </si>
  <si>
    <t xml:space="preserve">WALTER LOUREIRO GRANCE MEI</t>
  </si>
  <si>
    <t xml:space="preserve">MERCEARIA DO WALTER</t>
  </si>
  <si>
    <t xml:space="preserve">ADEMIR JOSE DE OLIVEIRA</t>
  </si>
  <si>
    <t xml:space="preserve">SAMAMBAIA HOTEL</t>
  </si>
  <si>
    <t xml:space="preserve">CARLOS AUGUSTO BORGES</t>
  </si>
  <si>
    <t xml:space="preserve">MERCADO CAMPO VERDE</t>
  </si>
  <si>
    <t xml:space="preserve">PAULO ROGERIO FERNANDES</t>
  </si>
  <si>
    <t xml:space="preserve">SM BRAZAO</t>
  </si>
  <si>
    <t xml:space="preserve">TOMAS DA CUNHA YANEZ</t>
  </si>
  <si>
    <t xml:space="preserve">BRASOES PIZZARIA</t>
  </si>
  <si>
    <t xml:space="preserve">JORGE KAITI NAGATA</t>
  </si>
  <si>
    <t xml:space="preserve">LANCHES RAPIDO</t>
  </si>
  <si>
    <t xml:space="preserve">ROBERTO APARECIDO ALFREDO</t>
  </si>
  <si>
    <t xml:space="preserve">PANIF PILOTO</t>
  </si>
  <si>
    <t xml:space="preserve">SERGIO ANTONIO BARBOSA</t>
  </si>
  <si>
    <t xml:space="preserve">LANCH DO SESI</t>
  </si>
  <si>
    <t xml:space="preserve">NILSON ALVES RODRIGUES</t>
  </si>
  <si>
    <t xml:space="preserve">NELSAO CONVENIENCIA</t>
  </si>
  <si>
    <t xml:space="preserve">JOSE GARCEZ</t>
  </si>
  <si>
    <t xml:space="preserve">JORCES 24HRS</t>
  </si>
  <si>
    <t xml:space="preserve">DIRCE INACIO PEREIRA</t>
  </si>
  <si>
    <t xml:space="preserve">CONVENIENCIA PEREIRA</t>
  </si>
  <si>
    <t xml:space="preserve">VALDECIR APARECIDO DA SILVA</t>
  </si>
  <si>
    <t xml:space="preserve">PATOTA BAR LANCHES</t>
  </si>
  <si>
    <t xml:space="preserve">VALTO BATISTA GODOI</t>
  </si>
  <si>
    <t xml:space="preserve">LANCHONETE SORV PONTO FRIO</t>
  </si>
  <si>
    <t xml:space="preserve">DIVINA FRACIS SANTANA</t>
  </si>
  <si>
    <t xml:space="preserve">OSMAR LACCHI</t>
  </si>
  <si>
    <t xml:space="preserve">COMERCIAL BRISA</t>
  </si>
  <si>
    <t xml:space="preserve">JOAO RIBEIRO DE OLIVEIRA</t>
  </si>
  <si>
    <t xml:space="preserve">ROMILDO PEREIRA DA SILVA</t>
  </si>
  <si>
    <t xml:space="preserve">DP MERCEARIA</t>
  </si>
  <si>
    <t xml:space="preserve">NIZIA GONCALVES NUNES</t>
  </si>
  <si>
    <t xml:space="preserve">MERCEARIA DA DONA DILA</t>
  </si>
  <si>
    <t xml:space="preserve">ARLINDO PAREDES</t>
  </si>
  <si>
    <t xml:space="preserve">CONV E CASA CARNE NELORE</t>
  </si>
  <si>
    <t xml:space="preserve">MARIA LEIR MARINHO</t>
  </si>
  <si>
    <t xml:space="preserve">PANF MEL</t>
  </si>
  <si>
    <t xml:space="preserve">WILSON TADASHI OSHIRO</t>
  </si>
  <si>
    <t xml:space="preserve">LANCHONETE OASIS</t>
  </si>
  <si>
    <t xml:space="preserve">RONAN CABREIRA FLORES</t>
  </si>
  <si>
    <t xml:space="preserve">MAURI LUIZ CERVO</t>
  </si>
  <si>
    <t xml:space="preserve">AMERICO KEICHI NAKAMURA</t>
  </si>
  <si>
    <t xml:space="preserve">PASTELARIA VAI</t>
  </si>
  <si>
    <t xml:space="preserve">APARECIDO JORGE DA SILVA</t>
  </si>
  <si>
    <t xml:space="preserve">MERCADO E ACOUGUE ITAPARICA</t>
  </si>
  <si>
    <t xml:space="preserve">CELITO BERTON</t>
  </si>
  <si>
    <t xml:space="preserve">ACOUGUE RIO GRANDE</t>
  </si>
  <si>
    <t xml:space="preserve">GUILHERME MAIA</t>
  </si>
  <si>
    <t xml:space="preserve">MERCEARIA MAIA</t>
  </si>
  <si>
    <t xml:space="preserve">IVO DEZEMBRO</t>
  </si>
  <si>
    <t xml:space="preserve">LANC CASTILHO</t>
  </si>
  <si>
    <t xml:space="preserve">NIVALDO GOES DE FIGUEIREDO</t>
  </si>
  <si>
    <t xml:space="preserve">SM CARDOSO</t>
  </si>
  <si>
    <t xml:space="preserve">AGOSTINHO DE AGUIAR BORDA</t>
  </si>
  <si>
    <t xml:space="preserve">CONVENIENCIA PARANA</t>
  </si>
  <si>
    <t xml:space="preserve">LOURENCO VILARIM PRESTE</t>
  </si>
  <si>
    <t xml:space="preserve">CONV PIZZARIA ALO CLE</t>
  </si>
  <si>
    <t xml:space="preserve">SANDRA CORDEIRO DO NASCIMENTO</t>
  </si>
  <si>
    <t xml:space="preserve">WISKERIA PANTANAL</t>
  </si>
  <si>
    <t xml:space="preserve">MARIE LOUISE AFIF IBRAHIM</t>
  </si>
  <si>
    <t xml:space="preserve">UALA KIBE RESTAURANTE ARABE</t>
  </si>
  <si>
    <t xml:space="preserve">IVO JAIR RAMON</t>
  </si>
  <si>
    <t xml:space="preserve">CANTINA DON RAMON</t>
  </si>
  <si>
    <t xml:space="preserve">NEUZA DA SILVA</t>
  </si>
  <si>
    <t xml:space="preserve">MERCEARIA SANTA PURA</t>
  </si>
  <si>
    <t xml:space="preserve">MARCELO COBRA GARCIA</t>
  </si>
  <si>
    <t xml:space="preserve">CHURRASCARIA FARROPILHA</t>
  </si>
  <si>
    <t xml:space="preserve">MARCOS ANTONIO NUNES DE ANDRADE REP</t>
  </si>
  <si>
    <t xml:space="preserve">MARINEIDE BRONEL C ZBOROWSKI</t>
  </si>
  <si>
    <t xml:space="preserve">AIDEE RODRIGUES SILVA DIAS</t>
  </si>
  <si>
    <t xml:space="preserve">PANIF AGUA NA BOCA</t>
  </si>
  <si>
    <t xml:space="preserve">ISAIAS RODRIGUES DA SILVA</t>
  </si>
  <si>
    <t xml:space="preserve">SACOLAO E CON VERDURAO</t>
  </si>
  <si>
    <t xml:space="preserve">ROSEMEIRE VENANCIO RODRIGUES</t>
  </si>
  <si>
    <t xml:space="preserve">MERCADO L</t>
  </si>
  <si>
    <t xml:space="preserve">MARCIO JOSE DA SILVA</t>
  </si>
  <si>
    <t xml:space="preserve">MARCO ANTONIO DA SILVEIRA</t>
  </si>
  <si>
    <t xml:space="preserve">MERCEARIA GAUCHO</t>
  </si>
  <si>
    <t xml:space="preserve">ERVINO LADA</t>
  </si>
  <si>
    <t xml:space="preserve">PANIF CONF PAO DOURADO</t>
  </si>
  <si>
    <t xml:space="preserve">ZENILDA MATOS CABRAL</t>
  </si>
  <si>
    <t xml:space="preserve">MERCEARIA BARBONE</t>
  </si>
  <si>
    <t xml:space="preserve">MARCIA REGINA DE MORAES PONTES</t>
  </si>
  <si>
    <t xml:space="preserve">COMERCIAL NANDU</t>
  </si>
  <si>
    <t xml:space="preserve">ELIAS CORREA DA SILVA</t>
  </si>
  <si>
    <t xml:space="preserve">SACOLAO AMAMBAI</t>
  </si>
  <si>
    <t xml:space="preserve">ELSO BARBOSA RODRIGUES</t>
  </si>
  <si>
    <t xml:space="preserve">PANIFICADORA FAVO DE MEL</t>
  </si>
  <si>
    <t xml:space="preserve">JOSE MASSAYOSHI SIYABUCURO</t>
  </si>
  <si>
    <t xml:space="preserve">LANCH TERMINAL</t>
  </si>
  <si>
    <t xml:space="preserve">GILSON BASTOS DOS SANTOS</t>
  </si>
  <si>
    <t xml:space="preserve">JOSE SEBADIM</t>
  </si>
  <si>
    <t xml:space="preserve">MERCADO GAUCHO</t>
  </si>
  <si>
    <t xml:space="preserve">ANDERSON GARCIA CALIXTO</t>
  </si>
  <si>
    <t xml:space="preserve">L G CONV</t>
  </si>
  <si>
    <t xml:space="preserve">IRACI BERNARDES SOUZA</t>
  </si>
  <si>
    <t xml:space="preserve">CANTINA DO CORREDOR CENTRAL 10</t>
  </si>
  <si>
    <t xml:space="preserve">MARCIO ROBERTO GAZOLLA</t>
  </si>
  <si>
    <t xml:space="preserve">MER</t>
  </si>
  <si>
    <t xml:space="preserve">JULIANA RODRIGUES DE SOUZA</t>
  </si>
  <si>
    <t xml:space="preserve">MERCEARIA BOM PRECOS</t>
  </si>
  <si>
    <t xml:space="preserve">CONCEICAO APARECIDA DA ROSA</t>
  </si>
  <si>
    <t xml:space="preserve">JOSE DE ARANTES FERREIRA</t>
  </si>
  <si>
    <t xml:space="preserve">WILLIAN E FERNANDES LTDA.</t>
  </si>
  <si>
    <t xml:space="preserve">COMERCIAL SERJAO</t>
  </si>
  <si>
    <t xml:space="preserve">RAMAO VIEIRA SAMPAIO</t>
  </si>
  <si>
    <t xml:space="preserve">MERCEARIA SAMPAIO</t>
  </si>
  <si>
    <t xml:space="preserve">EUGENIO ESPINDOLA</t>
  </si>
  <si>
    <t xml:space="preserve">GENIO LANCHES</t>
  </si>
  <si>
    <t xml:space="preserve">JESUS DE SOUZA</t>
  </si>
  <si>
    <t xml:space="preserve">SM SOUZA</t>
  </si>
  <si>
    <t xml:space="preserve">ELIEGE REGINA TRAY</t>
  </si>
  <si>
    <t xml:space="preserve">ARTI PAO LANCH E CONVENIENCIA</t>
  </si>
  <si>
    <t xml:space="preserve">RONIVALDO FARIA DE MENDONCA</t>
  </si>
  <si>
    <t xml:space="preserve">RONIVALDO FERIA DE MENDONCA</t>
  </si>
  <si>
    <t xml:space="preserve">DIRCE VAZ</t>
  </si>
  <si>
    <t xml:space="preserve">CARLOS ALBERTO PATAY</t>
  </si>
  <si>
    <t xml:space="preserve">TERMAS IBIZA</t>
  </si>
  <si>
    <t xml:space="preserve">PEDRO COSTA</t>
  </si>
  <si>
    <t xml:space="preserve">MERCEARIA CRISTAL</t>
  </si>
  <si>
    <t xml:space="preserve">ROBERTINO DE SOUZA LEITE</t>
  </si>
  <si>
    <t xml:space="preserve">CONVENIENCIA JOAO PAULO II</t>
  </si>
  <si>
    <t xml:space="preserve">CARLOS ROBERTO DE OLIVEIRA</t>
  </si>
  <si>
    <t xml:space="preserve">ACADEMICOS LANCHES</t>
  </si>
  <si>
    <t xml:space="preserve">MARIA PEREIRA DE VASCONCELOS</t>
  </si>
  <si>
    <t xml:space="preserve">MERCEARIA E ACOUGUE CIDAO</t>
  </si>
  <si>
    <t xml:space="preserve">ANTONIO DOS SANTOS COSTA</t>
  </si>
  <si>
    <t xml:space="preserve">JEMINA GRACIA DA SILVA</t>
  </si>
  <si>
    <t xml:space="preserve">GUERINO VICENTIN</t>
  </si>
  <si>
    <t xml:space="preserve">ANESIA DOS SANTOS - ME</t>
  </si>
  <si>
    <t xml:space="preserve">PASSO DO CURE TURISMO ECOLOGIC</t>
  </si>
  <si>
    <t xml:space="preserve">ELIZA TADANO MOURA</t>
  </si>
  <si>
    <t xml:space="preserve">CASA DE MILHO</t>
  </si>
  <si>
    <t xml:space="preserve">GERALDO ODNELSON DA COSTA</t>
  </si>
  <si>
    <t xml:space="preserve">MERCADO E CONVENIENCIA GG</t>
  </si>
  <si>
    <t xml:space="preserve">OLIVIO MANGOLIN</t>
  </si>
  <si>
    <t xml:space="preserve">PAULO DA SILVA - ME</t>
  </si>
  <si>
    <t xml:space="preserve">SM PRECO BOM</t>
  </si>
  <si>
    <t xml:space="preserve">ARLINDA MATLI MARCELINO</t>
  </si>
  <si>
    <t xml:space="preserve">ART PANTAMAL</t>
  </si>
  <si>
    <t xml:space="preserve">JOSE FRANCISCO DA SILVA</t>
  </si>
  <si>
    <t xml:space="preserve">MIGUEL PATRICIO DE SALES</t>
  </si>
  <si>
    <t xml:space="preserve">BAR E CONV A BIROSCA</t>
  </si>
  <si>
    <t xml:space="preserve">GRACAS S NANTES</t>
  </si>
  <si>
    <t xml:space="preserve">CANTINA DO MINISTERIO PUBLICO</t>
  </si>
  <si>
    <t xml:space="preserve">VITALINO FERREIRA</t>
  </si>
  <si>
    <t xml:space="preserve">LUIZ FERNANDO DOS SANTOS</t>
  </si>
  <si>
    <t xml:space="preserve">BAR DO SEU LUIZ</t>
  </si>
  <si>
    <t xml:space="preserve">ANTONIO FERREIRA VIANA</t>
  </si>
  <si>
    <t xml:space="preserve">EDSON JOAQUIM DE OLIVEIRA</t>
  </si>
  <si>
    <t xml:space="preserve">VANDERLEI NANTES</t>
  </si>
  <si>
    <t xml:space="preserve">MERCADO DO LAR</t>
  </si>
  <si>
    <t xml:space="preserve">APARECIDA WATIFI AYEB</t>
  </si>
  <si>
    <t xml:space="preserve">COMIDA &amp; ARTE</t>
  </si>
  <si>
    <t xml:space="preserve">MERCEARIA JOSE PALHOCA</t>
  </si>
  <si>
    <t xml:space="preserve">JOAO CARLOS CARVALHO DA SILVA</t>
  </si>
  <si>
    <t xml:space="preserve">MERCADO EVEREST</t>
  </si>
  <si>
    <t xml:space="preserve">VALDEVINA SOUSA DA SILVA</t>
  </si>
  <si>
    <t xml:space="preserve">RAMONA DE JESUS DA SILVA</t>
  </si>
  <si>
    <t xml:space="preserve">EDICEL COELHO DE SOUSA</t>
  </si>
  <si>
    <t xml:space="preserve">AMAURI LUIZ DA SILVA</t>
  </si>
  <si>
    <t xml:space="preserve">BAR DO AMAURI</t>
  </si>
  <si>
    <t xml:space="preserve">ASSIS GINO DA SILVA</t>
  </si>
  <si>
    <t xml:space="preserve">BAR DO GINO</t>
  </si>
  <si>
    <t xml:space="preserve">UMBELINO ORTIZ</t>
  </si>
  <si>
    <t xml:space="preserve">MERCEARIA MARACANA</t>
  </si>
  <si>
    <t xml:space="preserve">GILMAR REZENDE VIEIRA SECR DA EDUCACAO  </t>
  </si>
  <si>
    <t xml:space="preserve">CAFE ORIENTE</t>
  </si>
  <si>
    <t xml:space="preserve">DIVINO MARIANO SALES</t>
  </si>
  <si>
    <t xml:space="preserve">MERCADO SALES</t>
  </si>
  <si>
    <t xml:space="preserve">CLEUZA OLIVEIRA DA SILVA</t>
  </si>
  <si>
    <t xml:space="preserve">HOSPITAL DO CANCER CANTINA</t>
  </si>
  <si>
    <t xml:space="preserve">ALEXANDRE FELIX MARTINS</t>
  </si>
  <si>
    <t xml:space="preserve">NEWS CONVENIENCIAS</t>
  </si>
  <si>
    <t xml:space="preserve">ERASMO CONDE DE OLIVEIRA</t>
  </si>
  <si>
    <t xml:space="preserve">MERC CONDE</t>
  </si>
  <si>
    <t xml:space="preserve">NORAIR FERREIRA</t>
  </si>
  <si>
    <t xml:space="preserve">MERCADO NORAIR</t>
  </si>
  <si>
    <t xml:space="preserve">ANTONIO SOUZA CASTRO</t>
  </si>
  <si>
    <t xml:space="preserve">MERC E SACOLAO</t>
  </si>
  <si>
    <t xml:space="preserve">JOAO VITAL MELERO</t>
  </si>
  <si>
    <t xml:space="preserve">SKALA'S PANIF CONVENIENCIA</t>
  </si>
  <si>
    <t xml:space="preserve">ADILIO MEERT</t>
  </si>
  <si>
    <t xml:space="preserve">DALIO MEERT</t>
  </si>
  <si>
    <t xml:space="preserve">IRACY NOVELLY</t>
  </si>
  <si>
    <t xml:space="preserve">BOX DA IRACY</t>
  </si>
  <si>
    <t xml:space="preserve">ANTONIO CARLOS CORREIA DA LUZ</t>
  </si>
  <si>
    <t xml:space="preserve">PANIF PAO DOCE</t>
  </si>
  <si>
    <t xml:space="preserve">JOELMA PARRA PADILHA</t>
  </si>
  <si>
    <t xml:space="preserve">EDMILSON AZEVEDO DOS SANTOS</t>
  </si>
  <si>
    <t xml:space="preserve">KI-PRECO</t>
  </si>
  <si>
    <t xml:space="preserve">SOLANGE CRISTINA DE OLIVEIRA DOS SANTOS </t>
  </si>
  <si>
    <t xml:space="preserve">PADARIA KI- SABOR</t>
  </si>
  <si>
    <t xml:space="preserve">ALESSANDRO DE SOUZA CARDOSO</t>
  </si>
  <si>
    <t xml:space="preserve">CONV PENSSADOR</t>
  </si>
  <si>
    <t xml:space="preserve">ANDRE RICARDO SANTANA DE SOUZA</t>
  </si>
  <si>
    <t xml:space="preserve">MERCADO LIMA</t>
  </si>
  <si>
    <t xml:space="preserve">VANIA CRISTINA DE CAMPOS ALMEIDA</t>
  </si>
  <si>
    <t xml:space="preserve">ROTARY CLUB</t>
  </si>
  <si>
    <t xml:space="preserve">APARECIDO ANTONIO DE OLIVEIRA</t>
  </si>
  <si>
    <t xml:space="preserve">MINI MERC BRASIL</t>
  </si>
  <si>
    <t xml:space="preserve">EVAIR SOUZA SANDIM</t>
  </si>
  <si>
    <t xml:space="preserve">CANTINA ESCOLA ADVENTISTA</t>
  </si>
  <si>
    <t xml:space="preserve">DOMINGAS PEREIRA</t>
  </si>
  <si>
    <t xml:space="preserve">BAR E MERCEARIA D D</t>
  </si>
  <si>
    <t xml:space="preserve">CLAUDIONOR DE OLIVEIRA SOUZA</t>
  </si>
  <si>
    <t xml:space="preserve">OLMIRO RODRIGUES</t>
  </si>
  <si>
    <t xml:space="preserve">BAR PONTO DA AMIZADE</t>
  </si>
  <si>
    <t xml:space="preserve">JOSE LUIZ REIS</t>
  </si>
  <si>
    <t xml:space="preserve">PANIF EMPORIO DOS PAES</t>
  </si>
  <si>
    <t xml:space="preserve">MARINEIDE SILVA BARBOSA</t>
  </si>
  <si>
    <t xml:space="preserve">VERDAO DA COLINA</t>
  </si>
  <si>
    <t xml:space="preserve">FRANCISCO JACINTO DE OLIVEIRA</t>
  </si>
  <si>
    <t xml:space="preserve">VERA LUCIA NASCIMENTO DA SILVA</t>
  </si>
  <si>
    <t xml:space="preserve">ADENILSON DAMAZIO</t>
  </si>
  <si>
    <t xml:space="preserve">DEP MAT CONST DAMAZIO</t>
  </si>
  <si>
    <t xml:space="preserve">ANGELA APARECIDA LIMA</t>
  </si>
  <si>
    <t xml:space="preserve">PANIF BELGAA</t>
  </si>
  <si>
    <t xml:space="preserve">IDELSON FURTADO MAIA</t>
  </si>
  <si>
    <t xml:space="preserve">MERCEARIA IDELSON</t>
  </si>
  <si>
    <t xml:space="preserve">TANIA REGINA NUNES DOS SANTOS GULARTE</t>
  </si>
  <si>
    <t xml:space="preserve">MARIA LOLITA DE OLIVEIRA</t>
  </si>
  <si>
    <t xml:space="preserve">TRAILLER CHESSE DOGAO</t>
  </si>
  <si>
    <t xml:space="preserve">MARIA ELVIRA MARTINS</t>
  </si>
  <si>
    <t xml:space="preserve">ADELMO ARCHANJO EVANGELISTA</t>
  </si>
  <si>
    <t xml:space="preserve">BOAS BAR</t>
  </si>
  <si>
    <t xml:space="preserve">LUIZ CARLOS BENEDITO</t>
  </si>
  <si>
    <t xml:space="preserve">LUZIA TOLOIDE CARVALHO</t>
  </si>
  <si>
    <t xml:space="preserve">MARIA ILDA DE LIMA CAVALHEIRA</t>
  </si>
  <si>
    <t xml:space="preserve">FABULAS E FESTAS</t>
  </si>
  <si>
    <t xml:space="preserve">ANGELO JOSE CARVALHO DE SOUZA</t>
  </si>
  <si>
    <t xml:space="preserve">MERCEARIA BRASIL</t>
  </si>
  <si>
    <t xml:space="preserve">HELIO DO CARMO</t>
  </si>
  <si>
    <t xml:space="preserve">SM TABOCO</t>
  </si>
  <si>
    <t xml:space="preserve">ELEODORO ARGUELHO</t>
  </si>
  <si>
    <t xml:space="preserve">PADARIA CORREA</t>
  </si>
  <si>
    <t xml:space="preserve">MEU CANTINHO</t>
  </si>
  <si>
    <t xml:space="preserve">CIR€O GOMES RODRIGUES</t>
  </si>
  <si>
    <t xml:space="preserve">MERCEARIA SAO BASILIO</t>
  </si>
  <si>
    <t xml:space="preserve">JOAO ANDRADE NABAN</t>
  </si>
  <si>
    <t xml:space="preserve">JOAO</t>
  </si>
  <si>
    <t xml:space="preserve">RAIMUNDO ALDEMI DE OLIVEIRA</t>
  </si>
  <si>
    <t xml:space="preserve">TAKAIA LANCHES</t>
  </si>
  <si>
    <t xml:space="preserve">BENEDITO ROSA FILHO</t>
  </si>
  <si>
    <t xml:space="preserve">MERCADINHO TERRA</t>
  </si>
  <si>
    <t xml:space="preserve">CLARA MARUYAMA</t>
  </si>
  <si>
    <t xml:space="preserve">MERCADO MARUYAMA</t>
  </si>
  <si>
    <t xml:space="preserve">EVERTON COUTINHO DE OLIVEIVA</t>
  </si>
  <si>
    <t xml:space="preserve">PANIF MAIS VOCE</t>
  </si>
  <si>
    <t xml:space="preserve">FERNANDO BENITES DOS SANTOS</t>
  </si>
  <si>
    <t xml:space="preserve">MERCEARIA FERNANDO</t>
  </si>
  <si>
    <t xml:space="preserve">ODILIS LIMA DO PRADO</t>
  </si>
  <si>
    <t xml:space="preserve">SUP CENTRAL</t>
  </si>
  <si>
    <t xml:space="preserve">FRANCELINA MENDES DE ANDRADE</t>
  </si>
  <si>
    <t xml:space="preserve">CONV.NOSSA SRA APARECIDA</t>
  </si>
  <si>
    <t xml:space="preserve">JOAO VALDEMIR DUTRA DE SOUZA</t>
  </si>
  <si>
    <t xml:space="preserve">PANELAO CONVENIENCIA</t>
  </si>
  <si>
    <t xml:space="preserve">ADEMIR GRAEEF</t>
  </si>
  <si>
    <t xml:space="preserve">MERCADO INDUSTRIAL</t>
  </si>
  <si>
    <t xml:space="preserve">AIRTON JOSE RAMOS DE MORAIS</t>
  </si>
  <si>
    <t xml:space="preserve">L S MERCEARIA</t>
  </si>
  <si>
    <t xml:space="preserve">NELSON BORGES VIEIRA</t>
  </si>
  <si>
    <t xml:space="preserve">JULLY LANCHONETE</t>
  </si>
  <si>
    <t xml:space="preserve">QUITERIA R DA SILVA</t>
  </si>
  <si>
    <t xml:space="preserve">BAR E MERC SAO PAULO</t>
  </si>
  <si>
    <t xml:space="preserve">ESTEVAO CANDIA</t>
  </si>
  <si>
    <t xml:space="preserve">WILLIAN FRANCISCO DA SILVA</t>
  </si>
  <si>
    <t xml:space="preserve">DARCI ALMEIDA MOREIRA</t>
  </si>
  <si>
    <t xml:space="preserve">SM PALMEIRAS</t>
  </si>
  <si>
    <t xml:space="preserve">AILTON RODRIGUES VIEIRA</t>
  </si>
  <si>
    <t xml:space="preserve">CASA DE CARNE DALLAS</t>
  </si>
  <si>
    <t xml:space="preserve">EVANDRO VIANA RIBEIRO</t>
  </si>
  <si>
    <t xml:space="preserve">CONVENIENCIA INDIANAPOLIS</t>
  </si>
  <si>
    <t xml:space="preserve">ANA CRISTINA GARDIN GORGES</t>
  </si>
  <si>
    <t xml:space="preserve">ANA PAULA SANTANA</t>
  </si>
  <si>
    <t xml:space="preserve">PANIFICADORA E CONFEITARIA PUR</t>
  </si>
  <si>
    <t xml:space="preserve">DAVI FALCOSWKI</t>
  </si>
  <si>
    <t xml:space="preserve">MERCADO MAYSA</t>
  </si>
  <si>
    <t xml:space="preserve">MILTON FRANCISCO DOS SANTOS</t>
  </si>
  <si>
    <t xml:space="preserve">LINDA MODAS</t>
  </si>
  <si>
    <t xml:space="preserve">MARIA MADALENA FIGUEREDO</t>
  </si>
  <si>
    <t xml:space="preserve">MERCADINHO VERDE</t>
  </si>
  <si>
    <t xml:space="preserve">ODULHA VASQUES GOMES</t>
  </si>
  <si>
    <t xml:space="preserve">MERCADO OSCAR</t>
  </si>
  <si>
    <t xml:space="preserve">EDNA PEREZ CARDOSO</t>
  </si>
  <si>
    <t xml:space="preserve">SANDRA DE FATIMA TEIXEIRA RONCATTI</t>
  </si>
  <si>
    <t xml:space="preserve">MARIA LEOPODINA MARIA DE JESUS</t>
  </si>
  <si>
    <t xml:space="preserve">CASA DE CARNE BRASIL</t>
  </si>
  <si>
    <t xml:space="preserve">MARIA APARECIDA RODRIGUES DOS SANTOS</t>
  </si>
  <si>
    <t xml:space="preserve">ANTONIO TOLEDO MOREL</t>
  </si>
  <si>
    <t xml:space="preserve">OSMAR JOSE BONADIMAM</t>
  </si>
  <si>
    <t xml:space="preserve">PANIF ANDREZZA</t>
  </si>
  <si>
    <t xml:space="preserve">LAZARA E. OLIVEIRA</t>
  </si>
  <si>
    <t xml:space="preserve">MARCIA ROSA LIMA</t>
  </si>
  <si>
    <t xml:space="preserve">MARIA APARECIDA DE OLIVEIRA NASCIMENTO  </t>
  </si>
  <si>
    <t xml:space="preserve">LANC FLORESTA</t>
  </si>
  <si>
    <t xml:space="preserve">CICERO PANTALEAO</t>
  </si>
  <si>
    <t xml:space="preserve">CONVENIENCIA DO CICERO</t>
  </si>
  <si>
    <t xml:space="preserve">CELESTINA MEAURIO</t>
  </si>
  <si>
    <t xml:space="preserve">BAR NACIONAL</t>
  </si>
  <si>
    <t xml:space="preserve">MANOEL MENDES DE SOUZA</t>
  </si>
  <si>
    <t xml:space="preserve">MERCEARIA MENDES DE SOUZA</t>
  </si>
  <si>
    <t xml:space="preserve">MAURO MASSAO TSUTSUMI</t>
  </si>
  <si>
    <t xml:space="preserve">CONVENIENCIA SANTO ANDRE</t>
  </si>
  <si>
    <t xml:space="preserve">APARECIDA MARIA DUARTE DIAS</t>
  </si>
  <si>
    <t xml:space="preserve">CONVENIENCIA ALTAS HORAS</t>
  </si>
  <si>
    <t xml:space="preserve">VALDIR SANTOS CAMPOS</t>
  </si>
  <si>
    <t xml:space="preserve">CASA CARNE BOM PASTOR</t>
  </si>
  <si>
    <t xml:space="preserve">VALDEMAR ALVES DE ANDRADE</t>
  </si>
  <si>
    <t xml:space="preserve">WALFRIDO FERREIRA LEMES</t>
  </si>
  <si>
    <t xml:space="preserve">PANIF PAO MORENO</t>
  </si>
  <si>
    <t xml:space="preserve">ELILIA PINTO DO CARMO</t>
  </si>
  <si>
    <t xml:space="preserve">PANF PEREIRA</t>
  </si>
  <si>
    <t xml:space="preserve">OSVALDO APARECIDO DE AMORIN</t>
  </si>
  <si>
    <t xml:space="preserve">LANCHES BACADILHOS</t>
  </si>
  <si>
    <t xml:space="preserve">JOAO GONCALVES DA SILVA</t>
  </si>
  <si>
    <t xml:space="preserve">SM JL</t>
  </si>
  <si>
    <t xml:space="preserve">PEDRO MARTINS PIRES</t>
  </si>
  <si>
    <t xml:space="preserve">BAR E MERCEARIA DO PEDRO FEIO</t>
  </si>
  <si>
    <t xml:space="preserve">NALCEU FLORES ARISTIMUNHO</t>
  </si>
  <si>
    <t xml:space="preserve">MERCEARIA DA BARAO</t>
  </si>
  <si>
    <t xml:space="preserve">SELHAMAR GONCALVES DE PAULA</t>
  </si>
  <si>
    <t xml:space="preserve">HELIO RUTH BARBOSA TIAGO</t>
  </si>
  <si>
    <t xml:space="preserve">MERCEARIA DO HELIO</t>
  </si>
  <si>
    <t xml:space="preserve">CARLOS BATISTA DA SILVA</t>
  </si>
  <si>
    <t xml:space="preserve">C0NVENIENCIA</t>
  </si>
  <si>
    <t xml:space="preserve">EVA DOURADO DE SOUZA</t>
  </si>
  <si>
    <t xml:space="preserve">VALDOMIRO ALVEZ FAGUNDES</t>
  </si>
  <si>
    <t xml:space="preserve">WALTER GARGEONE ADAMI</t>
  </si>
  <si>
    <t xml:space="preserve">ALFREDO MIRANDA DINIZ</t>
  </si>
  <si>
    <t xml:space="preserve">DINIZ MATERIAOS ESCOLARES</t>
  </si>
  <si>
    <t xml:space="preserve">SONIA LAZARA DE OLIVEIRA</t>
  </si>
  <si>
    <t xml:space="preserve">SACOLAO SERRADINHO</t>
  </si>
  <si>
    <t xml:space="preserve">VALDIR DE SOUZA</t>
  </si>
  <si>
    <t xml:space="preserve">MERCADO 7 BELO</t>
  </si>
  <si>
    <t xml:space="preserve">JOSE PROTASIO BARBOSA</t>
  </si>
  <si>
    <t xml:space="preserve">DECIO ROSSI DA SILVA</t>
  </si>
  <si>
    <t xml:space="preserve">PADARIA E DIST DA FAMILIA</t>
  </si>
  <si>
    <t xml:space="preserve">MARIA VALDILICE ROQUE ANDRADE</t>
  </si>
  <si>
    <t xml:space="preserve">PAULO BRAGA</t>
  </si>
  <si>
    <t xml:space="preserve">BAR E MERC CHAPEL RASGADO</t>
  </si>
  <si>
    <t xml:space="preserve">ALFREDO FERNANDES DE SOUZA</t>
  </si>
  <si>
    <t xml:space="preserve">LUIS CARLOS BRITES</t>
  </si>
  <si>
    <t xml:space="preserve">BENJAMIN DA SILVA</t>
  </si>
  <si>
    <t xml:space="preserve">PANIFICADORA PAO 2000</t>
  </si>
  <si>
    <t xml:space="preserve">MARIA SHEILA</t>
  </si>
  <si>
    <t xml:space="preserve">COLEGIO MARIA MONTESOLE</t>
  </si>
  <si>
    <t xml:space="preserve">IZAURINA MARTA ALMEIDA</t>
  </si>
  <si>
    <t xml:space="preserve">MERC.BEBO RINDO PAGO CHORANDO</t>
  </si>
  <si>
    <t xml:space="preserve">MIRTES ASSIS DE SOUZA</t>
  </si>
  <si>
    <t xml:space="preserve">PANIFICADORA KI-LEGAL</t>
  </si>
  <si>
    <t xml:space="preserve">JUSSARA MARIA GOMES</t>
  </si>
  <si>
    <t xml:space="preserve">MERCEARIA JUSSARA</t>
  </si>
  <si>
    <t xml:space="preserve">DENIVAN FELICIANO AZAMBUJA</t>
  </si>
  <si>
    <t xml:space="preserve">KAREKAS BAR</t>
  </si>
  <si>
    <t xml:space="preserve">JACIR PEREIRA DOS SANTOS</t>
  </si>
  <si>
    <t xml:space="preserve">PLUTAO CONVENIENCIA</t>
  </si>
  <si>
    <t xml:space="preserve">CARLOS EDUARDO BETAO</t>
  </si>
  <si>
    <t xml:space="preserve">CAFE COM ARTE 43</t>
  </si>
  <si>
    <t xml:space="preserve">RENILTON MANOEL VIEIRA DA SILVA</t>
  </si>
  <si>
    <t xml:space="preserve">ARLETE ELAINE POLL CANTO</t>
  </si>
  <si>
    <t xml:space="preserve">ESPETINHO RESTAURANTE</t>
  </si>
  <si>
    <t xml:space="preserve">ROSMARI MARIA MARQUES</t>
  </si>
  <si>
    <t xml:space="preserve">MERCADO PORTAL</t>
  </si>
  <si>
    <t xml:space="preserve">NEWTON SPINDOLA PAVAO</t>
  </si>
  <si>
    <t xml:space="preserve">STOP SHOP MERCADINHO</t>
  </si>
  <si>
    <t xml:space="preserve">LENISE GRENZEL</t>
  </si>
  <si>
    <t xml:space="preserve">PADARIA LIDER</t>
  </si>
  <si>
    <t xml:space="preserve">AURELINO LOURENCO DOS SANTOS</t>
  </si>
  <si>
    <t xml:space="preserve">BAR DAS ARARAS</t>
  </si>
  <si>
    <t xml:space="preserve">GILSON FIGUEREDO MOLHOTOQUE</t>
  </si>
  <si>
    <t xml:space="preserve">MERCADO ECONOMIA</t>
  </si>
  <si>
    <t xml:space="preserve">JOAO MOURA MARTINS</t>
  </si>
  <si>
    <t xml:space="preserve">CONVENIENCIA MOURA</t>
  </si>
  <si>
    <t xml:space="preserve">CRISTIANE RODRIGUES MARTINS</t>
  </si>
  <si>
    <t xml:space="preserve">PETRUCIA LOURENGO DA SILVA</t>
  </si>
  <si>
    <t xml:space="preserve">MERCEARIA GIRASSOL</t>
  </si>
  <si>
    <t xml:space="preserve">RODRIGO C TORRALBA</t>
  </si>
  <si>
    <t xml:space="preserve">BB BEER</t>
  </si>
  <si>
    <t xml:space="preserve">ANA LUCIA GARCIA</t>
  </si>
  <si>
    <t xml:space="preserve">CONV PARQUE</t>
  </si>
  <si>
    <t xml:space="preserve">MARCOS JOSE FIALHO DE LUSENA</t>
  </si>
  <si>
    <t xml:space="preserve">PANIF CONV PARANA</t>
  </si>
  <si>
    <t xml:space="preserve">ERINALDO LIMA DE QUEIROZ</t>
  </si>
  <si>
    <t xml:space="preserve">CACHORRO QUENTE DO SERGIPE</t>
  </si>
  <si>
    <t xml:space="preserve">ZAMARSE DA SILVA SOUZA</t>
  </si>
  <si>
    <t xml:space="preserve">MERCADO CORDEIRO</t>
  </si>
  <si>
    <t xml:space="preserve">ADELIO ANTONIO ROSARIO</t>
  </si>
  <si>
    <t xml:space="preserve">MINI BOS CONVENIENCIA</t>
  </si>
  <si>
    <t xml:space="preserve">JOANA PERALTA ARAUJO</t>
  </si>
  <si>
    <t xml:space="preserve">MERCADO SO ALEGRIA</t>
  </si>
  <si>
    <t xml:space="preserve">ROSE ELIZA FARINA MORAES</t>
  </si>
  <si>
    <t xml:space="preserve">LANCH BELISSIMA</t>
  </si>
  <si>
    <t xml:space="preserve">ANDERSON D. ROMEIRO DE SOUZA</t>
  </si>
  <si>
    <t xml:space="preserve">FUNC TCG - ANDERSON</t>
  </si>
  <si>
    <t xml:space="preserve">LEIA PEREIRA SANTOS</t>
  </si>
  <si>
    <t xml:space="preserve">TRIBUNAL DE JUSTICA</t>
  </si>
  <si>
    <t xml:space="preserve">DOUGLAS ONGARATTO</t>
  </si>
  <si>
    <t xml:space="preserve">CHURRASCARIA GRAMADAO</t>
  </si>
  <si>
    <t xml:space="preserve">LEANDRO ZERBINATTI</t>
  </si>
  <si>
    <t xml:space="preserve">CONVENIENCIA LIDER</t>
  </si>
  <si>
    <t xml:space="preserve">LAURA NUNES TEIXEIRA</t>
  </si>
  <si>
    <t xml:space="preserve">MERCEARIA NIKOS IMPORIO</t>
  </si>
  <si>
    <t xml:space="preserve">EDIVAN FERNANDES</t>
  </si>
  <si>
    <t xml:space="preserve">MERCEARIA NANDES</t>
  </si>
  <si>
    <t xml:space="preserve">HONOFRE VALEN€OELA</t>
  </si>
  <si>
    <t xml:space="preserve">MERCEARIA TREIS IRMAOS</t>
  </si>
  <si>
    <t xml:space="preserve">AURELINHA DENIZ DE JESUS</t>
  </si>
  <si>
    <t xml:space="preserve">AURELINHA DE JESUS</t>
  </si>
  <si>
    <t xml:space="preserve">DELAIRCE LUIZ DE SOUZA</t>
  </si>
  <si>
    <t xml:space="preserve">BAR DA GAUCHA</t>
  </si>
  <si>
    <t xml:space="preserve">ANTONIO GON€ALVES DOS SANTOS</t>
  </si>
  <si>
    <t xml:space="preserve">CONV ARCO IRES</t>
  </si>
  <si>
    <t xml:space="preserve">JOSE DE QUEIROZ</t>
  </si>
  <si>
    <t xml:space="preserve">SEBASTIAO PEREIRA DOS SANTOS</t>
  </si>
  <si>
    <t xml:space="preserve">CARNE CONVENIENCIA SANTOS</t>
  </si>
  <si>
    <t xml:space="preserve">CLEIDE APARECIDA</t>
  </si>
  <si>
    <t xml:space="preserve">CESAR AUGUSTO SALZEDAS CRIVELENTE</t>
  </si>
  <si>
    <t xml:space="preserve">REMA</t>
  </si>
  <si>
    <t xml:space="preserve">JOSE THOMAZ FILHO</t>
  </si>
  <si>
    <t xml:space="preserve">THOMAZ LANCHES</t>
  </si>
  <si>
    <t xml:space="preserve">DIRCEU JOSE DOS SANTOS</t>
  </si>
  <si>
    <t xml:space="preserve">JAIME LIMA NUNES</t>
  </si>
  <si>
    <t xml:space="preserve">CONVENIENCIA AEROPORTO</t>
  </si>
  <si>
    <t xml:space="preserve">ROBERTO CARLOS C. DA COSTA</t>
  </si>
  <si>
    <t xml:space="preserve">PANEBELLO PANIF E CONVENIENCIA</t>
  </si>
  <si>
    <t xml:space="preserve">CLEONICE DOS SANTOS BRITO</t>
  </si>
  <si>
    <t xml:space="preserve">LANCHONETE E REST.DA NICE</t>
  </si>
  <si>
    <t xml:space="preserve">JAQUELINE ANJO</t>
  </si>
  <si>
    <t xml:space="preserve">SUPERMERCADO TREVO 2</t>
  </si>
  <si>
    <t xml:space="preserve">FATIMA DE LOURDES ABREU HOLSBACH</t>
  </si>
  <si>
    <t xml:space="preserve">MERCEARIA BEIJA FLOR</t>
  </si>
  <si>
    <t xml:space="preserve">CLOVIS GARCIA DE FREITAS</t>
  </si>
  <si>
    <t xml:space="preserve">CASA DE RACAO GARCIA</t>
  </si>
  <si>
    <t xml:space="preserve">GERONIMO ANTONIO CORREA</t>
  </si>
  <si>
    <t xml:space="preserve">POSTO RODRIGAO</t>
  </si>
  <si>
    <t xml:space="preserve">ALBINO HOFFMEISTER</t>
  </si>
  <si>
    <t xml:space="preserve">BAR S.T RITA</t>
  </si>
  <si>
    <t xml:space="preserve">DERCI FRANCO DE BARROS</t>
  </si>
  <si>
    <t xml:space="preserve">CONVENIENCIA SOMARIA</t>
  </si>
  <si>
    <t xml:space="preserve">MARCUS VINICIUS S BERNARDES</t>
  </si>
  <si>
    <t xml:space="preserve">CONV MARCUS</t>
  </si>
  <si>
    <t xml:space="preserve">NEUZA MACHADO OLIVEIRA</t>
  </si>
  <si>
    <t xml:space="preserve">CANT DA SEC MEIO AMBIENTE</t>
  </si>
  <si>
    <t xml:space="preserve">AGENOR VIEIRA DA SILVA</t>
  </si>
  <si>
    <t xml:space="preserve">FRANCISCO SIDNEY DE SOZA</t>
  </si>
  <si>
    <t xml:space="preserve">CONV TIO SIDI</t>
  </si>
  <si>
    <t xml:space="preserve">OTO VIDAL DE MORAIS MOREIRA</t>
  </si>
  <si>
    <t xml:space="preserve">ADEMILSON SEBASTIAO DE QUEIROZ</t>
  </si>
  <si>
    <t xml:space="preserve">FRUTARIA QUEIROZ II</t>
  </si>
  <si>
    <t xml:space="preserve">NIVALDO STRADA</t>
  </si>
  <si>
    <t xml:space="preserve">MERCADO BEIJA FLOR</t>
  </si>
  <si>
    <t xml:space="preserve">INES JOSE LUIZ</t>
  </si>
  <si>
    <t xml:space="preserve">CONVENIENCIA BANDEIRANTES</t>
  </si>
  <si>
    <t xml:space="preserve">ILDA BENITEZ DA SILVA</t>
  </si>
  <si>
    <t xml:space="preserve">MERCADO SERV BEM</t>
  </si>
  <si>
    <t xml:space="preserve">MARI0 JOSE PERREIRA GONZAGA</t>
  </si>
  <si>
    <t xml:space="preserve">PANIFICADORA</t>
  </si>
  <si>
    <t xml:space="preserve">JOAQUIM DE SOUZA</t>
  </si>
  <si>
    <t xml:space="preserve">VIDAL CONVENIENCIA</t>
  </si>
  <si>
    <t xml:space="preserve">FERNANDO HONORIO LEITE</t>
  </si>
  <si>
    <t xml:space="preserve">MERCEARIA DO FERNANDO</t>
  </si>
  <si>
    <t xml:space="preserve">NATAL LUIZ DE FRANCA</t>
  </si>
  <si>
    <t xml:space="preserve">LUCILENE THOMAS</t>
  </si>
  <si>
    <t xml:space="preserve">ROSARIA LUCIA FERREIRA</t>
  </si>
  <si>
    <t xml:space="preserve">MERC E FRUTARIA BOM PRECO</t>
  </si>
  <si>
    <t xml:space="preserve">LINDALVA SANTANA MOREIRA</t>
  </si>
  <si>
    <t xml:space="preserve">ALAERTE MACHADO</t>
  </si>
  <si>
    <t xml:space="preserve">CONVENIENCIA.</t>
  </si>
  <si>
    <t xml:space="preserve">WANTUIR AUGUSTO CIRILO DE SA</t>
  </si>
  <si>
    <t xml:space="preserve">MERCEARIA HI</t>
  </si>
  <si>
    <t xml:space="preserve">HELIO CONCEICAO BARBOSA COSTA</t>
  </si>
  <si>
    <t xml:space="preserve">BEER CONVENIENCIA</t>
  </si>
  <si>
    <t xml:space="preserve">JOSEFA ALEXANDRE DE FREITAS</t>
  </si>
  <si>
    <t xml:space="preserve">LANCHONETE INDEPENDENCIA</t>
  </si>
  <si>
    <t xml:space="preserve">CATARINA DE CASTRO SOUZA</t>
  </si>
  <si>
    <t xml:space="preserve">CONVENIENCIA XODO</t>
  </si>
  <si>
    <t xml:space="preserve">MARIA R ANDRADE</t>
  </si>
  <si>
    <t xml:space="preserve">MERCEARIA LISBOA</t>
  </si>
  <si>
    <t xml:space="preserve">JOAO GOMES DA SILVA</t>
  </si>
  <si>
    <t xml:space="preserve">RIO NEGRO</t>
  </si>
  <si>
    <t xml:space="preserve">CASA POPULAR</t>
  </si>
  <si>
    <t xml:space="preserve">ANTONIO ROSA BILAIA</t>
  </si>
  <si>
    <t xml:space="preserve">MERCEARIA R.B</t>
  </si>
  <si>
    <t xml:space="preserve">JOSE LOURENTINO DE FREITAS</t>
  </si>
  <si>
    <t xml:space="preserve">MERCEARIA FREITAS</t>
  </si>
  <si>
    <t xml:space="preserve">AIDER TEREZINHA BARILLI</t>
  </si>
  <si>
    <t xml:space="preserve">ESQUINAS CONVENIENCIAS</t>
  </si>
  <si>
    <t xml:space="preserve">MARIA HELENA GONCALVES OLIVEIRA</t>
  </si>
  <si>
    <t xml:space="preserve">MINI MERCADO MARANATA</t>
  </si>
  <si>
    <t xml:space="preserve">DENISE DE SOUZA FILHO</t>
  </si>
  <si>
    <t xml:space="preserve">DENISE</t>
  </si>
  <si>
    <t xml:space="preserve">OSVALDIR COLOMBO JUNIOR</t>
  </si>
  <si>
    <t xml:space="preserve">NELDA HARTENBERG DE FARIAS</t>
  </si>
  <si>
    <t xml:space="preserve">J.C. LANCHES</t>
  </si>
  <si>
    <t xml:space="preserve">JOSE MARCOS BEZZIERI</t>
  </si>
  <si>
    <t xml:space="preserve">HOTEL SAVANA</t>
  </si>
  <si>
    <t xml:space="preserve">EDINALDO FERNANDES LIMA</t>
  </si>
  <si>
    <t xml:space="preserve">LUCIMAR AP DOS SANTOS SILVA</t>
  </si>
  <si>
    <t xml:space="preserve">PANF D.PAULA</t>
  </si>
  <si>
    <t xml:space="preserve">ELAINE FRAGOSO DE PAULA</t>
  </si>
  <si>
    <t xml:space="preserve">PANIFICADORA YAMAGUTI</t>
  </si>
  <si>
    <t xml:space="preserve">JOAO PESSOA NETO</t>
  </si>
  <si>
    <t xml:space="preserve">PADARIA JAMIL</t>
  </si>
  <si>
    <t xml:space="preserve">ELDER JAMES DE OLIVEIRA</t>
  </si>
  <si>
    <t xml:space="preserve">BAR NEGRITO</t>
  </si>
  <si>
    <t xml:space="preserve">SUZETE BAZILIO MARCELO DE OLIVEIRA</t>
  </si>
  <si>
    <t xml:space="preserve">LUCELENA MARCAL DA SILVEIRA</t>
  </si>
  <si>
    <t xml:space="preserve">CONVENIENCIA FRESKIMASSAS</t>
  </si>
  <si>
    <t xml:space="preserve">IVO THEODORO</t>
  </si>
  <si>
    <t xml:space="preserve">FRANCISCO DE ASSIS PERGENTINO</t>
  </si>
  <si>
    <t xml:space="preserve">WELLITON CAVALLARO</t>
  </si>
  <si>
    <t xml:space="preserve">MERCADO UNIAO</t>
  </si>
  <si>
    <t xml:space="preserve">GILBERTO CONSTATINO</t>
  </si>
  <si>
    <t xml:space="preserve">HOTEL CABANAS</t>
  </si>
  <si>
    <t xml:space="preserve">JOAO DONIZETE CUSTODIO</t>
  </si>
  <si>
    <t xml:space="preserve">MERCEARIA STA BAUBAM</t>
  </si>
  <si>
    <t xml:space="preserve">RICARDO TUBIANA</t>
  </si>
  <si>
    <t xml:space="preserve">REST E LANCH POUSADA DAS EMAS</t>
  </si>
  <si>
    <t xml:space="preserve">LUIZ ZAMBONI</t>
  </si>
  <si>
    <t xml:space="preserve">JOSE SOARES DE LIMA</t>
  </si>
  <si>
    <t xml:space="preserve">DEP DE BEBIDAS N.H SUL</t>
  </si>
  <si>
    <t xml:space="preserve">ARTEMIO BRAUNER</t>
  </si>
  <si>
    <t xml:space="preserve">CONVENIECNIA E MERCADO TOTAL</t>
  </si>
  <si>
    <t xml:space="preserve">ADILIO ANTONIO DE OLIVEIRA</t>
  </si>
  <si>
    <t xml:space="preserve">CONV MARIO COVAS</t>
  </si>
  <si>
    <t xml:space="preserve">ALMIRO MIOTI</t>
  </si>
  <si>
    <t xml:space="preserve">PASTELARIA DO MIRO</t>
  </si>
  <si>
    <t xml:space="preserve">MAURICIO CRISTIANO SANCHES</t>
  </si>
  <si>
    <t xml:space="preserve">CLEVERSON FERNANDES NUNES</t>
  </si>
  <si>
    <t xml:space="preserve">JUSCILEIDE C C BRANCO DOS ANJOS</t>
  </si>
  <si>
    <t xml:space="preserve">LOJA BANG</t>
  </si>
  <si>
    <t xml:space="preserve">VINICIUS SALES AZEVEDO</t>
  </si>
  <si>
    <t xml:space="preserve">CON POSTO STO ANDRE</t>
  </si>
  <si>
    <t xml:space="preserve">MARIA APARECIDA DAS GRACAS</t>
  </si>
  <si>
    <t xml:space="preserve">NIVANILDO EDUARDO DA SILVA</t>
  </si>
  <si>
    <t xml:space="preserve">DALUNE</t>
  </si>
  <si>
    <t xml:space="preserve">SANDRA GODOY DE AZEVEDO</t>
  </si>
  <si>
    <t xml:space="preserve">CANT DA ACADEMIA POL CIVIL</t>
  </si>
  <si>
    <t xml:space="preserve">AURORA ANGELA FASSINA FORNARI</t>
  </si>
  <si>
    <t xml:space="preserve">CANTINA ESC TOMAZ B RANGEL</t>
  </si>
  <si>
    <t xml:space="preserve">TANIA TEREZINHA MARTINS</t>
  </si>
  <si>
    <t xml:space="preserve">MERCEARIA COMPRE BEM</t>
  </si>
  <si>
    <t xml:space="preserve">ADELHA APARECIDA PIMENTEL</t>
  </si>
  <si>
    <t xml:space="preserve">PANIF SHOPPING DO PAO</t>
  </si>
  <si>
    <t xml:space="preserve">JOAO JOSE MACEDO</t>
  </si>
  <si>
    <t xml:space="preserve">MAXI PAO PANIF CONVENIENCIAS</t>
  </si>
  <si>
    <t xml:space="preserve">ADEMIR DE SOUZA LACERDA</t>
  </si>
  <si>
    <t xml:space="preserve">LACERDA 1001 UTILIDADES</t>
  </si>
  <si>
    <t xml:space="preserve">ANTONIO PREGENTINO LIMA</t>
  </si>
  <si>
    <t xml:space="preserve">MERCADO TACHINHA</t>
  </si>
  <si>
    <t xml:space="preserve">SUELY DIAS DA ROCHA</t>
  </si>
  <si>
    <t xml:space="preserve">VALDIR PANIAGO NUNES</t>
  </si>
  <si>
    <t xml:space="preserve">POSTO RECREIO</t>
  </si>
  <si>
    <t xml:space="preserve">JOAQUIM DE SOUZA ALVES</t>
  </si>
  <si>
    <t xml:space="preserve">BAR SAO JOAO</t>
  </si>
  <si>
    <t xml:space="preserve">EDSON CORTES</t>
  </si>
  <si>
    <t xml:space="preserve">CONVENIENCIA SILVA</t>
  </si>
  <si>
    <t xml:space="preserve">PAULO SOARES</t>
  </si>
  <si>
    <t xml:space="preserve">CASA DE CARNES FAVO DE MEL</t>
  </si>
  <si>
    <t xml:space="preserve">LAURINDA S. CRIVELLENTE</t>
  </si>
  <si>
    <t xml:space="preserve">WALTER EGIDIO TEIXEIRA SILVA</t>
  </si>
  <si>
    <t xml:space="preserve">CONVENIENCIAS PLUTAO</t>
  </si>
  <si>
    <t xml:space="preserve">LAIR COIMBRA DE OLIVEIRA</t>
  </si>
  <si>
    <t xml:space="preserve">GEORVANE PEREIRA TORRES</t>
  </si>
  <si>
    <t xml:space="preserve">GUANABARA PAES E BEBIDAS</t>
  </si>
  <si>
    <t xml:space="preserve">MARIA CECILIA NOGUEIRA</t>
  </si>
  <si>
    <t xml:space="preserve">MERCEARIA NOGUEIRA</t>
  </si>
  <si>
    <t xml:space="preserve">TEREZA ROSA POLISNI</t>
  </si>
  <si>
    <t xml:space="preserve">RESTE E LANCH. PE DE CEDRO</t>
  </si>
  <si>
    <t xml:space="preserve">HELGA IVER BUENO FERREIRA</t>
  </si>
  <si>
    <t xml:space="preserve">SILVIO LUIS DE S LEMES</t>
  </si>
  <si>
    <t xml:space="preserve">DAVID DE SOUZA</t>
  </si>
  <si>
    <t xml:space="preserve">AIRTON SOUTO MARQUES</t>
  </si>
  <si>
    <t xml:space="preserve">MERCEARIA E ACOUGUE AIRTON</t>
  </si>
  <si>
    <t xml:space="preserve">ORIVALDO FERREIRA GONCALVES - ME</t>
  </si>
  <si>
    <t xml:space="preserve">CONV.DO BAIANO</t>
  </si>
  <si>
    <t xml:space="preserve">JOSE APARECIDO CASTELLI</t>
  </si>
  <si>
    <t xml:space="preserve">MERCEARIA TROPICAL</t>
  </si>
  <si>
    <t xml:space="preserve">NELSON GABBIATTI</t>
  </si>
  <si>
    <t xml:space="preserve">POSTO GAUCHO I</t>
  </si>
  <si>
    <t xml:space="preserve">ILTON PEREIRA FRANCA</t>
  </si>
  <si>
    <t xml:space="preserve">PANIF CAMPO GRANDE</t>
  </si>
  <si>
    <t xml:space="preserve">MARIA JOSE DIOGENES NOGUEIRA</t>
  </si>
  <si>
    <t xml:space="preserve">ZEZE COMVENIENCIAS</t>
  </si>
  <si>
    <t xml:space="preserve">BEATRIZ DAS GRACAS MARTINS DUARTE</t>
  </si>
  <si>
    <t xml:space="preserve">PEGUE PAGUE SANTA CLARA</t>
  </si>
  <si>
    <t xml:space="preserve">EDINELSON FERREIRA MARQUES</t>
  </si>
  <si>
    <t xml:space="preserve">MERCADO SAO CRISTOVAO</t>
  </si>
  <si>
    <t xml:space="preserve">JOAO LOPES CORDEIRO</t>
  </si>
  <si>
    <t xml:space="preserve">APARECIDO JOSE EGIDIO MUSSATO</t>
  </si>
  <si>
    <t xml:space="preserve">POUSADA BRASIL</t>
  </si>
  <si>
    <t xml:space="preserve">MARIA TEREZINHA DO SANTOS</t>
  </si>
  <si>
    <t xml:space="preserve">PANIF CONF BRUNELLA</t>
  </si>
  <si>
    <t xml:space="preserve">ADMILSON SAPRICIO DE BRITO</t>
  </si>
  <si>
    <t xml:space="preserve">CONVENIENCIA CARANDA</t>
  </si>
  <si>
    <t xml:space="preserve">SANDRA REGINA MESSIAS DE LIMA</t>
  </si>
  <si>
    <t xml:space="preserve">CRISTIANE PALADINO ARIAS</t>
  </si>
  <si>
    <t xml:space="preserve">BAR E MERCEARIA DOIS IRMAOS</t>
  </si>
  <si>
    <t xml:space="preserve">JEAN FABIO PEREIRA SANTOS</t>
  </si>
  <si>
    <t xml:space="preserve">CONVENIENCIA BAHIA</t>
  </si>
  <si>
    <t xml:space="preserve">WALDEMAR MUNIZ SOARES</t>
  </si>
  <si>
    <t xml:space="preserve">ALBERTINO JOSE GRAH</t>
  </si>
  <si>
    <t xml:space="preserve">CONVENIENCIA PORTO CARREIRO</t>
  </si>
  <si>
    <t xml:space="preserve">VALDOMIRO AFONSO BEZERRA</t>
  </si>
  <si>
    <t xml:space="preserve">MERCEARIA DO VALMIRO</t>
  </si>
  <si>
    <t xml:space="preserve">CARLOS AUGUSTO DUTRA</t>
  </si>
  <si>
    <t xml:space="preserve">COMERCIAL DUTRA</t>
  </si>
  <si>
    <t xml:space="preserve">ROSALINA SANTOS DE MATOS LOPES</t>
  </si>
  <si>
    <t xml:space="preserve">ANITA SOARES DE OLIVEIRA</t>
  </si>
  <si>
    <t xml:space="preserve">BAR DO CAXOTE</t>
  </si>
  <si>
    <t xml:space="preserve">MARIA ANTONIA MENDONCA PEREIRA</t>
  </si>
  <si>
    <t xml:space="preserve">MERCEARIA N SRA</t>
  </si>
  <si>
    <t xml:space="preserve">LEDIR MIRANDA DE ARRUDA</t>
  </si>
  <si>
    <t xml:space="preserve">MERCEARIA TIO BASTOS</t>
  </si>
  <si>
    <t xml:space="preserve">MARIA VANIR GONCALVES DA SILVA</t>
  </si>
  <si>
    <t xml:space="preserve">LANCHONETE PENELOPE</t>
  </si>
  <si>
    <t xml:space="preserve">NEUZA EUGENIO PEREIRA</t>
  </si>
  <si>
    <t xml:space="preserve">CONVENIENCIA TENTACAO</t>
  </si>
  <si>
    <t xml:space="preserve">PAULO ROBERTO FRANCA</t>
  </si>
  <si>
    <t xml:space="preserve">MINI MERCADO PAULAO</t>
  </si>
  <si>
    <t xml:space="preserve">JOSE FERREIRA DA CUNHA</t>
  </si>
  <si>
    <t xml:space="preserve">MERCADO ITALIA</t>
  </si>
  <si>
    <t xml:space="preserve">ALENCAR APARECIDO DO NASCIMENTO</t>
  </si>
  <si>
    <t xml:space="preserve">ALENCAR APARECIDO DO NASCIMENT</t>
  </si>
  <si>
    <t xml:space="preserve">ACEMAR LUIZ DE COROLOVA</t>
  </si>
  <si>
    <t xml:space="preserve">PAES E ALGO MAIS</t>
  </si>
  <si>
    <t xml:space="preserve">OZAEL SILVA</t>
  </si>
  <si>
    <t xml:space="preserve">EDUARDO MARTINS</t>
  </si>
  <si>
    <t xml:space="preserve">CASA DE CARNE MARTINS</t>
  </si>
  <si>
    <t xml:space="preserve">MARIA APARECIDA PEREIRA MALAFAIA</t>
  </si>
  <si>
    <t xml:space="preserve">LANCHONETE DO DECAO</t>
  </si>
  <si>
    <t xml:space="preserve">JOSE APARECIDO RODRIGUES</t>
  </si>
  <si>
    <t xml:space="preserve">PARADA UNICA</t>
  </si>
  <si>
    <t xml:space="preserve">ORLANDO V BELARMINO</t>
  </si>
  <si>
    <t xml:space="preserve">MERC BELARMINO</t>
  </si>
  <si>
    <t xml:space="preserve">CARLOS EDUARDO DE CASTRO E LIMA</t>
  </si>
  <si>
    <t xml:space="preserve">CONVENIENCIA SAO JOSE</t>
  </si>
  <si>
    <t xml:space="preserve">MARCILIO BARDOLIA DE OLIVEIRA</t>
  </si>
  <si>
    <t xml:space="preserve">MERCADO NORTE SUL</t>
  </si>
  <si>
    <t xml:space="preserve">JOSE DE FREITAS SENA</t>
  </si>
  <si>
    <t xml:space="preserve">JUCENA CARDOSO</t>
  </si>
  <si>
    <t xml:space="preserve">EDI REZENDE DUTRA</t>
  </si>
  <si>
    <t xml:space="preserve">EDI VARIEDADE</t>
  </si>
  <si>
    <t xml:space="preserve">HELENA RIBEIRO SOUZA</t>
  </si>
  <si>
    <t xml:space="preserve">MERCEARIA DOMINGO</t>
  </si>
  <si>
    <t xml:space="preserve">MARIO JORGE CARDOSO CHIAD</t>
  </si>
  <si>
    <t xml:space="preserve">ROBERTO BORGES DE FARIAS</t>
  </si>
  <si>
    <t xml:space="preserve">CONVENIENCIA BORGES</t>
  </si>
  <si>
    <t xml:space="preserve">PEDRO SILVA DE MENEZES</t>
  </si>
  <si>
    <t xml:space="preserve">CONVENIENCIA BRASIL</t>
  </si>
  <si>
    <t xml:space="preserve">NELSON MARQUES PINTO</t>
  </si>
  <si>
    <t xml:space="preserve">MERCEARIA MARQUES</t>
  </si>
  <si>
    <t xml:space="preserve">GILBERTO DA SILVA MELO</t>
  </si>
  <si>
    <t xml:space="preserve">REST A CASEIRA</t>
  </si>
  <si>
    <t xml:space="preserve">JOSE CARLOS LEAL</t>
  </si>
  <si>
    <t xml:space="preserve">CASA DE CARNE BIFE BOM</t>
  </si>
  <si>
    <t xml:space="preserve">JOSE CARLOS FERREIRA</t>
  </si>
  <si>
    <t xml:space="preserve">LANCHONETE DECAO</t>
  </si>
  <si>
    <t xml:space="preserve">ANTONIO DE FREITAS</t>
  </si>
  <si>
    <t xml:space="preserve">MARLENE MARIA VILELA</t>
  </si>
  <si>
    <t xml:space="preserve">PANIFICADORA 2000</t>
  </si>
  <si>
    <t xml:space="preserve">HUMBERTO BOGARIM GONCALVES</t>
  </si>
  <si>
    <t xml:space="preserve">SACOLAO CENTRAL</t>
  </si>
  <si>
    <t xml:space="preserve">RANIEL PRUDENCIO BARBOSA</t>
  </si>
  <si>
    <t xml:space="preserve">MINI BOX SANTA MARIA</t>
  </si>
  <si>
    <t xml:space="preserve">JOSE DE JESUS DUARTE</t>
  </si>
  <si>
    <t xml:space="preserve">BAR SIMAO</t>
  </si>
  <si>
    <t xml:space="preserve">EDSON MACHADO DA SILVA</t>
  </si>
  <si>
    <t xml:space="preserve">MERCEARIA ISABELA</t>
  </si>
  <si>
    <t xml:space="preserve">SERGIO APARECIDO LOURENCO</t>
  </si>
  <si>
    <t xml:space="preserve">PANF BOM GOSTO</t>
  </si>
  <si>
    <t xml:space="preserve">JOSE CARLOS LEMOS RIBEIRO</t>
  </si>
  <si>
    <t xml:space="preserve">REST RIBEIRO</t>
  </si>
  <si>
    <t xml:space="preserve">OSTENIL FRANCISCO DA SILVA</t>
  </si>
  <si>
    <t xml:space="preserve">DEP MAT CASSIA</t>
  </si>
  <si>
    <t xml:space="preserve">DERCY RAMOS NOGUEIRA</t>
  </si>
  <si>
    <t xml:space="preserve">VALDEMIR SANTOS LINO</t>
  </si>
  <si>
    <t xml:space="preserve">JOSE LEONIDAS GOMES</t>
  </si>
  <si>
    <t xml:space="preserve">MERCEARIA J N</t>
  </si>
  <si>
    <t xml:space="preserve">NADIR ALZIRA DOS SANTOS</t>
  </si>
  <si>
    <t xml:space="preserve">ADEMAR ANTONIO RIGOTTI</t>
  </si>
  <si>
    <t xml:space="preserve">PANIF DO LAGO</t>
  </si>
  <si>
    <t xml:space="preserve">ANA PAULA DOS SANTOS</t>
  </si>
  <si>
    <t xml:space="preserve">CONVENIENCIA PAULISTA</t>
  </si>
  <si>
    <t xml:space="preserve">ADRIANO SILVA ALVES</t>
  </si>
  <si>
    <t xml:space="preserve">MERCADO MEL</t>
  </si>
  <si>
    <t xml:space="preserve">JOAO BATISTA GONCALVES</t>
  </si>
  <si>
    <t xml:space="preserve">PANIFICADORA GABRIELA</t>
  </si>
  <si>
    <t xml:space="preserve">VALTER MOACIR DA SILVA</t>
  </si>
  <si>
    <t xml:space="preserve">BAR E LENCHONETE TRES MARIAS</t>
  </si>
  <si>
    <t xml:space="preserve">JUDINEI MARIA SUEKO KAMACILO</t>
  </si>
  <si>
    <t xml:space="preserve">SOBARIA C.PASTEL PCA.IMIGRANTE</t>
  </si>
  <si>
    <t xml:space="preserve">HERONDINA MARTINS DA SILVA</t>
  </si>
  <si>
    <t xml:space="preserve">JOSE BERNARDINO DA SILVA</t>
  </si>
  <si>
    <t xml:space="preserve">PANF BONANZA</t>
  </si>
  <si>
    <t xml:space="preserve">NICANOR RODRIGUES DA SANTOS</t>
  </si>
  <si>
    <t xml:space="preserve">RITA DE CASSIA GOMES</t>
  </si>
  <si>
    <t xml:space="preserve">SERV JA</t>
  </si>
  <si>
    <t xml:space="preserve">SILEY DE SOUZA FERREIRA SILVA</t>
  </si>
  <si>
    <t xml:space="preserve">PANF E MERCADO RENASCER</t>
  </si>
  <si>
    <t xml:space="preserve">LENIZ ESTEVAO DA CUNHA</t>
  </si>
  <si>
    <t xml:space="preserve">MERCEARIA DA DIVISA</t>
  </si>
  <si>
    <t xml:space="preserve">HONORIO FERNANDES REIS</t>
  </si>
  <si>
    <t xml:space="preserve">BANCA MODULAR</t>
  </si>
  <si>
    <t xml:space="preserve">JERONIMO GUIMARAES COSTA</t>
  </si>
  <si>
    <t xml:space="preserve">CONVENIENCIA PANTANAL</t>
  </si>
  <si>
    <t xml:space="preserve">BENEDITO M. DE OLIVEIRA</t>
  </si>
  <si>
    <t xml:space="preserve">MERCADO NARELI</t>
  </si>
  <si>
    <t xml:space="preserve">LIVANETE LEONICIA RODRIGUES</t>
  </si>
  <si>
    <t xml:space="preserve">VALMOR NATAL  CEOLIN</t>
  </si>
  <si>
    <t xml:space="preserve">BOCHA CONVENIENCIA</t>
  </si>
  <si>
    <t xml:space="preserve">TATIANA AROSSA ROI</t>
  </si>
  <si>
    <t xml:space="preserve">PANF TONINHO</t>
  </si>
  <si>
    <t xml:space="preserve">ALMIR PANDOLFO</t>
  </si>
  <si>
    <t xml:space="preserve">SORVETERIA ALPAN</t>
  </si>
  <si>
    <t xml:space="preserve">ALMAD HAIDAR</t>
  </si>
  <si>
    <t xml:space="preserve">MERCEARIA DULAR</t>
  </si>
  <si>
    <t xml:space="preserve">MARIA DE FATIMA LIMA</t>
  </si>
  <si>
    <t xml:space="preserve">PANF VITORIO</t>
  </si>
  <si>
    <t xml:space="preserve">AMASI DO CARMO SOUZA</t>
  </si>
  <si>
    <t xml:space="preserve">MERC DOMA ZINHA</t>
  </si>
  <si>
    <t xml:space="preserve">LUZIA PERES RODRIGUES</t>
  </si>
  <si>
    <t xml:space="preserve">PADARIA DOM BOSCO</t>
  </si>
  <si>
    <t xml:space="preserve">JOSE RENILDO DE MENEZES</t>
  </si>
  <si>
    <t xml:space="preserve">GETULIO CANDIDO DA SILVA</t>
  </si>
  <si>
    <t xml:space="preserve">COPAGAZ CONV</t>
  </si>
  <si>
    <t xml:space="preserve">JOANA BENTO</t>
  </si>
  <si>
    <t xml:space="preserve">MERCEARIA BOA ESPERANCA</t>
  </si>
  <si>
    <t xml:space="preserve">MARIA APARECIDA LOURENCO</t>
  </si>
  <si>
    <t xml:space="preserve">MERCADINHO VITORIA</t>
  </si>
  <si>
    <t xml:space="preserve">AMADO SEVERINO DA SILVA</t>
  </si>
  <si>
    <t xml:space="preserve">SANTA CLARA</t>
  </si>
  <si>
    <t xml:space="preserve">ANDRE TRAZZI FILHO</t>
  </si>
  <si>
    <t xml:space="preserve">MARIA LEONIR COELHO</t>
  </si>
  <si>
    <t xml:space="preserve">MERCADO PRIMAVERA</t>
  </si>
  <si>
    <t xml:space="preserve">ADRIANA DOS SANTOS SILVA LARANDOSKI</t>
  </si>
  <si>
    <t xml:space="preserve">FARMACIA VIDA</t>
  </si>
  <si>
    <t xml:space="preserve">ANDERSON SOUZA LAGOA</t>
  </si>
  <si>
    <t xml:space="preserve">MERC PAULISTA</t>
  </si>
  <si>
    <t xml:space="preserve">CICERA ENERSTINA DA SILVA</t>
  </si>
  <si>
    <t xml:space="preserve">MERCADO L.S</t>
  </si>
  <si>
    <t xml:space="preserve">CELINA DA CONCEICAO MARQUES</t>
  </si>
  <si>
    <t xml:space="preserve">BERTINO HAAS</t>
  </si>
  <si>
    <t xml:space="preserve">PANIF SAO BENTO</t>
  </si>
  <si>
    <t xml:space="preserve">BENIZ ISMAEL DOS SANTOS</t>
  </si>
  <si>
    <t xml:space="preserve">MERCADO J B</t>
  </si>
  <si>
    <t xml:space="preserve">SANDRA R A RODRIGUES</t>
  </si>
  <si>
    <t xml:space="preserve">RESTAURANTE KI FESTA</t>
  </si>
  <si>
    <t xml:space="preserve">ADEMIR JOSE SILVA</t>
  </si>
  <si>
    <t xml:space="preserve">CONV VITORIA</t>
  </si>
  <si>
    <t xml:space="preserve">CRISTIMIANA GIMENES</t>
  </si>
  <si>
    <t xml:space="preserve">MERCEARIA GIMENES</t>
  </si>
  <si>
    <t xml:space="preserve">SERGIO ANTONIO NUNES PEREIRA</t>
  </si>
  <si>
    <t xml:space="preserve">COMERCIAL K S K S</t>
  </si>
  <si>
    <t xml:space="preserve">VALDIR DE OLIVEIRA COELHO</t>
  </si>
  <si>
    <t xml:space="preserve">MERCEARIA DO VALDIR</t>
  </si>
  <si>
    <t xml:space="preserve">LUCIANO DOS SANTOS</t>
  </si>
  <si>
    <t xml:space="preserve">GERALDO CRUZ JUNIOR</t>
  </si>
  <si>
    <t xml:space="preserve">PASTEL &amp; CIA</t>
  </si>
  <si>
    <t xml:space="preserve">PEDRO VENANCIO DE CARVALHO</t>
  </si>
  <si>
    <t xml:space="preserve">PANF DELICATA</t>
  </si>
  <si>
    <t xml:space="preserve">ALICE FERREIRA NEVES</t>
  </si>
  <si>
    <t xml:space="preserve">APARECIDA DE FATIMA GATTI</t>
  </si>
  <si>
    <t xml:space="preserve">MERC MONTANHA</t>
  </si>
  <si>
    <t xml:space="preserve">MARIA INES DOS REIS BERTOLDI</t>
  </si>
  <si>
    <t xml:space="preserve">SM DUVALE</t>
  </si>
  <si>
    <t xml:space="preserve">JOAO BENEVIDES</t>
  </si>
  <si>
    <t xml:space="preserve">GENALDO OLIVEIRA LIMA</t>
  </si>
  <si>
    <t xml:space="preserve">JAIR ZANDONI</t>
  </si>
  <si>
    <t xml:space="preserve">MERCEARIA J L</t>
  </si>
  <si>
    <t xml:space="preserve">ANTONIO RAMOS GONCALVES</t>
  </si>
  <si>
    <t xml:space="preserve">MERCEARIA RAMOS</t>
  </si>
  <si>
    <t xml:space="preserve">ALMIRA SOUZA MENDOCA</t>
  </si>
  <si>
    <t xml:space="preserve">FLORICULTURA ROSALANDIA</t>
  </si>
  <si>
    <t xml:space="preserve">LUIZ MARCIO PIRES</t>
  </si>
  <si>
    <t xml:space="preserve">MERCADO E ACOUG MM</t>
  </si>
  <si>
    <t xml:space="preserve">VANESSA CRUZ DA SILVA</t>
  </si>
  <si>
    <t xml:space="preserve">PAO E LEITE</t>
  </si>
  <si>
    <t xml:space="preserve">CLAUDIO ANTONIO RODRIGUES</t>
  </si>
  <si>
    <t xml:space="preserve">MERCEARIA TRINFO</t>
  </si>
  <si>
    <t xml:space="preserve">JUSCELINO TEIXEIRA DA ROSA</t>
  </si>
  <si>
    <t xml:space="preserve">SACOLAO DURAES</t>
  </si>
  <si>
    <t xml:space="preserve">TERESINHA MARIA MARTINS</t>
  </si>
  <si>
    <t xml:space="preserve">ENZO NASCIMENTO FERNANDES</t>
  </si>
  <si>
    <t xml:space="preserve">ENZO CONVENIENCIA</t>
  </si>
  <si>
    <t xml:space="preserve">RAMONA MACEDO ARAUJO</t>
  </si>
  <si>
    <t xml:space="preserve">LANCHONETE PINGO DE OURO</t>
  </si>
  <si>
    <t xml:space="preserve">JOSE BATISTA</t>
  </si>
  <si>
    <t xml:space="preserve">JOSE VICENTE FERREIRA</t>
  </si>
  <si>
    <t xml:space="preserve">SERGIO PALHANO MACHADO</t>
  </si>
  <si>
    <t xml:space="preserve">MERC E ACOUGUE SUELEN</t>
  </si>
  <si>
    <t xml:space="preserve">JAIRO GRACIOSO DA SILVA</t>
  </si>
  <si>
    <t xml:space="preserve">AUTO POSTO VELOSO</t>
  </si>
  <si>
    <t xml:space="preserve">MARILDA MARIN PUCHETA</t>
  </si>
  <si>
    <t xml:space="preserve">RESIDENCIA IRMA DO VENDEDOR</t>
  </si>
  <si>
    <t xml:space="preserve">ODIR MENDONCA DA SILVA</t>
  </si>
  <si>
    <t xml:space="preserve">MERCADO ACOUGUE BOM PRECO</t>
  </si>
  <si>
    <t xml:space="preserve">ADAMASTOR DE COSTA</t>
  </si>
  <si>
    <t xml:space="preserve">DOM PAULLIJI</t>
  </si>
  <si>
    <t xml:space="preserve">ARMINDO ALVES</t>
  </si>
  <si>
    <t xml:space="preserve">CONVENIENCIA COHAB</t>
  </si>
  <si>
    <t xml:space="preserve">AIDOS AURELIO BENVENUTTI</t>
  </si>
  <si>
    <t xml:space="preserve">BENVENUTTI E BENVENUTTI</t>
  </si>
  <si>
    <t xml:space="preserve">NUCILEY MARTINS SILVEIRA</t>
  </si>
  <si>
    <t xml:space="preserve">PREGO E CIA</t>
  </si>
  <si>
    <t xml:space="preserve">MANOEL ROMAO DO NASCIMENTO</t>
  </si>
  <si>
    <t xml:space="preserve">ACOUGUE E MERCEARIA MIRANDA</t>
  </si>
  <si>
    <t xml:space="preserve">LEOCIR AVILA</t>
  </si>
  <si>
    <t xml:space="preserve">MERCEARIA L M</t>
  </si>
  <si>
    <t xml:space="preserve">NATALINO LEITE DE OLIVEIRA</t>
  </si>
  <si>
    <t xml:space="preserve">ELZIRA GARCIA LEDESMA</t>
  </si>
  <si>
    <t xml:space="preserve">SORV E CAF GOTAS DE CHOCOLATE</t>
  </si>
  <si>
    <t xml:space="preserve">JALBA COSTA DE BARROS</t>
  </si>
  <si>
    <t xml:space="preserve">MERCADO J 2</t>
  </si>
  <si>
    <t xml:space="preserve">ILCO ROSSATTI</t>
  </si>
  <si>
    <t xml:space="preserve">MERC ESCALAS</t>
  </si>
  <si>
    <t xml:space="preserve">NEUZA CORREA SOARES</t>
  </si>
  <si>
    <t xml:space="preserve">PANIF ULAS</t>
  </si>
  <si>
    <t xml:space="preserve">VALDECIR JOSE CARNEVALLE</t>
  </si>
  <si>
    <t xml:space="preserve">LANCH MARTINELI</t>
  </si>
  <si>
    <t xml:space="preserve">MARIA DE FATIMA MARTINS DOS SANTOS</t>
  </si>
  <si>
    <t xml:space="preserve">ARAUJO FERREIRA DE AGUIAR</t>
  </si>
  <si>
    <t xml:space="preserve">PNIF 2000</t>
  </si>
  <si>
    <t xml:space="preserve">OLIVIO OLSEN DOLBINA</t>
  </si>
  <si>
    <t xml:space="preserve">MERCADINHO LEGAL</t>
  </si>
  <si>
    <t xml:space="preserve">ARACY BELALIAN FIGUEIRO</t>
  </si>
  <si>
    <t xml:space="preserve">POUSADA PORTO BELLO BONITO/MS</t>
  </si>
  <si>
    <t xml:space="preserve">RUI BARBOSA BATISTA</t>
  </si>
  <si>
    <t xml:space="preserve">BAR E MERCEARIA DOCAS</t>
  </si>
  <si>
    <t xml:space="preserve">S.N.DA CUNHA - ME</t>
  </si>
  <si>
    <t xml:space="preserve">BEBI.COM S</t>
  </si>
  <si>
    <t xml:space="preserve">ZILDO DA SILVA LOPES</t>
  </si>
  <si>
    <t xml:space="preserve">SACOLAO DA ECONOMIA</t>
  </si>
  <si>
    <t xml:space="preserve">ORLANDO TOSHIHIRO YAMAUCHI - ME</t>
  </si>
  <si>
    <t xml:space="preserve">DIST. DE BEBIDAS TRES ESTRELAS</t>
  </si>
  <si>
    <t xml:space="preserve">HELENA DE JESUS GOMES</t>
  </si>
  <si>
    <t xml:space="preserve">LUIZ SANTANA DOS SANTOS</t>
  </si>
  <si>
    <t xml:space="preserve">ADALTO ROSA BILAIA</t>
  </si>
  <si>
    <t xml:space="preserve">PADARIA E MERCEARIA BILAIA</t>
  </si>
  <si>
    <t xml:space="preserve">JOSE MARIA MOREIRA DA SILVA</t>
  </si>
  <si>
    <t xml:space="preserve">DEJALMA SOARES DA SILVA</t>
  </si>
  <si>
    <t xml:space="preserve">MERCEARIA CONVENIENCIA MONTE A</t>
  </si>
  <si>
    <t xml:space="preserve">FRANCISCO VIANA DA SILVA</t>
  </si>
  <si>
    <t xml:space="preserve">PADARIA CALIFORNIA II</t>
  </si>
  <si>
    <t xml:space="preserve">MARCO TULIO SILVA</t>
  </si>
  <si>
    <t xml:space="preserve">ANAURILENE DOS SANTOS</t>
  </si>
  <si>
    <t xml:space="preserve">MINE MERCADO MORADA DO SOL</t>
  </si>
  <si>
    <t xml:space="preserve">DANIEL LOPES DE ABREU</t>
  </si>
  <si>
    <t xml:space="preserve">CICERO FLORENCIO DOS SANTOS</t>
  </si>
  <si>
    <t xml:space="preserve">MERCADO ALVES</t>
  </si>
  <si>
    <t xml:space="preserve">EDINA GOMES DA CUNHA</t>
  </si>
  <si>
    <t xml:space="preserve">MERCADO COMPRE CERTO</t>
  </si>
  <si>
    <t xml:space="preserve">JOSE ELTER RIBEIRO CARDOSO</t>
  </si>
  <si>
    <t xml:space="preserve">SERGIO V.NUNES</t>
  </si>
  <si>
    <t xml:space="preserve">MERCEARIA DO SERGINHO</t>
  </si>
  <si>
    <t xml:space="preserve">RUBENS GEMENES MAIA</t>
  </si>
  <si>
    <t xml:space="preserve">RUBENS GEMENES</t>
  </si>
  <si>
    <t xml:space="preserve">FERNANDO FERREIRA DA SILVA</t>
  </si>
  <si>
    <t xml:space="preserve">BAR DO CORINTHIANO</t>
  </si>
  <si>
    <t xml:space="preserve">MIGUEL</t>
  </si>
  <si>
    <t xml:space="preserve">TENIS CLUBE</t>
  </si>
  <si>
    <t xml:space="preserve">ELIZEU RAMOS CUSTODIO</t>
  </si>
  <si>
    <t xml:space="preserve">MERCEARIA SUYANE</t>
  </si>
  <si>
    <t xml:space="preserve">VALDIR SILVEIRA ALVES</t>
  </si>
  <si>
    <t xml:space="preserve">MERCEARIA SILVEIRA</t>
  </si>
  <si>
    <t xml:space="preserve">KATIA REGINA GONCALVES DA SILVA</t>
  </si>
  <si>
    <t xml:space="preserve">MERCEARIA KATIA</t>
  </si>
  <si>
    <t xml:space="preserve">ILZONIRA EMEDINO DA SILVA</t>
  </si>
  <si>
    <t xml:space="preserve">PANF ALINCA</t>
  </si>
  <si>
    <t xml:space="preserve">OSCAR DONIZETE BRAGA</t>
  </si>
  <si>
    <t xml:space="preserve">MERCADO LUANA</t>
  </si>
  <si>
    <t xml:space="preserve">LUCI BENTOS RIBEIRO</t>
  </si>
  <si>
    <t xml:space="preserve">MERCADO RIBEIRO</t>
  </si>
  <si>
    <t xml:space="preserve">JURANDIR SARAIVA</t>
  </si>
  <si>
    <t xml:space="preserve">CONVENIENCIA MOJUREN</t>
  </si>
  <si>
    <t xml:space="preserve">MARIA APAR LIMA DA SILVA</t>
  </si>
  <si>
    <t xml:space="preserve">MERCADO NATAL</t>
  </si>
  <si>
    <t xml:space="preserve">LUCIMAR RIBEIRO DA SILVEIRA</t>
  </si>
  <si>
    <t xml:space="preserve">SACOLAO SALSA E CEBOLINHA</t>
  </si>
  <si>
    <t xml:space="preserve">MARINALVA CARDOSO PRIMO</t>
  </si>
  <si>
    <t xml:space="preserve">MARIA CLEUZA DE ANDRADE ARAUJO - ME</t>
  </si>
  <si>
    <t xml:space="preserve">LANCHONETE VITORIA</t>
  </si>
  <si>
    <t xml:space="preserve">SENEI MARTINS DE SOUZA</t>
  </si>
  <si>
    <t xml:space="preserve">SENEI LANCHES</t>
  </si>
  <si>
    <t xml:space="preserve">FERNANDO AUGUSTO ABDUL AHAD</t>
  </si>
  <si>
    <t xml:space="preserve">HOSP CANDIDO MARIANO</t>
  </si>
  <si>
    <t xml:space="preserve">CARLOS CORREA ANDRADE</t>
  </si>
  <si>
    <t xml:space="preserve">MERCADO CORREA</t>
  </si>
  <si>
    <t xml:space="preserve">LUCIA LUCIANO DA SILVA</t>
  </si>
  <si>
    <t xml:space="preserve">EUZA ACOSTA DE ALMEIDA</t>
  </si>
  <si>
    <t xml:space="preserve">CESAR ROBERTO ROCHA</t>
  </si>
  <si>
    <t xml:space="preserve">MERCADO ROSA</t>
  </si>
  <si>
    <t xml:space="preserve">LUIS CARLOS DE SOUZA LIMA</t>
  </si>
  <si>
    <t xml:space="preserve">PANF CONF SAO LUIZ</t>
  </si>
  <si>
    <t xml:space="preserve">CARLOS APARECIDO DA CUNHA</t>
  </si>
  <si>
    <t xml:space="preserve">MERCADO STA CLARA</t>
  </si>
  <si>
    <t xml:space="preserve">MARIA ADELITA FERREIRA</t>
  </si>
  <si>
    <t xml:space="preserve">W L MERCEARIA</t>
  </si>
  <si>
    <t xml:space="preserve">BENEDITA RAMOS</t>
  </si>
  <si>
    <t xml:space="preserve">COMERCIAL FERREIRA</t>
  </si>
  <si>
    <t xml:space="preserve">EVA FRANCISCA DE OLIVEIRA</t>
  </si>
  <si>
    <t xml:space="preserve">MERCEARIA ARAUJO</t>
  </si>
  <si>
    <t xml:space="preserve">RIVAIL GONCALVES</t>
  </si>
  <si>
    <t xml:space="preserve">MERCEARIA RIVO</t>
  </si>
  <si>
    <t xml:space="preserve">NEIDE DE ARAUJO PEREIRA</t>
  </si>
  <si>
    <t xml:space="preserve">SEBASTIAO GONZAGA DE SOUZA</t>
  </si>
  <si>
    <t xml:space="preserve">CUCA-FRESCA SORVETES</t>
  </si>
  <si>
    <t xml:space="preserve">VALDIR ALVES DE JESUS</t>
  </si>
  <si>
    <t xml:space="preserve">SUCO &amp; CIA</t>
  </si>
  <si>
    <t xml:space="preserve">ENEAS SOUZA PAES</t>
  </si>
  <si>
    <t xml:space="preserve">CONV RODRIGAO</t>
  </si>
  <si>
    <t xml:space="preserve">HELOISA MOREIRA CACHO</t>
  </si>
  <si>
    <t xml:space="preserve">MERCEARIA JARDIM AMERICA</t>
  </si>
  <si>
    <t xml:space="preserve">JEIEL RODOVALHO MACIEL</t>
  </si>
  <si>
    <t xml:space="preserve">SM BARAO</t>
  </si>
  <si>
    <t xml:space="preserve">VERA LUCIA MARQUES RODRIGUES</t>
  </si>
  <si>
    <t xml:space="preserve">HOTEL A CASEIRA</t>
  </si>
  <si>
    <t xml:space="preserve">CONV CANAA</t>
  </si>
  <si>
    <t xml:space="preserve">JEAN PAULO DE LIMA GONCALVES</t>
  </si>
  <si>
    <t xml:space="preserve">CONVENIENCIA DO ESPIGA</t>
  </si>
  <si>
    <t xml:space="preserve">JOSE HAROLDO R DE ALMEIDA</t>
  </si>
  <si>
    <t xml:space="preserve">MERC C.CARNE S.MARCOS</t>
  </si>
  <si>
    <t xml:space="preserve">GUSTAVO DAVID GONCALVES</t>
  </si>
  <si>
    <t xml:space="preserve">CONV POSTO SAO JOSE</t>
  </si>
  <si>
    <t xml:space="preserve">BEATRIZ DE FATIMA SOARES</t>
  </si>
  <si>
    <t xml:space="preserve">CONVENIENCIA BIG STAR</t>
  </si>
  <si>
    <t xml:space="preserve">MARIA VILANI DE JESUS DOS REIS</t>
  </si>
  <si>
    <t xml:space="preserve">MERCEARIA REIS E MACEDO</t>
  </si>
  <si>
    <t xml:space="preserve">AURORA ROZA DA SILVA</t>
  </si>
  <si>
    <t xml:space="preserve">ANTONIO DA SILVA</t>
  </si>
  <si>
    <t xml:space="preserve">BAR DO ANTONIO</t>
  </si>
  <si>
    <t xml:space="preserve">WALDIR MARQUES DAUZAKER</t>
  </si>
  <si>
    <t xml:space="preserve">CIA DA CARNE</t>
  </si>
  <si>
    <t xml:space="preserve">MARIA AUXILIADORA M PLIMO</t>
  </si>
  <si>
    <t xml:space="preserve">DELICIAS DO TRIGO PAES CONV</t>
  </si>
  <si>
    <t xml:space="preserve">MARCIA REGINA DAS NEVES</t>
  </si>
  <si>
    <t xml:space="preserve">MERCADO PEROLA</t>
  </si>
  <si>
    <t xml:space="preserve">ANA LAURA SALZEIDAS</t>
  </si>
  <si>
    <t xml:space="preserve">PANF DICO</t>
  </si>
  <si>
    <t xml:space="preserve">JANAINA PEREIRA DE SOUZA</t>
  </si>
  <si>
    <t xml:space="preserve">CONV SANTISTA</t>
  </si>
  <si>
    <t xml:space="preserve">NARCELIO AUGUSTO TRIZOTTO</t>
  </si>
  <si>
    <t xml:space="preserve">MERCADO PAGAMI</t>
  </si>
  <si>
    <t xml:space="preserve">SANDRA REGINA FLORES</t>
  </si>
  <si>
    <t xml:space="preserve">PANIF SANTA RITA</t>
  </si>
  <si>
    <t xml:space="preserve">PEDRO CRESPE</t>
  </si>
  <si>
    <t xml:space="preserve">CARMELINA DAL PIVA</t>
  </si>
  <si>
    <t xml:space="preserve">PANIFICADORA ALBUQUERQUE</t>
  </si>
  <si>
    <t xml:space="preserve">FRANCISCO CELSO SORGATO</t>
  </si>
  <si>
    <t xml:space="preserve">PANIFICADORA PAO DE MEL</t>
  </si>
  <si>
    <t xml:space="preserve">CARMEN MARTINS BRAZ</t>
  </si>
  <si>
    <t xml:space="preserve">MINI MERCEARIA</t>
  </si>
  <si>
    <t xml:space="preserve">ARLETE TERESINHA HOFFMANN</t>
  </si>
  <si>
    <t xml:space="preserve">PANF PAO MORENO</t>
  </si>
  <si>
    <t xml:space="preserve">BONIFASIA ALUMA</t>
  </si>
  <si>
    <t xml:space="preserve">COMERCIAL GLADE</t>
  </si>
  <si>
    <t xml:space="preserve">ORLINDA LEITE PEREIRA</t>
  </si>
  <si>
    <t xml:space="preserve">MINI MERCADO CRISTAL</t>
  </si>
  <si>
    <t xml:space="preserve">LEANDRO VIRGINIA</t>
  </si>
  <si>
    <t xml:space="preserve">MERCADO TITAN</t>
  </si>
  <si>
    <t xml:space="preserve">NILTON ZANARDI</t>
  </si>
  <si>
    <t xml:space="preserve">MERCADO PONTO SUL</t>
  </si>
  <si>
    <t xml:space="preserve">LIDIA MIRANDA PASCHOAL</t>
  </si>
  <si>
    <t xml:space="preserve">MILTON ANTONIO GRISON</t>
  </si>
  <si>
    <t xml:space="preserve">JEANE VILMA RIBEIRO SANTOS</t>
  </si>
  <si>
    <t xml:space="preserve">CONV MG</t>
  </si>
  <si>
    <t xml:space="preserve">MARIA DA GLORIA BATISTA</t>
  </si>
  <si>
    <t xml:space="preserve">ELITON ALVES</t>
  </si>
  <si>
    <t xml:space="preserve">JOSE ALEXANDRE BATISTA</t>
  </si>
  <si>
    <t xml:space="preserve">CONV ESQUINA</t>
  </si>
  <si>
    <t xml:space="preserve">MARCOS ROBERTO GOMES FERREIRA</t>
  </si>
  <si>
    <t xml:space="preserve">CONV 24 HS MARCOS</t>
  </si>
  <si>
    <t xml:space="preserve">OSVALDO FELIZ DA SILVA</t>
  </si>
  <si>
    <t xml:space="preserve">SILVIO FONSECA</t>
  </si>
  <si>
    <t xml:space="preserve">LANC MERCADO VAGNER</t>
  </si>
  <si>
    <t xml:space="preserve">GENESIO FRANCISCO DE ANDRANDE</t>
  </si>
  <si>
    <t xml:space="preserve">LEONIR JOSE SERVININI</t>
  </si>
  <si>
    <t xml:space="preserve">PAD E MERCADO ESTRELA</t>
  </si>
  <si>
    <t xml:space="preserve">PEDRO VERDE</t>
  </si>
  <si>
    <t xml:space="preserve">MERCEARIA GEOVA</t>
  </si>
  <si>
    <t xml:space="preserve">VALDECIR LUIZ BASSO</t>
  </si>
  <si>
    <t xml:space="preserve">CASA DE CARNE SAO PEDRO</t>
  </si>
  <si>
    <t xml:space="preserve">ARTELAIR TROPEIA DOS SANTOS</t>
  </si>
  <si>
    <t xml:space="preserve">JORGE DOS SANTOS MENEZES</t>
  </si>
  <si>
    <t xml:space="preserve">MERCADO MENEZES</t>
  </si>
  <si>
    <t xml:space="preserve">SERGIO VALNIR SONEGO</t>
  </si>
  <si>
    <t xml:space="preserve">FRUTARIA DO SERGIO</t>
  </si>
  <si>
    <t xml:space="preserve">ANDERSON DIAS GOES</t>
  </si>
  <si>
    <t xml:space="preserve">CONVENIENICA ZE DO MATO</t>
  </si>
  <si>
    <t xml:space="preserve">JURACY PIZANE DOS REIS</t>
  </si>
  <si>
    <t xml:space="preserve">CONV POINT BAR</t>
  </si>
  <si>
    <t xml:space="preserve">MARIA APARECIDA DE C SOUZA</t>
  </si>
  <si>
    <t xml:space="preserve">FAVORITA LANCHES</t>
  </si>
  <si>
    <t xml:space="preserve">ERALICIA MACHADO DAMACENO</t>
  </si>
  <si>
    <t xml:space="preserve">BAR ESQUINA</t>
  </si>
  <si>
    <t xml:space="preserve">CARLOS LUIS DA CUNHA FERNANDES</t>
  </si>
  <si>
    <t xml:space="preserve">ADENILSON TEIXEIRA ARANTE</t>
  </si>
  <si>
    <t xml:space="preserve">POINT BAR E CONVENIENCIA</t>
  </si>
  <si>
    <t xml:space="preserve">MARIO AURENI SANTA RITA</t>
  </si>
  <si>
    <t xml:space="preserve">CANTINA AUTORAMA</t>
  </si>
  <si>
    <t xml:space="preserve">DANILO MANDETTA JUNIOR</t>
  </si>
  <si>
    <t xml:space="preserve">CANTINA MACE</t>
  </si>
  <si>
    <t xml:space="preserve">OSMARINA MARTINS SILVA</t>
  </si>
  <si>
    <t xml:space="preserve">PADARIA VITA</t>
  </si>
  <si>
    <t xml:space="preserve">WILSON SANCHES FILHO &amp; CIA</t>
  </si>
  <si>
    <t xml:space="preserve">JIVAN SANTOS</t>
  </si>
  <si>
    <t xml:space="preserve">RODOBAR</t>
  </si>
  <si>
    <t xml:space="preserve">MARIO ROSA MARQUES JUNIOR</t>
  </si>
  <si>
    <t xml:space="preserve">MERCEARIA ROSA</t>
  </si>
  <si>
    <t xml:space="preserve">SEBASTIAO HIPOLITO BARRETO</t>
  </si>
  <si>
    <t xml:space="preserve">PANF SAO SEBASTIAO</t>
  </si>
  <si>
    <t xml:space="preserve">LEUZENOR DA CRUZ BAZEI</t>
  </si>
  <si>
    <t xml:space="preserve">PALADAR CONFEITARIA</t>
  </si>
  <si>
    <t xml:space="preserve">ILTON DE MORAES</t>
  </si>
  <si>
    <t xml:space="preserve">MERCEARIA JANDAIA</t>
  </si>
  <si>
    <t xml:space="preserve">GERSON CERQUEIRA SANTOS</t>
  </si>
  <si>
    <t xml:space="preserve">BAR E MERCEARIA DO GERSON</t>
  </si>
  <si>
    <t xml:space="preserve">MARIA CONCEICAO RODRIGUES DE OLIVEIRA</t>
  </si>
  <si>
    <t xml:space="preserve">MERCADO XAVIER</t>
  </si>
  <si>
    <t xml:space="preserve">SELDA GARCIA</t>
  </si>
  <si>
    <t xml:space="preserve">MERCEARIA MENEZES E GARCIA</t>
  </si>
  <si>
    <t xml:space="preserve">FRANCISCOJOSE DA SILVA F.</t>
  </si>
  <si>
    <t xml:space="preserve">MERCADO FRANCIS</t>
  </si>
  <si>
    <t xml:space="preserve">JOSETE GARCIONI ADAMES</t>
  </si>
  <si>
    <t xml:space="preserve">CLINICA CRDIOLOGICA</t>
  </si>
  <si>
    <t xml:space="preserve">URBANO PAULO SANTI</t>
  </si>
  <si>
    <t xml:space="preserve">HOTEL ROMA</t>
  </si>
  <si>
    <t xml:space="preserve">VALDECI GONCALVES DE OLIVEIRA</t>
  </si>
  <si>
    <t xml:space="preserve">DIS DE GAS E MERCE OLIVEIRA</t>
  </si>
  <si>
    <t xml:space="preserve">JAIME P. DE MENEZES</t>
  </si>
  <si>
    <t xml:space="preserve">PANIFICADORA MILLI</t>
  </si>
  <si>
    <t xml:space="preserve">SERGIO EDUARDO LABIGALINE</t>
  </si>
  <si>
    <t xml:space="preserve">MERCADO FELIPE</t>
  </si>
  <si>
    <t xml:space="preserve">MARLEI ROCHA</t>
  </si>
  <si>
    <t xml:space="preserve">CONV ALTAS HORAS</t>
  </si>
  <si>
    <t xml:space="preserve">DIONISIO APARECIDO DE FREITAS</t>
  </si>
  <si>
    <t xml:space="preserve">ZERO GRAUS</t>
  </si>
  <si>
    <t xml:space="preserve">CLAUDIONOR ROSA</t>
  </si>
  <si>
    <t xml:space="preserve">MARIA JOANA A PEREIRA</t>
  </si>
  <si>
    <t xml:space="preserve">MERCADO SAO JOAO</t>
  </si>
  <si>
    <t xml:space="preserve">WALTER LIMA</t>
  </si>
  <si>
    <t xml:space="preserve">CONV N SHR APARECIDA</t>
  </si>
  <si>
    <t xml:space="preserve">EUNICE ANANIAS NOGUEIRA</t>
  </si>
  <si>
    <t xml:space="preserve">MARIA DO CARMO C BENETTE</t>
  </si>
  <si>
    <t xml:space="preserve">VALDECI ROSALINO TAVEIRA</t>
  </si>
  <si>
    <t xml:space="preserve">BAILAO DO PAO E MERCEARIA</t>
  </si>
  <si>
    <t xml:space="preserve">BENEDITA GONCALVES MAGALHAES</t>
  </si>
  <si>
    <t xml:space="preserve">ADELSON PEREIRA PASSOS</t>
  </si>
  <si>
    <t xml:space="preserve">CASA DE CARNE PASSOS</t>
  </si>
  <si>
    <t xml:space="preserve">VALDECE FREIRE DA SILVA</t>
  </si>
  <si>
    <t xml:space="preserve">PANIF PONTO COM</t>
  </si>
  <si>
    <t xml:space="preserve">ELIANA DO NASCIMENTO MARTINS</t>
  </si>
  <si>
    <t xml:space="preserve">MERCADO MILENA</t>
  </si>
  <si>
    <t xml:space="preserve">JOSE LUIZ BENITES</t>
  </si>
  <si>
    <t xml:space="preserve">WILSON NUNES FERREIRA</t>
  </si>
  <si>
    <t xml:space="preserve">CASA DE CARNES NUNES</t>
  </si>
  <si>
    <t xml:space="preserve">CELSO ANTONIO MARRA</t>
  </si>
  <si>
    <t xml:space="preserve">MERCEARIA MARRA</t>
  </si>
  <si>
    <t xml:space="preserve">VILSON URBANESKI</t>
  </si>
  <si>
    <t xml:space="preserve">REST BOMPALADAR</t>
  </si>
  <si>
    <t xml:space="preserve">ROSANE DALABRIDA BAY</t>
  </si>
  <si>
    <t xml:space="preserve">CONV ALENCAR</t>
  </si>
  <si>
    <t xml:space="preserve">CLAUDIO ALENCAR DE ALMEIDA</t>
  </si>
  <si>
    <t xml:space="preserve">BAR E MERC ALENCAR</t>
  </si>
  <si>
    <t xml:space="preserve">CLEODONICE SOARES DA SILVA</t>
  </si>
  <si>
    <t xml:space="preserve">CASA DE SUCO DA SILVA</t>
  </si>
  <si>
    <t xml:space="preserve">RONEY ASPT ALEM</t>
  </si>
  <si>
    <t xml:space="preserve">MINI MERCADO E PADARIA ISABELA</t>
  </si>
  <si>
    <t xml:space="preserve">SANDRA NASSER</t>
  </si>
  <si>
    <t xml:space="preserve">REST ACOCHEGO</t>
  </si>
  <si>
    <t xml:space="preserve">SANDRA MAGALI ALENCAR GON€ALVES</t>
  </si>
  <si>
    <t xml:space="preserve">PANIF SERVE BEM</t>
  </si>
  <si>
    <t xml:space="preserve">ADEMAR FRANCISCO DA SILVA</t>
  </si>
  <si>
    <t xml:space="preserve">HORA DO CAFE</t>
  </si>
  <si>
    <t xml:space="preserve">CICERO HENRIQUE ALMEIDA</t>
  </si>
  <si>
    <t xml:space="preserve">FRUTARIA ESPERANCA</t>
  </si>
  <si>
    <t xml:space="preserve">SIDNEY MIRANDA DA SILVA</t>
  </si>
  <si>
    <t xml:space="preserve">MERCEARIA ALEGRIA</t>
  </si>
  <si>
    <t xml:space="preserve">LAVINDO CANOLIDO DA SILVA</t>
  </si>
  <si>
    <t xml:space="preserve">MARIA CONCEICA VALENSUELOS</t>
  </si>
  <si>
    <t xml:space="preserve">LAUDICEIA LUIZ CABRAL DA COSTA</t>
  </si>
  <si>
    <t xml:space="preserve">FLAVIO KANASHIRO</t>
  </si>
  <si>
    <t xml:space="preserve">BARRACA DO JAPONES</t>
  </si>
  <si>
    <t xml:space="preserve">ALCI COSTA DOS SANTOS</t>
  </si>
  <si>
    <t xml:space="preserve">RESTAURANTE PARADA OBRIGATORIA</t>
  </si>
  <si>
    <t xml:space="preserve">VALMIR SILVEIRA GOMES</t>
  </si>
  <si>
    <t xml:space="preserve">MORENA LANCHES</t>
  </si>
  <si>
    <t xml:space="preserve">TEREZA APARECIDA CABRERA</t>
  </si>
  <si>
    <t xml:space="preserve">RODOLANCHES</t>
  </si>
  <si>
    <t xml:space="preserve">ELBADAQUI FARID AFIE</t>
  </si>
  <si>
    <t xml:space="preserve">LARA LANCHES</t>
  </si>
  <si>
    <t xml:space="preserve">NEIDE DE SOUZA LISBOA</t>
  </si>
  <si>
    <t xml:space="preserve">CARLOS EDURDO GOULART</t>
  </si>
  <si>
    <t xml:space="preserve">BALARIA</t>
  </si>
  <si>
    <t xml:space="preserve">THIAGO FELIPE  NEVES</t>
  </si>
  <si>
    <t xml:space="preserve">SUPERMERCADOS DIAS</t>
  </si>
  <si>
    <t xml:space="preserve">EDSON ALVES DA CUNHA</t>
  </si>
  <si>
    <t xml:space="preserve">MERCADO FERREIRA</t>
  </si>
  <si>
    <t xml:space="preserve">MARCIA RUBIA DA SILVA CONCEICAO</t>
  </si>
  <si>
    <t xml:space="preserve">CONV BRILHANTE</t>
  </si>
  <si>
    <t xml:space="preserve">DELCIO LIMA DOS SANTOS</t>
  </si>
  <si>
    <t xml:space="preserve">L L VARIEDADES</t>
  </si>
  <si>
    <t xml:space="preserve">SERGIO RICARDO S. CRIVELLENTE</t>
  </si>
  <si>
    <t xml:space="preserve">GRAFICA TREPICAL</t>
  </si>
  <si>
    <t xml:space="preserve">DOMINGOS CAMPO</t>
  </si>
  <si>
    <t xml:space="preserve">HONORINO MILESI</t>
  </si>
  <si>
    <t xml:space="preserve">MERCEARIA MILESI</t>
  </si>
  <si>
    <t xml:space="preserve">ADENAIR ROCHA</t>
  </si>
  <si>
    <t xml:space="preserve">PANIF E CONF</t>
  </si>
  <si>
    <t xml:space="preserve">AMARILDO P SANTOS</t>
  </si>
  <si>
    <t xml:space="preserve">AIRTON JORGE DE OLIVEIRA</t>
  </si>
  <si>
    <t xml:space="preserve">JOSENILDO DIAS</t>
  </si>
  <si>
    <t xml:space="preserve">CONV KELLEN</t>
  </si>
  <si>
    <t xml:space="preserve">OGOMAR JOSE MOHR</t>
  </si>
  <si>
    <t xml:space="preserve">MERCADO DRAKMAN</t>
  </si>
  <si>
    <t xml:space="preserve">MARLENE NUNES PEREIRA</t>
  </si>
  <si>
    <t xml:space="preserve">CANTINA ESCOLAR MAXIMA</t>
  </si>
  <si>
    <t xml:space="preserve">JOSE TEIXEIRA LUZ</t>
  </si>
  <si>
    <t xml:space="preserve">MERCEARIA DO ZEZINHO</t>
  </si>
  <si>
    <t xml:space="preserve">JOEL CABRAL MELO</t>
  </si>
  <si>
    <t xml:space="preserve">MERCADO PRADO</t>
  </si>
  <si>
    <t xml:space="preserve">AVANI CABRAL DE MELLO CASTRO</t>
  </si>
  <si>
    <t xml:space="preserve">MERCEARIA D11</t>
  </si>
  <si>
    <t xml:space="preserve">FRANCISCO ASSIS DE MELO</t>
  </si>
  <si>
    <t xml:space="preserve">MERCADO DO CHIQUINHO</t>
  </si>
  <si>
    <t xml:space="preserve">NEUZAMIR SOUZA DOS SANTOS</t>
  </si>
  <si>
    <t xml:space="preserve">MERCEARIA TATY</t>
  </si>
  <si>
    <t xml:space="preserve">MARIA JOSE SANTOS</t>
  </si>
  <si>
    <t xml:space="preserve">VILMA SOUZA NOGUEIRA</t>
  </si>
  <si>
    <t xml:space="preserve">MANOELITO DE SOUZA</t>
  </si>
  <si>
    <t xml:space="preserve">MINI MERCADO FREITAS</t>
  </si>
  <si>
    <t xml:space="preserve">GISELE S DE MEDEIROS RAGALZI</t>
  </si>
  <si>
    <t xml:space="preserve">RAGA'S LANCHES</t>
  </si>
  <si>
    <t xml:space="preserve">GILBERTO GONCALVES RIQUELME</t>
  </si>
  <si>
    <t xml:space="preserve">CONVENIENCIA E FRIOS SKINAO</t>
  </si>
  <si>
    <t xml:space="preserve">MAURO J.MARTINS</t>
  </si>
  <si>
    <t xml:space="preserve">MERC.BOM PRECO</t>
  </si>
  <si>
    <t xml:space="preserve">CLAUDIO ALVES AFONSO</t>
  </si>
  <si>
    <t xml:space="preserve">PANIFICADORA SOARES</t>
  </si>
  <si>
    <t xml:space="preserve">MARIA CARMEN FERREIRA MARIN</t>
  </si>
  <si>
    <t xml:space="preserve">ACOUGUE DO MARIN</t>
  </si>
  <si>
    <t xml:space="preserve">CACILDO LOPES - ME</t>
  </si>
  <si>
    <t xml:space="preserve">CANTINA CAMPOS (CAMPOS FUTEBOL</t>
  </si>
  <si>
    <t xml:space="preserve">NOELVIO GUTIERREZ LEITE</t>
  </si>
  <si>
    <t xml:space="preserve">NEUZA DE SOUZA LIMA</t>
  </si>
  <si>
    <t xml:space="preserve">MERCADO PARANA</t>
  </si>
  <si>
    <t xml:space="preserve">HERALDO FERREIRA MIRANDA</t>
  </si>
  <si>
    <t xml:space="preserve">PANIF DICO</t>
  </si>
  <si>
    <t xml:space="preserve">DIOLICIO JOSE DOS SANTOS</t>
  </si>
  <si>
    <t xml:space="preserve">JOSE ANTONIO SALES</t>
  </si>
  <si>
    <t xml:space="preserve">PADARIA TIA</t>
  </si>
  <si>
    <t xml:space="preserve">JOSE GONZAGA FILHO</t>
  </si>
  <si>
    <t xml:space="preserve">CONVENIENCIA ANHANDUI</t>
  </si>
  <si>
    <t xml:space="preserve">OSCAR DUALIBE FILHO</t>
  </si>
  <si>
    <t xml:space="preserve">MERCADINHO DA FARMACIA</t>
  </si>
  <si>
    <t xml:space="preserve">ROSA APARECIDA DE ALMEIDA</t>
  </si>
  <si>
    <t xml:space="preserve">MERCADO 4 PATAS</t>
  </si>
  <si>
    <t xml:space="preserve">ISAIAS CAMARGO CASTRO</t>
  </si>
  <si>
    <t xml:space="preserve">PADARIA MER J M</t>
  </si>
  <si>
    <t xml:space="preserve">ESTEVAO PEREIRA DE MATOS</t>
  </si>
  <si>
    <t xml:space="preserve">MERCADO CAVANHA</t>
  </si>
  <si>
    <t xml:space="preserve">SIVANILDO PEREIRA ALVES</t>
  </si>
  <si>
    <t xml:space="preserve">SORVETERIA PRA VOCE</t>
  </si>
  <si>
    <t xml:space="preserve">CRISTOVAO BRITES ORUE</t>
  </si>
  <si>
    <t xml:space="preserve">MERCEARIA DA CONQUISTA</t>
  </si>
  <si>
    <t xml:space="preserve">WANDERLEY VIEIRA DE OLIVEIRA</t>
  </si>
  <si>
    <t xml:space="preserve">MERCEARIA E SORVETERIA VERON</t>
  </si>
  <si>
    <t xml:space="preserve">MANOEL ALVES FRAZAO</t>
  </si>
  <si>
    <t xml:space="preserve">MERCADO FRAZAO</t>
  </si>
  <si>
    <t xml:space="preserve">CLEUSA DA SILVA BARBOSA</t>
  </si>
  <si>
    <t xml:space="preserve">ANA CLEUSA DA SILVA</t>
  </si>
  <si>
    <t xml:space="preserve">MERCEARIA MANCOES</t>
  </si>
  <si>
    <t xml:space="preserve">ISOLINA OLIVEIRA CORREA</t>
  </si>
  <si>
    <t xml:space="preserve">SM SAO JOSE</t>
  </si>
  <si>
    <t xml:space="preserve">NILSON PRATES DA SILVA</t>
  </si>
  <si>
    <t xml:space="preserve">MERCEARIA SAO FRANCISCO</t>
  </si>
  <si>
    <t xml:space="preserve">CREUZA DE SOUZA</t>
  </si>
  <si>
    <t xml:space="preserve">CONVENIENCIA PEG LEV</t>
  </si>
  <si>
    <t xml:space="preserve">VERA LUCIA MALUF NANTES</t>
  </si>
  <si>
    <t xml:space="preserve">LANCHONETE NANTES</t>
  </si>
  <si>
    <t xml:space="preserve">JANIO LEITE GUTIERRES</t>
  </si>
  <si>
    <t xml:space="preserve">BAR DO NICO</t>
  </si>
  <si>
    <t xml:space="preserve">BENICIA QUINHONES</t>
  </si>
  <si>
    <t xml:space="preserve">ORIOSWALDO ALVES</t>
  </si>
  <si>
    <t xml:space="preserve">UNO BAR</t>
  </si>
  <si>
    <t xml:space="preserve">UILSON ALVES DO SANTOS</t>
  </si>
  <si>
    <t xml:space="preserve">MINI MERCADO BETEL</t>
  </si>
  <si>
    <t xml:space="preserve">DINA CORREA DOURADO</t>
  </si>
  <si>
    <t xml:space="preserve">SM JUNIOR</t>
  </si>
  <si>
    <t xml:space="preserve">ROSILENE TEXEIRA DA SILVA</t>
  </si>
  <si>
    <t xml:space="preserve">ISABEL CRISTINA ORTELHADO</t>
  </si>
  <si>
    <t xml:space="preserve">VALDIR SANTANA</t>
  </si>
  <si>
    <t xml:space="preserve">RONALDO CHIMENES</t>
  </si>
  <si>
    <t xml:space="preserve">MARIA LUIZA GONCALVES BARBOSA</t>
  </si>
  <si>
    <t xml:space="preserve">MERCEARIA BARBOSA</t>
  </si>
  <si>
    <t xml:space="preserve">CELIO DIAS GIMENES</t>
  </si>
  <si>
    <t xml:space="preserve">CELIO</t>
  </si>
  <si>
    <t xml:space="preserve">MARIA DONIZETE BUENO</t>
  </si>
  <si>
    <t xml:space="preserve">CONVENIENCIA GOMES</t>
  </si>
  <si>
    <t xml:space="preserve">MARIA APARECIDA LOPES DOS SANTOS</t>
  </si>
  <si>
    <t xml:space="preserve">HUGO ANTONIO DIEDRICK</t>
  </si>
  <si>
    <t xml:space="preserve">MARINA GUIMARAES FERREIRA</t>
  </si>
  <si>
    <t xml:space="preserve">JACI LIMA LEITE MACIEL</t>
  </si>
  <si>
    <t xml:space="preserve">SONIA LOBET BELMONTE</t>
  </si>
  <si>
    <t xml:space="preserve">MERCEARIA PARQUE DO SOL</t>
  </si>
  <si>
    <t xml:space="preserve">ATERLIDES ANTONIO P ALMEIDA</t>
  </si>
  <si>
    <t xml:space="preserve">PANIFICADORA ESTRELA</t>
  </si>
  <si>
    <t xml:space="preserve">ROSANGELA SANTIN CAETANO</t>
  </si>
  <si>
    <t xml:space="preserve">BALNEARIO DO SOL</t>
  </si>
  <si>
    <t xml:space="preserve">SM MAGROSUL</t>
  </si>
  <si>
    <t xml:space="preserve">EDGAR ANTONIO SOARES DA SILVA</t>
  </si>
  <si>
    <t xml:space="preserve">PANIFICADORA AVENIDA</t>
  </si>
  <si>
    <t xml:space="preserve">ARIANE OZENE CARVALHO SILVA</t>
  </si>
  <si>
    <t xml:space="preserve">FRANCISCO NUNES DOS SANTOS</t>
  </si>
  <si>
    <t xml:space="preserve">BAR DO FRANCISCO</t>
  </si>
  <si>
    <t xml:space="preserve">MARIA LUIZA MEDINA TORRE</t>
  </si>
  <si>
    <t xml:space="preserve">CASA NOSSA SRA.APARECIDA</t>
  </si>
  <si>
    <t xml:space="preserve">FLAVIO JOSE MARIOTTI</t>
  </si>
  <si>
    <t xml:space="preserve">LANC TROPICAL</t>
  </si>
  <si>
    <t xml:space="preserve">MARILIA DA SILVA DE MOURA</t>
  </si>
  <si>
    <t xml:space="preserve">SITIOCAS</t>
  </si>
  <si>
    <t xml:space="preserve">GILMAR SABINO DA SILVA.</t>
  </si>
  <si>
    <t xml:space="preserve">MERCEARIA ITAMARATI</t>
  </si>
  <si>
    <t xml:space="preserve">EMILIA KAWABATA OTANI</t>
  </si>
  <si>
    <t xml:space="preserve">MERCADO ORIENTAL</t>
  </si>
  <si>
    <t xml:space="preserve">DARCI MARQUES</t>
  </si>
  <si>
    <t xml:space="preserve">MERCADO THAMARA</t>
  </si>
  <si>
    <t xml:space="preserve">MARGARETH FATIMA DE FREITAS</t>
  </si>
  <si>
    <t xml:space="preserve">MERCADO FREITAS</t>
  </si>
  <si>
    <t xml:space="preserve">JOARES RODRIGUES DE OLIVEIRA</t>
  </si>
  <si>
    <t xml:space="preserve">PANIF OLIVEIRA</t>
  </si>
  <si>
    <t xml:space="preserve">MARIA DE FATIMA CODAS</t>
  </si>
  <si>
    <t xml:space="preserve">LANCHONETE DO ZE</t>
  </si>
  <si>
    <t xml:space="preserve">JOSE GELSON DOS SANTOS</t>
  </si>
  <si>
    <t xml:space="preserve">MERCADO SAO MATEUS</t>
  </si>
  <si>
    <t xml:space="preserve">JOSE MIRAS CONDE</t>
  </si>
  <si>
    <t xml:space="preserve">MONTE AZUL</t>
  </si>
  <si>
    <t xml:space="preserve">VALCIR FERMINO PADILHA II</t>
  </si>
  <si>
    <t xml:space="preserve">DOIS IRMAOS</t>
  </si>
  <si>
    <t xml:space="preserve">ELECY RAMOS DE SOUZA</t>
  </si>
  <si>
    <t xml:space="preserve">VELHA CAFE</t>
  </si>
  <si>
    <t xml:space="preserve">JORGE DAURI DE OLIVEIRA FERNANDO</t>
  </si>
  <si>
    <t xml:space="preserve">MERC CONV DO CARECA</t>
  </si>
  <si>
    <t xml:space="preserve">WANDERSON RAMOS RIBEIRO</t>
  </si>
  <si>
    <t xml:space="preserve">MERCEARIA SAO JOAO</t>
  </si>
  <si>
    <t xml:space="preserve">CARLOS DUTRA</t>
  </si>
  <si>
    <t xml:space="preserve">PANIF DAYANE</t>
  </si>
  <si>
    <t xml:space="preserve">ISABEL APARECIDO R NASCIMENTO</t>
  </si>
  <si>
    <t xml:space="preserve">EVA LUCY CORREA BORGES</t>
  </si>
  <si>
    <t xml:space="preserve">PANIFICADORA CASA DE PAO</t>
  </si>
  <si>
    <t xml:space="preserve">ISABEL PEREIRA DE LIMA</t>
  </si>
  <si>
    <t xml:space="preserve">VALDELIRIO ORTEGA MARECO</t>
  </si>
  <si>
    <t xml:space="preserve">AILTON KIMIO MIYAKI</t>
  </si>
  <si>
    <t xml:space="preserve">MERCEARIA E ACOUGE DO JAPONES</t>
  </si>
  <si>
    <t xml:space="preserve">LIZETE LIMA LEITE</t>
  </si>
  <si>
    <t xml:space="preserve">MERCEARIA MEIRELE</t>
  </si>
  <si>
    <t xml:space="preserve">AIRTON VALDEMAR SCHWINN</t>
  </si>
  <si>
    <t xml:space="preserve">MERCADO SCHINN</t>
  </si>
  <si>
    <t xml:space="preserve">ALCIDES FONTANA</t>
  </si>
  <si>
    <t xml:space="preserve">MERCEARIA FONTANA</t>
  </si>
  <si>
    <t xml:space="preserve">MARIO AUGUSTO CAMARGO</t>
  </si>
  <si>
    <t xml:space="preserve">FIDEL LUIS M LOPES</t>
  </si>
  <si>
    <t xml:space="preserve">TANIA MARIA DA SILVA MACHADO</t>
  </si>
  <si>
    <t xml:space="preserve">LANCHONETE TUIUIU</t>
  </si>
  <si>
    <t xml:space="preserve">MAURO CESPEDE GAMARRA</t>
  </si>
  <si>
    <t xml:space="preserve">MERCADO GAMARRA</t>
  </si>
  <si>
    <t xml:space="preserve">MARCO ANTONIO SILVEIRA SILVA</t>
  </si>
  <si>
    <t xml:space="preserve">NEIVA FERREIRA DE SOUZA</t>
  </si>
  <si>
    <t xml:space="preserve">CANTINA CENTRAL BASE AEREA</t>
  </si>
  <si>
    <t xml:space="preserve">SILVIO GONCALVES</t>
  </si>
  <si>
    <t xml:space="preserve">MERCADO LUMA</t>
  </si>
  <si>
    <t xml:space="preserve">GENY CLAUDINO DA SILVA</t>
  </si>
  <si>
    <t xml:space="preserve">MERCADO MODELO</t>
  </si>
  <si>
    <t xml:space="preserve">JURACI PINHEIRO DA SILVA</t>
  </si>
  <si>
    <t xml:space="preserve">BAR JURA</t>
  </si>
  <si>
    <t xml:space="preserve">MAIZA DE JESUS SOARES</t>
  </si>
  <si>
    <t xml:space="preserve">MERCEARIA DA MAISA</t>
  </si>
  <si>
    <t xml:space="preserve">BERNADINHO FERREIRA</t>
  </si>
  <si>
    <t xml:space="preserve">MERCADO J M</t>
  </si>
  <si>
    <t xml:space="preserve">APARECIDA NASCIMENTO DOS SANTOS</t>
  </si>
  <si>
    <t xml:space="preserve">LANCHONETE DA CIDA</t>
  </si>
  <si>
    <t xml:space="preserve">ANA KELE P CLEMENTE</t>
  </si>
  <si>
    <t xml:space="preserve">PASCOAL GIMENES NETO</t>
  </si>
  <si>
    <t xml:space="preserve">MERCEARIA E BAR ESPERANCA</t>
  </si>
  <si>
    <t xml:space="preserve">CARLOS HENRIQUE DE ALMEIDA</t>
  </si>
  <si>
    <t xml:space="preserve">CAOZINHO CHIQUE</t>
  </si>
  <si>
    <t xml:space="preserve">DOUGLAS ROSA GOMES</t>
  </si>
  <si>
    <t xml:space="preserve">MINI BOX</t>
  </si>
  <si>
    <t xml:space="preserve">ARNALDO GEDRO MACHADO</t>
  </si>
  <si>
    <t xml:space="preserve">CASA DE CARNE E CONV MOREIRA</t>
  </si>
  <si>
    <t xml:space="preserve">ANDRE LUIZ MATEUS DA FONSECA</t>
  </si>
  <si>
    <t xml:space="preserve">MERCADO NOSSO REI</t>
  </si>
  <si>
    <t xml:space="preserve">IVAIR PEDRO ALVES</t>
  </si>
  <si>
    <t xml:space="preserve">MERCADO E ACOUGUE VITORIA</t>
  </si>
  <si>
    <t xml:space="preserve">NILZA PERREIRA DOS SANTOS</t>
  </si>
  <si>
    <t xml:space="preserve">GILMAR MATEI DORIGON</t>
  </si>
  <si>
    <t xml:space="preserve">CONVENIENCIA INDUSTRIAL</t>
  </si>
  <si>
    <t xml:space="preserve">CARLOS ALBERTO TESTA</t>
  </si>
  <si>
    <t xml:space="preserve">MERCEARIA SAO CARLOS</t>
  </si>
  <si>
    <t xml:space="preserve">ALTAIR DA COSTA</t>
  </si>
  <si>
    <t xml:space="preserve">REST DO NENE</t>
  </si>
  <si>
    <t xml:space="preserve">MARIA MACEDO DA COSTA</t>
  </si>
  <si>
    <t xml:space="preserve">QUITANDA DO HOSHIRO</t>
  </si>
  <si>
    <t xml:space="preserve">JOSE LUIZ MEIRINHO GOMES</t>
  </si>
  <si>
    <t xml:space="preserve">SM CRIOULA</t>
  </si>
  <si>
    <t xml:space="preserve">VALDEIR MARQUES BARBOSA</t>
  </si>
  <si>
    <t xml:space="preserve">COMERCIAL SANTO EXPEDITO</t>
  </si>
  <si>
    <t xml:space="preserve">ROSEMAR ROSA DE OLIVEIRA</t>
  </si>
  <si>
    <t xml:space="preserve">BAR ROSA VERMELHA</t>
  </si>
  <si>
    <t xml:space="preserve">PAULO PAMISA DUTRA</t>
  </si>
  <si>
    <t xml:space="preserve">PANIF E CONF HASSA PURA</t>
  </si>
  <si>
    <t xml:space="preserve">FIDENCIO RIBAS</t>
  </si>
  <si>
    <t xml:space="preserve">LENIR TAKACO OSHIRO</t>
  </si>
  <si>
    <t xml:space="preserve">SORVETE ITALIANO</t>
  </si>
  <si>
    <t xml:space="preserve">JOSE HERNANE DE ALENCAR</t>
  </si>
  <si>
    <t xml:space="preserve">CONV MIRANTE</t>
  </si>
  <si>
    <t xml:space="preserve">PEDRO RODRIGUES DA ROSA</t>
  </si>
  <si>
    <t xml:space="preserve">MERC DO PEDRO</t>
  </si>
  <si>
    <t xml:space="preserve">CLAUDIO MURARO</t>
  </si>
  <si>
    <t xml:space="preserve">TROPICAL ALIMENTOS</t>
  </si>
  <si>
    <t xml:space="preserve">ROBERTA FERMINO CARVALHEIRO</t>
  </si>
  <si>
    <t xml:space="preserve">CONV FERMINO</t>
  </si>
  <si>
    <t xml:space="preserve">JOSE ANTONIO OLIVEIRA</t>
  </si>
  <si>
    <t xml:space="preserve">MINI MERC SAO JOSE</t>
  </si>
  <si>
    <t xml:space="preserve">CLAUDIO MARIM DA SILVA</t>
  </si>
  <si>
    <t xml:space="preserve">MAURICIO CORTEZ CALIM</t>
  </si>
  <si>
    <t xml:space="preserve">MERCADO M M</t>
  </si>
  <si>
    <t xml:space="preserve">ELIZABETE DE FATIMA R GANASSIM</t>
  </si>
  <si>
    <t xml:space="preserve">MARIA ALVES DE QUEIROZ</t>
  </si>
  <si>
    <t xml:space="preserve">GARAPARIA DA MARIA</t>
  </si>
  <si>
    <t xml:space="preserve">JOSE CARLOS MORAES DE ARAUJO</t>
  </si>
  <si>
    <t xml:space="preserve">CLAUDIO FARIAS</t>
  </si>
  <si>
    <t xml:space="preserve">MERCEARIA COHAB</t>
  </si>
  <si>
    <t xml:space="preserve">ISRAEL DE SOUZA</t>
  </si>
  <si>
    <t xml:space="preserve">CONVENIENCIA COLUMBIA</t>
  </si>
  <si>
    <t xml:space="preserve">ALVENIR CELESTINO PINHEIRO</t>
  </si>
  <si>
    <t xml:space="preserve">EXPRESS TREILER</t>
  </si>
  <si>
    <t xml:space="preserve">CLEBERSON ANTONIO QUEIROS GON€ALVES</t>
  </si>
  <si>
    <t xml:space="preserve">RESTAURANTE PELOURINHO</t>
  </si>
  <si>
    <t xml:space="preserve">SERGIO FRANCA NOGEIRA</t>
  </si>
  <si>
    <t xml:space="preserve">MERCEARIA AVILAR</t>
  </si>
  <si>
    <t xml:space="preserve">LEONTINA AQUINO DE LIMA OLIVEIRA</t>
  </si>
  <si>
    <t xml:space="preserve">CANTINA UNIGRAN</t>
  </si>
  <si>
    <t xml:space="preserve">LOURENCO VIEIRA BRITO</t>
  </si>
  <si>
    <t xml:space="preserve">MERCEARIA BRITO</t>
  </si>
  <si>
    <t xml:space="preserve">HUMERTO SAVIO ABUSSAFI FIGUEIRO</t>
  </si>
  <si>
    <t xml:space="preserve">BAHAMAS APART HOTEL</t>
  </si>
  <si>
    <t xml:space="preserve">SEBASTIAO EDMILSON FERRAZ PEREIRA</t>
  </si>
  <si>
    <t xml:space="preserve">ESTRELA VIDEOS</t>
  </si>
  <si>
    <t xml:space="preserve">ALICE PAGNONCELLI</t>
  </si>
  <si>
    <t xml:space="preserve">MERCEARIA MAYUME</t>
  </si>
  <si>
    <t xml:space="preserve">ELIANE DA SILVA ROSA</t>
  </si>
  <si>
    <t xml:space="preserve">FLORICULTURA PEQUENA FLOR</t>
  </si>
  <si>
    <t xml:space="preserve">LUZIMAR PREGENTINO DE LIMA</t>
  </si>
  <si>
    <t xml:space="preserve">MERCADO NOGUERIA</t>
  </si>
  <si>
    <t xml:space="preserve">RONALDO MARTINS DA SILVA</t>
  </si>
  <si>
    <t xml:space="preserve">ROBERTO SOUZA MARQUES</t>
  </si>
  <si>
    <t xml:space="preserve">SM MATHEUS</t>
  </si>
  <si>
    <t xml:space="preserve">MARCIA MARTINS PACHECO</t>
  </si>
  <si>
    <t xml:space="preserve">SEBASTIANA ECHEVERRIA SIQUEIRA</t>
  </si>
  <si>
    <t xml:space="preserve">EDSON THEODORO TOSTA</t>
  </si>
  <si>
    <t xml:space="preserve">MERCEARIA TOSTA</t>
  </si>
  <si>
    <t xml:space="preserve">VALDOMIRO PEREIRA CHAVES</t>
  </si>
  <si>
    <t xml:space="preserve">PADARIA REAL</t>
  </si>
  <si>
    <t xml:space="preserve">FRANCISCO NETO DE LIMA</t>
  </si>
  <si>
    <t xml:space="preserve">MINI BOX PAULINHO</t>
  </si>
  <si>
    <t xml:space="preserve">UESLEY DA SILVA COSTA</t>
  </si>
  <si>
    <t xml:space="preserve">PADARIA RAIO DE LUZ</t>
  </si>
  <si>
    <t xml:space="preserve">PEDRO ANTONIO RIBEIRO</t>
  </si>
  <si>
    <t xml:space="preserve">PANIFICADORA BOM SUCESSO</t>
  </si>
  <si>
    <t xml:space="preserve">EDANE BRAGA COELHO</t>
  </si>
  <si>
    <t xml:space="preserve">PANF CAFE DA MANHA</t>
  </si>
  <si>
    <t xml:space="preserve">OSMAR ARAUJO DA SILVA</t>
  </si>
  <si>
    <t xml:space="preserve">CONV JVM</t>
  </si>
  <si>
    <t xml:space="preserve">ODILSON ALVES DA SILVA</t>
  </si>
  <si>
    <t xml:space="preserve">CERVE JA I</t>
  </si>
  <si>
    <t xml:space="preserve">WALMIR G DOS SANTOS</t>
  </si>
  <si>
    <t xml:space="preserve">JOSE LUIZ DA SILVA</t>
  </si>
  <si>
    <t xml:space="preserve">BAR DA TEREZA</t>
  </si>
  <si>
    <t xml:space="preserve">JOAO ALMEIDA GONCALVES</t>
  </si>
  <si>
    <t xml:space="preserve">MERCADO BANDEIRA</t>
  </si>
  <si>
    <t xml:space="preserve">ALVORI PEDRO DE LIMA</t>
  </si>
  <si>
    <t xml:space="preserve">JOSE ANTONIO DE AGUILAR AZEVEDO</t>
  </si>
  <si>
    <t xml:space="preserve">MERCADO ESQUINAO</t>
  </si>
  <si>
    <t xml:space="preserve">CASA DA VERDURA LTDA</t>
  </si>
  <si>
    <t xml:space="preserve">PEDRO PAULO CHAVES</t>
  </si>
  <si>
    <t xml:space="preserve">ELZA DA SILVA</t>
  </si>
  <si>
    <t xml:space="preserve">MARIO VILHALVA MOURAO</t>
  </si>
  <si>
    <t xml:space="preserve">ANTONIO ARAUJO MARQUES BRANDAO</t>
  </si>
  <si>
    <t xml:space="preserve">ALBINA RODRIGUES</t>
  </si>
  <si>
    <t xml:space="preserve">MERCEARIA SANTA ROSA</t>
  </si>
  <si>
    <t xml:space="preserve">ELIAS TARACO</t>
  </si>
  <si>
    <t xml:space="preserve">MANOEL LUIS DE MATTOS CARDOSO</t>
  </si>
  <si>
    <t xml:space="preserve">IVO ROSA</t>
  </si>
  <si>
    <t xml:space="preserve">CONVENIENCIA IDEAL</t>
  </si>
  <si>
    <t xml:space="preserve">AILTO PEREIRA</t>
  </si>
  <si>
    <t xml:space="preserve">LANC E REST SANTA ROSA</t>
  </si>
  <si>
    <t xml:space="preserve">DOMINGOS PIGENTINI NETO</t>
  </si>
  <si>
    <t xml:space="preserve">DOMINGOS</t>
  </si>
  <si>
    <t xml:space="preserve">MARIA SIMONE TABOSA MENDONCA</t>
  </si>
  <si>
    <t xml:space="preserve">MERCEARIA CEARA</t>
  </si>
  <si>
    <t xml:space="preserve">CARLOS HIROYUKI KOHARI</t>
  </si>
  <si>
    <t xml:space="preserve">CONVENIENCIA KOHARI</t>
  </si>
  <si>
    <t xml:space="preserve">JANETE MARIA COLOMBO</t>
  </si>
  <si>
    <t xml:space="preserve">GILMAR ANTONIO DONATO</t>
  </si>
  <si>
    <t xml:space="preserve">ESTERLINO DA SILVA MARTINS</t>
  </si>
  <si>
    <t xml:space="preserve">PAPAGAIO LANCHES</t>
  </si>
  <si>
    <t xml:space="preserve">NILTON HIROSHI GUIMA</t>
  </si>
  <si>
    <t xml:space="preserve">MERC HIROSCHI</t>
  </si>
  <si>
    <t xml:space="preserve">GENI PEREIRA PAVAO</t>
  </si>
  <si>
    <t xml:space="preserve">WELDER AUGUSTO KEMPE</t>
  </si>
  <si>
    <t xml:space="preserve">CANTINA ESCOLA EQUILIBRIO</t>
  </si>
  <si>
    <t xml:space="preserve">CLAUDIA CRUZ DE MEDEIROS (FINANCEIRO)</t>
  </si>
  <si>
    <t xml:space="preserve">MARIA ASSUNCIONA DE ANDRADE</t>
  </si>
  <si>
    <t xml:space="preserve">PANIFICADORA UNIAO</t>
  </si>
  <si>
    <t xml:space="preserve">ALBERTO JOSE DOS SANTOS</t>
  </si>
  <si>
    <t xml:space="preserve">MERC NOVA ESPERANCA</t>
  </si>
  <si>
    <t xml:space="preserve">ANTONIO NUNES FRANCA</t>
  </si>
  <si>
    <t xml:space="preserve">MERCADO JOSE</t>
  </si>
  <si>
    <t xml:space="preserve">ORCIDIO ALFONSO</t>
  </si>
  <si>
    <t xml:space="preserve">FRANCISCO L PASTORELLO</t>
  </si>
  <si>
    <t xml:space="preserve">BERNADINO DAL MAGRO</t>
  </si>
  <si>
    <t xml:space="preserve">MERC NOVA CONQUISTA</t>
  </si>
  <si>
    <t xml:space="preserve">JUSSARA CORREA DA COSTA</t>
  </si>
  <si>
    <t xml:space="preserve">MERCADO PEG PAG</t>
  </si>
  <si>
    <t xml:space="preserve">JOSE EDVALDO ANTUNES CHALEGA</t>
  </si>
  <si>
    <t xml:space="preserve">MERCEARI DO ZE</t>
  </si>
  <si>
    <t xml:space="preserve">EDILEUZA D CHALEGA</t>
  </si>
  <si>
    <t xml:space="preserve">MERCEARIA DA EDILEUZA</t>
  </si>
  <si>
    <t xml:space="preserve">MARGARETH DA CONCEICAO</t>
  </si>
  <si>
    <t xml:space="preserve">BARRACAO DO PORTO</t>
  </si>
  <si>
    <t xml:space="preserve">EDMILSON CAPISTEANO DA SILVA</t>
  </si>
  <si>
    <t xml:space="preserve">MERCADO SERV MAIS</t>
  </si>
  <si>
    <t xml:space="preserve">FABIO HOLANDA SARAIVA</t>
  </si>
  <si>
    <t xml:space="preserve">MERCADO E SACOLAO FORTALEZA</t>
  </si>
  <si>
    <t xml:space="preserve">ALCIDES DALLA ROSA</t>
  </si>
  <si>
    <t xml:space="preserve">MERCEARIA II IRMAO</t>
  </si>
  <si>
    <t xml:space="preserve">NILSON DOS SANTOS FARIAS</t>
  </si>
  <si>
    <t xml:space="preserve">MERCEARIA DO NILSON</t>
  </si>
  <si>
    <t xml:space="preserve">RAMAO DOS SANTOS SIQUEIRA</t>
  </si>
  <si>
    <t xml:space="preserve">CONVENIENCIA COPACABANA</t>
  </si>
  <si>
    <t xml:space="preserve">NADIR LOZANO VICENTINI</t>
  </si>
  <si>
    <t xml:space="preserve">SORVETERIA SO MEL</t>
  </si>
  <si>
    <t xml:space="preserve">ROSIMARY APARECIDA SOTOLANI DE SOUZA</t>
  </si>
  <si>
    <t xml:space="preserve">MERCEARIA NOROESTE</t>
  </si>
  <si>
    <t xml:space="preserve">DOUGLAS DAUZACKER POMPEO</t>
  </si>
  <si>
    <t xml:space="preserve">EDNILCE PELZL DORNELES DE OLIVEIRA</t>
  </si>
  <si>
    <t xml:space="preserve">ESTANCIA ORSI</t>
  </si>
  <si>
    <t xml:space="preserve">OTILIA FERREIRA CORREIA</t>
  </si>
  <si>
    <t xml:space="preserve">LANCHONETE LA BODEGUITA</t>
  </si>
  <si>
    <t xml:space="preserve">NEUZA KIYOKO MIYAZAKI SUZUKI ME</t>
  </si>
  <si>
    <t xml:space="preserve">CORONEL SAPUCAIA</t>
  </si>
  <si>
    <t xml:space="preserve">ANTONIO ARAUJO FEITOSA</t>
  </si>
  <si>
    <t xml:space="preserve">JOAO MOREIRA DOS SANTOS</t>
  </si>
  <si>
    <t xml:space="preserve">MERCADO WM</t>
  </si>
  <si>
    <t xml:space="preserve">MERCADO LINGUA PRETA</t>
  </si>
  <si>
    <t xml:space="preserve">ADENILTON PRIMO MOREIRA</t>
  </si>
  <si>
    <t xml:space="preserve">MERCEARIA E CONVENIENCIA MOREIRA</t>
  </si>
  <si>
    <t xml:space="preserve">MILTON ENGSTER</t>
  </si>
  <si>
    <t xml:space="preserve">AUTO POSTO PEGORARO</t>
  </si>
  <si>
    <t xml:space="preserve">SIMAO GARCETE</t>
  </si>
  <si>
    <t xml:space="preserve">MERCEARIA BOM AMIGO</t>
  </si>
  <si>
    <t xml:space="preserve">JOALDO DA SILVA VIEIRA</t>
  </si>
  <si>
    <t xml:space="preserve">MERCADO BEIRA RIO</t>
  </si>
  <si>
    <t xml:space="preserve">JOSIAS FRANGUELI</t>
  </si>
  <si>
    <t xml:space="preserve">MERCEARIA PEQUENO TALISMA</t>
  </si>
  <si>
    <t xml:space="preserve">EDSON FRANCISCO PEREIRA</t>
  </si>
  <si>
    <t xml:space="preserve">COMERCIAL PEREIRA</t>
  </si>
  <si>
    <t xml:space="preserve">MARIA LUIZA GUERREIRO GOMES</t>
  </si>
  <si>
    <t xml:space="preserve">MERC FLORESTAL</t>
  </si>
  <si>
    <t xml:space="preserve">SEBASTIAO E MIRANDA</t>
  </si>
  <si>
    <t xml:space="preserve">MERCEARIA NSA CAACUPE</t>
  </si>
  <si>
    <t xml:space="preserve">CARLOS VAMBERTO BARBOSA</t>
  </si>
  <si>
    <t xml:space="preserve">MINI MERCADO AVENIDA</t>
  </si>
  <si>
    <t xml:space="preserve">FELICIANO FERREIRA VIEIRA</t>
  </si>
  <si>
    <t xml:space="preserve">PEDRO COINETE DA SILVA</t>
  </si>
  <si>
    <t xml:space="preserve">EM FRENTE AO HOSPITAL EVANG</t>
  </si>
  <si>
    <t xml:space="preserve">SIRIA MACHADO DE SOUZA</t>
  </si>
  <si>
    <t xml:space="preserve">MERCEARIA N E S</t>
  </si>
  <si>
    <t xml:space="preserve">SONIA MARIA GOMES DA SILVA</t>
  </si>
  <si>
    <t xml:space="preserve">MERCADINHO 5S</t>
  </si>
  <si>
    <t xml:space="preserve">DOROTHY PAULO DE SOUZA</t>
  </si>
  <si>
    <t xml:space="preserve">PANIF CRAVO E CANELA</t>
  </si>
  <si>
    <t xml:space="preserve">GAETANO GANCI</t>
  </si>
  <si>
    <t xml:space="preserve">MEGA ESTACIONAMENTO</t>
  </si>
  <si>
    <t xml:space="preserve">MARIA DO CARMO GOMES SILVA</t>
  </si>
  <si>
    <t xml:space="preserve">ALDONSO VILLALBA</t>
  </si>
  <si>
    <t xml:space="preserve">ALDONSO PIZZARIA</t>
  </si>
  <si>
    <t xml:space="preserve">ANTONIO AP DOS SANTOS</t>
  </si>
  <si>
    <t xml:space="preserve">BAR E MERC CAUE</t>
  </si>
  <si>
    <t xml:space="preserve">NELI PEREIRA DA SILVA</t>
  </si>
  <si>
    <t xml:space="preserve">CONV NELI</t>
  </si>
  <si>
    <t xml:space="preserve">NEURACI GOMES CORREA</t>
  </si>
  <si>
    <t xml:space="preserve">MINI MERCADO POPULAR</t>
  </si>
  <si>
    <t xml:space="preserve">CARLOS AUGUSTO P VALENTE</t>
  </si>
  <si>
    <t xml:space="preserve">CONVENIENCIA VALENTE</t>
  </si>
  <si>
    <t xml:space="preserve">POLINARIA TORRE</t>
  </si>
  <si>
    <t xml:space="preserve">MERCEARIA POLIANA</t>
  </si>
  <si>
    <t xml:space="preserve">ELIANE SUMIE SATO VILELA</t>
  </si>
  <si>
    <t xml:space="preserve">CONV VILONE</t>
  </si>
  <si>
    <t xml:space="preserve">ADILSON DE SOUZA NUNES</t>
  </si>
  <si>
    <t xml:space="preserve">MERCADO MILLA</t>
  </si>
  <si>
    <t xml:space="preserve">JOSE ELIZEU ANTUNES FILHO</t>
  </si>
  <si>
    <t xml:space="preserve">PADARIA CONV.IZABELLA</t>
  </si>
  <si>
    <t xml:space="preserve">HAMILTON CARVALHO MOURA</t>
  </si>
  <si>
    <t xml:space="preserve">PAO &amp; CIA</t>
  </si>
  <si>
    <t xml:space="preserve">ZUNEIDE PEREIRA DA SILVA</t>
  </si>
  <si>
    <t xml:space="preserve">MERCADO E A€OUGUE LEONEL</t>
  </si>
  <si>
    <t xml:space="preserve">EONIO MARCONDES GRIZE</t>
  </si>
  <si>
    <t xml:space="preserve">BOLICHO DA CURVA</t>
  </si>
  <si>
    <t xml:space="preserve">PAULO CEZAR GOMES</t>
  </si>
  <si>
    <t xml:space="preserve">CANTINA AGESUL</t>
  </si>
  <si>
    <t xml:space="preserve">FRANCISCO GOMES OLIVEIRA</t>
  </si>
  <si>
    <t xml:space="preserve">SUPERMERCADO WR II</t>
  </si>
  <si>
    <t xml:space="preserve">LUIS CARLOS BARBIERI</t>
  </si>
  <si>
    <t xml:space="preserve">LANC RODOVIARIA</t>
  </si>
  <si>
    <t xml:space="preserve">LEILA MALUF</t>
  </si>
  <si>
    <t xml:space="preserve">ANA LUZIA MARTINS DE OLIVEIRA SOUZA</t>
  </si>
  <si>
    <t xml:space="preserve">PANIF.JARDIM PRESIDENTE</t>
  </si>
  <si>
    <t xml:space="preserve">SANDRA ELIZIA FABRAO</t>
  </si>
  <si>
    <t xml:space="preserve">SUPER BOM PRECO</t>
  </si>
  <si>
    <t xml:space="preserve">ORIVAL MARTINS</t>
  </si>
  <si>
    <t xml:space="preserve">BAR E LANCH.RODOVIARIO</t>
  </si>
  <si>
    <t xml:space="preserve">CLOVIS MAIA CREPALDI</t>
  </si>
  <si>
    <t xml:space="preserve">MERCEARIA CREPALDI</t>
  </si>
  <si>
    <t xml:space="preserve">SUELY MOREIRA DO CARMO</t>
  </si>
  <si>
    <t xml:space="preserve">ATUAL CONVENIENCIA</t>
  </si>
  <si>
    <t xml:space="preserve">ISAC DE SOUZA LEITE</t>
  </si>
  <si>
    <t xml:space="preserve">MERCADO BOM SUCESO</t>
  </si>
  <si>
    <t xml:space="preserve">ANTONIO CARLOS FERNANDES</t>
  </si>
  <si>
    <t xml:space="preserve">LANCH KUXIXO</t>
  </si>
  <si>
    <t xml:space="preserve">DIOLETA MARIA DA SILVA</t>
  </si>
  <si>
    <t xml:space="preserve">MERC GUGU</t>
  </si>
  <si>
    <t xml:space="preserve">MARIA DO CARMO BEZERRA</t>
  </si>
  <si>
    <t xml:space="preserve">LANCHONETE MARRECO</t>
  </si>
  <si>
    <t xml:space="preserve">SILVIO CESAR TOMAS ABREU</t>
  </si>
  <si>
    <t xml:space="preserve">MERCEARIA BIG MIX</t>
  </si>
  <si>
    <t xml:space="preserve">ISRAEL CORREA ROJAS</t>
  </si>
  <si>
    <t xml:space="preserve">MINI MERCADO BEIJA FLOR</t>
  </si>
  <si>
    <t xml:space="preserve">FRANCISCO ROSA BILAIA</t>
  </si>
  <si>
    <t xml:space="preserve">PANIF E CONV BILAIA II</t>
  </si>
  <si>
    <t xml:space="preserve">EUNIZIA RODRIGUES DE OLIVEIRA MACHADO</t>
  </si>
  <si>
    <t xml:space="preserve">RCA-MARCO ANTONIO DE SOUZA GUIMARAES</t>
  </si>
  <si>
    <t xml:space="preserve">MARIA AUGUSTO BERALDO DA SILVA</t>
  </si>
  <si>
    <t xml:space="preserve">MERCEARIA CANARIO</t>
  </si>
  <si>
    <t xml:space="preserve">NILSON CICERO LIMA</t>
  </si>
  <si>
    <t xml:space="preserve">ISILDA APARECIDA DA SILVA</t>
  </si>
  <si>
    <t xml:space="preserve">PADARIA 1001</t>
  </si>
  <si>
    <t xml:space="preserve">NILMA RIBEIRO CARDOSO</t>
  </si>
  <si>
    <t xml:space="preserve">NILMA CARDOSO</t>
  </si>
  <si>
    <t xml:space="preserve">MARIA LUZIA ALMEIDA DA SILVA</t>
  </si>
  <si>
    <t xml:space="preserve">MERCEARIA DLLA ROSA</t>
  </si>
  <si>
    <t xml:space="preserve">HELIVELTON MONTEIRO DA ROCHA</t>
  </si>
  <si>
    <t xml:space="preserve">CANTINA DA HIPICA</t>
  </si>
  <si>
    <t xml:space="preserve">RUBENS LOPES</t>
  </si>
  <si>
    <t xml:space="preserve">ACOUGUE E CONV LANDER</t>
  </si>
  <si>
    <t xml:space="preserve">GINA MARA DO AMARAL</t>
  </si>
  <si>
    <t xml:space="preserve">CANTINA</t>
  </si>
  <si>
    <t xml:space="preserve">MARLI ELIZARIO</t>
  </si>
  <si>
    <t xml:space="preserve">LEO CONVENIENCIA</t>
  </si>
  <si>
    <t xml:space="preserve">CARLOS AUGUSTO GAMA</t>
  </si>
  <si>
    <t xml:space="preserve">RAMAO RIBEIRO MASSENA</t>
  </si>
  <si>
    <t xml:space="preserve">MERCADINHO NOSSA CASA</t>
  </si>
  <si>
    <t xml:space="preserve">ANTONIO MESSIAS BARBOSA</t>
  </si>
  <si>
    <t xml:space="preserve">MERCADO KI LEGAL</t>
  </si>
  <si>
    <t xml:space="preserve">ROSARIO CONGRO FLORES FILHO</t>
  </si>
  <si>
    <t xml:space="preserve">MERCADO YANCA</t>
  </si>
  <si>
    <t xml:space="preserve">ALGACIR MACHADO</t>
  </si>
  <si>
    <t xml:space="preserve">JULIO CESAR GIROLLETA</t>
  </si>
  <si>
    <t xml:space="preserve">JULIO</t>
  </si>
  <si>
    <t xml:space="preserve">NILSON DA SILVA</t>
  </si>
  <si>
    <t xml:space="preserve">MERCEARIA NILSON</t>
  </si>
  <si>
    <t xml:space="preserve">JERONIMO SOUZA OLIVEIRA</t>
  </si>
  <si>
    <t xml:space="preserve">MERCADO BETA VILLE</t>
  </si>
  <si>
    <t xml:space="preserve">VALMIR DOS REIS PEREIRA</t>
  </si>
  <si>
    <t xml:space="preserve">MINIMERCADO DANIELA</t>
  </si>
  <si>
    <t xml:space="preserve">FRANCISCO VALDIZO SANTOS</t>
  </si>
  <si>
    <t xml:space="preserve">MERCADO NARETANI</t>
  </si>
  <si>
    <t xml:space="preserve">LUCIANE T.S. ALBANEZE</t>
  </si>
  <si>
    <t xml:space="preserve">PIZZAS ANTONELLOS</t>
  </si>
  <si>
    <t xml:space="preserve">MARCOS VINICIUS RIQUETI</t>
  </si>
  <si>
    <t xml:space="preserve">MERCADO REI</t>
  </si>
  <si>
    <t xml:space="preserve">ORCIDNEI G.ALMEIDA</t>
  </si>
  <si>
    <t xml:space="preserve">MERCEARIA ALMEIDA</t>
  </si>
  <si>
    <t xml:space="preserve">IZIDRO PEREIRA DE OLIVEIRA</t>
  </si>
  <si>
    <t xml:space="preserve">MERCEARIA E CONVENIENCIA TIZIU</t>
  </si>
  <si>
    <t xml:space="preserve">SHEILA APARECIDA ROSA</t>
  </si>
  <si>
    <t xml:space="preserve">VARANDA BAR E MERC</t>
  </si>
  <si>
    <t xml:space="preserve">LAURA MARIA FERREIRA DA SILVA</t>
  </si>
  <si>
    <t xml:space="preserve">BAR DA TIA PRETA</t>
  </si>
  <si>
    <t xml:space="preserve">COSMO DAMIAO DE OLIVEIRA</t>
  </si>
  <si>
    <t xml:space="preserve">RENATA MYASHIRO</t>
  </si>
  <si>
    <t xml:space="preserve">NILZA MEIRE GARCIA</t>
  </si>
  <si>
    <t xml:space="preserve">AUTO POSTO AGUA LIMPA</t>
  </si>
  <si>
    <t xml:space="preserve">RAIMUNDO NONATO TEIXEIRA MOTA</t>
  </si>
  <si>
    <t xml:space="preserve">MERCADO PLAZA</t>
  </si>
  <si>
    <t xml:space="preserve">NILVO DE PAULO E SILVA</t>
  </si>
  <si>
    <t xml:space="preserve">MERCEARIA DO NILVO</t>
  </si>
  <si>
    <t xml:space="preserve">EDIVAN LUIS PEREIRA</t>
  </si>
  <si>
    <t xml:space="preserve">ARISTIDES BENTO</t>
  </si>
  <si>
    <t xml:space="preserve">PANIFICADORA BENTO</t>
  </si>
  <si>
    <t xml:space="preserve">REGINALDO VIEIRA</t>
  </si>
  <si>
    <t xml:space="preserve">CONVENIENCIA RN</t>
  </si>
  <si>
    <t xml:space="preserve">MARIA SASSAI OBA</t>
  </si>
  <si>
    <t xml:space="preserve">MERCEARIA NIPON</t>
  </si>
  <si>
    <t xml:space="preserve">PADILHA DE MOURA</t>
  </si>
  <si>
    <t xml:space="preserve">DEP MAT CONST PENFIGO</t>
  </si>
  <si>
    <t xml:space="preserve">LUCIO PEREIRA DA SILVA</t>
  </si>
  <si>
    <t xml:space="preserve">KIKO SORVERT</t>
  </si>
  <si>
    <t xml:space="preserve">PEDRO RONDON DUTRA</t>
  </si>
  <si>
    <t xml:space="preserve">MERC E CASA DE CARNE FERREIRA</t>
  </si>
  <si>
    <t xml:space="preserve">AIRTON GARAI SANABRIA</t>
  </si>
  <si>
    <t xml:space="preserve">EDSON CABALLERO</t>
  </si>
  <si>
    <t xml:space="preserve">SM LOMARU</t>
  </si>
  <si>
    <t xml:space="preserve">PAULO SOUZA DUARTE</t>
  </si>
  <si>
    <t xml:space="preserve">ANGELA MARIA DE ARAUJO</t>
  </si>
  <si>
    <t xml:space="preserve">TREILLER DO INST DA VISAO</t>
  </si>
  <si>
    <t xml:space="preserve">ADEILDO SERGIO DE OLIVEIRA</t>
  </si>
  <si>
    <t xml:space="preserve">MERCEARIA DALAS</t>
  </si>
  <si>
    <t xml:space="preserve">JOSE EDIVALDO DE ALENCAR</t>
  </si>
  <si>
    <t xml:space="preserve">PADARIA HIPERPAO</t>
  </si>
  <si>
    <t xml:space="preserve">PAULO RODRIGUES FRIA</t>
  </si>
  <si>
    <t xml:space="preserve">SM JARDIM</t>
  </si>
  <si>
    <t xml:space="preserve">ADELAIDE DE SOUZA DA SILVA</t>
  </si>
  <si>
    <t xml:space="preserve">SACOLAO OURO VERDE</t>
  </si>
  <si>
    <t xml:space="preserve">ELENIR MARIO SOARES</t>
  </si>
  <si>
    <t xml:space="preserve">POSTO VERA CRUZ</t>
  </si>
  <si>
    <t xml:space="preserve">AMARILDO BARBOSA DA SILVA</t>
  </si>
  <si>
    <t xml:space="preserve">CONV MONTE VERE</t>
  </si>
  <si>
    <t xml:space="preserve">JOSE NERI ARRUDA PINTO</t>
  </si>
  <si>
    <t xml:space="preserve">CONVENIENCIA NERI</t>
  </si>
  <si>
    <t xml:space="preserve">JOB MELO ORTEGA</t>
  </si>
  <si>
    <t xml:space="preserve">MERCEARIA KAMILA</t>
  </si>
  <si>
    <t xml:space="preserve">ANALIA NAILE DE ALMEIDA</t>
  </si>
  <si>
    <t xml:space="preserve">RAIMUNDO TEIXEIRA DE MATOS</t>
  </si>
  <si>
    <t xml:space="preserve">MERCADO RAMALHO</t>
  </si>
  <si>
    <t xml:space="preserve">TELMA FERREIRA DE SOUZA</t>
  </si>
  <si>
    <t xml:space="preserve">DIRCEU JOSE AMBRANEL</t>
  </si>
  <si>
    <t xml:space="preserve">MINI MERCADO PADA</t>
  </si>
  <si>
    <t xml:space="preserve">ADAO THOMAS</t>
  </si>
  <si>
    <t xml:space="preserve">MERCADO IMPERIO</t>
  </si>
  <si>
    <t xml:space="preserve">DORALICIA ALVES PERREIRA</t>
  </si>
  <si>
    <t xml:space="preserve">MERC NATUREZA</t>
  </si>
  <si>
    <t xml:space="preserve">MARIA CONCEICAO DE SOUZA</t>
  </si>
  <si>
    <t xml:space="preserve">MERCADO GLORIA</t>
  </si>
  <si>
    <t xml:space="preserve">MARIA JOSE DE OLIVEIRA</t>
  </si>
  <si>
    <t xml:space="preserve">MUNDO DOS PAES</t>
  </si>
  <si>
    <t xml:space="preserve">VALDIR CASSIMIRO</t>
  </si>
  <si>
    <t xml:space="preserve">PANF CURITIBANO</t>
  </si>
  <si>
    <t xml:space="preserve">JORGE LUIZ DE PAULA</t>
  </si>
  <si>
    <t xml:space="preserve">ARISTEU GREGORIO BENITES</t>
  </si>
  <si>
    <t xml:space="preserve">MERCEARIA 13 DE JUNHO</t>
  </si>
  <si>
    <t xml:space="preserve">LEOPOLDO CONVAD</t>
  </si>
  <si>
    <t xml:space="preserve">GELSON SCHULS PACHECO</t>
  </si>
  <si>
    <t xml:space="preserve">ADEMILSON LIMA SAMPAIO</t>
  </si>
  <si>
    <t xml:space="preserve">TOMATELLI REFEICOES</t>
  </si>
  <si>
    <t xml:space="preserve">CLEUSA BRONEL DOS SANTOS</t>
  </si>
  <si>
    <t xml:space="preserve">ADRIANA REZENDE FERREIRA</t>
  </si>
  <si>
    <t xml:space="preserve">ANTONIO JOEL LEITE</t>
  </si>
  <si>
    <t xml:space="preserve">SEBASTIANA JULIA DA SILVEIRA SILVA</t>
  </si>
  <si>
    <t xml:space="preserve">JOAO SCHUWARTZ</t>
  </si>
  <si>
    <t xml:space="preserve">MERCEARIA DO JOAO</t>
  </si>
  <si>
    <t xml:space="preserve">ELUZINETE REIS OLIVEIRA</t>
  </si>
  <si>
    <t xml:space="preserve">SUCO E CIA</t>
  </si>
  <si>
    <t xml:space="preserve">ROBERTO CARLOS DA ROCHA GOMES</t>
  </si>
  <si>
    <t xml:space="preserve">JOSE OSVALDO BASTOS</t>
  </si>
  <si>
    <t xml:space="preserve">MERCADO BASTOS</t>
  </si>
  <si>
    <t xml:space="preserve">TERESINHA APARECIDA PRADELLA RODRIGUES  </t>
  </si>
  <si>
    <t xml:space="preserve">PANIF</t>
  </si>
  <si>
    <t xml:space="preserve">JOAO BELTRAO DE MEDEIROS</t>
  </si>
  <si>
    <t xml:space="preserve">MER MEDEIROS</t>
  </si>
  <si>
    <t xml:space="preserve">MARCIA LONGO XAVIER</t>
  </si>
  <si>
    <t xml:space="preserve">MERCEARIA SERRAVILLE</t>
  </si>
  <si>
    <t xml:space="preserve">PERCIO JOAQUIM RODRIGUES AURELIO</t>
  </si>
  <si>
    <t xml:space="preserve">CANTINA DO GAUCHO DO TREVO</t>
  </si>
  <si>
    <t xml:space="preserve">SHIRLEY APARECIDA SOUZA</t>
  </si>
  <si>
    <t xml:space="preserve">DONALDS CONFEITARIA</t>
  </si>
  <si>
    <t xml:space="preserve">JOSE GON€ALVES DE GODOY</t>
  </si>
  <si>
    <t xml:space="preserve">MERCEARIA DO GODOY</t>
  </si>
  <si>
    <t xml:space="preserve">GRIMALDO HENRIQUE PEREIRA</t>
  </si>
  <si>
    <t xml:space="preserve">MARIA MARGARET SEVERO LIMA</t>
  </si>
  <si>
    <t xml:space="preserve">NOEMI DE MOURA</t>
  </si>
  <si>
    <t xml:space="preserve">MERCEARIA ARCO IRIS</t>
  </si>
  <si>
    <t xml:space="preserve">AROLDO LEMES DOS SANTOS</t>
  </si>
  <si>
    <t xml:space="preserve">MERCEARIA LEMES</t>
  </si>
  <si>
    <t xml:space="preserve">ANA MARIA DA ROSA GOMES</t>
  </si>
  <si>
    <t xml:space="preserve">MERCADO KIKO</t>
  </si>
  <si>
    <t xml:space="preserve">RUBENS RIBAS BOLEIRA</t>
  </si>
  <si>
    <t xml:space="preserve">MERCEARIA RUBENS</t>
  </si>
  <si>
    <t xml:space="preserve">WASHINGTON ROSA DE ALMEIDA</t>
  </si>
  <si>
    <t xml:space="preserve">MERCEARIA TUCA</t>
  </si>
  <si>
    <t xml:space="preserve">FELICIO RIQUELME RAMIREZ</t>
  </si>
  <si>
    <t xml:space="preserve">MERCADO IPE I</t>
  </si>
  <si>
    <t xml:space="preserve">JOAO ADEMAR CUSTODIO LOPES</t>
  </si>
  <si>
    <t xml:space="preserve">MERCADINHO TERRA SANTA</t>
  </si>
  <si>
    <t xml:space="preserve">MABEL ROA GUIMARAES</t>
  </si>
  <si>
    <t xml:space="preserve">CAFA CONVENIENCIA</t>
  </si>
  <si>
    <t xml:space="preserve">JULIAO RIBEIRO BENITES</t>
  </si>
  <si>
    <t xml:space="preserve">MARIA CONCEICAO RODRIGUES</t>
  </si>
  <si>
    <t xml:space="preserve">MERCADO XAVES</t>
  </si>
  <si>
    <t xml:space="preserve">ODEMAR BOEIRA</t>
  </si>
  <si>
    <t xml:space="preserve">MERCEARIA VILA NOVA</t>
  </si>
  <si>
    <t xml:space="preserve">ILSENE TORRACA</t>
  </si>
  <si>
    <t xml:space="preserve">MERCADO E ACOUGUE BOM PRECO</t>
  </si>
  <si>
    <t xml:space="preserve">ERLI DORNELES TANAKA</t>
  </si>
  <si>
    <t xml:space="preserve">MERCEARIA DA ERLI</t>
  </si>
  <si>
    <t xml:space="preserve">ANTONIA CELINA RIBEIRO DOS SANTOS</t>
  </si>
  <si>
    <t xml:space="preserve">RIBEIRO MERCADO</t>
  </si>
  <si>
    <t xml:space="preserve">MARIA APARECIDA LEITE ROCHA</t>
  </si>
  <si>
    <t xml:space="preserve">SKY LANCHES</t>
  </si>
  <si>
    <t xml:space="preserve">JOSE LUCAS BOMBIL DE ARAUJO</t>
  </si>
  <si>
    <t xml:space="preserve">MERCEARIA PANTANAL</t>
  </si>
  <si>
    <t xml:space="preserve">RODRIGO DE OLIVEIRA KAMPA</t>
  </si>
  <si>
    <t xml:space="preserve">CONVENIENCIA OK</t>
  </si>
  <si>
    <t xml:space="preserve">IZABELINO XIMENEZ</t>
  </si>
  <si>
    <t xml:space="preserve">JOSUE DE ALMEIDA ANTUNES</t>
  </si>
  <si>
    <t xml:space="preserve">JOSUE CONVENIENCIA</t>
  </si>
  <si>
    <t xml:space="preserve">SANDRA ROSA NUMES DE ALMEIDA</t>
  </si>
  <si>
    <t xml:space="preserve">CONV KATATAU</t>
  </si>
  <si>
    <t xml:space="preserve">MARIA APARECIDA DOS SANTOS HELENO</t>
  </si>
  <si>
    <t xml:space="preserve">MERCEARIA DA CIDA</t>
  </si>
  <si>
    <t xml:space="preserve">WALMIR MEDEIROS DE ARRUDA</t>
  </si>
  <si>
    <t xml:space="preserve">VITORIA CONVENIENCIA</t>
  </si>
  <si>
    <t xml:space="preserve">DOUGLAS GOMES MATOSSY</t>
  </si>
  <si>
    <t xml:space="preserve">MERCEARIA PRIMAVERA</t>
  </si>
  <si>
    <t xml:space="preserve">MARIA DE LURDES MEDEIROS</t>
  </si>
  <si>
    <t xml:space="preserve">CONV DO PARQUE DO SENNA</t>
  </si>
  <si>
    <t xml:space="preserve">EDNA MARIA CHAVES</t>
  </si>
  <si>
    <t xml:space="preserve">MERCEARIA TIL CARA</t>
  </si>
  <si>
    <t xml:space="preserve">ELECI DA SILVA LEAL</t>
  </si>
  <si>
    <t xml:space="preserve">LUIZ SBARDELOTTO</t>
  </si>
  <si>
    <t xml:space="preserve">REST GAUCHA</t>
  </si>
  <si>
    <t xml:space="preserve">NATANAEL TAVARES DE MATOS JR</t>
  </si>
  <si>
    <t xml:space="preserve">JOSE ALVES DE OLIVEIRA</t>
  </si>
  <si>
    <t xml:space="preserve">DONIZETI JARDIM SANTOS</t>
  </si>
  <si>
    <t xml:space="preserve">MERCEARIA SERVE BEM</t>
  </si>
  <si>
    <t xml:space="preserve">LEANDRO GUIMARAES</t>
  </si>
  <si>
    <t xml:space="preserve">VENDI TUDO</t>
  </si>
  <si>
    <t xml:space="preserve">HAURINDO SOARES DA SILVA</t>
  </si>
  <si>
    <t xml:space="preserve">CASA DE CARNE VITORIA</t>
  </si>
  <si>
    <t xml:space="preserve">ALBERT BARBOSA DA SILVA</t>
  </si>
  <si>
    <t xml:space="preserve">NERI MATIELLO</t>
  </si>
  <si>
    <t xml:space="preserve">KITH'S LANCHES</t>
  </si>
  <si>
    <t xml:space="preserve">ADILSON VIEIRA BRAGA</t>
  </si>
  <si>
    <t xml:space="preserve">JOSE FRANCISCO NOGUEIRO</t>
  </si>
  <si>
    <t xml:space="preserve">MARIA CLAUDIA MALAMAO</t>
  </si>
  <si>
    <t xml:space="preserve">CONV SIQUEIRA</t>
  </si>
  <si>
    <t xml:space="preserve">FABIO DE MELLO TOSTA</t>
  </si>
  <si>
    <t xml:space="preserve">MERCEARIA MONTESE</t>
  </si>
  <si>
    <t xml:space="preserve">IVONE CRISTINA FERREIRA AFONSO</t>
  </si>
  <si>
    <t xml:space="preserve">SM SUPER BOM</t>
  </si>
  <si>
    <t xml:space="preserve">RCA-ANTONIO RONALDO FERNANDES</t>
  </si>
  <si>
    <t xml:space="preserve">ADELAIDE FELIX ARCE</t>
  </si>
  <si>
    <t xml:space="preserve">MERCADO PEQUENO ARCE</t>
  </si>
  <si>
    <t xml:space="preserve">CELIA REGINA NEITZKE</t>
  </si>
  <si>
    <t xml:space="preserve">PADARIA APARECIDA</t>
  </si>
  <si>
    <t xml:space="preserve">MARIA APARECIDA DE REZENDE</t>
  </si>
  <si>
    <t xml:space="preserve">RESTAURANTE SABOR SALESIANO</t>
  </si>
  <si>
    <t xml:space="preserve">EDSON RUFINO</t>
  </si>
  <si>
    <t xml:space="preserve">MERCADO NOVO RUMO</t>
  </si>
  <si>
    <t xml:space="preserve">SERGIO SEITI MORITA</t>
  </si>
  <si>
    <t xml:space="preserve">LANCHONETE U C D B</t>
  </si>
  <si>
    <t xml:space="preserve">MILTON GARAIS</t>
  </si>
  <si>
    <t xml:space="preserve">MARCIO VARGAS VEIGA</t>
  </si>
  <si>
    <t xml:space="preserve">MERCEARIA DO MARCINHO</t>
  </si>
  <si>
    <t xml:space="preserve">CICERO SANTANA BRANDAO</t>
  </si>
  <si>
    <t xml:space="preserve">MERCADO ESPERANCA</t>
  </si>
  <si>
    <t xml:space="preserve">MARIA LUCIA ROCHA DOS SANTOS</t>
  </si>
  <si>
    <t xml:space="preserve">CARNAIBA BEBIDAS</t>
  </si>
  <si>
    <t xml:space="preserve">JOCILENE DOMIMGOS DA SILVA</t>
  </si>
  <si>
    <t xml:space="preserve">ELAINE BARBOSA LIMA</t>
  </si>
  <si>
    <t xml:space="preserve">PADDARIA ARTE DOS SABORES</t>
  </si>
  <si>
    <t xml:space="preserve">SIDNEI DIAS BEZERRA (LOBAO)</t>
  </si>
  <si>
    <t xml:space="preserve">RECANTO LOBO</t>
  </si>
  <si>
    <t xml:space="preserve">APARICIO DE OLIVEIRA MORAIS</t>
  </si>
  <si>
    <t xml:space="preserve">CONVENIENCIA CASA DA BEBIDA</t>
  </si>
  <si>
    <t xml:space="preserve">ODEVAR OLIVEIRA DE SOUZA</t>
  </si>
  <si>
    <t xml:space="preserve">ACADEMIA MALHACAO</t>
  </si>
  <si>
    <t xml:space="preserve">SUELI PEREIRA DA COSTA OLIVEIRA</t>
  </si>
  <si>
    <t xml:space="preserve">MERCEARIA CONDE</t>
  </si>
  <si>
    <t xml:space="preserve">TEREZA NICIPONENCO DA SILVA</t>
  </si>
  <si>
    <t xml:space="preserve">MERCADO JOTA</t>
  </si>
  <si>
    <t xml:space="preserve">JULIO FERREIRA JUNIOR</t>
  </si>
  <si>
    <t xml:space="preserve">SUPERMERCADO PRECO BOM</t>
  </si>
  <si>
    <t xml:space="preserve">DEJANIRA CASTILHO FREITAS</t>
  </si>
  <si>
    <t xml:space="preserve">MERCEARIA DO ZE</t>
  </si>
  <si>
    <t xml:space="preserve">ELENA LOURENCO ALVES DE ARAUJO</t>
  </si>
  <si>
    <t xml:space="preserve">MERCEARIA DO ARI</t>
  </si>
  <si>
    <t xml:space="preserve">EULOGIO GIMENES</t>
  </si>
  <si>
    <t xml:space="preserve">DISTRIBUIDORA CONVEN.BOM JESUS</t>
  </si>
  <si>
    <t xml:space="preserve">JOSE GUILHERME F DAUZATER</t>
  </si>
  <si>
    <t xml:space="preserve">CONCEI€AO MORAES GON€ALVES</t>
  </si>
  <si>
    <t xml:space="preserve">JOSE JERONIMO DA SILVA</t>
  </si>
  <si>
    <t xml:space="preserve">MINI MERCADO SA JOSE</t>
  </si>
  <si>
    <t xml:space="preserve">RUBERLEI BULGARELLI</t>
  </si>
  <si>
    <t xml:space="preserve">POSTO MARCELO</t>
  </si>
  <si>
    <t xml:space="preserve">JONAS RIBEIRO</t>
  </si>
  <si>
    <t xml:space="preserve">CANTINHO DO HOT DOG</t>
  </si>
  <si>
    <t xml:space="preserve">JOSE ADAO TAVEIRA</t>
  </si>
  <si>
    <t xml:space="preserve">MERCEARIA RITA VIEIRA</t>
  </si>
  <si>
    <t xml:space="preserve">JACOB AP DE SOUZA</t>
  </si>
  <si>
    <t xml:space="preserve">JACOB</t>
  </si>
  <si>
    <t xml:space="preserve">MARCIA LEONEL DE SOUZA</t>
  </si>
  <si>
    <t xml:space="preserve">MINI MERCADO MR</t>
  </si>
  <si>
    <t xml:space="preserve">LEODIR DOMINGOS BOTON</t>
  </si>
  <si>
    <t xml:space="preserve">SM DO LEO</t>
  </si>
  <si>
    <t xml:space="preserve">SIDNEY MACHADO DA SILVA</t>
  </si>
  <si>
    <t xml:space="preserve">PANF ARAGUAIA</t>
  </si>
  <si>
    <t xml:space="preserve">RONILTON ALVES DE SOUZA</t>
  </si>
  <si>
    <t xml:space="preserve">DOCE E CIA LTDA</t>
  </si>
  <si>
    <t xml:space="preserve">VANDERLEI DA SILVA TEIXEIRA</t>
  </si>
  <si>
    <t xml:space="preserve">CONV LAS VEGAS</t>
  </si>
  <si>
    <t xml:space="preserve">GENIBALDO PAULINO DE OLIVEIRA</t>
  </si>
  <si>
    <t xml:space="preserve">MONICA LEITE COSTA</t>
  </si>
  <si>
    <t xml:space="preserve">PANIF GIOCONDO ORSI</t>
  </si>
  <si>
    <t xml:space="preserve">SERGIO APARECIDO ZUMIOTTI</t>
  </si>
  <si>
    <t xml:space="preserve">MERCEARIA MILENA</t>
  </si>
  <si>
    <t xml:space="preserve">RCA-ADRIANO BRANDOLIS</t>
  </si>
  <si>
    <t xml:space="preserve">RCA-BRANDOLIS</t>
  </si>
  <si>
    <t xml:space="preserve">SELMA RODRIGUES PICINIM</t>
  </si>
  <si>
    <t xml:space="preserve">AURO PINHEIRO MONTALUAO</t>
  </si>
  <si>
    <t xml:space="preserve">ANTONIA IRIS CHAVES MACEDO SANTOS</t>
  </si>
  <si>
    <t xml:space="preserve">RICARDO LUIS MILANI</t>
  </si>
  <si>
    <t xml:space="preserve">EMPORIO AVENIDA</t>
  </si>
  <si>
    <t xml:space="preserve">VALMIR SCARIOTE</t>
  </si>
  <si>
    <t xml:space="preserve">BAR DO NEMO</t>
  </si>
  <si>
    <t xml:space="preserve">MERCEARIA DOIS IRMAOS</t>
  </si>
  <si>
    <t xml:space="preserve">AIRTON ADAO BELILAQUA</t>
  </si>
  <si>
    <t xml:space="preserve">BAR DO GAUCHO</t>
  </si>
  <si>
    <t xml:space="preserve">FRANCISCO CARLOS GALERO BRESSO</t>
  </si>
  <si>
    <t xml:space="preserve">CANTINA UEMS</t>
  </si>
  <si>
    <t xml:space="preserve">ROQUE OLIVEIRA SILVA</t>
  </si>
  <si>
    <t xml:space="preserve">MERCEARIA SANTANA 73</t>
  </si>
  <si>
    <t xml:space="preserve">ILENILDA DA SILVA</t>
  </si>
  <si>
    <t xml:space="preserve">MERCADO AMS</t>
  </si>
  <si>
    <t xml:space="preserve">IRANI RITA PINTO COLPO</t>
  </si>
  <si>
    <t xml:space="preserve">SACOLAO FRUTO DA TERRA</t>
  </si>
  <si>
    <t xml:space="preserve">CELSO FRANSICO DOS SANTOS</t>
  </si>
  <si>
    <t xml:space="preserve">EDSON LOPES</t>
  </si>
  <si>
    <t xml:space="preserve">MERCEARIA VILA ROMANA</t>
  </si>
  <si>
    <t xml:space="preserve">ROGERIO BENITES</t>
  </si>
  <si>
    <t xml:space="preserve">MERCEARIA MARIA RITA</t>
  </si>
  <si>
    <t xml:space="preserve">ADAITON NETO DIONISIO</t>
  </si>
  <si>
    <t xml:space="preserve">CANTINA DO EXERCITO</t>
  </si>
  <si>
    <t xml:space="preserve">JOAO CANDIA</t>
  </si>
  <si>
    <t xml:space="preserve">ZILMA GONCALVES BARBOSA</t>
  </si>
  <si>
    <t xml:space="preserve">MERCEARIA LUANA</t>
  </si>
  <si>
    <t xml:space="preserve">ZITA MARIA CORREA</t>
  </si>
  <si>
    <t xml:space="preserve">CONVENIENCIA CORREA</t>
  </si>
  <si>
    <t xml:space="preserve">ALCEMIR FERNANDES PEIXOTO</t>
  </si>
  <si>
    <t xml:space="preserve">CONVENIENCIAS PEIXOTO</t>
  </si>
  <si>
    <t xml:space="preserve">PEDRO ALEM</t>
  </si>
  <si>
    <t xml:space="preserve">WILMA LOPES DA SILVA DE LIMA</t>
  </si>
  <si>
    <t xml:space="preserve">CASA DE CARNE E SACOLAO VILA ALMEIDA</t>
  </si>
  <si>
    <t xml:space="preserve">NASSER ALMEIDA SAMHA</t>
  </si>
  <si>
    <t xml:space="preserve">MINI BOX BOAO VISTA PADARIA</t>
  </si>
  <si>
    <t xml:space="preserve">YUSSRA ALMEIDA SAMA</t>
  </si>
  <si>
    <t xml:space="preserve">SERVI RIBAS CONVENIENCIA</t>
  </si>
  <si>
    <t xml:space="preserve">MARLENE APARECIDA GONCALVES</t>
  </si>
  <si>
    <t xml:space="preserve">MINI MERCADO GONCALVES</t>
  </si>
  <si>
    <t xml:space="preserve">ZENO UBALDO BARBOSA COSTA</t>
  </si>
  <si>
    <t xml:space="preserve">ULISSES VALCIR DA SILVA</t>
  </si>
  <si>
    <t xml:space="preserve">MERCADO ITALION</t>
  </si>
  <si>
    <t xml:space="preserve">EDNEIA KAZUK GRAUTH DE ARRUDA</t>
  </si>
  <si>
    <t xml:space="preserve">MERCEARIA NIPPON</t>
  </si>
  <si>
    <t xml:space="preserve">IVO ENGEL</t>
  </si>
  <si>
    <t xml:space="preserve">CONV ITALIA</t>
  </si>
  <si>
    <t xml:space="preserve">ANGELA MARQUES GOMES</t>
  </si>
  <si>
    <t xml:space="preserve">CONVENIENCIA A S</t>
  </si>
  <si>
    <t xml:space="preserve">ROSANGELA RAYMUNDA BRANZAN HUMANDER</t>
  </si>
  <si>
    <t xml:space="preserve">VANDERLENE DA SILVA MATOS</t>
  </si>
  <si>
    <t xml:space="preserve">RICARDO</t>
  </si>
  <si>
    <t xml:space="preserve">NILSON LIMA BARBOSA</t>
  </si>
  <si>
    <t xml:space="preserve">BARBOSA CONVENIENCIA</t>
  </si>
  <si>
    <t xml:space="preserve">DEBORA BREDA MARTINS DAURIA</t>
  </si>
  <si>
    <t xml:space="preserve">AUTO POSTO</t>
  </si>
  <si>
    <t xml:space="preserve">SRVETERIA CORREIO</t>
  </si>
  <si>
    <t xml:space="preserve">HAMILTON DE SOUZA BARBOZA</t>
  </si>
  <si>
    <t xml:space="preserve">ZENEIDE SOUTO DE PAULA</t>
  </si>
  <si>
    <t xml:space="preserve">JACIRA ARCE RIOS</t>
  </si>
  <si>
    <t xml:space="preserve">SM PRIMAVERA</t>
  </si>
  <si>
    <t xml:space="preserve">MARIA IVANETE DE MELO</t>
  </si>
  <si>
    <t xml:space="preserve">BAR DOS AMIGOS</t>
  </si>
  <si>
    <t xml:space="preserve">MARCELO DUARTE DA SILVA</t>
  </si>
  <si>
    <t xml:space="preserve">ACADEMIA PERFORMACE</t>
  </si>
  <si>
    <t xml:space="preserve">ISAURA MARIA DO NASCIMENTO</t>
  </si>
  <si>
    <t xml:space="preserve">CONVENIENCIA AKI-TEM</t>
  </si>
  <si>
    <t xml:space="preserve">APARECIDA HELENA ALVES FAGUNDES</t>
  </si>
  <si>
    <t xml:space="preserve">POSTO APOIO</t>
  </si>
  <si>
    <t xml:space="preserve">VALDIR CARDOSO DOS SANTOS</t>
  </si>
  <si>
    <t xml:space="preserve">FRANCISCO MOACIR DE OLIVEIRA</t>
  </si>
  <si>
    <t xml:space="preserve">MERCADINHO IGUACU</t>
  </si>
  <si>
    <t xml:space="preserve">CLEUZA CARDOSO PEREIRA</t>
  </si>
  <si>
    <t xml:space="preserve">MERCEARIA E SORVETERIA</t>
  </si>
  <si>
    <t xml:space="preserve">JOSE ALCIR DE SOUZA</t>
  </si>
  <si>
    <t xml:space="preserve">RAMAO PEREIRA</t>
  </si>
  <si>
    <t xml:space="preserve">MERC BOM PRECO</t>
  </si>
  <si>
    <t xml:space="preserve">SEBASTIAO LUIZ IFRANO DE REZENDE</t>
  </si>
  <si>
    <t xml:space="preserve">BIG STAR</t>
  </si>
  <si>
    <t xml:space="preserve">ANDERSON ARCAS FERNANDES</t>
  </si>
  <si>
    <t xml:space="preserve">MERCADO OLHO AZUL</t>
  </si>
  <si>
    <t xml:space="preserve">JOAO CARLOS DO AMARAL GOES</t>
  </si>
  <si>
    <t xml:space="preserve">COMERCIAL AMARAL</t>
  </si>
  <si>
    <t xml:space="preserve">MERCEARIA ROMANO</t>
  </si>
  <si>
    <t xml:space="preserve">ELADIA RAMIRES DUARTE</t>
  </si>
  <si>
    <t xml:space="preserve">CONV. E ACOUQUE SAO JORGE</t>
  </si>
  <si>
    <t xml:space="preserve">OSCAR RAMOS ALVARENGA</t>
  </si>
  <si>
    <t xml:space="preserve">RENATO LUIS SANTANA VARGAS</t>
  </si>
  <si>
    <t xml:space="preserve">WALDES MARQUES CLARO</t>
  </si>
  <si>
    <t xml:space="preserve">PANIF MAIS Q PAO</t>
  </si>
  <si>
    <t xml:space="preserve">MARIA DORA LOPES BARBOSA</t>
  </si>
  <si>
    <t xml:space="preserve">CONV DO MARIO</t>
  </si>
  <si>
    <t xml:space="preserve">RITO DONATO CRISTALDO</t>
  </si>
  <si>
    <t xml:space="preserve">MERCEARIA DO.RITO</t>
  </si>
  <si>
    <t xml:space="preserve">ALDINO FLORENCO</t>
  </si>
  <si>
    <t xml:space="preserve">LANCHONETE MODELO</t>
  </si>
  <si>
    <t xml:space="preserve">MARLENE FERNANDES</t>
  </si>
  <si>
    <t xml:space="preserve">GILMAR LIRA PASTORELO</t>
  </si>
  <si>
    <t xml:space="preserve">PANIF UNIVERSITARIA</t>
  </si>
  <si>
    <t xml:space="preserve">ROSANE MAIA GURGEL GONSALVES</t>
  </si>
  <si>
    <t xml:space="preserve">GERSON NASCIMENTO DOS SANTOS</t>
  </si>
  <si>
    <t xml:space="preserve">GRANDE PARADA</t>
  </si>
  <si>
    <t xml:space="preserve">PAULINA WOITOVICZ  BALBINO</t>
  </si>
  <si>
    <t xml:space="preserve">JORGE JUVELIANO FERREIRA</t>
  </si>
  <si>
    <t xml:space="preserve">MERCADO ESTER</t>
  </si>
  <si>
    <t xml:space="preserve">SIRINEI SCARIOT</t>
  </si>
  <si>
    <t xml:space="preserve">RCA-FATIMA CRISTINA B MONTEIRO</t>
  </si>
  <si>
    <t xml:space="preserve">RCA-FATIMA CTISTINA B MONTEIRO</t>
  </si>
  <si>
    <t xml:space="preserve">JORGE AFONSO DE OLIVEIRA</t>
  </si>
  <si>
    <t xml:space="preserve">MERCADO EXTRA</t>
  </si>
  <si>
    <t xml:space="preserve">ANTONIO CELSO DE SOUZA</t>
  </si>
  <si>
    <t xml:space="preserve">MERCADO CONFIANCA</t>
  </si>
  <si>
    <t xml:space="preserve">PAULO DE ASSIS ALENCAR</t>
  </si>
  <si>
    <t xml:space="preserve">BAR DO PAULO</t>
  </si>
  <si>
    <t xml:space="preserve">MARIA DE LURDES C REJASSO</t>
  </si>
  <si>
    <t xml:space="preserve">CANTINA DON BOSCO</t>
  </si>
  <si>
    <t xml:space="preserve">EXPEDITO SOARES DA SILVA</t>
  </si>
  <si>
    <t xml:space="preserve">VALDETE FERNANDES DE OLIVEIRA</t>
  </si>
  <si>
    <t xml:space="preserve">IVANA MARIA DUARTE</t>
  </si>
  <si>
    <t xml:space="preserve">SALAO DE BELEZA</t>
  </si>
  <si>
    <t xml:space="preserve">MARTA ROSANA CHIELE</t>
  </si>
  <si>
    <t xml:space="preserve">MARILDA GOMES MONTEIRO</t>
  </si>
  <si>
    <t xml:space="preserve">MERCEARIA E PANIF OMEGA</t>
  </si>
  <si>
    <t xml:space="preserve">DONIZETE VICTOR DA SILVA</t>
  </si>
  <si>
    <t xml:space="preserve">LUCIMAR ESPINDOLA DA SILVA</t>
  </si>
  <si>
    <t xml:space="preserve">RENATO APARECIDO BENASSI</t>
  </si>
  <si>
    <t xml:space="preserve">FABIO HUMBERTO DE SOUZA BARBOSA</t>
  </si>
  <si>
    <t xml:space="preserve">CANTINA DA FACULDADE</t>
  </si>
  <si>
    <t xml:space="preserve">JONAS FRANCISCO DE ANDRADE</t>
  </si>
  <si>
    <t xml:space="preserve">J.A.M</t>
  </si>
  <si>
    <t xml:space="preserve">EDSON FERREIRA PEREIRA SOBRINHO</t>
  </si>
  <si>
    <t xml:space="preserve">PRESIDIO DE TRANSITO NOROESTE</t>
  </si>
  <si>
    <t xml:space="preserve">JOSE RIBAMAR VENANCIO</t>
  </si>
  <si>
    <t xml:space="preserve">BAZAR RIBAMAR</t>
  </si>
  <si>
    <t xml:space="preserve">JAIRTOM LUIS DA ROSA</t>
  </si>
  <si>
    <t xml:space="preserve">DINA DE CASTRO SILVA PEREIRA</t>
  </si>
  <si>
    <t xml:space="preserve">MERCADO VERDURAO D.D.D</t>
  </si>
  <si>
    <t xml:space="preserve">ROSANGELA BARBOSA GANGORA</t>
  </si>
  <si>
    <t xml:space="preserve">FRUTAS E VERDURAS</t>
  </si>
  <si>
    <t xml:space="preserve">ASSUNCAO ARISTIMUNHA BARBOSA</t>
  </si>
  <si>
    <t xml:space="preserve">MERCEARI</t>
  </si>
  <si>
    <t xml:space="preserve">MARLENE TERESA MENDONCA PERREIRA</t>
  </si>
  <si>
    <t xml:space="preserve">FRUTOS DO TRIGO</t>
  </si>
  <si>
    <t xml:space="preserve">AMAURI RODRIGUES DOMINGOS</t>
  </si>
  <si>
    <t xml:space="preserve">LORES LAURINDO DALLA CORTI</t>
  </si>
  <si>
    <t xml:space="preserve">MERCEARIA DALLAS</t>
  </si>
  <si>
    <t xml:space="preserve">ISSAC JOSE DE ARAUJO</t>
  </si>
  <si>
    <t xml:space="preserve">MERC FELIPE</t>
  </si>
  <si>
    <t xml:space="preserve">NILZA FERREIRA PIRES</t>
  </si>
  <si>
    <t xml:space="preserve">NILZA</t>
  </si>
  <si>
    <t xml:space="preserve">SIDNEY DA SILVA SANTOS</t>
  </si>
  <si>
    <t xml:space="preserve">SUPER PIZZA</t>
  </si>
  <si>
    <t xml:space="preserve">ROSANGELA FERNANDES D'AVILA IBANEZ</t>
  </si>
  <si>
    <t xml:space="preserve">LANCHONETE PASSATEMPO</t>
  </si>
  <si>
    <t xml:space="preserve">CELIO DE OLIVEIRA</t>
  </si>
  <si>
    <t xml:space="preserve">CAFE &amp; COMPANHIA</t>
  </si>
  <si>
    <t xml:space="preserve">EVANILTO REIS DE OLIVEIRA</t>
  </si>
  <si>
    <t xml:space="preserve">PEDRO FELIX DE SOUZA</t>
  </si>
  <si>
    <t xml:space="preserve">MILENIO</t>
  </si>
  <si>
    <t xml:space="preserve">MANOELITO RODRIGUES GOMES</t>
  </si>
  <si>
    <t xml:space="preserve">MERC JARDIM SUL</t>
  </si>
  <si>
    <t xml:space="preserve">ARIOVALDO MARTINS SOUZA</t>
  </si>
  <si>
    <t xml:space="preserve">MERCADO LUCAS</t>
  </si>
  <si>
    <t xml:space="preserve">DILSON FERREIRA DE LUCENA</t>
  </si>
  <si>
    <t xml:space="preserve">MERCEARIA LUCENA</t>
  </si>
  <si>
    <t xml:space="preserve">JOAO JOB DOS SANTOS</t>
  </si>
  <si>
    <t xml:space="preserve">MINI MERCADO 2 IRMAOS</t>
  </si>
  <si>
    <t xml:space="preserve">JUSSARA VALIN SILVA</t>
  </si>
  <si>
    <t xml:space="preserve">LANCH 207</t>
  </si>
  <si>
    <t xml:space="preserve">GEISA ANDREA MACIEL RIBEIRO</t>
  </si>
  <si>
    <t xml:space="preserve">COVENIENCIA CAMISAO J E J</t>
  </si>
  <si>
    <t xml:space="preserve">ANTONIO ADELSON RODRIGUES ALVES</t>
  </si>
  <si>
    <t xml:space="preserve">MERCEARIA CAMPINA VERDE</t>
  </si>
  <si>
    <t xml:space="preserve">LEONIDAS SANABRIA DE ASSIS</t>
  </si>
  <si>
    <t xml:space="preserve">MERC DA PARAGUAIA</t>
  </si>
  <si>
    <t xml:space="preserve">LEONICE TRAZZI ALSINO CAAM</t>
  </si>
  <si>
    <t xml:space="preserve">MERCEARIA FRAM</t>
  </si>
  <si>
    <t xml:space="preserve">ELDO BERNARDES BUENO</t>
  </si>
  <si>
    <t xml:space="preserve">MERCEARIA BUENO</t>
  </si>
  <si>
    <t xml:space="preserve">PAULO SUMAO YAMASAKI</t>
  </si>
  <si>
    <t xml:space="preserve">LANC ESORV BIG PORTATO</t>
  </si>
  <si>
    <t xml:space="preserve">CLOVIS PEREIRA</t>
  </si>
  <si>
    <t xml:space="preserve">AGEPEN</t>
  </si>
  <si>
    <t xml:space="preserve">OZERIO GOMES DONASCIMENTO</t>
  </si>
  <si>
    <t xml:space="preserve">SUPRA</t>
  </si>
  <si>
    <t xml:space="preserve">TASSIANA PINTO ALMEIDA</t>
  </si>
  <si>
    <t xml:space="preserve">ACADEMIA EQUILIBRIO</t>
  </si>
  <si>
    <t xml:space="preserve">OTACILIO FRANCISCO DA SILVA</t>
  </si>
  <si>
    <t xml:space="preserve">BANCA DO OTACILIO</t>
  </si>
  <si>
    <t xml:space="preserve">JOSUE JANUARIO DA SILVA</t>
  </si>
  <si>
    <t xml:space="preserve">SALAO JOIA</t>
  </si>
  <si>
    <t xml:space="preserve">ROSALVO TORRES LATA</t>
  </si>
  <si>
    <t xml:space="preserve">24 HS PANTANEIRA</t>
  </si>
  <si>
    <t xml:space="preserve">IRANI MACHADO BOCCHI</t>
  </si>
  <si>
    <t xml:space="preserve">LUCIANA DE FATIMA MARTINS</t>
  </si>
  <si>
    <t xml:space="preserve">ORDALINA VARGAS MARQUES</t>
  </si>
  <si>
    <t xml:space="preserve">ANTONIA DE MAURO SILVA</t>
  </si>
  <si>
    <t xml:space="preserve">ANTONIO ALVES DIAS</t>
  </si>
  <si>
    <t xml:space="preserve">BAR DEPRESSINHA</t>
  </si>
  <si>
    <t xml:space="preserve">MARLENE MARIA THOMAS</t>
  </si>
  <si>
    <t xml:space="preserve">OSVALDIR REZENDE DA SILVA</t>
  </si>
  <si>
    <t xml:space="preserve">MERCEARIA PARANA</t>
  </si>
  <si>
    <t xml:space="preserve">ONEIDE JOSE DOS SANTOS</t>
  </si>
  <si>
    <t xml:space="preserve">MERCADO BONFIM</t>
  </si>
  <si>
    <t xml:space="preserve">AILSON ASSATO</t>
  </si>
  <si>
    <t xml:space="preserve">BANCA TUY E YUYU</t>
  </si>
  <si>
    <t xml:space="preserve">EDGAR RESENDE TIAGO</t>
  </si>
  <si>
    <t xml:space="preserve">SM PANTANAL</t>
  </si>
  <si>
    <t xml:space="preserve">MARIA TEREZA ANDREA DA SILVA</t>
  </si>
  <si>
    <t xml:space="preserve">MERCEARIA SAO PEDRO</t>
  </si>
  <si>
    <t xml:space="preserve">ELDA MARIA DA ROCHA PANIAGO</t>
  </si>
  <si>
    <t xml:space="preserve">ZILDA FERREIRA DA SILVA</t>
  </si>
  <si>
    <t xml:space="preserve">LIANE RIBEIRO</t>
  </si>
  <si>
    <t xml:space="preserve">MERCADO 2000</t>
  </si>
  <si>
    <t xml:space="preserve">NILTON CARLOS DA SILVA</t>
  </si>
  <si>
    <t xml:space="preserve">MARLEIDE CAVALCANTE SAMPAIO</t>
  </si>
  <si>
    <t xml:space="preserve">MERCEARIA PE.CICERO</t>
  </si>
  <si>
    <t xml:space="preserve">VALDIR G. FERREIRA</t>
  </si>
  <si>
    <t xml:space="preserve">VALDECI NUNES DOS SANTOS</t>
  </si>
  <si>
    <t xml:space="preserve">JOAO BATISTA SOUZA</t>
  </si>
  <si>
    <t xml:space="preserve">LAERTE PALHANO BARBOSA</t>
  </si>
  <si>
    <t xml:space="preserve">DISTRIBUIDORA</t>
  </si>
  <si>
    <t xml:space="preserve">LUCY SILVA DOS SANTOS SOUZA</t>
  </si>
  <si>
    <t xml:space="preserve">CASA DE CARNE E MERCEARIA JL</t>
  </si>
  <si>
    <t xml:space="preserve">JOSE DOS SANTOS</t>
  </si>
  <si>
    <t xml:space="preserve">RCA-VIVALDO FERREIRA SOUZA</t>
  </si>
  <si>
    <t xml:space="preserve">RCA - VIVALDO</t>
  </si>
  <si>
    <t xml:space="preserve">SILAS DA SILVA SANTOS</t>
  </si>
  <si>
    <t xml:space="preserve">MERCADO RIO BRANCO</t>
  </si>
  <si>
    <t xml:space="preserve">CREUSA DE FREITAS APOLONI</t>
  </si>
  <si>
    <t xml:space="preserve">MERC 3 IRMAOS</t>
  </si>
  <si>
    <t xml:space="preserve">JARDESON RODRIGUES DA SILVA</t>
  </si>
  <si>
    <t xml:space="preserve">PADARIA BOM DIAS</t>
  </si>
  <si>
    <t xml:space="preserve">VENISVALDO FELIX GARCIA</t>
  </si>
  <si>
    <t xml:space="preserve">SERVE JA</t>
  </si>
  <si>
    <t xml:space="preserve">RAMAO ALVES BATISTA</t>
  </si>
  <si>
    <t xml:space="preserve">LANCHONETE E PIZZARIA</t>
  </si>
  <si>
    <t xml:space="preserve">MARIA DILZA DE SOUZA</t>
  </si>
  <si>
    <t xml:space="preserve">SM SORRISO II</t>
  </si>
  <si>
    <t xml:space="preserve">ADELIA DE ALMEIDA BARBOSA</t>
  </si>
  <si>
    <t xml:space="preserve">MERCADO CASA VERDE</t>
  </si>
  <si>
    <t xml:space="preserve">CRISTINA MARECO ISHIKAWA</t>
  </si>
  <si>
    <t xml:space="preserve">PET FOUR EMPORIUM</t>
  </si>
  <si>
    <t xml:space="preserve">NIVALDO SANTANA DE LIMA</t>
  </si>
  <si>
    <t xml:space="preserve">SANTANA FRUTAS E CONVINENCIAS</t>
  </si>
  <si>
    <t xml:space="preserve">ROBERTO FRANCISCO DOS SANTOS</t>
  </si>
  <si>
    <t xml:space="preserve">IVONE DO CARMO REGINALDO DE SOUZA</t>
  </si>
  <si>
    <t xml:space="preserve">LENIR FATIMA BALBINA DA COSTA</t>
  </si>
  <si>
    <t xml:space="preserve">BAR PRIMAVERA</t>
  </si>
  <si>
    <t xml:space="preserve">GEOSIVAN DA SILVA ALENCAR</t>
  </si>
  <si>
    <t xml:space="preserve">FRUTARIA OURO VERDE</t>
  </si>
  <si>
    <t xml:space="preserve">DAGMAR DA SILVA LEITE</t>
  </si>
  <si>
    <t xml:space="preserve">OSMAR SOARES DA SILVA</t>
  </si>
  <si>
    <t xml:space="preserve">MERCEARIA SANTA TERESINHA</t>
  </si>
  <si>
    <t xml:space="preserve">CLEUDITI ALVES GONCALVES LEITE</t>
  </si>
  <si>
    <t xml:space="preserve">MERCEARIA 2 IRMAOS</t>
  </si>
  <si>
    <t xml:space="preserve">EUCLIDES STRAPAZZOLLI</t>
  </si>
  <si>
    <t xml:space="preserve">SORV BOLA DE NEVE</t>
  </si>
  <si>
    <t xml:space="preserve">APARECIDA RODRIGUES DE SOUZA</t>
  </si>
  <si>
    <t xml:space="preserve">MERCEARIA J.A.W</t>
  </si>
  <si>
    <t xml:space="preserve">MARCOS RODRIGUES LIMEIRA</t>
  </si>
  <si>
    <t xml:space="preserve">MILTON MARIN</t>
  </si>
  <si>
    <t xml:space="preserve">MARIO CONCEICAO PADILHA LOPES</t>
  </si>
  <si>
    <t xml:space="preserve">MERCEARIA REAL</t>
  </si>
  <si>
    <t xml:space="preserve">JIUSANE PERES ICASSAT</t>
  </si>
  <si>
    <t xml:space="preserve">CONJIL CONVENIENCIAS</t>
  </si>
  <si>
    <t xml:space="preserve">ANIR ARAUJO MARTINS</t>
  </si>
  <si>
    <t xml:space="preserve">FRIOS E TAL</t>
  </si>
  <si>
    <t xml:space="preserve">ANTONIO BATISTA (ROMARIO)</t>
  </si>
  <si>
    <t xml:space="preserve">ALDIVINO DE OLIVEIRA</t>
  </si>
  <si>
    <t xml:space="preserve">SERVI FESTA</t>
  </si>
  <si>
    <t xml:space="preserve">SERGIO PINZAN</t>
  </si>
  <si>
    <t xml:space="preserve">MERCADO RS</t>
  </si>
  <si>
    <t xml:space="preserve">GENESI ALVES OLIVEIRA</t>
  </si>
  <si>
    <t xml:space="preserve">CASA KENDI - MAQ DE ARROZ</t>
  </si>
  <si>
    <t xml:space="preserve">ALVARO CANDIDO DE OLIVEIRA</t>
  </si>
  <si>
    <t xml:space="preserve">LEIA CONCEICAO LEMES PINHEIRO</t>
  </si>
  <si>
    <t xml:space="preserve">SORVETERIA EXPRESSO ITALIANO</t>
  </si>
  <si>
    <t xml:space="preserve">CARLOS ALBERTO TORTORETTI</t>
  </si>
  <si>
    <t xml:space="preserve">FLORICULTURA CESTA CAFE</t>
  </si>
  <si>
    <t xml:space="preserve">CEZAR AUGUSTO HOISTER</t>
  </si>
  <si>
    <t xml:space="preserve">SM GAUCHO</t>
  </si>
  <si>
    <t xml:space="preserve">VILMA RODRIGUES DO CARMO</t>
  </si>
  <si>
    <t xml:space="preserve">MERCADO CAMPOS SILVA</t>
  </si>
  <si>
    <t xml:space="preserve">EDSON REGINALDO DE SALES</t>
  </si>
  <si>
    <t xml:space="preserve">MERCA PAO</t>
  </si>
  <si>
    <t xml:space="preserve">NIVALDA MARIA GRISON GONCALVES</t>
  </si>
  <si>
    <t xml:space="preserve">MERCADO DO VALTINHO</t>
  </si>
  <si>
    <t xml:space="preserve">LUIZ PEDROSO DE LIMA FILHO</t>
  </si>
  <si>
    <t xml:space="preserve">MERCEARIA BONANCA</t>
  </si>
  <si>
    <t xml:space="preserve">CLARICE CILIATO</t>
  </si>
  <si>
    <t xml:space="preserve">O POLENTAO</t>
  </si>
  <si>
    <t xml:space="preserve">ELIZABEH RIBEIRO DOS SANTOS</t>
  </si>
  <si>
    <t xml:space="preserve">VALBERRICO FERREIRA ARAUJO</t>
  </si>
  <si>
    <t xml:space="preserve">MERCEARIA DA JULIAN</t>
  </si>
  <si>
    <t xml:space="preserve">ERONIDES GOMES DA SILVA</t>
  </si>
  <si>
    <t xml:space="preserve">JAIME SANTANA DOS SANTOS</t>
  </si>
  <si>
    <t xml:space="preserve">MERCEARIA DO JAIME</t>
  </si>
  <si>
    <t xml:space="preserve">ADELINA MARQUES GARCIA</t>
  </si>
  <si>
    <t xml:space="preserve">OTAVIO DOS SANTOS SOBRINHO</t>
  </si>
  <si>
    <t xml:space="preserve">CONVENIENCIA JARDIM</t>
  </si>
  <si>
    <t xml:space="preserve">CLEBER WAIDEMAN</t>
  </si>
  <si>
    <t xml:space="preserve">FARMACIA TUPY</t>
  </si>
  <si>
    <t xml:space="preserve">MARIA SELMA LEMES ARANDAS</t>
  </si>
  <si>
    <t xml:space="preserve">MERCADO ARANDAS</t>
  </si>
  <si>
    <t xml:space="preserve">MARIO MARQUES</t>
  </si>
  <si>
    <t xml:space="preserve">NOEDILSON INFRAN DE LIMA</t>
  </si>
  <si>
    <t xml:space="preserve">NOE LIMA</t>
  </si>
  <si>
    <t xml:space="preserve">OZEDIO DE OLIVEIRA</t>
  </si>
  <si>
    <t xml:space="preserve">PESK PAG PARAISO DO SOL</t>
  </si>
  <si>
    <t xml:space="preserve">ROBERTO TEIXEIRA DA SILVA</t>
  </si>
  <si>
    <t xml:space="preserve">MARIA EVANILDE VIEIRA</t>
  </si>
  <si>
    <t xml:space="preserve">MERCEARIA JA</t>
  </si>
  <si>
    <t xml:space="preserve">CLAUDINEI GILBERTO FOLLMANN</t>
  </si>
  <si>
    <t xml:space="preserve">TUTI FLATELLI</t>
  </si>
  <si>
    <t xml:space="preserve">NAGILA NEIRE PEREIRA DE SOUZA KAWAMNAMI </t>
  </si>
  <si>
    <t xml:space="preserve">TAISA DA SILVA NAZARIO</t>
  </si>
  <si>
    <t xml:space="preserve">MARIA BALBINA TORRES</t>
  </si>
  <si>
    <t xml:space="preserve">CONV PINGO DE OURO</t>
  </si>
  <si>
    <t xml:space="preserve">ODIRCO DORNELES MEDINA</t>
  </si>
  <si>
    <t xml:space="preserve">EMPORIO GARIMPO</t>
  </si>
  <si>
    <t xml:space="preserve">ALCEU ANTONIO VENDRUSCOLO</t>
  </si>
  <si>
    <t xml:space="preserve">FRANCISCO ALVES DA SILVA</t>
  </si>
  <si>
    <t xml:space="preserve">FERNANDO MACHADO DE MORAES</t>
  </si>
  <si>
    <t xml:space="preserve">MERCADO MACHADO</t>
  </si>
  <si>
    <t xml:space="preserve">IVETE ALVES OLIVEIRA</t>
  </si>
  <si>
    <t xml:space="preserve">GELCIMAR RIBEIRO SOBORA</t>
  </si>
  <si>
    <t xml:space="preserve">PANIF PANI LANCHES</t>
  </si>
  <si>
    <t xml:space="preserve">HUMBERTO ROSA GUTIRREZ</t>
  </si>
  <si>
    <t xml:space="preserve">ANA MARIA DE FREITAS</t>
  </si>
  <si>
    <t xml:space="preserve">RESTAURANTE INDUBRASIL</t>
  </si>
  <si>
    <t xml:space="preserve">SEBASTIANA ALENCAR PEREIRA</t>
  </si>
  <si>
    <t xml:space="preserve">CREPS SUICO</t>
  </si>
  <si>
    <t xml:space="preserve">LUIZ RIBEIRO BARBOSA</t>
  </si>
  <si>
    <t xml:space="preserve">LANCHONETE CONV AEROPORTO</t>
  </si>
  <si>
    <t xml:space="preserve">EDSON TEIXEIRA</t>
  </si>
  <si>
    <t xml:space="preserve">NORVAIL AP. LEAL MAIA</t>
  </si>
  <si>
    <t xml:space="preserve">FAZENDA 2M</t>
  </si>
  <si>
    <t xml:space="preserve">DENIR ROMEIRO</t>
  </si>
  <si>
    <t xml:space="preserve">PANIF E CONV LS</t>
  </si>
  <si>
    <t xml:space="preserve">MARIA HELENA GARCIA</t>
  </si>
  <si>
    <t xml:space="preserve">MERCADO K PRECO</t>
  </si>
  <si>
    <t xml:space="preserve">ALCEDIR DA LUZ MORAIS</t>
  </si>
  <si>
    <t xml:space="preserve">PINGUIM CONVENIENCIA</t>
  </si>
  <si>
    <t xml:space="preserve">SERGIO NANTES DE OLIVEIRA</t>
  </si>
  <si>
    <t xml:space="preserve">EDMARA DE OLIVEIRA RODRIGUES</t>
  </si>
  <si>
    <t xml:space="preserve">MERCEARIA DA BAIXINHA</t>
  </si>
  <si>
    <t xml:space="preserve">MARIA DA SILVA RODRIGUES</t>
  </si>
  <si>
    <t xml:space="preserve">RENATA HELENA PEQUIM</t>
  </si>
  <si>
    <t xml:space="preserve">PANF BARCELONA</t>
  </si>
  <si>
    <t xml:space="preserve">CLAUDIO GOMES</t>
  </si>
  <si>
    <t xml:space="preserve">MERCADO GOMES</t>
  </si>
  <si>
    <t xml:space="preserve">ADEMIR LOUBET</t>
  </si>
  <si>
    <t xml:space="preserve">CONVENIENCIA PRIMAVERA</t>
  </si>
  <si>
    <t xml:space="preserve">WERCELEI FROES</t>
  </si>
  <si>
    <t xml:space="preserve">CONV COOHAB</t>
  </si>
  <si>
    <t xml:space="preserve">SALUSTIANO JARA</t>
  </si>
  <si>
    <t xml:space="preserve">MERCEARIA NOVO</t>
  </si>
  <si>
    <t xml:space="preserve">ADEMIR LOPES</t>
  </si>
  <si>
    <t xml:space="preserve">SOL CONVENIENCIA</t>
  </si>
  <si>
    <t xml:space="preserve">MARINALVA DA SILVA TERENGUE</t>
  </si>
  <si>
    <t xml:space="preserve">MERCADINHO ALENCAR</t>
  </si>
  <si>
    <t xml:space="preserve">APARECIDA DE JESUS R</t>
  </si>
  <si>
    <t xml:space="preserve">MERCADO NARCISO</t>
  </si>
  <si>
    <t xml:space="preserve">ROSALINO RODRIGUES CABREIRA</t>
  </si>
  <si>
    <t xml:space="preserve">MERCEARIA SARANDI</t>
  </si>
  <si>
    <t xml:space="preserve">JOSE CARLOS FERREIRA DA SILVA</t>
  </si>
  <si>
    <t xml:space="preserve">JORGE LUIZ FRANCO CARDOSO</t>
  </si>
  <si>
    <t xml:space="preserve">CASA CARNE</t>
  </si>
  <si>
    <t xml:space="preserve">LUIS VELTER</t>
  </si>
  <si>
    <t xml:space="preserve">NELSON DIAS RAMOS</t>
  </si>
  <si>
    <t xml:space="preserve">NUTRIRAO</t>
  </si>
  <si>
    <t xml:space="preserve">SERGIO CORREA DA SILVA</t>
  </si>
  <si>
    <t xml:space="preserve">MERCEARIA SILVA-SERGINHO</t>
  </si>
  <si>
    <t xml:space="preserve">CLEONICE RODRIGUES CARVALHO</t>
  </si>
  <si>
    <t xml:space="preserve">SILVONEI OLIVEIRA DE LIMA</t>
  </si>
  <si>
    <t xml:space="preserve">ALTAS HORAS CONVENIENCIA</t>
  </si>
  <si>
    <t xml:space="preserve">MARTA EUGENIA MACHADO</t>
  </si>
  <si>
    <t xml:space="preserve">BAR SAO JOSE</t>
  </si>
  <si>
    <t xml:space="preserve">LUIZ CARLOS ALCANTARA</t>
  </si>
  <si>
    <t xml:space="preserve">MERCADO REGENTE</t>
  </si>
  <si>
    <t xml:space="preserve">LUCI TEREZINHA SILVA</t>
  </si>
  <si>
    <t xml:space="preserve">PANIF ITAIPU</t>
  </si>
  <si>
    <t xml:space="preserve">JOSEFA ROSINEIDE DA SILVA</t>
  </si>
  <si>
    <t xml:space="preserve">LUZIA FERREIRA DA SILVA</t>
  </si>
  <si>
    <t xml:space="preserve">ABRAO RODRIGUES FERREIRA</t>
  </si>
  <si>
    <t xml:space="preserve">MERC.SACOLAO CATARINENSE</t>
  </si>
  <si>
    <t xml:space="preserve">JEFERSON PERES DA SILVA</t>
  </si>
  <si>
    <t xml:space="preserve">SORVETIRIA CUCA FRESCA</t>
  </si>
  <si>
    <t xml:space="preserve">ROSA MARIA RIBEIRO CORREA</t>
  </si>
  <si>
    <t xml:space="preserve">MERCEARIA CATARINA</t>
  </si>
  <si>
    <t xml:space="preserve">VALMIR L.DE OLIVEIRA</t>
  </si>
  <si>
    <t xml:space="preserve">ISMAEL GONCALVES DA SILVA</t>
  </si>
  <si>
    <t xml:space="preserve">JOSEFA GOMES DA SILVA</t>
  </si>
  <si>
    <t xml:space="preserve">MERCEARIA W S</t>
  </si>
  <si>
    <t xml:space="preserve">RONALDO DA SILVA CONCADO</t>
  </si>
  <si>
    <t xml:space="preserve">ABIGAILDE VIEIRA DA COSTA</t>
  </si>
  <si>
    <t xml:space="preserve">CAFE EXPRESS PLUS</t>
  </si>
  <si>
    <t xml:space="preserve">EDSOM SOARES RODRIGUES</t>
  </si>
  <si>
    <t xml:space="preserve">CLAUDIO APARECIDO DA SILVA</t>
  </si>
  <si>
    <t xml:space="preserve">PADARIA VIPAO</t>
  </si>
  <si>
    <t xml:space="preserve">MANOEL ASSIR ARECO</t>
  </si>
  <si>
    <t xml:space="preserve">MAQUINA DE ARROZ N SHR APAREC</t>
  </si>
  <si>
    <t xml:space="preserve">MARIA PINTO MENDONCA SILVA</t>
  </si>
  <si>
    <t xml:space="preserve">DARCI DO SANTOS MENDES</t>
  </si>
  <si>
    <t xml:space="preserve">MERCEARIA MENDES</t>
  </si>
  <si>
    <t xml:space="preserve">FRANCISCO GIOBERTO P DA SILVA</t>
  </si>
  <si>
    <t xml:space="preserve">WERLEI FRANCISCO DA SILVA</t>
  </si>
  <si>
    <t xml:space="preserve">MONFORT-CASA DE CARNE E CONV</t>
  </si>
  <si>
    <t xml:space="preserve">HAROLDO BATISTA DA SILVA</t>
  </si>
  <si>
    <t xml:space="preserve">ADELSON DE JESUS SILVA</t>
  </si>
  <si>
    <t xml:space="preserve">MERCEARIA A F S</t>
  </si>
  <si>
    <t xml:space="preserve">JAQUELINE MENDONCA LEIRIA</t>
  </si>
  <si>
    <t xml:space="preserve">PANTANAL CONVENIENCIA</t>
  </si>
  <si>
    <t xml:space="preserve">LAERCIO LOURENCO DA SILVA</t>
  </si>
  <si>
    <t xml:space="preserve">MERCADO BIG MARCAS</t>
  </si>
  <si>
    <t xml:space="preserve">ISZAEL  PALMA PESSOA</t>
  </si>
  <si>
    <t xml:space="preserve">MERCEARIA SANTA ISABEL</t>
  </si>
  <si>
    <t xml:space="preserve">DELMIRA GARCIA SOUZA</t>
  </si>
  <si>
    <t xml:space="preserve">SM CRIOLA</t>
  </si>
  <si>
    <t xml:space="preserve">MERCADO E SACOLAO SAO JOSE</t>
  </si>
  <si>
    <t xml:space="preserve">EDEMIR MARQUES PEREIRA</t>
  </si>
  <si>
    <t xml:space="preserve">EDEMIR MARQUE PEREIRA</t>
  </si>
  <si>
    <t xml:space="preserve">RONALDO VIEIRA DA SILVA</t>
  </si>
  <si>
    <t xml:space="preserve">SONIA INES DE OLIVEIRA PERALTA SANTANA  </t>
  </si>
  <si>
    <t xml:space="preserve">SONIA INES DE OLIVEIRA PERALTA</t>
  </si>
  <si>
    <t xml:space="preserve">WANDERLEY LOPES BARBOSA</t>
  </si>
  <si>
    <t xml:space="preserve">MARCIO PRESTE MARTINS</t>
  </si>
  <si>
    <t xml:space="preserve">PEDRO XAVIER DOS SANTOS</t>
  </si>
  <si>
    <t xml:space="preserve">SM SANTOS</t>
  </si>
  <si>
    <t xml:space="preserve">VIVALDO DE MELO COSTA</t>
  </si>
  <si>
    <t xml:space="preserve">CONVENIENCIA CRISTAL</t>
  </si>
  <si>
    <t xml:space="preserve">MARIA DE LOURDES PEREIRA</t>
  </si>
  <si>
    <t xml:space="preserve">MERCEARIA SAO LOURENCO</t>
  </si>
  <si>
    <t xml:space="preserve">PAULO LIRA PASTORELO</t>
  </si>
  <si>
    <t xml:space="preserve">MARLI SULZBACH</t>
  </si>
  <si>
    <t xml:space="preserve">MERCADINHO KIDS</t>
  </si>
  <si>
    <t xml:space="preserve">JOAO VIEIRA DOS SANTOS</t>
  </si>
  <si>
    <t xml:space="preserve">REST SABOR CASEIRO</t>
  </si>
  <si>
    <t xml:space="preserve">BELINE VIEIRA</t>
  </si>
  <si>
    <t xml:space="preserve">MINI MERCADO BOM PRECO</t>
  </si>
  <si>
    <t xml:space="preserve">SANDRA CRISTINA NOGUEIRA FLAVIO</t>
  </si>
  <si>
    <t xml:space="preserve">CRISTINA'S CONVENIENCIA</t>
  </si>
  <si>
    <t xml:space="preserve">NERONE DA SILVA FERREIRA</t>
  </si>
  <si>
    <t xml:space="preserve">MAXIMILIANO DORNELES BORDIGNON</t>
  </si>
  <si>
    <t xml:space="preserve">JORGE MARCELINO COLMAN</t>
  </si>
  <si>
    <t xml:space="preserve">PANIFICADORA SAO GABRIEL</t>
  </si>
  <si>
    <t xml:space="preserve">MINI CONVENIENCIA</t>
  </si>
  <si>
    <t xml:space="preserve">MARCIO SILAS DA SILVA PEREIRA</t>
  </si>
  <si>
    <t xml:space="preserve">ESCOLA ANA MARIA NASCIMENTO FU</t>
  </si>
  <si>
    <t xml:space="preserve">BENEDITO ANTONIO VIEIRA</t>
  </si>
  <si>
    <t xml:space="preserve">CONVENIENCIA VIEIRA</t>
  </si>
  <si>
    <t xml:space="preserve">AREONILDA MARIA DAMASCENO</t>
  </si>
  <si>
    <t xml:space="preserve">LUIZ MAURICIO MEDINA</t>
  </si>
  <si>
    <t xml:space="preserve">GISELE BRAULO DE SOUZA</t>
  </si>
  <si>
    <t xml:space="preserve">MERC RENASCER</t>
  </si>
  <si>
    <t xml:space="preserve">TANIA MARIA VIEIRA LINO</t>
  </si>
  <si>
    <t xml:space="preserve">MERCADO LINO</t>
  </si>
  <si>
    <t xml:space="preserve">NILSON CELESTINO</t>
  </si>
  <si>
    <t xml:space="preserve">PADARIA MICAELA</t>
  </si>
  <si>
    <t xml:space="preserve">ROBERTO CARLOS PEREIRA DE OLIVEIRA</t>
  </si>
  <si>
    <t xml:space="preserve">SNIPER LAN HOUSE</t>
  </si>
  <si>
    <t xml:space="preserve">FRANQUISLEI CABRAL GOMES</t>
  </si>
  <si>
    <t xml:space="preserve">FRANCK BARTENDER</t>
  </si>
  <si>
    <t xml:space="preserve">ADRIANA AMORIM DE SOUZA CENTURIAO</t>
  </si>
  <si>
    <t xml:space="preserve">DRIKA SORVETES</t>
  </si>
  <si>
    <t xml:space="preserve">MARIO RODRIGUES ROA</t>
  </si>
  <si>
    <t xml:space="preserve">PANIF ROAS</t>
  </si>
  <si>
    <t xml:space="preserve">MARCILIO MENDOCA</t>
  </si>
  <si>
    <t xml:space="preserve">FARMACIA MENDONCA</t>
  </si>
  <si>
    <t xml:space="preserve">VERA LUCIA CARDOSO FONTINATO</t>
  </si>
  <si>
    <t xml:space="preserve">PANIFICADORA SANTISTA</t>
  </si>
  <si>
    <t xml:space="preserve">NATALINO FIRMINO MOREIRA</t>
  </si>
  <si>
    <t xml:space="preserve">MARINHO FREM CACERES</t>
  </si>
  <si>
    <t xml:space="preserve">SSELMA CRISTINA D P MOREIRA</t>
  </si>
  <si>
    <t xml:space="preserve">BRUNO CONVENIENCIA</t>
  </si>
  <si>
    <t xml:space="preserve">SANDRA J TAVARES</t>
  </si>
  <si>
    <t xml:space="preserve">CLARA RECALDE</t>
  </si>
  <si>
    <t xml:space="preserve">MARIA HELENA DIAS BAHMAD</t>
  </si>
  <si>
    <t xml:space="preserve">MERC MARIA HELENA</t>
  </si>
  <si>
    <t xml:space="preserve">ROBERTO CHIODE CONCEICAO</t>
  </si>
  <si>
    <t xml:space="preserve">MERCADO MORENA</t>
  </si>
  <si>
    <t xml:space="preserve">MARCELO BATISTA MOTA</t>
  </si>
  <si>
    <t xml:space="preserve">VARANDA GRILL</t>
  </si>
  <si>
    <t xml:space="preserve">AQUILES EDUARDO DA SILVA</t>
  </si>
  <si>
    <t xml:space="preserve">PANF NATACHA</t>
  </si>
  <si>
    <t xml:space="preserve">WALTER ANTONIO DA SILVA</t>
  </si>
  <si>
    <t xml:space="preserve">BANCA D.BOSCO</t>
  </si>
  <si>
    <t xml:space="preserve">JOSE ANTONIO SOARES</t>
  </si>
  <si>
    <t xml:space="preserve">PANF MISTER PAO</t>
  </si>
  <si>
    <t xml:space="preserve">ROSANGELA BEZERRA ALMEIDA</t>
  </si>
  <si>
    <t xml:space="preserve">CONV BOA ESPERANCA</t>
  </si>
  <si>
    <t xml:space="preserve">CLAUDIO PAPALEO</t>
  </si>
  <si>
    <t xml:space="preserve">CASA DO NORTE</t>
  </si>
  <si>
    <t xml:space="preserve">EDINALDO APARECIDO DOS SANTOS</t>
  </si>
  <si>
    <t xml:space="preserve">BRASIL MAT P CONTRUCAO</t>
  </si>
  <si>
    <t xml:space="preserve">NOELI RODRIGUES DA SILVA MATOS</t>
  </si>
  <si>
    <t xml:space="preserve">DEUSVANIR CARVALHO</t>
  </si>
  <si>
    <t xml:space="preserve">MERCADO CARVALHO</t>
  </si>
  <si>
    <t xml:space="preserve">NEIDE MARINA MIGUEL</t>
  </si>
  <si>
    <t xml:space="preserve">PANF KRIATIVA</t>
  </si>
  <si>
    <t xml:space="preserve">BENJAMIM RODRIGUES DE MARIZ</t>
  </si>
  <si>
    <t xml:space="preserve">MERCEARIA E COVENIENCIA DO PAR</t>
  </si>
  <si>
    <t xml:space="preserve">ALESSANDRO LOZANO</t>
  </si>
  <si>
    <t xml:space="preserve">MESMO</t>
  </si>
  <si>
    <t xml:space="preserve">ADEMILSON NEVES DE ALMEIDA</t>
  </si>
  <si>
    <t xml:space="preserve">MARTA NUNES DOS SANTOS</t>
  </si>
  <si>
    <t xml:space="preserve">NEUSA PEREIRA MATHEUS</t>
  </si>
  <si>
    <t xml:space="preserve">MERCADO FLORIDA</t>
  </si>
  <si>
    <t xml:space="preserve">CARMEM DORIS</t>
  </si>
  <si>
    <t xml:space="preserve">LIBERALINO R SILVA SOUZA</t>
  </si>
  <si>
    <t xml:space="preserve">PANF PANTANAL</t>
  </si>
  <si>
    <t xml:space="preserve">ADRIANA CUBAR</t>
  </si>
  <si>
    <t xml:space="preserve">MERCEARIA ADRIANA</t>
  </si>
  <si>
    <t xml:space="preserve">MERCADO DOM ANTONIO</t>
  </si>
  <si>
    <t xml:space="preserve">DANIEL GONCALVES DE MEDEIROS</t>
  </si>
  <si>
    <t xml:space="preserve">MERC MEDEIROS</t>
  </si>
  <si>
    <t xml:space="preserve">EVA MORILIO COELHO</t>
  </si>
  <si>
    <t xml:space="preserve">PANF UNIAO</t>
  </si>
  <si>
    <t xml:space="preserve">VALDENICIA BENICHIA DA SILVA</t>
  </si>
  <si>
    <t xml:space="preserve">CONV CENTRAL</t>
  </si>
  <si>
    <t xml:space="preserve">NORENDA TERESINHA GIANELLO LAUXEN</t>
  </si>
  <si>
    <t xml:space="preserve">GAUCHAO II</t>
  </si>
  <si>
    <t xml:space="preserve">LEONILDA DA SILVA</t>
  </si>
  <si>
    <t xml:space="preserve">LANCH RIO BEER</t>
  </si>
  <si>
    <t xml:space="preserve">MARI ISABEL SCHIOOKI</t>
  </si>
  <si>
    <t xml:space="preserve">HOTEL E RESTAURANTE</t>
  </si>
  <si>
    <t xml:space="preserve">DANIEL VIEIRA BARBOSA</t>
  </si>
  <si>
    <t xml:space="preserve">MEZINHO LOPES DA SILVA</t>
  </si>
  <si>
    <t xml:space="preserve">SCOOBYDOO LANCHES</t>
  </si>
  <si>
    <t xml:space="preserve">ATELMAR ALVES MEDEIROS</t>
  </si>
  <si>
    <t xml:space="preserve">FLORISVALDO RODRIGUES SANTIAGO</t>
  </si>
  <si>
    <t xml:space="preserve">MERCEARIA SANTIAGO</t>
  </si>
  <si>
    <t xml:space="preserve">ROSELI GABRIELA BERNARDO DA SILVA</t>
  </si>
  <si>
    <t xml:space="preserve">RJ MERCEARIA</t>
  </si>
  <si>
    <t xml:space="preserve">DECIFRAN ROBERTO DA SILVA</t>
  </si>
  <si>
    <t xml:space="preserve">ANTONIO CARLOS MARTINS</t>
  </si>
  <si>
    <t xml:space="preserve">SM VERDAO</t>
  </si>
  <si>
    <t xml:space="preserve">ESTER DOS SANTOS PEREIRA</t>
  </si>
  <si>
    <t xml:space="preserve">S'THERBAR</t>
  </si>
  <si>
    <t xml:space="preserve">JOAO DIAS DE OLIVEIRA</t>
  </si>
  <si>
    <t xml:space="preserve">EVANILDA MAIDANA</t>
  </si>
  <si>
    <t xml:space="preserve">PADARIA DA FAMILIA</t>
  </si>
  <si>
    <t xml:space="preserve">JAIR GONCALVES DA SILVA</t>
  </si>
  <si>
    <t xml:space="preserve">VALDO EMERSON T DOS SANTOS</t>
  </si>
  <si>
    <t xml:space="preserve">LINDOMAR ANDRE FRANCO</t>
  </si>
  <si>
    <t xml:space="preserve">MERCEARIA FRANCO</t>
  </si>
  <si>
    <t xml:space="preserve">DINALDO PRAXEDES DE ALMEIDA</t>
  </si>
  <si>
    <t xml:space="preserve">CONV DINA</t>
  </si>
  <si>
    <t xml:space="preserve">IVO JOSE DA SILVA</t>
  </si>
  <si>
    <t xml:space="preserve">BAR E MERC DO ZE</t>
  </si>
  <si>
    <t xml:space="preserve">JOEL JOSE DA SILVA</t>
  </si>
  <si>
    <t xml:space="preserve">OSMAR DE SOUZA PEREIRA</t>
  </si>
  <si>
    <t xml:space="preserve">LUIZ DONIZETE DOS SANTOS</t>
  </si>
  <si>
    <t xml:space="preserve">LANCHONETE SAO MARTIM(PTEXACO)</t>
  </si>
  <si>
    <t xml:space="preserve">JOSE MARIO DOS SANTOS FERREIRA</t>
  </si>
  <si>
    <t xml:space="preserve">PASTELARIA AGUA NA BOCA</t>
  </si>
  <si>
    <t xml:space="preserve">SIDINEZ DE FREITAS</t>
  </si>
  <si>
    <t xml:space="preserve">CELIA CAMPAIO RIBEIRO BOHRER</t>
  </si>
  <si>
    <t xml:space="preserve">SACOLAO REAL</t>
  </si>
  <si>
    <t xml:space="preserve">SIDNEY JONAS SABIAO</t>
  </si>
  <si>
    <t xml:space="preserve">CAFE EXPRESSO</t>
  </si>
  <si>
    <t xml:space="preserve">MANOEL BARBOSA DE SENA</t>
  </si>
  <si>
    <t xml:space="preserve">MERC E CONV ESPERAN€A</t>
  </si>
  <si>
    <t xml:space="preserve">ILTON MOREIRA ROCHA</t>
  </si>
  <si>
    <t xml:space="preserve">JARAMA LANCHES</t>
  </si>
  <si>
    <t xml:space="preserve">LUIZ CARLOS SMANIOTTO</t>
  </si>
  <si>
    <t xml:space="preserve">AGROPECUARIA SMANIOTTO</t>
  </si>
  <si>
    <t xml:space="preserve">DINALVA CLEIA MARTINS LEAO</t>
  </si>
  <si>
    <t xml:space="preserve">PANIFICADORA E MERCEARIA IMPERIO</t>
  </si>
  <si>
    <t xml:space="preserve">ROSANGELA DE AGUIAR GEMILLI</t>
  </si>
  <si>
    <t xml:space="preserve">PAULO NERY FRANCA NUNES</t>
  </si>
  <si>
    <t xml:space="preserve">DROGARIA NUNES</t>
  </si>
  <si>
    <t xml:space="preserve">MERCADO JULIANA</t>
  </si>
  <si>
    <t xml:space="preserve">DIVANIR MARIA GONCALVES DE OLIVEIRA</t>
  </si>
  <si>
    <t xml:space="preserve">MERCEARIA DOIS PINGUINS</t>
  </si>
  <si>
    <t xml:space="preserve">DAVID BIAPO VIEIRA</t>
  </si>
  <si>
    <t xml:space="preserve">VANOR MOLINA DA SILVA</t>
  </si>
  <si>
    <t xml:space="preserve">MERCEARIA MOLINA</t>
  </si>
  <si>
    <t xml:space="preserve">MARLENE SHEIBEL DA SILVA</t>
  </si>
  <si>
    <t xml:space="preserve">BAR E MERC. CHEIBEL</t>
  </si>
  <si>
    <t xml:space="preserve">PAULO SHINOHARA</t>
  </si>
  <si>
    <t xml:space="preserve">SM PEG PAG BARATAO</t>
  </si>
  <si>
    <t xml:space="preserve">VICTOR CEZAR MARIANE RIBEIRO</t>
  </si>
  <si>
    <t xml:space="preserve">QUALITY RESTAURANTE</t>
  </si>
  <si>
    <t xml:space="preserve">JULIO CESAR SOARES CALADO</t>
  </si>
  <si>
    <t xml:space="preserve">CONVENIENCIA ESKINAO</t>
  </si>
  <si>
    <t xml:space="preserve">MARCOS ALEXANDRE GATTIS</t>
  </si>
  <si>
    <t xml:space="preserve">MARCOS GATTIS</t>
  </si>
  <si>
    <t xml:space="preserve">CICERO ALUISIO RIBEIRO</t>
  </si>
  <si>
    <t xml:space="preserve">ROSANA SOCORRO SALVATERRA</t>
  </si>
  <si>
    <t xml:space="preserve">ARTUR JOSE PEREIRA</t>
  </si>
  <si>
    <t xml:space="preserve">CASA DE CARNE E CONV VITORIA</t>
  </si>
  <si>
    <t xml:space="preserve">MARLENE MACHADO DA SILVA</t>
  </si>
  <si>
    <t xml:space="preserve">LANCHONETE TERMINAL RODOVIARIA</t>
  </si>
  <si>
    <t xml:space="preserve">CLARICE MARIA TINELLI</t>
  </si>
  <si>
    <t xml:space="preserve">BAR MERCEARIA TINELLI</t>
  </si>
  <si>
    <t xml:space="preserve">RAIMUNDO NONATO F.SOBRINHO</t>
  </si>
  <si>
    <t xml:space="preserve">BAR INDEPENDENCIA</t>
  </si>
  <si>
    <t xml:space="preserve">DIVALDO SEVERINO DE FREITAS</t>
  </si>
  <si>
    <t xml:space="preserve">DIVLADO LANCHES</t>
  </si>
  <si>
    <t xml:space="preserve">ADAIR DOS SANTOS</t>
  </si>
  <si>
    <t xml:space="preserve">SACOLAO ALMEIDA</t>
  </si>
  <si>
    <t xml:space="preserve">JACI DOS SANTOS VERA CRUZ</t>
  </si>
  <si>
    <t xml:space="preserve">CANTINA SALEM</t>
  </si>
  <si>
    <t xml:space="preserve">LUIZ BRANDAO DA SILVA</t>
  </si>
  <si>
    <t xml:space="preserve">MERCADO E ACOUGUE BRANDAO</t>
  </si>
  <si>
    <t xml:space="preserve">ADEMAR APARECIDO DA SILVA</t>
  </si>
  <si>
    <t xml:space="preserve">VERA LUCIA ROSSATE CUNHA</t>
  </si>
  <si>
    <t xml:space="preserve">NIVALDO BARBOSA BRANDAO</t>
  </si>
  <si>
    <t xml:space="preserve">SUPERMERCADO CAMPAO</t>
  </si>
  <si>
    <t xml:space="preserve">DIRCE SIMONATTO BEBORTALI</t>
  </si>
  <si>
    <t xml:space="preserve">REST 3 IRMAOS</t>
  </si>
  <si>
    <t xml:space="preserve">AGNALDO FERNANDES DOS SANTOS</t>
  </si>
  <si>
    <t xml:space="preserve">DADOS CONVENIENCIAS</t>
  </si>
  <si>
    <t xml:space="preserve">ANA DE SOUZA FERREIRA</t>
  </si>
  <si>
    <t xml:space="preserve">MERCADO RENASCER</t>
  </si>
  <si>
    <t xml:space="preserve">ROSINEIDE BIGATAO REGINATO</t>
  </si>
  <si>
    <t xml:space="preserve">JOAO DOS SANTOS SILVA</t>
  </si>
  <si>
    <t xml:space="preserve">MERCEARIA LJ</t>
  </si>
  <si>
    <t xml:space="preserve">FRANCISCO JOSE M AMARAL</t>
  </si>
  <si>
    <t xml:space="preserve">BREAD BEER CONVENIENCIAS</t>
  </si>
  <si>
    <t xml:space="preserve">PAULO SERGIO MACHADO</t>
  </si>
  <si>
    <t xml:space="preserve">CANTINA ESC JOAO NEOPONOCENO</t>
  </si>
  <si>
    <t xml:space="preserve">MONICA FERREIRA DA SILVA</t>
  </si>
  <si>
    <t xml:space="preserve">ACOUGUE TIRADENTES</t>
  </si>
  <si>
    <t xml:space="preserve">SANDRA MARA FERREIRA BARRETO</t>
  </si>
  <si>
    <t xml:space="preserve">MARGARETH SANTANA VERA</t>
  </si>
  <si>
    <t xml:space="preserve">RESTAURANTE ROMA POSTO GLORIA</t>
  </si>
  <si>
    <t xml:space="preserve">SERGIO SALVADOR DE LIMA</t>
  </si>
  <si>
    <t xml:space="preserve">MEDITERANIO BAR E RESTAURANTE</t>
  </si>
  <si>
    <t xml:space="preserve">CRISTIANE HERMANN</t>
  </si>
  <si>
    <t xml:space="preserve">CAFE PONTO PAO</t>
  </si>
  <si>
    <t xml:space="preserve">PANIF E CON PONTO COM</t>
  </si>
  <si>
    <t xml:space="preserve">PANIFICADORA PONTO COM</t>
  </si>
  <si>
    <t xml:space="preserve">VERA LUCIA MARQUES DE OLIVEIRA</t>
  </si>
  <si>
    <t xml:space="preserve">CONVENIENCIA VERA</t>
  </si>
  <si>
    <t xml:space="preserve">JOSE GONCALVES DA SILVA</t>
  </si>
  <si>
    <t xml:space="preserve">MERCEARIA GONCALVES</t>
  </si>
  <si>
    <t xml:space="preserve">MERCADO PREDILETO</t>
  </si>
  <si>
    <t xml:space="preserve">JOAO CARLOS BATISTA</t>
  </si>
  <si>
    <t xml:space="preserve">DUDA LANCHES</t>
  </si>
  <si>
    <t xml:space="preserve">LUIZA DIAS DA SILVA PEDREIRO</t>
  </si>
  <si>
    <t xml:space="preserve">KONCARNE</t>
  </si>
  <si>
    <t xml:space="preserve">MIGUEL DE CAMPOS</t>
  </si>
  <si>
    <t xml:space="preserve">GILBERTO VALENCIA DA SILVA</t>
  </si>
  <si>
    <t xml:space="preserve">MERCEARIA J SILVA</t>
  </si>
  <si>
    <t xml:space="preserve">MARLENE OLIVEIRA DE SOUZA</t>
  </si>
  <si>
    <t xml:space="preserve">MERCADINHO SANTISTA</t>
  </si>
  <si>
    <t xml:space="preserve">KEILA SIMONE MARTINS</t>
  </si>
  <si>
    <t xml:space="preserve">KAMBARU CONVENIENCIAS</t>
  </si>
  <si>
    <t xml:space="preserve">JOSE APARECIDO DA SILVA</t>
  </si>
  <si>
    <t xml:space="preserve">SANDRA MARA MANTNS</t>
  </si>
  <si>
    <t xml:space="preserve">LEOMARINA LEITE ARANTES W</t>
  </si>
  <si>
    <t xml:space="preserve">MERCEARIA PORTO RICO</t>
  </si>
  <si>
    <t xml:space="preserve">JOSE RAMOS PEREIRA</t>
  </si>
  <si>
    <t xml:space="preserve">MERCEARIA CRUZEIRO</t>
  </si>
  <si>
    <t xml:space="preserve">LUCIMARA NUNES SILVA</t>
  </si>
  <si>
    <t xml:space="preserve">MERCEARIA DULTRA</t>
  </si>
  <si>
    <t xml:space="preserve">ISABEL CRISTINA ALVES</t>
  </si>
  <si>
    <t xml:space="preserve">PADARIA NOSSO SONHO</t>
  </si>
  <si>
    <t xml:space="preserve">PEDRO FARIAS</t>
  </si>
  <si>
    <t xml:space="preserve">MERCEARIA DOS AMIGOS</t>
  </si>
  <si>
    <t xml:space="preserve">VERA LUCIA GALHORDE DE OLIVEIRA</t>
  </si>
  <si>
    <t xml:space="preserve">ROSANA COELHO PARABA</t>
  </si>
  <si>
    <t xml:space="preserve">SHIGEJI IINUMA</t>
  </si>
  <si>
    <t xml:space="preserve">MERCEARIA DRAGAO</t>
  </si>
  <si>
    <t xml:space="preserve">OSMAR DE SOUZA</t>
  </si>
  <si>
    <t xml:space="preserve">MERCADO IVA</t>
  </si>
  <si>
    <t xml:space="preserve">SEBASTIAO RICARDO DE ARAUJO</t>
  </si>
  <si>
    <t xml:space="preserve">TEREZA JUAREZ ARAUZ SOARES</t>
  </si>
  <si>
    <t xml:space="preserve">RCA-GLEICE DA COSTA SILVA</t>
  </si>
  <si>
    <t xml:space="preserve">RCA - GLEICE</t>
  </si>
  <si>
    <t xml:space="preserve">NEIDE DA SILVA COSTA</t>
  </si>
  <si>
    <t xml:space="preserve">CONV RODRIGUES</t>
  </si>
  <si>
    <t xml:space="preserve">RCA-CELSO VICTOR DE CAMPOS</t>
  </si>
  <si>
    <t xml:space="preserve">LUIZ FERNANDO VIDAL CID</t>
  </si>
  <si>
    <t xml:space="preserve">CANTINA CIRCULO MILITAR</t>
  </si>
  <si>
    <t xml:space="preserve">VALDIR VIVAN</t>
  </si>
  <si>
    <t xml:space="preserve">JASON DE JESUS SALES</t>
  </si>
  <si>
    <t xml:space="preserve">MERCEARIA DUNGA</t>
  </si>
  <si>
    <t xml:space="preserve">KABANA BAR &amp; CHOPERIA</t>
  </si>
  <si>
    <t xml:space="preserve">KABANA BAR E LOCADORA</t>
  </si>
  <si>
    <t xml:space="preserve">ANA PAULA</t>
  </si>
  <si>
    <t xml:space="preserve">ADILSON ALVES DE CARVALHO</t>
  </si>
  <si>
    <t xml:space="preserve">PAULO SERGIO DE LIRA</t>
  </si>
  <si>
    <t xml:space="preserve">DISTRIBUIDORA DE FRIOS TODA HO</t>
  </si>
  <si>
    <t xml:space="preserve">EDER CARLOS DA SILVA</t>
  </si>
  <si>
    <t xml:space="preserve">MERCEARIA CHAMA GAS</t>
  </si>
  <si>
    <t xml:space="preserve">ANTONIO CARLOS RECHE</t>
  </si>
  <si>
    <t xml:space="preserve">MERCEARIA MAIS VOCE</t>
  </si>
  <si>
    <t xml:space="preserve">LENIR PINHEIRO RODRIGUES</t>
  </si>
  <si>
    <t xml:space="preserve">CANTINA MORENAO (BAT CAVERNA)</t>
  </si>
  <si>
    <t xml:space="preserve">RONALDO FERREIRA DA ROCHA</t>
  </si>
  <si>
    <t xml:space="preserve">PANIF. PAO CASEIRO</t>
  </si>
  <si>
    <t xml:space="preserve">FRANCISCO ALVES DA COSTA REGO</t>
  </si>
  <si>
    <t xml:space="preserve">MINI MERCADO REGO</t>
  </si>
  <si>
    <t xml:space="preserve">ROBERTO SOUZA LUIZ</t>
  </si>
  <si>
    <t xml:space="preserve">PADARIA BOA VISTA</t>
  </si>
  <si>
    <t xml:space="preserve">BRIGIDO FERNANDES</t>
  </si>
  <si>
    <t xml:space="preserve">CASA DE CARNE GUGA</t>
  </si>
  <si>
    <t xml:space="preserve">UBALDO FERNANDES</t>
  </si>
  <si>
    <t xml:space="preserve">CASA DE CARNE FORNO NOBRE</t>
  </si>
  <si>
    <t xml:space="preserve">VAGNER JOSE LIMA</t>
  </si>
  <si>
    <t xml:space="preserve">W.B CONV</t>
  </si>
  <si>
    <t xml:space="preserve">MAX ROBERTO FERREIRA CARNEIRO</t>
  </si>
  <si>
    <t xml:space="preserve">LUIS ANTONIO DA SILVA</t>
  </si>
  <si>
    <t xml:space="preserve">PANIFICADORA E CONFEITARIA MAN</t>
  </si>
  <si>
    <t xml:space="preserve">SONIA REGINA NANTES</t>
  </si>
  <si>
    <t xml:space="preserve">MERCEARIA E CONVENIENCIA MENDES</t>
  </si>
  <si>
    <t xml:space="preserve">MARCOS TORRES NOGUEIRA</t>
  </si>
  <si>
    <t xml:space="preserve">SHOP RACOES</t>
  </si>
  <si>
    <t xml:space="preserve">LUIS DA SILVA</t>
  </si>
  <si>
    <t xml:space="preserve">BENILDA CRISTALDO</t>
  </si>
  <si>
    <t xml:space="preserve">CLAUDEIR APARECIDO DE SOUZA</t>
  </si>
  <si>
    <t xml:space="preserve">MINI MERCAOD LEILA</t>
  </si>
  <si>
    <t xml:space="preserve">NEIDE DELFINO DIAS</t>
  </si>
  <si>
    <t xml:space="preserve">GIVALDO FRANCISCO DE AZEVEDO</t>
  </si>
  <si>
    <t xml:space="preserve">100 FIADOS CONVENIENCIA</t>
  </si>
  <si>
    <t xml:space="preserve">CLAUDIVAN PIRES DE OLIVEIRA</t>
  </si>
  <si>
    <t xml:space="preserve">ARIMAR NECO RODRIGUES</t>
  </si>
  <si>
    <t xml:space="preserve">AGRO TREVO</t>
  </si>
  <si>
    <t xml:space="preserve">JOSE ANTONIO GONZALES</t>
  </si>
  <si>
    <t xml:space="preserve">CLEIDE BATISTA PINHEIRO</t>
  </si>
  <si>
    <t xml:space="preserve">MERCADO NSRA APARECIDA</t>
  </si>
  <si>
    <t xml:space="preserve">VALTER DA SILVA BARROS</t>
  </si>
  <si>
    <t xml:space="preserve">MERC PREDILETO</t>
  </si>
  <si>
    <t xml:space="preserve">VALERIA ANDREI BENOTTI</t>
  </si>
  <si>
    <t xml:space="preserve">MERCEARIA NACENTE</t>
  </si>
  <si>
    <t xml:space="preserve">VANDERLEI FERREIRA XAVIER</t>
  </si>
  <si>
    <t xml:space="preserve">MINI MERCADO 3 IRMAOS</t>
  </si>
  <si>
    <t xml:space="preserve">DEOMEDES PEDRO DA SILVA</t>
  </si>
  <si>
    <t xml:space="preserve">MERCADO LAGEADO</t>
  </si>
  <si>
    <t xml:space="preserve">JOSIVALDO MARTINES</t>
  </si>
  <si>
    <t xml:space="preserve">SACOLAO RANCHO VERDE</t>
  </si>
  <si>
    <t xml:space="preserve">ELAINE CRISTINA MARTELO</t>
  </si>
  <si>
    <t xml:space="preserve">JOANA APARECIDA HERRERA DE GUSMAO</t>
  </si>
  <si>
    <t xml:space="preserve">MERCEARIA GUSMAO</t>
  </si>
  <si>
    <t xml:space="preserve">JAIR MARCAL SOARES</t>
  </si>
  <si>
    <t xml:space="preserve">MERCEARIA JAINE E JAIELY</t>
  </si>
  <si>
    <t xml:space="preserve">EUROS CLAUDIOS DO NASCIMENTO</t>
  </si>
  <si>
    <t xml:space="preserve">EUROS LANCHES</t>
  </si>
  <si>
    <t xml:space="preserve">GERALDA APARECIDA DE CASTRO</t>
  </si>
  <si>
    <t xml:space="preserve">OSEIAS BATISTA MENDES</t>
  </si>
  <si>
    <t xml:space="preserve">MERCEARIA E CONVENIENCIA PARAN</t>
  </si>
  <si>
    <t xml:space="preserve">WILSSE TEREZINHA ALVES DE SOUZA</t>
  </si>
  <si>
    <t xml:space="preserve">MERC E CONVENIENCIA SOUZA</t>
  </si>
  <si>
    <t xml:space="preserve">FATIMA BISPO ALVES</t>
  </si>
  <si>
    <t xml:space="preserve">RUBENS DE SOUZA</t>
  </si>
  <si>
    <t xml:space="preserve">CONV RUBENS</t>
  </si>
  <si>
    <t xml:space="preserve">PEDRO GRACIANO F CALONGA</t>
  </si>
  <si>
    <t xml:space="preserve">MERCADINHO CALONGA</t>
  </si>
  <si>
    <t xml:space="preserve">VALDOMIRO DA ROSA</t>
  </si>
  <si>
    <t xml:space="preserve">MERCEARIA PRATICO</t>
  </si>
  <si>
    <t xml:space="preserve">JOSE ADEMIR LESME BENITEZ</t>
  </si>
  <si>
    <t xml:space="preserve">PANIF ESTILLUS</t>
  </si>
  <si>
    <t xml:space="preserve">NELSON CAMPOS</t>
  </si>
  <si>
    <t xml:space="preserve">WALQUIRIA ALVES DA SILVA</t>
  </si>
  <si>
    <t xml:space="preserve">MINI MERCADO CENTRAL</t>
  </si>
  <si>
    <t xml:space="preserve">DURVALINO CONCEICAO DA SILVA</t>
  </si>
  <si>
    <t xml:space="preserve">MERCEARIA NOVA JERUSALEM</t>
  </si>
  <si>
    <t xml:space="preserve">JULI DAFA GUSMAN</t>
  </si>
  <si>
    <t xml:space="preserve">NILSON AUGUSTO DE ARAUJO FILHO</t>
  </si>
  <si>
    <t xml:space="preserve">COMERCIO O FORMIGAO</t>
  </si>
  <si>
    <t xml:space="preserve">PEDRO RICARDO ANUNCIACAO FERREIRA</t>
  </si>
  <si>
    <t xml:space="preserve">DIRCE SANTANA DELMONDES</t>
  </si>
  <si>
    <t xml:space="preserve">PEDRO SERGIO COSTA DA SILVA</t>
  </si>
  <si>
    <t xml:space="preserve">CASA DE CARNE E MERCEARIA MANU</t>
  </si>
  <si>
    <t xml:space="preserve">JOEL GARCIA OLIVEIRA</t>
  </si>
  <si>
    <t xml:space="preserve">SACOLAO SAO MARCOS</t>
  </si>
  <si>
    <t xml:space="preserve">EDERVAL ANTONIO BEE</t>
  </si>
  <si>
    <t xml:space="preserve">GILBERTO BERNARDINO SAMPAIO</t>
  </si>
  <si>
    <t xml:space="preserve">NILZ  A DE ARAUJO</t>
  </si>
  <si>
    <t xml:space="preserve">ARMANDO DE MORAIS NASCIMENTO</t>
  </si>
  <si>
    <t xml:space="preserve">MANOEL PEREIRA LISBOA</t>
  </si>
  <si>
    <t xml:space="preserve">CONV PIVA</t>
  </si>
  <si>
    <t xml:space="preserve">SUILENE MASSAMI FONTALVA</t>
  </si>
  <si>
    <t xml:space="preserve">MERC YUKI</t>
  </si>
  <si>
    <t xml:space="preserve">JOAO LARREA MARTINS</t>
  </si>
  <si>
    <t xml:space="preserve">JS</t>
  </si>
  <si>
    <t xml:space="preserve">KELLY CRISTINA KANASHIRO</t>
  </si>
  <si>
    <t xml:space="preserve">MERCADO LONDRINENSE</t>
  </si>
  <si>
    <t xml:space="preserve">CRISTIANE PIRES POTTUMATI</t>
  </si>
  <si>
    <t xml:space="preserve">CAO E CIA</t>
  </si>
  <si>
    <t xml:space="preserve">SELMA HELENA REZENDE DE OLIVEIRA</t>
  </si>
  <si>
    <t xml:space="preserve">NEUZA FRANCISCA DE LIMA AGUIAR</t>
  </si>
  <si>
    <t xml:space="preserve">ALTAMIR DAVALO NOGUEIRA</t>
  </si>
  <si>
    <t xml:space="preserve">ALTAMIR</t>
  </si>
  <si>
    <t xml:space="preserve">ADRIANA LEITE LOUREIRO</t>
  </si>
  <si>
    <t xml:space="preserve">AGUAS GUARIROBA</t>
  </si>
  <si>
    <t xml:space="preserve">ANTONIO PEREIRA VALE NETO</t>
  </si>
  <si>
    <t xml:space="preserve">SILVANA MARTINS DA SILVA</t>
  </si>
  <si>
    <t xml:space="preserve">SACOLAO E MERC.BOM PRECO</t>
  </si>
  <si>
    <t xml:space="preserve">LUCIANO VICENTE PEREIRA</t>
  </si>
  <si>
    <t xml:space="preserve">BAZAR DO PEREIRA</t>
  </si>
  <si>
    <t xml:space="preserve">ARLAM OCTACIO OJEDA</t>
  </si>
  <si>
    <t xml:space="preserve">MERCEARIA PAI HEROI</t>
  </si>
  <si>
    <t xml:space="preserve">EPIFANIA SANTOS BELARMINO</t>
  </si>
  <si>
    <t xml:space="preserve">ADILSON EUGENIO FEDELIS</t>
  </si>
  <si>
    <t xml:space="preserve">CONVENIENCIA RIO DA PRATA</t>
  </si>
  <si>
    <t xml:space="preserve">LUDIMAR ACOSTA BRUM MARTINS</t>
  </si>
  <si>
    <t xml:space="preserve">HORA EXTRA CONVENIENCIA</t>
  </si>
  <si>
    <t xml:space="preserve">MARIA INES PINHEIRO DA SILVA</t>
  </si>
  <si>
    <t xml:space="preserve">PANIFICADORA PINHEIRO</t>
  </si>
  <si>
    <t xml:space="preserve">JOELSON FIGUEIREDO MARIANO</t>
  </si>
  <si>
    <t xml:space="preserve">CASA IMA</t>
  </si>
  <si>
    <t xml:space="preserve">EDUARDO ANTONIO XAVIER LUARES</t>
  </si>
  <si>
    <t xml:space="preserve">HOSPITAL PENFICO</t>
  </si>
  <si>
    <t xml:space="preserve">JOAO JOSE DA ROCHA</t>
  </si>
  <si>
    <t xml:space="preserve">FERRARI FUMILARIA E PINTURA</t>
  </si>
  <si>
    <t xml:space="preserve">RENILDO DE SOUZA FEITOSA</t>
  </si>
  <si>
    <t xml:space="preserve">SERV BEM CONVENIENCIA</t>
  </si>
  <si>
    <t xml:space="preserve">ADELIR PORTELA DE ANDRADE</t>
  </si>
  <si>
    <t xml:space="preserve">OREDES ALMIRON SILVA</t>
  </si>
  <si>
    <t xml:space="preserve">PANIFICADORA UNIVERSAL</t>
  </si>
  <si>
    <t xml:space="preserve">NADIR MEINSCHEIN FERREIRA</t>
  </si>
  <si>
    <t xml:space="preserve">REST 2 IRMAOS</t>
  </si>
  <si>
    <t xml:space="preserve">NILCEMAR APARECIDA CARVALHO</t>
  </si>
  <si>
    <t xml:space="preserve">MINI MERCADO ITALIA</t>
  </si>
  <si>
    <t xml:space="preserve">EUJACIO FRANCISCO COELHO</t>
  </si>
  <si>
    <t xml:space="preserve">JOSE OLIVIO DE SOUZA</t>
  </si>
  <si>
    <t xml:space="preserve">MERCEARIA DO BAIANO</t>
  </si>
  <si>
    <t xml:space="preserve">JUVENAL DE SOUZA</t>
  </si>
  <si>
    <t xml:space="preserve">PEDRO VIEIRA DA SILVA</t>
  </si>
  <si>
    <t xml:space="preserve">NOVA CONVENIENCIA E LANCHONETE</t>
  </si>
  <si>
    <t xml:space="preserve">ALBERTO CALGARO ZUCARRELI</t>
  </si>
  <si>
    <t xml:space="preserve">MERCADO ZUCARRELI</t>
  </si>
  <si>
    <t xml:space="preserve">VICENTE JOSE DOS SANTOS</t>
  </si>
  <si>
    <t xml:space="preserve">MERCADO TUPY</t>
  </si>
  <si>
    <t xml:space="preserve">NOEL DE SOUZA NOGUEIRA</t>
  </si>
  <si>
    <t xml:space="preserve">LANC MARINA DO PORTO</t>
  </si>
  <si>
    <t xml:space="preserve">RITA DE ALMEIDA</t>
  </si>
  <si>
    <t xml:space="preserve">MERCADINHO POPULAR</t>
  </si>
  <si>
    <t xml:space="preserve">EMA DIAS DA ROCHA</t>
  </si>
  <si>
    <t xml:space="preserve">MERCEARIA STA LUCIA</t>
  </si>
  <si>
    <t xml:space="preserve">OLIVEIRA MARIM ROCHA</t>
  </si>
  <si>
    <t xml:space="preserve">MERCEARIA FMS</t>
  </si>
  <si>
    <t xml:space="preserve">ROSANGELA PINHEIRO DE ALMEIDA</t>
  </si>
  <si>
    <t xml:space="preserve">NEW CAR</t>
  </si>
  <si>
    <t xml:space="preserve">DENILSON ALVES SANTOS</t>
  </si>
  <si>
    <t xml:space="preserve">NILZA SANTANA SANTOS</t>
  </si>
  <si>
    <t xml:space="preserve">EDILEUZA BARBOSA NUNES</t>
  </si>
  <si>
    <t xml:space="preserve">RAMAO NASCIMENTO DA SILVA</t>
  </si>
  <si>
    <t xml:space="preserve">SACOLAO BEIRA RIO</t>
  </si>
  <si>
    <t xml:space="preserve">GUSTAVO SIDNEY LIKES PENTEADO</t>
  </si>
  <si>
    <t xml:space="preserve">CONVENIENCIA TROPICAL</t>
  </si>
  <si>
    <t xml:space="preserve">MIRIAN JOSELE CRESPAN GOMES</t>
  </si>
  <si>
    <t xml:space="preserve">CAFETERIA SABOR DA TERRA</t>
  </si>
  <si>
    <t xml:space="preserve">DORILA FERREIRA NUNES</t>
  </si>
  <si>
    <t xml:space="preserve">CONVENIENCIA DA HORA</t>
  </si>
  <si>
    <t xml:space="preserve">MARCOS ROBERTO DE SOUZA</t>
  </si>
  <si>
    <t xml:space="preserve">RENE CALDEIRA</t>
  </si>
  <si>
    <t xml:space="preserve">DEP BEBIDAS V. FALCAO</t>
  </si>
  <si>
    <t xml:space="preserve">JOAO ED AGUIAR</t>
  </si>
  <si>
    <t xml:space="preserve">0</t>
  </si>
  <si>
    <t xml:space="preserve">CELIA MARTA DA COSTA</t>
  </si>
  <si>
    <t xml:space="preserve">LANCH IGREJA PERPETUO SOCORRO</t>
  </si>
  <si>
    <t xml:space="preserve">JAIR ESCOBAR IFRAN</t>
  </si>
  <si>
    <t xml:space="preserve">MERCADO ESCOBAR</t>
  </si>
  <si>
    <t xml:space="preserve">LOURDES CORDOBA ALVES</t>
  </si>
  <si>
    <t xml:space="preserve">MECADO CEARENSE</t>
  </si>
  <si>
    <t xml:space="preserve">JOAO DOMINGOS DO CARMO SALES</t>
  </si>
  <si>
    <t xml:space="preserve">CELIA REGINA PINTO</t>
  </si>
  <si>
    <t xml:space="preserve">LANCH PALOMA</t>
  </si>
  <si>
    <t xml:space="preserve">ROSIMEIRE DE O. GUEDES ROSSETA</t>
  </si>
  <si>
    <t xml:space="preserve">VIRA SOL</t>
  </si>
  <si>
    <t xml:space="preserve">MARCOS ANTONIO DE ALMEIDA</t>
  </si>
  <si>
    <t xml:space="preserve">LANCHES E MERCEARIA</t>
  </si>
  <si>
    <t xml:space="preserve">VANIA DOS REIS RODRIGUES THOME</t>
  </si>
  <si>
    <t xml:space="preserve">ROMILSON AP. FERREIRA</t>
  </si>
  <si>
    <t xml:space="preserve">CLEUNICE TARGINA DA CRUZ MORASSUTI</t>
  </si>
  <si>
    <t xml:space="preserve">MERCADO SERVE BEM</t>
  </si>
  <si>
    <t xml:space="preserve">ANGELA MARIA DOS SANTOS</t>
  </si>
  <si>
    <t xml:space="preserve">JACIR DOS SANTOS PERES</t>
  </si>
  <si>
    <t xml:space="preserve">SM PLUMA</t>
  </si>
  <si>
    <t xml:space="preserve">NEI VAINA SILVERIO FERREIRA</t>
  </si>
  <si>
    <t xml:space="preserve">ALENCAR PEREIRA</t>
  </si>
  <si>
    <t xml:space="preserve">MERCEARIA DO ALENCAR</t>
  </si>
  <si>
    <t xml:space="preserve">ANTONIO BORGES</t>
  </si>
  <si>
    <t xml:space="preserve">LANCH E CONV CHARRUA</t>
  </si>
  <si>
    <t xml:space="preserve">MARIA CECILIA DE OLIVEIRA</t>
  </si>
  <si>
    <t xml:space="preserve">MERCEARIA SORRISO</t>
  </si>
  <si>
    <t xml:space="preserve">CASA DE CARNE MARTINEZ</t>
  </si>
  <si>
    <t xml:space="preserve">ATHAIDE JOAQUIM DE SOUZA</t>
  </si>
  <si>
    <t xml:space="preserve">LUCIANO &amp; LUCIANO</t>
  </si>
  <si>
    <t xml:space="preserve">SAMARA SILVA PIAIA</t>
  </si>
  <si>
    <t xml:space="preserve">RCA-JULIO CESAR MOCHI</t>
  </si>
  <si>
    <t xml:space="preserve">AZINETE DOS SANTOS SALOMAO</t>
  </si>
  <si>
    <t xml:space="preserve">CASA DE CARNE SALOMAO</t>
  </si>
  <si>
    <t xml:space="preserve">SANDRA WEILLER DE VASCONCELOS TEODORICO </t>
  </si>
  <si>
    <t xml:space="preserve">MERCADO PRATA MIL</t>
  </si>
  <si>
    <t xml:space="preserve">WALDECY ALVES FERREIRA</t>
  </si>
  <si>
    <t xml:space="preserve">CASA DE CARNE FERREIRA</t>
  </si>
  <si>
    <t xml:space="preserve">MARCELO COENE DA SILVA</t>
  </si>
  <si>
    <t xml:space="preserve">MERCADO DO POVO</t>
  </si>
  <si>
    <t xml:space="preserve">VILMA ANGELICA REGIANE OLIVEIRA</t>
  </si>
  <si>
    <t xml:space="preserve">MINI MERCADO JEFTER</t>
  </si>
  <si>
    <t xml:space="preserve">CLODOALDO BARTIBRINAN</t>
  </si>
  <si>
    <t xml:space="preserve">PANIFICADORA IVAI</t>
  </si>
  <si>
    <t xml:space="preserve">ANGELO CESAR SUTIL</t>
  </si>
  <si>
    <t xml:space="preserve">ROSELI LOREZON</t>
  </si>
  <si>
    <t xml:space="preserve">PANIFICADORA DO LAGO</t>
  </si>
  <si>
    <t xml:space="preserve">ADAO MARCELINO MACHADO</t>
  </si>
  <si>
    <t xml:space="preserve">ANDRES BAR E MERCEARIA</t>
  </si>
  <si>
    <t xml:space="preserve">CLEUSMAR SOUZA REIS</t>
  </si>
  <si>
    <t xml:space="preserve">DALVA APAR BENITO DE VASCONCELOS</t>
  </si>
  <si>
    <t xml:space="preserve">BAR E MERC LIDER</t>
  </si>
  <si>
    <t xml:space="preserve">MARIA TEREZINHA DA SILVA</t>
  </si>
  <si>
    <t xml:space="preserve">MERCEARIA AGUA AZUL</t>
  </si>
  <si>
    <t xml:space="preserve">RCA-MAURO MARIN</t>
  </si>
  <si>
    <t xml:space="preserve">RCA-MAURO</t>
  </si>
  <si>
    <t xml:space="preserve">JORGE PORTELA MARTINS</t>
  </si>
  <si>
    <t xml:space="preserve">MERCEARIA JC</t>
  </si>
  <si>
    <t xml:space="preserve">MARIAN BARBOSA DO AMARAL</t>
  </si>
  <si>
    <t xml:space="preserve">ALIANA VILA NOVA SALINA</t>
  </si>
  <si>
    <t xml:space="preserve">MERCADO PAGUE POUCO</t>
  </si>
  <si>
    <t xml:space="preserve">REGIANE IARA FERNANDES</t>
  </si>
  <si>
    <t xml:space="preserve">PANF COMPANI</t>
  </si>
  <si>
    <t xml:space="preserve">FATIMA OLIVEIRA CARDOSO</t>
  </si>
  <si>
    <t xml:space="preserve">MERCEARIA CARDOZO</t>
  </si>
  <si>
    <t xml:space="preserve">VANDEVELDE ARAUJO PEREIRA</t>
  </si>
  <si>
    <t xml:space="preserve">REINALDO GOES</t>
  </si>
  <si>
    <t xml:space="preserve">PANIF KARINY</t>
  </si>
  <si>
    <t xml:space="preserve">ELIMARCIA CALDERONI GALHARDI</t>
  </si>
  <si>
    <t xml:space="preserve">SALAO ELIMARCIA</t>
  </si>
  <si>
    <t xml:space="preserve">JANES BATISTA MONTEIRO</t>
  </si>
  <si>
    <t xml:space="preserve">MERCADINHO JULIANA</t>
  </si>
  <si>
    <t xml:space="preserve">VALDEIR DE SOUZA LOUVEIRO</t>
  </si>
  <si>
    <t xml:space="preserve">MARIA DE FATIMA OLIVEIRA GAMAS</t>
  </si>
  <si>
    <t xml:space="preserve">MERCEARIA QUEIROZ</t>
  </si>
  <si>
    <t xml:space="preserve">ROZINEI ANTUNES MATOSO</t>
  </si>
  <si>
    <t xml:space="preserve">ROZINEI CONVENIENCIA</t>
  </si>
  <si>
    <t xml:space="preserve">MAURICIO FERREIRA DOS SANTOS</t>
  </si>
  <si>
    <t xml:space="preserve">MINI MERCADO FERREIRA</t>
  </si>
  <si>
    <t xml:space="preserve">JOSENEI FALCAO BALBINO</t>
  </si>
  <si>
    <t xml:space="preserve">MARIA DO CARMO R.DOS SANTOS</t>
  </si>
  <si>
    <t xml:space="preserve">MARLENE DE FARIAS PEREIRA</t>
  </si>
  <si>
    <t xml:space="preserve">MINI TEM</t>
  </si>
  <si>
    <t xml:space="preserve">APARECIDA SANTOS DE OLIVEIRA DE QUEVEDO </t>
  </si>
  <si>
    <t xml:space="preserve">MERCEARIA QUEVEDO</t>
  </si>
  <si>
    <t xml:space="preserve">LUIS CARLOS VIEIRA RATCOU</t>
  </si>
  <si>
    <t xml:space="preserve">MERCADO PECRO BAIXO</t>
  </si>
  <si>
    <t xml:space="preserve">ILMA DE SOUZA MEDEIROS</t>
  </si>
  <si>
    <t xml:space="preserve">CANTINA DO PQ JAQUES DA LUZ</t>
  </si>
  <si>
    <t xml:space="preserve">CLEMILDA SILVERIO BENAG</t>
  </si>
  <si>
    <t xml:space="preserve">MERCEARIA SEM TROCO</t>
  </si>
  <si>
    <t xml:space="preserve">ADRIANO AMORIM</t>
  </si>
  <si>
    <t xml:space="preserve">RCA-EVALDO CARLOS DA SILVA</t>
  </si>
  <si>
    <t xml:space="preserve">HENRIQUE PERON</t>
  </si>
  <si>
    <t xml:space="preserve">JANILDA DE OLIVEIRA</t>
  </si>
  <si>
    <t xml:space="preserve">PANIF BREAD'S PALACE</t>
  </si>
  <si>
    <t xml:space="preserve">RAMONA COELHO</t>
  </si>
  <si>
    <t xml:space="preserve">BAR E MERCEA. SAO GERALDO</t>
  </si>
  <si>
    <t xml:space="preserve">AMARILDO RODRIGUES DOMINGOS</t>
  </si>
  <si>
    <t xml:space="preserve">CASA DE SUCO CANAA</t>
  </si>
  <si>
    <t xml:space="preserve">ADRIANO RAMIRES ESPNOSA</t>
  </si>
  <si>
    <t xml:space="preserve">MERCADO SA</t>
  </si>
  <si>
    <t xml:space="preserve">ORCENI GOMES PEREIRA MERC GOMES</t>
  </si>
  <si>
    <t xml:space="preserve">MERCEARIA GOMES</t>
  </si>
  <si>
    <t xml:space="preserve">ANA MARIA JARA</t>
  </si>
  <si>
    <t xml:space="preserve">MERCADO 3 J</t>
  </si>
  <si>
    <t xml:space="preserve">LOURDES RODRIGUES DOS SANTOS</t>
  </si>
  <si>
    <t xml:space="preserve">MERCEARIA DUDA</t>
  </si>
  <si>
    <t xml:space="preserve">ROSIMEIRE FAGUNDES GETOSTO</t>
  </si>
  <si>
    <t xml:space="preserve">MERCEARIA EDSON</t>
  </si>
  <si>
    <t xml:space="preserve">LEANDRO DO NASCIMENTO</t>
  </si>
  <si>
    <t xml:space="preserve">MIDAS CARNES</t>
  </si>
  <si>
    <t xml:space="preserve">MARLI BEZERRA DE ARRUDA</t>
  </si>
  <si>
    <t xml:space="preserve"> MARLI BEZERRA DE ARRUDA</t>
  </si>
  <si>
    <t xml:space="preserve">GILBERTO EUGUENIO DE ARAUJO</t>
  </si>
  <si>
    <t xml:space="preserve">POSTO CADISEL</t>
  </si>
  <si>
    <t xml:space="preserve">NIVALDO RODRIGUES DO NASCIMENTO</t>
  </si>
  <si>
    <t xml:space="preserve">N.F. CONVENIENCIAS</t>
  </si>
  <si>
    <t xml:space="preserve">MARCOS ROBERTO JUSTINO</t>
  </si>
  <si>
    <t xml:space="preserve">MERCADO SEMPRE BOM</t>
  </si>
  <si>
    <t xml:space="preserve">ELIANA MARANINI PAULINO</t>
  </si>
  <si>
    <t xml:space="preserve">LOURDES RAMIRES</t>
  </si>
  <si>
    <t xml:space="preserve">MERC AGUIA</t>
  </si>
  <si>
    <t xml:space="preserve">EDSON NOGUEIRA NANTES</t>
  </si>
  <si>
    <t xml:space="preserve">PANIFICADORA AMERICA</t>
  </si>
  <si>
    <t xml:space="preserve">ONDINA DA SILVA SILVEIRO</t>
  </si>
  <si>
    <t xml:space="preserve">REGINA ASSATO KUROGI</t>
  </si>
  <si>
    <t xml:space="preserve">CANCUN PANIFICADORA</t>
  </si>
  <si>
    <t xml:space="preserve">BAR DO JUVENAL</t>
  </si>
  <si>
    <t xml:space="preserve">ANTONIO BASILIO</t>
  </si>
  <si>
    <t xml:space="preserve">VARANDAO LANCHES</t>
  </si>
  <si>
    <t xml:space="preserve">VALTER RODRIGUES MOTTA</t>
  </si>
  <si>
    <t xml:space="preserve">MERCADO CENTROSUL</t>
  </si>
  <si>
    <t xml:space="preserve">RAMAO VALENTIM SOUZA</t>
  </si>
  <si>
    <t xml:space="preserve">SERGIO DIAS PEREIRA</t>
  </si>
  <si>
    <t xml:space="preserve">BANCA SANTA FE</t>
  </si>
  <si>
    <t xml:space="preserve">EDILSON RIBEIRO</t>
  </si>
  <si>
    <t xml:space="preserve">ED CONVENIENCIA</t>
  </si>
  <si>
    <t xml:space="preserve">IVAIR RODRIGUES</t>
  </si>
  <si>
    <t xml:space="preserve">CESCAI MERCEARIA</t>
  </si>
  <si>
    <t xml:space="preserve">CARLOS ITIRO TAKAGI</t>
  </si>
  <si>
    <t xml:space="preserve">PANIF CAPITAL</t>
  </si>
  <si>
    <t xml:space="preserve">FATIMA  APARECIDA CORREA</t>
  </si>
  <si>
    <t xml:space="preserve">PANIF CAREQUINHA</t>
  </si>
  <si>
    <t xml:space="preserve">DINA LEILA VOLPONI SABIAO</t>
  </si>
  <si>
    <t xml:space="preserve">DOCERIA AGUA NA BOCA</t>
  </si>
  <si>
    <t xml:space="preserve">JAILSON PEREIRA DA SILVA</t>
  </si>
  <si>
    <t xml:space="preserve">MERCADO TERRA</t>
  </si>
  <si>
    <t xml:space="preserve">FRANCISCO BARBOSA DA SILVA</t>
  </si>
  <si>
    <t xml:space="preserve">BAR DO CHEL</t>
  </si>
  <si>
    <t xml:space="preserve">FLAVIO VIEIRA DO PRADO</t>
  </si>
  <si>
    <t xml:space="preserve">MINIMERCADO VITORIA</t>
  </si>
  <si>
    <t xml:space="preserve">EDNALDO ANJO DA SILVA</t>
  </si>
  <si>
    <t xml:space="preserve">JOSE MAILTON DE OLIVEIRA DE OLIVEIRA</t>
  </si>
  <si>
    <t xml:space="preserve">RICARDO GOMES XAVIER</t>
  </si>
  <si>
    <t xml:space="preserve">MERCADO JR</t>
  </si>
  <si>
    <t xml:space="preserve">MILTON GUILHERME AUGUSTIN</t>
  </si>
  <si>
    <t xml:space="preserve">LANCH &amp; PIZZARIA DO ALEMAO</t>
  </si>
  <si>
    <t xml:space="preserve">OPTINO ADAMI STUTZ</t>
  </si>
  <si>
    <t xml:space="preserve">SM PARANA</t>
  </si>
  <si>
    <t xml:space="preserve">ROSA APARECIDA VAIS LOPES</t>
  </si>
  <si>
    <t xml:space="preserve">MERCADO SERV LAR</t>
  </si>
  <si>
    <t xml:space="preserve">JOSE HENRIQUE PINTO</t>
  </si>
  <si>
    <t xml:space="preserve">PANF CANTINHO DOS PAES</t>
  </si>
  <si>
    <t xml:space="preserve">SOLANGE MOREIRA DOS SANTOS</t>
  </si>
  <si>
    <t xml:space="preserve">PANIFICADORA E CONFEITARIA ESTILOS</t>
  </si>
  <si>
    <t xml:space="preserve">JOSE DARCI</t>
  </si>
  <si>
    <t xml:space="preserve">SKALY BURG LANCHES</t>
  </si>
  <si>
    <t xml:space="preserve">SEBASTIAO MARTINS DOS SANTOS</t>
  </si>
  <si>
    <t xml:space="preserve">MINI MERCADO CONQUISTA</t>
  </si>
  <si>
    <t xml:space="preserve">HELENA APARECIDO GERREIRO DIAS</t>
  </si>
  <si>
    <t xml:space="preserve">MERCADO RONDINO</t>
  </si>
  <si>
    <t xml:space="preserve">VANDA BASQUERA HANEL</t>
  </si>
  <si>
    <t xml:space="preserve">VALDIR MARQUES DE FARIAS</t>
  </si>
  <si>
    <t xml:space="preserve">MERC SOL</t>
  </si>
  <si>
    <t xml:space="preserve">ANTONIO SERGIO BENITEZ GONALVES</t>
  </si>
  <si>
    <t xml:space="preserve">MERCADO FONTE DE AGUA VIVA</t>
  </si>
  <si>
    <t xml:space="preserve">ADILSO BAMBIL VITAL</t>
  </si>
  <si>
    <t xml:space="preserve">JAIR EVERALDO REIS</t>
  </si>
  <si>
    <t xml:space="preserve">MERCADO IDEAL</t>
  </si>
  <si>
    <t xml:space="preserve">SONIA DA SILVA GOES</t>
  </si>
  <si>
    <t xml:space="preserve">ANA LASCLOTA SOUZA</t>
  </si>
  <si>
    <t xml:space="preserve">MERCEARIA STA ANA</t>
  </si>
  <si>
    <t xml:space="preserve">ROSINEIDE DOS SANTOS</t>
  </si>
  <si>
    <t xml:space="preserve">RAMONA EUNICE TAVARES MARQUES</t>
  </si>
  <si>
    <t xml:space="preserve">MARIA DIAS DOS SANTOS</t>
  </si>
  <si>
    <t xml:space="preserve">JOSELY TAVEIRA BORGES</t>
  </si>
  <si>
    <t xml:space="preserve">MERC.ECONOMICO</t>
  </si>
  <si>
    <t xml:space="preserve">OLIVIO DE DEUS LIMA</t>
  </si>
  <si>
    <t xml:space="preserve">PEDRAO CONVENIENCIA</t>
  </si>
  <si>
    <t xml:space="preserve">PAULO JORGE AMARAL</t>
  </si>
  <si>
    <t xml:space="preserve">P J CONVENIENCIAS</t>
  </si>
  <si>
    <t xml:space="preserve">ROSANE NELY DE LIMA</t>
  </si>
  <si>
    <t xml:space="preserve">TUTI LANCHES</t>
  </si>
  <si>
    <t xml:space="preserve">ADNAN ALVES BARBOSA</t>
  </si>
  <si>
    <t xml:space="preserve">ROGER ROSSI REIS</t>
  </si>
  <si>
    <t xml:space="preserve">OELSON APARECIDO DE MENEZES</t>
  </si>
  <si>
    <t xml:space="preserve">MUSICAL VARIEDADE</t>
  </si>
  <si>
    <t xml:space="preserve">JOSE CORREA GARCIA</t>
  </si>
  <si>
    <t xml:space="preserve">AGUA NA BOCA</t>
  </si>
  <si>
    <t xml:space="preserve">LEOMAR FREITAS</t>
  </si>
  <si>
    <t xml:space="preserve">LEOMAR</t>
  </si>
  <si>
    <t xml:space="preserve">MARLENE DRESCH MARCHI</t>
  </si>
  <si>
    <t xml:space="preserve">RODO BAR (RODOVIARIA)</t>
  </si>
  <si>
    <t xml:space="preserve">CRISTIANE GOMES VENTURINE TALTASSE</t>
  </si>
  <si>
    <t xml:space="preserve">CREP S DE PARIS</t>
  </si>
  <si>
    <t xml:space="preserve">EDNA MARIA DOS SANTOS</t>
  </si>
  <si>
    <t xml:space="preserve">VALDINEI CARVALHO GARCIA</t>
  </si>
  <si>
    <t xml:space="preserve">EDSON ANTONIO MASCARELO</t>
  </si>
  <si>
    <t xml:space="preserve">SODA CACHOEIRINHA</t>
  </si>
  <si>
    <t xml:space="preserve">MARILEIDE PLEUTIN</t>
  </si>
  <si>
    <t xml:space="preserve">CARNE E COMPANHIA</t>
  </si>
  <si>
    <t xml:space="preserve">BENJAMIN ADORNO</t>
  </si>
  <si>
    <t xml:space="preserve">PAD CONV PAULISTA</t>
  </si>
  <si>
    <t xml:space="preserve">LUZINETE VIEIRA DA SILVA</t>
  </si>
  <si>
    <t xml:space="preserve">LANCHONETE BOM AMNHECER</t>
  </si>
  <si>
    <t xml:space="preserve">EDMILSON EUGENIO DE ANDRADE</t>
  </si>
  <si>
    <t xml:space="preserve">PANIFICADORA DRUMOND</t>
  </si>
  <si>
    <t xml:space="preserve">ADENIRCO RODRIGUES SILVA</t>
  </si>
  <si>
    <t xml:space="preserve">EMERSON LUIZ DIAS BRAGA</t>
  </si>
  <si>
    <t xml:space="preserve">BAR ESPLANADA</t>
  </si>
  <si>
    <t xml:space="preserve">DIONISIO MARTINS BLANCO</t>
  </si>
  <si>
    <t xml:space="preserve">MERCADINHO BARCOS</t>
  </si>
  <si>
    <t xml:space="preserve">MARCOS CESAR RODRIQUES SUZUKI</t>
  </si>
  <si>
    <t xml:space="preserve">MERCADO SAO MARCOS</t>
  </si>
  <si>
    <t xml:space="preserve">MARIA JOSE DA CONCEICAO CRUZ</t>
  </si>
  <si>
    <t xml:space="preserve">MERCADO ROMA</t>
  </si>
  <si>
    <t xml:space="preserve">MAURICIO ALBUQUERQUE DANTA</t>
  </si>
  <si>
    <t xml:space="preserve">ALAGADOS</t>
  </si>
  <si>
    <t xml:space="preserve">SERGIO ORVE FILHO</t>
  </si>
  <si>
    <t xml:space="preserve">BAR FLY</t>
  </si>
  <si>
    <t xml:space="preserve">NILZA MARIA G NOGUEIRA</t>
  </si>
  <si>
    <t xml:space="preserve">MERC ALTO ASTRAL</t>
  </si>
  <si>
    <t xml:space="preserve">JEAN ROBERTO DURAO</t>
  </si>
  <si>
    <t xml:space="preserve">MARIA DE JESUS ALMEIDA TELES</t>
  </si>
  <si>
    <t xml:space="preserve">MERCADO TELES</t>
  </si>
  <si>
    <t xml:space="preserve">MARIA CARFI</t>
  </si>
  <si>
    <t xml:space="preserve">EDIR RODRIGUES PLENS DA SILVA</t>
  </si>
  <si>
    <t xml:space="preserve">SONIA MAGDA INACIO ZANHOLO</t>
  </si>
  <si>
    <t xml:space="preserve">REGINALDO APARECIDO RODRIGUES DOS SANTOS</t>
  </si>
  <si>
    <t xml:space="preserve">PANIFICADORA RM</t>
  </si>
  <si>
    <t xml:space="preserve">MARIA LOURDES QUEIROZ</t>
  </si>
  <si>
    <t xml:space="preserve">PANF NSRA APARECIDA</t>
  </si>
  <si>
    <t xml:space="preserve">FORTUNATO CANDIDO</t>
  </si>
  <si>
    <t xml:space="preserve">MERCEARIA FORTUNATO</t>
  </si>
  <si>
    <t xml:space="preserve">GILBERTO VIEIRA</t>
  </si>
  <si>
    <t xml:space="preserve">MERCADINHO VIEIRA</t>
  </si>
  <si>
    <t xml:space="preserve">MARIA LUCINELA DA SILVA</t>
  </si>
  <si>
    <t xml:space="preserve">FAROS CONV</t>
  </si>
  <si>
    <t xml:space="preserve">IVETE GOMES FERREIRA</t>
  </si>
  <si>
    <t xml:space="preserve">CON FRUTI BOM</t>
  </si>
  <si>
    <t xml:space="preserve">LUIZ CARLOS DA SILVA</t>
  </si>
  <si>
    <t xml:space="preserve">REST VARZEA ALEGRE</t>
  </si>
  <si>
    <t xml:space="preserve">GILSON MARQUES VIANA</t>
  </si>
  <si>
    <t xml:space="preserve">MERCEARIA VIANA</t>
  </si>
  <si>
    <t xml:space="preserve">ADAILTON DE OLIVEIRA MORAES</t>
  </si>
  <si>
    <t xml:space="preserve">SM UNIAO</t>
  </si>
  <si>
    <t xml:space="preserve">CARMEM CONCEICAO GONCALVES DE OLIVEIRA  </t>
  </si>
  <si>
    <t xml:space="preserve">MERCEARIA MORADA VERDE</t>
  </si>
  <si>
    <t xml:space="preserve">SOLANGE FIGUEIRAS</t>
  </si>
  <si>
    <t xml:space="preserve">MERCADO SERRADINHO</t>
  </si>
  <si>
    <t xml:space="preserve">LEILA RODRIGUES DE ARAUJO</t>
  </si>
  <si>
    <t xml:space="preserve">KL CONVENIENCIA</t>
  </si>
  <si>
    <t xml:space="preserve">VALDEMIR LOPES BARBOSA</t>
  </si>
  <si>
    <t xml:space="preserve">MERCEARIA PAO DE LEITE</t>
  </si>
  <si>
    <t xml:space="preserve">MARTA PIMENTA OZORIO</t>
  </si>
  <si>
    <t xml:space="preserve">SUPERMERCADO NOVA ALIANCA</t>
  </si>
  <si>
    <t xml:space="preserve">SONIA DIVINA FERREIRA GOMES</t>
  </si>
  <si>
    <t xml:space="preserve">SACOLAO E CONVENIENCIA JR</t>
  </si>
  <si>
    <t xml:space="preserve">EDER LUIS DE OLIVEIRA</t>
  </si>
  <si>
    <t xml:space="preserve">LUIS CARLOS LOPES DA CUNHA</t>
  </si>
  <si>
    <t xml:space="preserve">MERCEARIA ITA</t>
  </si>
  <si>
    <t xml:space="preserve">JULIANA MALDONADO CABRAL</t>
  </si>
  <si>
    <t xml:space="preserve">PANIF GABRIELA</t>
  </si>
  <si>
    <t xml:space="preserve">ROSANGELA DE PAULA GALLO</t>
  </si>
  <si>
    <t xml:space="preserve">QUIOSQUE DA ROSANGELA</t>
  </si>
  <si>
    <t xml:space="preserve">ELECIR ANGELA SCARIOT</t>
  </si>
  <si>
    <t xml:space="preserve">PADARIA D GUST</t>
  </si>
  <si>
    <t xml:space="preserve">CLEOMAR DINIZ BARBOSA</t>
  </si>
  <si>
    <t xml:space="preserve">TEREZA VIEIRA DE LIMA SOUZA</t>
  </si>
  <si>
    <t xml:space="preserve">ATEVALDO ROSA DA SILVA</t>
  </si>
  <si>
    <t xml:space="preserve">ELEACIR DIONISIO MARTINS</t>
  </si>
  <si>
    <t xml:space="preserve">PANIFICADORA LIMA</t>
  </si>
  <si>
    <t xml:space="preserve">DINA MOSLAVES</t>
  </si>
  <si>
    <t xml:space="preserve">MARTINO HORTFRUT</t>
  </si>
  <si>
    <t xml:space="preserve">PAULO CESAR GOMES DE OLIVEIRA</t>
  </si>
  <si>
    <t xml:space="preserve">MERCADO PEREIRA</t>
  </si>
  <si>
    <t xml:space="preserve">IVAN MARTINS DA SILVA</t>
  </si>
  <si>
    <t xml:space="preserve">CASA DE CARNE E MERC ALVORADA</t>
  </si>
  <si>
    <t xml:space="preserve">JOSE NELIVO DE MOURA</t>
  </si>
  <si>
    <t xml:space="preserve">GESSO FORMA DECORACOES</t>
  </si>
  <si>
    <t xml:space="preserve">FRUTAL CONVENIENCIA LTDA</t>
  </si>
  <si>
    <t xml:space="preserve">FRUTAL CONVENIENCIA</t>
  </si>
  <si>
    <t xml:space="preserve">DIOLINDA DE LURDES COSTA</t>
  </si>
  <si>
    <t xml:space="preserve">PAO DE QUEIJO</t>
  </si>
  <si>
    <t xml:space="preserve">SUELI GONSALVES PIRES G.</t>
  </si>
  <si>
    <t xml:space="preserve">MERC. GARCIA</t>
  </si>
  <si>
    <t xml:space="preserve">JOAO CARLOS CANOFF</t>
  </si>
  <si>
    <t xml:space="preserve">ELZA MIRANDA DA SILVA</t>
  </si>
  <si>
    <t xml:space="preserve">NUNES E MIRANDA</t>
  </si>
  <si>
    <t xml:space="preserve">JULIANA ATAIDE DIA BORGES</t>
  </si>
  <si>
    <t xml:space="preserve">MERCODO BORGES</t>
  </si>
  <si>
    <t xml:space="preserve">NELSON BOGADO ORTEMBERG</t>
  </si>
  <si>
    <t xml:space="preserve">STOP LANCHES FAST FOOT</t>
  </si>
  <si>
    <t xml:space="preserve">AGNALDO ISMAEL DE FREITAS</t>
  </si>
  <si>
    <t xml:space="preserve">BRASIL CONVENIENCIAS</t>
  </si>
  <si>
    <t xml:space="preserve">ROSELI MARIA DOMINGOS</t>
  </si>
  <si>
    <t xml:space="preserve">CONV MENESES</t>
  </si>
  <si>
    <t xml:space="preserve">ROSELI SOARES DE OLIVEIRA</t>
  </si>
  <si>
    <t xml:space="preserve">CELITA RICARTES CASTILHO</t>
  </si>
  <si>
    <t xml:space="preserve">VALTER SANCHES MONTEIRO</t>
  </si>
  <si>
    <t xml:space="preserve">MERCEARIA MINI BOX HOJE</t>
  </si>
  <si>
    <t xml:space="preserve">CARLOS ALBERTO LOURENCO</t>
  </si>
  <si>
    <t xml:space="preserve">MERCEARIA DO BETAO</t>
  </si>
  <si>
    <t xml:space="preserve">ONILTON LOPES LEITE</t>
  </si>
  <si>
    <t xml:space="preserve">MERCADO AGUIA</t>
  </si>
  <si>
    <t xml:space="preserve">LUZIA PATRICIA ALVES FERREIRA</t>
  </si>
  <si>
    <t xml:space="preserve">LANCH E RESTAURANTE 2 IRMAOS</t>
  </si>
  <si>
    <t xml:space="preserve">JOSE CARLOS MOREIRA</t>
  </si>
  <si>
    <t xml:space="preserve">PANIF E CONV CAMILA</t>
  </si>
  <si>
    <t xml:space="preserve">SERGIO APARECIDO ALVES DA SILVA</t>
  </si>
  <si>
    <t xml:space="preserve">MERCADO IMPERIAL</t>
  </si>
  <si>
    <t xml:space="preserve">MARISA LONGO</t>
  </si>
  <si>
    <t xml:space="preserve">DORIVAL RODRIGUES OLIVEIRA</t>
  </si>
  <si>
    <t xml:space="preserve">MERCEARIA NAVIRAI</t>
  </si>
  <si>
    <t xml:space="preserve">SUELI R OLIVEIRA</t>
  </si>
  <si>
    <t xml:space="preserve">SABOR A MAIS SORVETERIA</t>
  </si>
  <si>
    <t xml:space="preserve">SANDRA VALERIO GALEGO</t>
  </si>
  <si>
    <t xml:space="preserve">GILMAR PEREIRA ALMEIDA</t>
  </si>
  <si>
    <t xml:space="preserve">CASA FOMOSA</t>
  </si>
  <si>
    <t xml:space="preserve">ANA ROSA DE OLIVEIRA CAMARGO</t>
  </si>
  <si>
    <t xml:space="preserve">MERCEARIA SAO JORGE</t>
  </si>
  <si>
    <t xml:space="preserve">AGNALDO LOPES BOGARIM</t>
  </si>
  <si>
    <t xml:space="preserve">KI-SABOR</t>
  </si>
  <si>
    <t xml:space="preserve">EDELVIA PARDO SAVATOR</t>
  </si>
  <si>
    <t xml:space="preserve">RODOVIARIA</t>
  </si>
  <si>
    <t xml:space="preserve">ARCELI MARIA PEREIRA BORGES</t>
  </si>
  <si>
    <t xml:space="preserve">NILZETE FELIX BORGES</t>
  </si>
  <si>
    <t xml:space="preserve">MERCEARIA DA NIL</t>
  </si>
  <si>
    <t xml:space="preserve">MIGUEL HOLUB NETO</t>
  </si>
  <si>
    <t xml:space="preserve">MERCEARIA JR</t>
  </si>
  <si>
    <t xml:space="preserve">GELSON DE OLIVEIRA ROCHA</t>
  </si>
  <si>
    <t xml:space="preserve">MERCERIA LAGOA DOURADA</t>
  </si>
  <si>
    <t xml:space="preserve">LUIS CARLOS BRIZOLA FARIAS</t>
  </si>
  <si>
    <t xml:space="preserve">CONVENIENCIA LDK</t>
  </si>
  <si>
    <t xml:space="preserve">JOELSON NEITAKE</t>
  </si>
  <si>
    <t xml:space="preserve">MERCEARIA LA NO PE</t>
  </si>
  <si>
    <t xml:space="preserve">SERGIO LOPES</t>
  </si>
  <si>
    <t xml:space="preserve">TROPICAL CASA DE SUCOS</t>
  </si>
  <si>
    <t xml:space="preserve">VANILTON DE SOUZA NUNES</t>
  </si>
  <si>
    <t xml:space="preserve">LANCHONETE CARON</t>
  </si>
  <si>
    <t xml:space="preserve">LANCHONETE CAROM</t>
  </si>
  <si>
    <t xml:space="preserve">LUCIMAR TEIXEIRA AMORIN</t>
  </si>
  <si>
    <t xml:space="preserve">LANCHONETE SUCAO</t>
  </si>
  <si>
    <t xml:space="preserve">ADELE JAFAR ADRI MARIM</t>
  </si>
  <si>
    <t xml:space="preserve">FARMACIA</t>
  </si>
  <si>
    <t xml:space="preserve">DALVA COASTA MACHADO GOMES</t>
  </si>
  <si>
    <t xml:space="preserve">ARGEMIRA PEDROSA LEANDRO</t>
  </si>
  <si>
    <t xml:space="preserve">CONVENIENCIA DA MIRA</t>
  </si>
  <si>
    <t xml:space="preserve">JONATHAN VARELA</t>
  </si>
  <si>
    <t xml:space="preserve">CLEIDE FREITAS DE SOUZA</t>
  </si>
  <si>
    <t xml:space="preserve">MERCEARIA MORAS</t>
  </si>
  <si>
    <t xml:space="preserve">SUELI APARECIDA RUFFO DE SOUZA</t>
  </si>
  <si>
    <t xml:space="preserve">REGINALDO PAIVA DA SILVA</t>
  </si>
  <si>
    <t xml:space="preserve">ELIZABETH BODSTEIN FERREIRA</t>
  </si>
  <si>
    <t xml:space="preserve">CASA DO SUCO</t>
  </si>
  <si>
    <t xml:space="preserve">MARIA SWIANO DA SILVA</t>
  </si>
  <si>
    <t xml:space="preserve">CASA DA PAMONHA</t>
  </si>
  <si>
    <t xml:space="preserve">VILMAR SANDRIA</t>
  </si>
  <si>
    <t xml:space="preserve">LANCH REST DAYANE</t>
  </si>
  <si>
    <t xml:space="preserve">LEOSSIR ANTONIO KOPROWSKI</t>
  </si>
  <si>
    <t xml:space="preserve">COMERCIAL MARINA</t>
  </si>
  <si>
    <t xml:space="preserve">SILVIO SANTA CRUZ</t>
  </si>
  <si>
    <t xml:space="preserve">LANCHONETE TROPICAL</t>
  </si>
  <si>
    <t xml:space="preserve">DONIZETE AP. ORVATI</t>
  </si>
  <si>
    <t xml:space="preserve">MINIMERCADO PONTO CERTO</t>
  </si>
  <si>
    <t xml:space="preserve">MARIA DAS GRACAS DE SOUZA</t>
  </si>
  <si>
    <t xml:space="preserve">GRACA SALGADOS</t>
  </si>
  <si>
    <t xml:space="preserve">NELIO TELEKEN</t>
  </si>
  <si>
    <t xml:space="preserve">CASA DO SUCO JAMELAO</t>
  </si>
  <si>
    <t xml:space="preserve">IRENE PRIGOL MORAZ</t>
  </si>
  <si>
    <t xml:space="preserve">IRENE CONFEITARIA</t>
  </si>
  <si>
    <t xml:space="preserve">EMERSON CARLOS SILVEIRA</t>
  </si>
  <si>
    <t xml:space="preserve">SANDRO EDUARDO DE LIMA</t>
  </si>
  <si>
    <t xml:space="preserve">MERCEARIA LA</t>
  </si>
  <si>
    <t xml:space="preserve">LILIA PIRES DE OLIVEIRA</t>
  </si>
  <si>
    <t xml:space="preserve">REST UCDB CLINICAS</t>
  </si>
  <si>
    <t xml:space="preserve">CLAUDINEI SILVA SOARES</t>
  </si>
  <si>
    <t xml:space="preserve">MERCADO PADARIA SOARES</t>
  </si>
  <si>
    <t xml:space="preserve">SOLANGE DE FATINA LAVANDOSKI</t>
  </si>
  <si>
    <t xml:space="preserve">MERCADO BOA SORTE</t>
  </si>
  <si>
    <t xml:space="preserve">TEREZA DOMINGUES FERNANDES</t>
  </si>
  <si>
    <t xml:space="preserve">PANIF ROSA</t>
  </si>
  <si>
    <t xml:space="preserve">NERVALINA DELEIRA DE PAULA</t>
  </si>
  <si>
    <t xml:space="preserve">MERCADO AGUA CLARA</t>
  </si>
  <si>
    <t xml:space="preserve">APARECIDA L. DE LIMA FIORENZA</t>
  </si>
  <si>
    <t xml:space="preserve">FRANCISCO MOURA FILHO</t>
  </si>
  <si>
    <t xml:space="preserve">MERCADO PARAIBA</t>
  </si>
  <si>
    <t xml:space="preserve">AROLDO DUTRA VIEIRA</t>
  </si>
  <si>
    <t xml:space="preserve">MECANICA CENTRO AUTOMOTIVO VIE</t>
  </si>
  <si>
    <t xml:space="preserve">NOLVINO BARBOSA</t>
  </si>
  <si>
    <t xml:space="preserve">CONV SERVE BEM</t>
  </si>
  <si>
    <t xml:space="preserve">APARECIDA DE JESUS VIANA PRESTES</t>
  </si>
  <si>
    <t xml:space="preserve">HOTEL AQUARIUS</t>
  </si>
  <si>
    <t xml:space="preserve">VALDETE ANDRADE BELLO</t>
  </si>
  <si>
    <t xml:space="preserve">SAO LUCAS COMERCIO</t>
  </si>
  <si>
    <t xml:space="preserve">JACIRA MARIA MENEZES</t>
  </si>
  <si>
    <t xml:space="preserve">LE E XANDRE CONVENIENCIA</t>
  </si>
  <si>
    <t xml:space="preserve">OSVALDO RODRIGUES DE OLIVEIRA</t>
  </si>
  <si>
    <t xml:space="preserve">GERMANO RODRIGUES DE BRITO</t>
  </si>
  <si>
    <t xml:space="preserve">CIA DO LANCHE</t>
  </si>
  <si>
    <t xml:space="preserve">PAULO MARQUES DA SILVA</t>
  </si>
  <si>
    <t xml:space="preserve">MERC DP PAULO</t>
  </si>
  <si>
    <t xml:space="preserve">WANDRY ROBERTA ANDRADE PARRA</t>
  </si>
  <si>
    <t xml:space="preserve">COMERCIAL SAN DIEGO</t>
  </si>
  <si>
    <t xml:space="preserve">MARCIA VITAL MESSIAS DA SILVA</t>
  </si>
  <si>
    <t xml:space="preserve">PANIF SHALON</t>
  </si>
  <si>
    <t xml:space="preserve">FERNANDO LOPES DE SOUZA</t>
  </si>
  <si>
    <t xml:space="preserve">CIA DO PAO</t>
  </si>
  <si>
    <t xml:space="preserve">AMARILDO DA SILVA</t>
  </si>
  <si>
    <t xml:space="preserve">EVANDA DE CASTRO</t>
  </si>
  <si>
    <t xml:space="preserve">CASA DO PAO</t>
  </si>
  <si>
    <t xml:space="preserve">AURELINA MENDES DOURADO</t>
  </si>
  <si>
    <t xml:space="preserve">MERCEARIA DOURADO</t>
  </si>
  <si>
    <t xml:space="preserve">IVONETE OLIVEIRA DIAS TEODORO</t>
  </si>
  <si>
    <t xml:space="preserve">MERCADO ZUCARELLI</t>
  </si>
  <si>
    <t xml:space="preserve">FRANCISCA VIEIRA DE OLIVEIRA</t>
  </si>
  <si>
    <t xml:space="preserve">MERCEARIA PASSARINE</t>
  </si>
  <si>
    <t xml:space="preserve">DENIVALDO BATISTA NASCIMENTO</t>
  </si>
  <si>
    <t xml:space="preserve">CHOCOLATE DOG</t>
  </si>
  <si>
    <t xml:space="preserve">LEILA OLIVEIRA ROCHA</t>
  </si>
  <si>
    <t xml:space="preserve">MERCADO BODOKA</t>
  </si>
  <si>
    <t xml:space="preserve">ALEXANDRE MALUF FECHNER</t>
  </si>
  <si>
    <t xml:space="preserve">MERCEARIA E CONV. SERV BEM</t>
  </si>
  <si>
    <t xml:space="preserve">LUIS FIRMO</t>
  </si>
  <si>
    <t xml:space="preserve">GURIZINHO</t>
  </si>
  <si>
    <t xml:space="preserve">NILCE FERREIRA</t>
  </si>
  <si>
    <t xml:space="preserve">EDILSON R DOS SANTOS</t>
  </si>
  <si>
    <t xml:space="preserve">ANGELA RIOS FERREIRA</t>
  </si>
  <si>
    <t xml:space="preserve">CONV TONY</t>
  </si>
  <si>
    <t xml:space="preserve">MALLMANN E CANCIAN LTDA</t>
  </si>
  <si>
    <t xml:space="preserve">MERCADO J R</t>
  </si>
  <si>
    <t xml:space="preserve">PERES COMERCIO DE ALIMENTOS LTDA</t>
  </si>
  <si>
    <t xml:space="preserve">MERCADO PLUMA</t>
  </si>
  <si>
    <t xml:space="preserve">JOSE ROBERTO DOS RIOS</t>
  </si>
  <si>
    <t xml:space="preserve">ADEMIR MORETTO</t>
  </si>
  <si>
    <t xml:space="preserve">FRANCISCO NOGUEIRA DE MELO</t>
  </si>
  <si>
    <t xml:space="preserve">ARM CONFECCOES NOGUEIRA</t>
  </si>
  <si>
    <t xml:space="preserve">LEONILDA TEREZINHA DA SILVA</t>
  </si>
  <si>
    <t xml:space="preserve">PADARIA CATARINA</t>
  </si>
  <si>
    <t xml:space="preserve">SHOPPING PROCRIADOR LTDA EPP</t>
  </si>
  <si>
    <t xml:space="preserve">SHOPPING PROCRIADOR</t>
  </si>
  <si>
    <t xml:space="preserve">GILSON DE ASSIS MARTINS</t>
  </si>
  <si>
    <t xml:space="preserve">CONVENIENCIA MILENA</t>
  </si>
  <si>
    <t xml:space="preserve">GILBERTO ARAUJO SILVA</t>
  </si>
  <si>
    <t xml:space="preserve">PAD POTIGUA</t>
  </si>
  <si>
    <t xml:space="preserve">JOAO ALVES ROCHA</t>
  </si>
  <si>
    <t xml:space="preserve">SM STA ROSA</t>
  </si>
  <si>
    <t xml:space="preserve">EMERSON RUFINO</t>
  </si>
  <si>
    <t xml:space="preserve">JORGE LUIZ BENITES</t>
  </si>
  <si>
    <t xml:space="preserve">MINI MERCADO COMPRE BEM</t>
  </si>
  <si>
    <t xml:space="preserve">APARECIDA ANTONIA DE SOUZA</t>
  </si>
  <si>
    <t xml:space="preserve">MERCEARIA DO WALDEMAR</t>
  </si>
  <si>
    <t xml:space="preserve">DEJAIR MORAES DA SILVA</t>
  </si>
  <si>
    <t xml:space="preserve">EDENILSON KRAEMER</t>
  </si>
  <si>
    <t xml:space="preserve">PANIF VITORIA</t>
  </si>
  <si>
    <t xml:space="preserve">VALDECI AMBROSIO PEREIRA</t>
  </si>
  <si>
    <t xml:space="preserve">VILMAR FERREIRA DE SOUZA</t>
  </si>
  <si>
    <t xml:space="preserve">MERCEARIA AVENIDA 7</t>
  </si>
  <si>
    <t xml:space="preserve">NILSON FRANCISCO VIEIRA LIMA</t>
  </si>
  <si>
    <t xml:space="preserve">MERCEARIA ATALAIA</t>
  </si>
  <si>
    <t xml:space="preserve">EDSON JOSE DOS SANTOS</t>
  </si>
  <si>
    <t xml:space="preserve">LORENI BERTOLLI DE OLIVEIRA</t>
  </si>
  <si>
    <t xml:space="preserve">DOCES E SALGADOS TRIBU DA JUST</t>
  </si>
  <si>
    <t xml:space="preserve">REGINA GOMES DA SILVA</t>
  </si>
  <si>
    <t xml:space="preserve">MERCADO PINGO DE OURO</t>
  </si>
  <si>
    <t xml:space="preserve">ARLENIVVIA ANTERO DE OLIVEIRA VENTURA</t>
  </si>
  <si>
    <t xml:space="preserve"> MERCADO VENTURA</t>
  </si>
  <si>
    <t xml:space="preserve">GERSON FRANCO</t>
  </si>
  <si>
    <t xml:space="preserve">ERACI DE MAGALHAES MACIEL</t>
  </si>
  <si>
    <t xml:space="preserve">DI TUDO UM POKO</t>
  </si>
  <si>
    <t xml:space="preserve">ELIANE DO CARMO DE MENEZES</t>
  </si>
  <si>
    <t xml:space="preserve">MANOEL MONTEIRO DA SILVA</t>
  </si>
  <si>
    <t xml:space="preserve">CONVENIENCIA MONTEIRO FRETE</t>
  </si>
  <si>
    <t xml:space="preserve">VICENTE GONCALVES</t>
  </si>
  <si>
    <t xml:space="preserve">KELLEDY JESUS RAMOS</t>
  </si>
  <si>
    <t xml:space="preserve">SILINEI FERREIRA LACERDA</t>
  </si>
  <si>
    <t xml:space="preserve">CONVENIENCIA PIRAPUTANGA</t>
  </si>
  <si>
    <t xml:space="preserve">ADENIR PEREIRA DE JESUS</t>
  </si>
  <si>
    <t xml:space="preserve">PANIFICADORA E CONV. PAO NOSSO</t>
  </si>
  <si>
    <t xml:space="preserve">JOSADAQUI MOYA VILARIM</t>
  </si>
  <si>
    <t xml:space="preserve">MERCEARIA MOYA</t>
  </si>
  <si>
    <t xml:space="preserve">SONIA DIAS MACIEL</t>
  </si>
  <si>
    <t xml:space="preserve">PADARIA PAO NOSSO</t>
  </si>
  <si>
    <t xml:space="preserve">KATIA JEANE TEIXEIRA LEAL</t>
  </si>
  <si>
    <t xml:space="preserve">GOIANOS MERCEARIA</t>
  </si>
  <si>
    <t xml:space="preserve">KATIA REGINA DA SILVA</t>
  </si>
  <si>
    <t xml:space="preserve">LUIZ V DE FREITAS</t>
  </si>
  <si>
    <t xml:space="preserve">PANIFICADORA LOS ANGELES</t>
  </si>
  <si>
    <t xml:space="preserve">ELISSANDRA LORENSO MARTINS</t>
  </si>
  <si>
    <t xml:space="preserve">DENIS XAVIER DA SILVA</t>
  </si>
  <si>
    <t xml:space="preserve">SM DENIS</t>
  </si>
  <si>
    <t xml:space="preserve">ABISAI ANDRADE DO CARMO</t>
  </si>
  <si>
    <t xml:space="preserve">EDVALDO LUCIO DOS SANTOS</t>
  </si>
  <si>
    <t xml:space="preserve">MINI MERCADO EDVALDO</t>
  </si>
  <si>
    <t xml:space="preserve">ANA MARIA ALVARENGA</t>
  </si>
  <si>
    <t xml:space="preserve">ELIANE RIOS DE ALMEIDA</t>
  </si>
  <si>
    <t xml:space="preserve">LIA CONVENIENCIA</t>
  </si>
  <si>
    <t xml:space="preserve">ANDREIA SILVA DISTORI</t>
  </si>
  <si>
    <t xml:space="preserve">GAS E CONV DA BARAO</t>
  </si>
  <si>
    <t xml:space="preserve">CLAUDETE DOS SANTOS RAFAEL</t>
  </si>
  <si>
    <t xml:space="preserve">MERCADO DEFRAN</t>
  </si>
  <si>
    <t xml:space="preserve">LUCIANO SANCHES CABANHA JR</t>
  </si>
  <si>
    <t xml:space="preserve">MERC CONV RIBEIRO</t>
  </si>
  <si>
    <t xml:space="preserve">MARIA APARECIDA XENXEN</t>
  </si>
  <si>
    <t xml:space="preserve">MERCEARIA R M</t>
  </si>
  <si>
    <t xml:space="preserve">SEBASTIAO OLIVEIRA DE JESUS</t>
  </si>
  <si>
    <t xml:space="preserve">SEBASTIAO</t>
  </si>
  <si>
    <t xml:space="preserve">ELVERIO RODNEY BRIZUELA FROES</t>
  </si>
  <si>
    <t xml:space="preserve">CINTIA CONVENIENCIA</t>
  </si>
  <si>
    <t xml:space="preserve">SALLES E GONCALVES</t>
  </si>
  <si>
    <t xml:space="preserve">SM CACIQUE</t>
  </si>
  <si>
    <t xml:space="preserve">ADAIR FERNANDES RODRIGUES</t>
  </si>
  <si>
    <t xml:space="preserve">MERCEARIA KAMPAI</t>
  </si>
  <si>
    <t xml:space="preserve">IVO NUNES DURAMES</t>
  </si>
  <si>
    <t xml:space="preserve">LINDINALVA MIRANDA GONCALVES POMPEO</t>
  </si>
  <si>
    <t xml:space="preserve">CONVENIENCIA DO RAMAO</t>
  </si>
  <si>
    <t xml:space="preserve">LUCILENE SANTOS NOGUEIRA</t>
  </si>
  <si>
    <t xml:space="preserve">L E L LANCHES</t>
  </si>
  <si>
    <t xml:space="preserve">EVERALDO FONSECA FERREIRA</t>
  </si>
  <si>
    <t xml:space="preserve">PANIF JHULLY</t>
  </si>
  <si>
    <t xml:space="preserve">EDVALDO GONCALVES DO NASCIMENTO</t>
  </si>
  <si>
    <t xml:space="preserve">REP 16</t>
  </si>
  <si>
    <t xml:space="preserve">ANA LUCIA ALBERTO</t>
  </si>
  <si>
    <t xml:space="preserve">VALDEMIR CARLOS DA SILVA</t>
  </si>
  <si>
    <t xml:space="preserve">SANDRO ANTONIO MACIEL</t>
  </si>
  <si>
    <t xml:space="preserve">COMERCIAL AVENIDA</t>
  </si>
  <si>
    <t xml:space="preserve">FELICIA VILA MAIOR SANTOS</t>
  </si>
  <si>
    <t xml:space="preserve">HOTEL CATARINENSE</t>
  </si>
  <si>
    <t xml:space="preserve">ALEXANDRO ARAUJO CARAMALAC</t>
  </si>
  <si>
    <t xml:space="preserve">HILDA MATEUS ACOSTA</t>
  </si>
  <si>
    <t xml:space="preserve">TADEU DE SOUZA</t>
  </si>
  <si>
    <t xml:space="preserve">NILSON BABBO</t>
  </si>
  <si>
    <t xml:space="preserve">ROBERTO CARLOS LEAL</t>
  </si>
  <si>
    <t xml:space="preserve">NILSON P DOS SANTOS</t>
  </si>
  <si>
    <t xml:space="preserve">DIST BURITI</t>
  </si>
  <si>
    <t xml:space="preserve">JOSE PEREIRA ROSA</t>
  </si>
  <si>
    <t xml:space="preserve">MARLI AZEVEDO OLIVEIRA</t>
  </si>
  <si>
    <t xml:space="preserve">RESTAURANTE POSTO MIL</t>
  </si>
  <si>
    <t xml:space="preserve">ANDREIA ROCHA BELTRAO REDES</t>
  </si>
  <si>
    <t xml:space="preserve">SUELLY RODRIGUES SORRILHO</t>
  </si>
  <si>
    <t xml:space="preserve">MINI MERCADO SAO GABRIEL</t>
  </si>
  <si>
    <t xml:space="preserve">ROMARIO A COELHO (FRETEIRO INT)</t>
  </si>
  <si>
    <t xml:space="preserve">VALFRIDO CARDOSO VAREIRO</t>
  </si>
  <si>
    <t xml:space="preserve">MERCADO CHAVES</t>
  </si>
  <si>
    <t xml:space="preserve">RAUL ARRUDA GODOY</t>
  </si>
  <si>
    <t xml:space="preserve">COMERCIAL ARAPONGAS</t>
  </si>
  <si>
    <t xml:space="preserve">Z DE O DA SIVA</t>
  </si>
  <si>
    <t xml:space="preserve">DOCES DAYANE</t>
  </si>
  <si>
    <t xml:space="preserve">SONIA MARIA M BENASS</t>
  </si>
  <si>
    <t xml:space="preserve">CONV SHOPLAR</t>
  </si>
  <si>
    <t xml:space="preserve">EMILIO CARLOS DUENHA BELINE</t>
  </si>
  <si>
    <t xml:space="preserve">MERCADO DAS</t>
  </si>
  <si>
    <t xml:space="preserve">MARIO EDUARDO A BINOTE</t>
  </si>
  <si>
    <t xml:space="preserve">FAZ SAO GRABRIEL</t>
  </si>
  <si>
    <t xml:space="preserve">CLARICE DE CASTRO SOARES DASILVA</t>
  </si>
  <si>
    <t xml:space="preserve">JOAO JOSE DE SOUZA</t>
  </si>
  <si>
    <t xml:space="preserve">SAO JOAO CONVENIENCIA</t>
  </si>
  <si>
    <t xml:space="preserve">ERMINDO LAUXEN JUNIOR</t>
  </si>
  <si>
    <t xml:space="preserve">MERCEARIA PANAMBI</t>
  </si>
  <si>
    <t xml:space="preserve">ELIZALDO DOMINGUES DE MELO</t>
  </si>
  <si>
    <t xml:space="preserve">MINI BOX SENADINHO</t>
  </si>
  <si>
    <t xml:space="preserve">MARCOS DOMICIANO</t>
  </si>
  <si>
    <t xml:space="preserve">SAO MARCOS BAR E MERCEARIA</t>
  </si>
  <si>
    <t xml:space="preserve">EZEQUIEL PEREIRA DA SILVA</t>
  </si>
  <si>
    <t xml:space="preserve">ALEMAO CASA DE CARNE E MERCEARIA</t>
  </si>
  <si>
    <t xml:space="preserve">WANIA GOMES BONFIM</t>
  </si>
  <si>
    <t xml:space="preserve">QUIOSQUE SORVETERIA</t>
  </si>
  <si>
    <t xml:space="preserve">CEMY PEREIRA BARBOSA</t>
  </si>
  <si>
    <t xml:space="preserve">CANTINHO DA FAMILIA</t>
  </si>
  <si>
    <t xml:space="preserve">ERASMO MOURA DA SILVA</t>
  </si>
  <si>
    <t xml:space="preserve">JAQUELINE VIEIRA DE ALMEIDA</t>
  </si>
  <si>
    <t xml:space="preserve">RONALDO PIRES DE OLIVEIRA</t>
  </si>
  <si>
    <t xml:space="preserve">LANCH E REST VACARIAS</t>
  </si>
  <si>
    <t xml:space="preserve">CELIA NAZARE PEREIRA CLEMENTE</t>
  </si>
  <si>
    <t xml:space="preserve">MERCEARIA MORADA DO SOL</t>
  </si>
  <si>
    <t xml:space="preserve">NILVA AMARAL DE BRITO</t>
  </si>
  <si>
    <t xml:space="preserve">MERCEARIA R D</t>
  </si>
  <si>
    <t xml:space="preserve">EDNA APARECIDA FERREIRA</t>
  </si>
  <si>
    <t xml:space="preserve">CONVENIENCIA TRES BARRAS LTDA</t>
  </si>
  <si>
    <t xml:space="preserve">JOSE CARLOS DE SOUZA</t>
  </si>
  <si>
    <t xml:space="preserve">ERICKA GUIMARAES MACHADO</t>
  </si>
  <si>
    <t xml:space="preserve">FRUTAS &amp; CIA CONVENIENCIAS</t>
  </si>
  <si>
    <t xml:space="preserve">LAERCIO FELLER</t>
  </si>
  <si>
    <t xml:space="preserve">MERCADO COOPECOM</t>
  </si>
  <si>
    <t xml:space="preserve">MARLI PACHE MORAIS</t>
  </si>
  <si>
    <t xml:space="preserve">CONVENIENCIA AMA</t>
  </si>
  <si>
    <t xml:space="preserve">GILMARY DOS SANTOS RAMALHO</t>
  </si>
  <si>
    <t xml:space="preserve">ELAINE APARECIDA ESSI</t>
  </si>
  <si>
    <t xml:space="preserve">PADARIA E CONVENIENCIA</t>
  </si>
  <si>
    <t xml:space="preserve">NIVALDO WENDLAND</t>
  </si>
  <si>
    <t xml:space="preserve">LANC E RET TIO SAN</t>
  </si>
  <si>
    <t xml:space="preserve">ROSELENE CAVALCANTE DA SILVA</t>
  </si>
  <si>
    <t xml:space="preserve">ROSIMEIREO L CAVALHEIRI</t>
  </si>
  <si>
    <t xml:space="preserve">PADARIA POSTO DE PAO DELICIA</t>
  </si>
  <si>
    <t xml:space="preserve">IRACI RUEL DA SILVA</t>
  </si>
  <si>
    <t xml:space="preserve">MILENA LANCHES</t>
  </si>
  <si>
    <t xml:space="preserve">CICERA PINHEIRA</t>
  </si>
  <si>
    <t xml:space="preserve">CONV SILVA</t>
  </si>
  <si>
    <t xml:space="preserve">NAURELUCIA PEREIRA MATHEUS BARBOSA</t>
  </si>
  <si>
    <t xml:space="preserve">IVETE ALVES MACHADO</t>
  </si>
  <si>
    <t xml:space="preserve">CONVENIENCIA 0(ZERO) HORA</t>
  </si>
  <si>
    <t xml:space="preserve">WANGLES MARTINS FERANNDES JUNIOR</t>
  </si>
  <si>
    <t xml:space="preserve">VALDECI FRANCISCA DE SOUZA</t>
  </si>
  <si>
    <t xml:space="preserve">MERCEARIA EMILI</t>
  </si>
  <si>
    <t xml:space="preserve">AGNALDO BARBOSA DA SILVA</t>
  </si>
  <si>
    <t xml:space="preserve">SCORPIONS LANCHES</t>
  </si>
  <si>
    <t xml:space="preserve">LUCELIA  DE SOUZA</t>
  </si>
  <si>
    <t xml:space="preserve">PANIFICADORA MARACANA</t>
  </si>
  <si>
    <t xml:space="preserve">MARIA ELZA DA SILVA</t>
  </si>
  <si>
    <t xml:space="preserve">PANIF PEROLA</t>
  </si>
  <si>
    <t xml:space="preserve">JOSE CARLOS TEIXEIRA</t>
  </si>
  <si>
    <t xml:space="preserve">PADARIA PAO DE QUEIJO</t>
  </si>
  <si>
    <t xml:space="preserve">ADENI BARBOSA DE MORAES SANTANA</t>
  </si>
  <si>
    <t xml:space="preserve">ESPETINHO SARA NOSSA TERRA</t>
  </si>
  <si>
    <t xml:space="preserve">ROB CESAR FAUSTINO LOUREIRO</t>
  </si>
  <si>
    <t xml:space="preserve">MERCADO CESAR</t>
  </si>
  <si>
    <t xml:space="preserve">VALDIVINO DIAS MADUREIRA</t>
  </si>
  <si>
    <t xml:space="preserve">MINI MERCADO DIAS</t>
  </si>
  <si>
    <t xml:space="preserve">MARCIA SORAYA GARCIA DE SOUZA</t>
  </si>
  <si>
    <t xml:space="preserve">DALLAS MOVEIS</t>
  </si>
  <si>
    <t xml:space="preserve">SIDNEY ALVES DA SILVA</t>
  </si>
  <si>
    <t xml:space="preserve">PAG POUCO BEIRA MAR</t>
  </si>
  <si>
    <t xml:space="preserve">DARCY ALVES BRASIL VIEIRA</t>
  </si>
  <si>
    <t xml:space="preserve">MERCEARIA TUTU</t>
  </si>
  <si>
    <t xml:space="preserve">SILENE APARECIDA ARAUJO</t>
  </si>
  <si>
    <t xml:space="preserve">TRAILER AO LADO INST DA VISAO</t>
  </si>
  <si>
    <t xml:space="preserve">D.J. DA CRUZ MERCEARIA ME - MS</t>
  </si>
  <si>
    <t xml:space="preserve">ANITA ALVES RIBEIRO</t>
  </si>
  <si>
    <t xml:space="preserve">FUNC ANITA</t>
  </si>
  <si>
    <t xml:space="preserve">CARLOS ANTONIO COSTA DA CUNHA</t>
  </si>
  <si>
    <t xml:space="preserve">LANCHONETE DIAMANTE</t>
  </si>
  <si>
    <t xml:space="preserve">GERALDO MARTINS GOMES</t>
  </si>
  <si>
    <t xml:space="preserve">RESTAURANTE ESTACAO PINTADO</t>
  </si>
  <si>
    <t xml:space="preserve">ELAINE DE OLIVEIRA PEREIRA</t>
  </si>
  <si>
    <t xml:space="preserve">QUITANDA DO PRODUTOR</t>
  </si>
  <si>
    <t xml:space="preserve">VALTER CORREA DE SANTANA</t>
  </si>
  <si>
    <t xml:space="preserve">HELIO DONIZETE DA MATTA</t>
  </si>
  <si>
    <t xml:space="preserve">SELMA DA SILVA COELHO</t>
  </si>
  <si>
    <t xml:space="preserve">VIDEO GAME</t>
  </si>
  <si>
    <t xml:space="preserve">VALDIRENE FRANCISCO DA SILVA</t>
  </si>
  <si>
    <t xml:space="preserve">TOCA DOS BICHOS</t>
  </si>
  <si>
    <t xml:space="preserve">ADRIANO DA SILVA ANDRADE</t>
  </si>
  <si>
    <t xml:space="preserve">MERCEARIA SAO CAETANO</t>
  </si>
  <si>
    <t xml:space="preserve">ANTONIO BORGES DE CARVALHO FILHO</t>
  </si>
  <si>
    <t xml:space="preserve">MERCEARIA DO ANTONIO</t>
  </si>
  <si>
    <t xml:space="preserve">JURANDI DE SILVA VITA</t>
  </si>
  <si>
    <t xml:space="preserve">HOTEL PRATA</t>
  </si>
  <si>
    <t xml:space="preserve">NILZE ALVES DE OLIVEIRA</t>
  </si>
  <si>
    <t xml:space="preserve">PANIFICADORA SUPREMA 2</t>
  </si>
  <si>
    <t xml:space="preserve">NELSON ANTONIO TEIXEIRA</t>
  </si>
  <si>
    <t xml:space="preserve">NELSON CONVENIENCIA</t>
  </si>
  <si>
    <t xml:space="preserve">CESAR DINIZ DA SILVA</t>
  </si>
  <si>
    <t xml:space="preserve">LOURDES VALERIA ESTIGARRIVIO</t>
  </si>
  <si>
    <t xml:space="preserve">CANTINA DA ESCOLA BRIGIDA</t>
  </si>
  <si>
    <t xml:space="preserve">SELZIMAR APARECIDO FERREIRA</t>
  </si>
  <si>
    <t xml:space="preserve">BRANQUINHO CONVENIENCIA</t>
  </si>
  <si>
    <t xml:space="preserve">WILSOM DE SOUZA</t>
  </si>
  <si>
    <t xml:space="preserve">MERCADO BAGDA (AO LADO CANIL)</t>
  </si>
  <si>
    <t xml:space="preserve">RONILSON RODRIGUES DA COSTA</t>
  </si>
  <si>
    <t xml:space="preserve">ROSIMEIRE VALINO NOVAES</t>
  </si>
  <si>
    <t xml:space="preserve">CAFE JUNTO E MISTURADO</t>
  </si>
  <si>
    <t xml:space="preserve">FRANCISCA GONCALVES DOS SANTOS</t>
  </si>
  <si>
    <t xml:space="preserve">ADELCIO PAULO PASSARINI</t>
  </si>
  <si>
    <t xml:space="preserve">MARIA FERREIRA MOLINA</t>
  </si>
  <si>
    <t xml:space="preserve">MERCEARIA M.M.</t>
  </si>
  <si>
    <t xml:space="preserve">IRINEIS DE SOUZA DONATONI</t>
  </si>
  <si>
    <t xml:space="preserve">CANTINA DA FUNLEC</t>
  </si>
  <si>
    <t xml:space="preserve">GENIVALDO DE ANDRADE FERREIRA</t>
  </si>
  <si>
    <t xml:space="preserve">MERCEARIA E CONVENENCIA VITORI</t>
  </si>
  <si>
    <t xml:space="preserve">JOAO CARLOS LACERDA</t>
  </si>
  <si>
    <t xml:space="preserve">MERCEARIA MINAS GERAIS</t>
  </si>
  <si>
    <t xml:space="preserve">ADRIANA CRISTINA CHAGAS</t>
  </si>
  <si>
    <t xml:space="preserve">ADEMIR M LOBO LOPES</t>
  </si>
  <si>
    <t xml:space="preserve">FRANGO E CIA</t>
  </si>
  <si>
    <t xml:space="preserve">MARIA APARECIDA DE OLIVEIRA</t>
  </si>
  <si>
    <t xml:space="preserve">CONV.DO PEQUENO</t>
  </si>
  <si>
    <t xml:space="preserve">AGUINOS PEREIRA BORGES</t>
  </si>
  <si>
    <t xml:space="preserve">MERCEARIA STA LUZIA</t>
  </si>
  <si>
    <t xml:space="preserve">MARIA SOARES BASTOS VIEIRA</t>
  </si>
  <si>
    <t xml:space="preserve">MERC E CONV BOM PRECO</t>
  </si>
  <si>
    <t xml:space="preserve">ARLI AUGUSTO ZUSE</t>
  </si>
  <si>
    <t xml:space="preserve">POSTO VACA PARIDA</t>
  </si>
  <si>
    <t xml:space="preserve">MARCOS ANTONIO VILELA BERTO</t>
  </si>
  <si>
    <t xml:space="preserve">CENTRAL MADEIRAS</t>
  </si>
  <si>
    <t xml:space="preserve">CARLOS SILVEIRA</t>
  </si>
  <si>
    <t xml:space="preserve">LUIS CARLOS DE SOUZA</t>
  </si>
  <si>
    <t xml:space="preserve">MERCEARIA SOL NASCENTE</t>
  </si>
  <si>
    <t xml:space="preserve">MARCOS NICHELE ROSA</t>
  </si>
  <si>
    <t xml:space="preserve">JOCELI PANDOLFO</t>
  </si>
  <si>
    <t xml:space="preserve">CONVENIENCIA PARADA LEGAL</t>
  </si>
  <si>
    <t xml:space="preserve">NATALINA APARECIDA RIBEIRA</t>
  </si>
  <si>
    <t xml:space="preserve">NATALINA APARECIDA GONZAGA RIBEIRO</t>
  </si>
  <si>
    <t xml:space="preserve">SERGIO VIERA NUNES</t>
  </si>
  <si>
    <t xml:space="preserve">J S CONVENIENCIA</t>
  </si>
  <si>
    <t xml:space="preserve">ALCIDIA PAULINA INACIO</t>
  </si>
  <si>
    <t xml:space="preserve">EVANDRA DOS SANTOS CACHO</t>
  </si>
  <si>
    <t xml:space="preserve">MERCADO SOL NASCENTE</t>
  </si>
  <si>
    <t xml:space="preserve">GILMAR FAGUNDES DE OLIVEIRA</t>
  </si>
  <si>
    <t xml:space="preserve">MINI MERCADO FAGUNDES</t>
  </si>
  <si>
    <t xml:space="preserve">JULIO VANDRE SUTIL</t>
  </si>
  <si>
    <t xml:space="preserve">ELIO DA SILVA</t>
  </si>
  <si>
    <t xml:space="preserve">MERCADO DO HELIO</t>
  </si>
  <si>
    <t xml:space="preserve">ELIAS ALVES DA SILVA</t>
  </si>
  <si>
    <t xml:space="preserve">MERCADO LIA</t>
  </si>
  <si>
    <t xml:space="preserve">DANIEL MANOEL DE LIMA</t>
  </si>
  <si>
    <t xml:space="preserve">MERCEARIA CLIMAX</t>
  </si>
  <si>
    <t xml:space="preserve">MARIO AP SANTOS</t>
  </si>
  <si>
    <t xml:space="preserve">MINI VAREJO MIRALLI</t>
  </si>
  <si>
    <t xml:space="preserve">CLEUZA MARIA RABIN GAVIN</t>
  </si>
  <si>
    <t xml:space="preserve">ANTONIO IVANILTON DA MOTTA</t>
  </si>
  <si>
    <t xml:space="preserve">MERCEARIA CRUZALTINA</t>
  </si>
  <si>
    <t xml:space="preserve">ARACELY DA SILVA BARBOSA</t>
  </si>
  <si>
    <t xml:space="preserve">ANTONIO S.P DOS SANTOS</t>
  </si>
  <si>
    <t xml:space="preserve">CONVENIENCIA DO CABE€A</t>
  </si>
  <si>
    <t xml:space="preserve">IVANIRA PEREIRA COSTA</t>
  </si>
  <si>
    <t xml:space="preserve">CONV COSTA</t>
  </si>
  <si>
    <t xml:space="preserve">CLEBER ROBERTO PAULINO BARCELOS</t>
  </si>
  <si>
    <t xml:space="preserve">SUPERMERCADO BOM DIA</t>
  </si>
  <si>
    <t xml:space="preserve">JOSE APARECIDO FERREIRA JESUS</t>
  </si>
  <si>
    <t xml:space="preserve">PANIFICADORA DOCE SABOR</t>
  </si>
  <si>
    <t xml:space="preserve">ADELAIDE DOS SANTOS ROLIN</t>
  </si>
  <si>
    <t xml:space="preserve">BAR DO EJANILIO</t>
  </si>
  <si>
    <t xml:space="preserve">CLAUDIO MILIAN GODOY</t>
  </si>
  <si>
    <t xml:space="preserve">ROSINEIDE DE LIMA LEOPOLDINO</t>
  </si>
  <si>
    <t xml:space="preserve">PANIFICADORA MANA</t>
  </si>
  <si>
    <t xml:space="preserve">ROSENO JULIO PARREIRA</t>
  </si>
  <si>
    <t xml:space="preserve">MERCEARIA SANTA ANA</t>
  </si>
  <si>
    <t xml:space="preserve">SINESIA SARATE FILHO</t>
  </si>
  <si>
    <t xml:space="preserve">GILBERTO SANTOS PEREIRA</t>
  </si>
  <si>
    <t xml:space="preserve">CONVENIENCIA CATIGUA</t>
  </si>
  <si>
    <t xml:space="preserve">EUBIDIA DOS SANTOS PERES</t>
  </si>
  <si>
    <t xml:space="preserve">MERCEARIA PERES</t>
  </si>
  <si>
    <t xml:space="preserve">MARIO GONCALVES PIRES</t>
  </si>
  <si>
    <t xml:space="preserve">LANCH M G PIRES</t>
  </si>
  <si>
    <t xml:space="preserve">JOSE GUILHERME BRAGA SAMPAIO</t>
  </si>
  <si>
    <t xml:space="preserve">LINDOMAR RODRIGUES FELIX</t>
  </si>
  <si>
    <t xml:space="preserve">FEIOMAR FELIX</t>
  </si>
  <si>
    <t xml:space="preserve">EZEQUIEL SANCHES TRINDADE</t>
  </si>
  <si>
    <t xml:space="preserve">COMERCIAL AVEMIDA</t>
  </si>
  <si>
    <t xml:space="preserve">WALDIR N. SANCHES</t>
  </si>
  <si>
    <t xml:space="preserve">MERCADO DO PONTO</t>
  </si>
  <si>
    <t xml:space="preserve">GISELY GARCIA ORGEDA</t>
  </si>
  <si>
    <t xml:space="preserve">GI COMESTICOS</t>
  </si>
  <si>
    <t xml:space="preserve">ANDRE FERNANDES NEPONUCENO</t>
  </si>
  <si>
    <t xml:space="preserve">ANDRE</t>
  </si>
  <si>
    <t xml:space="preserve">EDNA MARIA CORDOBA</t>
  </si>
  <si>
    <t xml:space="preserve">LANCH. E REST. SABOR TOTAL</t>
  </si>
  <si>
    <t xml:space="preserve">GISELE GONCALVES MARTINS</t>
  </si>
  <si>
    <t xml:space="preserve">PANIFICADORA TRIAGALLI</t>
  </si>
  <si>
    <t xml:space="preserve">CELSO APARECIDO SGARAVATTI</t>
  </si>
  <si>
    <t xml:space="preserve">PANIF DELICIA</t>
  </si>
  <si>
    <t xml:space="preserve">JOSE GILMAR ALVES</t>
  </si>
  <si>
    <t xml:space="preserve">MERCADO RIO BRILHANTE</t>
  </si>
  <si>
    <t xml:space="preserve">JOSEMAR SLMAZIO BUQUE</t>
  </si>
  <si>
    <t xml:space="preserve">VILMAR JOSE ENGEL</t>
  </si>
  <si>
    <t xml:space="preserve">MERCEARIA RIO VERDE</t>
  </si>
  <si>
    <t xml:space="preserve">ANA ROSA DA SILVA</t>
  </si>
  <si>
    <t xml:space="preserve">MERCADO VIDA NOVA</t>
  </si>
  <si>
    <t xml:space="preserve">ELIETE PEREIRA GONCALVES</t>
  </si>
  <si>
    <t xml:space="preserve">GORDINHO LANCHES</t>
  </si>
  <si>
    <t xml:space="preserve">ELIZABETE GOMES DE BRITO SANTOS</t>
  </si>
  <si>
    <t xml:space="preserve">MERCADO BOM PASTOR</t>
  </si>
  <si>
    <t xml:space="preserve">GENIVAL BATISTA DA SILVA</t>
  </si>
  <si>
    <t xml:space="preserve">MERCADO PALMARES</t>
  </si>
  <si>
    <t xml:space="preserve">WILDES JOSE DE OLIVEIRA</t>
  </si>
  <si>
    <t xml:space="preserve">PAULO SERGIO DE LIMA</t>
  </si>
  <si>
    <t xml:space="preserve">FRUTAL</t>
  </si>
  <si>
    <t xml:space="preserve">JOSE ERIVAM DE MEDEIROS</t>
  </si>
  <si>
    <t xml:space="preserve">CONV JARBAS</t>
  </si>
  <si>
    <t xml:space="preserve">ADRIANE BUENO MARTINS</t>
  </si>
  <si>
    <t xml:space="preserve">MARIA LUIZA NEVES BERTAN</t>
  </si>
  <si>
    <t xml:space="preserve">MERCADO DONA MARIA</t>
  </si>
  <si>
    <t xml:space="preserve">FRANCISCO LUIZ DA SILVA</t>
  </si>
  <si>
    <t xml:space="preserve">MERCEARIA DOCE MANIA</t>
  </si>
  <si>
    <t xml:space="preserve">MARCOS APARECIDO LUCATO</t>
  </si>
  <si>
    <t xml:space="preserve">MERCADO LUCATO</t>
  </si>
  <si>
    <t xml:space="preserve">SANDRA DA SILVA L FERNANDES</t>
  </si>
  <si>
    <t xml:space="preserve">MINI MERCADO SADW</t>
  </si>
  <si>
    <t xml:space="preserve">MARGANE SIMONIA HEIDRICH PEREIRA</t>
  </si>
  <si>
    <t xml:space="preserve">MARCELO MENDONCA DA SILVA</t>
  </si>
  <si>
    <t xml:space="preserve">MERCEARIA MENDONCA</t>
  </si>
  <si>
    <t xml:space="preserve">MARCIA CRISTINA LEAL MONBAC</t>
  </si>
  <si>
    <t xml:space="preserve">MERCADO VANDER</t>
  </si>
  <si>
    <t xml:space="preserve">RUBENS OLIVEIRA DOS SANTOS</t>
  </si>
  <si>
    <t xml:space="preserve">JOSETE MENESES DOS SANTOS OLIVEIRA</t>
  </si>
  <si>
    <t xml:space="preserve">EDUARDO MENDES NETO</t>
  </si>
  <si>
    <t xml:space="preserve">LUIZ MARCOS DA SILVA</t>
  </si>
  <si>
    <t xml:space="preserve">BAR PEDRA BRANCA</t>
  </si>
  <si>
    <t xml:space="preserve">ALEKSON CAMARGO</t>
  </si>
  <si>
    <t xml:space="preserve">BIG TIME</t>
  </si>
  <si>
    <t xml:space="preserve">SILVANO GOMES DE ALMEIDA</t>
  </si>
  <si>
    <t xml:space="preserve">CAFE QUERO MAIS</t>
  </si>
  <si>
    <t xml:space="preserve">VERA LUCIA RUBIO</t>
  </si>
  <si>
    <t xml:space="preserve">FABIO BARBOSA</t>
  </si>
  <si>
    <t xml:space="preserve">PRO DOG</t>
  </si>
  <si>
    <t xml:space="preserve">MORACI DA SILVA COSTA</t>
  </si>
  <si>
    <t xml:space="preserve">CASA DE CARNE</t>
  </si>
  <si>
    <t xml:space="preserve">AMILTON LEANDRO RANDOMENIGHI</t>
  </si>
  <si>
    <t xml:space="preserve">WANDERLEIA ANTUNES CARDOSO</t>
  </si>
  <si>
    <t xml:space="preserve">MERCADINHO MARQUES</t>
  </si>
  <si>
    <t xml:space="preserve">KEILA MEIRA NOGEUIRA</t>
  </si>
  <si>
    <t xml:space="preserve">PANIF PAES FILHO</t>
  </si>
  <si>
    <t xml:space="preserve">MARCOS ANTONIO BRAGA PEREIRA</t>
  </si>
  <si>
    <t xml:space="preserve">MERCADO TRES LAGOAS</t>
  </si>
  <si>
    <t xml:space="preserve">MARCOS CAMARGO DE SOUZA</t>
  </si>
  <si>
    <t xml:space="preserve">BETAO LANCHES</t>
  </si>
  <si>
    <t xml:space="preserve">REDINER ALVES FERNANDES</t>
  </si>
  <si>
    <t xml:space="preserve">WANDERLEY BARAO RAMALHO</t>
  </si>
  <si>
    <t xml:space="preserve">BARAO</t>
  </si>
  <si>
    <t xml:space="preserve">PAULO CESAR GONZAGA DE SOUZA</t>
  </si>
  <si>
    <t xml:space="preserve">MARCIA CRISTIANE EURICK</t>
  </si>
  <si>
    <t xml:space="preserve">ANA CLAUDIA GOMES DE SOUZA</t>
  </si>
  <si>
    <t xml:space="preserve">IVANETE ALVES DE OLIVEIRA</t>
  </si>
  <si>
    <t xml:space="preserve">JOSCELINA FREDIANA DE SOUZA MATOS</t>
  </si>
  <si>
    <t xml:space="preserve">FLAVIO TADAYUKI HIGASHI</t>
  </si>
  <si>
    <t xml:space="preserve">IRIS CYBER CAFE</t>
  </si>
  <si>
    <t xml:space="preserve">BIRAJAR SANDIM BACARGI</t>
  </si>
  <si>
    <t xml:space="preserve">BR MANIA</t>
  </si>
  <si>
    <t xml:space="preserve">GILBERTO NEVES</t>
  </si>
  <si>
    <t xml:space="preserve">MERCADO JI</t>
  </si>
  <si>
    <t xml:space="preserve">IRACEMA NASCIMENTO DA SILVA</t>
  </si>
  <si>
    <t xml:space="preserve">MERCADO BOA COMPRA</t>
  </si>
  <si>
    <t xml:space="preserve">MARCO ANTONIO ARIAS</t>
  </si>
  <si>
    <t xml:space="preserve">SERGIO MESSIAS DE PAULA</t>
  </si>
  <si>
    <t xml:space="preserve">CONV KELLY</t>
  </si>
  <si>
    <t xml:space="preserve">ANDRE LUIS RODRIGUES TRISTAO</t>
  </si>
  <si>
    <t xml:space="preserve">MARCELO LOPES</t>
  </si>
  <si>
    <t xml:space="preserve">CONVENIENCIA MARACANA</t>
  </si>
  <si>
    <t xml:space="preserve">LANCHONETE PITI STOP</t>
  </si>
  <si>
    <t xml:space="preserve">MARIA CLAUDETE DA SILVA</t>
  </si>
  <si>
    <t xml:space="preserve">MINI MERCADO J S</t>
  </si>
  <si>
    <t xml:space="preserve">PAULO SERGIO PRIETO FRANCO</t>
  </si>
  <si>
    <t xml:space="preserve">LANCHONETE E PADARIA 200</t>
  </si>
  <si>
    <t xml:space="preserve">ERLON FERREIRA DA SILVA</t>
  </si>
  <si>
    <t xml:space="preserve">EDINEIA CORREIA SAMPAIO BURTUCCI</t>
  </si>
  <si>
    <t xml:space="preserve">NOSSO CANTINHO</t>
  </si>
  <si>
    <t xml:space="preserve">CELSO ROGERIO DOS SANTOS</t>
  </si>
  <si>
    <t xml:space="preserve">ELIZABETE SILVA DE OLIVEIRA MACHADO</t>
  </si>
  <si>
    <t xml:space="preserve">MERCADO ELIZA</t>
  </si>
  <si>
    <t xml:space="preserve">ALINE BARROS CHEUNY</t>
  </si>
  <si>
    <t xml:space="preserve">MASTER CASE</t>
  </si>
  <si>
    <t xml:space="preserve">PAULA DA SILVA</t>
  </si>
  <si>
    <t xml:space="preserve">MERCEARIA TEXEIRA</t>
  </si>
  <si>
    <t xml:space="preserve">SILVANA DOS SANTOS F CONDE</t>
  </si>
  <si>
    <t xml:space="preserve">SIDNEI APARECIDO SIBELI</t>
  </si>
  <si>
    <t xml:space="preserve">CONV ACOUGUE SAO ROQUE</t>
  </si>
  <si>
    <t xml:space="preserve">MARIA CONCEICAO MAIA SILVA</t>
  </si>
  <si>
    <t xml:space="preserve">SM LIMAIA</t>
  </si>
  <si>
    <t xml:space="preserve">GILMAR OLIVEIRA DOS SANTOS</t>
  </si>
  <si>
    <t xml:space="preserve">PEDRO DOS SANTOS</t>
  </si>
  <si>
    <t xml:space="preserve">BAR DO PEDRO</t>
  </si>
  <si>
    <t xml:space="preserve">CARMEM SOARES CHAVES</t>
  </si>
  <si>
    <t xml:space="preserve">SETOR CARROS USADOS MONZA VEIC</t>
  </si>
  <si>
    <t xml:space="preserve">IZAIAS EUZEBIO DE SOUZA</t>
  </si>
  <si>
    <t xml:space="preserve">SUPERMERCADO BOM PRECO</t>
  </si>
  <si>
    <t xml:space="preserve">MISAEL CABRAL DE MELO</t>
  </si>
  <si>
    <t xml:space="preserve">SACOLAO E MERC PRADO</t>
  </si>
  <si>
    <t xml:space="preserve">ANA PAULA PEREIRA ARAUJO</t>
  </si>
  <si>
    <t xml:space="preserve">JUSTINA SABADIM</t>
  </si>
  <si>
    <t xml:space="preserve">MERCEARIA DO GAUCHO</t>
  </si>
  <si>
    <t xml:space="preserve">CONV PAGUE MENOS</t>
  </si>
  <si>
    <t xml:space="preserve">OSMAR ALVES DE CASTRO</t>
  </si>
  <si>
    <t xml:space="preserve">CONVENIENCIA CASTRO</t>
  </si>
  <si>
    <t xml:space="preserve">ESTANISLAU BARRIOS JUNIOR</t>
  </si>
  <si>
    <t xml:space="preserve">NINFA FERNANDES</t>
  </si>
  <si>
    <t xml:space="preserve">PANIFICADORA FERNANDES</t>
  </si>
  <si>
    <t xml:space="preserve">PEDRO PAULO RODRIGUES NETO</t>
  </si>
  <si>
    <t xml:space="preserve">ROVANIA MELO ANTUNES</t>
  </si>
  <si>
    <t xml:space="preserve">MERCEARIA DA ROVANIA</t>
  </si>
  <si>
    <t xml:space="preserve">ELIZETE RAMOS PEREIRA DE OLIVEIRA</t>
  </si>
  <si>
    <t xml:space="preserve">MERCEARIA RAMOS I</t>
  </si>
  <si>
    <t xml:space="preserve">JOAO GONCALVES DE ASSIS</t>
  </si>
  <si>
    <t xml:space="preserve">EDENILSON BALBOENA LEITE</t>
  </si>
  <si>
    <t xml:space="preserve">ANTONIO SEVERINO DA SILVA</t>
  </si>
  <si>
    <t xml:space="preserve">CONV BOM GOSTO</t>
  </si>
  <si>
    <t xml:space="preserve">CLODOALDO FONSECA FERREIRA</t>
  </si>
  <si>
    <t xml:space="preserve">PANIFICADORA TAINARA</t>
  </si>
  <si>
    <t xml:space="preserve">MARCIO VAGNER OLIVEIRA</t>
  </si>
  <si>
    <t xml:space="preserve">MERCADINHO PEG PAG</t>
  </si>
  <si>
    <t xml:space="preserve">SANDRO ALVARES MOREL</t>
  </si>
  <si>
    <t xml:space="preserve">EDMAR APOLONIO BARBOSA</t>
  </si>
  <si>
    <t xml:space="preserve">SEBASTIANA C D CUSTADIO</t>
  </si>
  <si>
    <t xml:space="preserve">JOSE ROBERTO DE OLIVEIRA</t>
  </si>
  <si>
    <t xml:space="preserve">JOSE ROBERO DE OLIVEIRA</t>
  </si>
  <si>
    <t xml:space="preserve">REGINA RODRIGUES</t>
  </si>
  <si>
    <t xml:space="preserve">VANDA SPOTTI PERREIRA</t>
  </si>
  <si>
    <t xml:space="preserve">WAGNER MULLER DOS SANTOS</t>
  </si>
  <si>
    <t xml:space="preserve">AGNALDO D'PAULA SAMPAIO</t>
  </si>
  <si>
    <t xml:space="preserve">MERCEARIA AGNALDO</t>
  </si>
  <si>
    <t xml:space="preserve">ADAILTO DA SILVA COIMBRA</t>
  </si>
  <si>
    <t xml:space="preserve">NIVALDO MUNIZ DE MORAES</t>
  </si>
  <si>
    <t xml:space="preserve">IVONE LARANGEIRA DA SILVA</t>
  </si>
  <si>
    <t xml:space="preserve">MERCEARIA JD ITALIA</t>
  </si>
  <si>
    <t xml:space="preserve">SIDNEI FAUSTINO LIMEIRA</t>
  </si>
  <si>
    <t xml:space="preserve">JANAYNA ANDREA GODOI</t>
  </si>
  <si>
    <t xml:space="preserve">ANDREA MERCADO</t>
  </si>
  <si>
    <t xml:space="preserve">ANA ROSA DE ALMEIDA MENDONCA</t>
  </si>
  <si>
    <t xml:space="preserve">MERCEARIA E BAR DO CHICO</t>
  </si>
  <si>
    <t xml:space="preserve">ROBERTA FERNANDES</t>
  </si>
  <si>
    <t xml:space="preserve">PANIF LARISSA</t>
  </si>
  <si>
    <t xml:space="preserve">ANA CRISTINA TEIXEIRA</t>
  </si>
  <si>
    <t xml:space="preserve">CONVENIENCIA DO XUXA</t>
  </si>
  <si>
    <t xml:space="preserve">JUBERSON DE ALMEIDA SOUZA</t>
  </si>
  <si>
    <t xml:space="preserve">SANDRO ROBERTO MONTEIRO DA SILVA</t>
  </si>
  <si>
    <t xml:space="preserve">SANDRO ROBERTO MONTEIRO DA S</t>
  </si>
  <si>
    <t xml:space="preserve">ROSINEI ALVES DE LIMA</t>
  </si>
  <si>
    <t xml:space="preserve">CONVENIENCIA CENTRAL</t>
  </si>
  <si>
    <t xml:space="preserve">JORGE ANTONIO RIBEIRO CORREIA</t>
  </si>
  <si>
    <t xml:space="preserve">EVERALDOS</t>
  </si>
  <si>
    <t xml:space="preserve">REGINA CANDIDA DE OLIVEIRA</t>
  </si>
  <si>
    <t xml:space="preserve">PANF KI PAO</t>
  </si>
  <si>
    <t xml:space="preserve">VANDA MOREIRA DIAS</t>
  </si>
  <si>
    <t xml:space="preserve">VANDA CABELEREIROS</t>
  </si>
  <si>
    <t xml:space="preserve">VALDEMIR MORAES DA SILVA</t>
  </si>
  <si>
    <t xml:space="preserve">CONV SAO FRANCISCO</t>
  </si>
  <si>
    <t xml:space="preserve">JONAS DE QUEIROZ</t>
  </si>
  <si>
    <t xml:space="preserve">BIG BOI</t>
  </si>
  <si>
    <t xml:space="preserve">RICARDINA TAVEIRA VILELA</t>
  </si>
  <si>
    <t xml:space="preserve">LANCH E AUTO POSTO VILELA</t>
  </si>
  <si>
    <t xml:space="preserve">RONALDO QUEIROS COSTA</t>
  </si>
  <si>
    <t xml:space="preserve">PIZZARIA E LANCH MOINHO</t>
  </si>
  <si>
    <t xml:space="preserve">HELENA ALVES</t>
  </si>
  <si>
    <t xml:space="preserve">CONVENIENCIA JULIA EMANUELY</t>
  </si>
  <si>
    <t xml:space="preserve">AZANA VASCONSELOS CELESTINO</t>
  </si>
  <si>
    <t xml:space="preserve">FERNANDA C P</t>
  </si>
  <si>
    <t xml:space="preserve">FERNANDA</t>
  </si>
  <si>
    <t xml:space="preserve">MARCOS JOICE ARRUDA</t>
  </si>
  <si>
    <t xml:space="preserve">DALMY CRISOSTEMO DA SILVA</t>
  </si>
  <si>
    <t xml:space="preserve">MINI MERCADO CHEIRO VERDE</t>
  </si>
  <si>
    <t xml:space="preserve">MARUZANE BATISTA BARBOSA</t>
  </si>
  <si>
    <t xml:space="preserve">MERCADO E CONVENIENCIA PONTO DO SABOR</t>
  </si>
  <si>
    <t xml:space="preserve">EDMAR SOKEN</t>
  </si>
  <si>
    <t xml:space="preserve">PANIF PAO E ARTE</t>
  </si>
  <si>
    <t xml:space="preserve">ISABETE DE OLIVEIRA</t>
  </si>
  <si>
    <t xml:space="preserve">MARIA DE FATIMA SOUZA</t>
  </si>
  <si>
    <t xml:space="preserve">AUTO POSTO BIELA</t>
  </si>
  <si>
    <t xml:space="preserve">SERGIO RICARDO PAULINO ANSELMO</t>
  </si>
  <si>
    <t xml:space="preserve">PRODUTOS DA VO</t>
  </si>
  <si>
    <t xml:space="preserve">ELIANE LEMES</t>
  </si>
  <si>
    <t xml:space="preserve">CASA DE CARNE PONTO NOBRE</t>
  </si>
  <si>
    <t xml:space="preserve">ELIZA MARIE KINOSHITA</t>
  </si>
  <si>
    <t xml:space="preserve">MERCADO ACOUGUE TOSHIMAR</t>
  </si>
  <si>
    <t xml:space="preserve">ADEGAR SOUZA BERNARDES</t>
  </si>
  <si>
    <t xml:space="preserve">ISKNA CONVENIENCIA</t>
  </si>
  <si>
    <t xml:space="preserve">ELVIS FERREIRA MIYASATO</t>
  </si>
  <si>
    <t xml:space="preserve">MARLY MARQUES DOS SANTOS</t>
  </si>
  <si>
    <t xml:space="preserve">MERCEARIA M M</t>
  </si>
  <si>
    <t xml:space="preserve">SUZETE DA SILVA</t>
  </si>
  <si>
    <t xml:space="preserve">SM FORTALEZA</t>
  </si>
  <si>
    <t xml:space="preserve">GISLAINE RIBEIRO FERREIRA</t>
  </si>
  <si>
    <t xml:space="preserve">BICHO DO MATO</t>
  </si>
  <si>
    <t xml:space="preserve">JOSE RODRIGUES ALENCAR</t>
  </si>
  <si>
    <t xml:space="preserve">CONVENIENCIA HORA CERTA</t>
  </si>
  <si>
    <t xml:space="preserve">OZIEL GENEROSO</t>
  </si>
  <si>
    <t xml:space="preserve">MERCEARIA RG</t>
  </si>
  <si>
    <t xml:space="preserve">ELICLEBER CINTURIAO CARVALHO</t>
  </si>
  <si>
    <t xml:space="preserve">EVELINE DE SOUZA</t>
  </si>
  <si>
    <t xml:space="preserve">ISABEL CRISTINA CARVALHO REJASSO ME</t>
  </si>
  <si>
    <t xml:space="preserve">CANTINA DA BELL - BL CLINICAS</t>
  </si>
  <si>
    <t xml:space="preserve">ARLINEI MELO BARBOSA</t>
  </si>
  <si>
    <t xml:space="preserve">CASA DE CARNE BARBOSA</t>
  </si>
  <si>
    <t xml:space="preserve">ELIZA COSTA DE OLIVEIRA</t>
  </si>
  <si>
    <t xml:space="preserve">LIVRARIA EVANGELICA ELSHADAY</t>
  </si>
  <si>
    <t xml:space="preserve">EMERSON DA SILVA MORILHO</t>
  </si>
  <si>
    <t xml:space="preserve">VANDERLEI NUNES DURANES</t>
  </si>
  <si>
    <t xml:space="preserve">MERCEARIS DURANES</t>
  </si>
  <si>
    <t xml:space="preserve">JOSE ANTONIO R PAIXAO</t>
  </si>
  <si>
    <t xml:space="preserve">PANIFICADORA POPULAR</t>
  </si>
  <si>
    <t xml:space="preserve">PEDRO ANTONIO RODRIGUES NOBRE</t>
  </si>
  <si>
    <t xml:space="preserve">PINAS BEER</t>
  </si>
  <si>
    <t xml:space="preserve">MARCO ANTONIO FERREIRA JERONIMO</t>
  </si>
  <si>
    <t xml:space="preserve">PANIFICADORA MASTER PAO</t>
  </si>
  <si>
    <t xml:space="preserve">TEREZINHA S NASCIMENTO RODRIGUES</t>
  </si>
  <si>
    <t xml:space="preserve">BEIJINHO GELADO</t>
  </si>
  <si>
    <t xml:space="preserve">ANTONIO MARCOS F DO PRADO</t>
  </si>
  <si>
    <t xml:space="preserve">ARBINO ORTIZ ZAVALA</t>
  </si>
  <si>
    <t xml:space="preserve">KELI CRISTINA GONCALVES DIAS</t>
  </si>
  <si>
    <t xml:space="preserve">GRAFICA CRISTO REI</t>
  </si>
  <si>
    <t xml:space="preserve">ADEVAR FERNANDES DA SILVA</t>
  </si>
  <si>
    <t xml:space="preserve">FRUTARIA EBENEZER</t>
  </si>
  <si>
    <t xml:space="preserve">GEORGES SLEIMEN GHASAL</t>
  </si>
  <si>
    <t xml:space="preserve">HOTEL LAGO AZUL</t>
  </si>
  <si>
    <t xml:space="preserve">GEISE LIMA MARMENTINI</t>
  </si>
  <si>
    <t xml:space="preserve">MERCADO DO BAIRRO</t>
  </si>
  <si>
    <t xml:space="preserve">SIZENANDO PEREIRA LIMA FILHO</t>
  </si>
  <si>
    <t xml:space="preserve">MERCADO FEITOSA</t>
  </si>
  <si>
    <t xml:space="preserve">SILVIO BONFIM SCHIAVE</t>
  </si>
  <si>
    <t xml:space="preserve">MERCADO FORTALEZA</t>
  </si>
  <si>
    <t xml:space="preserve">WALDIR CABRERA</t>
  </si>
  <si>
    <t xml:space="preserve">ILAINE PYDD</t>
  </si>
  <si>
    <t xml:space="preserve">O LANCHAO</t>
  </si>
  <si>
    <t xml:space="preserve">C0NVENIENCIA DO LUIZ</t>
  </si>
  <si>
    <t xml:space="preserve">FABIANA DE LIMA ACOSTA</t>
  </si>
  <si>
    <t xml:space="preserve">KESIA ETIENNE LIMA DE REZENDE</t>
  </si>
  <si>
    <t xml:space="preserve">CLEIA ANDRADE</t>
  </si>
  <si>
    <t xml:space="preserve">FUNC-CLEIA ANDRADE</t>
  </si>
  <si>
    <t xml:space="preserve">ADRIANO MARCOS BIACIO</t>
  </si>
  <si>
    <t xml:space="preserve">NEUSA LELIS DA SILVA</t>
  </si>
  <si>
    <t xml:space="preserve">MERCADO SANTA CARMELIA</t>
  </si>
  <si>
    <t xml:space="preserve">LAUDEMIR CORREA DE SOUZA</t>
  </si>
  <si>
    <t xml:space="preserve">MERCEARIA LACABASA</t>
  </si>
  <si>
    <t xml:space="preserve">ADRIANE MOTTI ROSA BORGES PEREIRA</t>
  </si>
  <si>
    <t xml:space="preserve">MERCEARIA MOTTI</t>
  </si>
  <si>
    <t xml:space="preserve">WELIDA CANDIDA QUEIROZ - MS</t>
  </si>
  <si>
    <t xml:space="preserve">JOAO FARIA DA SILVA</t>
  </si>
  <si>
    <t xml:space="preserve">PANF A PREFERIDA</t>
  </si>
  <si>
    <t xml:space="preserve">ZENAIDE CONTE LAUSCHNER</t>
  </si>
  <si>
    <t xml:space="preserve">PANIFICADORA SILVA</t>
  </si>
  <si>
    <t xml:space="preserve">NEIDE FERNANDES DA SILVA</t>
  </si>
  <si>
    <t xml:space="preserve">SACOLAO NAVIRAI</t>
  </si>
  <si>
    <t xml:space="preserve">JEFFERSON MAURO FAUSTINO DOS REIS</t>
  </si>
  <si>
    <t xml:space="preserve">POUSADA GUARANY</t>
  </si>
  <si>
    <t xml:space="preserve">CLAUDEMIR LIMA</t>
  </si>
  <si>
    <t xml:space="preserve">L S CONVENIENCIA</t>
  </si>
  <si>
    <t xml:space="preserve">MARLI MARLENE DUNTEE</t>
  </si>
  <si>
    <t xml:space="preserve">CASA SANTA ANA</t>
  </si>
  <si>
    <t xml:space="preserve">MAURA PAULO</t>
  </si>
  <si>
    <t xml:space="preserve">KI FRUTA</t>
  </si>
  <si>
    <t xml:space="preserve">MARTA XAVIER DA SILVA FURST</t>
  </si>
  <si>
    <t xml:space="preserve">CASA DE CARNE EXCELENCIA</t>
  </si>
  <si>
    <t xml:space="preserve">GUSTAVO CORREA PEREIRA DA SILVA</t>
  </si>
  <si>
    <t xml:space="preserve">M S CANTINA</t>
  </si>
  <si>
    <t xml:space="preserve">ALEXANDRE PHILIPE MELO MOREIRA DE SOUZA </t>
  </si>
  <si>
    <t xml:space="preserve">CRISTIANE BENITEZ FRANCO</t>
  </si>
  <si>
    <t xml:space="preserve">MERCADO SAO JORGE</t>
  </si>
  <si>
    <t xml:space="preserve">JANDIR DOS SANTOS SILVA</t>
  </si>
  <si>
    <t xml:space="preserve">MERC JANDO</t>
  </si>
  <si>
    <t xml:space="preserve">WASHINGTON LUIZ SALES</t>
  </si>
  <si>
    <t xml:space="preserve">CINE ORIENTE</t>
  </si>
  <si>
    <t xml:space="preserve">MARIA DE JESUS DA AMARAL</t>
  </si>
  <si>
    <t xml:space="preserve">FRANCISCO GOMES DO NASCIMENTO</t>
  </si>
  <si>
    <t xml:space="preserve">VANDERLEI GALIANO DE SALES</t>
  </si>
  <si>
    <t xml:space="preserve">MERCEARIA 700</t>
  </si>
  <si>
    <t xml:space="preserve">MARIA A SOUZA BARBOSA</t>
  </si>
  <si>
    <t xml:space="preserve">EDSON MORENA</t>
  </si>
  <si>
    <t xml:space="preserve">ABILIO TEIXEIRA</t>
  </si>
  <si>
    <t xml:space="preserve">TRES PODERES</t>
  </si>
  <si>
    <t xml:space="preserve">ARGEU  LOPES DE SOUZA</t>
  </si>
  <si>
    <t xml:space="preserve">CONV E MERC DA VILA</t>
  </si>
  <si>
    <t xml:space="preserve">RUY ALVES DOS SANTOS</t>
  </si>
  <si>
    <t xml:space="preserve">GOMMA GOURMET</t>
  </si>
  <si>
    <t xml:space="preserve">JEFERSON GOMES MARTINS (COORD)</t>
  </si>
  <si>
    <t xml:space="preserve">SALSICHA</t>
  </si>
  <si>
    <t xml:space="preserve">ANTONIO MARCOS DOS SANTOS</t>
  </si>
  <si>
    <t xml:space="preserve">AGROPET PEREIRA</t>
  </si>
  <si>
    <t xml:space="preserve">ILZA MIRANDA DA SILVA</t>
  </si>
  <si>
    <t xml:space="preserve">BAR POPULAR</t>
  </si>
  <si>
    <t xml:space="preserve">GIOVANA APARECIDA TAMANHO</t>
  </si>
  <si>
    <t xml:space="preserve">MERCEARIA T M</t>
  </si>
  <si>
    <t xml:space="preserve">JORGE ANTONIO TAMANHO</t>
  </si>
  <si>
    <t xml:space="preserve">MERCADO TAMANHO</t>
  </si>
  <si>
    <t xml:space="preserve">EDMILSON DA SILVA</t>
  </si>
  <si>
    <t xml:space="preserve">REST SAO GABRIEL</t>
  </si>
  <si>
    <t xml:space="preserve">CARLOS BRENO CUTTIER</t>
  </si>
  <si>
    <t xml:space="preserve">GEORDANE DE PAULA MORAES</t>
  </si>
  <si>
    <t xml:space="preserve">MERCADO BRANDAO</t>
  </si>
  <si>
    <t xml:space="preserve">THANIA C HIGA DA SILVA</t>
  </si>
  <si>
    <t xml:space="preserve">CANTINA DA ESC CEPEF</t>
  </si>
  <si>
    <t xml:space="preserve">MARIA ISABEL FREITAS DA CRUZ</t>
  </si>
  <si>
    <t xml:space="preserve">A COMERCIAL</t>
  </si>
  <si>
    <t xml:space="preserve">OSMAR YAMASHITA</t>
  </si>
  <si>
    <t xml:space="preserve">YAMASHITA DIST BEBIDAS</t>
  </si>
  <si>
    <t xml:space="preserve">LEONARDA DA SILVA</t>
  </si>
  <si>
    <t xml:space="preserve">PANIFICADORA JP</t>
  </si>
  <si>
    <t xml:space="preserve">FRANCISCA DE JESUS</t>
  </si>
  <si>
    <t xml:space="preserve">FRUTARIA O FRUTAO</t>
  </si>
  <si>
    <t xml:space="preserve">SILVIA DULLIES</t>
  </si>
  <si>
    <t xml:space="preserve">CONVENIENCIA DULLIES</t>
  </si>
  <si>
    <t xml:space="preserve">ADEMIR DO NASCIMENTO</t>
  </si>
  <si>
    <t xml:space="preserve">PANF PAO E ARTE</t>
  </si>
  <si>
    <t xml:space="preserve">EVA MACHADO DE OLIVEIRA</t>
  </si>
  <si>
    <t xml:space="preserve">MERCEARIA DA EVA MACHADO</t>
  </si>
  <si>
    <t xml:space="preserve">JOSE CARLOS DIAS</t>
  </si>
  <si>
    <t xml:space="preserve">MARILENE CAVALHEIRO FERNANDES</t>
  </si>
  <si>
    <t xml:space="preserve">SM CANAA</t>
  </si>
  <si>
    <t xml:space="preserve">NILSON ALVES DE OLIVEIRA</t>
  </si>
  <si>
    <t xml:space="preserve">ARACI NOGUEIRA DA COSTA</t>
  </si>
  <si>
    <t xml:space="preserve">MERCEARIA PALADAR</t>
  </si>
  <si>
    <t xml:space="preserve">POSTO PARATI LTDA</t>
  </si>
  <si>
    <t xml:space="preserve">AUTO POSTO PARATI</t>
  </si>
  <si>
    <t xml:space="preserve">VALDIR DE JESUS DO BOMFIM</t>
  </si>
  <si>
    <t xml:space="preserve">MERCADO WHE</t>
  </si>
  <si>
    <t xml:space="preserve">EUNICIA QUINTINO ALVES</t>
  </si>
  <si>
    <t xml:space="preserve">PADARIA SANTISTA</t>
  </si>
  <si>
    <t xml:space="preserve">ANTONIO V. DICKEL</t>
  </si>
  <si>
    <t xml:space="preserve">JOSE EDUARDO RIBEIRO</t>
  </si>
  <si>
    <t xml:space="preserve">JOAO JAIR LAVANDA MARTINS</t>
  </si>
  <si>
    <t xml:space="preserve">TCHE BURGES</t>
  </si>
  <si>
    <t xml:space="preserve">CLAUDENICE MARIA SOUZA</t>
  </si>
  <si>
    <t xml:space="preserve">MERCADO DICA</t>
  </si>
  <si>
    <t xml:space="preserve">CINARA FETZNER IZOLAN</t>
  </si>
  <si>
    <t xml:space="preserve">RESTAURANTE PASSO FUNDO</t>
  </si>
  <si>
    <t xml:space="preserve">ELIETE APARECIDA BARATIERI</t>
  </si>
  <si>
    <t xml:space="preserve">CONV NSRA APARECIDA</t>
  </si>
  <si>
    <t xml:space="preserve">CLEDI MARIO HAAS ANTON</t>
  </si>
  <si>
    <t xml:space="preserve">PADARIA GAUCHA</t>
  </si>
  <si>
    <t xml:space="preserve">WALTER RODRIGUES OLIVEIRA ME</t>
  </si>
  <si>
    <t xml:space="preserve">CASA DE CARNE VACA GORDA</t>
  </si>
  <si>
    <t xml:space="preserve">AUREA ALVES DE LIMA BARBOSA</t>
  </si>
  <si>
    <t xml:space="preserve">FRUTARIA DOURADOS</t>
  </si>
  <si>
    <t xml:space="preserve">ZACARIAS FERNANDES DE OLIVEIRA</t>
  </si>
  <si>
    <t xml:space="preserve">PANIFICADORA MENINO JESUS</t>
  </si>
  <si>
    <t xml:space="preserve">CLEUSA DA SILVA BATISTA</t>
  </si>
  <si>
    <t xml:space="preserve">SONIA SOUZA MARTINS FREITAS</t>
  </si>
  <si>
    <t xml:space="preserve">LEA REGINA R VIEIRA</t>
  </si>
  <si>
    <t xml:space="preserve">FRUTARIA DO LEO</t>
  </si>
  <si>
    <t xml:space="preserve">LEONORA CRISTALDO FERREIRA</t>
  </si>
  <si>
    <t xml:space="preserve">BIG MERCEARIA</t>
  </si>
  <si>
    <t xml:space="preserve">SIDNEI RIBEIRO SILVA</t>
  </si>
  <si>
    <t xml:space="preserve">RCA-JOELMA DE DEUS ESPINOSA</t>
  </si>
  <si>
    <t xml:space="preserve">JOSEFA DOS SANTOS SILVA</t>
  </si>
  <si>
    <t xml:space="preserve">PANIF. PANDAL</t>
  </si>
  <si>
    <t xml:space="preserve">NILCE DE ASSIS BICUDO SILVEIRA</t>
  </si>
  <si>
    <t xml:space="preserve">REDE ATACADO NAVIRAI</t>
  </si>
  <si>
    <t xml:space="preserve">MERCADO DO CELSO</t>
  </si>
  <si>
    <t xml:space="preserve">BRAGA E PRATES LTDA</t>
  </si>
  <si>
    <t xml:space="preserve">MERCADO CRUZEIRO</t>
  </si>
  <si>
    <t xml:space="preserve">WILIAN TEIXEIRA</t>
  </si>
  <si>
    <t xml:space="preserve">BAR E LANC DO WILIAN</t>
  </si>
  <si>
    <t xml:space="preserve">EDILENE RAMONOSQUI</t>
  </si>
  <si>
    <t xml:space="preserve">MERCEARIA RAMUNOSQUE</t>
  </si>
  <si>
    <t xml:space="preserve">ARI DALLA ROSA</t>
  </si>
  <si>
    <t xml:space="preserve">MERCEARIA DALLA ROSA</t>
  </si>
  <si>
    <t xml:space="preserve">ROOSWELT ROMERO SAMPAIO</t>
  </si>
  <si>
    <t xml:space="preserve">BURACO DAS ARARAS</t>
  </si>
  <si>
    <t xml:space="preserve">CLEITON FRANCA AMORIN</t>
  </si>
  <si>
    <t xml:space="preserve">MARIA LINDALVA CORREIA</t>
  </si>
  <si>
    <t xml:space="preserve">FABIO BAIS BERTONI</t>
  </si>
  <si>
    <t xml:space="preserve">PELE VERMELHA</t>
  </si>
  <si>
    <t xml:space="preserve">JOSE CARLOS DOS SANTOS</t>
  </si>
  <si>
    <t xml:space="preserve">GENEZY PIMENTA DE OLIVEIRA DA SILVA</t>
  </si>
  <si>
    <t xml:space="preserve">LUCILENE FEREIRA DE MELO CARIA</t>
  </si>
  <si>
    <t xml:space="preserve">CANTINHO DO SUCO</t>
  </si>
  <si>
    <t xml:space="preserve">SEBASTIAO ALVES DOS SANTOS</t>
  </si>
  <si>
    <t xml:space="preserve">LUCIANA MARIANO DE ARUDA</t>
  </si>
  <si>
    <t xml:space="preserve">POSTO MARIANO</t>
  </si>
  <si>
    <t xml:space="preserve">AMARILDO DE OLIVEIRA</t>
  </si>
  <si>
    <t xml:space="preserve">REINALDO TERZETTI JUNIOR</t>
  </si>
  <si>
    <t xml:space="preserve">CANTINA PARAISO DAS AGUAS</t>
  </si>
  <si>
    <t xml:space="preserve">VALERIA FERREIRA DA SILVA</t>
  </si>
  <si>
    <t xml:space="preserve">ESPETINHO SAO LUIZ</t>
  </si>
  <si>
    <t xml:space="preserve">IRAIDES PEREIRA MATO</t>
  </si>
  <si>
    <t xml:space="preserve">CANTINA DA TIA</t>
  </si>
  <si>
    <t xml:space="preserve">DIRCE RUCASQUE PEREIRA</t>
  </si>
  <si>
    <t xml:space="preserve">MINI MERCADO UNIAO</t>
  </si>
  <si>
    <t xml:space="preserve">RCA-JOAQUIM JOAO DA SILVA NETO</t>
  </si>
  <si>
    <t xml:space="preserve">REP NETO 01</t>
  </si>
  <si>
    <t xml:space="preserve">KEYLA PACHECO F DA SILVA</t>
  </si>
  <si>
    <t xml:space="preserve">MERCADO EMANUEL</t>
  </si>
  <si>
    <t xml:space="preserve">MAURA TORRES ORTEGA DO PRADO</t>
  </si>
  <si>
    <t xml:space="preserve">WENDEL MELLO PIMENTA</t>
  </si>
  <si>
    <t xml:space="preserve">LANCHONETE FAROL</t>
  </si>
  <si>
    <t xml:space="preserve">SANDRO GONCALVES CARDOSO</t>
  </si>
  <si>
    <t xml:space="preserve">PANF PAO DA HORA</t>
  </si>
  <si>
    <t xml:space="preserve">ROSANE ADRIN TOZZO</t>
  </si>
  <si>
    <t xml:space="preserve">AUTO POSTO TOZZO</t>
  </si>
  <si>
    <t xml:space="preserve">ERONILDO BARBOSA DE MIRANDA</t>
  </si>
  <si>
    <t xml:space="preserve">CASA DE CARNE SERRA VILLE</t>
  </si>
  <si>
    <t xml:space="preserve">SELMA APARECIDA PEREIRA FRANCO</t>
  </si>
  <si>
    <t xml:space="preserve">ESPETO E CIA</t>
  </si>
  <si>
    <t xml:space="preserve">ELZA DE FREITAS MACHADO</t>
  </si>
  <si>
    <t xml:space="preserve">CANTINA DO FORUM</t>
  </si>
  <si>
    <t xml:space="preserve">CLEITON TOMIO MIASAKI</t>
  </si>
  <si>
    <t xml:space="preserve">FRUTARIA MAIZAJI</t>
  </si>
  <si>
    <t xml:space="preserve">CRISTINA APARECIDA MEDEIRO DE OLIVEIRA  </t>
  </si>
  <si>
    <t xml:space="preserve">IVANEIDE MARIA SILVA LIMA</t>
  </si>
  <si>
    <t xml:space="preserve">ODAIR DA SILVA ORTEGA</t>
  </si>
  <si>
    <t xml:space="preserve">W PAN</t>
  </si>
  <si>
    <t xml:space="preserve">MARTA DE LIMA PEREIRA LOPES</t>
  </si>
  <si>
    <t xml:space="preserve">MARCOS DE SOUZA</t>
  </si>
  <si>
    <t xml:space="preserve">MERCADO RANCHO</t>
  </si>
  <si>
    <t xml:space="preserve">MILTON FRANCO</t>
  </si>
  <si>
    <t xml:space="preserve">MERCFEARIA REAL</t>
  </si>
  <si>
    <t xml:space="preserve">CLAUDIA P PIMENTA VASCONCELOS</t>
  </si>
  <si>
    <t xml:space="preserve">ELSON ANTONIO DA SILVA</t>
  </si>
  <si>
    <t xml:space="preserve">LIGIA GARGIONI</t>
  </si>
  <si>
    <t xml:space="preserve">ELIMAR MACHADO DOS SANTOS</t>
  </si>
  <si>
    <t xml:space="preserve">MERCEARIA MACHADO RODOVIARIA</t>
  </si>
  <si>
    <t xml:space="preserve">ODIRCE PLATERO DE SOUZA</t>
  </si>
  <si>
    <t xml:space="preserve">SM PLATERO</t>
  </si>
  <si>
    <t xml:space="preserve">DENILSON PEREIRA DA SILVA</t>
  </si>
  <si>
    <t xml:space="preserve">CONVENIENCIA DO NENE</t>
  </si>
  <si>
    <t xml:space="preserve">ADILSON NUNES DA SILVA</t>
  </si>
  <si>
    <t xml:space="preserve">MINI MERC DOS ANJOS</t>
  </si>
  <si>
    <t xml:space="preserve">JOAO RAMAO RIBEIRO DE CAMPOS</t>
  </si>
  <si>
    <t xml:space="preserve">NIVALDO SOARES FERNANDES</t>
  </si>
  <si>
    <t xml:space="preserve">NIVALDO</t>
  </si>
  <si>
    <t xml:space="preserve">ABADIA PRUDENCIO NANTES</t>
  </si>
  <si>
    <t xml:space="preserve">MERCEARIA CAMPO ALEGRE</t>
  </si>
  <si>
    <t xml:space="preserve">L.S RUSTICA CONVENIENCIAS</t>
  </si>
  <si>
    <t xml:space="preserve">RCA-CLAYTON OLIVEIRA BITTENCOUT</t>
  </si>
  <si>
    <t xml:space="preserve">CLAUDINEY KRUKI DE MATOS</t>
  </si>
  <si>
    <t xml:space="preserve">WILSON TALHATELI</t>
  </si>
  <si>
    <t xml:space="preserve">MERCEARIA DO CABELO</t>
  </si>
  <si>
    <t xml:space="preserve">WERUSKA IVO VASCONCELOS DE OLIVEIRA</t>
  </si>
  <si>
    <t xml:space="preserve">CENTRO PENAL AGROINDUSTRIA DA GAMELEIRA </t>
  </si>
  <si>
    <t xml:space="preserve">ELIANE LINS CAETANO</t>
  </si>
  <si>
    <t xml:space="preserve">MERCEARIA ELIANE</t>
  </si>
  <si>
    <t xml:space="preserve">ARLEI MARTINS DA SILVA</t>
  </si>
  <si>
    <t xml:space="preserve">LANCHONETE E CONVENIENCIA</t>
  </si>
  <si>
    <t xml:space="preserve">SUELI BISPO DA SILVA</t>
  </si>
  <si>
    <t xml:space="preserve">SU ULTILIDADES</t>
  </si>
  <si>
    <t xml:space="preserve">FRANCISCA DAVI P DA SILVA</t>
  </si>
  <si>
    <t xml:space="preserve">GUTEMBERG SOUZA DE LIMA</t>
  </si>
  <si>
    <t xml:space="preserve">VALDINEI APOLONIO VIEIRA</t>
  </si>
  <si>
    <t xml:space="preserve">MERCEARIA COMPANIA</t>
  </si>
  <si>
    <t xml:space="preserve">PEDRO OLIVEIRA AMORIM</t>
  </si>
  <si>
    <t xml:space="preserve">MERCEARIA AMORIM</t>
  </si>
  <si>
    <t xml:space="preserve">SANDRA MARA LOPES OLIVEIRA</t>
  </si>
  <si>
    <t xml:space="preserve">ARCIRIA LUCENA DA SILVA</t>
  </si>
  <si>
    <t xml:space="preserve">ARIVONETE CAMARGO</t>
  </si>
  <si>
    <t xml:space="preserve">LANCHES BAR</t>
  </si>
  <si>
    <t xml:space="preserve">LUIS GONZAGA BATISTA</t>
  </si>
  <si>
    <t xml:space="preserve">DEPOSITO - FUNC</t>
  </si>
  <si>
    <t xml:space="preserve">MARIA EDINALVA FERREIRA</t>
  </si>
  <si>
    <t xml:space="preserve">JEREMIAS JOSE LIMA</t>
  </si>
  <si>
    <t xml:space="preserve">SUPERMERCADO LIMA</t>
  </si>
  <si>
    <t xml:space="preserve">LUCIANO M DA MOTTA ME</t>
  </si>
  <si>
    <t xml:space="preserve">MIGUEL SILVA</t>
  </si>
  <si>
    <t xml:space="preserve">PANIFICADORA GAVIOLI</t>
  </si>
  <si>
    <t xml:space="preserve">NERECI DA SILVA DARE MONTEIRO</t>
  </si>
  <si>
    <t xml:space="preserve">DOCE SABOR</t>
  </si>
  <si>
    <t xml:space="preserve">DENIR REICHEL DA VEIGA</t>
  </si>
  <si>
    <t xml:space="preserve">KAFA CONVENIENCIA</t>
  </si>
  <si>
    <t xml:space="preserve">AMARO DE SOUSA FILHO</t>
  </si>
  <si>
    <t xml:space="preserve">JOAO FRANCISCO ALVES NETO</t>
  </si>
  <si>
    <t xml:space="preserve">MERC ALVES</t>
  </si>
  <si>
    <t xml:space="preserve">RAIMUNDO PEREIRA DA SILVA</t>
  </si>
  <si>
    <t xml:space="preserve">MERCEARIA ACOUGUE E CONVENIENCIA ALIANCA</t>
  </si>
  <si>
    <t xml:space="preserve">PAULO RICARDO DE MATOS MAIA</t>
  </si>
  <si>
    <t xml:space="preserve">MERCADO PREFERIDO</t>
  </si>
  <si>
    <t xml:space="preserve">CARLOS ALBERTO RAMOS</t>
  </si>
  <si>
    <t xml:space="preserve">ARATAMA AEROPORTO</t>
  </si>
  <si>
    <t xml:space="preserve">MIGUEL ARCANJO SANTOS</t>
  </si>
  <si>
    <t xml:space="preserve">MERCADO DA HORA</t>
  </si>
  <si>
    <t xml:space="preserve">ELIZABETE ABRANTES OLIVEIRA</t>
  </si>
  <si>
    <t xml:space="preserve">CLECI TERESINHA SANTOS</t>
  </si>
  <si>
    <t xml:space="preserve">IDALVA MARIA SIMOES MENDONCA</t>
  </si>
  <si>
    <t xml:space="preserve">MERCEARIA TAQUARI</t>
  </si>
  <si>
    <t xml:space="preserve">JOSE MONTEIRO DA ROCHA</t>
  </si>
  <si>
    <t xml:space="preserve">CLAUDEMIR LEAL DA SILVA</t>
  </si>
  <si>
    <t xml:space="preserve">MERCADO LEAL</t>
  </si>
  <si>
    <t xml:space="preserve">ELIANICI GONCALVES GARCIA</t>
  </si>
  <si>
    <t xml:space="preserve">MERCADO MAIS BARATO</t>
  </si>
  <si>
    <t xml:space="preserve">CLAUDIO ROBERTO LOPES DA SILVA</t>
  </si>
  <si>
    <t xml:space="preserve">MERCADO C R</t>
  </si>
  <si>
    <t xml:space="preserve">LAURA CRISTINA R L</t>
  </si>
  <si>
    <t xml:space="preserve">NALASCO SORVERTES E DOCES</t>
  </si>
  <si>
    <t xml:space="preserve">JOSIAS FERREIRA DA SILVA</t>
  </si>
  <si>
    <t xml:space="preserve">MERCADO DA PENHA</t>
  </si>
  <si>
    <t xml:space="preserve">VANDERELI APOLONIO VIERA</t>
  </si>
  <si>
    <t xml:space="preserve">NOVO ACOG E CONV APOLONIO</t>
  </si>
  <si>
    <t xml:space="preserve">NEIDSON RODRIGUES PEREIRA</t>
  </si>
  <si>
    <t xml:space="preserve">MARIA APARECIDA DE MENEZES SANTOS</t>
  </si>
  <si>
    <t xml:space="preserve">MERC E ACOU TROPICAL</t>
  </si>
  <si>
    <t xml:space="preserve">VERA LUCIA DE MAGALHAES</t>
  </si>
  <si>
    <t xml:space="preserve">MALACO LANCHES</t>
  </si>
  <si>
    <t xml:space="preserve">DIVAL DE SOUZA</t>
  </si>
  <si>
    <t xml:space="preserve">MERCEARIA DL</t>
  </si>
  <si>
    <t xml:space="preserve">ALEXANDRA FELIX DA SILVA</t>
  </si>
  <si>
    <t xml:space="preserve">CONVENIENCIA FELIX</t>
  </si>
  <si>
    <t xml:space="preserve">DIRCE RIBEIRO DOS SANTOS PEREIRA</t>
  </si>
  <si>
    <t xml:space="preserve">MERCADO NOSSA CASA</t>
  </si>
  <si>
    <t xml:space="preserve">DANY VALENTIN RAMOS</t>
  </si>
  <si>
    <t xml:space="preserve">MERCEARIA RENASCER</t>
  </si>
  <si>
    <t xml:space="preserve">EDMAR DE SOUZA FREITAS</t>
  </si>
  <si>
    <t xml:space="preserve">MANSO LANCHES</t>
  </si>
  <si>
    <t xml:space="preserve">VALDECI DA SILVA QUEIROZ</t>
  </si>
  <si>
    <t xml:space="preserve">MERCEARIA SAO LUCAS</t>
  </si>
  <si>
    <t xml:space="preserve">PEDRO DA ROCHA SANTOS</t>
  </si>
  <si>
    <t xml:space="preserve">BAR E CNVENIENCIA BOM PRECO</t>
  </si>
  <si>
    <t xml:space="preserve">VAMIRA LIMA NUNES</t>
  </si>
  <si>
    <t xml:space="preserve">MERCEARIA CHAVES</t>
  </si>
  <si>
    <t xml:space="preserve">ARODIR PAULO GARCIA</t>
  </si>
  <si>
    <t xml:space="preserve">MERCEARIA PAGUE MENOS</t>
  </si>
  <si>
    <t xml:space="preserve">MIGUEL CARLOS DA SILVA</t>
  </si>
  <si>
    <t xml:space="preserve">ORICO ALVES DOS SANTOS</t>
  </si>
  <si>
    <t xml:space="preserve">PONTO FINAL</t>
  </si>
  <si>
    <t xml:space="preserve">DELY CAMARGO CASTRO</t>
  </si>
  <si>
    <t xml:space="preserve">PANIF SANTA EMILIO</t>
  </si>
  <si>
    <t xml:space="preserve">ALESSANDRA PEREZ DE SOUZA</t>
  </si>
  <si>
    <t xml:space="preserve">MARCO ANTONIO COSTA RODRIGUES</t>
  </si>
  <si>
    <t xml:space="preserve">COMERCIAL ANA E LITA</t>
  </si>
  <si>
    <t xml:space="preserve">CRISTIANE ROCHA DO AMARANTE</t>
  </si>
  <si>
    <t xml:space="preserve">TATO LANCHES</t>
  </si>
  <si>
    <t xml:space="preserve">MARIA DE FATIMA CAIRES FERREIRA</t>
  </si>
  <si>
    <t xml:space="preserve">MERCEARIA PARAISO</t>
  </si>
  <si>
    <t xml:space="preserve">LUCIANA ALVES DA COSTA</t>
  </si>
  <si>
    <t xml:space="preserve">MARCOS TORRES ORTEGA</t>
  </si>
  <si>
    <t xml:space="preserve">TORRES CONVENIENCIA</t>
  </si>
  <si>
    <t xml:space="preserve">WILSON GOMES ALVES DE LIMA</t>
  </si>
  <si>
    <t xml:space="preserve">CONVENIENCIA CARIOCA</t>
  </si>
  <si>
    <t xml:space="preserve">RENATO BEZERRA RICHA</t>
  </si>
  <si>
    <t xml:space="preserve">MARIA DA SILVA</t>
  </si>
  <si>
    <t xml:space="preserve">BAR LANCH SILVA</t>
  </si>
  <si>
    <t xml:space="preserve">ROSA MARIA NUNES DE SOUZA</t>
  </si>
  <si>
    <t xml:space="preserve">MERCADO STA BARBARA</t>
  </si>
  <si>
    <t xml:space="preserve">MERCEARIA MELLO</t>
  </si>
  <si>
    <t xml:space="preserve">MILZA PEREIRA LEITE</t>
  </si>
  <si>
    <t xml:space="preserve">REST LANCH CHIP ROCHODE</t>
  </si>
  <si>
    <t xml:space="preserve">CHIPA ROCHODE</t>
  </si>
  <si>
    <t xml:space="preserve">FLORENCIA CORDEIRO ARRUDA</t>
  </si>
  <si>
    <t xml:space="preserve">LANCHONETE BAHAMAS</t>
  </si>
  <si>
    <t xml:space="preserve">ZUMIRA CLAUDINO ITALIANO</t>
  </si>
  <si>
    <t xml:space="preserve">LANCH ITALIANO</t>
  </si>
  <si>
    <t xml:space="preserve">MARCELO GOMES CORREA</t>
  </si>
  <si>
    <t xml:space="preserve">SM KM</t>
  </si>
  <si>
    <t xml:space="preserve">JEAN CARLOS LIMA ABUQUERQUE</t>
  </si>
  <si>
    <t xml:space="preserve">REINALDO MARQUES DO RODARIO</t>
  </si>
  <si>
    <t xml:space="preserve">MERCEARIA DOURADOS</t>
  </si>
  <si>
    <t xml:space="preserve">MARIZA TEREZA MARTINS</t>
  </si>
  <si>
    <t xml:space="preserve">JOSEFA VICENTE LOURE€O</t>
  </si>
  <si>
    <t xml:space="preserve">MERCADO CAROLINA</t>
  </si>
  <si>
    <t xml:space="preserve">CICERA MARIA DA SILVA</t>
  </si>
  <si>
    <t xml:space="preserve">MARIA GONCALVES FERREIRA</t>
  </si>
  <si>
    <t xml:space="preserve">ROBERTO CARLOS DA SILVA SOBRINHO</t>
  </si>
  <si>
    <t xml:space="preserve">MERCEARIA SOBRINHO</t>
  </si>
  <si>
    <t xml:space="preserve">MARIA TERESA S PIETRAMALE</t>
  </si>
  <si>
    <t xml:space="preserve">ADRIANO ANTONIO DE OLIVEIRA CARNEIRO</t>
  </si>
  <si>
    <t xml:space="preserve">JOAO APARECIDO SILVA</t>
  </si>
  <si>
    <t xml:space="preserve">CONVENIENCIA J S</t>
  </si>
  <si>
    <t xml:space="preserve">DINOVAN PAULA DE OLIVEIRA</t>
  </si>
  <si>
    <t xml:space="preserve">DINO'S ALIMENTOS</t>
  </si>
  <si>
    <t xml:space="preserve">GISLAINE DE CASSIA RAMOS</t>
  </si>
  <si>
    <t xml:space="preserve">MERCEARIA BUZIOS</t>
  </si>
  <si>
    <t xml:space="preserve">ROSE ENAR PEIXOTO BATISTA</t>
  </si>
  <si>
    <t xml:space="preserve">CANTINA 8 (UFMS) CAMPUS</t>
  </si>
  <si>
    <t xml:space="preserve">JOSE BARBOSA GRANJA</t>
  </si>
  <si>
    <t xml:space="preserve">BAR E MERCEARIA DO TOQUINHO</t>
  </si>
  <si>
    <t xml:space="preserve">JOSE DE LEAO DE SENA</t>
  </si>
  <si>
    <t xml:space="preserve">MARCOS ANTONIO SABIONI</t>
  </si>
  <si>
    <t xml:space="preserve">MARISTELA COMIN DE ANDRADE</t>
  </si>
  <si>
    <t xml:space="preserve">LUCIANO MOREIRA BREY</t>
  </si>
  <si>
    <t xml:space="preserve">SALTENHARIA COPO CHEIO</t>
  </si>
  <si>
    <t xml:space="preserve">FRANCISCO CEZAR VELOSCO</t>
  </si>
  <si>
    <t xml:space="preserve">MERCADO GABI</t>
  </si>
  <si>
    <t xml:space="preserve">JOANA DARK FILLPPI</t>
  </si>
  <si>
    <t xml:space="preserve">MERCADO FILLIPPI</t>
  </si>
  <si>
    <t xml:space="preserve">DELMAR SERGIO HENRIQUE FERREIRA</t>
  </si>
  <si>
    <t xml:space="preserve">REST TIO BRANCO</t>
  </si>
  <si>
    <t xml:space="preserve">REJANE RAUBER</t>
  </si>
  <si>
    <t xml:space="preserve">DA HORTA</t>
  </si>
  <si>
    <t xml:space="preserve">ELIANE DA MOTA PEREIRA</t>
  </si>
  <si>
    <t xml:space="preserve">ALEX ARAUJO MEIADO</t>
  </si>
  <si>
    <t xml:space="preserve">PAD PINHEIRO</t>
  </si>
  <si>
    <t xml:space="preserve">SILMARA ROSA RIBEIRO</t>
  </si>
  <si>
    <t xml:space="preserve">THEREZA DALAGO DE OLIVEIRA</t>
  </si>
  <si>
    <t xml:space="preserve">MERCEARIA REQUENA</t>
  </si>
  <si>
    <t xml:space="preserve">ANTONIO COSTA BARBUENO</t>
  </si>
  <si>
    <t xml:space="preserve">MERCADO BIG LAR</t>
  </si>
  <si>
    <t xml:space="preserve">JORGE VICENTE DE LIMA</t>
  </si>
  <si>
    <t xml:space="preserve">MERCEARIA J B</t>
  </si>
  <si>
    <t xml:space="preserve">RENATO SILVA GARCIA</t>
  </si>
  <si>
    <t xml:space="preserve">BANCA A MAIS</t>
  </si>
  <si>
    <t xml:space="preserve">ADMILSON DOS SANTOS FORINDA</t>
  </si>
  <si>
    <t xml:space="preserve">PANIFICADORA KRIATIVA</t>
  </si>
  <si>
    <t xml:space="preserve">DENIS GOMES PEREIRA</t>
  </si>
  <si>
    <t xml:space="preserve">ROSANGELA DOS SANTOS MENDES</t>
  </si>
  <si>
    <t xml:space="preserve">MERCEARIA INDEPENDECE</t>
  </si>
  <si>
    <t xml:space="preserve">JAIR  LUIZ SUZIN</t>
  </si>
  <si>
    <t xml:space="preserve">REST GUAIRA</t>
  </si>
  <si>
    <t xml:space="preserve">SONIA MARIA CORREA ANDRADE</t>
  </si>
  <si>
    <t xml:space="preserve">APARECIDO DAMAZIO DOS SANTOS</t>
  </si>
  <si>
    <t xml:space="preserve">SUPERMERCADO IMPERIO</t>
  </si>
  <si>
    <t xml:space="preserve">MARLENE MESSIAS DA SILVA</t>
  </si>
  <si>
    <t xml:space="preserve">EVERSON DE CASTRO PEREIRA</t>
  </si>
  <si>
    <t xml:space="preserve">MOTORISTA</t>
  </si>
  <si>
    <t xml:space="preserve">ELI GOMES SILVA</t>
  </si>
  <si>
    <t xml:space="preserve">PANIFICADORA SUPREMA</t>
  </si>
  <si>
    <t xml:space="preserve">NARELI DOSSANTOS RIBEIRO</t>
  </si>
  <si>
    <t xml:space="preserve">RACAO KAUE</t>
  </si>
  <si>
    <t xml:space="preserve">MARCILEIA FERREIRA DOS SANTOS</t>
  </si>
  <si>
    <t xml:space="preserve">MERCADO PONTO FORTE</t>
  </si>
  <si>
    <t xml:space="preserve">WILSON VILHALBA</t>
  </si>
  <si>
    <t xml:space="preserve">WILSON LANCHES</t>
  </si>
  <si>
    <t xml:space="preserve">GENICIO LEMES DA FONSECA</t>
  </si>
  <si>
    <t xml:space="preserve">MERCEARIA NOVA DOURADA</t>
  </si>
  <si>
    <t xml:space="preserve">SANDRA CRISTINA BALBUNO</t>
  </si>
  <si>
    <t xml:space="preserve">MERCADINHO BALBUGNO</t>
  </si>
  <si>
    <t xml:space="preserve">MARCIO SERGIO PIRES</t>
  </si>
  <si>
    <t xml:space="preserve">JOEL CARLOS VALCANDIA FERREIRA</t>
  </si>
  <si>
    <t xml:space="preserve">JOEL CANDIA</t>
  </si>
  <si>
    <t xml:space="preserve">ROSENI DOS SANTOS CAVALTI</t>
  </si>
  <si>
    <t xml:space="preserve">CONV ROSENI</t>
  </si>
  <si>
    <t xml:space="preserve">LAERCIO ROSA</t>
  </si>
  <si>
    <t xml:space="preserve">FORATT DISTBUIDORA</t>
  </si>
  <si>
    <t xml:space="preserve">RCA-CLAUDIO SERGIO RODRIGUES DE ARAUJO  </t>
  </si>
  <si>
    <t xml:space="preserve">RCA - CLAUDIO</t>
  </si>
  <si>
    <t xml:space="preserve">ADRIANA DO CARMO DE OLIVEIRA</t>
  </si>
  <si>
    <t xml:space="preserve">SOFIA HELENA BRANDAO</t>
  </si>
  <si>
    <t xml:space="preserve">OSVALDO SERGIO CARDOSO</t>
  </si>
  <si>
    <t xml:space="preserve">SANTA CLARA CONVENIENCIAS</t>
  </si>
  <si>
    <t xml:space="preserve">MARIA DELIA S.BATISTA</t>
  </si>
  <si>
    <t xml:space="preserve">MARCIA PEREIRA DOS SANTOS</t>
  </si>
  <si>
    <t xml:space="preserve">MERCADO DIA A DIA</t>
  </si>
  <si>
    <t xml:space="preserve">NOEMIA VIEIRA RIBEIRO</t>
  </si>
  <si>
    <t xml:space="preserve">MERCEARIA RAPIDO</t>
  </si>
  <si>
    <t xml:space="preserve">EDITE S. VIGANO</t>
  </si>
  <si>
    <t xml:space="preserve">CELIO ROBERTO DIAS DA SILVA</t>
  </si>
  <si>
    <t xml:space="preserve">MERCEARIA DO CELIO</t>
  </si>
  <si>
    <t xml:space="preserve">MARCELO IMACIO DE CAMPOS</t>
  </si>
  <si>
    <t xml:space="preserve">JOILSON DIAS DE FIGUEIREDO</t>
  </si>
  <si>
    <t xml:space="preserve">JJ CONVENIENCIAS</t>
  </si>
  <si>
    <t xml:space="preserve">CLAUDIO DE OLIVEIRA MATOS</t>
  </si>
  <si>
    <t xml:space="preserve">IRENEU SANTANA JACOMO</t>
  </si>
  <si>
    <t xml:space="preserve">JOSE LUIZ DE SOUZA</t>
  </si>
  <si>
    <t xml:space="preserve">FRANGO LANCHES</t>
  </si>
  <si>
    <t xml:space="preserve">BRASILIANO MENDES RIBEIRO</t>
  </si>
  <si>
    <t xml:space="preserve">PANIFICADORA PAO DE MAIS</t>
  </si>
  <si>
    <t xml:space="preserve">JAKSON ANTONIO DA CUNHA</t>
  </si>
  <si>
    <t xml:space="preserve">MERCEARIA J.S</t>
  </si>
  <si>
    <t xml:space="preserve">APARECIO DIAS DE CAMPOS</t>
  </si>
  <si>
    <t xml:space="preserve">PAD VILA NOVA</t>
  </si>
  <si>
    <t xml:space="preserve">ZILMA ZANDONI DE OLIVEIRA</t>
  </si>
  <si>
    <t xml:space="preserve">PANIFICADORA E CONVENIENCIA ZANDONI</t>
  </si>
  <si>
    <t xml:space="preserve">VILM  AGASSMANN</t>
  </si>
  <si>
    <t xml:space="preserve">VALDEIR RODRIGUES DE OLIVEIRA</t>
  </si>
  <si>
    <t xml:space="preserve">MERCADINHO SAO JOSE</t>
  </si>
  <si>
    <t xml:space="preserve">BAHAMAS PANIFICADORA LTDA</t>
  </si>
  <si>
    <t xml:space="preserve">PANIF BAHANAS</t>
  </si>
  <si>
    <t xml:space="preserve">FLAVIO CESAR PAES</t>
  </si>
  <si>
    <t xml:space="preserve">MERCEARIA ARRUEIRAS</t>
  </si>
  <si>
    <t xml:space="preserve">JAIR DA SILVA</t>
  </si>
  <si>
    <t xml:space="preserve">MERCEARIA JAIR</t>
  </si>
  <si>
    <t xml:space="preserve">PAULO RODRIGUES DA CRUZ</t>
  </si>
  <si>
    <t xml:space="preserve">MERCADO P.F</t>
  </si>
  <si>
    <t xml:space="preserve">MIGUEL CASTILHO</t>
  </si>
  <si>
    <t xml:space="preserve">LAVEX AUTOCAR</t>
  </si>
  <si>
    <t xml:space="preserve">ANDREA SCOLARI</t>
  </si>
  <si>
    <t xml:space="preserve">SORVETERIA ITALIANO</t>
  </si>
  <si>
    <t xml:space="preserve">MIV S COMERCIO ALIMENTOS LTDA</t>
  </si>
  <si>
    <t xml:space="preserve">FRANCISCO COSMOS</t>
  </si>
  <si>
    <t xml:space="preserve">BAR DO CHICO</t>
  </si>
  <si>
    <t xml:space="preserve">IVONETE DA SILVA COELHO MELO</t>
  </si>
  <si>
    <t xml:space="preserve">MERCEARIA MELO</t>
  </si>
  <si>
    <t xml:space="preserve">JOCELAINE ZAGO DALMOLIM</t>
  </si>
  <si>
    <t xml:space="preserve">SOVERTERIA FIK FRIO</t>
  </si>
  <si>
    <t xml:space="preserve">NOELI DALMOLM CEOLIM</t>
  </si>
  <si>
    <t xml:space="preserve">LANC E PIZZARIA TREVISO</t>
  </si>
  <si>
    <t xml:space="preserve">MARIA AUXILIADORA SIMPLICIO MAIRINS</t>
  </si>
  <si>
    <t xml:space="preserve">MERC AVENIDA</t>
  </si>
  <si>
    <t xml:space="preserve">EDELMA DOS G PEREIRA DA SILVA</t>
  </si>
  <si>
    <t xml:space="preserve">JOSE GERMANO DA SILVA FILHO</t>
  </si>
  <si>
    <t xml:space="preserve">FEIRINHA DO PQ.ALVORADA</t>
  </si>
  <si>
    <t xml:space="preserve">GEREMIAS DE SOUZA BUENO</t>
  </si>
  <si>
    <t xml:space="preserve">LANCHES BUENO</t>
  </si>
  <si>
    <t xml:space="preserve">GHASSAN SAIFEDDINE</t>
  </si>
  <si>
    <t xml:space="preserve">LOJA AMERICANA</t>
  </si>
  <si>
    <t xml:space="preserve">FERNANDO DE AZEVEDO</t>
  </si>
  <si>
    <t xml:space="preserve">MERCADO NUNER,</t>
  </si>
  <si>
    <t xml:space="preserve">DANIEL OTACILIO FERREIRA</t>
  </si>
  <si>
    <t xml:space="preserve">RAFAEL GOMES</t>
  </si>
  <si>
    <t xml:space="preserve">JULIO CEZAR SALINA BENITES</t>
  </si>
  <si>
    <t xml:space="preserve">ACOUGUE E CONV WORSHIPPER</t>
  </si>
  <si>
    <t xml:space="preserve">JEFFERSON JACQUES CAMPOS</t>
  </si>
  <si>
    <t xml:space="preserve">CONVENIENCIA JF</t>
  </si>
  <si>
    <t xml:space="preserve">SEBASTIAO DOS REIS FRAGA</t>
  </si>
  <si>
    <t xml:space="preserve">CONVENIENCIA BELA VISTA</t>
  </si>
  <si>
    <t xml:space="preserve">JOSE JUIZ GREZFFE</t>
  </si>
  <si>
    <t xml:space="preserve">MERCADO GREZFFE</t>
  </si>
  <si>
    <t xml:space="preserve">MARCIO MOREIRA AFONSO</t>
  </si>
  <si>
    <t xml:space="preserve">CHUR MOREIRA</t>
  </si>
  <si>
    <t xml:space="preserve">RONEY GAMARRA</t>
  </si>
  <si>
    <t xml:space="preserve">ANA ESTACIA FERREIRA DA SILVA</t>
  </si>
  <si>
    <t xml:space="preserve">PANIF KANV</t>
  </si>
  <si>
    <t xml:space="preserve">SANDRO APARECIDO RODRIGUES</t>
  </si>
  <si>
    <t xml:space="preserve">L J A ALVES TRANSPORTE LTDA ME</t>
  </si>
  <si>
    <t xml:space="preserve">MUDANCAS J ALVES</t>
  </si>
  <si>
    <t xml:space="preserve">RENATA ALVES DOS SANTOS</t>
  </si>
  <si>
    <t xml:space="preserve">CANTINA DA UNIDERP</t>
  </si>
  <si>
    <t xml:space="preserve">NEUZA DO NASCIMENTO ESCOBAR</t>
  </si>
  <si>
    <t xml:space="preserve">ANTONIO DA COSTA EGIDIO</t>
  </si>
  <si>
    <t xml:space="preserve">EGIPICIOS MINIBOX E SUCOS</t>
  </si>
  <si>
    <t xml:space="preserve">MARIA DE LOURDES  LIMEIRA GERMANO</t>
  </si>
  <si>
    <t xml:space="preserve">MERC NSRA PERPETUO SOCORRO</t>
  </si>
  <si>
    <t xml:space="preserve">NOELI DE ALMEIDA PACHE</t>
  </si>
  <si>
    <t xml:space="preserve">ROBERTO SALLES THOMANN</t>
  </si>
  <si>
    <t xml:space="preserve">RM CARNES E CONV</t>
  </si>
  <si>
    <t xml:space="preserve">LINDA GEBRAN AYACHE</t>
  </si>
  <si>
    <t xml:space="preserve">AFONSO HENRIQUE JARA VIEIRA</t>
  </si>
  <si>
    <t xml:space="preserve">POSTO IPIRANGA</t>
  </si>
  <si>
    <t xml:space="preserve">ELCIO LOPES DA SILVA</t>
  </si>
  <si>
    <t xml:space="preserve">CASA DE CARNE E MERC AVENIDA</t>
  </si>
  <si>
    <t xml:space="preserve">CECILIO DE SOUZA PINTO JUNIOR</t>
  </si>
  <si>
    <t xml:space="preserve">FUNCIONARIO TRIUNFANTE</t>
  </si>
  <si>
    <t xml:space="preserve">MESIAS NUNES DA SILVA</t>
  </si>
  <si>
    <t xml:space="preserve">PANIF VR</t>
  </si>
  <si>
    <t xml:space="preserve">MIRIAN MARIA TEREZITA MARTINES CANDIDA  </t>
  </si>
  <si>
    <t xml:space="preserve">10§ RC MEC</t>
  </si>
  <si>
    <t xml:space="preserve">CLEISON QUINTILIANO MATOSO</t>
  </si>
  <si>
    <t xml:space="preserve">MERCEARIA PAGANI</t>
  </si>
  <si>
    <t xml:space="preserve">ANDERSON AMERICO DE LEMOS</t>
  </si>
  <si>
    <t xml:space="preserve">MAADAI RAFAEL DREHER</t>
  </si>
  <si>
    <t xml:space="preserve">DANILO RIBEIRO PORTUGAL</t>
  </si>
  <si>
    <t xml:space="preserve">PIRES DE CAFE (CLI CPO GRDE)</t>
  </si>
  <si>
    <t xml:space="preserve">FRANCISCO EVANGELISTA DA PENHA</t>
  </si>
  <si>
    <t xml:space="preserve">MERCADINHO MANDACARU</t>
  </si>
  <si>
    <t xml:space="preserve">FABIO LUCIO DONATTO DOS SANTOS</t>
  </si>
  <si>
    <t xml:space="preserve">DANIELA DORSA</t>
  </si>
  <si>
    <t xml:space="preserve">ANTONIO CARLOS LEITE JUNIOR</t>
  </si>
  <si>
    <t xml:space="preserve">PANIF SAN DIEGO</t>
  </si>
  <si>
    <t xml:space="preserve">MOACIR MONTEIRO MORAIS</t>
  </si>
  <si>
    <t xml:space="preserve">MERCEARIA CENTER</t>
  </si>
  <si>
    <t xml:space="preserve">SIDNEY FRANCO INSAURALDEZ</t>
  </si>
  <si>
    <t xml:space="preserve">JOSE ALEXANDER DE ARAUJO PEREIRA</t>
  </si>
  <si>
    <t xml:space="preserve">MERCEARIA J.A</t>
  </si>
  <si>
    <t xml:space="preserve">MARCELO LOPES HIPOTA</t>
  </si>
  <si>
    <t xml:space="preserve">MERCADO HIPOTA</t>
  </si>
  <si>
    <t xml:space="preserve">GEIRCE PURA FERREIRA DE COSTA</t>
  </si>
  <si>
    <t xml:space="preserve">MERC LUIS PALMEIRENSE</t>
  </si>
  <si>
    <t xml:space="preserve">MARCO ANTONIO VANDERLEIS</t>
  </si>
  <si>
    <t xml:space="preserve">CONV E CASA DE CARNE MARQUINHO</t>
  </si>
  <si>
    <t xml:space="preserve">MARCIA MACHADO DE SOUZA</t>
  </si>
  <si>
    <t xml:space="preserve">CONVENIENCIA MACHADO</t>
  </si>
  <si>
    <t xml:space="preserve">LAURILENE MOIA PADOVANI DE OLIVEIRA</t>
  </si>
  <si>
    <t xml:space="preserve">MARILEIDE DE ALMEIDA</t>
  </si>
  <si>
    <t xml:space="preserve">PADARIA OLIVEIRA</t>
  </si>
  <si>
    <t xml:space="preserve">ROSELI SILVA DE ALMEIDA</t>
  </si>
  <si>
    <t xml:space="preserve">MARCELO TRINDADE</t>
  </si>
  <si>
    <t xml:space="preserve">TOVAR AUGUSTO CONSTANTINO</t>
  </si>
  <si>
    <t xml:space="preserve">LANCHONETE TATY</t>
  </si>
  <si>
    <t xml:space="preserve">FABR¡CIA NUNES LEONEL</t>
  </si>
  <si>
    <t xml:space="preserve">SERVE J </t>
  </si>
  <si>
    <t xml:space="preserve">FABIO JOAQUIM DOS SANTOS</t>
  </si>
  <si>
    <t xml:space="preserve">MERC EBENEZER</t>
  </si>
  <si>
    <t xml:space="preserve">GLAUCIA APARECIDA TRAZZI</t>
  </si>
  <si>
    <t xml:space="preserve">LA TORRONE COMERCIO DE MASSAS LTDA</t>
  </si>
  <si>
    <t xml:space="preserve">SM LA TORRONE</t>
  </si>
  <si>
    <t xml:space="preserve">TANIA FIDALGO CORREA</t>
  </si>
  <si>
    <t xml:space="preserve">TRIGO DE OURO PANIF E CONV LTD</t>
  </si>
  <si>
    <t xml:space="preserve">JEFERSON OLIVEIRA JOAO</t>
  </si>
  <si>
    <t xml:space="preserve">MERCADO VERGA</t>
  </si>
  <si>
    <t xml:space="preserve">ILDA FERREIRA SANTOS</t>
  </si>
  <si>
    <t xml:space="preserve">MINI MERCADO PONTO CERTO</t>
  </si>
  <si>
    <t xml:space="preserve">GLADY STELLA GARCIA DE ANDRADE</t>
  </si>
  <si>
    <t xml:space="preserve">ESTEFANIA MAGNA MOKI KUBLIL</t>
  </si>
  <si>
    <t xml:space="preserve">LAURA MARCIA MACHADO DA SILVA</t>
  </si>
  <si>
    <t xml:space="preserve">EVANDRO APOLONIO GONCALVES DE AMARANTE  </t>
  </si>
  <si>
    <t xml:space="preserve">MERCADO BRUMENAL</t>
  </si>
  <si>
    <t xml:space="preserve">CLEITON FREITAS MARTINS</t>
  </si>
  <si>
    <t xml:space="preserve">ANDRE LUIS CORREIA</t>
  </si>
  <si>
    <t xml:space="preserve">MAI CAFE</t>
  </si>
  <si>
    <t xml:space="preserve">KAREM POZZI</t>
  </si>
  <si>
    <t xml:space="preserve">MERCEARIA CAMPLAST</t>
  </si>
  <si>
    <t xml:space="preserve">REINALDINA MENEZES</t>
  </si>
  <si>
    <t xml:space="preserve">SM MENEZES</t>
  </si>
  <si>
    <t xml:space="preserve">VALDENICE GOMES DA SILVA</t>
  </si>
  <si>
    <t xml:space="preserve">MERCEARIA MARIA JOAO</t>
  </si>
  <si>
    <t xml:space="preserve">ENIS PEREIRA DE JESUS</t>
  </si>
  <si>
    <t xml:space="preserve">MINI MERCADO MARIFRAN</t>
  </si>
  <si>
    <t xml:space="preserve">EDUARDO FERREIRA D VERA CRUZ</t>
  </si>
  <si>
    <t xml:space="preserve">MERCEARIA ANA LU</t>
  </si>
  <si>
    <t xml:space="preserve">LUCIANA APARECIDA DA SILVA</t>
  </si>
  <si>
    <t xml:space="preserve">CAFE COLONIAL</t>
  </si>
  <si>
    <t xml:space="preserve">WHELLEY RODRIGUES DO AMARAL</t>
  </si>
  <si>
    <t xml:space="preserve">JEOVA DE SOUZA OLIVEIRA</t>
  </si>
  <si>
    <t xml:space="preserve">MERCADO JEOVA</t>
  </si>
  <si>
    <t xml:space="preserve">MARCOS MIGUEL DA SILVA</t>
  </si>
  <si>
    <t xml:space="preserve">IVON CARLOS CASAGRANDA</t>
  </si>
  <si>
    <t xml:space="preserve">FRANCISCA JANUARIA DE OLIVEIRA</t>
  </si>
  <si>
    <t xml:space="preserve">PADARIA UNIVERSAL</t>
  </si>
  <si>
    <t xml:space="preserve">AGDA PENZO VERA</t>
  </si>
  <si>
    <t xml:space="preserve">CANTINA DO PROSA</t>
  </si>
  <si>
    <t xml:space="preserve">ALESSANDRA  LOPES DA S OLIVEIRA</t>
  </si>
  <si>
    <t xml:space="preserve">DIOMAR APARECIDO DE SOUZA</t>
  </si>
  <si>
    <t xml:space="preserve">MERCEARIA CAIOBA</t>
  </si>
  <si>
    <t xml:space="preserve">JOELMA LEAL DA SILVA</t>
  </si>
  <si>
    <t xml:space="preserve">COMERCIAL PALADAR</t>
  </si>
  <si>
    <t xml:space="preserve">RCA-EVERSON VIANA DE CAMPOS REP 116</t>
  </si>
  <si>
    <t xml:space="preserve">RCA EVERSON VIANA DE CAMPOS</t>
  </si>
  <si>
    <t xml:space="preserve">VICTOR ARECO DA SILVA</t>
  </si>
  <si>
    <t xml:space="preserve">PANIF PAO DA VIDA</t>
  </si>
  <si>
    <t xml:space="preserve">ANTONIA ELIZANGELA MOREL AQUINO</t>
  </si>
  <si>
    <t xml:space="preserve">WAGNER DA SILVA MACIEL</t>
  </si>
  <si>
    <t xml:space="preserve">MARA DE AZEVEDO MOREIRA</t>
  </si>
  <si>
    <t xml:space="preserve">NELLIUS CONV</t>
  </si>
  <si>
    <t xml:space="preserve">LEANDRO NUNES DE OLIVEIRA</t>
  </si>
  <si>
    <t xml:space="preserve">REZENDE I</t>
  </si>
  <si>
    <t xml:space="preserve">MARIA EDNA DOS SANTOS</t>
  </si>
  <si>
    <t xml:space="preserve">MERCEARIA DA EDNA</t>
  </si>
  <si>
    <t xml:space="preserve">STENIO MOREIRA DOS REIS</t>
  </si>
  <si>
    <t xml:space="preserve">MERCADO E ACOUGUE TAVARES</t>
  </si>
  <si>
    <t xml:space="preserve">GENILSON FERREIRA COUTINHO</t>
  </si>
  <si>
    <t xml:space="preserve">CABANA CONVENIENCIA</t>
  </si>
  <si>
    <t xml:space="preserve">MARIA NARCISA DE SOUZA</t>
  </si>
  <si>
    <t xml:space="preserve">HOTEL E REST CAMPO GRANDE</t>
  </si>
  <si>
    <t xml:space="preserve">MICHELE GUERRA</t>
  </si>
  <si>
    <t xml:space="preserve">MERCEARIA E CONVENIENCIA NOSSO BUTECO</t>
  </si>
  <si>
    <t xml:space="preserve">ELAINE SIMONE CARNEIRO OZORIO</t>
  </si>
  <si>
    <t xml:space="preserve">PANIF J M</t>
  </si>
  <si>
    <t xml:space="preserve">ELENA JOSE DE OLIVEIRA</t>
  </si>
  <si>
    <t xml:space="preserve">MERCERARIA DA IRENE</t>
  </si>
  <si>
    <t xml:space="preserve">JOSUE FARIA CACERES</t>
  </si>
  <si>
    <t xml:space="preserve">RESTAURANTE ESPETUDO</t>
  </si>
  <si>
    <t xml:space="preserve">RAIMUNDO ALEXANDRE DE OLIVEIRA</t>
  </si>
  <si>
    <t xml:space="preserve"> PANIFICADORA</t>
  </si>
  <si>
    <t xml:space="preserve">ZILMA TEIXEIRA DE OLIVEIRA</t>
  </si>
  <si>
    <t xml:space="preserve">ZILMA CABELEIREIRA</t>
  </si>
  <si>
    <t xml:space="preserve">LEDA MARIA COAN</t>
  </si>
  <si>
    <t xml:space="preserve">LANCH. RODOVIARIA</t>
  </si>
  <si>
    <t xml:space="preserve">ENEIAS DOS SANTOS CANO</t>
  </si>
  <si>
    <t xml:space="preserve">CANTINA MATERNIDADE CANDIDO M.</t>
  </si>
  <si>
    <t xml:space="preserve">LOURIVAL DIAS DOS SANTOS</t>
  </si>
  <si>
    <t xml:space="preserve">MERCADO MARIM</t>
  </si>
  <si>
    <t xml:space="preserve">EVERALDO MARQUES SOARES</t>
  </si>
  <si>
    <t xml:space="preserve">WILLIAM SANDIM MOTTI</t>
  </si>
  <si>
    <t xml:space="preserve">ROSLAINE APARECIDA TEXEIRA DE FARIAS</t>
  </si>
  <si>
    <t xml:space="preserve">MERCADINHO VENTURA</t>
  </si>
  <si>
    <t xml:space="preserve">FABIO JUNIOR BARBOSA DE SOUZA</t>
  </si>
  <si>
    <t xml:space="preserve">VALTER SERGIO ANDRADE</t>
  </si>
  <si>
    <t xml:space="preserve">SULAO LANCHES</t>
  </si>
  <si>
    <t xml:space="preserve">ANGELA PATRICIA DA SILVA</t>
  </si>
  <si>
    <t xml:space="preserve">FRIOS E FRIOS</t>
  </si>
  <si>
    <t xml:space="preserve">JANDIRA CHAVES</t>
  </si>
  <si>
    <t xml:space="preserve">MERCADO QUEIROZ</t>
  </si>
  <si>
    <t xml:space="preserve">RONIVALDO ROMEIRO MONTIEL</t>
  </si>
  <si>
    <t xml:space="preserve">MERCADO E ACOUGUE BOA SORTE</t>
  </si>
  <si>
    <t xml:space="preserve">NATALIA DA CONCEICAO CABRAL</t>
  </si>
  <si>
    <t xml:space="preserve">LAGUNA CARAPA</t>
  </si>
  <si>
    <t xml:space="preserve">MERCADO J.JUNIOR</t>
  </si>
  <si>
    <t xml:space="preserve">MANOEL BENEDITO LIMA JUNIOR</t>
  </si>
  <si>
    <t xml:space="preserve">PANIFICADO SOBERANA</t>
  </si>
  <si>
    <t xml:space="preserve">TATIANA MACIEL</t>
  </si>
  <si>
    <t xml:space="preserve">RAFAEL BONADINAM</t>
  </si>
  <si>
    <t xml:space="preserve">MERCADO BOMPRECO</t>
  </si>
  <si>
    <t xml:space="preserve">ELIANE DE FRANCA</t>
  </si>
  <si>
    <t xml:space="preserve">PANIF DELICIAS DO TRIGO</t>
  </si>
  <si>
    <t xml:space="preserve">CLEYSE DE SOUZA PIRES</t>
  </si>
  <si>
    <t xml:space="preserve">BRASIL CONVENIENCIA</t>
  </si>
  <si>
    <t xml:space="preserve">JUSCILENE PARREIRA MILLOS</t>
  </si>
  <si>
    <t xml:space="preserve">PANF CRISTAS</t>
  </si>
  <si>
    <t xml:space="preserve">TATIANA MONTANHINI</t>
  </si>
  <si>
    <t xml:space="preserve">GRACINDA LUZIA LIMA</t>
  </si>
  <si>
    <t xml:space="preserve">CONVENIENCIAS PETROPOLIS</t>
  </si>
  <si>
    <t xml:space="preserve">OTAIR FREITAS DE OLIVEIRA</t>
  </si>
  <si>
    <t xml:space="preserve">CONVENIENCIA E MERCEARIA OLIVEIRA</t>
  </si>
  <si>
    <t xml:space="preserve">OSCAR DA SILVA LESCANO</t>
  </si>
  <si>
    <t xml:space="preserve">FESTE JA</t>
  </si>
  <si>
    <t xml:space="preserve">CECILIO JESUS COSTA</t>
  </si>
  <si>
    <t xml:space="preserve">MERCEARIA BOA</t>
  </si>
  <si>
    <t xml:space="preserve">EMERSON MARTINS RITI</t>
  </si>
  <si>
    <t xml:space="preserve">WENDERSON FERREIRA DA SILVA</t>
  </si>
  <si>
    <t xml:space="preserve">SM DO EDINHO</t>
  </si>
  <si>
    <t xml:space="preserve">NEILE SILVA BELMIRO</t>
  </si>
  <si>
    <t xml:space="preserve">WILLIAM GIMENEZ</t>
  </si>
  <si>
    <t xml:space="preserve">MARIA CATARINA P CAPETTA</t>
  </si>
  <si>
    <t xml:space="preserve">CANTINA DA UMIGRAM</t>
  </si>
  <si>
    <t xml:space="preserve">GRACIELY RIQUELME</t>
  </si>
  <si>
    <t xml:space="preserve">MERCADO DO BAIANO</t>
  </si>
  <si>
    <t xml:space="preserve">MARCOS ALVES DA SILVA</t>
  </si>
  <si>
    <t xml:space="preserve">RENATO MOTEINI SILVA</t>
  </si>
  <si>
    <t xml:space="preserve">MARCELO CARDOSO</t>
  </si>
  <si>
    <t xml:space="preserve">PANIFICADORA FORMOSA</t>
  </si>
  <si>
    <t xml:space="preserve">EVERSON FERREIRA GOMES</t>
  </si>
  <si>
    <t xml:space="preserve">FUNC MCD</t>
  </si>
  <si>
    <t xml:space="preserve">FERNANDO JUNIOR TROMBINI</t>
  </si>
  <si>
    <t xml:space="preserve">PORTO MOTO</t>
  </si>
  <si>
    <t xml:space="preserve">MARCOS RICART DA SILVA</t>
  </si>
  <si>
    <t xml:space="preserve">KELVIS NATANAEL PRETO GODOY</t>
  </si>
  <si>
    <t xml:space="preserve">MERCADINHO S.O.S.</t>
  </si>
  <si>
    <t xml:space="preserve">PATRICIA MARCELINO VILALBA</t>
  </si>
  <si>
    <t xml:space="preserve">EDERSON MARCELINO DEFACIO</t>
  </si>
  <si>
    <t xml:space="preserve">MERCEARIA EDER</t>
  </si>
  <si>
    <t xml:space="preserve">FABIO CANDAL GOMES</t>
  </si>
  <si>
    <t xml:space="preserve">MERCEARIA SANTA JULIA</t>
  </si>
  <si>
    <t xml:space="preserve">RCA-DALTRO JOSE ZARATE MALDONADO</t>
  </si>
  <si>
    <t xml:space="preserve">DALTRO MALDONADO</t>
  </si>
  <si>
    <t xml:space="preserve">ALEXANDRE ARAUJO DOS SANTOS</t>
  </si>
  <si>
    <t xml:space="preserve">CARLOS EDUARDO LARANJA DO NASCIMENTO</t>
  </si>
  <si>
    <t xml:space="preserve">CARLOS LARANJA</t>
  </si>
  <si>
    <t xml:space="preserve">ELIPO CESAR DE SOUZA</t>
  </si>
  <si>
    <t xml:space="preserve">RODRIGO DE CARVALHO BRAGA</t>
  </si>
  <si>
    <t xml:space="preserve">MARTA OLIVEIRA SANTOS</t>
  </si>
  <si>
    <t xml:space="preserve">ELAINE LANDER BORGES</t>
  </si>
  <si>
    <t xml:space="preserve">PANIFICADORA DU-PAO</t>
  </si>
  <si>
    <t xml:space="preserve">JEFERSON ALEXANDRE AKAMINE</t>
  </si>
  <si>
    <t xml:space="preserve">VICTOR HUGO DE MATOS FLORENCIANO</t>
  </si>
  <si>
    <t xml:space="preserve">MERCADO E ACOUGUE MATOS</t>
  </si>
  <si>
    <t xml:space="preserve">JUCINEI DALLA ROSA</t>
  </si>
  <si>
    <t xml:space="preserve">DALLA ROSA &amp; DALLA</t>
  </si>
  <si>
    <t xml:space="preserve">GREICE GRISON</t>
  </si>
  <si>
    <t xml:space="preserve">MINI MERCADO GRISON</t>
  </si>
  <si>
    <t xml:space="preserve">KATIA DA SILVA MARQUES</t>
  </si>
  <si>
    <t xml:space="preserve">FABIANO VILAS BOAS RONDON</t>
  </si>
  <si>
    <t xml:space="preserve">HEALTH SUPLEMENTOS</t>
  </si>
  <si>
    <t xml:space="preserve">ROSANGELA PRISCA AJALA</t>
  </si>
  <si>
    <t xml:space="preserve">MERCADO TIRADENTE.</t>
  </si>
  <si>
    <t xml:space="preserve">JEAN CLAUDIO CAMARGO</t>
  </si>
  <si>
    <t xml:space="preserve">FRANCISCO DE ALMEIDA LOBO</t>
  </si>
  <si>
    <t xml:space="preserve">PAULO ROBERTO BANISKI</t>
  </si>
  <si>
    <t xml:space="preserve">MERCADO COLORADO</t>
  </si>
  <si>
    <t xml:space="preserve">CARLOS RODRIGO DE ALMEIDA</t>
  </si>
  <si>
    <t xml:space="preserve">AROLDO ROMERO</t>
  </si>
  <si>
    <t xml:space="preserve">CHULA CONVENIENCIA</t>
  </si>
  <si>
    <t xml:space="preserve">MARIA RIBEIRO CARLOS</t>
  </si>
  <si>
    <t xml:space="preserve">MARIA DAS GRACAS CORREIA DE SOUZA</t>
  </si>
  <si>
    <t xml:space="preserve">CONV PANESUL</t>
  </si>
  <si>
    <t xml:space="preserve">LUCIMAR ROSA DE SOUZA</t>
  </si>
  <si>
    <t xml:space="preserve">BRUNO ALVES MAIA</t>
  </si>
  <si>
    <t xml:space="preserve">MERCADO PREFERITO</t>
  </si>
  <si>
    <t xml:space="preserve">LUCIANO TALLEVI</t>
  </si>
  <si>
    <t xml:space="preserve">SACOLAO COISA DA TERRA</t>
  </si>
  <si>
    <t xml:space="preserve">MARIA DE LOURDES SILVA DE ALMEIDA</t>
  </si>
  <si>
    <t xml:space="preserve">EZEQUIEL DE REZENDE AMORIN</t>
  </si>
  <si>
    <t xml:space="preserve">SPARC LAN HOUSE</t>
  </si>
  <si>
    <t xml:space="preserve">VERA LUCIA ARIFA COUTINHO</t>
  </si>
  <si>
    <t xml:space="preserve">MERC TIAGO</t>
  </si>
  <si>
    <t xml:space="preserve">JOAO PAULO DELAVLENTINA</t>
  </si>
  <si>
    <t xml:space="preserve">MERCADO K PRECO II</t>
  </si>
  <si>
    <t xml:space="preserve">MARCELO SEBASTIAO ROSA GARCIA</t>
  </si>
  <si>
    <t xml:space="preserve">MARCIO JOSE GONCALVES DE FREITAS</t>
  </si>
  <si>
    <t xml:space="preserve">RCA MARCIO</t>
  </si>
  <si>
    <t xml:space="preserve">MAXILAINE MENDES DOS SANTOS</t>
  </si>
  <si>
    <t xml:space="preserve">DINA FERNANDES DE SOUZA</t>
  </si>
  <si>
    <t xml:space="preserve">DJAYNE CRISTINA BOGACKI</t>
  </si>
  <si>
    <t xml:space="preserve">BAR E CONVENIENCIA CARIOCA</t>
  </si>
  <si>
    <t xml:space="preserve">ADRIANA DE SOUZA QUEIROZ</t>
  </si>
  <si>
    <t xml:space="preserve">MERCADO ACOUGUE QUEROZ</t>
  </si>
  <si>
    <t xml:space="preserve">ADRIANO SANGUINA ESPINOSA</t>
  </si>
  <si>
    <t xml:space="preserve">MARILENE MARIA DE JESUS DOS SANTOS</t>
  </si>
  <si>
    <t xml:space="preserve">IVIS ALESSANDER VARGUES NOGUEIRA (PROM) </t>
  </si>
  <si>
    <t xml:space="preserve">IVIS</t>
  </si>
  <si>
    <t xml:space="preserve">WALTER DE ALMEIDA LAPA</t>
  </si>
  <si>
    <t xml:space="preserve">CIRO SUPERMERCADO</t>
  </si>
  <si>
    <t xml:space="preserve">LAUDECIR SEVERGNINI</t>
  </si>
  <si>
    <t xml:space="preserve">REST 02 GAUCHOS (POSTO PIQUI)</t>
  </si>
  <si>
    <t xml:space="preserve">ANTONIO ESTEVES</t>
  </si>
  <si>
    <t xml:space="preserve">ESTEVES ESTRADA</t>
  </si>
  <si>
    <t xml:space="preserve">ELHO RODRIGUES DE OLIVEIRA</t>
  </si>
  <si>
    <t xml:space="preserve">CASA DE CARNE OLIVEIRA</t>
  </si>
  <si>
    <t xml:space="preserve">ANDERSON  MERGIAN C DA CRUZ</t>
  </si>
  <si>
    <t xml:space="preserve">FRETEIRO ANDERSON</t>
  </si>
  <si>
    <t xml:space="preserve">ANA MARIA RODRIGUES DE NOJOZA</t>
  </si>
  <si>
    <t xml:space="preserve">SOLANGE ROSA DALLA</t>
  </si>
  <si>
    <t xml:space="preserve">MERCEARIA NATALIA</t>
  </si>
  <si>
    <t xml:space="preserve">ANA MARIA ORTIZ NEGRETE</t>
  </si>
  <si>
    <t xml:space="preserve">MERCEARIA GIL</t>
  </si>
  <si>
    <t xml:space="preserve">MARISA ISUFRAM LIMA</t>
  </si>
  <si>
    <t xml:space="preserve">ELENILDO VIANA RODRIGUES</t>
  </si>
  <si>
    <t xml:space="preserve">RCA-ALEXANDRO GOMES CORREA</t>
  </si>
  <si>
    <t xml:space="preserve">MARIA RUFINO FEITOSA</t>
  </si>
  <si>
    <t xml:space="preserve">LUIZ MIGUEL SKROBOT JUNIOS</t>
  </si>
  <si>
    <t xml:space="preserve">AKITEM MERCADO</t>
  </si>
  <si>
    <t xml:space="preserve">WAGNER PEDRO DE OLIVEIRA</t>
  </si>
  <si>
    <t xml:space="preserve">MERCADO DOM PEDRO</t>
  </si>
  <si>
    <t xml:space="preserve">PAULO CESAR DE ALMEIDA MACEDO</t>
  </si>
  <si>
    <t xml:space="preserve">NOVO SABOR MASSAS CASEIRAS</t>
  </si>
  <si>
    <t xml:space="preserve">REINALDO ARAUJO FELBERG</t>
  </si>
  <si>
    <t xml:space="preserve">CARMEN FATIMA C. FIORI</t>
  </si>
  <si>
    <t xml:space="preserve">SACOLAO CHEIRO VERDE</t>
  </si>
  <si>
    <t xml:space="preserve">DENISE LOPES MANSILHA (REP 112)</t>
  </si>
  <si>
    <t xml:space="preserve">BOATE DA DENISE CAIPORA</t>
  </si>
  <si>
    <t xml:space="preserve">FELIPE ALEXANDRE</t>
  </si>
  <si>
    <t xml:space="preserve">GLEICIELY MEDEIROS BARTHOLOMEU</t>
  </si>
  <si>
    <t xml:space="preserve">BAR E CONV BOM DIA</t>
  </si>
  <si>
    <t xml:space="preserve">ALAIR RIBEIRO SABARA</t>
  </si>
  <si>
    <t xml:space="preserve">PANIF PANY LANCHES</t>
  </si>
  <si>
    <t xml:space="preserve">RODRIGO CEZAR CELESTINO MANINS</t>
  </si>
  <si>
    <t xml:space="preserve">HELAINE MACEDO NETO</t>
  </si>
  <si>
    <t xml:space="preserve">PADARIA E CONV ALVORADA</t>
  </si>
  <si>
    <t xml:space="preserve">SILAS SIGUEIRA LOPES</t>
  </si>
  <si>
    <t xml:space="preserve">CASA DE CARNE VILA NOVA</t>
  </si>
  <si>
    <t xml:space="preserve">MARIA JOSE DA SILVA MELO</t>
  </si>
  <si>
    <t xml:space="preserve">MERCEARIA BIG MEL</t>
  </si>
  <si>
    <t xml:space="preserve">INES REGINA PORTO DOS SANTOS</t>
  </si>
  <si>
    <t xml:space="preserve">COMERCIAL MARINGA</t>
  </si>
  <si>
    <t xml:space="preserve">PADARIA E PIZZARIA PAULISTA LTDA</t>
  </si>
  <si>
    <t xml:space="preserve">PADARIA E CONFEITARIA PAULISTA</t>
  </si>
  <si>
    <t xml:space="preserve">AGUSTINA SANGUINA VALDIZ</t>
  </si>
  <si>
    <t xml:space="preserve">MERCEARIA E ACOUGUE J A</t>
  </si>
  <si>
    <t xml:space="preserve">LUIZ GUSTAVO DOS SANTOS PEREIRA</t>
  </si>
  <si>
    <t xml:space="preserve">LUIZ GUSTAVO</t>
  </si>
  <si>
    <t xml:space="preserve">MARIA CARMEM LARREA TORRES</t>
  </si>
  <si>
    <t xml:space="preserve">RENAN OLIVEIRA DA SILVA</t>
  </si>
  <si>
    <t xml:space="preserve">FABIANA F DA SILVA</t>
  </si>
  <si>
    <t xml:space="preserve">FIDALGOS CASA DE CARNE</t>
  </si>
  <si>
    <t xml:space="preserve">THORSTEN DREWS</t>
  </si>
  <si>
    <t xml:space="preserve">REST H2O</t>
  </si>
  <si>
    <t xml:space="preserve">RUBENS MODOLO PEDRO</t>
  </si>
  <si>
    <t xml:space="preserve">ODMIR RIBEIRO SILVA</t>
  </si>
  <si>
    <t xml:space="preserve">SACOLAO SANTA FE</t>
  </si>
  <si>
    <t xml:space="preserve">LORRANY OLIVEIRA</t>
  </si>
  <si>
    <t xml:space="preserve">CARMELO SAVEDRA VACA</t>
  </si>
  <si>
    <t xml:space="preserve">MERCEARIA SHARINHO</t>
  </si>
  <si>
    <t xml:space="preserve">MARIA CRISTINA ACHUCARRO</t>
  </si>
  <si>
    <t xml:space="preserve">SUCAO</t>
  </si>
  <si>
    <t xml:space="preserve">WEVERTON HUMBERTO RODRIGUES RIQUELME</t>
  </si>
  <si>
    <t xml:space="preserve">JOSE FRANCISCO ALVES</t>
  </si>
  <si>
    <t xml:space="preserve">MERCEARIA BIG</t>
  </si>
  <si>
    <t xml:space="preserve">GIZELIA LOPES DO NASCIMENTO</t>
  </si>
  <si>
    <t xml:space="preserve">PANIF FREI DAMIAO</t>
  </si>
  <si>
    <t xml:space="preserve">EVA KONG</t>
  </si>
  <si>
    <t xml:space="preserve">PAISADOR PIRAPUTANGA</t>
  </si>
  <si>
    <t xml:space="preserve">MARIA DA PENHA DE CARVALHO</t>
  </si>
  <si>
    <t xml:space="preserve">MINE MERCADO PENHA</t>
  </si>
  <si>
    <t xml:space="preserve">REGINA LUCIA DE LIMA ROCHA</t>
  </si>
  <si>
    <t xml:space="preserve">MERC REGINA</t>
  </si>
  <si>
    <t xml:space="preserve">ILDO THIEL</t>
  </si>
  <si>
    <t xml:space="preserve">CASA DE CARNE GAUCHAO</t>
  </si>
  <si>
    <t xml:space="preserve">FELIX GOMES DA SILVA</t>
  </si>
  <si>
    <t xml:space="preserve">MERCEARIA PERNAMBUCO</t>
  </si>
  <si>
    <t xml:space="preserve">NILSON NOBRIGA DE ARAUJO</t>
  </si>
  <si>
    <t xml:space="preserve">ADRIANO ARGUELHO BATALHA</t>
  </si>
  <si>
    <t xml:space="preserve">CONV IMPERIO</t>
  </si>
  <si>
    <t xml:space="preserve">ALEXANDRE MARTINS ZANDONADI</t>
  </si>
  <si>
    <t xml:space="preserve">MERCADO MAGGI</t>
  </si>
  <si>
    <t xml:space="preserve">GILSON JOSE HITEL</t>
  </si>
  <si>
    <t xml:space="preserve">PANIFICADORA CRISTALY</t>
  </si>
  <si>
    <t xml:space="preserve">DAVID ALBERTO DE SOUZA DIAS</t>
  </si>
  <si>
    <t xml:space="preserve">PANF LIDER</t>
  </si>
  <si>
    <t xml:space="preserve">ILSON CARLOS DIAS</t>
  </si>
  <si>
    <t xml:space="preserve">RASSIB DOS SANTOS</t>
  </si>
  <si>
    <t xml:space="preserve">CONVENIENCIA KALIFAS</t>
  </si>
  <si>
    <t xml:space="preserve">IVONE BATISTA STRADA</t>
  </si>
  <si>
    <t xml:space="preserve">PADARIA SAO PEDRO</t>
  </si>
  <si>
    <t xml:space="preserve">EDUARDO  LOPES SOUTO</t>
  </si>
  <si>
    <t xml:space="preserve">PANIF XV DE NOVEMBRO</t>
  </si>
  <si>
    <t xml:space="preserve">JOSE FERREIRA GONCALVES</t>
  </si>
  <si>
    <t xml:space="preserve">PADARIA SOL NASCENTE</t>
  </si>
  <si>
    <t xml:space="preserve">GILBERTO VITORIO AUSANI</t>
  </si>
  <si>
    <t xml:space="preserve">SORV FEST DOIS IRMAOS</t>
  </si>
  <si>
    <t xml:space="preserve">SEBASTIAO OLIVEIRA FURTADO</t>
  </si>
  <si>
    <t xml:space="preserve">NUMIRA CASSABE</t>
  </si>
  <si>
    <t xml:space="preserve">MERCADO LARINE</t>
  </si>
  <si>
    <t xml:space="preserve">MANOEL RAMOS DE BARROS</t>
  </si>
  <si>
    <t xml:space="preserve">PANIF MOURA</t>
  </si>
  <si>
    <t xml:space="preserve">ROBERCI DE SOUZA MENDONCA</t>
  </si>
  <si>
    <t xml:space="preserve">PANIF PE DE CEDRO</t>
  </si>
  <si>
    <t xml:space="preserve">MAILDA PEREIRA FERNANDES</t>
  </si>
  <si>
    <t xml:space="preserve">PANIF QUI PAO</t>
  </si>
  <si>
    <t xml:space="preserve">IRENE APARECIDA MATEJEC LOSEKAN</t>
  </si>
  <si>
    <t xml:space="preserve">VALMIR PEREIRA</t>
  </si>
  <si>
    <t xml:space="preserve">SORVETERIA BOLA DE NEVE</t>
  </si>
  <si>
    <t xml:space="preserve">WESLEY NOGUEIRA</t>
  </si>
  <si>
    <t xml:space="preserve">PANIF BARONESA</t>
  </si>
  <si>
    <t xml:space="preserve">JOAO ANTONIO NUMES DA SILVA</t>
  </si>
  <si>
    <t xml:space="preserve">CANTINA TIO JOAO (AVANT GARDE)</t>
  </si>
  <si>
    <t xml:space="preserve">ELIANE AQUINO DE ARAUJO DE MENDONCA</t>
  </si>
  <si>
    <t xml:space="preserve">FLORICULTURA ROSELANDIA</t>
  </si>
  <si>
    <t xml:space="preserve">IEDA ALVES PEREIRA</t>
  </si>
  <si>
    <t xml:space="preserve">LUCINALDO TENORIO DE MELO</t>
  </si>
  <si>
    <t xml:space="preserve">MERCEARIA ALVEZ</t>
  </si>
  <si>
    <t xml:space="preserve">ROSELI MOREIRA DE SOUZA</t>
  </si>
  <si>
    <t xml:space="preserve">NELSON ROSSI</t>
  </si>
  <si>
    <t xml:space="preserve">CONV FEMIX</t>
  </si>
  <si>
    <t xml:space="preserve">SILVIO BARRETO SOUSA</t>
  </si>
  <si>
    <t xml:space="preserve">ANITA DIAS DE SOUZA</t>
  </si>
  <si>
    <t xml:space="preserve">ROZIMAR ANTONIO RAMPANELLI</t>
  </si>
  <si>
    <t xml:space="preserve">JUVENAL MENDES COSTA</t>
  </si>
  <si>
    <t xml:space="preserve">BAR MENDES</t>
  </si>
  <si>
    <t xml:space="preserve">ARINO AURELIO DE OLIVEIRA JESUS</t>
  </si>
  <si>
    <t xml:space="preserve">PANIF.POPULAR</t>
  </si>
  <si>
    <t xml:space="preserve">ADAIR TRETIM</t>
  </si>
  <si>
    <t xml:space="preserve">LINDOMAR DE SOUZA OLIVEIRA</t>
  </si>
  <si>
    <t xml:space="preserve">MERCEARIA LIA</t>
  </si>
  <si>
    <t xml:space="preserve">MARIA RUTH MENDES MEDEIROS</t>
  </si>
  <si>
    <t xml:space="preserve">ARILDO CAMPOS SOUZA LEITE</t>
  </si>
  <si>
    <t xml:space="preserve">MERCADO PIOMEIRO</t>
  </si>
  <si>
    <t xml:space="preserve">JOSE MARCIO SANTOS DO ACAUTO</t>
  </si>
  <si>
    <t xml:space="preserve">PANIFICADORA ROSELANDIA</t>
  </si>
  <si>
    <t xml:space="preserve">LUIS CARLOS DE SOUZA DA SILVA</t>
  </si>
  <si>
    <t xml:space="preserve">ALBERTO VICENTE DE LIMA</t>
  </si>
  <si>
    <t xml:space="preserve">MERCADO ATLANTA</t>
  </si>
  <si>
    <t xml:space="preserve">IVA WALDET BORGES RODRIGUES</t>
  </si>
  <si>
    <t xml:space="preserve">MERCADO RINCAO</t>
  </si>
  <si>
    <t xml:space="preserve">IVANETE SOUZA BEZERRA</t>
  </si>
  <si>
    <t xml:space="preserve">MERCEARIA HF</t>
  </si>
  <si>
    <t xml:space="preserve">MARIA SANTANA DE A BERNART</t>
  </si>
  <si>
    <t xml:space="preserve">OTILDE APARECIDA CRISTALDO CORREA</t>
  </si>
  <si>
    <t xml:space="preserve">FLAMA PAES E CONVENIENCIAS</t>
  </si>
  <si>
    <t xml:space="preserve">ROSELI FERREIRA SOUZA GAUTO</t>
  </si>
  <si>
    <t xml:space="preserve">DECILI DI CAZA</t>
  </si>
  <si>
    <t xml:space="preserve">LUIS CARLOS CAVALCANTE DOS SANTOS</t>
  </si>
  <si>
    <t xml:space="preserve">PIZZARIA BOM SABOR</t>
  </si>
  <si>
    <t xml:space="preserve">ANA NUMES BARBOSA</t>
  </si>
  <si>
    <t xml:space="preserve">PANIF COSTA RICA</t>
  </si>
  <si>
    <t xml:space="preserve">MAIDA DE LIMA CASTRO CAVALHEIRO</t>
  </si>
  <si>
    <t xml:space="preserve">GELO DOCE</t>
  </si>
  <si>
    <t xml:space="preserve">ANDREIA VANZEI RODRIGUES</t>
  </si>
  <si>
    <t xml:space="preserve">CONV MARINGA II</t>
  </si>
  <si>
    <t xml:space="preserve">IVAN FERNANDES DOS SANTOS</t>
  </si>
  <si>
    <t xml:space="preserve">MARCIA MARIA DA SILVA</t>
  </si>
  <si>
    <t xml:space="preserve">SM NATUREZA</t>
  </si>
  <si>
    <t xml:space="preserve">WAGNER BASSO CARREIRA</t>
  </si>
  <si>
    <t xml:space="preserve">GERMANO PEREZ</t>
  </si>
  <si>
    <t xml:space="preserve">CONVENIENCIA DO GERMANO</t>
  </si>
  <si>
    <t xml:space="preserve">FRANCISCO ALVES MOTA</t>
  </si>
  <si>
    <t xml:space="preserve">LINDOMAR MENDES DE ALMEIDA</t>
  </si>
  <si>
    <t xml:space="preserve">MARILDE MARIA ALVES</t>
  </si>
  <si>
    <t xml:space="preserve">MERCADO E ACOUGUE RUAMY</t>
  </si>
  <si>
    <t xml:space="preserve">ROSANGELA DE FREITAS BARBOSA DOMIT</t>
  </si>
  <si>
    <t xml:space="preserve">FRANCISCO VANDERSON FERREIRA DE OLIVEIRA</t>
  </si>
  <si>
    <t xml:space="preserve">VANDER CONVENIENCIA E MERCEARIA</t>
  </si>
  <si>
    <t xml:space="preserve">ADILSON BINELLO CONALFELDT</t>
  </si>
  <si>
    <t xml:space="preserve">ACOUGUE DOGAUCHO E CONV</t>
  </si>
  <si>
    <t xml:space="preserve">AMANDA KELLY SIQUEIRA DE ABREU</t>
  </si>
  <si>
    <t xml:space="preserve">MERCDO MAX BOM</t>
  </si>
  <si>
    <t xml:space="preserve">CIRIO EURICO GLICEIRO DE MATOS</t>
  </si>
  <si>
    <t xml:space="preserve">DALVA RANGEL SINGAMI</t>
  </si>
  <si>
    <t xml:space="preserve">PAD CONV SHIRAYA</t>
  </si>
  <si>
    <t xml:space="preserve">DANIEL CAMILO DOS SANTOS</t>
  </si>
  <si>
    <t xml:space="preserve">DIRCE BARBOSA BATISTA</t>
  </si>
  <si>
    <t xml:space="preserve">CANTINA ESCOLA DOM BOSCO</t>
  </si>
  <si>
    <t xml:space="preserve">EDMILSON CUBAS</t>
  </si>
  <si>
    <t xml:space="preserve">MINI MERCADO CUBA</t>
  </si>
  <si>
    <t xml:space="preserve">IZAIAS BENEDITO DA SILVA</t>
  </si>
  <si>
    <t xml:space="preserve">SM HAWAI</t>
  </si>
  <si>
    <t xml:space="preserve">JAIR DE OLIVEIRA ANDRADE</t>
  </si>
  <si>
    <t xml:space="preserve">MERCEARIA J A M</t>
  </si>
  <si>
    <t xml:space="preserve">JOCY R. A MEDEIROS</t>
  </si>
  <si>
    <t xml:space="preserve">CONVENIENCIAS MAIS MAIS</t>
  </si>
  <si>
    <t xml:space="preserve">LUCIA BATISTA DE ARAUJO</t>
  </si>
  <si>
    <t xml:space="preserve">MARIO MARCIO ORICO DE MACEDO</t>
  </si>
  <si>
    <t xml:space="preserve">MEIRE ELOY FARAONI</t>
  </si>
  <si>
    <t xml:space="preserve">CANTINA ESMERALDA</t>
  </si>
  <si>
    <t xml:space="preserve">RAYLER KLENER C LEMOS SANTOS</t>
  </si>
  <si>
    <t xml:space="preserve">DROGARIA ORIENTE</t>
  </si>
  <si>
    <t xml:space="preserve">RONALDO CLAUS</t>
  </si>
  <si>
    <t xml:space="preserve">MERCEARIA RONY</t>
  </si>
  <si>
    <t xml:space="preserve">RONALDO FIGUEIREDO</t>
  </si>
  <si>
    <t xml:space="preserve">TEREZA MARTINS SOARES</t>
  </si>
  <si>
    <t xml:space="preserve">FRUTARIA DA TEREZA</t>
  </si>
  <si>
    <t xml:space="preserve">TEREZINHA DA SILVA PORTO</t>
  </si>
  <si>
    <t xml:space="preserve">MERCADO ORIENTE II</t>
  </si>
  <si>
    <t xml:space="preserve">MARGARIDA RAMONA GONCALVES MOURA</t>
  </si>
  <si>
    <t xml:space="preserve">ACOUGUE SANTA ISABEL</t>
  </si>
  <si>
    <t xml:space="preserve">MARINET GAUNA DA SILVA</t>
  </si>
  <si>
    <t xml:space="preserve">MINI MERCADO SAO JOAO</t>
  </si>
  <si>
    <t xml:space="preserve">VANICE DA SILVA DAVALO</t>
  </si>
  <si>
    <t xml:space="preserve">PAMIF SUPER PAO</t>
  </si>
  <si>
    <t xml:space="preserve">LEONIDAS PEREIRA DOS SANTOS</t>
  </si>
  <si>
    <t xml:space="preserve">SACOLAO E CONV LIRA</t>
  </si>
  <si>
    <t xml:space="preserve">JOSE VALDEMIR ROMAN</t>
  </si>
  <si>
    <t xml:space="preserve">SM ROMAN</t>
  </si>
  <si>
    <t xml:space="preserve">ALEXANDRE ALVES PIRES</t>
  </si>
  <si>
    <t xml:space="preserve">AUTO POSTO MIL</t>
  </si>
  <si>
    <t xml:space="preserve">ARLEI GEDRO MACHADO</t>
  </si>
  <si>
    <t xml:space="preserve">ACOUGUE DO TIPO</t>
  </si>
  <si>
    <t xml:space="preserve">ELINA RAMIRES DE OLIVEIRA</t>
  </si>
  <si>
    <t xml:space="preserve">MARIA QUEIROZ DE ALMEIDA</t>
  </si>
  <si>
    <t xml:space="preserve">MULTI CONVENIENCIA</t>
  </si>
  <si>
    <t xml:space="preserve">SUZILAINE CARNEIRO SODRE MENDONCA</t>
  </si>
  <si>
    <t xml:space="preserve">COMERCIAL PRECO ANTIGO</t>
  </si>
  <si>
    <t xml:space="preserve">JILDEMAR REGES DA SILVA</t>
  </si>
  <si>
    <t xml:space="preserve">CONV FRANGO BOA VISTA</t>
  </si>
  <si>
    <t xml:space="preserve">MARIA APAREIDA OLIVEIRA PINTO</t>
  </si>
  <si>
    <t xml:space="preserve">MARIA CONVENIENCIA</t>
  </si>
  <si>
    <t xml:space="preserve">ACADEMIA FORMA</t>
  </si>
  <si>
    <t xml:space="preserve">AILTON FERNANDES</t>
  </si>
  <si>
    <t xml:space="preserve">PIZZARIA DONATELLA</t>
  </si>
  <si>
    <t xml:space="preserve">SIDNEYA ALVES DOS SANTOS</t>
  </si>
  <si>
    <t xml:space="preserve">SACOLAO MENOR PRECO</t>
  </si>
  <si>
    <t xml:space="preserve">LUIS PAULO CIPOLA CARVALLHO</t>
  </si>
  <si>
    <t xml:space="preserve">CANTINA COL AVANT GARDE</t>
  </si>
  <si>
    <t xml:space="preserve">NOEL CIRO ALVES</t>
  </si>
  <si>
    <t xml:space="preserve">MERCEARIA MIRELLI</t>
  </si>
  <si>
    <t xml:space="preserve">SANDRA PEDRO DA SILVA</t>
  </si>
  <si>
    <t xml:space="preserve">MERCEARIA MEDINA</t>
  </si>
  <si>
    <t xml:space="preserve">ADRIANA SOFTOV</t>
  </si>
  <si>
    <t xml:space="preserve">PANIFICADORA PAO DIVINO</t>
  </si>
  <si>
    <t xml:space="preserve">APARECIDA CONCEICAO DOS SANTOS</t>
  </si>
  <si>
    <t xml:space="preserve">BAR NSRA APARECIDA</t>
  </si>
  <si>
    <t xml:space="preserve">CELSO CUNHA</t>
  </si>
  <si>
    <t xml:space="preserve">MERCEARIA CHEROGANA</t>
  </si>
  <si>
    <t xml:space="preserve">CICERA FATIMA MORASSUTI</t>
  </si>
  <si>
    <t xml:space="preserve">MERCEARIA AJA BEBIDAS</t>
  </si>
  <si>
    <t xml:space="preserve">LINDOMAR DO NASCIMENTO CORREA</t>
  </si>
  <si>
    <t xml:space="preserve">LINDOMAR REP</t>
  </si>
  <si>
    <t xml:space="preserve">MARIA DUARTE DE SOUZA</t>
  </si>
  <si>
    <t xml:space="preserve">MERCADO SANTA RITA DE CASSIA</t>
  </si>
  <si>
    <t xml:space="preserve">VANDERLEIA SIQUEIRA CAVALCANTE DA CUNHA </t>
  </si>
  <si>
    <t xml:space="preserve">PANIF E CONV GUVS</t>
  </si>
  <si>
    <t xml:space="preserve">VANILDI DOS SANTOS ANDRADE</t>
  </si>
  <si>
    <t xml:space="preserve">D J CONVENIENCIA</t>
  </si>
  <si>
    <t xml:space="preserve">ADOLFO OLMEDO</t>
  </si>
  <si>
    <t xml:space="preserve">JOSE PINHEIRO DE SOUZA FILHO</t>
  </si>
  <si>
    <t xml:space="preserve">VALDEMIR TENORIO DE MELO</t>
  </si>
  <si>
    <t xml:space="preserve">WELINGTON S.QUEIROZ</t>
  </si>
  <si>
    <t xml:space="preserve">PADARIA JUNINHOT</t>
  </si>
  <si>
    <t xml:space="preserve">ADAILTON LIMIRO DUARTE</t>
  </si>
  <si>
    <t xml:space="preserve">MERCADO PAQUITO</t>
  </si>
  <si>
    <t xml:space="preserve">APARECIDO LOPES MOREIRA</t>
  </si>
  <si>
    <t xml:space="preserve">PANF LARISSA</t>
  </si>
  <si>
    <t xml:space="preserve">GESESSI OTILIA DE OLIVEIRA</t>
  </si>
  <si>
    <t xml:space="preserve">G CONVENIENCIA</t>
  </si>
  <si>
    <t xml:space="preserve">IONE OLIVEIRA DE FREITAS SOUZA</t>
  </si>
  <si>
    <t xml:space="preserve">POSTO SAN MARTIN</t>
  </si>
  <si>
    <t xml:space="preserve">MARIA RITA DA SILVA GALINDO</t>
  </si>
  <si>
    <t xml:space="preserve">MERCADO SUPER G</t>
  </si>
  <si>
    <t xml:space="preserve">ADRIANO AVALO FERREIRA</t>
  </si>
  <si>
    <t xml:space="preserve">REVISTARIA RUI BARBOSA</t>
  </si>
  <si>
    <t xml:space="preserve">MARIA FRANCISCA HOLANDA</t>
  </si>
  <si>
    <t xml:space="preserve">CARMEM COIMBA</t>
  </si>
  <si>
    <t xml:space="preserve">MERCEARIA DA CARMEM</t>
  </si>
  <si>
    <t xml:space="preserve">ERICA OLIVEIRA CORREA</t>
  </si>
  <si>
    <t xml:space="preserve">JANDEIR DE JESUS</t>
  </si>
  <si>
    <t xml:space="preserve">MERCEARIA DEGRAUS</t>
  </si>
  <si>
    <t xml:space="preserve">RCA-JOSE LEITE SOBRINHO</t>
  </si>
  <si>
    <t xml:space="preserve">NADIR MAIA DA SILVA</t>
  </si>
  <si>
    <t xml:space="preserve">ANTONIO HELIDO MOREIRA BACURAU</t>
  </si>
  <si>
    <t xml:space="preserve">CONVENIENCIA TOMATE</t>
  </si>
  <si>
    <t xml:space="preserve">DARCY RODRIGUES DOS SANTOS</t>
  </si>
  <si>
    <t xml:space="preserve">LANCH REST DOIS GAUCHOS</t>
  </si>
  <si>
    <t xml:space="preserve">LUCIANO AYALA</t>
  </si>
  <si>
    <t xml:space="preserve">NIVALDO TEXEIRA DA CRUZ</t>
  </si>
  <si>
    <t xml:space="preserve">CONVENIENCIA PEROBAR</t>
  </si>
  <si>
    <t xml:space="preserve">RONALDO DO NASCIMENTO BALASSO</t>
  </si>
  <si>
    <t xml:space="preserve">MERCEARIA BALASSO</t>
  </si>
  <si>
    <t xml:space="preserve">JOSEFA FERREIRA DANTAS</t>
  </si>
  <si>
    <t xml:space="preserve">STOP LANCHES</t>
  </si>
  <si>
    <t xml:space="preserve">CLEIDIANE CRISTINA SILVA PRUDENCIA</t>
  </si>
  <si>
    <t xml:space="preserve">LANCH BANDEJAO</t>
  </si>
  <si>
    <t xml:space="preserve">ELISSANDRA MAGALHAES MIGUEL</t>
  </si>
  <si>
    <t xml:space="preserve">MERCADO KM</t>
  </si>
  <si>
    <t xml:space="preserve">JOSE FERREIRA DOS SANTOS</t>
  </si>
  <si>
    <t xml:space="preserve">MARCIO CAETANO CAMARGO</t>
  </si>
  <si>
    <t xml:space="preserve">MARCIO</t>
  </si>
  <si>
    <t xml:space="preserve">ZENIR PEREIRA</t>
  </si>
  <si>
    <t xml:space="preserve">PAES E DOCE LANCHONETE</t>
  </si>
  <si>
    <t xml:space="preserve">SONIA APARECIDA ALVES DA SILVA</t>
  </si>
  <si>
    <t xml:space="preserve">PANIF BLACK FEST</t>
  </si>
  <si>
    <t xml:space="preserve">ALEXANDRE TAKEYUKI SATO</t>
  </si>
  <si>
    <t xml:space="preserve">SUPERMERCADO REDI</t>
  </si>
  <si>
    <t xml:space="preserve">CESAR PAEZ DOS SANTOS</t>
  </si>
  <si>
    <t xml:space="preserve">GILKA SIMONY NUNES</t>
  </si>
  <si>
    <t xml:space="preserve">PADARIA CONVENIENCIA NOVA JERUSALEM</t>
  </si>
  <si>
    <t xml:space="preserve">GUILHERME ALMEIDA CASTRO</t>
  </si>
  <si>
    <t xml:space="preserve">CONV DO VEIO</t>
  </si>
  <si>
    <t xml:space="preserve">JORCILEI DOS SANTOS</t>
  </si>
  <si>
    <t xml:space="preserve">LAUDETE MARIA BEVILAQUA</t>
  </si>
  <si>
    <t xml:space="preserve">MAIS Q PAO</t>
  </si>
  <si>
    <t xml:space="preserve">LUCILENE BEZERRA DA SILVA</t>
  </si>
  <si>
    <t xml:space="preserve">PAPS LANCHES</t>
  </si>
  <si>
    <t xml:space="preserve">SANDRA CRISTINA JANTORNO</t>
  </si>
  <si>
    <t xml:space="preserve">MERCADO PRUDENCIO</t>
  </si>
  <si>
    <t xml:space="preserve">PEDRO ALBERTO CUSTODIO</t>
  </si>
  <si>
    <t xml:space="preserve">SUZANA MARQUES</t>
  </si>
  <si>
    <t xml:space="preserve">FLAVIA MENDES MEDEIROS</t>
  </si>
  <si>
    <t xml:space="preserve">FLAVIA</t>
  </si>
  <si>
    <t xml:space="preserve">MARCIO COSTA CRISTO</t>
  </si>
  <si>
    <t xml:space="preserve">BAR DO MARCIO</t>
  </si>
  <si>
    <t xml:space="preserve">JOSE CARLOS DE ARAUJO FIQUEREDO</t>
  </si>
  <si>
    <t xml:space="preserve">JOSE CARLOS FRANCISCO PEREIRA</t>
  </si>
  <si>
    <t xml:space="preserve">PAULO CORREIA DA SILVA</t>
  </si>
  <si>
    <t xml:space="preserve">CONV COQUEIRO</t>
  </si>
  <si>
    <t xml:space="preserve">PEDRO NEMIAS MACHINSKY DA SILVA</t>
  </si>
  <si>
    <t xml:space="preserve">MERCADO E ACOUGUE DO LAR</t>
  </si>
  <si>
    <t xml:space="preserve">CLEBER WEIS CINTRA</t>
  </si>
  <si>
    <t xml:space="preserve">FRUTA E CIA</t>
  </si>
  <si>
    <t xml:space="preserve">MARGUARETH CARDOSO MENDES ME</t>
  </si>
  <si>
    <t xml:space="preserve">AKITEM MINI MERCADO</t>
  </si>
  <si>
    <t xml:space="preserve">PAULO DORTA OLIVEIRA JUNIOR</t>
  </si>
  <si>
    <t xml:space="preserve">BILHAR S.A.</t>
  </si>
  <si>
    <t xml:space="preserve">ADRIANO MARCOS QUINTANA ALVARES</t>
  </si>
  <si>
    <t xml:space="preserve">ALCINDO CARVALHO</t>
  </si>
  <si>
    <t xml:space="preserve">MERCEARIA MONTE SINAI</t>
  </si>
  <si>
    <t xml:space="preserve">CRISTIANE LESMO DE SOUZA</t>
  </si>
  <si>
    <t xml:space="preserve">CASAD CARNE E CONV BOI GRANDEN</t>
  </si>
  <si>
    <t xml:space="preserve">ELIANE MARQUES NOGUEIRA</t>
  </si>
  <si>
    <t xml:space="preserve">MERCADO DIMAR</t>
  </si>
  <si>
    <t xml:space="preserve">LUCIANO RODRIGUES DA PAZ</t>
  </si>
  <si>
    <t xml:space="preserve">LUCIANO</t>
  </si>
  <si>
    <t xml:space="preserve">MARIA CECILIA DE HOLANDA</t>
  </si>
  <si>
    <t xml:space="preserve">MONICA BATISTA DE OLIVEIRA</t>
  </si>
  <si>
    <t xml:space="preserve">RARUS</t>
  </si>
  <si>
    <t xml:space="preserve">VILMAR MARQUES FARIAS</t>
  </si>
  <si>
    <t xml:space="preserve">MERCADO CRILMAR</t>
  </si>
  <si>
    <t xml:space="preserve">WAGNER ADRIANO DOS SANTOS</t>
  </si>
  <si>
    <t xml:space="preserve">PANIF ITALIA</t>
  </si>
  <si>
    <t xml:space="preserve">VERONICA GONCALVES DA SILVA</t>
  </si>
  <si>
    <t xml:space="preserve">WILSON RODRIGUES VASCONCELOS</t>
  </si>
  <si>
    <t xml:space="preserve">PAULO CESAR GOMES</t>
  </si>
  <si>
    <t xml:space="preserve">MERCEARIA EBENEZER</t>
  </si>
  <si>
    <t xml:space="preserve">GUILHERME ALVES NUNES</t>
  </si>
  <si>
    <t xml:space="preserve">SOFIA LAURA SOUZA RIBEIRO</t>
  </si>
  <si>
    <t xml:space="preserve">ONILDO ANTUNES FERREIRA</t>
  </si>
  <si>
    <t xml:space="preserve">PANF. ANTUNES</t>
  </si>
  <si>
    <t xml:space="preserve">FATIMA FERREIRA SANTOS</t>
  </si>
  <si>
    <t xml:space="preserve">PANIF MILTON</t>
  </si>
  <si>
    <t xml:space="preserve">JOSE RIBAMAR DE MORAIS</t>
  </si>
  <si>
    <t xml:space="preserve">PANIF RIBAMAR</t>
  </si>
  <si>
    <t xml:space="preserve">APARECIDA DE FATIMA ZANDONA</t>
  </si>
  <si>
    <t xml:space="preserve">JB MERCEARIA</t>
  </si>
  <si>
    <t xml:space="preserve">GILMAR DIAS</t>
  </si>
  <si>
    <t xml:space="preserve">COMERCIAL DIAS</t>
  </si>
  <si>
    <t xml:space="preserve">KASUOMI MATSUDA</t>
  </si>
  <si>
    <t xml:space="preserve">ASSOCIACAO MEDICA</t>
  </si>
  <si>
    <t xml:space="preserve">CARMELITA NASCIMENTO DE OLIVEIRA</t>
  </si>
  <si>
    <t xml:space="preserve">JOAO ISAIAS STRADA</t>
  </si>
  <si>
    <t xml:space="preserve">COMERCIAL ZACARIAS</t>
  </si>
  <si>
    <t xml:space="preserve">MARCELO RODRIGUES BONFIM</t>
  </si>
  <si>
    <t xml:space="preserve">CONVENIENCIA TODO SANTO DIA</t>
  </si>
  <si>
    <t xml:space="preserve">MARIA DO SOCORRO DA COSTA</t>
  </si>
  <si>
    <t xml:space="preserve">RAMAO FRANCO</t>
  </si>
  <si>
    <t xml:space="preserve">MERCADO NOVA ALIANCA</t>
  </si>
  <si>
    <t xml:space="preserve">WILSON SILVA DA ROCHA</t>
  </si>
  <si>
    <t xml:space="preserve">CONVENIENCIA PARECE</t>
  </si>
  <si>
    <t xml:space="preserve">EDIVALDO LUTE DIAS</t>
  </si>
  <si>
    <t xml:space="preserve">CELMA CLARICE ROD MEDEIROS</t>
  </si>
  <si>
    <t xml:space="preserve">HUDSON MARCELO DA SILVA ARRUDA</t>
  </si>
  <si>
    <t xml:space="preserve">HUDSON MARCELO CABELERIROS</t>
  </si>
  <si>
    <t xml:space="preserve">MARCIO IZAQUE SENTURIAO RIOS</t>
  </si>
  <si>
    <t xml:space="preserve">MERCEARIA RIOS</t>
  </si>
  <si>
    <t xml:space="preserve">NELSON ADAO</t>
  </si>
  <si>
    <t xml:space="preserve">COM SANTO EXPEDITO</t>
  </si>
  <si>
    <t xml:space="preserve">ALEXANDRE GONCALVES SILVA</t>
  </si>
  <si>
    <t xml:space="preserve">MARCIA MARIA DA COSTA</t>
  </si>
  <si>
    <t xml:space="preserve">CONVENIENCIA MONTE VIDEO</t>
  </si>
  <si>
    <t xml:space="preserve">OTILHA APARECIDA DE OLIVEIRA</t>
  </si>
  <si>
    <t xml:space="preserve">VAMILTO JOSE MARTINS</t>
  </si>
  <si>
    <t xml:space="preserve">J A2 LED</t>
  </si>
  <si>
    <t xml:space="preserve">WASHINGTON LUIZ VALIM MARTINS</t>
  </si>
  <si>
    <t xml:space="preserve">MINI MERCADO CENTRO OESTE</t>
  </si>
  <si>
    <t xml:space="preserve">LUCIANO FREITAS BRANDAO</t>
  </si>
  <si>
    <t xml:space="preserve">REST E LANCHONETE IAN MARTINS</t>
  </si>
  <si>
    <t xml:space="preserve">NARCISO DOS SANTOS</t>
  </si>
  <si>
    <t xml:space="preserve">MERCEARIA CAMISAO</t>
  </si>
  <si>
    <t xml:space="preserve">VALDINEI FRANCISCO DE AZEVEDO</t>
  </si>
  <si>
    <t xml:space="preserve">FRIOS E CONVENIENCIA AZEVEDO</t>
  </si>
  <si>
    <t xml:space="preserve">CRISTHIANE DOS SANTOS OLIVEIRA ROCHA</t>
  </si>
  <si>
    <t xml:space="preserve">MERCADINHO DO PEBA</t>
  </si>
  <si>
    <t xml:space="preserve">NOELI ROLIN DE  MOURA</t>
  </si>
  <si>
    <t xml:space="preserve">MAX PAO</t>
  </si>
  <si>
    <t xml:space="preserve">ARETEREIA TAVARES PELLICIANE</t>
  </si>
  <si>
    <t xml:space="preserve">SEDUCAO</t>
  </si>
  <si>
    <t xml:space="preserve">EWERTON SANDIM BACARGI</t>
  </si>
  <si>
    <t xml:space="preserve">EWERTON SANDIN BACARGI</t>
  </si>
  <si>
    <t xml:space="preserve">MARILENE FERREIRA DOS SANTOS SANTANA</t>
  </si>
  <si>
    <t xml:space="preserve">NAIMAR APARECIDA SOARES</t>
  </si>
  <si>
    <t xml:space="preserve">SM ESTRELA</t>
  </si>
  <si>
    <t xml:space="preserve">WALDECIR LOSEANO PINHO</t>
  </si>
  <si>
    <t xml:space="preserve">PANIF PAO DE MEL</t>
  </si>
  <si>
    <t xml:space="preserve">MARCIO HARUO KOCHIYAMA</t>
  </si>
  <si>
    <t xml:space="preserve">COSMETIC CENTER</t>
  </si>
  <si>
    <t xml:space="preserve">ANTONIETA ROSA DE MORAES</t>
  </si>
  <si>
    <t xml:space="preserve">REST A CUIABANA</t>
  </si>
  <si>
    <t xml:space="preserve">KEILA MOREIRA MACIEL</t>
  </si>
  <si>
    <t xml:space="preserve">LUIZ MACHADO DA SILVA NETO</t>
  </si>
  <si>
    <t xml:space="preserve">RONILDA GRANCE PEREIRA</t>
  </si>
  <si>
    <t xml:space="preserve">CONVENIENCIA RUMY</t>
  </si>
  <si>
    <t xml:space="preserve">SOLANGE M L SANTANA</t>
  </si>
  <si>
    <t xml:space="preserve">AUTO POSTO CARANDA BOSQUE</t>
  </si>
  <si>
    <t xml:space="preserve">CARLOS SIDINEY RODRIGUES SAMPAIO</t>
  </si>
  <si>
    <t xml:space="preserve">CARLINHO LANCHES</t>
  </si>
  <si>
    <t xml:space="preserve">EDUARDO BIRACY RIBEIRO</t>
  </si>
  <si>
    <t xml:space="preserve">CONVENIENCIA NOSSO POINT</t>
  </si>
  <si>
    <t xml:space="preserve">RENATO SOARES</t>
  </si>
  <si>
    <t xml:space="preserve">RENATO</t>
  </si>
  <si>
    <t xml:space="preserve">SUELI WENZ</t>
  </si>
  <si>
    <t xml:space="preserve">SACOLAO DA MATA</t>
  </si>
  <si>
    <t xml:space="preserve">ROZALIA RODRIGUES BEZERRA ROSA</t>
  </si>
  <si>
    <t xml:space="preserve">CONVENIENCIA JRE</t>
  </si>
  <si>
    <t xml:space="preserve">MARIA RAMONA NOBREGA</t>
  </si>
  <si>
    <t xml:space="preserve">LUDELCA DORNELES DOS SANTOS ME</t>
  </si>
  <si>
    <t xml:space="preserve">MERCADO MANO</t>
  </si>
  <si>
    <t xml:space="preserve">HELIONAY FARIAS DE CAMPOS</t>
  </si>
  <si>
    <t xml:space="preserve">REP - 03</t>
  </si>
  <si>
    <t xml:space="preserve">JOSE PAULO</t>
  </si>
  <si>
    <t xml:space="preserve">SACOLAO BOM SUCESSO</t>
  </si>
  <si>
    <t xml:space="preserve">LAURA CORTEZ SZCZYPIOR</t>
  </si>
  <si>
    <t xml:space="preserve">MERCEARIA PREVISUL</t>
  </si>
  <si>
    <t xml:space="preserve">JOSE PEREIRA DA SILVA</t>
  </si>
  <si>
    <t xml:space="preserve">PANIF O PROGRESSO</t>
  </si>
  <si>
    <t xml:space="preserve">ANDERSON DOS SANTOS LACERDA</t>
  </si>
  <si>
    <t xml:space="preserve">CONV LACERDA</t>
  </si>
  <si>
    <t xml:space="preserve">GIOVANA VALDEZ MOTTI</t>
  </si>
  <si>
    <t xml:space="preserve">LUIZ PERGHER</t>
  </si>
  <si>
    <t xml:space="preserve">CHUR GAUCHA CHIMARRAO</t>
  </si>
  <si>
    <t xml:space="preserve">MARCOS TRIZOTTI</t>
  </si>
  <si>
    <t xml:space="preserve">MERCEARIA DO FLAVIO</t>
  </si>
  <si>
    <t xml:space="preserve">SANDRA CRISTINA RIBEIRO SOARES</t>
  </si>
  <si>
    <t xml:space="preserve">CONVENIENCIA POSTO</t>
  </si>
  <si>
    <t xml:space="preserve">LUDIO ROMEIRO IHANN</t>
  </si>
  <si>
    <t xml:space="preserve">MERCEARIA IHANN</t>
  </si>
  <si>
    <t xml:space="preserve">ANA ALICE PAGONI</t>
  </si>
  <si>
    <t xml:space="preserve">ROSINEIDE ALVES DA SILVA SANTOS</t>
  </si>
  <si>
    <t xml:space="preserve">ABELARDO DA SILVA MOREIRA</t>
  </si>
  <si>
    <t xml:space="preserve">ALMERINDA MARQUES</t>
  </si>
  <si>
    <t xml:space="preserve">PET SHOP</t>
  </si>
  <si>
    <t xml:space="preserve">CLAUDINEI N. BONATO</t>
  </si>
  <si>
    <t xml:space="preserve">JULIAM</t>
  </si>
  <si>
    <t xml:space="preserve">JULIANO ARAUJO MACHADO</t>
  </si>
  <si>
    <t xml:space="preserve">LUCIEN RODRIGO LIMA</t>
  </si>
  <si>
    <t xml:space="preserve">LUIZ CARLOS MARQUES</t>
  </si>
  <si>
    <t xml:space="preserve">DOANRIA DA SILVA REIS</t>
  </si>
  <si>
    <t xml:space="preserve">EVERALDO APARECIDO PIGENTINI</t>
  </si>
  <si>
    <t xml:space="preserve">MERCADO NETO</t>
  </si>
  <si>
    <t xml:space="preserve">ADILSON GONCALVES DE OLIVEIRA</t>
  </si>
  <si>
    <t xml:space="preserve">MERCADINHO E CONV OLIVEIRA</t>
  </si>
  <si>
    <t xml:space="preserve">FABRICIO WIGGERS</t>
  </si>
  <si>
    <t xml:space="preserve">CONV CORDIL</t>
  </si>
  <si>
    <t xml:space="preserve">VULMIR ROSSATO</t>
  </si>
  <si>
    <t xml:space="preserve">CONVENIENCIA TAPAJOS</t>
  </si>
  <si>
    <t xml:space="preserve">CLAUDIOMIRO JOSE PAVI</t>
  </si>
  <si>
    <t xml:space="preserve">MERC SAO JOSE</t>
  </si>
  <si>
    <t xml:space="preserve">MARLISE INES KOTTVITZ</t>
  </si>
  <si>
    <t xml:space="preserve">JOSE DUARTE GOMES</t>
  </si>
  <si>
    <t xml:space="preserve">SUPERMERCADO RENDE MAIS</t>
  </si>
  <si>
    <t xml:space="preserve">LUIZ ALEXIS BARBOZA DAVILLA</t>
  </si>
  <si>
    <t xml:space="preserve">NOSSO BAR</t>
  </si>
  <si>
    <t xml:space="preserve">APARECIDA ALVES DE ARAUJO CEZARI</t>
  </si>
  <si>
    <t xml:space="preserve">EDILEIA FONSECA DOS SANTOS</t>
  </si>
  <si>
    <t xml:space="preserve">CONV LOPES</t>
  </si>
  <si>
    <t xml:space="preserve">ELIANE DE SOUZA MOURA</t>
  </si>
  <si>
    <t xml:space="preserve">JOSE EDUARDO GAZOLLA</t>
  </si>
  <si>
    <t xml:space="preserve">MERCEARIA ACOUGUE NOSSA SRA APARECIDA</t>
  </si>
  <si>
    <t xml:space="preserve">APARECIDA DA SILVA OLIVEIRA</t>
  </si>
  <si>
    <t xml:space="preserve">ARGEMIRO DE SOUZA</t>
  </si>
  <si>
    <t xml:space="preserve">CARLA TAKISHITA SATO</t>
  </si>
  <si>
    <t xml:space="preserve">MERCADO DO SUL</t>
  </si>
  <si>
    <t xml:space="preserve">IVANA MOSQUEIRA AMARAL</t>
  </si>
  <si>
    <t xml:space="preserve">MERCADO PRICILA</t>
  </si>
  <si>
    <t xml:space="preserve">JAIR PEREIRA FARIAS</t>
  </si>
  <si>
    <t xml:space="preserve">MARCELINO APARECIDO M MEDINA</t>
  </si>
  <si>
    <t xml:space="preserve">BAR MERCEARIA MEDINA</t>
  </si>
  <si>
    <t xml:space="preserve">MARCIA NAZARETH COSTA DE OLIVEIRA</t>
  </si>
  <si>
    <t xml:space="preserve">MARIA NAZARETH COSTA DE O.</t>
  </si>
  <si>
    <t xml:space="preserve">MARIA ELIENI DA COSTA NUNES</t>
  </si>
  <si>
    <t xml:space="preserve">MERCADO KAIROS</t>
  </si>
  <si>
    <t xml:space="preserve">MERCADO EXTRA BOM LTDA</t>
  </si>
  <si>
    <t xml:space="preserve">MERCDO EXTRA BOM</t>
  </si>
  <si>
    <t xml:space="preserve">NILSA DOS SANTOS ROSA - ME</t>
  </si>
  <si>
    <t xml:space="preserve">SACOLAO UNIAO</t>
  </si>
  <si>
    <t xml:space="preserve">ZILDA DE SOUZA</t>
  </si>
  <si>
    <t xml:space="preserve">TUKA CONVENIENCIA</t>
  </si>
  <si>
    <t xml:space="preserve">MARIA SUENIA DE LIMA ROMEIRO</t>
  </si>
  <si>
    <t xml:space="preserve">MARLEY RODRIGUES NOGUEIRA</t>
  </si>
  <si>
    <t xml:space="preserve">CLAUDIONIZIO ARAUJO DO NASCIMENTO</t>
  </si>
  <si>
    <t xml:space="preserve">TIA PRETA BAR</t>
  </si>
  <si>
    <t xml:space="preserve">LURDES ALVES DE SOUZA</t>
  </si>
  <si>
    <t xml:space="preserve">JOSE ROBERTO FRANCA SOARES</t>
  </si>
  <si>
    <t xml:space="preserve">MISTER BEEF</t>
  </si>
  <si>
    <t xml:space="preserve">LEIA SIMARA CARNEIRA</t>
  </si>
  <si>
    <t xml:space="preserve">VILSON CUBA</t>
  </si>
  <si>
    <t xml:space="preserve">GISELY NOGUEIRA MOLINA</t>
  </si>
  <si>
    <t xml:space="preserve">MARIA APARECIDA DOS REYS SANTOS</t>
  </si>
  <si>
    <t xml:space="preserve">MERCEARIA CAMPO GRANDE</t>
  </si>
  <si>
    <t xml:space="preserve">CELIA LIA DOS SANTOS SILVA</t>
  </si>
  <si>
    <t xml:space="preserve">DAVI DE JESUS LUCAS</t>
  </si>
  <si>
    <t xml:space="preserve">EDMIR CLARO JUNIOR</t>
  </si>
  <si>
    <t xml:space="preserve">RICARDO ULISSES SOUZA</t>
  </si>
  <si>
    <t xml:space="preserve">PANF BOA VISTA</t>
  </si>
  <si>
    <t xml:space="preserve">ADAO DE OLIVEIRA DA SILVA</t>
  </si>
  <si>
    <t xml:space="preserve">MERCADO IMAGEM</t>
  </si>
  <si>
    <t xml:space="preserve">KATIA CRISTINA SANTOS SAMPAIO</t>
  </si>
  <si>
    <t xml:space="preserve">ADESIO VAZ PEREIRA</t>
  </si>
  <si>
    <t xml:space="preserve">CANTINA MAIS SABOR</t>
  </si>
  <si>
    <t xml:space="preserve">FERNANDES DUSZEIKO</t>
  </si>
  <si>
    <t xml:space="preserve">MERCEARIA DO FERNANDES</t>
  </si>
  <si>
    <t xml:space="preserve">MARIA SOLIDADE DE LIMA ALVES</t>
  </si>
  <si>
    <t xml:space="preserve">SOLANGE SORES DE OLIVEIRA</t>
  </si>
  <si>
    <t xml:space="preserve">MERC BONFIN</t>
  </si>
  <si>
    <t xml:space="preserve">ROSELI DA SILVA</t>
  </si>
  <si>
    <t xml:space="preserve">MERCADO PAG MENOS</t>
  </si>
  <si>
    <t xml:space="preserve">SONIA APARECIDA TOLEDO MOREL</t>
  </si>
  <si>
    <t xml:space="preserve">CANTINA TOLEDO</t>
  </si>
  <si>
    <t xml:space="preserve">KO COMERCIO DE FRUTAS E RERDURAS LTDA</t>
  </si>
  <si>
    <t xml:space="preserve">EDMILSON CASSARE</t>
  </si>
  <si>
    <t xml:space="preserve">DIST BEB MILELLNNIUM</t>
  </si>
  <si>
    <t xml:space="preserve">IOLANDA DAS DORES N FONSECA</t>
  </si>
  <si>
    <t xml:space="preserve">JOSE AUGUSTO RODRIGUES</t>
  </si>
  <si>
    <t xml:space="preserve">MARIA MARGARETE BORGES</t>
  </si>
  <si>
    <t xml:space="preserve">NEUSA BRITES TEIXEIRA</t>
  </si>
  <si>
    <t xml:space="preserve">ROSAMARIA DE LIMA ACOSTA</t>
  </si>
  <si>
    <t xml:space="preserve">SM 2004</t>
  </si>
  <si>
    <t xml:space="preserve">VIVIENE ARAUJO</t>
  </si>
  <si>
    <t xml:space="preserve">MERCEARIA VIVIANE</t>
  </si>
  <si>
    <t xml:space="preserve">DIRNEIA SOLANGE PINHEIRO</t>
  </si>
  <si>
    <t xml:space="preserve">KATIA ALINE UENO</t>
  </si>
  <si>
    <t xml:space="preserve">DOURAFOGO</t>
  </si>
  <si>
    <t xml:space="preserve">MARIA MARCIA ARAUJO FEITOSA</t>
  </si>
  <si>
    <t xml:space="preserve">MIL DELICIAS</t>
  </si>
  <si>
    <t xml:space="preserve">NEUROLINA OLIVEIRA ATAIDE</t>
  </si>
  <si>
    <t xml:space="preserve">CONVENIENCIA DA MARCIA</t>
  </si>
  <si>
    <t xml:space="preserve">VALMIR LUNARDO DA SILVA</t>
  </si>
  <si>
    <t xml:space="preserve">ACOUGUE LUNARDO</t>
  </si>
  <si>
    <t xml:space="preserve">EDER LINCON RIBEIRO COUTINHO</t>
  </si>
  <si>
    <t xml:space="preserve">CONV NOSSA SR APAREECIDA</t>
  </si>
  <si>
    <t xml:space="preserve">EDILSON JOAO DE OLIVEIRA</t>
  </si>
  <si>
    <t xml:space="preserve">LUCIANA SALES TOZZO</t>
  </si>
  <si>
    <t xml:space="preserve">LUIZ CALAZANS DA SILVA</t>
  </si>
  <si>
    <t xml:space="preserve">CAFE EXPRESSO ORIENTE</t>
  </si>
  <si>
    <t xml:space="preserve">PEDRO B PEREIRA GONCALVES</t>
  </si>
  <si>
    <t xml:space="preserve">ANGELITA DE LIMA DA SILVA</t>
  </si>
  <si>
    <t xml:space="preserve">LANCHONETE BETHANIA</t>
  </si>
  <si>
    <t xml:space="preserve">GILDETE GREGORIO CHAVES</t>
  </si>
  <si>
    <t xml:space="preserve">MINI MERCADO CACHOEIRINHA</t>
  </si>
  <si>
    <t xml:space="preserve">LUCIANE RIBEIRO MENDES</t>
  </si>
  <si>
    <t xml:space="preserve">MERCEARIA DO FERRINHO</t>
  </si>
  <si>
    <t xml:space="preserve">EMILENE CRETO FERNANDES</t>
  </si>
  <si>
    <t xml:space="preserve">TRIGO DA TERRA</t>
  </si>
  <si>
    <t xml:space="preserve">ANDERSON DOMINGOS</t>
  </si>
  <si>
    <t xml:space="preserve">PANIF REGINA</t>
  </si>
  <si>
    <t xml:space="preserve">IRONE DIAS CAMARGO</t>
  </si>
  <si>
    <t xml:space="preserve">JOAO CARLOS DE SOUZA FREITAS</t>
  </si>
  <si>
    <t xml:space="preserve">JOAO CARLOS</t>
  </si>
  <si>
    <t xml:space="preserve">MARCOS CAMARGO DE ABRAO</t>
  </si>
  <si>
    <t xml:space="preserve">SILVANA MARICETA FREITAS DA CRUZ</t>
  </si>
  <si>
    <t xml:space="preserve">EVALDO PERREIRA LIMA</t>
  </si>
  <si>
    <t xml:space="preserve">PADARIA E MERC BR PAR</t>
  </si>
  <si>
    <t xml:space="preserve">JOSE ANTONIO BATISTA</t>
  </si>
  <si>
    <t xml:space="preserve">ROSEMAR ANTONIO ROSALEAL</t>
  </si>
  <si>
    <t xml:space="preserve">IVANA PESUSFI GONCALVES</t>
  </si>
  <si>
    <t xml:space="preserve">MERCEARIA ITALIA</t>
  </si>
  <si>
    <t xml:space="preserve">JOSE ALVES DA SILVA</t>
  </si>
  <si>
    <t xml:space="preserve">MERCADO ZE MARRETA</t>
  </si>
  <si>
    <t xml:space="preserve">MOISES SIMOES DA MATA</t>
  </si>
  <si>
    <t xml:space="preserve">MERCEARIA LEO</t>
  </si>
  <si>
    <t xml:space="preserve">JOSE APARECIDO PIRES DE OLIVEIRA</t>
  </si>
  <si>
    <t xml:space="preserve">MARCILEI CIQUEIRA</t>
  </si>
  <si>
    <t xml:space="preserve">MARIA CARLA FERREIRA SILVA</t>
  </si>
  <si>
    <t xml:space="preserve">MARIA DINO PEREIRA</t>
  </si>
  <si>
    <t xml:space="preserve">MERCEARIA MATOS</t>
  </si>
  <si>
    <t xml:space="preserve">MARIA ROSANGELA LOPES</t>
  </si>
  <si>
    <t xml:space="preserve">JENISON REGIBERTO DE MELO</t>
  </si>
  <si>
    <t xml:space="preserve">LEVENSON ENER DE OLIVEIRA BARBOSA</t>
  </si>
  <si>
    <t xml:space="preserve">TOP BIER CONVENIENCIA</t>
  </si>
  <si>
    <t xml:space="preserve">MARCIA DUARTE DE OLIVEIRA LOPES</t>
  </si>
  <si>
    <t xml:space="preserve">FRUTARIA PANTANAL</t>
  </si>
  <si>
    <t xml:space="preserve">MARLY ALVES</t>
  </si>
  <si>
    <t xml:space="preserve">ALVES MERCEARIA</t>
  </si>
  <si>
    <t xml:space="preserve">RUTE FIDELES DA SILVA</t>
  </si>
  <si>
    <t xml:space="preserve">ULISSES COLOMBO E SILVA</t>
  </si>
  <si>
    <t xml:space="preserve">MERCEARIA MEU CANTINHO</t>
  </si>
  <si>
    <t xml:space="preserve">JUNIEL GOULART JACQUES</t>
  </si>
  <si>
    <t xml:space="preserve">APARECIDA SILVA DE OLIVEIRA</t>
  </si>
  <si>
    <t xml:space="preserve">CELSO ROSA BRAZ</t>
  </si>
  <si>
    <t xml:space="preserve">CLEIDE DOMINGUES TADEU VENTURA</t>
  </si>
  <si>
    <t xml:space="preserve">ELLI GIMENEZ SANTANA</t>
  </si>
  <si>
    <t xml:space="preserve">EUNICE RODRIGUES DE SOUZA</t>
  </si>
  <si>
    <t xml:space="preserve">MERCEARIA ASSIS</t>
  </si>
  <si>
    <t xml:space="preserve">GEANE PAULA SOARES</t>
  </si>
  <si>
    <t xml:space="preserve">MERCEARIA GENAE</t>
  </si>
  <si>
    <t xml:space="preserve">LUIS MARCIO MARQUES DE CASTRO</t>
  </si>
  <si>
    <t xml:space="preserve">RCA-MARCOS RONCHI DE ARAUJO</t>
  </si>
  <si>
    <t xml:space="preserve">REPRESENTANTE PRACA</t>
  </si>
  <si>
    <t xml:space="preserve">ORICO PINTO</t>
  </si>
  <si>
    <t xml:space="preserve">PANF STA IZABEL</t>
  </si>
  <si>
    <t xml:space="preserve">SUELY DE FATIMA DA SILVA</t>
  </si>
  <si>
    <t xml:space="preserve">MERCEARIA VIVENDAS</t>
  </si>
  <si>
    <t xml:space="preserve">ANTONIO RENATO BRESSIANI</t>
  </si>
  <si>
    <t xml:space="preserve">CONVENIENCIA BADARO</t>
  </si>
  <si>
    <t xml:space="preserve">ANDREIA ALVES DA SILVA</t>
  </si>
  <si>
    <t xml:space="preserve">MERCEARIA ALVEZ DA SILVA</t>
  </si>
  <si>
    <t xml:space="preserve">ROSA MARIA DE MOURA PAIM</t>
  </si>
  <si>
    <t xml:space="preserve">POSTO NSRA APARECIDA</t>
  </si>
  <si>
    <t xml:space="preserve">TEREZINHA FRAGATO DE OLIVEIRA</t>
  </si>
  <si>
    <t xml:space="preserve">PADARIA DO JOAO</t>
  </si>
  <si>
    <t xml:space="preserve">ANNE VANESSA VARGAS PINHEIRO</t>
  </si>
  <si>
    <t xml:space="preserve">DEJAIR PEREIRA</t>
  </si>
  <si>
    <t xml:space="preserve">SACOLAO TIRADENTES</t>
  </si>
  <si>
    <t xml:space="preserve">AGUINALDO OLIVEIRA DOLORES</t>
  </si>
  <si>
    <t xml:space="preserve">SINUCA BAR</t>
  </si>
  <si>
    <t xml:space="preserve">LAURA DEIZE ARGUELHO</t>
  </si>
  <si>
    <t xml:space="preserve">MERCEARIA RIBEIROS</t>
  </si>
  <si>
    <t xml:space="preserve">LUCIANO SILVESTRE DE BRITO</t>
  </si>
  <si>
    <t xml:space="preserve">MERCEARIA SILVESTRE</t>
  </si>
  <si>
    <t xml:space="preserve">MARCELO CRIVELLI</t>
  </si>
  <si>
    <t xml:space="preserve">MARCELO</t>
  </si>
  <si>
    <t xml:space="preserve">MARCIO COSTA BALBUENO</t>
  </si>
  <si>
    <t xml:space="preserve">MERC.BALBUENO</t>
  </si>
  <si>
    <t xml:space="preserve">NEUCI PEDRINHA SALES</t>
  </si>
  <si>
    <t xml:space="preserve">MERC ESTRELA</t>
  </si>
  <si>
    <t xml:space="preserve">PABLO ANDERSON ACOSTA</t>
  </si>
  <si>
    <t xml:space="preserve">PABLO</t>
  </si>
  <si>
    <t xml:space="preserve">VANDERLEI BELARMINO DA SILVA</t>
  </si>
  <si>
    <t xml:space="preserve">SUZETE CORDEIRO MISSENA</t>
  </si>
  <si>
    <t xml:space="preserve">CONVENIENCIA SOARES</t>
  </si>
  <si>
    <t xml:space="preserve">ELISANGELA MARIA DE LIMA</t>
  </si>
  <si>
    <t xml:space="preserve">HEBER GUIMARAES DA COSTA</t>
  </si>
  <si>
    <t xml:space="preserve">REAL CESTA BASICA</t>
  </si>
  <si>
    <t xml:space="preserve">IZABEL APARECIDA DA SILVA</t>
  </si>
  <si>
    <t xml:space="preserve">CANTINA SEC.SAUDE PQ.PODERES</t>
  </si>
  <si>
    <t xml:space="preserve">ROGERIO FERREIRA DE ALMEIDA</t>
  </si>
  <si>
    <t xml:space="preserve">ALFA MINI MERCADO</t>
  </si>
  <si>
    <t xml:space="preserve">SIRLEI TERESINHA SCHEFER</t>
  </si>
  <si>
    <t xml:space="preserve">SM AMIGAO II</t>
  </si>
  <si>
    <t xml:space="preserve">IVANEI CAREGNATTO</t>
  </si>
  <si>
    <t xml:space="preserve">CASA DE CARNE TOME</t>
  </si>
  <si>
    <t xml:space="preserve">SILVANO ROBERTO JARDIM</t>
  </si>
  <si>
    <t xml:space="preserve">ADRIANO ALENCAR LOPES ZAMORA</t>
  </si>
  <si>
    <t xml:space="preserve">CONVENIENCIA PONTO 2</t>
  </si>
  <si>
    <t xml:space="preserve">JOAO CARLOS SORILHA</t>
  </si>
  <si>
    <t xml:space="preserve">JOSIMAR DIAS FERREIRA</t>
  </si>
  <si>
    <t xml:space="preserve">J &amp; M CONVENIENCIAS</t>
  </si>
  <si>
    <t xml:space="preserve">KELLY CRISTINA FERNANDES F.LOPES</t>
  </si>
  <si>
    <t xml:space="preserve">PANIF LOPES</t>
  </si>
  <si>
    <t xml:space="preserve">GIDIO GUINGO FILHO</t>
  </si>
  <si>
    <t xml:space="preserve">PADARIA KI-PAO</t>
  </si>
  <si>
    <t xml:space="preserve">EMERSON YAMAKAWA</t>
  </si>
  <si>
    <t xml:space="preserve">TOMODAT'S</t>
  </si>
  <si>
    <t xml:space="preserve">CLEUNICE DA SILVA BATISTA</t>
  </si>
  <si>
    <t xml:space="preserve">ACOUGUE SAO JOAO II</t>
  </si>
  <si>
    <t xml:space="preserve">MAURO DA SILVA COSTA</t>
  </si>
  <si>
    <t xml:space="preserve">CONVENIENCIA LARA</t>
  </si>
  <si>
    <t xml:space="preserve">NILSON ALMEIDA BITENCOURT</t>
  </si>
  <si>
    <t xml:space="preserve">MERCADO BITENCOURT</t>
  </si>
  <si>
    <t xml:space="preserve">EDNA SOARES CARVALHO</t>
  </si>
  <si>
    <t xml:space="preserve">MERCADO BONAN€A</t>
  </si>
  <si>
    <t xml:space="preserve">EDINA DE FATIMA V. DE MELO</t>
  </si>
  <si>
    <t xml:space="preserve">FRANCISCO ANTONIO CARNAUBA</t>
  </si>
  <si>
    <t xml:space="preserve">MERCEARIA E FRUTARIA DO GORDINHO</t>
  </si>
  <si>
    <t xml:space="preserve">ALYSSON GUERRA</t>
  </si>
  <si>
    <t xml:space="preserve">MERCADO TIRADENTES</t>
  </si>
  <si>
    <t xml:space="preserve">LAUDIMARA JARA VIEIRA</t>
  </si>
  <si>
    <t xml:space="preserve">+ QUI PAO</t>
  </si>
  <si>
    <t xml:space="preserve">MARCOS BARBOSA FARINA</t>
  </si>
  <si>
    <t xml:space="preserve">JUSCEMI DOMICIANO CAMPOS</t>
  </si>
  <si>
    <t xml:space="preserve">MERCEARIA E CONV KIM</t>
  </si>
  <si>
    <t xml:space="preserve">MARIA DIAS MORAIS SANTOS</t>
  </si>
  <si>
    <t xml:space="preserve">ALYSON ZANAN FELIX</t>
  </si>
  <si>
    <t xml:space="preserve">MERCEARIA FELIX</t>
  </si>
  <si>
    <t xml:space="preserve">OTILIA M ARITE CACERES VEIGA</t>
  </si>
  <si>
    <t xml:space="preserve">MERCADO OTILIA</t>
  </si>
  <si>
    <t xml:space="preserve">RONALDO DANILO LIMA SILVA</t>
  </si>
  <si>
    <t xml:space="preserve">RODRIGUES CONVENIENCIA</t>
  </si>
  <si>
    <t xml:space="preserve">ALMIR KLAGEMBERG</t>
  </si>
  <si>
    <t xml:space="preserve">EDMAR JOSE GOMES</t>
  </si>
  <si>
    <t xml:space="preserve">PAD ALGODAO DOCE</t>
  </si>
  <si>
    <t xml:space="preserve">BRAULIO GOMES DE ARRUDA DIAS</t>
  </si>
  <si>
    <t xml:space="preserve">MIRIA PASCHOAL DOS SANTOS RAMALHO</t>
  </si>
  <si>
    <t xml:space="preserve">MERCADO DO GUM</t>
  </si>
  <si>
    <t xml:space="preserve">ROSILENE LEITE FERREIRA</t>
  </si>
  <si>
    <t xml:space="preserve">VALDELIR JOSE PINTO</t>
  </si>
  <si>
    <t xml:space="preserve">CLOVES PEREIRA DA SILVA</t>
  </si>
  <si>
    <t xml:space="preserve">SKIMEL 2</t>
  </si>
  <si>
    <t xml:space="preserve">EDILSON A. DE LIMA</t>
  </si>
  <si>
    <t xml:space="preserve">CORDIL CONVENIENCIA</t>
  </si>
  <si>
    <t xml:space="preserve">VANDERLEI NASCIMENTO DANTAS</t>
  </si>
  <si>
    <t xml:space="preserve">MERCADO DANTAS</t>
  </si>
  <si>
    <t xml:space="preserve">MARCELO FANTINEL</t>
  </si>
  <si>
    <t xml:space="preserve">4</t>
  </si>
  <si>
    <t xml:space="preserve">MODESTA MOURA CACERES</t>
  </si>
  <si>
    <t xml:space="preserve">MERCEARIA 3 IRMAOS</t>
  </si>
  <si>
    <t xml:space="preserve">ITAMAR JOSE SOPRAN</t>
  </si>
  <si>
    <t xml:space="preserve">CHURRASCARIA GRAMO</t>
  </si>
  <si>
    <t xml:space="preserve">TEONILO BARBOZA ALVES JUNIOR</t>
  </si>
  <si>
    <t xml:space="preserve">CASA BARBOZA</t>
  </si>
  <si>
    <t xml:space="preserve">ZONILDE GEDRO MACHADO</t>
  </si>
  <si>
    <t xml:space="preserve">JZ MERCEARIA CASA CARNES</t>
  </si>
  <si>
    <t xml:space="preserve">MARCIO RODRIGUES LIMEIRA</t>
  </si>
  <si>
    <t xml:space="preserve">MERCEARIA MARCIO</t>
  </si>
  <si>
    <t xml:space="preserve">CELITA MARIA DE PAULA COELHO</t>
  </si>
  <si>
    <t xml:space="preserve">BULICHO VARIEDADES</t>
  </si>
  <si>
    <t xml:space="preserve">JACINTO GIMENES</t>
  </si>
  <si>
    <t xml:space="preserve">MERCEARIA JACINTO</t>
  </si>
  <si>
    <t xml:space="preserve">MAYRA OLIVEIRA DE SOUZA</t>
  </si>
  <si>
    <t xml:space="preserve">MERCADO E ACOUGUE POPULAR</t>
  </si>
  <si>
    <t xml:space="preserve">EDEVIRGEM OLIVEIRA DE JESUS</t>
  </si>
  <si>
    <t xml:space="preserve">DEPOSITO LIQUIGAZ</t>
  </si>
  <si>
    <t xml:space="preserve">JOSE RENATO DE MELO</t>
  </si>
  <si>
    <t xml:space="preserve">MERCADINHO MELO</t>
  </si>
  <si>
    <t xml:space="preserve">SANDRA MARA BRESSAN</t>
  </si>
  <si>
    <t xml:space="preserve">LANCH GABRIELA</t>
  </si>
  <si>
    <t xml:space="preserve">ELIZABETH LARGO</t>
  </si>
  <si>
    <t xml:space="preserve">MERCEARIA DA ELIZA</t>
  </si>
  <si>
    <t xml:space="preserve">ELSIO MACIEL AREVALO</t>
  </si>
  <si>
    <t xml:space="preserve">SONIA MARIZA PESSI</t>
  </si>
  <si>
    <t xml:space="preserve">PANF DOIS IRMAOS</t>
  </si>
  <si>
    <t xml:space="preserve">EDER ANTONIO DE SOUZA</t>
  </si>
  <si>
    <t xml:space="preserve">PATRICIA APARECIDA SANTOS RICCI</t>
  </si>
  <si>
    <t xml:space="preserve">BAR WILLIAN</t>
  </si>
  <si>
    <t xml:space="preserve">MARIA DE LOURDES COSTUERA SMANIOTTO</t>
  </si>
  <si>
    <t xml:space="preserve">MINI MERCADO SMANIOTTO</t>
  </si>
  <si>
    <t xml:space="preserve">PAULO VICENTE DA SILVA</t>
  </si>
  <si>
    <t xml:space="preserve">ROCHOME SILVA DE MENDONCA MARINA</t>
  </si>
  <si>
    <t xml:space="preserve">ACADEMIA PERFOMACE</t>
  </si>
  <si>
    <t xml:space="preserve">MIRTA GRACIELA GIL NUNES</t>
  </si>
  <si>
    <t xml:space="preserve">PEDRO DA COSTA</t>
  </si>
  <si>
    <t xml:space="preserve">REINALDO AZEVEDO ALMEIDA</t>
  </si>
  <si>
    <t xml:space="preserve">MEERCADO ESTRELA</t>
  </si>
  <si>
    <t xml:space="preserve">ELAINE SOUZA FERRAZ</t>
  </si>
  <si>
    <t xml:space="preserve">MERCADO SANTO ANDRE</t>
  </si>
  <si>
    <t xml:space="preserve">JOAREZ DUARTE SILVEIRA</t>
  </si>
  <si>
    <t xml:space="preserve">CLEUZA ESCOBAR AGUILERA</t>
  </si>
  <si>
    <t xml:space="preserve">PADARIA NEWDAY</t>
  </si>
  <si>
    <t xml:space="preserve">EMERSON DO NASCIMENTO</t>
  </si>
  <si>
    <t xml:space="preserve">LANCHES BOM FIM</t>
  </si>
  <si>
    <t xml:space="preserve">HILDA FAGUNDES SOARES</t>
  </si>
  <si>
    <t xml:space="preserve">PAD CONF PAO QUENTE</t>
  </si>
  <si>
    <t xml:space="preserve">RODRIGO DE MELO FRANCO</t>
  </si>
  <si>
    <t xml:space="preserve">OPCAO VIDEO</t>
  </si>
  <si>
    <t xml:space="preserve">SUELAINE ABREU PADILHA GRASSI</t>
  </si>
  <si>
    <t xml:space="preserve">SUELAINE</t>
  </si>
  <si>
    <t xml:space="preserve">JOSE AUGUSTO FERREIRA JOAQUIM</t>
  </si>
  <si>
    <t xml:space="preserve">CONVENIENCIA EVERALDO</t>
  </si>
  <si>
    <t xml:space="preserve">JOAO DOMINGOS FERRAZ</t>
  </si>
  <si>
    <t xml:space="preserve">CLAUDINEI PEIXES</t>
  </si>
  <si>
    <t xml:space="preserve">SM MATOS</t>
  </si>
  <si>
    <t xml:space="preserve">FLORISVALDO GOMES SOARES</t>
  </si>
  <si>
    <t xml:space="preserve">MERCADO JP</t>
  </si>
  <si>
    <t xml:space="preserve">GUTEMBERGE FREIRES DE SOUZA</t>
  </si>
  <si>
    <t xml:space="preserve">MARCIA APARECIDA PENASSO</t>
  </si>
  <si>
    <t xml:space="preserve">SUP TOTA</t>
  </si>
  <si>
    <t xml:space="preserve">ELEANDRO RODRIGUES CHAVES</t>
  </si>
  <si>
    <t xml:space="preserve">MERCADO DAVI</t>
  </si>
  <si>
    <t xml:space="preserve">ORLANDO DA LUZ CORREA</t>
  </si>
  <si>
    <t xml:space="preserve">LANCHONETE LOA LOA</t>
  </si>
  <si>
    <t xml:space="preserve">SANDRA COELHO FERREIRA</t>
  </si>
  <si>
    <t xml:space="preserve">PANIF PAO DO DIA</t>
  </si>
  <si>
    <t xml:space="preserve">ANDERSON CRUZ ANDRADE</t>
  </si>
  <si>
    <t xml:space="preserve">CONV STOP III</t>
  </si>
  <si>
    <t xml:space="preserve">KLENGER LOUBEI</t>
  </si>
  <si>
    <t xml:space="preserve">MERCADO E ACOUGUE J L</t>
  </si>
  <si>
    <t xml:space="preserve">ROSAMIR DE LIMA ARAUJO</t>
  </si>
  <si>
    <t xml:space="preserve">ROSA VARIEDADES</t>
  </si>
  <si>
    <t xml:space="preserve">SAULO ALMEIDA DE ABREU</t>
  </si>
  <si>
    <t xml:space="preserve">SUPER BPAGUE MENOS</t>
  </si>
  <si>
    <t xml:space="preserve">OSVALDO HIROSHI AKAMINE</t>
  </si>
  <si>
    <t xml:space="preserve">JAPAN LANCHES E CIA</t>
  </si>
  <si>
    <t xml:space="preserve">VALCILENE DE MELO</t>
  </si>
  <si>
    <t xml:space="preserve">MINI POR DO SOL</t>
  </si>
  <si>
    <t xml:space="preserve">ANDERSON DE DEUS MORAES</t>
  </si>
  <si>
    <t xml:space="preserve">SORVETERIA GELATTI</t>
  </si>
  <si>
    <t xml:space="preserve">ANA TEREZINHA PERES DE OLIVEIRA</t>
  </si>
  <si>
    <t xml:space="preserve">MERCEARIA DIST SAO LUCAS</t>
  </si>
  <si>
    <t xml:space="preserve">SYMARA APARECIDA ROSA DE SOUZA</t>
  </si>
  <si>
    <t xml:space="preserve">RESTAURANTE O BISTECAO</t>
  </si>
  <si>
    <t xml:space="preserve">CLEIBE APARECIDA DOS SANTOS SILVESTRE</t>
  </si>
  <si>
    <t xml:space="preserve">PSIU CONVENIENCIAS</t>
  </si>
  <si>
    <t xml:space="preserve">MARIA APARECIDA DUARTE VILELA</t>
  </si>
  <si>
    <t xml:space="preserve">JULIO CESAR AGUIAR</t>
  </si>
  <si>
    <t xml:space="preserve">MIL DELICIAS PANIFICADORA</t>
  </si>
  <si>
    <t xml:space="preserve">SERGIO LUIZ FRANCISCO DOS SANTOS</t>
  </si>
  <si>
    <t xml:space="preserve">CEZAR ALVES CAVALCANTI</t>
  </si>
  <si>
    <t xml:space="preserve">PANIF PLANALTO</t>
  </si>
  <si>
    <t xml:space="preserve">EDER DA SILVA ALVARENGA</t>
  </si>
  <si>
    <t xml:space="preserve">CASA DE CARNE FORTALEZA</t>
  </si>
  <si>
    <t xml:space="preserve">OLIMPIO GOMES DA SILVEIRA</t>
  </si>
  <si>
    <t xml:space="preserve">ULISSES MARCHETI DOS SANTOS</t>
  </si>
  <si>
    <t xml:space="preserve">CASA DE CARNE CRUZEIRA II</t>
  </si>
  <si>
    <t xml:space="preserve">BALDOMERO SOCEDO</t>
  </si>
  <si>
    <t xml:space="preserve">CASA DE CAR E CONV. JACAREZINH</t>
  </si>
  <si>
    <t xml:space="preserve">JOEL ELIEZER REIS FERREIRA</t>
  </si>
  <si>
    <t xml:space="preserve">MERCEARIA 5 IRMAOS</t>
  </si>
  <si>
    <t xml:space="preserve">MARCOS FREITAS CAVAL CAVALCANTE</t>
  </si>
  <si>
    <t xml:space="preserve">PANIF PAO DA HORA II</t>
  </si>
  <si>
    <t xml:space="preserve">RAFAEL ROMERO</t>
  </si>
  <si>
    <t xml:space="preserve">FUNC RAFAEL - TCG</t>
  </si>
  <si>
    <t xml:space="preserve">ILCO OSMAR BINZ</t>
  </si>
  <si>
    <t xml:space="preserve">CONVENIENCIA AGUAS DE BONITO</t>
  </si>
  <si>
    <t xml:space="preserve">KERLI ORDONHEIS G.M.GODOY</t>
  </si>
  <si>
    <t xml:space="preserve">KERLI CABELEIREIRA</t>
  </si>
  <si>
    <t xml:space="preserve">ROGERIO AQUILAR CLAUDIO</t>
  </si>
  <si>
    <t xml:space="preserve">SOLANGE MOREIRA DA SILVA</t>
  </si>
  <si>
    <t xml:space="preserve">MARIA DO SOCORRO PEREIRA ALENCAR</t>
  </si>
  <si>
    <t xml:space="preserve">LOLA MODA MULHER</t>
  </si>
  <si>
    <t xml:space="preserve">RONALDO ZAURIZIO SANTANA</t>
  </si>
  <si>
    <t xml:space="preserve">MERCADO R L</t>
  </si>
  <si>
    <t xml:space="preserve">AGRIMAR FELIX DA SILVA</t>
  </si>
  <si>
    <t xml:space="preserve">MERCADO PIMENTA</t>
  </si>
  <si>
    <t xml:space="preserve">SANDRA SOUZA MARQUES</t>
  </si>
  <si>
    <t xml:space="preserve">MERCEARIA VL NOVA</t>
  </si>
  <si>
    <t xml:space="preserve">NEIDE DE OLIVEIRA PEDROZO</t>
  </si>
  <si>
    <t xml:space="preserve">OLIVEIRA BAR</t>
  </si>
  <si>
    <t xml:space="preserve">OSVANILDO SOUZA OLIVEIRA</t>
  </si>
  <si>
    <t xml:space="preserve">ANA FLAVIA OLIVEIRA CARRION</t>
  </si>
  <si>
    <t xml:space="preserve">KATIA FRAVIA</t>
  </si>
  <si>
    <t xml:space="preserve">BERNADETE CUNHA ARAUJO</t>
  </si>
  <si>
    <t xml:space="preserve">RONILDO BRANDAO DE SOUZA</t>
  </si>
  <si>
    <t xml:space="preserve">PANIF DE GOIAS</t>
  </si>
  <si>
    <t xml:space="preserve">TEREZA RIBEIRO</t>
  </si>
  <si>
    <t xml:space="preserve">RESTAURANTE NOSSA CASA</t>
  </si>
  <si>
    <t xml:space="preserve">WELINTON DE ANDRADE JARA</t>
  </si>
  <si>
    <t xml:space="preserve">CAOPANHEIRO</t>
  </si>
  <si>
    <t xml:space="preserve">ADEILDON SOUZA SILVA</t>
  </si>
  <si>
    <t xml:space="preserve">ABDOM GERALDO DOS REIS</t>
  </si>
  <si>
    <t xml:space="preserve">MARY CRISTINA DOS SANTOS RAMALHO</t>
  </si>
  <si>
    <t xml:space="preserve">ANDRE RICARDO SCARPIN</t>
  </si>
  <si>
    <t xml:space="preserve">SM BOM PRECO</t>
  </si>
  <si>
    <t xml:space="preserve">ALBERTO HARRIBAL HERNANN</t>
  </si>
  <si>
    <t xml:space="preserve">MERCEARIA SAO MATHEUS</t>
  </si>
  <si>
    <t xml:space="preserve">EDINA BARBOSA DE OLIVEIRA DE LEMOS</t>
  </si>
  <si>
    <t xml:space="preserve">MARIA JOSE RODRIGUES</t>
  </si>
  <si>
    <t xml:space="preserve">ROSELI ALONSO GONCALVEZ</t>
  </si>
  <si>
    <t xml:space="preserve">MERCEARIA PONTO CERTO</t>
  </si>
  <si>
    <t xml:space="preserve">ARGEU DA SILVA LEITE</t>
  </si>
  <si>
    <t xml:space="preserve">KARANGUEJO MERCEARIA</t>
  </si>
  <si>
    <t xml:space="preserve">PRISCILA SANDINI DE OLIVEIRA</t>
  </si>
  <si>
    <t xml:space="preserve">CONFRARIA DAS DELICIAS</t>
  </si>
  <si>
    <t xml:space="preserve">JOAO DO CARMO SALES</t>
  </si>
  <si>
    <t xml:space="preserve">STYLLU'S AUTO SOM</t>
  </si>
  <si>
    <t xml:space="preserve">ZELITO ROSA TEIXEIRA DE SOUZA</t>
  </si>
  <si>
    <t xml:space="preserve">HUGAHUGA SORVERTE</t>
  </si>
  <si>
    <t xml:space="preserve">FRANCIELDO FARIAS MAIA</t>
  </si>
  <si>
    <t xml:space="preserve">DI FRANCI CASA DE CARNE E PANIFICADORA</t>
  </si>
  <si>
    <t xml:space="preserve">ROSANE GRUDKA</t>
  </si>
  <si>
    <t xml:space="preserve">SM VARGAS</t>
  </si>
  <si>
    <t xml:space="preserve">ADRIANA SALMORIA</t>
  </si>
  <si>
    <t xml:space="preserve">VITRAL COMERCIAL DE VITROS</t>
  </si>
  <si>
    <t xml:space="preserve">CLAUENIR FERREIRA DE JESUS</t>
  </si>
  <si>
    <t xml:space="preserve">IRANI DA SILVA JUNIOR</t>
  </si>
  <si>
    <t xml:space="preserve">SIMONE CRISTINA ALVES ALENCAR</t>
  </si>
  <si>
    <t xml:space="preserve">R R ARTIGOS</t>
  </si>
  <si>
    <t xml:space="preserve">VALMIR JOAO DA CRUZ FILHO</t>
  </si>
  <si>
    <t xml:space="preserve">MERCADO PAG POUCO</t>
  </si>
  <si>
    <t xml:space="preserve">RENATA MARILYN DUARTE NEVES</t>
  </si>
  <si>
    <t xml:space="preserve">RODRIGO FRANCISCO DOS SANTOS</t>
  </si>
  <si>
    <t xml:space="preserve">LOJA SANTOS RODRIGUES</t>
  </si>
  <si>
    <t xml:space="preserve">MIVEA APARECIDA DA SILVA</t>
  </si>
  <si>
    <t xml:space="preserve">W B CONVENIENCIA</t>
  </si>
  <si>
    <t xml:space="preserve">ADRIANA SANTANA FERREIRA</t>
  </si>
  <si>
    <t xml:space="preserve">ANA BEATRIZ DE ARAUJO</t>
  </si>
  <si>
    <t xml:space="preserve">ELIZABETH ALVES DANTES DA SILVA</t>
  </si>
  <si>
    <t xml:space="preserve">MERCEARIA IZABELI</t>
  </si>
  <si>
    <t xml:space="preserve">HEMERSON SOCRATES PIRES</t>
  </si>
  <si>
    <t xml:space="preserve">COMERCIALO RH</t>
  </si>
  <si>
    <t xml:space="preserve">DEIZI CASSOL SARI</t>
  </si>
  <si>
    <t xml:space="preserve">MERCADO MISTURA FINA</t>
  </si>
  <si>
    <t xml:space="preserve">BENELICE CUNHA ANGELIM</t>
  </si>
  <si>
    <t xml:space="preserve">SM REAL</t>
  </si>
  <si>
    <t xml:space="preserve">DORALICE PEREIRA</t>
  </si>
  <si>
    <t xml:space="preserve">CONVENIENCIA PAVAO</t>
  </si>
  <si>
    <t xml:space="preserve">MARY MEIRY DE M FANTATUCCI</t>
  </si>
  <si>
    <t xml:space="preserve">JOSE PEDRO DINIZ</t>
  </si>
  <si>
    <t xml:space="preserve">GILMAR ENI CARDOSO</t>
  </si>
  <si>
    <t xml:space="preserve">PADARIA COLUMBIA</t>
  </si>
  <si>
    <t xml:space="preserve">LUCIANO BORGES</t>
  </si>
  <si>
    <t xml:space="preserve">EMPORIO DO PAO</t>
  </si>
  <si>
    <t xml:space="preserve">AURISVANIA RODRIGUES MIRANDA</t>
  </si>
  <si>
    <t xml:space="preserve">ACOUGUE E MERCEARIA UNIAO</t>
  </si>
  <si>
    <t xml:space="preserve">CESAR FONSECA FERREIRA</t>
  </si>
  <si>
    <t xml:space="preserve">MERCADO ADRIELLY</t>
  </si>
  <si>
    <t xml:space="preserve">ELIZANGELA SATURNINO DA SILVA</t>
  </si>
  <si>
    <t xml:space="preserve">MERCADO NOVO HORIZONTE</t>
  </si>
  <si>
    <t xml:space="preserve">MARIA RITA CASSIANO DA SILVA</t>
  </si>
  <si>
    <t xml:space="preserve">CONV XAVIER</t>
  </si>
  <si>
    <t xml:space="preserve">JOSE ANDRADE DA SILVA</t>
  </si>
  <si>
    <t xml:space="preserve">SACOLAO SORRISO</t>
  </si>
  <si>
    <t xml:space="preserve">ANDERSON FERNANDES DE LIMA</t>
  </si>
  <si>
    <t xml:space="preserve">MERCADO CANAA</t>
  </si>
  <si>
    <t xml:space="preserve">MARCELO JUARES RODRIGUES</t>
  </si>
  <si>
    <t xml:space="preserve">MARCELOS CONVENIENCIA</t>
  </si>
  <si>
    <t xml:space="preserve">MARCIO VALERIO BARBOSA PEREIRA</t>
  </si>
  <si>
    <t xml:space="preserve">MS CONVENIENCIA</t>
  </si>
  <si>
    <t xml:space="preserve">VANDERSON CARLOS CRUZ</t>
  </si>
  <si>
    <t xml:space="preserve">MERCEARIA DO VANDO</t>
  </si>
  <si>
    <t xml:space="preserve">WALKIRIO SOUZA DA SILVA</t>
  </si>
  <si>
    <t xml:space="preserve">MERCADO JD</t>
  </si>
  <si>
    <t xml:space="preserve">CLARICE CAON</t>
  </si>
  <si>
    <t xml:space="preserve">MERC PE DE PATO</t>
  </si>
  <si>
    <t xml:space="preserve">ELIZETE FERREIRA CASTILHO</t>
  </si>
  <si>
    <t xml:space="preserve">FRANCIANE DA ROCHA SANTOS</t>
  </si>
  <si>
    <t xml:space="preserve">COOPER CLUB</t>
  </si>
  <si>
    <t xml:space="preserve">MANOEL RICARDO MONTEIRO ARRUDA</t>
  </si>
  <si>
    <t xml:space="preserve">PAD RS</t>
  </si>
  <si>
    <t xml:space="preserve">REGINALDO CASANOVA MARANDIPE</t>
  </si>
  <si>
    <t xml:space="preserve">MERCEARIA CASANOVA</t>
  </si>
  <si>
    <t xml:space="preserve">RICARDO BORGES</t>
  </si>
  <si>
    <t xml:space="preserve">UTIL BOX CONVENIENCIA</t>
  </si>
  <si>
    <t xml:space="preserve">RICARDO REINALDO DA SILVA</t>
  </si>
  <si>
    <t xml:space="preserve">RESTAURANTE CAIPIRAO/</t>
  </si>
  <si>
    <t xml:space="preserve">EULALIA JARA BENITES</t>
  </si>
  <si>
    <t xml:space="preserve">MERC FRONTEIRA</t>
  </si>
  <si>
    <t xml:space="preserve">PAULO CESAR ALVES DE MATOS</t>
  </si>
  <si>
    <t xml:space="preserve">MERCEARIA SEMPRE TEM</t>
  </si>
  <si>
    <t xml:space="preserve">CLEBER MARTINS DA SILVA</t>
  </si>
  <si>
    <t xml:space="preserve">CRISTIANE MENEZES</t>
  </si>
  <si>
    <t xml:space="preserve">SORV PINGO DE MEL ENTR DA CIDA</t>
  </si>
  <si>
    <t xml:space="preserve">EUSTACIO SANTANA JUNIOR</t>
  </si>
  <si>
    <t xml:space="preserve">DISTRIBUIDORA JUNINHO</t>
  </si>
  <si>
    <t xml:space="preserve">EVA RODRIGUES NEVES</t>
  </si>
  <si>
    <t xml:space="preserve">MERCADO RODRIGUES</t>
  </si>
  <si>
    <t xml:space="preserve">HILDO LINO DA SILVA</t>
  </si>
  <si>
    <t xml:space="preserve">PAD KI-PAES</t>
  </si>
  <si>
    <t xml:space="preserve">CARLOS EDUARDO DIAS GIANEZI</t>
  </si>
  <si>
    <t xml:space="preserve">ELIZANDRA FERREIRA LOBO</t>
  </si>
  <si>
    <t xml:space="preserve">BARATO TOTAL</t>
  </si>
  <si>
    <t xml:space="preserve">KATIUSCA MARIA GALHARDO PALACIO</t>
  </si>
  <si>
    <t xml:space="preserve">SALGADOS E CIA</t>
  </si>
  <si>
    <t xml:space="preserve">LUCIMAR RIBEIRO PEREIRA</t>
  </si>
  <si>
    <t xml:space="preserve">PANF CHANTILY</t>
  </si>
  <si>
    <t xml:space="preserve">MARCOS RUBIO ORTIZ NETO</t>
  </si>
  <si>
    <t xml:space="preserve">MARCOS COSTA BARBUENO</t>
  </si>
  <si>
    <t xml:space="preserve">MAXWEL RODRIGUES</t>
  </si>
  <si>
    <t xml:space="preserve">MERCADO BARATEIRO</t>
  </si>
  <si>
    <t xml:space="preserve">ADEMIR CAETANO NUNES</t>
  </si>
  <si>
    <t xml:space="preserve">ADEMIR CIRINO DE OLIVEIRA</t>
  </si>
  <si>
    <t xml:space="preserve">PANIF MEL</t>
  </si>
  <si>
    <t xml:space="preserve">DANIELE VERGA</t>
  </si>
  <si>
    <t xml:space="preserve">MERCEARIA VERGA</t>
  </si>
  <si>
    <t xml:space="preserve">EDELVAN PEREIRA</t>
  </si>
  <si>
    <t xml:space="preserve">LUIZ CARLOS DA SILVA QUEIROZ FILHO</t>
  </si>
  <si>
    <t xml:space="preserve">MADALENA FLORES DOS SANTOS</t>
  </si>
  <si>
    <t xml:space="preserve">MERCADO PROVISAO</t>
  </si>
  <si>
    <t xml:space="preserve">EMANUEL FERREIRA DOS SANTOS</t>
  </si>
  <si>
    <t xml:space="preserve">MERCADINHO BOM</t>
  </si>
  <si>
    <t xml:space="preserve">RENILDA DA SILVA MOREIRA</t>
  </si>
  <si>
    <t xml:space="preserve">MERCADO GENESIS</t>
  </si>
  <si>
    <t xml:space="preserve">ROSANGELA DE JESUS RIBEIRO</t>
  </si>
  <si>
    <t xml:space="preserve">S CARPES DIST DE ALIMENTOS</t>
  </si>
  <si>
    <t xml:space="preserve">NELSON ANTONIO  TEIXEIRA ME</t>
  </si>
  <si>
    <t xml:space="preserve">MERC.E CASA DE CAR.IDEPENDENCI</t>
  </si>
  <si>
    <t xml:space="preserve">ROSA FERRARI DA SILVA</t>
  </si>
  <si>
    <t xml:space="preserve">CONV FERRARI</t>
  </si>
  <si>
    <t xml:space="preserve">EDUARDO LIUTTI SIQUEIRA</t>
  </si>
  <si>
    <t xml:space="preserve">SM SIELLE</t>
  </si>
  <si>
    <t xml:space="preserve">MIGUEL INACIO SIQUEIRA JR</t>
  </si>
  <si>
    <t xml:space="preserve">PANIF MANANCIAL</t>
  </si>
  <si>
    <t xml:space="preserve">VANESSA NUNES ROSA CARDOSO</t>
  </si>
  <si>
    <t xml:space="preserve">CANTINA COLEGIO RUI BARBOSA</t>
  </si>
  <si>
    <t xml:space="preserve">ALEX ANTONIO GARCIA JUNQUEIRA</t>
  </si>
  <si>
    <t xml:space="preserve">LUCIA ANTUNES DA SILVA BATISTA</t>
  </si>
  <si>
    <t xml:space="preserve">CLAUDENIR JOSE SIQUEIRA</t>
  </si>
  <si>
    <t xml:space="preserve">MERCADO MINI</t>
  </si>
  <si>
    <t xml:space="preserve">ZENILDA CHAVES ROMERO</t>
  </si>
  <si>
    <t xml:space="preserve">MERCEARIA ELOIN</t>
  </si>
  <si>
    <t xml:space="preserve">JOAQUIM BISPO DE OLIVEIRA</t>
  </si>
  <si>
    <t xml:space="preserve">MERCEARIA DO JOAQUIM</t>
  </si>
  <si>
    <t xml:space="preserve">ANDERSON FERREIRA GOBI</t>
  </si>
  <si>
    <t xml:space="preserve">ANDERSON COMPER</t>
  </si>
  <si>
    <t xml:space="preserve">FLAVIO CAIRES VITORIANO DE OLIVEIRA</t>
  </si>
  <si>
    <t xml:space="preserve">CONVENIENCIAS BANDEIRANTES</t>
  </si>
  <si>
    <t xml:space="preserve">IVETE PEREIRA MARTINS</t>
  </si>
  <si>
    <t xml:space="preserve">PADARIA PITU</t>
  </si>
  <si>
    <t xml:space="preserve">MARCELO COLMAN GUIMARAES</t>
  </si>
  <si>
    <t xml:space="preserve">VALDECI BENITES</t>
  </si>
  <si>
    <t xml:space="preserve">KINGS.CABELELEIRO</t>
  </si>
  <si>
    <t xml:space="preserve">VALDECIR FREITAS APOLONIO</t>
  </si>
  <si>
    <t xml:space="preserve">MERC COMERCIO III IRMAOS</t>
  </si>
  <si>
    <t xml:space="preserve">CARLOS RAMAO SORRILHA</t>
  </si>
  <si>
    <t xml:space="preserve">MERCEARIA NOVA BELA VISTA</t>
  </si>
  <si>
    <t xml:space="preserve">GELVAN RIBEIRO DA SILVA</t>
  </si>
  <si>
    <t xml:space="preserve">REST E CHURRASCARIA BOAEMIA</t>
  </si>
  <si>
    <t xml:space="preserve">ARI LUCIANO LAZZARATTI</t>
  </si>
  <si>
    <t xml:space="preserve">MERCEARIA LAZAROTTI</t>
  </si>
  <si>
    <t xml:space="preserve">INDIARA SOUZA GUIMARAES</t>
  </si>
  <si>
    <t xml:space="preserve">PANIF CAFE C/ LEITE</t>
  </si>
  <si>
    <t xml:space="preserve">MARCELO PETRONIO DOS SANTOS</t>
  </si>
  <si>
    <t xml:space="preserve">PANF FLOR DA SERRA II</t>
  </si>
  <si>
    <t xml:space="preserve">PAULO ROBERTO DE OLIVEIRA</t>
  </si>
  <si>
    <t xml:space="preserve">PANF MARA</t>
  </si>
  <si>
    <t xml:space="preserve">VERA LUCIA DE CASTRO</t>
  </si>
  <si>
    <t xml:space="preserve">MERCEARIA N S A</t>
  </si>
  <si>
    <t xml:space="preserve">EGLEES DE LIMA PILIZARDO</t>
  </si>
  <si>
    <t xml:space="preserve">SINUKAO</t>
  </si>
  <si>
    <t xml:space="preserve">SIDNEI PAZ</t>
  </si>
  <si>
    <t xml:space="preserve">MINI MERC 02 IRMAOS</t>
  </si>
  <si>
    <t xml:space="preserve">GRASIELA MEDEIROS E OLIVEIRA</t>
  </si>
  <si>
    <t xml:space="preserve">CONVENIENCIA GRASIELA</t>
  </si>
  <si>
    <t xml:space="preserve">REGIANE MARIA DA SILVA BARBOSA</t>
  </si>
  <si>
    <t xml:space="preserve">MERCADINHO TUDO TEM</t>
  </si>
  <si>
    <t xml:space="preserve">ALESANDRE BERNADINO DOS SANTOS</t>
  </si>
  <si>
    <t xml:space="preserve">MERCADO SANTOS</t>
  </si>
  <si>
    <t xml:space="preserve">MARISTELA RODRIGUES AQUINO</t>
  </si>
  <si>
    <t xml:space="preserve">SUCOS LANCHES E PAO DE QUEIJO</t>
  </si>
  <si>
    <t xml:space="preserve">ANTONIO JOSE GONCALVES PIOVEZANA</t>
  </si>
  <si>
    <t xml:space="preserve">ERALDO CRISTOVAO DE SOUZA</t>
  </si>
  <si>
    <t xml:space="preserve">CONVENIENCIA KI FESTA</t>
  </si>
  <si>
    <t xml:space="preserve">MAFALDA BATISTA DA COSTA</t>
  </si>
  <si>
    <t xml:space="preserve">MARINALVA BARBOSA DOS SANTOS</t>
  </si>
  <si>
    <t xml:space="preserve">THIAGO CASEMIRO DE SOUZA</t>
  </si>
  <si>
    <t xml:space="preserve">CANTINA ESCOLA C E A P</t>
  </si>
  <si>
    <t xml:space="preserve">WAINER NITAL ALVES MELEIRO</t>
  </si>
  <si>
    <t xml:space="preserve">PADARIA E CONF SCALLA</t>
  </si>
  <si>
    <t xml:space="preserve">JACINTA DE ABREU GARCIA</t>
  </si>
  <si>
    <t xml:space="preserve">MERCEARIA ISABELLA</t>
  </si>
  <si>
    <t xml:space="preserve">FRANCISNEI JOAO CANTARIM</t>
  </si>
  <si>
    <t xml:space="preserve">SUQUERIA COCO VERDE</t>
  </si>
  <si>
    <t xml:space="preserve">SONIA APARECIDO SOMERA M DA SILVA</t>
  </si>
  <si>
    <t xml:space="preserve">ELIZABETH PINHEIRO</t>
  </si>
  <si>
    <t xml:space="preserve">ROSALINA DA SILVA</t>
  </si>
  <si>
    <t xml:space="preserve">MERCADO GRISON</t>
  </si>
  <si>
    <t xml:space="preserve">NEIDE TOMAZINI MAKSOUD</t>
  </si>
  <si>
    <t xml:space="preserve">CANTINA ICG</t>
  </si>
  <si>
    <t xml:space="preserve">ELIETE L. ROMEIRO</t>
  </si>
  <si>
    <t xml:space="preserve">ELIZANGELA DA SILVA FERREIRA ZANDONA</t>
  </si>
  <si>
    <t xml:space="preserve">ZANDONA MERCEARIA E CONVENIENCIA</t>
  </si>
  <si>
    <t xml:space="preserve">JORGE ALGUSTO PRESCIS</t>
  </si>
  <si>
    <t xml:space="preserve">MARIA CARMOZINDA UCHOA NOGUEIRA</t>
  </si>
  <si>
    <t xml:space="preserve">MARIZETH FERREIRA DE ALMEIDA</t>
  </si>
  <si>
    <t xml:space="preserve">MERCADO SANDINO</t>
  </si>
  <si>
    <t xml:space="preserve">PATRICIA DOURADO TEIXEIRA</t>
  </si>
  <si>
    <t xml:space="preserve">PONTO DE ENCONTRO</t>
  </si>
  <si>
    <t xml:space="preserve">ANA CRISTINA OLIVEIRA LARA</t>
  </si>
  <si>
    <t xml:space="preserve">CANTINA OLIVEIRA</t>
  </si>
  <si>
    <t xml:space="preserve">CARLOS JOSE DE ANDRADE</t>
  </si>
  <si>
    <t xml:space="preserve">MECEARIA STIVAL</t>
  </si>
  <si>
    <t xml:space="preserve">DEIGMAR TONEZI DE OLIVEIRA</t>
  </si>
  <si>
    <t xml:space="preserve">DARCILEI AYALA DA FONSECA</t>
  </si>
  <si>
    <t xml:space="preserve">FAT LANCHES</t>
  </si>
  <si>
    <t xml:space="preserve">LEONARDO ALVES DA ROSA</t>
  </si>
  <si>
    <t xml:space="preserve">MARCOS ANTONIO FRANSCISCO PEREIRA</t>
  </si>
  <si>
    <t xml:space="preserve">ELBA ALBINO DA ROSA</t>
  </si>
  <si>
    <t xml:space="preserve">SM MEGA</t>
  </si>
  <si>
    <t xml:space="preserve">DARLEI AYALA DA FONSECA</t>
  </si>
  <si>
    <t xml:space="preserve">BIG LANCHES</t>
  </si>
  <si>
    <t xml:space="preserve">MARCIA MARIA GONCALVES DE SOUZA</t>
  </si>
  <si>
    <t xml:space="preserve">MERCADO E ACOUGUE RANCHO</t>
  </si>
  <si>
    <t xml:space="preserve">MARCILENE DA SILVA ZANDONI SOARES</t>
  </si>
  <si>
    <t xml:space="preserve">PANIFICADORA SAN MARINO</t>
  </si>
  <si>
    <t xml:space="preserve">ROBSON GUERRA</t>
  </si>
  <si>
    <t xml:space="preserve">NOSSO BUTECO</t>
  </si>
  <si>
    <t xml:space="preserve">ORLANDO GONCALVES JUNIOR</t>
  </si>
  <si>
    <t xml:space="preserve">ORLANDO FRETEIRO</t>
  </si>
  <si>
    <t xml:space="preserve">DEUSDETE ANJOS DOS SANTOS</t>
  </si>
  <si>
    <t xml:space="preserve">MERCEARIA RIBEIRO</t>
  </si>
  <si>
    <t xml:space="preserve">ODIRSON PEREIRA DA SILVA</t>
  </si>
  <si>
    <t xml:space="preserve">TURT'S SORVETES</t>
  </si>
  <si>
    <t xml:space="preserve">BAR DO BIGODE</t>
  </si>
  <si>
    <t xml:space="preserve">MARCELA REGIANI DA SILVA</t>
  </si>
  <si>
    <t xml:space="preserve">MARTA ELIZABETH ROMERO</t>
  </si>
  <si>
    <t xml:space="preserve">MANDIOCA E CIA</t>
  </si>
  <si>
    <t xml:space="preserve">ROGERIO NEVES DA SILVA</t>
  </si>
  <si>
    <t xml:space="preserve">MINI MERCADO J.A</t>
  </si>
  <si>
    <t xml:space="preserve">IANDRA CHRIS DE QUEIROZ GONCALVES</t>
  </si>
  <si>
    <t xml:space="preserve">LANCHONETE SANNYS</t>
  </si>
  <si>
    <t xml:space="preserve">SORAIA DANIELI HOMMOUD BRANDAO</t>
  </si>
  <si>
    <t xml:space="preserve">MERCEARIA DA ECONOMIA</t>
  </si>
  <si>
    <t xml:space="preserve">LUCIENE DE JESUS MALDONADO</t>
  </si>
  <si>
    <t xml:space="preserve">APARECIDA DE JESUS GOMES NOGUEIRA</t>
  </si>
  <si>
    <t xml:space="preserve">DOMINGOS FERREIRA COENIO</t>
  </si>
  <si>
    <t xml:space="preserve">BIBI CONVENIENCIA</t>
  </si>
  <si>
    <t xml:space="preserve">FABIANA DUARTE COSTA</t>
  </si>
  <si>
    <t xml:space="preserve">UBIRATAM MOREIRA SERRA</t>
  </si>
  <si>
    <t xml:space="preserve">MERC DO BIRA</t>
  </si>
  <si>
    <t xml:space="preserve">ROSA AZEVEDO DE ALMEIDA</t>
  </si>
  <si>
    <t xml:space="preserve">SUELI FATIMA DA SILVA</t>
  </si>
  <si>
    <t xml:space="preserve">ACOUGUE E CONV BAI NA BARRA</t>
  </si>
  <si>
    <t xml:space="preserve">ADRIANE PEREIRA DOS SANTOS</t>
  </si>
  <si>
    <t xml:space="preserve">A.M CONVENIENCIA</t>
  </si>
  <si>
    <t xml:space="preserve">LETICIA FARIAS AZAMBUJA</t>
  </si>
  <si>
    <t xml:space="preserve">AILTON DUARTE BITTENCOUT JR</t>
  </si>
  <si>
    <t xml:space="preserve">PANIF DICOS</t>
  </si>
  <si>
    <t xml:space="preserve">CARLOS A ORSI</t>
  </si>
  <si>
    <t xml:space="preserve">UTIL CONVENIENCIA</t>
  </si>
  <si>
    <t xml:space="preserve">FRANCISCA ALVES VIANA</t>
  </si>
  <si>
    <t xml:space="preserve">SERGIO CARDOSO</t>
  </si>
  <si>
    <t xml:space="preserve">MINE MERCADO DO GORDO PC</t>
  </si>
  <si>
    <t xml:space="preserve">TANIA MARIA DA SILVA NOVAES</t>
  </si>
  <si>
    <t xml:space="preserve">VITORIA CONVENIENCIAS</t>
  </si>
  <si>
    <t xml:space="preserve">JAIR PONTES</t>
  </si>
  <si>
    <t xml:space="preserve">CARLOS ALBERTO DA SILVA</t>
  </si>
  <si>
    <t xml:space="preserve">MECE SANTO ANTONIO</t>
  </si>
  <si>
    <t xml:space="preserve">ELINO ALVES FERREIRA</t>
  </si>
  <si>
    <t xml:space="preserve">CONVENIENCIA MARANDU</t>
  </si>
  <si>
    <t xml:space="preserve">GRACIANA ELIAS DA SILVA FERREIRA</t>
  </si>
  <si>
    <t xml:space="preserve">ALEXANDRINO GONCALVES LOUBET</t>
  </si>
  <si>
    <t xml:space="preserve">MERCEARIA 4 IRMAOS</t>
  </si>
  <si>
    <t xml:space="preserve">SIDINEY CARLOS SAFANELLI</t>
  </si>
  <si>
    <t xml:space="preserve">TEKA LANCHES</t>
  </si>
  <si>
    <t xml:space="preserve">SIMONE DA SILVA</t>
  </si>
  <si>
    <t xml:space="preserve">PAD SANTA CATARINA</t>
  </si>
  <si>
    <t xml:space="preserve">WENDEL SOARES ROCHA</t>
  </si>
  <si>
    <t xml:space="preserve">CONVENIENCIAS ROCHA</t>
  </si>
  <si>
    <t xml:space="preserve">FRANKI FABIANO DA SILVA</t>
  </si>
  <si>
    <t xml:space="preserve">MERCADO MAJUJU</t>
  </si>
  <si>
    <t xml:space="preserve">ANA KAROLINE COELHO</t>
  </si>
  <si>
    <t xml:space="preserve">MERCADO MARQUES</t>
  </si>
  <si>
    <t xml:space="preserve">MARLI ZAMBIASI MATEUS</t>
  </si>
  <si>
    <t xml:space="preserve">LANCHONETE CHUR ZAMBIASI</t>
  </si>
  <si>
    <t xml:space="preserve">PAULO ANDRE ZIMPEL</t>
  </si>
  <si>
    <t xml:space="preserve">LANC E REST DAYANE</t>
  </si>
  <si>
    <t xml:space="preserve">MARCOS ADRIANO F MOREIRA</t>
  </si>
  <si>
    <t xml:space="preserve">MERC REAL</t>
  </si>
  <si>
    <t xml:space="preserve">MARIA JOSE FERREIRA DO ROSARIO</t>
  </si>
  <si>
    <t xml:space="preserve">CONVENIENCIA POSTO SHIRAISHI</t>
  </si>
  <si>
    <t xml:space="preserve">ELSON DE SOUZA</t>
  </si>
  <si>
    <t xml:space="preserve">FRANCIELE FERNANDA SALUSTIANO</t>
  </si>
  <si>
    <t xml:space="preserve">HONORIO LUCIO SANTANDER FILHO</t>
  </si>
  <si>
    <t xml:space="preserve">SODIPORIN</t>
  </si>
  <si>
    <t xml:space="preserve">HYLDA KAROLYNE MAIA</t>
  </si>
  <si>
    <t xml:space="preserve">BAZAR E RACOES</t>
  </si>
  <si>
    <t xml:space="preserve">ADELVANDES FERRIRA BARROS</t>
  </si>
  <si>
    <t xml:space="preserve">RAFAEL YALLE THEODORO</t>
  </si>
  <si>
    <t xml:space="preserve">MERCEARIA ARANTES</t>
  </si>
  <si>
    <t xml:space="preserve">LEONARDO CORREA</t>
  </si>
  <si>
    <t xml:space="preserve">RODRIGO MOTA DOS SANTOS</t>
  </si>
  <si>
    <t xml:space="preserve">MEGA CYBER CAFE</t>
  </si>
  <si>
    <t xml:space="preserve">ADRIANA FERREIRA LIMA</t>
  </si>
  <si>
    <t xml:space="preserve">MINI CONVENIENCIA ALVORADA</t>
  </si>
  <si>
    <t xml:space="preserve">ARMANDO L B CRUZ GONCALVES</t>
  </si>
  <si>
    <t xml:space="preserve">2§ 2§ 2§ 2§</t>
  </si>
  <si>
    <t xml:space="preserve">CRISTIANO FERREIRA DE MELO</t>
  </si>
  <si>
    <t xml:space="preserve">SM CONVENIENCIA</t>
  </si>
  <si>
    <t xml:space="preserve">CRISTIANO VENDRAMEL CATHARIM</t>
  </si>
  <si>
    <t xml:space="preserve">PIZZARIA VENDRAMEL</t>
  </si>
  <si>
    <t xml:space="preserve">EVANI NAZARO DA COSTA</t>
  </si>
  <si>
    <t xml:space="preserve">FRUTARIA SAO SEBASTIAO</t>
  </si>
  <si>
    <t xml:space="preserve">FERNANDA CARVALHO BITTENCOURT</t>
  </si>
  <si>
    <t xml:space="preserve">DOCE CAFE MANIA</t>
  </si>
  <si>
    <t xml:space="preserve">RCA-GIOVAN PEREZ DE SOUZA</t>
  </si>
  <si>
    <t xml:space="preserve">RCA - GIOVAN 044</t>
  </si>
  <si>
    <t xml:space="preserve">ODIMIR ANTONIO DOS REIS</t>
  </si>
  <si>
    <t xml:space="preserve">CASA DA BATATA</t>
  </si>
  <si>
    <t xml:space="preserve">MARIELY SERPA DE OLIVEIRA</t>
  </si>
  <si>
    <t xml:space="preserve">RAIMUNDO INACIO SOS SANTOS</t>
  </si>
  <si>
    <t xml:space="preserve">PANIF N SR APARECIDA</t>
  </si>
  <si>
    <t xml:space="preserve">PETERSON SILVA</t>
  </si>
  <si>
    <t xml:space="preserve">MINI MERCADO MANGA</t>
  </si>
  <si>
    <t xml:space="preserve">RAMONA DE FATIMA DOS SANTOS MARQUES</t>
  </si>
  <si>
    <t xml:space="preserve">RODRIGO P DE MEDEIROS</t>
  </si>
  <si>
    <t xml:space="preserve">MERCADO TUDO DE BOM</t>
  </si>
  <si>
    <t xml:space="preserve">TATIANE LIRA</t>
  </si>
  <si>
    <t xml:space="preserve">MECANICA E MERCEARIA SOKCAR</t>
  </si>
  <si>
    <t xml:space="preserve">AGNALDO VILELE BATISTA</t>
  </si>
  <si>
    <t xml:space="preserve">CONVENIENCIA AZALEIA</t>
  </si>
  <si>
    <t xml:space="preserve">GLAUCO GONZAGA VIEIRA</t>
  </si>
  <si>
    <t xml:space="preserve">PAES E COMPANIA</t>
  </si>
  <si>
    <t xml:space="preserve">RICARDO RIBEIRO DE FREITAS</t>
  </si>
  <si>
    <t xml:space="preserve">MARCO ANTONIO SOUZA DA SILVA</t>
  </si>
  <si>
    <t xml:space="preserve">CENTRAL DE ALIMENTOS</t>
  </si>
  <si>
    <t xml:space="preserve">ANTONIO CIPRANO DA SILVA</t>
  </si>
  <si>
    <t xml:space="preserve">MERCEARIA PARAIBA</t>
  </si>
  <si>
    <t xml:space="preserve">EDEBRAND BUENO</t>
  </si>
  <si>
    <t xml:space="preserve">ELIZANDRA C DA SILVA LIMA</t>
  </si>
  <si>
    <t xml:space="preserve">FUNCIOMARIA</t>
  </si>
  <si>
    <t xml:space="preserve">LIGIA CRISTINA ADALA BENFATTI</t>
  </si>
  <si>
    <t xml:space="preserve">CHANTILLY CASA DE PAES</t>
  </si>
  <si>
    <t xml:space="preserve">MARCOS V DA SILVA</t>
  </si>
  <si>
    <t xml:space="preserve">LOURDES OLIVEIRA DOS SANTOS</t>
  </si>
  <si>
    <t xml:space="preserve">PANF LAILA</t>
  </si>
  <si>
    <t xml:space="preserve">MARIO LEANDRO FARIAS</t>
  </si>
  <si>
    <t xml:space="preserve">PLANET VIDEO</t>
  </si>
  <si>
    <t xml:space="preserve">MARLY CRISTINA FLEURY DOS REIS</t>
  </si>
  <si>
    <t xml:space="preserve">CLAUDIANE LOPES ARZA</t>
  </si>
  <si>
    <t xml:space="preserve">PANIFICADORA ARCANJO</t>
  </si>
  <si>
    <t xml:space="preserve">CLEITON FERREIRA COSTA</t>
  </si>
  <si>
    <t xml:space="preserve">HARLEI HORN</t>
  </si>
  <si>
    <t xml:space="preserve">AUTO POSTO RECREIO</t>
  </si>
  <si>
    <t xml:space="preserve">JANE DUTRA DE SOUZA</t>
  </si>
  <si>
    <t xml:space="preserve">COMERCIAL PARAISO</t>
  </si>
  <si>
    <t xml:space="preserve">REGINA LOPES</t>
  </si>
  <si>
    <t xml:space="preserve">ROSANA LOPES DA SILVA</t>
  </si>
  <si>
    <t xml:space="preserve">PAN SANTO EXPEDITO</t>
  </si>
  <si>
    <t xml:space="preserve">VALDIR MOEREIRA</t>
  </si>
  <si>
    <t xml:space="preserve">PANIF PAO QUENTE</t>
  </si>
  <si>
    <t xml:space="preserve">EWERTON ALEX OLIVEIRA</t>
  </si>
  <si>
    <t xml:space="preserve">MERCADO ZION</t>
  </si>
  <si>
    <t xml:space="preserve">ROBERTO SANTOS FERRIRA</t>
  </si>
  <si>
    <t xml:space="preserve">MINI MERCADO SOL</t>
  </si>
  <si>
    <t xml:space="preserve">RUBENS ABEVALO MEDINA</t>
  </si>
  <si>
    <t xml:space="preserve">MARCOS RICARDO PERIN</t>
  </si>
  <si>
    <t xml:space="preserve">PIZZARIA NA BRASA</t>
  </si>
  <si>
    <t xml:space="preserve">ANDRE LUIZ DOS SANTOS</t>
  </si>
  <si>
    <t xml:space="preserve">SHOOTERS QUADRA BAR</t>
  </si>
  <si>
    <t xml:space="preserve">FABIANO RICARDO SCHULZ</t>
  </si>
  <si>
    <t xml:space="preserve">REPRESENTANTE BOMBRIL</t>
  </si>
  <si>
    <t xml:space="preserve">EVANDRO FERREIRA GARCIA</t>
  </si>
  <si>
    <t xml:space="preserve">LANCHONETE 13 DE MAIO</t>
  </si>
  <si>
    <t xml:space="preserve">JOSEFA JESUS DE C ANDRADE</t>
  </si>
  <si>
    <t xml:space="preserve">MERCEARIA ESTIVAL</t>
  </si>
  <si>
    <t xml:space="preserve">VANDERLAN SOARES</t>
  </si>
  <si>
    <t xml:space="preserve">SM FERRACINI</t>
  </si>
  <si>
    <t xml:space="preserve">VILMAR ARAGONE FRANGA</t>
  </si>
  <si>
    <t xml:space="preserve">MERC RONDON</t>
  </si>
  <si>
    <t xml:space="preserve">ADRIANA PEREIRA DA SILVA</t>
  </si>
  <si>
    <t xml:space="preserve">KELLY CRISTINA RODRIGUES DE SOUZA</t>
  </si>
  <si>
    <t xml:space="preserve">HOA DO ALMOCO</t>
  </si>
  <si>
    <t xml:space="preserve">LENILDA FERREIRA XAVIER</t>
  </si>
  <si>
    <t xml:space="preserve">MERC GLORIA</t>
  </si>
  <si>
    <t xml:space="preserve">MARCIO ALEXANDRE SEVERO</t>
  </si>
  <si>
    <t xml:space="preserve">PETER PAO</t>
  </si>
  <si>
    <t xml:space="preserve">MARCIO XAVIER DA SILVA</t>
  </si>
  <si>
    <t xml:space="preserve">ROSANGELA CORDEIRO</t>
  </si>
  <si>
    <t xml:space="preserve">LUIZ CAETANO DA SILVA</t>
  </si>
  <si>
    <t xml:space="preserve">ADELINO AMARAL</t>
  </si>
  <si>
    <t xml:space="preserve">CENTER COFFEE</t>
  </si>
  <si>
    <t xml:space="preserve">ALESSANDRO DA CUNHA SILVEIRA</t>
  </si>
  <si>
    <t xml:space="preserve">GEOGINA CENTORIAO I DA SILVA</t>
  </si>
  <si>
    <t xml:space="preserve">BAR CENTORIAO</t>
  </si>
  <si>
    <t xml:space="preserve">GETULIO DA GLORIA OLIVEIRA ALVES</t>
  </si>
  <si>
    <t xml:space="preserve">CONV BR MANIA</t>
  </si>
  <si>
    <t xml:space="preserve">ISMAEL RODRIGUES DE ARAUJO</t>
  </si>
  <si>
    <t xml:space="preserve">SUPERMERCADO PLATERO</t>
  </si>
  <si>
    <t xml:space="preserve">MARLY NUNES FERNANDES</t>
  </si>
  <si>
    <t xml:space="preserve">GILBERTO JOSE SILVA</t>
  </si>
  <si>
    <t xml:space="preserve">CONV DO CHINA</t>
  </si>
  <si>
    <t xml:space="preserve">DENIVALDO SOARES DA SILVA</t>
  </si>
  <si>
    <t xml:space="preserve">VALMIR DE SOUZA DINIZ</t>
  </si>
  <si>
    <t xml:space="preserve">ADILSO BISPO DE JARA</t>
  </si>
  <si>
    <t xml:space="preserve">FUNC ADILSO</t>
  </si>
  <si>
    <t xml:space="preserve">HELENA TORRES DE CARVALHO OLIVEIRA</t>
  </si>
  <si>
    <t xml:space="preserve">KORDIL</t>
  </si>
  <si>
    <t xml:space="preserve">JOAO BATISTA DE SOUZA ALMEIDA</t>
  </si>
  <si>
    <t xml:space="preserve">KATIANE ALMEIDA DE OLIVEIRA</t>
  </si>
  <si>
    <t xml:space="preserve">JANI ROSALINO</t>
  </si>
  <si>
    <t xml:space="preserve">RICARDO ALEXANDRE BATISTA DE SOUZA</t>
  </si>
  <si>
    <t xml:space="preserve">ROSANGELA APARECIDA CIDADE VIEIRA</t>
  </si>
  <si>
    <t xml:space="preserve">RODRIGO FRANCISCO DE FRANCO COUVRE</t>
  </si>
  <si>
    <t xml:space="preserve">MERC E ACOUGUE J A</t>
  </si>
  <si>
    <t xml:space="preserve">UBIRAJARA SOARES DE MESQUITA</t>
  </si>
  <si>
    <t xml:space="preserve">CONVENIENCIA MEGA</t>
  </si>
  <si>
    <t xml:space="preserve">VICENTE TOMA</t>
  </si>
  <si>
    <t xml:space="preserve">COML ESPERANCA</t>
  </si>
  <si>
    <t xml:space="preserve">EVERTON DE SOUZA MARTINS</t>
  </si>
  <si>
    <t xml:space="preserve">JUAN REGES BARROS PERALTA</t>
  </si>
  <si>
    <t xml:space="preserve">MERCADO SANTA LUCIA</t>
  </si>
  <si>
    <t xml:space="preserve">ANDREA BARROS LEMES</t>
  </si>
  <si>
    <t xml:space="preserve">MERCADO PANTANAL</t>
  </si>
  <si>
    <t xml:space="preserve">CRISTINA DE PAULA LIMA</t>
  </si>
  <si>
    <t xml:space="preserve">PARADISE</t>
  </si>
  <si>
    <t xml:space="preserve">CELSO CARDOSO DOS SANTOS</t>
  </si>
  <si>
    <t xml:space="preserve">PANF DOCE LIGACAO</t>
  </si>
  <si>
    <t xml:space="preserve">JOAO CARLOS DOBRE</t>
  </si>
  <si>
    <t xml:space="preserve">VENANCIO JOAO ACUNHA</t>
  </si>
  <si>
    <t xml:space="preserve">MERCADO VALE VERDE</t>
  </si>
  <si>
    <t xml:space="preserve">CINTHIA CRISTIANE MOSSINI ME</t>
  </si>
  <si>
    <t xml:space="preserve">ELIANE RODRIGUES DE OLIVEIRA</t>
  </si>
  <si>
    <t xml:space="preserve">SM II IRMAOS</t>
  </si>
  <si>
    <t xml:space="preserve">ISABELA C AGOSTINI</t>
  </si>
  <si>
    <t xml:space="preserve">MERCADO PRECO LEVE</t>
  </si>
  <si>
    <t xml:space="preserve">ABDIAS CARDOSO PINTO</t>
  </si>
  <si>
    <t xml:space="preserve">WALTER ILSON MARQUES DA SILVA</t>
  </si>
  <si>
    <t xml:space="preserve">MAGNO MAX DELYS HIREMAN YOSHIMURA</t>
  </si>
  <si>
    <t xml:space="preserve">SHIMURAS CONVENIENCIAS</t>
  </si>
  <si>
    <t xml:space="preserve">LEONARDO DE A NANTES</t>
  </si>
  <si>
    <t xml:space="preserve">VANESSA MOISES FURTADO</t>
  </si>
  <si>
    <t xml:space="preserve">ESPACO CAFE</t>
  </si>
  <si>
    <t xml:space="preserve">ARIANA APARECIDA RODRIGUES DA SILVA</t>
  </si>
  <si>
    <t xml:space="preserve">CLAUDIO JOSE DA SILVA</t>
  </si>
  <si>
    <t xml:space="preserve">CONVENIENCIA AM PM</t>
  </si>
  <si>
    <t xml:space="preserve">MARCIO JOSE ANDRELAGE</t>
  </si>
  <si>
    <t xml:space="preserve">PASTELARIA CHAVES</t>
  </si>
  <si>
    <t xml:space="preserve">ORIVALDO M MELLO JUNIOR</t>
  </si>
  <si>
    <t xml:space="preserve">MERCADO E ACOUGUE MOREIRA</t>
  </si>
  <si>
    <t xml:space="preserve">SOELI RODRIGUES FERRAZ</t>
  </si>
  <si>
    <t xml:space="preserve">TILLY + Q LANCHE</t>
  </si>
  <si>
    <t xml:space="preserve">ELISANGELA SOARES DE LIMA</t>
  </si>
  <si>
    <t xml:space="preserve">MERCADINHO PRECO BAIXO</t>
  </si>
  <si>
    <t xml:space="preserve">JOABE DIONISIO SOBRINHO</t>
  </si>
  <si>
    <t xml:space="preserve">MARCIA DURANTI DOS REIS</t>
  </si>
  <si>
    <t xml:space="preserve">FACULDADE ESTACIO DE SA</t>
  </si>
  <si>
    <t xml:space="preserve">ANDREIA ALVES SANTOS</t>
  </si>
  <si>
    <t xml:space="preserve">LEANDRO LUIZ NUNES</t>
  </si>
  <si>
    <t xml:space="preserve">ITAJA</t>
  </si>
  <si>
    <t xml:space="preserve">MERCADO MINI CUSTO</t>
  </si>
  <si>
    <t xml:space="preserve">WANDERSON FLORENCIANO</t>
  </si>
  <si>
    <t xml:space="preserve">ZEIDA GOMES P. DA SILVA</t>
  </si>
  <si>
    <t xml:space="preserve">ACADEMIA SOL DE VERAO</t>
  </si>
  <si>
    <t xml:space="preserve">AMANCIO CABRERA NETO</t>
  </si>
  <si>
    <t xml:space="preserve">CLEONECIR APARECIDA GREGORIO RODRIGUES  </t>
  </si>
  <si>
    <t xml:space="preserve">CORDIL</t>
  </si>
  <si>
    <t xml:space="preserve">PAULO SERGIO PERES AGYES</t>
  </si>
  <si>
    <t xml:space="preserve">TUAREG BAR</t>
  </si>
  <si>
    <t xml:space="preserve">ROBERTO EDUARDO VID NANDAS</t>
  </si>
  <si>
    <t xml:space="preserve">PANIF SONHO E MASSAS</t>
  </si>
  <si>
    <t xml:space="preserve">CLAUDIA REGINA SILVA MATHEUS</t>
  </si>
  <si>
    <t xml:space="preserve">EDILSON DOMINGUES</t>
  </si>
  <si>
    <t xml:space="preserve">VALCILEIA MARIA DA SILVA SANTOS</t>
  </si>
  <si>
    <t xml:space="preserve">MERCADO E ACO. SAO MATEUS</t>
  </si>
  <si>
    <t xml:space="preserve">ANAIARA DE FREITAS NANTES</t>
  </si>
  <si>
    <t xml:space="preserve">MERCEARIA GARCIA</t>
  </si>
  <si>
    <t xml:space="preserve">ANGELITA ALVES ARAUJO</t>
  </si>
  <si>
    <t xml:space="preserve">FLORICULTURA PINGO DE OURO</t>
  </si>
  <si>
    <t xml:space="preserve">ULISSES DE LIMA PEREIRA</t>
  </si>
  <si>
    <t xml:space="preserve">CONVENIENCIA DO LICIN</t>
  </si>
  <si>
    <t xml:space="preserve">REGISLAINE PEREIRA DA SILVA</t>
  </si>
  <si>
    <t xml:space="preserve">EVA MORILO COELHO</t>
  </si>
  <si>
    <t xml:space="preserve">DEONILDE SEDEI</t>
  </si>
  <si>
    <t xml:space="preserve">BOM D MAIS</t>
  </si>
  <si>
    <t xml:space="preserve">ELIAS DE OLIVEIRA</t>
  </si>
  <si>
    <t xml:space="preserve">ELIAS QUEIROZ DOS SANTOS</t>
  </si>
  <si>
    <t xml:space="preserve">MERCEARIA E CONVENIENCIAS SANTOS</t>
  </si>
  <si>
    <t xml:space="preserve">KELLY BUFAO CELERI</t>
  </si>
  <si>
    <t xml:space="preserve">POPS LANCHES</t>
  </si>
  <si>
    <t xml:space="preserve">VIVIANE LEITE DA SILVA</t>
  </si>
  <si>
    <t xml:space="preserve">ANTONIA FERREIRA BATISTA SOBREIRA</t>
  </si>
  <si>
    <t xml:space="preserve">DIOGO SILVA DE MOURA</t>
  </si>
  <si>
    <t xml:space="preserve">REST PANERAS</t>
  </si>
  <si>
    <t xml:space="preserve">ERIVAN ANTONIO DA SILVA</t>
  </si>
  <si>
    <t xml:space="preserve">MERCADO BOM PRE‡O</t>
  </si>
  <si>
    <t xml:space="preserve">EURICO RODRIGUES DA FONSECA</t>
  </si>
  <si>
    <t xml:space="preserve">BAR E MERCEARIA FRONTEIRA</t>
  </si>
  <si>
    <t xml:space="preserve">FATIMA DO CARMO PAIVA ASSIS</t>
  </si>
  <si>
    <t xml:space="preserve">MERCEARIA PAIVA</t>
  </si>
  <si>
    <t xml:space="preserve">LUCIMARCOS TENORIO DE MELO</t>
  </si>
  <si>
    <t xml:space="preserve">MERCADO MELO</t>
  </si>
  <si>
    <t xml:space="preserve">ROBERTA MOURAO PRICO</t>
  </si>
  <si>
    <t xml:space="preserve">SIMARA DE ARAUJO</t>
  </si>
  <si>
    <t xml:space="preserve">MERCADO 02 CORACOES</t>
  </si>
  <si>
    <t xml:space="preserve">SOLANGE FERREIRA DE PINHO</t>
  </si>
  <si>
    <t xml:space="preserve">ADRIANO ALVES DOS SANTOS</t>
  </si>
  <si>
    <t xml:space="preserve">PANIF KIPAO</t>
  </si>
  <si>
    <t xml:space="preserve">ANDERSON PIMENTEL VIEIRA</t>
  </si>
  <si>
    <t xml:space="preserve">DEBORA APARECIDA DE MATOS NANRES</t>
  </si>
  <si>
    <t xml:space="preserve">EURIMAR CORREA DE OLIVEIRA</t>
  </si>
  <si>
    <t xml:space="preserve">SM POLIZES</t>
  </si>
  <si>
    <t xml:space="preserve">FRANK DO AMARAL</t>
  </si>
  <si>
    <t xml:space="preserve">GLAUCIA LUCIA PANIAGO DOS SANTOS</t>
  </si>
  <si>
    <t xml:space="preserve">CASA DA RACAO</t>
  </si>
  <si>
    <t xml:space="preserve">GRACIELI CARVALHO PEREIRA</t>
  </si>
  <si>
    <t xml:space="preserve">CONVENIENCIA OURO VERDE</t>
  </si>
  <si>
    <t xml:space="preserve">HELTON ANDRADE LIMA</t>
  </si>
  <si>
    <t xml:space="preserve">IRACELIA SANTOS PEREIRA</t>
  </si>
  <si>
    <t xml:space="preserve">KASSIS BAR</t>
  </si>
  <si>
    <t xml:space="preserve">MARILSO ALVES (REP 115)</t>
  </si>
  <si>
    <t xml:space="preserve">LINDOMARILSO</t>
  </si>
  <si>
    <t xml:space="preserve">MAURO NASCIMENTO MARTINS</t>
  </si>
  <si>
    <t xml:space="preserve">WELIDA FERREIRA DA SILVA</t>
  </si>
  <si>
    <t xml:space="preserve">PANIFICADORA VI PAO</t>
  </si>
  <si>
    <t xml:space="preserve">ALEXANDRE NUNES MOTA</t>
  </si>
  <si>
    <t xml:space="preserve">ALEXANDER NIEDACK ALVES</t>
  </si>
  <si>
    <t xml:space="preserve">PANIFICADORA SONHO DOURADO</t>
  </si>
  <si>
    <t xml:space="preserve">ELAINE MARIA ALMEIDA</t>
  </si>
  <si>
    <t xml:space="preserve">SILVIO DO NASCIMENTO RODRIGUES</t>
  </si>
  <si>
    <t xml:space="preserve">COMERCIAL KARINA</t>
  </si>
  <si>
    <t xml:space="preserve">JUCILENE GOMES</t>
  </si>
  <si>
    <t xml:space="preserve">L M CASA DE CARNE</t>
  </si>
  <si>
    <t xml:space="preserve">KATIUSCIA RODRIGUES MENDES</t>
  </si>
  <si>
    <t xml:space="preserve">CRISTINA DOS SANTOS</t>
  </si>
  <si>
    <t xml:space="preserve">MERCADO PRIMO</t>
  </si>
  <si>
    <t xml:space="preserve">LUCIANA CRISPIN DA SILVA</t>
  </si>
  <si>
    <t xml:space="preserve">MERCEARIA DO SEU MARTIN</t>
  </si>
  <si>
    <t xml:space="preserve">ELEDIR ALVES DOS SANTOS</t>
  </si>
  <si>
    <t xml:space="preserve">CASA DE CARNE NOVA CAPITAL</t>
  </si>
  <si>
    <t xml:space="preserve">ISRAEL BATISTA OLIVEIRA</t>
  </si>
  <si>
    <t xml:space="preserve">PANIF PAO DE OURO</t>
  </si>
  <si>
    <t xml:space="preserve">STEVE OSTIN BARBOSA BRAZ DE OLIVEIRA</t>
  </si>
  <si>
    <t xml:space="preserve">OLINDA HORTIS FERNANDES</t>
  </si>
  <si>
    <t xml:space="preserve">CONVENIENCIA LC</t>
  </si>
  <si>
    <t xml:space="preserve">ADRIANA CILENE BATISTA</t>
  </si>
  <si>
    <t xml:space="preserve">MERCADO JL</t>
  </si>
  <si>
    <t xml:space="preserve">APARECIDA FATIMA SANTOS</t>
  </si>
  <si>
    <t xml:space="preserve">ELIANA ROSA DE CARVALHO</t>
  </si>
  <si>
    <t xml:space="preserve">POSTO ILHA BELA</t>
  </si>
  <si>
    <t xml:space="preserve">EDERSON PRATTO</t>
  </si>
  <si>
    <t xml:space="preserve">CELIS CHAVEIZER HEBERTZ</t>
  </si>
  <si>
    <t xml:space="preserve">HERCIONE ROCHA CARDOSO</t>
  </si>
  <si>
    <t xml:space="preserve">CANTINA SALEN</t>
  </si>
  <si>
    <t xml:space="preserve">LEONARDO NUNES DE OLIVEIRA</t>
  </si>
  <si>
    <t xml:space="preserve">MERCADO NOGUEIRA</t>
  </si>
  <si>
    <t xml:space="preserve">LILIAN APARECIDA DIAS CAMPOS</t>
  </si>
  <si>
    <t xml:space="preserve"> TJ</t>
  </si>
  <si>
    <t xml:space="preserve">MARCELO FRAIDA NUNES</t>
  </si>
  <si>
    <t xml:space="preserve">MARLEI VILHALBA</t>
  </si>
  <si>
    <t xml:space="preserve">MERCEARIA VILHALBA</t>
  </si>
  <si>
    <t xml:space="preserve">ROSA ADRIANA GUIMARAES SAMPAIO DOS SANTO</t>
  </si>
  <si>
    <t xml:space="preserve">WILLIAN DOURADO TEIXEIRA</t>
  </si>
  <si>
    <t xml:space="preserve">ALESSANDRA SILVA SOUZA</t>
  </si>
  <si>
    <t xml:space="preserve">MERCEARIA JOSE ABRAO</t>
  </si>
  <si>
    <t xml:space="preserve">CLEBER DA SILVA TEIXEIRA</t>
  </si>
  <si>
    <t xml:space="preserve">PAPAGAIOS ESPETOS</t>
  </si>
  <si>
    <t xml:space="preserve">FLAVIO VILALBA  ROHOD</t>
  </si>
  <si>
    <t xml:space="preserve">MERCADO BOA</t>
  </si>
  <si>
    <t xml:space="preserve">GEOVANNE PERES DA SILVA</t>
  </si>
  <si>
    <t xml:space="preserve">MARIA A. ALVES DA S VILHARES</t>
  </si>
  <si>
    <t xml:space="preserve">NOELZA LEITE CHAMORRO</t>
  </si>
  <si>
    <t xml:space="preserve">MERCADO MILLUS</t>
  </si>
  <si>
    <t xml:space="preserve">ODENIR DE OLIVEIRA</t>
  </si>
  <si>
    <t xml:space="preserve">MERC DO BAIXINHO/CONV ALTAS HR</t>
  </si>
  <si>
    <t xml:space="preserve">OZIRIO NEVES DIAS</t>
  </si>
  <si>
    <t xml:space="preserve">OZIRIO NEVES</t>
  </si>
  <si>
    <t xml:space="preserve">CICERO ALKINDAR LEONARDO</t>
  </si>
  <si>
    <t xml:space="preserve">CONVENIENCIA AREA 71</t>
  </si>
  <si>
    <t xml:space="preserve">MARA ADRIANA DOS SANTOS QUEIROZ</t>
  </si>
  <si>
    <t xml:space="preserve">REST LORENZETTI</t>
  </si>
  <si>
    <t xml:space="preserve">RODRIGO FRANCISCO DE ASSIS CARRILHO</t>
  </si>
  <si>
    <t xml:space="preserve">DELEI TEREZINHA VIAPIAMA VEIGA</t>
  </si>
  <si>
    <t xml:space="preserve">CONVENIENCIAS BOCHA</t>
  </si>
  <si>
    <t xml:space="preserve">ANDRE NOGUEIRA SABINO</t>
  </si>
  <si>
    <t xml:space="preserve">CONV CAFEZAIS</t>
  </si>
  <si>
    <t xml:space="preserve">KATIA OLIVEIRA RICARDO DA SILVA</t>
  </si>
  <si>
    <t xml:space="preserve">SERGIA CRISTIANE TOKUNAGA DE FIGUEIREDO </t>
  </si>
  <si>
    <t xml:space="preserve">MERCADO E ACOUG GADITAS</t>
  </si>
  <si>
    <t xml:space="preserve">KOSCIMA DE SOUZA MARTINS</t>
  </si>
  <si>
    <t xml:space="preserve">CASA DE CARNE CONVENIENCIA</t>
  </si>
  <si>
    <t xml:space="preserve">ROZELI DAS FLORES SILVA</t>
  </si>
  <si>
    <t xml:space="preserve">SACOLAO FRUTARIA</t>
  </si>
  <si>
    <t xml:space="preserve">ANTONIO GOMES SIMOES</t>
  </si>
  <si>
    <t xml:space="preserve">MERCEARIA A G S</t>
  </si>
  <si>
    <t xml:space="preserve">ALEX PEREIRA ANTUNES FRETEIRO</t>
  </si>
  <si>
    <t xml:space="preserve">FRETEIRO - ALEX PEREIRA ANTUNES</t>
  </si>
  <si>
    <t xml:space="preserve">ANDREA DIAS DA SILVA</t>
  </si>
  <si>
    <t xml:space="preserve">MAPA CONVENIENCIA</t>
  </si>
  <si>
    <t xml:space="preserve">DANIEL ANIJAR DE MATOS</t>
  </si>
  <si>
    <t xml:space="preserve">ELISANGELA VIEIRA ALVES</t>
  </si>
  <si>
    <t xml:space="preserve">ELISS MERCEARIA</t>
  </si>
  <si>
    <t xml:space="preserve">THIAGO AUGUSTO V E PEREIRA LIMA</t>
  </si>
  <si>
    <t xml:space="preserve">THIAGO AUGUSTO</t>
  </si>
  <si>
    <t xml:space="preserve">CARLOS SALVADOR MONTEIRO</t>
  </si>
  <si>
    <t xml:space="preserve">MERCEARIA SALVADOR</t>
  </si>
  <si>
    <t xml:space="preserve">MARCELO RODRIGUES PERIN</t>
  </si>
  <si>
    <t xml:space="preserve">MARIA LUCIA DA SILVA MATHES</t>
  </si>
  <si>
    <t xml:space="preserve">MERC FLORIDA</t>
  </si>
  <si>
    <t xml:space="preserve">JOSE MONTEIRO DO NASCIMENTO</t>
  </si>
  <si>
    <t xml:space="preserve">PADARIA SAO FRANCISCO</t>
  </si>
  <si>
    <t xml:space="preserve">SOLANGE CORTESI FERREIRA</t>
  </si>
  <si>
    <t xml:space="preserve">TEREZA MOTTI ROSA</t>
  </si>
  <si>
    <t xml:space="preserve">LANCHONETE E MER MOTTI</t>
  </si>
  <si>
    <t xml:space="preserve">GUSTAVO RONALDO HEYN</t>
  </si>
  <si>
    <t xml:space="preserve">ANA AMALIA ALVES ZANARDO</t>
  </si>
  <si>
    <t xml:space="preserve">MERCEARIA COMPREMAIS</t>
  </si>
  <si>
    <t xml:space="preserve">EDERALDO CARDOSO PEDROSO</t>
  </si>
  <si>
    <t xml:space="preserve">ESPETINHO LANCH</t>
  </si>
  <si>
    <t xml:space="preserve">ELIZETE PERES DE MORAES</t>
  </si>
  <si>
    <t xml:space="preserve">FERNANDA PEREIRA RODRIGUES</t>
  </si>
  <si>
    <t xml:space="preserve">SACOLAO FRUTI CARNE</t>
  </si>
  <si>
    <t xml:space="preserve">VALDETE GOMES RIBEIRO MARIA</t>
  </si>
  <si>
    <t xml:space="preserve">MERCADO PARANAENSE</t>
  </si>
  <si>
    <t xml:space="preserve">WELMA PEREIRA ARANTES</t>
  </si>
  <si>
    <t xml:space="preserve">BAR 21</t>
  </si>
  <si>
    <t xml:space="preserve">ANTONIO APARECIDO DOS SANTOS</t>
  </si>
  <si>
    <t xml:space="preserve">PANIFICADORA VITANA DOIS</t>
  </si>
  <si>
    <t xml:space="preserve">ANDERSON THIAGO RIBEIRO MARQUES</t>
  </si>
  <si>
    <t xml:space="preserve">IVONE RODRIGUES MOTTA PACHECO</t>
  </si>
  <si>
    <t xml:space="preserve">JAIR ALMEIDA</t>
  </si>
  <si>
    <t xml:space="preserve">CASA DO CREPE</t>
  </si>
  <si>
    <t xml:space="preserve">MARCIA DA CRUZ</t>
  </si>
  <si>
    <t xml:space="preserve">CONVENIENCIA ZERO GRAU</t>
  </si>
  <si>
    <t xml:space="preserve">MARIA LUCIA DA FONSECA VILELA</t>
  </si>
  <si>
    <t xml:space="preserve">MERCEARIA ANDRIELY</t>
  </si>
  <si>
    <t xml:space="preserve">SUZANA GOMES VIEIRA</t>
  </si>
  <si>
    <t xml:space="preserve">MERCEARIA E PANIF SANTO ANDRE</t>
  </si>
  <si>
    <t xml:space="preserve">ELIZANGELA BERWANGER</t>
  </si>
  <si>
    <t xml:space="preserve">LANCHONETE LAGUNAO</t>
  </si>
  <si>
    <t xml:space="preserve">GISELE APARECIDA DO NASCIMENTO ESCOBAR  </t>
  </si>
  <si>
    <t xml:space="preserve">ANICE RODRIGUES DE SOUZA MENDES</t>
  </si>
  <si>
    <t xml:space="preserve">MERCEARIA SENHOR MEU</t>
  </si>
  <si>
    <t xml:space="preserve">CRISTIANE VALERIA NETTO ACOSTA</t>
  </si>
  <si>
    <t xml:space="preserve">MERCEARIA JP</t>
  </si>
  <si>
    <t xml:space="preserve">ALEXANDRE DUARTE DA SILVA</t>
  </si>
  <si>
    <t xml:space="preserve">PANIF IPIRANGA</t>
  </si>
  <si>
    <t xml:space="preserve">FABIO DAGA</t>
  </si>
  <si>
    <t xml:space="preserve">PANIF DAGA</t>
  </si>
  <si>
    <t xml:space="preserve">MANOEL ADRIANO FELIZARDO</t>
  </si>
  <si>
    <t xml:space="preserve">PANIF KRITIVA III</t>
  </si>
  <si>
    <t xml:space="preserve">MARCOS DANTAS LACERDA</t>
  </si>
  <si>
    <t xml:space="preserve">MERCEARIA DOURADENCE</t>
  </si>
  <si>
    <t xml:space="preserve">MARCOS MIRANDA SANTANA</t>
  </si>
  <si>
    <t xml:space="preserve">MERCEARIA BARATINHO</t>
  </si>
  <si>
    <t xml:space="preserve">ROMANA GARCIA DOS SANTOS</t>
  </si>
  <si>
    <t xml:space="preserve">TEURA GISELY GOMES CARVALHO</t>
  </si>
  <si>
    <t xml:space="preserve">BAMBOLINO LANCHO E CON</t>
  </si>
  <si>
    <t xml:space="preserve">EDINA GERALDILLI DOS SANTOS</t>
  </si>
  <si>
    <t xml:space="preserve">PANIF KI SABOR</t>
  </si>
  <si>
    <t xml:space="preserve">EVA GONCALVES DA MOTA ME</t>
  </si>
  <si>
    <t xml:space="preserve">LAV BEM SERVICOS</t>
  </si>
  <si>
    <t xml:space="preserve">KELLY GRACIELA DURE</t>
  </si>
  <si>
    <t xml:space="preserve">MERCADO CHEROGAMIN</t>
  </si>
  <si>
    <t xml:space="preserve">MARCIA DOS SANTOS LIMA</t>
  </si>
  <si>
    <t xml:space="preserve">PAO DELICIA</t>
  </si>
  <si>
    <t xml:space="preserve">SILETE TEREZINHA KLEIN SLEBERT</t>
  </si>
  <si>
    <t xml:space="preserve">LANC SATELITE (GARAGEM SATELIT</t>
  </si>
  <si>
    <t xml:space="preserve">ALEXANDRE STEIN DE SOUZA</t>
  </si>
  <si>
    <t xml:space="preserve">MINI MERCADO AGL</t>
  </si>
  <si>
    <t xml:space="preserve">ELIZABET LEMAO FERNANDES</t>
  </si>
  <si>
    <t xml:space="preserve">CONVENIENCIA REMO</t>
  </si>
  <si>
    <t xml:space="preserve">JURACI FLORES FERREIRA</t>
  </si>
  <si>
    <t xml:space="preserve">SM POMTO BOM</t>
  </si>
  <si>
    <t xml:space="preserve">ANA LUZIA DUTRA MACIL</t>
  </si>
  <si>
    <t xml:space="preserve">CASA DE CARNE BOA SORTE</t>
  </si>
  <si>
    <t xml:space="preserve">CANTINA ABC</t>
  </si>
  <si>
    <t xml:space="preserve">MILENE APARECIDA DE SALES</t>
  </si>
  <si>
    <t xml:space="preserve">KASSIUS BAR</t>
  </si>
  <si>
    <t xml:space="preserve">KLEBER MEIRA SILVA</t>
  </si>
  <si>
    <t xml:space="preserve">ACADEMIA COLISEU</t>
  </si>
  <si>
    <t xml:space="preserve">ADELI DE OLIVEIRA FREITAS</t>
  </si>
  <si>
    <t xml:space="preserve">JOSE MARCONDES DE ARAUJO DELMONDES</t>
  </si>
  <si>
    <t xml:space="preserve">PANIF E CONF KI PAO</t>
  </si>
  <si>
    <t xml:space="preserve">JULIO CESAR PIMENTEL</t>
  </si>
  <si>
    <t xml:space="preserve">PANF SANTO EXPEDITO</t>
  </si>
  <si>
    <t xml:space="preserve">MARCOS ROBERTO GONCALVES</t>
  </si>
  <si>
    <t xml:space="preserve">MARISTELA FERREIRA</t>
  </si>
  <si>
    <t xml:space="preserve">SALAO ESPACO VIP</t>
  </si>
  <si>
    <t xml:space="preserve">ROMILDA ROSA</t>
  </si>
  <si>
    <t xml:space="preserve">MERCADO H L</t>
  </si>
  <si>
    <t xml:space="preserve">ADRIANA NOGUEIRA ROCHA</t>
  </si>
  <si>
    <t xml:space="preserve">MERCEARIA KITANDA</t>
  </si>
  <si>
    <t xml:space="preserve">ANDRE FERNANDES GOMES</t>
  </si>
  <si>
    <t xml:space="preserve">BAR E CONVENIENCIA BEIRA</t>
  </si>
  <si>
    <t xml:space="preserve">MARCELO JOSE FEITOSA</t>
  </si>
  <si>
    <t xml:space="preserve">PANF KI-DELICIA</t>
  </si>
  <si>
    <t xml:space="preserve">MARCIA ROGERIO TEODORO</t>
  </si>
  <si>
    <t xml:space="preserve">SM SERVE BEM</t>
  </si>
  <si>
    <t xml:space="preserve">CRISTINA GONCALVES SILVA</t>
  </si>
  <si>
    <t xml:space="preserve">LUCELIA CORREA CANDIDO</t>
  </si>
  <si>
    <t xml:space="preserve">FRUTARIA ESPERENCA</t>
  </si>
  <si>
    <t xml:space="preserve">PRISCILA SILVA ROCHA NASCIMENTO</t>
  </si>
  <si>
    <t xml:space="preserve">MERCADO PRIKARA</t>
  </si>
  <si>
    <t xml:space="preserve">JOSE EDUARDO JAMDRE</t>
  </si>
  <si>
    <t xml:space="preserve">JOSIANI GONDIM RODRIGUES</t>
  </si>
  <si>
    <t xml:space="preserve">MERCEARIA MONTENGO</t>
  </si>
  <si>
    <t xml:space="preserve">CARMINA RODRIGUES DA SILVA</t>
  </si>
  <si>
    <t xml:space="preserve">ESQUINAO MERCEARIA E CONVENIENCIA</t>
  </si>
  <si>
    <t xml:space="preserve">ALESSANDRA MATOS DA SILVA</t>
  </si>
  <si>
    <t xml:space="preserve">LIMP</t>
  </si>
  <si>
    <t xml:space="preserve">ELIAS ALVES VIANA</t>
  </si>
  <si>
    <t xml:space="preserve">PAD VIANA</t>
  </si>
  <si>
    <t xml:space="preserve">ADRIANA DA SILVA E SOUZA</t>
  </si>
  <si>
    <t xml:space="preserve">ANA MIRIAN SOARES VASCONCELOS</t>
  </si>
  <si>
    <t xml:space="preserve">MARIA CRISTINA ABREU</t>
  </si>
  <si>
    <t xml:space="preserve">EULINA RODRIGUES ANDRADE</t>
  </si>
  <si>
    <t xml:space="preserve">MERCEARIA SUPER BOM</t>
  </si>
  <si>
    <t xml:space="preserve">MAGSON EULALIO AMORIM</t>
  </si>
  <si>
    <t xml:space="preserve">CONV DO MAGSON</t>
  </si>
  <si>
    <t xml:space="preserve">SIRLENE DIAS DE SOUZA</t>
  </si>
  <si>
    <t xml:space="preserve">SB MERCADO E ACOUGUE</t>
  </si>
  <si>
    <t xml:space="preserve">FERNANDO DOS SANTOS</t>
  </si>
  <si>
    <t xml:space="preserve">PANIF BOM PALADAR</t>
  </si>
  <si>
    <t xml:space="preserve">GUILHERME NAKAZATO</t>
  </si>
  <si>
    <t xml:space="preserve">LUIS FERNANDES NANTES</t>
  </si>
  <si>
    <t xml:space="preserve">VALDELICE ALVES DA SILVA</t>
  </si>
  <si>
    <t xml:space="preserve">MERC NSA APARECIDA</t>
  </si>
  <si>
    <t xml:space="preserve">CRISTIANO MATIAS DE OLIVEIRA</t>
  </si>
  <si>
    <t xml:space="preserve">MERCEARIA MC</t>
  </si>
  <si>
    <t xml:space="preserve">SANDRA PAGANI</t>
  </si>
  <si>
    <t xml:space="preserve">MERCADO PAGANI PONTI</t>
  </si>
  <si>
    <t xml:space="preserve">CRISTIANS ESTEVAM VIEIRA LOPES</t>
  </si>
  <si>
    <t xml:space="preserve">CASA DE CARNE ACACIA</t>
  </si>
  <si>
    <t xml:space="preserve">DIRLANDA XIMENES ROQUE (CRISPIN)</t>
  </si>
  <si>
    <t xml:space="preserve">DREISY VARANAUSKAS KASSAR</t>
  </si>
  <si>
    <t xml:space="preserve">REST KI SABOR</t>
  </si>
  <si>
    <t xml:space="preserve">FABIANO ARTINAN COSTA</t>
  </si>
  <si>
    <t xml:space="preserve">ARTINAN CONVENIENCIA E UTILIDA</t>
  </si>
  <si>
    <t xml:space="preserve">LOURIVAL ANGELO BARBOSA FILHO</t>
  </si>
  <si>
    <t xml:space="preserve">MWERCADO DRAKMAN</t>
  </si>
  <si>
    <t xml:space="preserve">PATRICIA RODRIGUE GONCALVES</t>
  </si>
  <si>
    <t xml:space="preserve">CONV DO PARK</t>
  </si>
  <si>
    <t xml:space="preserve">JUNIOR MARIO DA SILVA PINTO</t>
  </si>
  <si>
    <t xml:space="preserve">MILENIUM CONV</t>
  </si>
  <si>
    <t xml:space="preserve">PETERSON SOUZA MELO</t>
  </si>
  <si>
    <t xml:space="preserve">UFMS KIOSQUE</t>
  </si>
  <si>
    <t xml:space="preserve">FRANCISCO JOSE DA SILVA</t>
  </si>
  <si>
    <t xml:space="preserve">POUSADA SUCURI</t>
  </si>
  <si>
    <t xml:space="preserve">DIRCE JANETE LAMB</t>
  </si>
  <si>
    <t xml:space="preserve">PANIF BIA</t>
  </si>
  <si>
    <t xml:space="preserve">GIULIANO HORUMI MITUZAKI</t>
  </si>
  <si>
    <t xml:space="preserve">REGINALDO AZEVEDO DE ALMEIDA</t>
  </si>
  <si>
    <t xml:space="preserve">MERCEARIA INDIANOPOLIS</t>
  </si>
  <si>
    <t xml:space="preserve">LUCINEIA APARECIDA ROJAS ALVES</t>
  </si>
  <si>
    <t xml:space="preserve">ALEXANDRE BARCELOS CAJURE</t>
  </si>
  <si>
    <t xml:space="preserve">VALDENI CAMILO</t>
  </si>
  <si>
    <t xml:space="preserve">MERCADO ALFA</t>
  </si>
  <si>
    <t xml:space="preserve">CELIA GREFE ROMEIRO</t>
  </si>
  <si>
    <t xml:space="preserve">RONI CESAR RODRIGUES MENDES</t>
  </si>
  <si>
    <t xml:space="preserve">MARIA ADELITA DA ROSA GUIMENEZ</t>
  </si>
  <si>
    <t xml:space="preserve">DISK KAISER</t>
  </si>
  <si>
    <t xml:space="preserve">FABIO LEANDRO BAUMGARTNER</t>
  </si>
  <si>
    <t xml:space="preserve">CONV AGUA DOCE</t>
  </si>
  <si>
    <t xml:space="preserve">AMANDA BRANDINO FERNANDES</t>
  </si>
  <si>
    <t xml:space="preserve">ARMAZEM MR MAGOO</t>
  </si>
  <si>
    <t xml:space="preserve">VALQUIRIA PEIXOTO DE LIMA</t>
  </si>
  <si>
    <t xml:space="preserve">ESCOLA PROFESSORA EDNAI PAIM</t>
  </si>
  <si>
    <t xml:space="preserve">ANSELMO ALVES MIRANDA</t>
  </si>
  <si>
    <t xml:space="preserve">EVERTON ALVAREZ CALDAS</t>
  </si>
  <si>
    <t xml:space="preserve">JOSE MILTON FRAZAO DE ARAUJO</t>
  </si>
  <si>
    <t xml:space="preserve">JOSE WAGNER DA SILVA</t>
  </si>
  <si>
    <t xml:space="preserve">VERONICA SEDEI</t>
  </si>
  <si>
    <t xml:space="preserve">TAMARINO LANCHES</t>
  </si>
  <si>
    <t xml:space="preserve">FRANCISCO SARAIVA SOBRINHO</t>
  </si>
  <si>
    <t xml:space="preserve">MERCEARIA DA LINE</t>
  </si>
  <si>
    <t xml:space="preserve">STANGLEI CAMPAGNOLLI</t>
  </si>
  <si>
    <t xml:space="preserve">PADARIA CASA PAO</t>
  </si>
  <si>
    <t xml:space="preserve">WILLIAN COELHO ALVES</t>
  </si>
  <si>
    <t xml:space="preserve">CONVENIENCIA LEITE MEL</t>
  </si>
  <si>
    <t xml:space="preserve">DULCIMAR PEREIRA DE ANDRADE</t>
  </si>
  <si>
    <t xml:space="preserve">DULCIMAR PEREIRA</t>
  </si>
  <si>
    <t xml:space="preserve">PAULO SERGIO SABINO</t>
  </si>
  <si>
    <t xml:space="preserve">LINDOMARIA MORATO LIMA</t>
  </si>
  <si>
    <t xml:space="preserve">SANDRO CHIESA</t>
  </si>
  <si>
    <t xml:space="preserve">SM CHIESA</t>
  </si>
  <si>
    <t xml:space="preserve">FABIO JAPHUNK PULLMANN</t>
  </si>
  <si>
    <t xml:space="preserve">ACDEMIA COLISEU</t>
  </si>
  <si>
    <t xml:space="preserve">GILIARDO NASCIMENTO</t>
  </si>
  <si>
    <t xml:space="preserve">GINASIO 15 DE NOVEMBRO</t>
  </si>
  <si>
    <t xml:space="preserve">JANILDA DOS SANTOS ARAUJO</t>
  </si>
  <si>
    <t xml:space="preserve">CONV SANTOS</t>
  </si>
  <si>
    <t xml:space="preserve">ISAIAS COSTA AMARAL</t>
  </si>
  <si>
    <t xml:space="preserve">ELIETE DOS SANTOS SOARES</t>
  </si>
  <si>
    <t xml:space="preserve">DIOLLES</t>
  </si>
  <si>
    <t xml:space="preserve">ELVIS FERNANDES TAVARES</t>
  </si>
  <si>
    <t xml:space="preserve">PANIFICADORA MARINGA</t>
  </si>
  <si>
    <t xml:space="preserve">ESDRAS NATHALHO TRAMARIN ARAUJO</t>
  </si>
  <si>
    <t xml:space="preserve">MERC BOA SORTE</t>
  </si>
  <si>
    <t xml:space="preserve">JOELSON MENDES BARBOSA</t>
  </si>
  <si>
    <t xml:space="preserve">MARCELO DE AMORIM SOUZA</t>
  </si>
  <si>
    <t xml:space="preserve">MERCEARIA DO MARCELO</t>
  </si>
  <si>
    <t xml:space="preserve">PRISCILA CAMPOS</t>
  </si>
  <si>
    <t xml:space="preserve">CONV TREVO</t>
  </si>
  <si>
    <t xml:space="preserve">94546576153</t>
  </si>
  <si>
    <t xml:space="preserve">CONVENIENCIA DO PORTUGA</t>
  </si>
  <si>
    <t xml:space="preserve">FATIMA ALVES DA SILVA</t>
  </si>
  <si>
    <t xml:space="preserve">ANA CRISTINA FERREIRA DA SILVA SOARES</t>
  </si>
  <si>
    <t xml:space="preserve">ILDA DOS SANTOS LEANDRO</t>
  </si>
  <si>
    <t xml:space="preserve">JOSIANE BARBOSA RITALUGA</t>
  </si>
  <si>
    <t xml:space="preserve">CASA DAS CESTASS</t>
  </si>
  <si>
    <t xml:space="preserve">CLAUDINEI ZAMBONE</t>
  </si>
  <si>
    <t xml:space="preserve">RESTAURANTE ZAMBONE</t>
  </si>
  <si>
    <t xml:space="preserve">EMERSON DA SILVA</t>
  </si>
  <si>
    <t xml:space="preserve">CASA DE CARNE E CONVENIENCIA E S</t>
  </si>
  <si>
    <t xml:space="preserve">IVONE ANTUNES NUNES</t>
  </si>
  <si>
    <t xml:space="preserve">SKINA LANCHE</t>
  </si>
  <si>
    <t xml:space="preserve">TATIANA DE SOUZA E SILVA DA SILVA (CPD) </t>
  </si>
  <si>
    <t xml:space="preserve">TATI</t>
  </si>
  <si>
    <t xml:space="preserve">DULCE MEIRE DA F.S.G TROCHE</t>
  </si>
  <si>
    <t xml:space="preserve">PANF IMPERIO DO PAO</t>
  </si>
  <si>
    <t xml:space="preserve">ZIVANIO NAZARO DA COSTA</t>
  </si>
  <si>
    <t xml:space="preserve">MERCEARIA NAZARO</t>
  </si>
  <si>
    <t xml:space="preserve">ANDRESSA DE LOURDES FACHIN</t>
  </si>
  <si>
    <t xml:space="preserve">NAVI SNACK</t>
  </si>
  <si>
    <t xml:space="preserve">NEIDE SEVERINO DA SILVA</t>
  </si>
  <si>
    <t xml:space="preserve">MERCEARIA DA NEIDE</t>
  </si>
  <si>
    <t xml:space="preserve">ROSELI DOS SANTOS</t>
  </si>
  <si>
    <t xml:space="preserve">VERONICE DOS SANTOS BAZZARO</t>
  </si>
  <si>
    <t xml:space="preserve">CESAR AUGUSTO SOARES</t>
  </si>
  <si>
    <t xml:space="preserve">CANTINA HOSPITAL MILITAR</t>
  </si>
  <si>
    <t xml:space="preserve">PATRICIA GISELLA MARTINS CAMPELO</t>
  </si>
  <si>
    <t xml:space="preserve">LUIZ SERGIO GONCALVES</t>
  </si>
  <si>
    <t xml:space="preserve">MERCADO RENAN</t>
  </si>
  <si>
    <t xml:space="preserve">JOAO PAULO LEMOS</t>
  </si>
  <si>
    <t xml:space="preserve">MERCADO BOI DE OURO</t>
  </si>
  <si>
    <t xml:space="preserve">VANESSA FERNANDES</t>
  </si>
  <si>
    <t xml:space="preserve">MARLI FEREIRA FAGUNDES</t>
  </si>
  <si>
    <t xml:space="preserve">ANDRES CLAUDIO DE SOUZA</t>
  </si>
  <si>
    <t xml:space="preserve">MERCEARIA BOM PRE‡O</t>
  </si>
  <si>
    <t xml:space="preserve">EDINALDO ALVES DE MORAES (CPD)</t>
  </si>
  <si>
    <t xml:space="preserve">EDINALDO</t>
  </si>
  <si>
    <t xml:space="preserve">ITAMAR AFONSO</t>
  </si>
  <si>
    <t xml:space="preserve">LANCHONETE FENIX</t>
  </si>
  <si>
    <t xml:space="preserve">JACELINE EUGENIO DE MELO NUNES</t>
  </si>
  <si>
    <t xml:space="preserve">LOJA EVIDENCE</t>
  </si>
  <si>
    <t xml:space="preserve">SILMARA LUIZA AQUINO MENDES</t>
  </si>
  <si>
    <t xml:space="preserve">MARIA LUIZA MARINHO BARCUS</t>
  </si>
  <si>
    <t xml:space="preserve">ACOUGUE ACACIA</t>
  </si>
  <si>
    <t xml:space="preserve">RITA APARECIDA MARQUES</t>
  </si>
  <si>
    <t xml:space="preserve">PADARIA ROYAL</t>
  </si>
  <si>
    <t xml:space="preserve">HELINTOM CARNEIRO ROMEIRO</t>
  </si>
  <si>
    <t xml:space="preserve">MARCELO FERREIRA DE CASTRO</t>
  </si>
  <si>
    <t xml:space="preserve">QUALIDADE FISICA</t>
  </si>
  <si>
    <t xml:space="preserve">ALEXANDRE DE SOUZA PINTADO</t>
  </si>
  <si>
    <t xml:space="preserve">CONV FRUTARIA CHALE</t>
  </si>
  <si>
    <t xml:space="preserve">ADAUTO JOSE DA SILVA LOPES</t>
  </si>
  <si>
    <t xml:space="preserve">SOBRADINHO</t>
  </si>
  <si>
    <t xml:space="preserve">ALEX SANDRO LOPES GOMES</t>
  </si>
  <si>
    <t xml:space="preserve">PANIF FLOR DA</t>
  </si>
  <si>
    <t xml:space="preserve">VALENTIM CELIO ZANATTA</t>
  </si>
  <si>
    <t xml:space="preserve">JULIANO CARVALHO SANTOS</t>
  </si>
  <si>
    <t xml:space="preserve">CASA DE CARNE SANTOS</t>
  </si>
  <si>
    <t xml:space="preserve">LOURDES ARECO JARA</t>
  </si>
  <si>
    <t xml:space="preserve">MERCADO SA BRAZ</t>
  </si>
  <si>
    <t xml:space="preserve">OSVALDO NUNES</t>
  </si>
  <si>
    <t xml:space="preserve">RAFAEL GOMES TINOCO</t>
  </si>
  <si>
    <t xml:space="preserve">HELLIO'S VIDEO</t>
  </si>
  <si>
    <t xml:space="preserve">SUELY FREITAS DIAS</t>
  </si>
  <si>
    <t xml:space="preserve">MINE MERCADO DIAS</t>
  </si>
  <si>
    <t xml:space="preserve">CARLITO BASTOS TAVEIRA</t>
  </si>
  <si>
    <t xml:space="preserve">CASA DO ESPINHO</t>
  </si>
  <si>
    <t xml:space="preserve">GERSON KOHLER DOS SANTOS</t>
  </si>
  <si>
    <t xml:space="preserve">MULTIPLUS</t>
  </si>
  <si>
    <t xml:space="preserve">ROSELI NOMUTO LIMA</t>
  </si>
  <si>
    <t xml:space="preserve">CONV DIA E NOITE</t>
  </si>
  <si>
    <t xml:space="preserve">MARIA DO CARMO ALVES DE MELO</t>
  </si>
  <si>
    <t xml:space="preserve">MERCADO ESTRELA GUIA</t>
  </si>
  <si>
    <t xml:space="preserve">VALMIR DA SILVA TEIXEIRA</t>
  </si>
  <si>
    <t xml:space="preserve">JOSE LILTON LEITE PEREIRA</t>
  </si>
  <si>
    <t xml:space="preserve">KELLY CRISTINA SOUZA GARCIA</t>
  </si>
  <si>
    <t xml:space="preserve">CESTA BASICA CAIPIRA</t>
  </si>
  <si>
    <t xml:space="preserve">PEDRO PAULO COIMBRA LOANGO</t>
  </si>
  <si>
    <t xml:space="preserve">LOANGO'S CONV</t>
  </si>
  <si>
    <t xml:space="preserve">SERLI AQUINO LUBAS DE ALMEIDA</t>
  </si>
  <si>
    <t xml:space="preserve">CANTINA I E A</t>
  </si>
  <si>
    <t xml:space="preserve">ADRIANO GUILHERME PEREIRA DA SILVA</t>
  </si>
  <si>
    <t xml:space="preserve">PADARIA VILA BELA</t>
  </si>
  <si>
    <t xml:space="preserve">ANA CLARA ROSA BALBE</t>
  </si>
  <si>
    <t xml:space="preserve">PET POINT</t>
  </si>
  <si>
    <t xml:space="preserve">CLEIDINA SOARES MAIA</t>
  </si>
  <si>
    <t xml:space="preserve">CLEITON DE ARAUJO</t>
  </si>
  <si>
    <t xml:space="preserve">KLEBERSON MACHADO FILHO</t>
  </si>
  <si>
    <t xml:space="preserve">POSTO E REST SANTA ROSA</t>
  </si>
  <si>
    <t xml:space="preserve">ANDRESSA REGINA RODRIGUES DA SILVA</t>
  </si>
  <si>
    <t xml:space="preserve">PANF AMERICA</t>
  </si>
  <si>
    <t xml:space="preserve">ANTONIO MARCOS FERRAZ CALDEIRA</t>
  </si>
  <si>
    <t xml:space="preserve">TRILHOS CONVENIENCIA</t>
  </si>
  <si>
    <t xml:space="preserve">ARCILENE DE OLIVEIRA DA SILVA VARGA</t>
  </si>
  <si>
    <t xml:space="preserve">GELA GOELA</t>
  </si>
  <si>
    <t xml:space="preserve">CELSO RODRIGO GONCALVES</t>
  </si>
  <si>
    <t xml:space="preserve">NEI PAO LANCHES</t>
  </si>
  <si>
    <t xml:space="preserve">DERCY APARECIDA DELGADO BETENCOURT</t>
  </si>
  <si>
    <t xml:space="preserve">MERCEARIA DERCY</t>
  </si>
  <si>
    <t xml:space="preserve">EDSON ODAIR MONTEIRO LOPES</t>
  </si>
  <si>
    <t xml:space="preserve">JOSE DJAVALDO SANTOS</t>
  </si>
  <si>
    <t xml:space="preserve">MERCADO ALTO MARACAJU</t>
  </si>
  <si>
    <t xml:space="preserve">LILIA MARIA DE SOUZA</t>
  </si>
  <si>
    <t xml:space="preserve">G B QUEIROZ</t>
  </si>
  <si>
    <t xml:space="preserve">JORGE NOBERTO ROSA</t>
  </si>
  <si>
    <t xml:space="preserve">MERCEARIA OLIMPICO</t>
  </si>
  <si>
    <t xml:space="preserve">FERNANDA FABRICIO DE SOUZA</t>
  </si>
  <si>
    <t xml:space="preserve">CANTINA DA B LOG</t>
  </si>
  <si>
    <t xml:space="preserve">VICENTE ROCAMORA</t>
  </si>
  <si>
    <t xml:space="preserve">PANF RAINHA</t>
  </si>
  <si>
    <t xml:space="preserve">RCA-LILIAN SANTANA SOMMERFELD</t>
  </si>
  <si>
    <t xml:space="preserve">PAULO SERGIO DE OLIVEIRA (REP 55)</t>
  </si>
  <si>
    <t xml:space="preserve">PAULO REPRESENTANTE</t>
  </si>
  <si>
    <t xml:space="preserve">PRISCILLA EMANUELLE M. DE O. FRANDOLOSO </t>
  </si>
  <si>
    <t xml:space="preserve">COSTELARIA GASTAO IN CASA</t>
  </si>
  <si>
    <t xml:space="preserve">DIOGO MARTINS AZAMBUZA</t>
  </si>
  <si>
    <t xml:space="preserve">PANIFICADORA PIFFER</t>
  </si>
  <si>
    <t xml:space="preserve">JACKELINE CRUZ DE AQUINO</t>
  </si>
  <si>
    <t xml:space="preserve">FATIMA ROJA</t>
  </si>
  <si>
    <t xml:space="preserve">A‡OUGUE DO GERALDO</t>
  </si>
  <si>
    <t xml:space="preserve">FELIZIO XIMENES</t>
  </si>
  <si>
    <t xml:space="preserve">LEONOR GOMES DOS SANTOS</t>
  </si>
  <si>
    <t xml:space="preserve">SILVIA MARIA ROBERTO SILVA</t>
  </si>
  <si>
    <t xml:space="preserve">MERCEARIA POMPER</t>
  </si>
  <si>
    <t xml:space="preserve">MARINES TEIXEIRA</t>
  </si>
  <si>
    <t xml:space="preserve">PAO BENTO CAFE LTDA ME</t>
  </si>
  <si>
    <t xml:space="preserve">PAO BENTO CAFE</t>
  </si>
  <si>
    <t xml:space="preserve">SIRLENE R ROSSI</t>
  </si>
  <si>
    <t xml:space="preserve">FABIA BALBINO DE OLIVEIRA</t>
  </si>
  <si>
    <t xml:space="preserve">CELIA RENA LEONEL</t>
  </si>
  <si>
    <t xml:space="preserve">LILIANE DE MATOS SILVA</t>
  </si>
  <si>
    <t xml:space="preserve">NANDA MODAS</t>
  </si>
  <si>
    <t xml:space="preserve">ALDETE PEREIRA DOS SANTOS</t>
  </si>
  <si>
    <t xml:space="preserve">MERCADO CASAGRANDE</t>
  </si>
  <si>
    <t xml:space="preserve">MARIA APA FERNANDES PINHEIRO</t>
  </si>
  <si>
    <t xml:space="preserve">SM DU VALE</t>
  </si>
  <si>
    <t xml:space="preserve">JEAN CESAR ALVES DE AZEVEDO</t>
  </si>
  <si>
    <t xml:space="preserve">MERC KELLE</t>
  </si>
  <si>
    <t xml:space="preserve">JOSELAINE CASAGRANDE</t>
  </si>
  <si>
    <t xml:space="preserve">MERCEARIA NOSSA SENHORA APAREC</t>
  </si>
  <si>
    <t xml:space="preserve">PAULO SERGIO DA ROCHA</t>
  </si>
  <si>
    <t xml:space="preserve">SM ACACIA</t>
  </si>
  <si>
    <t xml:space="preserve">ADRIANA BORGES DOS SANTOS</t>
  </si>
  <si>
    <t xml:space="preserve">ARARA VERMELHA</t>
  </si>
  <si>
    <t xml:space="preserve">DAVID RODRIGUES OLIVEIRA</t>
  </si>
  <si>
    <t xml:space="preserve">MERCADO RAMA</t>
  </si>
  <si>
    <t xml:space="preserve">CLAUDIA ROSANA DOS SANTOS SILVA</t>
  </si>
  <si>
    <t xml:space="preserve">SORVETERIA KI SORVETES</t>
  </si>
  <si>
    <t xml:space="preserve">ELAINE SIQUEIRA DOS SANTOS</t>
  </si>
  <si>
    <t xml:space="preserve">ELIETE CONVENIENCIA</t>
  </si>
  <si>
    <t xml:space="preserve">ALCIONE JAINE DOS SANTOS LIMA</t>
  </si>
  <si>
    <t xml:space="preserve">BAR E CONV BOM JESUS</t>
  </si>
  <si>
    <t xml:space="preserve">ALICE FORRACA</t>
  </si>
  <si>
    <t xml:space="preserve">BRAULIA CACERES</t>
  </si>
  <si>
    <t xml:space="preserve">DARIO MENEZES</t>
  </si>
  <si>
    <t xml:space="preserve">MERCEARIA LIBRA</t>
  </si>
  <si>
    <t xml:space="preserve">DIEGO FLORES FRANK</t>
  </si>
  <si>
    <t xml:space="preserve">CANTINA 14 CIA PE</t>
  </si>
  <si>
    <t xml:space="preserve">ELIANE FERREIRA DA SILVA</t>
  </si>
  <si>
    <t xml:space="preserve">FABIO JUNIOR JUSTINO</t>
  </si>
  <si>
    <t xml:space="preserve">MERCADO SEMPREBOM</t>
  </si>
  <si>
    <t xml:space="preserve">FLAVIO AUGUSTO MONTEIRO DA LUZ</t>
  </si>
  <si>
    <t xml:space="preserve">TIO CHICO</t>
  </si>
  <si>
    <t xml:space="preserve">ROSELI VIANNA TAVEIRA</t>
  </si>
  <si>
    <t xml:space="preserve">ROSELI SUPERMERCADO</t>
  </si>
  <si>
    <t xml:space="preserve">FABIANO PINTO BAITAMAN</t>
  </si>
  <si>
    <t xml:space="preserve">GILMAR GARBIM BATISTA</t>
  </si>
  <si>
    <t xml:space="preserve">CONV SKOL</t>
  </si>
  <si>
    <t xml:space="preserve">HERMOGENES ANASTACIO</t>
  </si>
  <si>
    <t xml:space="preserve">JEAN CARLOS DA SILVA</t>
  </si>
  <si>
    <t xml:space="preserve">JOANA GOURT DA CRUZ</t>
  </si>
  <si>
    <t xml:space="preserve">PASTELARIA</t>
  </si>
  <si>
    <t xml:space="preserve">MARCIO ANTONIO DA SILVA</t>
  </si>
  <si>
    <t xml:space="preserve">MARINES HAMMER MONTOAN</t>
  </si>
  <si>
    <t xml:space="preserve">MERCADO BIG ESTAR</t>
  </si>
  <si>
    <t xml:space="preserve">IRINEU RIBEIRO SOUZA</t>
  </si>
  <si>
    <t xml:space="preserve">ROBERCIO NUNES VEIGA</t>
  </si>
  <si>
    <t xml:space="preserve">RD MERCEARIA</t>
  </si>
  <si>
    <t xml:space="preserve">CLAUDINEI DA SILVA JUNIOR</t>
  </si>
  <si>
    <t xml:space="preserve">SM ELDORADO</t>
  </si>
  <si>
    <t xml:space="preserve">ARMERINDO MOTTA</t>
  </si>
  <si>
    <t xml:space="preserve">MERCEARIA MATTA</t>
  </si>
  <si>
    <t xml:space="preserve">FRANCIELI BITTENCOURT FILLIPI</t>
  </si>
  <si>
    <t xml:space="preserve">MERCADO FILLIP</t>
  </si>
  <si>
    <t xml:space="preserve">FABIO RAFAEL LEAO FILHO</t>
  </si>
  <si>
    <t xml:space="preserve">THIAGO OLIVEIRA RIBEIRO</t>
  </si>
  <si>
    <t xml:space="preserve">BUTEKO BAR E CONVENIENCIA</t>
  </si>
  <si>
    <t xml:space="preserve">VAGNER GUSTAVO SOUTO PERIUS</t>
  </si>
  <si>
    <t xml:space="preserve">VAGNER PERIUS</t>
  </si>
  <si>
    <t xml:space="preserve">IVAN RODRIGO TOLDO</t>
  </si>
  <si>
    <t xml:space="preserve">POSTO TAQUARI</t>
  </si>
  <si>
    <t xml:space="preserve">OSMAR DE MATTOS JUNIOR</t>
  </si>
  <si>
    <t xml:space="preserve">PANIF DO BAIRRO</t>
  </si>
  <si>
    <t xml:space="preserve">LUCIANA SCHWIMM</t>
  </si>
  <si>
    <t xml:space="preserve">MERCADINHO BARROS</t>
  </si>
  <si>
    <t xml:space="preserve">NEUSA PEDROSA DE MATOS LIMA</t>
  </si>
  <si>
    <t xml:space="preserve">CLEVERTON LUIZ P PONTE</t>
  </si>
  <si>
    <t xml:space="preserve">MERCEARIA PAGAVI</t>
  </si>
  <si>
    <t xml:space="preserve">JEZIANE DOS SANTOS FERREIRA FELIX</t>
  </si>
  <si>
    <t xml:space="preserve">CONVENIENCIA PARAISO</t>
  </si>
  <si>
    <t xml:space="preserve">ERLANDES RAMIS CRESPO</t>
  </si>
  <si>
    <t xml:space="preserve">MERCEARIA NOSSO LAR</t>
  </si>
  <si>
    <t xml:space="preserve">ELTON DOS SANTOS ROSA</t>
  </si>
  <si>
    <t xml:space="preserve">PAULO DE MORAIS LOPES</t>
  </si>
  <si>
    <t xml:space="preserve">PAULO - LEAO</t>
  </si>
  <si>
    <t xml:space="preserve">LAURA ALINE DE SOUZA BREGA</t>
  </si>
  <si>
    <t xml:space="preserve">R D L LOJA E CONVENIENCIA</t>
  </si>
  <si>
    <t xml:space="preserve">JOAO CARLOS CARVALHO FERNANDES</t>
  </si>
  <si>
    <t xml:space="preserve">SORVETERIA DELICIA</t>
  </si>
  <si>
    <t xml:space="preserve">OSMAR ALBINO CARDIM</t>
  </si>
  <si>
    <t xml:space="preserve">JOAO RIBEIRO</t>
  </si>
  <si>
    <t xml:space="preserve">SACOLAO RIBEIRO</t>
  </si>
  <si>
    <t xml:space="preserve">MARIA VANDELEIA GONCALVES MATOS</t>
  </si>
  <si>
    <t xml:space="preserve">O SUCAO</t>
  </si>
  <si>
    <t xml:space="preserve">DENIS BARBOSA DE MELO-CPD</t>
  </si>
  <si>
    <t xml:space="preserve">REGINALDO PEREIRA CABRAL</t>
  </si>
  <si>
    <t xml:space="preserve">JULIO CESAR CHAVES SARAT</t>
  </si>
  <si>
    <t xml:space="preserve">MERCAD PARAIBA</t>
  </si>
  <si>
    <t xml:space="preserve">NAEGELA PAULINA DA S. DUARTE</t>
  </si>
  <si>
    <t xml:space="preserve">COMERCIAL POTIGUAR</t>
  </si>
  <si>
    <t xml:space="preserve">EZEQUIEL DIAS LADEIA</t>
  </si>
  <si>
    <t xml:space="preserve">AGROBOI PROD AGROPECUARIAOS</t>
  </si>
  <si>
    <t xml:space="preserve">NERIVAN SILVA MAIA</t>
  </si>
  <si>
    <t xml:space="preserve">SACOLAO M S</t>
  </si>
  <si>
    <t xml:space="preserve">HERMINIA DA SILVA</t>
  </si>
  <si>
    <t xml:space="preserve">MERCADO MIRA SOL</t>
  </si>
  <si>
    <t xml:space="preserve">REGINALDO ANDRADE DE OLIVEIRA</t>
  </si>
  <si>
    <t xml:space="preserve">MINI MERCADO THAIS</t>
  </si>
  <si>
    <t xml:space="preserve">MARIA DE BARROS LIMA MENDES</t>
  </si>
  <si>
    <t xml:space="preserve">RAMAO COENE DOS SANTOS</t>
  </si>
  <si>
    <t xml:space="preserve">PANF ESTRELA</t>
  </si>
  <si>
    <t xml:space="preserve">RCA-RODOLFO LEITE ANTUNES</t>
  </si>
  <si>
    <t xml:space="preserve">FABIANA BARBOSA OLIVEIRA DOS SANTOS</t>
  </si>
  <si>
    <t xml:space="preserve">FRIOS CONVINENCIAS</t>
  </si>
  <si>
    <t xml:space="preserve">DARIO MANOEL PEREIRA</t>
  </si>
  <si>
    <t xml:space="preserve">MERCADO SANTA MARIA</t>
  </si>
  <si>
    <t xml:space="preserve">ELTON JOHN BRITES DA SILVA</t>
  </si>
  <si>
    <t xml:space="preserve">KEDELAINE FRANCISCA SALES</t>
  </si>
  <si>
    <t xml:space="preserve">CONVENIENCIA KENASCER</t>
  </si>
  <si>
    <t xml:space="preserve">RODRIGO NANTES GARCIA</t>
  </si>
  <si>
    <t xml:space="preserve">CONVENIENCIA GARCIA</t>
  </si>
  <si>
    <t xml:space="preserve">WELLINGTON HERNANDES DE OLIVEIRA</t>
  </si>
  <si>
    <t xml:space="preserve">MERCADO SITIOCAS</t>
  </si>
  <si>
    <t xml:space="preserve">NEURECI DA SILVA VARDES</t>
  </si>
  <si>
    <t xml:space="preserve">MERCADO GIAZONE</t>
  </si>
  <si>
    <t xml:space="preserve">VALDEVINO DE OLIVEIRA</t>
  </si>
  <si>
    <t xml:space="preserve">MAURA YUKIKO PEREIRA</t>
  </si>
  <si>
    <t xml:space="preserve">COMERCIAL ASSIS</t>
  </si>
  <si>
    <t xml:space="preserve">RONILSON CENTURIAO PEREIRA</t>
  </si>
  <si>
    <t xml:space="preserve">MERCEARIA DO TICO</t>
  </si>
  <si>
    <t xml:space="preserve">CLEBER RODRIGUES</t>
  </si>
  <si>
    <t xml:space="preserve">MERCEARIA JULIANA</t>
  </si>
  <si>
    <t xml:space="preserve">DALCIR NUNES LEAL JUNIOR</t>
  </si>
  <si>
    <t xml:space="preserve">MERCADO RENATO</t>
  </si>
  <si>
    <t xml:space="preserve">MARIA DE JESUS CARDOSO</t>
  </si>
  <si>
    <t xml:space="preserve">MERCADO S JOAO</t>
  </si>
  <si>
    <t xml:space="preserve">PAULA ANDREIA DOS SANTOS SCUDELER</t>
  </si>
  <si>
    <t xml:space="preserve">JOSE CARLOS GOMES DE MORAIS</t>
  </si>
  <si>
    <t xml:space="preserve">RCA-01 JOSE CARLOS GOMES DE MORAIS</t>
  </si>
  <si>
    <t xml:space="preserve">LUCIENE ARCE DOS REIS MESSIAS</t>
  </si>
  <si>
    <t xml:space="preserve">LUCIENE ARCE</t>
  </si>
  <si>
    <t xml:space="preserve">RICARDO SOARES CALADO</t>
  </si>
  <si>
    <t xml:space="preserve">ROBSON ALENCAR DA SILVA BARBOSA</t>
  </si>
  <si>
    <t xml:space="preserve">MERCADO LABODEQUITA</t>
  </si>
  <si>
    <t xml:space="preserve">IVONE DE SOUZA SANTOS</t>
  </si>
  <si>
    <t xml:space="preserve">CONV PEROBAO</t>
  </si>
  <si>
    <t xml:space="preserve">SIDNEY COSTA</t>
  </si>
  <si>
    <t xml:space="preserve">MINI MERCADO ODNEY</t>
  </si>
  <si>
    <t xml:space="preserve">ALESSANDRO MACEDO DOS SANTOS</t>
  </si>
  <si>
    <t xml:space="preserve">SUPER</t>
  </si>
  <si>
    <t xml:space="preserve">JULIANO JOSE BLOS VEIGA XAVIER</t>
  </si>
  <si>
    <t xml:space="preserve">CHURR CARRETEIRO II</t>
  </si>
  <si>
    <t xml:space="preserve">BRISMAR SOARES MANGROLARDO</t>
  </si>
  <si>
    <t xml:space="preserve">ESTIVANELLE</t>
  </si>
  <si>
    <t xml:space="preserve">ROSA MONTEIRO SOARES</t>
  </si>
  <si>
    <t xml:space="preserve">CLARINDO VAZ DA COSTA</t>
  </si>
  <si>
    <t xml:space="preserve">CASA DA RACAO H R</t>
  </si>
  <si>
    <t xml:space="preserve">JOAO MATOS LARREA</t>
  </si>
  <si>
    <t xml:space="preserve">HORTIFRUTI</t>
  </si>
  <si>
    <t xml:space="preserve">ALICE BORDIM VIGIRA</t>
  </si>
  <si>
    <t xml:space="preserve">MERCADO SUPER PRATICO</t>
  </si>
  <si>
    <t xml:space="preserve">ROSELY APARECIDA FERREIRA</t>
  </si>
  <si>
    <t xml:space="preserve">SM ROCHA FORTE</t>
  </si>
  <si>
    <t xml:space="preserve">RODINELI PIMENTA OSORIO</t>
  </si>
  <si>
    <t xml:space="preserve">ROSANGELA DA CRUZ DE SOUZA REZENDE</t>
  </si>
  <si>
    <t xml:space="preserve">MERCADO NOVA ALIAN€A</t>
  </si>
  <si>
    <t xml:space="preserve">PATRICIA RAMOS DA SILVA</t>
  </si>
  <si>
    <t xml:space="preserve">BANCA ANDORINHA</t>
  </si>
  <si>
    <t xml:space="preserve">FABIO ANTONIO DE OLIVEIRA</t>
  </si>
  <si>
    <t xml:space="preserve">LANC. ACADEMIA SOL DE VERAO</t>
  </si>
  <si>
    <t xml:space="preserve">EUNICE PEREIRA DE ANDRADE</t>
  </si>
  <si>
    <t xml:space="preserve">SOVET PALHANO</t>
  </si>
  <si>
    <t xml:space="preserve">NEUMA LETICSCI DE MATOS</t>
  </si>
  <si>
    <t xml:space="preserve">MERCADO GAUCHAO</t>
  </si>
  <si>
    <t xml:space="preserve">LEIVE DE QUEIROZ GIANEZI</t>
  </si>
  <si>
    <t xml:space="preserve">MARCOS PAULO PERSINATO</t>
  </si>
  <si>
    <t xml:space="preserve">DIST. DE BEB. PARANAENSE</t>
  </si>
  <si>
    <t xml:space="preserve">DAIANE MORAES SANTOS</t>
  </si>
  <si>
    <t xml:space="preserve">PANIF CAFE EXPRESSO</t>
  </si>
  <si>
    <t xml:space="preserve">ADRIANA DA CRUZ ALVARES</t>
  </si>
  <si>
    <t xml:space="preserve">MARILI GREGORIO</t>
  </si>
  <si>
    <t xml:space="preserve">UMAITA BAR</t>
  </si>
  <si>
    <t xml:space="preserve">AIRTON BOSSON</t>
  </si>
  <si>
    <t xml:space="preserve">PATRICIA APARECIDA</t>
  </si>
  <si>
    <t xml:space="preserve">BARRACA DA PATRICIA</t>
  </si>
  <si>
    <t xml:space="preserve">BRUNILDO ENGLER</t>
  </si>
  <si>
    <t xml:space="preserve">MERCEARIA CAMPO DOURADO</t>
  </si>
  <si>
    <t xml:space="preserve">ALCIMARA APARECIDA ACUNHA</t>
  </si>
  <si>
    <t xml:space="preserve">MERCADO SAO MIGUEL</t>
  </si>
  <si>
    <t xml:space="preserve">LOURDES APARECIDA DE SOUZA</t>
  </si>
  <si>
    <t xml:space="preserve">ML MERCEARIA</t>
  </si>
  <si>
    <t xml:space="preserve">RCA-ANDRE DA NOBREGA SAOVESSO</t>
  </si>
  <si>
    <t xml:space="preserve">RCA-ANDRE SAOVESSO</t>
  </si>
  <si>
    <t xml:space="preserve">TIBERIO AMANCIO PEREIRA</t>
  </si>
  <si>
    <t xml:space="preserve">AGRO PET QUILATE DE OURO</t>
  </si>
  <si>
    <t xml:space="preserve">SONIA DE OLIVEIRA MARQUES</t>
  </si>
  <si>
    <t xml:space="preserve">SUELEN ANDERSON</t>
  </si>
  <si>
    <t xml:space="preserve">CANTINA DO SINDJUS</t>
  </si>
  <si>
    <t xml:space="preserve">GILIARD ALVES MEDEIROS</t>
  </si>
  <si>
    <t xml:space="preserve">MERCADO MEDEIROS</t>
  </si>
  <si>
    <t xml:space="preserve">EVANIA CARLOS RODRIGUES</t>
  </si>
  <si>
    <t xml:space="preserve">MERCEARIA CHICAO</t>
  </si>
  <si>
    <t xml:space="preserve">THAYS BARROS FURTADO DE MACEDO</t>
  </si>
  <si>
    <t xml:space="preserve">MERCADO IPE</t>
  </si>
  <si>
    <t xml:space="preserve">NOELIA BEATRIZ MELGAREJO BOBADILHA</t>
  </si>
  <si>
    <t xml:space="preserve">MERCADO FONTES DE AGUA VIVA</t>
  </si>
  <si>
    <t xml:space="preserve">ADRIANA APARECIDA FRATUCH</t>
  </si>
  <si>
    <t xml:space="preserve">CAFE ESPERTO</t>
  </si>
  <si>
    <t xml:space="preserve">ANTONIO CARLOS ALBERGUETI GARCIA JUNIOR </t>
  </si>
  <si>
    <t xml:space="preserve">PANIF NOVA CAMPO GRANDE II</t>
  </si>
  <si>
    <t xml:space="preserve">ARILDA DURAND BANZER</t>
  </si>
  <si>
    <t xml:space="preserve">ELIUDA DE SOUZA ROCHA</t>
  </si>
  <si>
    <t xml:space="preserve">JOSIEL MARTINS ROCHA</t>
  </si>
  <si>
    <t xml:space="preserve">EURICA SOCORRO OLIVEIRA P DE MELO</t>
  </si>
  <si>
    <t xml:space="preserve">MERCADO INDAIA</t>
  </si>
  <si>
    <t xml:space="preserve">VANESSA SCHUBENT ACHAR</t>
  </si>
  <si>
    <t xml:space="preserve">WAGNER PAES E CONVENIENCIAS</t>
  </si>
  <si>
    <t xml:space="preserve">WILLIAN GONCALVES DE ANDRADE</t>
  </si>
  <si>
    <t xml:space="preserve">COVENIENCIA ALTAS HORAS</t>
  </si>
  <si>
    <t xml:space="preserve">PAULO CEZAR MATOZO</t>
  </si>
  <si>
    <t xml:space="preserve">MERC FRANCIELY</t>
  </si>
  <si>
    <t xml:space="preserve">ATOS ANTONIO DE CARVALHO</t>
  </si>
  <si>
    <t xml:space="preserve">SUPERMERCADO JAPORA</t>
  </si>
  <si>
    <t xml:space="preserve">RONALDO DOS SANTOS FERREIRA</t>
  </si>
  <si>
    <t xml:space="preserve">PANIFICADORA ESTER</t>
  </si>
  <si>
    <t xml:space="preserve">ELAINE F DA CRUZ</t>
  </si>
  <si>
    <t xml:space="preserve">ELIANE DA SILVA</t>
  </si>
  <si>
    <t xml:space="preserve">ADILSON PEREIRA GONCALVES</t>
  </si>
  <si>
    <t xml:space="preserve">MARCIA REGINA MIRANDA DA SILVA</t>
  </si>
  <si>
    <t xml:space="preserve">PANIF CEDRENSE</t>
  </si>
  <si>
    <t xml:space="preserve">MAYARA MARQUES DE SOUZA</t>
  </si>
  <si>
    <t xml:space="preserve">FRANCISCO WANDIE DE ALIVEIRA</t>
  </si>
  <si>
    <t xml:space="preserve">MIRIAN FREITAS IZAC</t>
  </si>
  <si>
    <t xml:space="preserve">CANTINA MINIST PUBLICO</t>
  </si>
  <si>
    <t xml:space="preserve">GILSON JUNIOR RODRIGUES MARTINS</t>
  </si>
  <si>
    <t xml:space="preserve">MERCEARIA IRMAOS LIMA</t>
  </si>
  <si>
    <t xml:space="preserve">THIAGO DE FIGUEREDO SANTOS</t>
  </si>
  <si>
    <t xml:space="preserve">MERCADO TALITA</t>
  </si>
  <si>
    <t xml:space="preserve">EVERTOM ONORIO DA SILVA</t>
  </si>
  <si>
    <t xml:space="preserve">MERCADO PEDRA BONITA</t>
  </si>
  <si>
    <t xml:space="preserve">ALEX PEREIRA ALVES</t>
  </si>
  <si>
    <t xml:space="preserve">ROSILEI GANASSINI</t>
  </si>
  <si>
    <t xml:space="preserve">EDIMAR RIBEIRO DE OLIVEIRA</t>
  </si>
  <si>
    <t xml:space="preserve">MERC CHEGA MAIS</t>
  </si>
  <si>
    <t xml:space="preserve">ANITA PEREIRA DA ROSA</t>
  </si>
  <si>
    <t xml:space="preserve">KI DELICIA LANCHES</t>
  </si>
  <si>
    <t xml:space="preserve">ROGERIO ALVES RIBAS</t>
  </si>
  <si>
    <t xml:space="preserve">MERCADO RIBAS</t>
  </si>
  <si>
    <t xml:space="preserve">VALDIMIR FERREIRA ANGELO</t>
  </si>
  <si>
    <t xml:space="preserve">MERCEARIA MARILUZ</t>
  </si>
  <si>
    <t xml:space="preserve">RAFAEL DE ALMEIDA MOREIRA</t>
  </si>
  <si>
    <t xml:space="preserve">RAFAEL DE ALMEIDA (TRIUNF)</t>
  </si>
  <si>
    <t xml:space="preserve">ANA CLAUDIA PORTUGAL DA SILVA</t>
  </si>
  <si>
    <t xml:space="preserve">PANIFICADORA E CONV. PAEL</t>
  </si>
  <si>
    <t xml:space="preserve">ANA CLAUDIA BARBOSA</t>
  </si>
  <si>
    <t xml:space="preserve">ACOUGUE SOUZA</t>
  </si>
  <si>
    <t xml:space="preserve">MARCOS ALEXANDRE C DOS SANTOS</t>
  </si>
  <si>
    <t xml:space="preserve">CONVENIENCIA DO MARCOS</t>
  </si>
  <si>
    <t xml:space="preserve">CRYSLEY DO NASCIMENTO SILVA</t>
  </si>
  <si>
    <t xml:space="preserve">MERC CAROLINA</t>
  </si>
  <si>
    <t xml:space="preserve">MARTA MARTIN</t>
  </si>
  <si>
    <t xml:space="preserve">ISA PAULA GIROLETA</t>
  </si>
  <si>
    <t xml:space="preserve">JULIANA CAVALHEIRO GODOI</t>
  </si>
  <si>
    <t xml:space="preserve">CONV D J</t>
  </si>
  <si>
    <t xml:space="preserve">MARCIANE REGINA SEVERGNINI</t>
  </si>
  <si>
    <t xml:space="preserve">PANIF NOVA LIMA</t>
  </si>
  <si>
    <t xml:space="preserve">CELSO LUIS DE PAULA</t>
  </si>
  <si>
    <t xml:space="preserve">MERCADO COLOMBO</t>
  </si>
  <si>
    <t xml:space="preserve">EDIMARA RAMOS DUTRA MATHEUS</t>
  </si>
  <si>
    <t xml:space="preserve">MERCADO FERRARI</t>
  </si>
  <si>
    <t xml:space="preserve">RONNY ESTAQUIO PRESTES TORRACA</t>
  </si>
  <si>
    <t xml:space="preserve">MERCEARIA ANTIGA ESTACAO</t>
  </si>
  <si>
    <t xml:space="preserve">VANESSA JULIANA FERNANDES DE LIMA</t>
  </si>
  <si>
    <t xml:space="preserve">LAURA APARECIDA NOGUEIRA FERREIRA</t>
  </si>
  <si>
    <t xml:space="preserve">MERCADO ANDRIELY</t>
  </si>
  <si>
    <t xml:space="preserve">RUBILEIA NUNES DE ANDRADE RAMOS</t>
  </si>
  <si>
    <t xml:space="preserve">PANIFICADORA CAFE</t>
  </si>
  <si>
    <t xml:space="preserve">PANIFICADORA E CONFEITARIA MARACAJU LTDA</t>
  </si>
  <si>
    <t xml:space="preserve">PANIFICADORA E CONF. MARACAJU</t>
  </si>
  <si>
    <t xml:space="preserve">ROSA MADALENA ACUNHA OLIVEIRA</t>
  </si>
  <si>
    <t xml:space="preserve">CASA SANTA ROSA</t>
  </si>
  <si>
    <t xml:space="preserve">SUPERMERCADOS NOVA ESTRELA LTDA</t>
  </si>
  <si>
    <t xml:space="preserve">SM NOVA ESTRELA LOJA 01</t>
  </si>
  <si>
    <t xml:space="preserve">SUPERMERCADO NOVA ESTRELA - II</t>
  </si>
  <si>
    <t xml:space="preserve">SUP NOVA ESTRELA LTDA LOJA 02</t>
  </si>
  <si>
    <t xml:space="preserve">SUP NOVA ESTRELA LOJA 03</t>
  </si>
  <si>
    <t xml:space="preserve">COMERCIAL COMBUSTIVEIS SAO CRISTOVAO LTD</t>
  </si>
  <si>
    <t xml:space="preserve">POSTO SAO CRISTOVAO</t>
  </si>
  <si>
    <t xml:space="preserve">V.V PINHEIRO ME</t>
  </si>
  <si>
    <t xml:space="preserve">VARGAS SUPERMERCADO</t>
  </si>
  <si>
    <t xml:space="preserve">DIOGENES MARTINS DOS SANTOS</t>
  </si>
  <si>
    <t xml:space="preserve">SM DO LAR</t>
  </si>
  <si>
    <t xml:space="preserve">ANTONIO LUIZ MEDEIROS</t>
  </si>
  <si>
    <t xml:space="preserve">MERCADO E ACOUGUE MARISTELA</t>
  </si>
  <si>
    <t xml:space="preserve">RENAR LOPES PACHECO</t>
  </si>
  <si>
    <t xml:space="preserve">RESTAURANTE O PAMPA</t>
  </si>
  <si>
    <t xml:space="preserve">EDVALDO BISCAINO</t>
  </si>
  <si>
    <t xml:space="preserve">SM DRACENA</t>
  </si>
  <si>
    <t xml:space="preserve">VANDERCY BRONEL PENA LAVRATTI</t>
  </si>
  <si>
    <t xml:space="preserve">TROPICAL</t>
  </si>
  <si>
    <t xml:space="preserve">MERCADO ITAPIRI</t>
  </si>
  <si>
    <t xml:space="preserve">FELIPE ALONSO TEBET</t>
  </si>
  <si>
    <t xml:space="preserve">VEISE REGINA MORO</t>
  </si>
  <si>
    <t xml:space="preserve">MERC. PANIF. DOCE PAO</t>
  </si>
  <si>
    <t xml:space="preserve">LUIZ ROSELEI PEREIRA RODRIGUES</t>
  </si>
  <si>
    <t xml:space="preserve">MERCADO STA MARIA</t>
  </si>
  <si>
    <t xml:space="preserve">ANTONIO SERGIO ROCHA MONEIRO</t>
  </si>
  <si>
    <t xml:space="preserve">JOAO XAVIER DOS SANTOS</t>
  </si>
  <si>
    <t xml:space="preserve">DEPOSITO DE BEBIDAS BEZERRA LTDA</t>
  </si>
  <si>
    <t xml:space="preserve">DEP BEBIDAS BEZERRA</t>
  </si>
  <si>
    <t xml:space="preserve">MARIA NEUZA ZIPPI MANFRE</t>
  </si>
  <si>
    <t xml:space="preserve">NACIONAL MERCADO LTDA</t>
  </si>
  <si>
    <t xml:space="preserve">NACIONAL SM</t>
  </si>
  <si>
    <t xml:space="preserve">EDNA MAURA SILVA DAS CHAGAS</t>
  </si>
  <si>
    <t xml:space="preserve">MINI MERCADO PONCIANO</t>
  </si>
  <si>
    <t xml:space="preserve">MERCADO PANAMBI VERA LTDA</t>
  </si>
  <si>
    <t xml:space="preserve">MERCADO PANAMBI</t>
  </si>
  <si>
    <t xml:space="preserve">VERDURAO COMERCIO DE ALIMENTOS LTDA</t>
  </si>
  <si>
    <t xml:space="preserve">VERDURAO RUI BARBOSA</t>
  </si>
  <si>
    <t xml:space="preserve">NILZA A M DE LIMA</t>
  </si>
  <si>
    <t xml:space="preserve">SM PONTO BR</t>
  </si>
  <si>
    <t xml:space="preserve">MAURO NUNES DE CARVALHO</t>
  </si>
  <si>
    <t xml:space="preserve">PARAISO DAS AGUAS</t>
  </si>
  <si>
    <t xml:space="preserve">CONVENIENCIA BOM PRECO</t>
  </si>
  <si>
    <t xml:space="preserve">LIVRARIA PAPELARIA SANTA RITA LTDA</t>
  </si>
  <si>
    <t xml:space="preserve">LIVR E PAP SANTA RITA</t>
  </si>
  <si>
    <t xml:space="preserve">ROSELI TARGINO PEDRO</t>
  </si>
  <si>
    <t xml:space="preserve">PANIF JANDAIA</t>
  </si>
  <si>
    <t xml:space="preserve">BUFFET CAMPO GRANDE LTDA</t>
  </si>
  <si>
    <t xml:space="preserve">RESTAURANTE YOTEDY</t>
  </si>
  <si>
    <t xml:space="preserve">JOSE ANTONIO SOARES CONFEITARIA</t>
  </si>
  <si>
    <t xml:space="preserve">PANIFICADORA REAL</t>
  </si>
  <si>
    <t xml:space="preserve">SERGIO CABRAL DA SILVA E CIA LTDA</t>
  </si>
  <si>
    <t xml:space="preserve">DROGARIA NUNES LTDA</t>
  </si>
  <si>
    <t xml:space="preserve">JOAQUIM SOUZA ESPINA</t>
  </si>
  <si>
    <t xml:space="preserve">MINI MERCADO KARINA 3</t>
  </si>
  <si>
    <t xml:space="preserve">JORGE GARCES</t>
  </si>
  <si>
    <t xml:space="preserve">MERCADINHO TRES LAGOAS</t>
  </si>
  <si>
    <t xml:space="preserve">OLIARI E TOLAZZI LTDA</t>
  </si>
  <si>
    <t xml:space="preserve">STAR MOTOS</t>
  </si>
  <si>
    <t xml:space="preserve">IVO MARTINS</t>
  </si>
  <si>
    <t xml:space="preserve">SM PAG POUCO</t>
  </si>
  <si>
    <t xml:space="preserve">SOUZA NASCIMENTO E NASCIMENTO LTDA</t>
  </si>
  <si>
    <t xml:space="preserve">SM LARANJINHA</t>
  </si>
  <si>
    <t xml:space="preserve">VIA PARK CHOPERIA LTDA</t>
  </si>
  <si>
    <t xml:space="preserve">VIA PARK CHOPERIA</t>
  </si>
  <si>
    <t xml:space="preserve">PADARIA VITANA LTDA</t>
  </si>
  <si>
    <t xml:space="preserve">PADARIA E CONVENIENCIA VITANA</t>
  </si>
  <si>
    <t xml:space="preserve">CELIA F KOVALSKI DE SOUZA</t>
  </si>
  <si>
    <t xml:space="preserve">MERCADO IVAI</t>
  </si>
  <si>
    <t xml:space="preserve">ARCH TECH INFORMATICA LTDA</t>
  </si>
  <si>
    <t xml:space="preserve">SAO PAULO</t>
  </si>
  <si>
    <t xml:space="preserve">ARCHTECH</t>
  </si>
  <si>
    <t xml:space="preserve">JAQUELINE APARECIDA HAERTER FLORES</t>
  </si>
  <si>
    <t xml:space="preserve">MERCADO E ACOUGUE HAERTER</t>
  </si>
  <si>
    <t xml:space="preserve">MARCIO RIVELINO DE OLIVEIRA</t>
  </si>
  <si>
    <t xml:space="preserve">PANF ROYAL</t>
  </si>
  <si>
    <t xml:space="preserve">ALVINO DA SILVA JARA</t>
  </si>
  <si>
    <t xml:space="preserve">KABANAS COSMETICOS</t>
  </si>
  <si>
    <t xml:space="preserve">L J DIAS GONCALVES</t>
  </si>
  <si>
    <t xml:space="preserve">A?OUGUE E MERCEARIA GAUCHA</t>
  </si>
  <si>
    <t xml:space="preserve">ANTONIO PULEA</t>
  </si>
  <si>
    <t xml:space="preserve">J P SUPERMERCADO I</t>
  </si>
  <si>
    <t xml:space="preserve">PANIFICADORA MADRID LTDA</t>
  </si>
  <si>
    <t xml:space="preserve">PANIFICADORA MADRID</t>
  </si>
  <si>
    <t xml:space="preserve">CLAUDINEUZA FAGUNDES - ME</t>
  </si>
  <si>
    <t xml:space="preserve">MERCADO FAGUNDES</t>
  </si>
  <si>
    <t xml:space="preserve">DE FIGUEIREDO E SANTOS LTDA</t>
  </si>
  <si>
    <t xml:space="preserve">FIORELA PIZZARIA</t>
  </si>
  <si>
    <t xml:space="preserve">GILBERTO TIBURTINO FERRAZ</t>
  </si>
  <si>
    <t xml:space="preserve">MERCADINHO FERRAZ</t>
  </si>
  <si>
    <t xml:space="preserve">GRANSOL COMERCIO DE PRODUTOS ALIM LTDA  </t>
  </si>
  <si>
    <t xml:space="preserve">SANA E PEREZ LTDA</t>
  </si>
  <si>
    <t xml:space="preserve">MINI MERCADO SANA</t>
  </si>
  <si>
    <t xml:space="preserve">VIEIRA E FERREIRA LTDA</t>
  </si>
  <si>
    <t xml:space="preserve">SM PAG MENOS</t>
  </si>
  <si>
    <t xml:space="preserve">IVONE NEVES PANIAGO</t>
  </si>
  <si>
    <t xml:space="preserve">BAZAR N SR APARECIDA</t>
  </si>
  <si>
    <t xml:space="preserve">MERCANTIL ALIMENTOS UNIAO LTDA</t>
  </si>
  <si>
    <t xml:space="preserve">JOANA MARQUES GARCIA</t>
  </si>
  <si>
    <t xml:space="preserve">MARIA APARECIDA ASSIS</t>
  </si>
  <si>
    <t xml:space="preserve">SM FUTURISTA</t>
  </si>
  <si>
    <t xml:space="preserve">MACCARI E MACCARI LTDA</t>
  </si>
  <si>
    <t xml:space="preserve">M.M.HOTEL</t>
  </si>
  <si>
    <t xml:space="preserve">G C GODOY</t>
  </si>
  <si>
    <t xml:space="preserve">RITZ BURGER</t>
  </si>
  <si>
    <t xml:space="preserve">DORVAL DUARTE</t>
  </si>
  <si>
    <t xml:space="preserve">SUPERMERCADO TUPY</t>
  </si>
  <si>
    <t xml:space="preserve">MERCADO POPULAR COM. DE ALIMENTOS LTDA  </t>
  </si>
  <si>
    <t xml:space="preserve">MERCEARIA E FRUTARIA POPULAR</t>
  </si>
  <si>
    <t xml:space="preserve">CONFEITARIA COMPASUL LTDA</t>
  </si>
  <si>
    <t xml:space="preserve">BARONESA</t>
  </si>
  <si>
    <t xml:space="preserve">VINCENZO MONTALBANO</t>
  </si>
  <si>
    <t xml:space="preserve">MOTEL LUA</t>
  </si>
  <si>
    <t xml:space="preserve">L GONZAGA DA SILVA</t>
  </si>
  <si>
    <t xml:space="preserve">PREMIER HOTEL</t>
  </si>
  <si>
    <t xml:space="preserve">AGUIMAR SOUZA FERREIRA E CIA LTDA</t>
  </si>
  <si>
    <t xml:space="preserve">VETERINARIA SAO FRANCISCO</t>
  </si>
  <si>
    <t xml:space="preserve">SUPERMERCADO SERTANEJA LTDA</t>
  </si>
  <si>
    <t xml:space="preserve">SM SERTANEJA</t>
  </si>
  <si>
    <t xml:space="preserve">MANOEL AGUSTINHO DO NASCIMENTO</t>
  </si>
  <si>
    <t xml:space="preserve">DROGARIA ODEON LTDA</t>
  </si>
  <si>
    <t xml:space="preserve">REDE ODEON</t>
  </si>
  <si>
    <t xml:space="preserve">DROGARIA ODEON I</t>
  </si>
  <si>
    <t xml:space="preserve">DROGARIA ODEON 3</t>
  </si>
  <si>
    <t xml:space="preserve">DROGORIA ODEON 5</t>
  </si>
  <si>
    <t xml:space="preserve">REDE ODEON 6</t>
  </si>
  <si>
    <t xml:space="preserve">VEMAIS</t>
  </si>
  <si>
    <t xml:space="preserve">VEMAIS AUTOMOVEIS</t>
  </si>
  <si>
    <t xml:space="preserve">GRAFICA MIL TIPOS LTDA</t>
  </si>
  <si>
    <t xml:space="preserve">MANOEL HONORATO VICENTE</t>
  </si>
  <si>
    <t xml:space="preserve">MERCEARIA SANTA TEREZINHA</t>
  </si>
  <si>
    <t xml:space="preserve">REDE SANTA RITA </t>
  </si>
  <si>
    <t xml:space="preserve">ACOUGUE E MERC SANTA RITA</t>
  </si>
  <si>
    <t xml:space="preserve">SUPERMERCADO SANTA RITA</t>
  </si>
  <si>
    <t xml:space="preserve">DAVI OLIVEIRA FURTADO</t>
  </si>
  <si>
    <t xml:space="preserve">SUPERMERCADO SKINAO</t>
  </si>
  <si>
    <t xml:space="preserve">LOPES COMERCIO E REPRESENTACOES LTDA</t>
  </si>
  <si>
    <t xml:space="preserve">CHRISTOFOLI E INEIA LTDA</t>
  </si>
  <si>
    <t xml:space="preserve">RESTAURANTE E LANCH CASA VERDE</t>
  </si>
  <si>
    <t xml:space="preserve">FEITOSA E CIA</t>
  </si>
  <si>
    <t xml:space="preserve">LEVY MARCAL</t>
  </si>
  <si>
    <t xml:space="preserve">MERCEARIA MARCAL</t>
  </si>
  <si>
    <t xml:space="preserve">OSMAR F DA LUZ</t>
  </si>
  <si>
    <t xml:space="preserve">MERCADINHO ITAPURA</t>
  </si>
  <si>
    <t xml:space="preserve">FRANCISCO IORA</t>
  </si>
  <si>
    <t xml:space="preserve">RESTAURANTE E LANCH. PARANA</t>
  </si>
  <si>
    <t xml:space="preserve">FLAVIO DOS SANTOS CUSTODIO</t>
  </si>
  <si>
    <t xml:space="preserve">ASSIS E ALBEJANTE LTDA</t>
  </si>
  <si>
    <t xml:space="preserve">PIZZA E PIZZA</t>
  </si>
  <si>
    <t xml:space="preserve">CONACO COMERCIAL NACAGAMI LTDA</t>
  </si>
  <si>
    <t xml:space="preserve">COMERCIAL NACAGAMI</t>
  </si>
  <si>
    <t xml:space="preserve">BOLLER E BOLLER LTDA</t>
  </si>
  <si>
    <t xml:space="preserve">LANCH.CHURRASCARIA GAUCHA</t>
  </si>
  <si>
    <t xml:space="preserve">E N S ATAIDE MERCEARIA</t>
  </si>
  <si>
    <t xml:space="preserve">MERCEARIA ATAIDE</t>
  </si>
  <si>
    <t xml:space="preserve">ALVES E NEVES LTDA</t>
  </si>
  <si>
    <t xml:space="preserve">ARMAZEM PARAIZO</t>
  </si>
  <si>
    <t xml:space="preserve">COMERCIAL CEREALISTA PASSOFUNDENSE LTDA </t>
  </si>
  <si>
    <t xml:space="preserve">CEREALISTA PASSOFUNDENSE</t>
  </si>
  <si>
    <t xml:space="preserve">MARIA SELIA DA SILVA LECHUGA</t>
  </si>
  <si>
    <t xml:space="preserve">CASA DE CARNE N.H.</t>
  </si>
  <si>
    <t xml:space="preserve">FARMACIA GUANANDY LTDA</t>
  </si>
  <si>
    <t xml:space="preserve">DROGARIA GUANANDY</t>
  </si>
  <si>
    <t xml:space="preserve">POSTO SERVICO SANTO ANTONIO LTDA</t>
  </si>
  <si>
    <t xml:space="preserve">POSTO DE SERVICOS STO ANTONIO</t>
  </si>
  <si>
    <t xml:space="preserve">AUTO POSTO INTERNACIONAL LTDA EPP</t>
  </si>
  <si>
    <t xml:space="preserve">POSTO INTERNACIONAL</t>
  </si>
  <si>
    <t xml:space="preserve">ANTONIA DA SILVA PEREIRA</t>
  </si>
  <si>
    <t xml:space="preserve">CARLOS SILVESTRE DE ARAUJO</t>
  </si>
  <si>
    <t xml:space="preserve">CASA AGUIA</t>
  </si>
  <si>
    <t xml:space="preserve">YOSHIE YAMAZAKI</t>
  </si>
  <si>
    <t xml:space="preserve">MERCEARIA YAMAZAKI</t>
  </si>
  <si>
    <t xml:space="preserve">ELETRICA COLEMASE LTDA</t>
  </si>
  <si>
    <t xml:space="preserve">ELETRICA COLEMASE</t>
  </si>
  <si>
    <t xml:space="preserve">A LUZZI</t>
  </si>
  <si>
    <t xml:space="preserve">CHURR RIO GRANDENSE</t>
  </si>
  <si>
    <t xml:space="preserve">AFFONSECA JARDIM LTDA ME</t>
  </si>
  <si>
    <t xml:space="preserve">FARMA TOTAL</t>
  </si>
  <si>
    <t xml:space="preserve">ARMANDO COSTA OLIVEIRA</t>
  </si>
  <si>
    <t xml:space="preserve">RESTAURANTE ARARAS.</t>
  </si>
  <si>
    <t xml:space="preserve">NUBIA ALVARENGA</t>
  </si>
  <si>
    <t xml:space="preserve">CONV TEM TODAS</t>
  </si>
  <si>
    <t xml:space="preserve">M A SARAIVA ALVES</t>
  </si>
  <si>
    <t xml:space="preserve">D DE S VERON LTDA</t>
  </si>
  <si>
    <t xml:space="preserve">E T YANAI CONFEITARIA</t>
  </si>
  <si>
    <t xml:space="preserve">PANIFICADORA KITENTACAO</t>
  </si>
  <si>
    <t xml:space="preserve">CONVENIENCIA HIRANO LTDA</t>
  </si>
  <si>
    <t xml:space="preserve">MERCADO HAYATUR</t>
  </si>
  <si>
    <t xml:space="preserve">MERCADO PROD ALIMENTICIOS VASQUES LTDA  </t>
  </si>
  <si>
    <t xml:space="preserve">MERCADO VASQUES</t>
  </si>
  <si>
    <t xml:space="preserve">CREUDAIR MARTINS AMORIM</t>
  </si>
  <si>
    <t xml:space="preserve">MERCEARIA Sta MARTA</t>
  </si>
  <si>
    <t xml:space="preserve">SOBRINHO E RODRIGUES LTDA</t>
  </si>
  <si>
    <t xml:space="preserve">SUPERMERCADO REAL</t>
  </si>
  <si>
    <t xml:space="preserve">SUPERMERCADO REAL LJ II</t>
  </si>
  <si>
    <t xml:space="preserve">DIAS E MASSARANDUBA LTDA</t>
  </si>
  <si>
    <t xml:space="preserve">SACOLAO Q.KILO</t>
  </si>
  <si>
    <t xml:space="preserve">MARIA DE FATIMA SANCHES DE ALMEIDA</t>
  </si>
  <si>
    <t xml:space="preserve">PAD DA VOVO</t>
  </si>
  <si>
    <t xml:space="preserve">ESCARMANHANI E CIA LTDA</t>
  </si>
  <si>
    <t xml:space="preserve">DU VALLE SUPERMERCADO</t>
  </si>
  <si>
    <t xml:space="preserve">IVAN GOMES MONTEIRO</t>
  </si>
  <si>
    <t xml:space="preserve">PANIF INGRID</t>
  </si>
  <si>
    <t xml:space="preserve">MIGUEL ISAMU MATSUMOTO</t>
  </si>
  <si>
    <t xml:space="preserve">JOAO IZAIAS STRADA</t>
  </si>
  <si>
    <t xml:space="preserve">ALBERTINO CARDOSO MACHADO</t>
  </si>
  <si>
    <t xml:space="preserve">MARIA RAQUEL TABOX GARCIA</t>
  </si>
  <si>
    <t xml:space="preserve">CACIMBA SORVETES</t>
  </si>
  <si>
    <t xml:space="preserve">QUEIROZ E YURA LTDA</t>
  </si>
  <si>
    <t xml:space="preserve">PONTO MAXIMO COMERCIAL ALIMENTOS LTDA</t>
  </si>
  <si>
    <t xml:space="preserve">SM PONTO MAXIMO</t>
  </si>
  <si>
    <t xml:space="preserve">SEBASTIAO BATISTA PEREIRA</t>
  </si>
  <si>
    <t xml:space="preserve">MERCEARIA OURO BRANCO</t>
  </si>
  <si>
    <t xml:space="preserve">J C F REIS E CIA LTDA</t>
  </si>
  <si>
    <t xml:space="preserve">MR BRED</t>
  </si>
  <si>
    <t xml:space="preserve">ROCHA E ESTEVAM LTDA</t>
  </si>
  <si>
    <t xml:space="preserve">REST BOM TEMPERO</t>
  </si>
  <si>
    <t xml:space="preserve">ANILTON BRUM WEIS</t>
  </si>
  <si>
    <t xml:space="preserve">BAR TOTO</t>
  </si>
  <si>
    <t xml:space="preserve">PANIFICADORA DOCE SABOR LTDA</t>
  </si>
  <si>
    <t xml:space="preserve">PANIF DOCE SABOR</t>
  </si>
  <si>
    <t xml:space="preserve">VALDEMAR NOGUEIRA</t>
  </si>
  <si>
    <t xml:space="preserve">MERCEARIA IRMAOS NOGUEIRA</t>
  </si>
  <si>
    <t xml:space="preserve">ACADEMIA SOL DE VERAO LTDA</t>
  </si>
  <si>
    <t xml:space="preserve">AO LADO TERM.JULIO DE CASTILHO</t>
  </si>
  <si>
    <t xml:space="preserve">SEBASTIAO CLEMENTINO DOS SANTOS</t>
  </si>
  <si>
    <t xml:space="preserve">CASA DE SUCOS MANGUEIRA LTDA</t>
  </si>
  <si>
    <t xml:space="preserve">INDAIA COM ATACADISTA DE CEREAIS LTDA</t>
  </si>
  <si>
    <t xml:space="preserve">MERCADO VALE DO INDAIA</t>
  </si>
  <si>
    <t xml:space="preserve">A DIAS SANTOS MERCEARIA</t>
  </si>
  <si>
    <t xml:space="preserve">MARIA MADALENA DE OLIVEIRA MACEDO</t>
  </si>
  <si>
    <t xml:space="preserve">MERCADO E ACOUGUE SAO MIGUEL</t>
  </si>
  <si>
    <t xml:space="preserve">DOURAVET VETERINARIA LTDA</t>
  </si>
  <si>
    <t xml:space="preserve">CENTRAL VETERINARIA</t>
  </si>
  <si>
    <t xml:space="preserve">CELIA RODRIGUES DE OLIVEIRA</t>
  </si>
  <si>
    <t xml:space="preserve">MERCADO E SACOLAO CENTRO SUL</t>
  </si>
  <si>
    <t xml:space="preserve">ARROYO E AMARAL LTDA</t>
  </si>
  <si>
    <t xml:space="preserve">MERCADO ARROYO</t>
  </si>
  <si>
    <t xml:space="preserve">SANDIM E MOTTI LTDA</t>
  </si>
  <si>
    <t xml:space="preserve">SUPERMERCADO MOTTI</t>
  </si>
  <si>
    <t xml:space="preserve">RAMOS &amp; CIA LTDA</t>
  </si>
  <si>
    <t xml:space="preserve">BAR REST. LANCHONETE UNIAO</t>
  </si>
  <si>
    <t xml:space="preserve">MONTANHER E SILVA LTDA</t>
  </si>
  <si>
    <t xml:space="preserve">PANIF E CONFEITARIA PANTANAL</t>
  </si>
  <si>
    <t xml:space="preserve">AUTO POSTO CATALAO LTDA</t>
  </si>
  <si>
    <t xml:space="preserve">AUTO POSTO CATALAO</t>
  </si>
  <si>
    <t xml:space="preserve">LIMA E PRADO LTDA</t>
  </si>
  <si>
    <t xml:space="preserve">REDE CENTRAL</t>
  </si>
  <si>
    <t xml:space="preserve">SUPERMERCADO SANTA ALICE</t>
  </si>
  <si>
    <t xml:space="preserve">MAIS Q PAO CONVENIENCIAS E PAES LTDA</t>
  </si>
  <si>
    <t xml:space="preserve">MAIS QUE PAO CONVENIENCIA</t>
  </si>
  <si>
    <t xml:space="preserve">MAIS Q PAO CONVENIENCIAS</t>
  </si>
  <si>
    <t xml:space="preserve">SUPERMERCADO INDUSTRIAL LTDA</t>
  </si>
  <si>
    <t xml:space="preserve">SM INDUSTRIAL</t>
  </si>
  <si>
    <t xml:space="preserve">LANCHONETE CHURRASCARIA CRISTO REI LTDA </t>
  </si>
  <si>
    <t xml:space="preserve">RESTAURANTE CRISTO REI</t>
  </si>
  <si>
    <t xml:space="preserve">SILVANEI ROSA LUCAS</t>
  </si>
  <si>
    <t xml:space="preserve">SOS GAS E AGUA</t>
  </si>
  <si>
    <t xml:space="preserve">JOSE ALUISIO CARINHANHA ROCHA</t>
  </si>
  <si>
    <t xml:space="preserve">S A R DE LIMA</t>
  </si>
  <si>
    <t xml:space="preserve">MINI MERCADO SAO FRANCISCO</t>
  </si>
  <si>
    <t xml:space="preserve">ANJOS E GARNES LTDA</t>
  </si>
  <si>
    <t xml:space="preserve">PANF SHOPPING PAO</t>
  </si>
  <si>
    <t xml:space="preserve">LUCILA FERNANDES DA SILVA</t>
  </si>
  <si>
    <t xml:space="preserve">CASA DE CARNE SAO PAULO</t>
  </si>
  <si>
    <t xml:space="preserve">MAPA COMERCIO DE COMBUSTIVEIS LTDA</t>
  </si>
  <si>
    <t xml:space="preserve">AUTO POSTO RESTAURANTE ANGICO</t>
  </si>
  <si>
    <t xml:space="preserve">ANA LUCIA FELIX SOUZA</t>
  </si>
  <si>
    <t xml:space="preserve">VANILDO SOLIDADE DE LIMA</t>
  </si>
  <si>
    <t xml:space="preserve">MERCEARIA MICRO PRECO</t>
  </si>
  <si>
    <t xml:space="preserve">CARLOS ARTUR BUDOIA</t>
  </si>
  <si>
    <t xml:space="preserve">PANIFICADORA DELICIA</t>
  </si>
  <si>
    <t xml:space="preserve">MARIA CRISTINA MOTTA HOTEL ME,</t>
  </si>
  <si>
    <t xml:space="preserve">HOTEL NS SNH APARECIDA</t>
  </si>
  <si>
    <t xml:space="preserve">SANDRA LUIZA DE REZENDE</t>
  </si>
  <si>
    <t xml:space="preserve">PANIFICADORA CRAVO E CANELA</t>
  </si>
  <si>
    <t xml:space="preserve">BULHOES E BULHOES LTDA</t>
  </si>
  <si>
    <t xml:space="preserve">ANGEL RESTAURANTE E LANCHO</t>
  </si>
  <si>
    <t xml:space="preserve">COMERCIO DE ALIMENTOS SUZUKI LTDA</t>
  </si>
  <si>
    <t xml:space="preserve">MERCASUL</t>
  </si>
  <si>
    <t xml:space="preserve">MOURA E CIA LTDA</t>
  </si>
  <si>
    <t xml:space="preserve">PETRELLI PAES CONVENIENCIA</t>
  </si>
  <si>
    <t xml:space="preserve">PADARIA CONF DA LA PLATA LTDA</t>
  </si>
  <si>
    <t xml:space="preserve">ARTE PAO LANCHONETE E CONVENIENCIA</t>
  </si>
  <si>
    <t xml:space="preserve">ROSALINA BRITES AZAMBUJA GAGO</t>
  </si>
  <si>
    <t xml:space="preserve">MARIA DE LOURDES PEREIRA MERCEARIA</t>
  </si>
  <si>
    <t xml:space="preserve">MERC SAO LOURENCO</t>
  </si>
  <si>
    <t xml:space="preserve">REIS E CUSTODIO LTDA ME</t>
  </si>
  <si>
    <t xml:space="preserve">HORTIFRUTI EMPORIO</t>
  </si>
  <si>
    <t xml:space="preserve">V M S MARQUES E CIA LTDA EPP</t>
  </si>
  <si>
    <t xml:space="preserve">CASA MARQUES</t>
  </si>
  <si>
    <t xml:space="preserve">PALMA COMERCIO ALIMENTOS LTDA</t>
  </si>
  <si>
    <t xml:space="preserve">MARINA PADILHA ZANON</t>
  </si>
  <si>
    <t xml:space="preserve">ARTY PAO</t>
  </si>
  <si>
    <t xml:space="preserve">BETY LENI DE ARRUDA PRUDENTE</t>
  </si>
  <si>
    <t xml:space="preserve">SILVA E MONTEIRO LTDA</t>
  </si>
  <si>
    <t xml:space="preserve">SM PARAISO</t>
  </si>
  <si>
    <t xml:space="preserve">DIAS LEITE E CIA LTDA</t>
  </si>
  <si>
    <t xml:space="preserve">PALADAR RESTAURANTE</t>
  </si>
  <si>
    <t xml:space="preserve">ZIGLIOLI E SEVERO LTDA</t>
  </si>
  <si>
    <t xml:space="preserve">PANIF TRIGOS</t>
  </si>
  <si>
    <t xml:space="preserve">ANTONIO SENHEI HIGA</t>
  </si>
  <si>
    <t xml:space="preserve">MERCATUDO</t>
  </si>
  <si>
    <t xml:space="preserve">WALFRIDO DANTAS</t>
  </si>
  <si>
    <t xml:space="preserve">SM DALLAS</t>
  </si>
  <si>
    <t xml:space="preserve">VALDIR COUTO SOUZA</t>
  </si>
  <si>
    <t xml:space="preserve">AUTO POSTO TUIUIU</t>
  </si>
  <si>
    <t xml:space="preserve">COLGATE PALMOLIVE COMERCIAL LTDA</t>
  </si>
  <si>
    <t xml:space="preserve">SAO BERNARDO DO CAMPO</t>
  </si>
  <si>
    <t xml:space="preserve">GOMES &amp; SANDI LTDA</t>
  </si>
  <si>
    <t xml:space="preserve">REST PINHALZINHO</t>
  </si>
  <si>
    <t xml:space="preserve">ANTONIO RAIMUNDO SILVA FARMACIA</t>
  </si>
  <si>
    <t xml:space="preserve">DROGARIA SANTO ANTONIO</t>
  </si>
  <si>
    <t xml:space="preserve">EMPREEND.TURISTICOS RIO DA PRATA LTDA</t>
  </si>
  <si>
    <t xml:space="preserve">RECANTO ECOLOGICO RIO DA PRATA</t>
  </si>
  <si>
    <t xml:space="preserve">EMPREEN. TURISTICOS RIO DA PRATA FILIAL </t>
  </si>
  <si>
    <t xml:space="preserve">ESTANCIA MIMOSA</t>
  </si>
  <si>
    <t xml:space="preserve">J MARIA CORDEIRO</t>
  </si>
  <si>
    <t xml:space="preserve">SUPERMERCADO TERRA NOVA</t>
  </si>
  <si>
    <t xml:space="preserve">MARA ANGELICA CORBARI NASCIMENTO</t>
  </si>
  <si>
    <t xml:space="preserve">SM CORBARI</t>
  </si>
  <si>
    <t xml:space="preserve">ATACADAO UNIFORTE LTDA</t>
  </si>
  <si>
    <t xml:space="preserve">ATACADO UNIFORTE</t>
  </si>
  <si>
    <t xml:space="preserve">ANTONIO MARIA C RODRIGUES</t>
  </si>
  <si>
    <t xml:space="preserve">N L ZANATTA</t>
  </si>
  <si>
    <t xml:space="preserve">CHALANA RESTAURANTE</t>
  </si>
  <si>
    <t xml:space="preserve">POSTO ROUXINOL LTDA</t>
  </si>
  <si>
    <t xml:space="preserve">POSTO ROUXINOL</t>
  </si>
  <si>
    <t xml:space="preserve">LAGUNA INDUSTRIA COMERCIO MADEIRAS LTDA </t>
  </si>
  <si>
    <t xml:space="preserve">LAGUNA COM MADEIRA</t>
  </si>
  <si>
    <t xml:space="preserve">DU ALMOCO RESTAURANTE LTDA</t>
  </si>
  <si>
    <t xml:space="preserve">PAO CASEIRO</t>
  </si>
  <si>
    <t xml:space="preserve">MATTOS E VERA LTDA ME</t>
  </si>
  <si>
    <t xml:space="preserve">SUPERMERCADO SAO GABRIEL</t>
  </si>
  <si>
    <t xml:space="preserve">ELIANE FERNANDES SOUZA BIACCHI</t>
  </si>
  <si>
    <t xml:space="preserve">CANTINHO LANCHES</t>
  </si>
  <si>
    <t xml:space="preserve">ROGERIO LUIZ WAGNER</t>
  </si>
  <si>
    <t xml:space="preserve">SUPERMERCADO WAGNER</t>
  </si>
  <si>
    <t xml:space="preserve">CHRA AGUILAR CONSTRUCOES LTDA</t>
  </si>
  <si>
    <t xml:space="preserve">PANIFICADORA DOCES E SABORES</t>
  </si>
  <si>
    <t xml:space="preserve">GINO SILVA</t>
  </si>
  <si>
    <t xml:space="preserve">MERCADO CRISTO REI</t>
  </si>
  <si>
    <t xml:space="preserve">MARLI GORGES</t>
  </si>
  <si>
    <t xml:space="preserve">MERCADO LONGUEN</t>
  </si>
  <si>
    <t xml:space="preserve">EDMAR GONCALVES DE ANDRADE</t>
  </si>
  <si>
    <t xml:space="preserve">MERCEARIA E FRUT.ANDRADE</t>
  </si>
  <si>
    <t xml:space="preserve">ESPOLIO DE ORLANDO LUCERO</t>
  </si>
  <si>
    <t xml:space="preserve">SM KI FESTA</t>
  </si>
  <si>
    <t xml:space="preserve">SANTORO E SANTORO LTDA</t>
  </si>
  <si>
    <t xml:space="preserve">LANCH E REST BRAZANHA</t>
  </si>
  <si>
    <t xml:space="preserve">LUCELIA MORINGO CAMPOS</t>
  </si>
  <si>
    <t xml:space="preserve">ALIMENTOS JUPIA</t>
  </si>
  <si>
    <t xml:space="preserve">SUPERMERCADO PAULISTANO LTDA</t>
  </si>
  <si>
    <t xml:space="preserve">SM PAULISTA</t>
  </si>
  <si>
    <t xml:space="preserve">PEDRO CACIMIRO PEREIRA DE OLIVEIRA</t>
  </si>
  <si>
    <t xml:space="preserve">MERCEARIA DOIS PINGUIM</t>
  </si>
  <si>
    <t xml:space="preserve">SUPERMERCADO CORREA MORAIS LTDA</t>
  </si>
  <si>
    <t xml:space="preserve">SM GUANABARA II</t>
  </si>
  <si>
    <t xml:space="preserve">PEIXOTO E SILVEIRA LTDA</t>
  </si>
  <si>
    <t xml:space="preserve">AUTO POSTO PIQUI</t>
  </si>
  <si>
    <t xml:space="preserve">ALZIRA FATIMA FAQUIANO NARDONI</t>
  </si>
  <si>
    <t xml:space="preserve">MERCEARIA PRECILO</t>
  </si>
  <si>
    <t xml:space="preserve">JOSE DE JESUS DUARTE SILVEIRA</t>
  </si>
  <si>
    <t xml:space="preserve">SORVETERIA KIMIL</t>
  </si>
  <si>
    <t xml:space="preserve">MARIA SIRLEI PAZ DOS SANTOS</t>
  </si>
  <si>
    <t xml:space="preserve">LANC</t>
  </si>
  <si>
    <t xml:space="preserve">ACCURCIO TRANSPORTES LTDA</t>
  </si>
  <si>
    <t xml:space="preserve">ACCURCIO EXPRESS</t>
  </si>
  <si>
    <t xml:space="preserve">VANDERLEY DE SOUZA MERCEARIA</t>
  </si>
  <si>
    <t xml:space="preserve">MERCEARIA O MOREIRAO</t>
  </si>
  <si>
    <t xml:space="preserve">CLAUDINEI ALMEIDA DE ANDRADE</t>
  </si>
  <si>
    <t xml:space="preserve">TELE GAS SUPERGASBRAS</t>
  </si>
  <si>
    <t xml:space="preserve">BOCHA</t>
  </si>
  <si>
    <t xml:space="preserve">EDILSON SCARIM</t>
  </si>
  <si>
    <t xml:space="preserve">MERCADO SUPER MAP</t>
  </si>
  <si>
    <t xml:space="preserve">LUIS ANTONIO DE LA HIGUERA PUIG</t>
  </si>
  <si>
    <t xml:space="preserve">PUIG S LANCHES</t>
  </si>
  <si>
    <t xml:space="preserve">TALES A LIVINALLI</t>
  </si>
  <si>
    <t xml:space="preserve">TRIGU'S PADARIA E CONF</t>
  </si>
  <si>
    <t xml:space="preserve">IVONI MOREIRA DA SILVA</t>
  </si>
  <si>
    <t xml:space="preserve">FABRICA DE GELO NSRA APARECIDA</t>
  </si>
  <si>
    <t xml:space="preserve">ELIETH GIL ESPINDOLA LEITE</t>
  </si>
  <si>
    <t xml:space="preserve">MERCADO MEGA BOM</t>
  </si>
  <si>
    <t xml:space="preserve">MARIA DE LOURDES DIAS PEREIRA</t>
  </si>
  <si>
    <t xml:space="preserve">CASA DE CARNES MARTINEZ</t>
  </si>
  <si>
    <t xml:space="preserve">LUCIANA TABORDA DE SOUZA OLIVEIRA</t>
  </si>
  <si>
    <t xml:space="preserve">CANTINA ESC.IMACULAD CONCEICAO</t>
  </si>
  <si>
    <t xml:space="preserve">PADARIA CONF LANCHONETE ECONOMICO LTDA  </t>
  </si>
  <si>
    <t xml:space="preserve">PADARIA E LANCH. ECONOMICO</t>
  </si>
  <si>
    <t xml:space="preserve">FRANCISCO FERREIRA BARBOSA</t>
  </si>
  <si>
    <t xml:space="preserve">BARROS E COUTO LTDA ME</t>
  </si>
  <si>
    <t xml:space="preserve">ESQUEMA ISCA VIVA</t>
  </si>
  <si>
    <t xml:space="preserve">BORGES E DINIZ LTDA EPP</t>
  </si>
  <si>
    <t xml:space="preserve">NEILDO FELIPE DE FREITAS</t>
  </si>
  <si>
    <t xml:space="preserve">MERCADO II IRMAOS</t>
  </si>
  <si>
    <t xml:space="preserve">ESPEDITO PEREIRA NUNES ME</t>
  </si>
  <si>
    <t xml:space="preserve">COMERCIAL BRITES ALIMENTOS LTDA</t>
  </si>
  <si>
    <t xml:space="preserve">SUPERMERCADO POPULAR</t>
  </si>
  <si>
    <t xml:space="preserve">COMERCIAL BRITES DE ALIMENTOS LTDA</t>
  </si>
  <si>
    <t xml:space="preserve">LEIA APARECIDA BUENO DIOGO</t>
  </si>
  <si>
    <t xml:space="preserve">FARMA VIVA</t>
  </si>
  <si>
    <t xml:space="preserve">SOL NASCENTE COMERCIO LTDA</t>
  </si>
  <si>
    <t xml:space="preserve">PANIF PAO DA HORA</t>
  </si>
  <si>
    <t xml:space="preserve">JUVENAL FAGUNDES</t>
  </si>
  <si>
    <t xml:space="preserve">CARLOS SATO</t>
  </si>
  <si>
    <t xml:space="preserve">PESQUEIRO 110</t>
  </si>
  <si>
    <t xml:space="preserve">MALINOWSKI &amp; PETRAZZINI LTDA</t>
  </si>
  <si>
    <t xml:space="preserve">SM DO SUL</t>
  </si>
  <si>
    <t xml:space="preserve">LAURINDO DOS SANTOS FABRICIO ME</t>
  </si>
  <si>
    <t xml:space="preserve">FARMACIA FABRICIO</t>
  </si>
  <si>
    <t xml:space="preserve">IDEMUR FERREIRA</t>
  </si>
  <si>
    <t xml:space="preserve">MERCADINHO BOM PRECO</t>
  </si>
  <si>
    <t xml:space="preserve">E V COMERCIO DE ALIMENTOS LTDA</t>
  </si>
  <si>
    <t xml:space="preserve">ENTREGAR R.TREOTERIO,326</t>
  </si>
  <si>
    <t xml:space="preserve">PEREIRA DA SILVA PROD VETERINARIOS LTDA </t>
  </si>
  <si>
    <t xml:space="preserve">MR DOG</t>
  </si>
  <si>
    <t xml:space="preserve">MERCEARIA CARDOSO</t>
  </si>
  <si>
    <t xml:space="preserve">VALDIRENE CARDOZO DUTRA EPP</t>
  </si>
  <si>
    <t xml:space="preserve">MERCEARIA CARDOSO 2</t>
  </si>
  <si>
    <t xml:space="preserve">CORINTO MOTTA</t>
  </si>
  <si>
    <t xml:space="preserve">SORVETERIA DOCE MEL</t>
  </si>
  <si>
    <t xml:space="preserve">MARIA DE FATIMA DE SA A SANTOS</t>
  </si>
  <si>
    <t xml:space="preserve">CHURRASCARIA BASE III</t>
  </si>
  <si>
    <t xml:space="preserve">CHURRASCARIA BASE II</t>
  </si>
  <si>
    <t xml:space="preserve">TEREZA CABRAL FERREIRA</t>
  </si>
  <si>
    <t xml:space="preserve">JAIRO FERREIRA DE LIMA</t>
  </si>
  <si>
    <t xml:space="preserve">MERCADINHO DO JAIRO</t>
  </si>
  <si>
    <t xml:space="preserve">RADEMARKER ALVES DE FREITAS_</t>
  </si>
  <si>
    <t xml:space="preserve">SORVETERIA CHALANA</t>
  </si>
  <si>
    <t xml:space="preserve">CLOROX DO BRASIL</t>
  </si>
  <si>
    <t xml:space="preserve">TABOAO DA SERRA</t>
  </si>
  <si>
    <t xml:space="preserve">CLOROX</t>
  </si>
  <si>
    <t xml:space="preserve">PANIFICADORA CONFEITARIA CENTER PAO LTDA</t>
  </si>
  <si>
    <t xml:space="preserve">PANIF CENTER PAO</t>
  </si>
  <si>
    <t xml:space="preserve">V V T COM DE MED E PERFUMARIAS LTDA</t>
  </si>
  <si>
    <t xml:space="preserve">FARMACIA MAIS POPULAR</t>
  </si>
  <si>
    <t xml:space="preserve">V V T COM DE MED E PERFUMARIAS LTDA ME  </t>
  </si>
  <si>
    <t xml:space="preserve">REDE MAIS POPULAR (FARMA) </t>
  </si>
  <si>
    <t xml:space="preserve">FARMACIAS MAIS POPULAR</t>
  </si>
  <si>
    <t xml:space="preserve">SOUZA E BARBOZA LTDA</t>
  </si>
  <si>
    <t xml:space="preserve">MINI MERCADO GELEIA</t>
  </si>
  <si>
    <t xml:space="preserve">PROCAMPO COMERCIO DE PROD AGROPECUARIOS </t>
  </si>
  <si>
    <t xml:space="preserve">PROCAMPO</t>
  </si>
  <si>
    <t xml:space="preserve">MARIA SEBASTIANA SELAJA RODAS</t>
  </si>
  <si>
    <t xml:space="preserve">AUGUSTO KANASHIRO</t>
  </si>
  <si>
    <t xml:space="preserve">LANCHONETE 15 DE NOVENBRO</t>
  </si>
  <si>
    <t xml:space="preserve">ABIR CRISPINIANO E FILHOS LTDA</t>
  </si>
  <si>
    <t xml:space="preserve">CORDIL CONVENIENCIAS</t>
  </si>
  <si>
    <t xml:space="preserve">ABIR CRISPINIANO</t>
  </si>
  <si>
    <t xml:space="preserve">FESTA FACIL CONV</t>
  </si>
  <si>
    <t xml:space="preserve">ECONOMICO SUPERMERCADO</t>
  </si>
  <si>
    <t xml:space="preserve">ABIR CRISPINIANO EPP</t>
  </si>
  <si>
    <t xml:space="preserve">FESTA FACIL CONVENIENCIA</t>
  </si>
  <si>
    <t xml:space="preserve">PAULO ROBERTO PACINI E CIA LTDA</t>
  </si>
  <si>
    <t xml:space="preserve">REALCE COSMETICOS</t>
  </si>
  <si>
    <t xml:space="preserve">REDE TRAZZI </t>
  </si>
  <si>
    <t xml:space="preserve">SUPERMERCADO TRAZZI</t>
  </si>
  <si>
    <t xml:space="preserve">TRAZZI ESPINOSA E CIA LTDA</t>
  </si>
  <si>
    <t xml:space="preserve">M R DOURADOS UTILIDADES DOMESTICAS EIREL</t>
  </si>
  <si>
    <t xml:space="preserve">MEGA REAL</t>
  </si>
  <si>
    <t xml:space="preserve">DISTRIBUIDORA AURORA</t>
  </si>
  <si>
    <t xml:space="preserve">IRENE BARRIOS DA FONSECA</t>
  </si>
  <si>
    <t xml:space="preserve">CEREALISTA VERA CRUZ LTDA</t>
  </si>
  <si>
    <t xml:space="preserve">MERCADO VERA CRUZ</t>
  </si>
  <si>
    <t xml:space="preserve">ALESSANDRO RODRIGUES AMORIM E CIA LTDA  </t>
  </si>
  <si>
    <t xml:space="preserve">PHARMA &amp; CIA</t>
  </si>
  <si>
    <t xml:space="preserve">AUDENIR GOMES GARCEZ</t>
  </si>
  <si>
    <t xml:space="preserve">LUZITANA CONVENIENCIAS</t>
  </si>
  <si>
    <t xml:space="preserve">ARTIDOR MACHADO DUARTE</t>
  </si>
  <si>
    <t xml:space="preserve">MERCEARIA RANGEL</t>
  </si>
  <si>
    <t xml:space="preserve">COMERCIO DE BEBIDAS LAURETTO LTDA</t>
  </si>
  <si>
    <t xml:space="preserve">POFFO AUTO PECAS LTDA</t>
  </si>
  <si>
    <t xml:space="preserve">3 IRMAOS</t>
  </si>
  <si>
    <t xml:space="preserve">LUIZ DE CARLI</t>
  </si>
  <si>
    <t xml:space="preserve">PADARIA KI</t>
  </si>
  <si>
    <t xml:space="preserve">V M CAMARA</t>
  </si>
  <si>
    <t xml:space="preserve">AUTO POSTO STA ROSA</t>
  </si>
  <si>
    <t xml:space="preserve">LUCIMAR ACOSTA BRUM</t>
  </si>
  <si>
    <t xml:space="preserve">PADARIA PAO E CIA</t>
  </si>
  <si>
    <t xml:space="preserve">MARIA LI DA SILVA N ARAUJO</t>
  </si>
  <si>
    <t xml:space="preserve">MERCADO UENO</t>
  </si>
  <si>
    <t xml:space="preserve">J S TORRES DA SILVA</t>
  </si>
  <si>
    <t xml:space="preserve">LUIS CARLOS LOURENCO PANIFICADORA</t>
  </si>
  <si>
    <t xml:space="preserve">PAD E CONF PAO MEL</t>
  </si>
  <si>
    <t xml:space="preserve">LOPES E AJIKI LTDA</t>
  </si>
  <si>
    <t xml:space="preserve">MULTIGRAF</t>
  </si>
  <si>
    <t xml:space="preserve">MARIA ROSARIO FIALHO</t>
  </si>
  <si>
    <t xml:space="preserve">PED</t>
  </si>
  <si>
    <t xml:space="preserve">ABASTECEDORA NOVA ALVORADA LTDA</t>
  </si>
  <si>
    <t xml:space="preserve">POSTO JUMBO</t>
  </si>
  <si>
    <t xml:space="preserve">FATIMA APARECIDA CORREA</t>
  </si>
  <si>
    <t xml:space="preserve">SEBASTIAO LUCIO DA SILVA LEMES</t>
  </si>
  <si>
    <t xml:space="preserve">CAFE BARAO</t>
  </si>
  <si>
    <t xml:space="preserve">RAPIDO TRANSPAULO LTDA</t>
  </si>
  <si>
    <t xml:space="preserve">KWIATKOSKI COMERCIO DE BEBIDAS LTDA</t>
  </si>
  <si>
    <t xml:space="preserve">CORDIL NOROESTE</t>
  </si>
  <si>
    <t xml:space="preserve">FATIMA APARECIDA DA SILVA</t>
  </si>
  <si>
    <t xml:space="preserve">MINI MERCADO H F</t>
  </si>
  <si>
    <t xml:space="preserve">PEDRO CLAUDINO DOS SANTOS</t>
  </si>
  <si>
    <t xml:space="preserve">TAVARES E SOARES LTDA</t>
  </si>
  <si>
    <t xml:space="preserve">FARTURAO CESTA BASICA</t>
  </si>
  <si>
    <t xml:space="preserve">SILVANA DE CHICO BRITO</t>
  </si>
  <si>
    <t xml:space="preserve">CASA DE CARNE MODELO</t>
  </si>
  <si>
    <t xml:space="preserve">WALFRIDO BARROS COMERCIO DE CARNES LTDA </t>
  </si>
  <si>
    <t xml:space="preserve">DELICIAS CARNES E CONVENIENCIA</t>
  </si>
  <si>
    <t xml:space="preserve">JOELSON CANDIDO DIAS</t>
  </si>
  <si>
    <t xml:space="preserve">SUPERMERCADO TALISMA</t>
  </si>
  <si>
    <t xml:space="preserve">ISMAEL BALBUENA DE OLIVEIRA</t>
  </si>
  <si>
    <t xml:space="preserve">ALYNE E ESTEVEZ LTDA</t>
  </si>
  <si>
    <t xml:space="preserve">ADEMILCIO BRONZIL</t>
  </si>
  <si>
    <t xml:space="preserve">MERCADINHO CENTRAL</t>
  </si>
  <si>
    <t xml:space="preserve">AZEVEDO E PINHEIRO LTDA</t>
  </si>
  <si>
    <t xml:space="preserve">BAR E MERCEARIA CENTRAL</t>
  </si>
  <si>
    <t xml:space="preserve">LEAL E BAES LTDA</t>
  </si>
  <si>
    <t xml:space="preserve">COMERCIAL ELDORADO</t>
  </si>
  <si>
    <t xml:space="preserve">VALDIR PEDRO FORTUNA</t>
  </si>
  <si>
    <t xml:space="preserve">REST E CHURR CHAPA DO SUL</t>
  </si>
  <si>
    <t xml:space="preserve">LUIZ SOUZA COELHO</t>
  </si>
  <si>
    <t xml:space="preserve">PANIF E CONF BOCA DO FORNO</t>
  </si>
  <si>
    <t xml:space="preserve">E CAMARGO DA SILVA E CIA LTDA</t>
  </si>
  <si>
    <t xml:space="preserve">CASA DE CARNE BRASAO</t>
  </si>
  <si>
    <t xml:space="preserve">VALDENIR PEIXOTO</t>
  </si>
  <si>
    <t xml:space="preserve">SM PEIXOTO</t>
  </si>
  <si>
    <t xml:space="preserve">SUPERMERCADO BIG BOM LTDA</t>
  </si>
  <si>
    <t xml:space="preserve">SM BIG-BOM</t>
  </si>
  <si>
    <t xml:space="preserve">ADIVALDO JOSE BRONZIM</t>
  </si>
  <si>
    <t xml:space="preserve">COMERCIAL VILA NOVA</t>
  </si>
  <si>
    <t xml:space="preserve">VALMIR TERTULINA DOS SANTOS</t>
  </si>
  <si>
    <t xml:space="preserve">SACOLAO VILAS BOAS</t>
  </si>
  <si>
    <t xml:space="preserve">RESTAURANTE DONA MARIA LTDA</t>
  </si>
  <si>
    <t xml:space="preserve">RESTAUR DONA MARIA</t>
  </si>
  <si>
    <t xml:space="preserve">JOSE VITOR SOARES DE GUSMAO</t>
  </si>
  <si>
    <t xml:space="preserve">SM GUSMAO</t>
  </si>
  <si>
    <t xml:space="preserve">HIDROFLEX COMERCIO DE PECAS E SERVICOS L</t>
  </si>
  <si>
    <t xml:space="preserve">HIDROFLEX</t>
  </si>
  <si>
    <t xml:space="preserve">JAMILE ROUMANOS DIB SILVA</t>
  </si>
  <si>
    <t xml:space="preserve">HORA EXTRA CONVENIENCIAS</t>
  </si>
  <si>
    <t xml:space="preserve">IVO BORHER</t>
  </si>
  <si>
    <t xml:space="preserve">JOSE LEIVA FUNES TAIRA</t>
  </si>
  <si>
    <t xml:space="preserve">MERCEARIA ACAIA</t>
  </si>
  <si>
    <t xml:space="preserve">POSTO KM 21 LTDA</t>
  </si>
  <si>
    <t xml:space="preserve">AUTO POSTO KM 21</t>
  </si>
  <si>
    <t xml:space="preserve">MARIA NEVES NETO DA SILVA</t>
  </si>
  <si>
    <t xml:space="preserve">MAQUINA DE ARROZ PALMEIRA</t>
  </si>
  <si>
    <t xml:space="preserve">COMERCIAL DE ALIMENTOS DO PRODUTOR LTDA </t>
  </si>
  <si>
    <t xml:space="preserve">MERCADO DO PRODUTOR</t>
  </si>
  <si>
    <t xml:space="preserve">MARIA RODRIGUES PAULINO OLIVEIRA</t>
  </si>
  <si>
    <t xml:space="preserve">MERCEARIA PAULINO</t>
  </si>
  <si>
    <t xml:space="preserve">TRIUNFANTE MATOGROSSENSE ALIMENTOS LTDA </t>
  </si>
  <si>
    <t xml:space="preserve">TRIUNFANTE</t>
  </si>
  <si>
    <t xml:space="preserve">SUPERMERCADO MANA EIRELI</t>
  </si>
  <si>
    <t xml:space="preserve">SUPERMERCADO MANA</t>
  </si>
  <si>
    <t xml:space="preserve">ANTONIO LOPES DE SOUZA</t>
  </si>
  <si>
    <t xml:space="preserve">AFICINA JULIO DE CASTILHO</t>
  </si>
  <si>
    <t xml:space="preserve">DIVINA BAR E RESTAURANTE LTDA</t>
  </si>
  <si>
    <t xml:space="preserve">DIVINA CHOPPERIA GOURMET</t>
  </si>
  <si>
    <t xml:space="preserve">FABIO MORESCO</t>
  </si>
  <si>
    <t xml:space="preserve">CHUR E PIZZARIA GARFO DE OURO</t>
  </si>
  <si>
    <t xml:space="preserve">S A RODRIGUES</t>
  </si>
  <si>
    <t xml:space="preserve">KI SABOR DIST DE PROD ALIM</t>
  </si>
  <si>
    <t xml:space="preserve">CASA KENDI</t>
  </si>
  <si>
    <t xml:space="preserve">SM G.H</t>
  </si>
  <si>
    <t xml:space="preserve">TEC PET TRANSP E SERVICOS LTDA</t>
  </si>
  <si>
    <t xml:space="preserve">TECPET TRANSPORTES E SERVICOS LTDA</t>
  </si>
  <si>
    <t xml:space="preserve">ARACARIGUAMA</t>
  </si>
  <si>
    <t xml:space="preserve">J GABRIEL DA SILVA</t>
  </si>
  <si>
    <t xml:space="preserve">ELIAS FARIA LAMBLEM E CIA LTDA</t>
  </si>
  <si>
    <t xml:space="preserve">SM BOA COMPRA</t>
  </si>
  <si>
    <t xml:space="preserve">DAVID JOSE FRAGNAM</t>
  </si>
  <si>
    <t xml:space="preserve">CASA DE CARNE CEARA</t>
  </si>
  <si>
    <t xml:space="preserve">GILMAR JOSE COSTA</t>
  </si>
  <si>
    <t xml:space="preserve">MERCEARIA BARAO</t>
  </si>
  <si>
    <t xml:space="preserve">AUTO POSTO NOVAES LTDA</t>
  </si>
  <si>
    <t xml:space="preserve">POSTO SAO JORGE</t>
  </si>
  <si>
    <t xml:space="preserve">MERCADO BOND PRECO LTDA</t>
  </si>
  <si>
    <t xml:space="preserve">AUTO POSTO CASA NOVA LTDA</t>
  </si>
  <si>
    <t xml:space="preserve">PARADA PANTANEIRA</t>
  </si>
  <si>
    <t xml:space="preserve">P A MICHELINI PANIFICADORA</t>
  </si>
  <si>
    <t xml:space="preserve">PONTES E FRANCO LTDA</t>
  </si>
  <si>
    <t xml:space="preserve">BAT PRECO SUPERMERCADO</t>
  </si>
  <si>
    <t xml:space="preserve">GALVAO MATTOS E CIA LTDA</t>
  </si>
  <si>
    <t xml:space="preserve">MATOS CACA E PESCA LTDA</t>
  </si>
  <si>
    <t xml:space="preserve">SAUL CACA PESCA</t>
  </si>
  <si>
    <t xml:space="preserve">APARECIDA MARCIANO DE FREITAS</t>
  </si>
  <si>
    <t xml:space="preserve">PANIFICADORA FREITAS E DIAS</t>
  </si>
  <si>
    <t xml:space="preserve">VANISA ESTETICA FEMININA LTDA</t>
  </si>
  <si>
    <t xml:space="preserve">PENELOPE ACADEMIA</t>
  </si>
  <si>
    <t xml:space="preserve">MERCEARIA ALVORADA LTDA</t>
  </si>
  <si>
    <t xml:space="preserve">PAES E BRITO LTDA</t>
  </si>
  <si>
    <t xml:space="preserve">PINT TUDO</t>
  </si>
  <si>
    <t xml:space="preserve">SUPERMERCADO CAMPO BELO LTDA</t>
  </si>
  <si>
    <t xml:space="preserve">SM CASTILHO CAMPO BELO</t>
  </si>
  <si>
    <t xml:space="preserve">GERALDO ALVES DOS SANTOS</t>
  </si>
  <si>
    <t xml:space="preserve">LUIZ VITOR VIEIRA</t>
  </si>
  <si>
    <t xml:space="preserve">SM COMPRE FACIL</t>
  </si>
  <si>
    <t xml:space="preserve">LUIZ VICTOR VIEIRA</t>
  </si>
  <si>
    <t xml:space="preserve">SM COMPRE FACIL II</t>
  </si>
  <si>
    <t xml:space="preserve">JOSE MOURA MARIN E CIA LTDA</t>
  </si>
  <si>
    <t xml:space="preserve">BAR E MERCEARIA MOURA</t>
  </si>
  <si>
    <t xml:space="preserve">BAR LANCHONETE LAMINUTO LTDA</t>
  </si>
  <si>
    <t xml:space="preserve">BAR E LANCHONETE LAMINUTO</t>
  </si>
  <si>
    <t xml:space="preserve">MERCADINHO KITTA LTDA</t>
  </si>
  <si>
    <t xml:space="preserve">MERCADINHO KITTA</t>
  </si>
  <si>
    <t xml:space="preserve">PETROLEO CENTRO OESTE LTDA</t>
  </si>
  <si>
    <t xml:space="preserve">POSTO CASSIA LOCATELLI</t>
  </si>
  <si>
    <t xml:space="preserve">MERCEARIA POPULAR LTDA</t>
  </si>
  <si>
    <t xml:space="preserve">SUPERMERCADO SEMADA LTDA</t>
  </si>
  <si>
    <t xml:space="preserve">ATACADO BANDEIRANTE</t>
  </si>
  <si>
    <t xml:space="preserve">ROBSON RAMOS BALBUENA</t>
  </si>
  <si>
    <t xml:space="preserve">CANTINA CENTRAL DA BASE AEREA</t>
  </si>
  <si>
    <t xml:space="preserve">JOSEFA VALENTIN SOUTO</t>
  </si>
  <si>
    <t xml:space="preserve">MERCEARIA SAN JOSE</t>
  </si>
  <si>
    <t xml:space="preserve">GOLD COMERCIO DE BEBIDAS LTDA</t>
  </si>
  <si>
    <t xml:space="preserve">CORDIL MONTE CASTELO</t>
  </si>
  <si>
    <t xml:space="preserve">OSVALDO BARRIOS GREGORIO JUNIOR</t>
  </si>
  <si>
    <t xml:space="preserve">BAR TUPI</t>
  </si>
  <si>
    <t xml:space="preserve">RM SUPERMERCADOS LTDA</t>
  </si>
  <si>
    <t xml:space="preserve">VEM Q TEM SUP?REMERCADO</t>
  </si>
  <si>
    <t xml:space="preserve">IVAN CELIO MARTINOTTO</t>
  </si>
  <si>
    <t xml:space="preserve">ITANHAGA PAES CONV</t>
  </si>
  <si>
    <t xml:space="preserve">MARINALVA DOS REIS</t>
  </si>
  <si>
    <t xml:space="preserve">ANALU DE PAULA NOGUEIRA FREITAS</t>
  </si>
  <si>
    <t xml:space="preserve">SM ISABELA</t>
  </si>
  <si>
    <t xml:space="preserve">ANALU DE PAULA NOGUEIRA FREITAS EIRELI M</t>
  </si>
  <si>
    <t xml:space="preserve">SUPERMERCADO ISABELLA</t>
  </si>
  <si>
    <t xml:space="preserve">QUADRO E SANTANA LTDA</t>
  </si>
  <si>
    <t xml:space="preserve">J C PRESENTES</t>
  </si>
  <si>
    <t xml:space="preserve">M L DOS SANTOS</t>
  </si>
  <si>
    <t xml:space="preserve">SUPERMERCADO SANTO ANTONIO</t>
  </si>
  <si>
    <t xml:space="preserve">SERGIO JOSE SPENASSATTO</t>
  </si>
  <si>
    <t xml:space="preserve">SERGIOS HOTEL E RESTAURANTE</t>
  </si>
  <si>
    <t xml:space="preserve">SBARDELOTE E SBARDELOTE LTDA EPP</t>
  </si>
  <si>
    <t xml:space="preserve">PANIF.E CONF. TRADICAO</t>
  </si>
  <si>
    <t xml:space="preserve">ANDERICO CARBARI</t>
  </si>
  <si>
    <t xml:space="preserve">SM CARBARI</t>
  </si>
  <si>
    <t xml:space="preserve">COSTA E ARANTES LTDA</t>
  </si>
  <si>
    <t xml:space="preserve">MERCADO COSTA E ARANTES</t>
  </si>
  <si>
    <t xml:space="preserve">ITAMAR FRANCISCO DA SILVA E CIA LTDA</t>
  </si>
  <si>
    <t xml:space="preserve">BAR E MERCEARIA UNIAO</t>
  </si>
  <si>
    <t xml:space="preserve">E J MARTENDAL</t>
  </si>
  <si>
    <t xml:space="preserve">ACOUGUE E MERC.EDSON CATARINO2</t>
  </si>
  <si>
    <t xml:space="preserve">JLK PANIFICADORA LTDA</t>
  </si>
  <si>
    <t xml:space="preserve">MERCADO J GOMES LTDA</t>
  </si>
  <si>
    <t xml:space="preserve">MERCADO J. GOMES</t>
  </si>
  <si>
    <t xml:space="preserve">ROSEMERY JULIAO</t>
  </si>
  <si>
    <t xml:space="preserve">DROGARIA ROSEFARMA</t>
  </si>
  <si>
    <t xml:space="preserve">ANA MARIA PEZZATO</t>
  </si>
  <si>
    <t xml:space="preserve">REST E LANCH LA CARRETA</t>
  </si>
  <si>
    <t xml:space="preserve">MORAES PAO E CONVENIENCIAS LTDA</t>
  </si>
  <si>
    <t xml:space="preserve">MORAES PAES E CONV</t>
  </si>
  <si>
    <t xml:space="preserve">APARECIDA JESUS PEREIRA BARBOSA</t>
  </si>
  <si>
    <t xml:space="preserve">SM BOLSAO</t>
  </si>
  <si>
    <t xml:space="preserve">SONIA BAENA MIRANDA</t>
  </si>
  <si>
    <t xml:space="preserve">CEREALISTA PLANALTO</t>
  </si>
  <si>
    <t xml:space="preserve">POLETTO E CIA LTDA</t>
  </si>
  <si>
    <t xml:space="preserve">CASA DOS DOCES</t>
  </si>
  <si>
    <t xml:space="preserve">J DE OLIVEIRA</t>
  </si>
  <si>
    <t xml:space="preserve">PANIFICADORA SANTA TEREZINHA</t>
  </si>
  <si>
    <t xml:space="preserve">SCHMIDT IND COM IMPORT E EXPORTACAO LTDA</t>
  </si>
  <si>
    <t xml:space="preserve">PORCELAM SCHMIDT</t>
  </si>
  <si>
    <t xml:space="preserve">GUIOMAR OTILIA V BIAZON</t>
  </si>
  <si>
    <t xml:space="preserve">HOTEL VENCEDOR</t>
  </si>
  <si>
    <t xml:space="preserve">PANIFICADORA TUTTI BELLE LTDA</t>
  </si>
  <si>
    <t xml:space="preserve">PANIFICADORA TUTTI BELLE</t>
  </si>
  <si>
    <t xml:space="preserve">NUNES E CIA LTDA</t>
  </si>
  <si>
    <t xml:space="preserve">LANCH E RSTAURANTE NS? APARECI</t>
  </si>
  <si>
    <t xml:space="preserve">SKN MEDICAMENTOS E PERFUMARIA LTDA</t>
  </si>
  <si>
    <t xml:space="preserve">DROGARIA SKN</t>
  </si>
  <si>
    <t xml:space="preserve">OSMAR DELFINO DE OLIVEIRA</t>
  </si>
  <si>
    <t xml:space="preserve">CASA GANHA POUCO</t>
  </si>
  <si>
    <t xml:space="preserve">SUPERMERCADO MARINI</t>
  </si>
  <si>
    <t xml:space="preserve">NEUZA UESATO KAWAHIRA</t>
  </si>
  <si>
    <t xml:space="preserve">LANCH PAINEIRAS</t>
  </si>
  <si>
    <t xml:space="preserve">BIONDO E CIA LTDA</t>
  </si>
  <si>
    <t xml:space="preserve">POSTO NOSSA SRA DA CONCEICAO</t>
  </si>
  <si>
    <t xml:space="preserve">CLINICA DE CAMPO GRANDE SA</t>
  </si>
  <si>
    <t xml:space="preserve">CLINICA DE CAMPO GRANDE</t>
  </si>
  <si>
    <t xml:space="preserve">JAIR SOUZA QUEIROZ</t>
  </si>
  <si>
    <t xml:space="preserve">BAR CRISTIANO</t>
  </si>
  <si>
    <t xml:space="preserve">CANONDES PAULINO DO AMARAL</t>
  </si>
  <si>
    <t xml:space="preserve">PANIFICADOAR STA TEREZINHA</t>
  </si>
  <si>
    <t xml:space="preserve">SENI DA SILVA MELO</t>
  </si>
  <si>
    <t xml:space="preserve">ROSA E DARIO LTDA</t>
  </si>
  <si>
    <t xml:space="preserve">DROGARIA GUERRA LTDA</t>
  </si>
  <si>
    <t xml:space="preserve">FARMACIA UMUARAMA</t>
  </si>
  <si>
    <t xml:space="preserve">JOSE ANTONIO SCATOLAO</t>
  </si>
  <si>
    <t xml:space="preserve">SM ALVORADA</t>
  </si>
  <si>
    <t xml:space="preserve">NAUDI ALVES DOS SANTOS E CIA LTDA</t>
  </si>
  <si>
    <t xml:space="preserve">HOTEL RECANTO BARRAMANSA</t>
  </si>
  <si>
    <t xml:space="preserve">HOTEL POUSADA BARRAMANSA</t>
  </si>
  <si>
    <t xml:space="preserve">FERNANDES E CAVALHEIRI LTDA</t>
  </si>
  <si>
    <t xml:space="preserve">RESTAURANTE MOTTA</t>
  </si>
  <si>
    <t xml:space="preserve">HAJIME KOBAYASHI</t>
  </si>
  <si>
    <t xml:space="preserve">ADNEIA DE ANDRADE</t>
  </si>
  <si>
    <t xml:space="preserve">MERCEARIA HIGA</t>
  </si>
  <si>
    <t xml:space="preserve">BRAGA E CIA LTDA</t>
  </si>
  <si>
    <t xml:space="preserve">DROGARIA AUXILIADORA</t>
  </si>
  <si>
    <t xml:space="preserve">ZULMIRA COSTA DA SILVA</t>
  </si>
  <si>
    <t xml:space="preserve">NIWTON CEZAR ALASTICO</t>
  </si>
  <si>
    <t xml:space="preserve">CASA DE CARNE REAL</t>
  </si>
  <si>
    <t xml:space="preserve">MAURO HONORATO SILVA</t>
  </si>
  <si>
    <t xml:space="preserve">COM DE DOCES SANTA RITA</t>
  </si>
  <si>
    <t xml:space="preserve">COMERCIAL GUARA LTDA</t>
  </si>
  <si>
    <t xml:space="preserve">BOM PRECO</t>
  </si>
  <si>
    <t xml:space="preserve">SM BRASILIA</t>
  </si>
  <si>
    <t xml:space="preserve">NEIVA MARIA RIBEIRO ROCHA</t>
  </si>
  <si>
    <t xml:space="preserve">MERCIO PEIXOTO E CIA LTDA</t>
  </si>
  <si>
    <t xml:space="preserve">MARIA DOLORES AMARAL</t>
  </si>
  <si>
    <t xml:space="preserve">BERTONI E CHAVES LTDA</t>
  </si>
  <si>
    <t xml:space="preserve">CACHACARIA BRASIL</t>
  </si>
  <si>
    <t xml:space="preserve">BENEDETI E CIA LTDA</t>
  </si>
  <si>
    <t xml:space="preserve">SBARROS PIZZARIA</t>
  </si>
  <si>
    <t xml:space="preserve">JOSE MARALINO DAMASCENO</t>
  </si>
  <si>
    <t xml:space="preserve">SAO FRANCISCO GAS AGUA E CONVE</t>
  </si>
  <si>
    <t xml:space="preserve">SUPERMERCADOS CASAS INDIANA LTDA</t>
  </si>
  <si>
    <t xml:space="preserve">SM INDIANA</t>
  </si>
  <si>
    <t xml:space="preserve">NEIDE GONCALVES</t>
  </si>
  <si>
    <t xml:space="preserve">ACOUGUE BOM GOSTO</t>
  </si>
  <si>
    <t xml:space="preserve">MARIA HELENA SOUZA NOLASCO</t>
  </si>
  <si>
    <t xml:space="preserve">COMERCIAL DE GENEROS ALIMENTICIOS MATEUS</t>
  </si>
  <si>
    <t xml:space="preserve">COMERCIAL DE GENEROS ALIMENTICIOS</t>
  </si>
  <si>
    <t xml:space="preserve">J PEREIRA SILVA GENEROS ALIMENTICIOS</t>
  </si>
  <si>
    <t xml:space="preserve">FAHED E CIA LTDA</t>
  </si>
  <si>
    <t xml:space="preserve">PANIFICADORA PAO CASEIRO</t>
  </si>
  <si>
    <t xml:space="preserve">ALVES E NIEDACK LTDA</t>
  </si>
  <si>
    <t xml:space="preserve">SONHO DOURADO</t>
  </si>
  <si>
    <t xml:space="preserve">JUSSARA MOREIRA DIAS EIRELI</t>
  </si>
  <si>
    <t xml:space="preserve">AGROPECUARIA CHACRINHA</t>
  </si>
  <si>
    <t xml:space="preserve">POSTO AMERICA LTDA</t>
  </si>
  <si>
    <t xml:space="preserve">MERCADO ITAMARATY</t>
  </si>
  <si>
    <t xml:space="preserve">HOTEL BONANZA</t>
  </si>
  <si>
    <t xml:space="preserve">BENEDITO DONIZETE MARIANO</t>
  </si>
  <si>
    <t xml:space="preserve">VIEIRA E SOUZA LTDA</t>
  </si>
  <si>
    <t xml:space="preserve">STILO CONF</t>
  </si>
  <si>
    <t xml:space="preserve">HIDEO SAITO</t>
  </si>
  <si>
    <t xml:space="preserve">CONV POSTEKO</t>
  </si>
  <si>
    <t xml:space="preserve">SUPERMERCADO VENCEDOR LTDA</t>
  </si>
  <si>
    <t xml:space="preserve">SUPERMERCADO VENCEDOR</t>
  </si>
  <si>
    <t xml:space="preserve">RIBEIRO E CARRILHO LTDA</t>
  </si>
  <si>
    <t xml:space="preserve">BAR E LANCHONETE RODOVIARIO</t>
  </si>
  <si>
    <t xml:space="preserve">SOLDAMAQ COMERCIO DE FERRAMENTAS LTDA</t>
  </si>
  <si>
    <t xml:space="preserve">SOLDAMAQ</t>
  </si>
  <si>
    <t xml:space="preserve">MARIA GEDALVA DE LIMA</t>
  </si>
  <si>
    <t xml:space="preserve">HOTEL MODELO</t>
  </si>
  <si>
    <t xml:space="preserve">SALETE QUADROS DE OLIVEIRA</t>
  </si>
  <si>
    <t xml:space="preserve">GOUVEIA E CIA LTDA</t>
  </si>
  <si>
    <t xml:space="preserve">MERCADO TREM BOM</t>
  </si>
  <si>
    <t xml:space="preserve">IVO AURIGO TEIXEIRA</t>
  </si>
  <si>
    <t xml:space="preserve">TOP LANCJES</t>
  </si>
  <si>
    <t xml:space="preserve">MANOEL PEREIRA DAMASCENO</t>
  </si>
  <si>
    <t xml:space="preserve">BAR DA PRACA</t>
  </si>
  <si>
    <t xml:space="preserve">ESTEIO AGROVETERINARIA LTDA</t>
  </si>
  <si>
    <t xml:space="preserve">VETERINARIA ESTEIO</t>
  </si>
  <si>
    <t xml:space="preserve">JOSE DONIZETTE LEMES REIS</t>
  </si>
  <si>
    <t xml:space="preserve">FRANGOLANDIA XODO</t>
  </si>
  <si>
    <t xml:space="preserve">VALDEMAR JACINTO DUARTE</t>
  </si>
  <si>
    <t xml:space="preserve">MERCEARIA DUARTE</t>
  </si>
  <si>
    <t xml:space="preserve">MSV E JAB MERCADO E DISTRIBUIDORA LTDA  </t>
  </si>
  <si>
    <t xml:space="preserve">JAB ACOUGUE</t>
  </si>
  <si>
    <t xml:space="preserve">CHURRASCARIA E LANC BUFALO BRANCO LTDA  </t>
  </si>
  <si>
    <t xml:space="preserve">BUFALO BRANCO</t>
  </si>
  <si>
    <t xml:space="preserve">PEDRO BASILIO JUNIOR</t>
  </si>
  <si>
    <t xml:space="preserve">JUNIOR MOTO PECAS</t>
  </si>
  <si>
    <t xml:space="preserve">GELL MARA DE SOUZA MICHELON</t>
  </si>
  <si>
    <t xml:space="preserve">LUCIENE BUREMA BRANDAO SOUZA</t>
  </si>
  <si>
    <t xml:space="preserve">DROGARIA TATIAIA</t>
  </si>
  <si>
    <t xml:space="preserve">BIANCA MARQUES BARBOSA</t>
  </si>
  <si>
    <t xml:space="preserve">SABOR E SAUDE</t>
  </si>
  <si>
    <t xml:space="preserve">JOSE CARLOS C LIMA</t>
  </si>
  <si>
    <t xml:space="preserve">SANDRA MARA RODRIGUES SPOLADORE</t>
  </si>
  <si>
    <t xml:space="preserve">VISUAL COSMETICOS</t>
  </si>
  <si>
    <t xml:space="preserve">BATISTOTE BRAGA LTDA</t>
  </si>
  <si>
    <t xml:space="preserve">AUTONOMISTA PAO E CONVENIENCIA</t>
  </si>
  <si>
    <t xml:space="preserve">DIMENSAO COM VAREJISTA DE BEBIDAS LTDA  </t>
  </si>
  <si>
    <t xml:space="preserve">MERCADO E CONVENIENCIA HPS LTDA</t>
  </si>
  <si>
    <t xml:space="preserve">MERCADO RIO SUL</t>
  </si>
  <si>
    <t xml:space="preserve">DAVID JABER</t>
  </si>
  <si>
    <t xml:space="preserve">PADARIA POPULAR NOVA</t>
  </si>
  <si>
    <t xml:space="preserve">LAIKIN COM DE CALCADOS E CONFECCOESLTDA </t>
  </si>
  <si>
    <t xml:space="preserve">MERCADO SENNA</t>
  </si>
  <si>
    <t xml:space="preserve">RAFA COMERCIO DE PRODS ALIMENTICIOS LTDA</t>
  </si>
  <si>
    <t xml:space="preserve">PAO &amp; CIA.</t>
  </si>
  <si>
    <t xml:space="preserve">ELSON FERREIRA SILVA</t>
  </si>
  <si>
    <t xml:space="preserve">MERCADO CRISTAL</t>
  </si>
  <si>
    <t xml:space="preserve">ARI NERES COXEO</t>
  </si>
  <si>
    <t xml:space="preserve">FERRAGEM ALVORADA LTDA</t>
  </si>
  <si>
    <t xml:space="preserve">ALVORADA CONSTRUCAO E ACABAMENTO</t>
  </si>
  <si>
    <t xml:space="preserve">MARIA APARECIDA FREITAS</t>
  </si>
  <si>
    <t xml:space="preserve">M.J.GAS</t>
  </si>
  <si>
    <t xml:space="preserve">SUPERMERCADO BOM JARDIM LTDA</t>
  </si>
  <si>
    <t xml:space="preserve">SUPERMERCADO BOM JARDIM</t>
  </si>
  <si>
    <t xml:space="preserve">CHAVES E NOGUEIRA LTDA</t>
  </si>
  <si>
    <t xml:space="preserve">MERC CRUZEIRO DO SUL</t>
  </si>
  <si>
    <t xml:space="preserve">JACQUELINE AUXILIADORA P B LOUREIRO</t>
  </si>
  <si>
    <t xml:space="preserve">BUFFET AGUA NA BOCA</t>
  </si>
  <si>
    <t xml:space="preserve">BRACAM DISTRIBUIDORA DE BEBIDAS LTDA</t>
  </si>
  <si>
    <t xml:space="preserve">MERCADO PERPETUO SOCORRO</t>
  </si>
  <si>
    <t xml:space="preserve">VALDIR DA COSTA GUIMARAES</t>
  </si>
  <si>
    <t xml:space="preserve">SM GUIMARAES</t>
  </si>
  <si>
    <t xml:space="preserve">CASA ANDRADE COM PROD ALIMENTICIOS LTDA </t>
  </si>
  <si>
    <t xml:space="preserve">CASA ANDRADE</t>
  </si>
  <si>
    <t xml:space="preserve">STANG E MANGINI LTDA</t>
  </si>
  <si>
    <t xml:space="preserve">MERCEARIA DO ALEMAO</t>
  </si>
  <si>
    <t xml:space="preserve">RODRIGUES E CARVALHO LTDA ME</t>
  </si>
  <si>
    <t xml:space="preserve">BAR E MERCEARIA RODRIGUES</t>
  </si>
  <si>
    <t xml:space="preserve">NILSON TEODORO</t>
  </si>
  <si>
    <t xml:space="preserve">TEODORO'S PIZZARIA</t>
  </si>
  <si>
    <t xml:space="preserve">ADIR DUARTE LEAO</t>
  </si>
  <si>
    <t xml:space="preserve">BAR E MERCEARIA LEAO</t>
  </si>
  <si>
    <t xml:space="preserve">WALTER RODRIGUES DE OLIVEIRA</t>
  </si>
  <si>
    <t xml:space="preserve">ZAQUIA NAGLIS</t>
  </si>
  <si>
    <t xml:space="preserve">FIDALGOS CONVENIENCIAS</t>
  </si>
  <si>
    <t xml:space="preserve">REQUINTE IND COM DE MOVEIS DECOR LTDA</t>
  </si>
  <si>
    <t xml:space="preserve">REQUINTE</t>
  </si>
  <si>
    <t xml:space="preserve">CHIP'S LANCHES LTDA</t>
  </si>
  <si>
    <t xml:space="preserve">CHIP'S</t>
  </si>
  <si>
    <t xml:space="preserve">MERCEARIA MURAKAMI LTDA</t>
  </si>
  <si>
    <t xml:space="preserve">MERCEARIA MURAKAMI</t>
  </si>
  <si>
    <t xml:space="preserve">OZAIR MANOEL BORGES</t>
  </si>
  <si>
    <t xml:space="preserve">MERCEARIA BORGES</t>
  </si>
  <si>
    <t xml:space="preserve">DANI LANCHES LTDA</t>
  </si>
  <si>
    <t xml:space="preserve">E NA RODOVIARIA</t>
  </si>
  <si>
    <t xml:space="preserve">CORBALAN E CIA LTDA</t>
  </si>
  <si>
    <t xml:space="preserve">ELLA COSMETICOS</t>
  </si>
  <si>
    <t xml:space="preserve">FELSKI E NEVES LTDA</t>
  </si>
  <si>
    <t xml:space="preserve">CHURRASCARIA DO GAUCHO</t>
  </si>
  <si>
    <t xml:space="preserve">PIONEIRO SUPERMERCADO LTDA</t>
  </si>
  <si>
    <t xml:space="preserve">SUPERMERCADO PIONEIRA</t>
  </si>
  <si>
    <t xml:space="preserve">PIONEIRO ATACADO</t>
  </si>
  <si>
    <t xml:space="preserve">PIONEIRO</t>
  </si>
  <si>
    <t xml:space="preserve">JOSE MARIO DA FONSECA</t>
  </si>
  <si>
    <t xml:space="preserve">PANF VILLAGE</t>
  </si>
  <si>
    <t xml:space="preserve">JOSE TEUNAS NERI PEREIRA</t>
  </si>
  <si>
    <t xml:space="preserve">SUELI TEREZINHA OLIVEIRA SOUZA</t>
  </si>
  <si>
    <t xml:space="preserve">MERCADO PONTO CERTO</t>
  </si>
  <si>
    <t xml:space="preserve">SLOBODA E SLOBODA LTDA</t>
  </si>
  <si>
    <t xml:space="preserve">CHURRASCARIA GALPAO</t>
  </si>
  <si>
    <t xml:space="preserve">ASSOCIACAO DOS FUN DO TRE MS AFATREMS</t>
  </si>
  <si>
    <t xml:space="preserve">AFATREMS CANT TRIB ELEITORAL</t>
  </si>
  <si>
    <t xml:space="preserve">LIVRARIA E PAP.INTEGRACAO</t>
  </si>
  <si>
    <t xml:space="preserve">MERCEARIA NOVO BOX LTDA</t>
  </si>
  <si>
    <t xml:space="preserve">SUPERMERCADO NOVO BOX</t>
  </si>
  <si>
    <t xml:space="preserve">COMERCIO DE ALIMENTOS RIBEIRO LTDA</t>
  </si>
  <si>
    <t xml:space="preserve">SALVADOR PISSURNO</t>
  </si>
  <si>
    <t xml:space="preserve">ACOUGUE KILO GRAMA</t>
  </si>
  <si>
    <t xml:space="preserve">MELLO E BORINE LTDA</t>
  </si>
  <si>
    <t xml:space="preserve">PAULAO PIZZARIA E CHOPERIA</t>
  </si>
  <si>
    <t xml:space="preserve">EVALDO PEREIRA MESQUITA EPP</t>
  </si>
  <si>
    <t xml:space="preserve">SM MESQUITA</t>
  </si>
  <si>
    <t xml:space="preserve">MERCEARIA PARANA LTDA</t>
  </si>
  <si>
    <t xml:space="preserve">ITAIPUZINHO</t>
  </si>
  <si>
    <t xml:space="preserve">QUARESMA E CIA LTDA</t>
  </si>
  <si>
    <t xml:space="preserve">POSTO SANTA RITA DE CASIA</t>
  </si>
  <si>
    <t xml:space="preserve">O SILVA E CIA LTDA</t>
  </si>
  <si>
    <t xml:space="preserve">FARMACIA SAO PAULO</t>
  </si>
  <si>
    <t xml:space="preserve">ARY ANTONIO TIEPPO</t>
  </si>
  <si>
    <t xml:space="preserve">ANA PRESENTES LTDA</t>
  </si>
  <si>
    <t xml:space="preserve">SM DO AGILDO</t>
  </si>
  <si>
    <t xml:space="preserve">JOSE MASSAO HASHIMOTO</t>
  </si>
  <si>
    <t xml:space="preserve">MERCEARIA MH</t>
  </si>
  <si>
    <t xml:space="preserve">EDNA MARIA SAIA RODOLPHO ME</t>
  </si>
  <si>
    <t xml:space="preserve">AGRO VETERINARIA BRASILANDIA</t>
  </si>
  <si>
    <t xml:space="preserve">UZIEL M DE MELO</t>
  </si>
  <si>
    <t xml:space="preserve">PANIF ALVORADA</t>
  </si>
  <si>
    <t xml:space="preserve">CASTANHA E MAGRINI LTDA</t>
  </si>
  <si>
    <t xml:space="preserve">CHUR. E LANCH FARROUPILHA</t>
  </si>
  <si>
    <t xml:space="preserve">JOSE MARTINS FILHO</t>
  </si>
  <si>
    <t xml:space="preserve">ARCO IRIS CHURRASCARIA</t>
  </si>
  <si>
    <t xml:space="preserve">ALVES MOURA E SALES LTDA</t>
  </si>
  <si>
    <t xml:space="preserve">JOAO JULIO DITTMAR</t>
  </si>
  <si>
    <t xml:space="preserve">RIO VERMELHO</t>
  </si>
  <si>
    <t xml:space="preserve">SILVIA SUARES SANTOS</t>
  </si>
  <si>
    <t xml:space="preserve">KEILA SIMONE MARTINS DIAS</t>
  </si>
  <si>
    <t xml:space="preserve">KAMBARU X CONVENIENCIAS</t>
  </si>
  <si>
    <t xml:space="preserve">ANA CLAUDIA LOUREIRO BARBOSA</t>
  </si>
  <si>
    <t xml:space="preserve">REST. E LANCH. CAVOL</t>
  </si>
  <si>
    <t xml:space="preserve">MARCOS BIACCIO COSTA PINTO</t>
  </si>
  <si>
    <t xml:space="preserve">PANIF LISBOA</t>
  </si>
  <si>
    <t xml:space="preserve">NELSON MENDES MERCEARIA</t>
  </si>
  <si>
    <t xml:space="preserve">MERCEARIA EN</t>
  </si>
  <si>
    <t xml:space="preserve">ZAMBONI E UGOLINI LTDA</t>
  </si>
  <si>
    <t xml:space="preserve">LANCHONETE ZAMBONI</t>
  </si>
  <si>
    <t xml:space="preserve">A M B BARUKI</t>
  </si>
  <si>
    <t xml:space="preserve">CENTER COFFE</t>
  </si>
  <si>
    <t xml:space="preserve">MERCEARIA CRUZEIRO LTDA</t>
  </si>
  <si>
    <t xml:space="preserve">SM CARIOCA</t>
  </si>
  <si>
    <t xml:space="preserve">MARILUZ DA SILVA MACHADO</t>
  </si>
  <si>
    <t xml:space="preserve">SM MARIPORA</t>
  </si>
  <si>
    <t xml:space="preserve">VIACAO SAO LUIZ LTDA</t>
  </si>
  <si>
    <t xml:space="preserve">SAO LUIZ</t>
  </si>
  <si>
    <t xml:space="preserve">SUMERA E SANCHES LTDA</t>
  </si>
  <si>
    <t xml:space="preserve">CIRENE QUEIROZ TAIRA</t>
  </si>
  <si>
    <t xml:space="preserve">PANIFICADORA CONFEITARIA CONQUISTA LTDA </t>
  </si>
  <si>
    <t xml:space="preserve">PANIF CONQUISTA</t>
  </si>
  <si>
    <t xml:space="preserve">CERSUL RACOES E CEREAIS LTDA</t>
  </si>
  <si>
    <t xml:space="preserve">CERSUL RACOES E CEREAIS</t>
  </si>
  <si>
    <t xml:space="preserve">BATERAUTO BATERIAS AUTOMOTIVA LTDA</t>
  </si>
  <si>
    <t xml:space="preserve">BATERAUTO</t>
  </si>
  <si>
    <t xml:space="preserve">S PINHEIRO E MENEZES LTDA</t>
  </si>
  <si>
    <t xml:space="preserve">SM PINHEIRO</t>
  </si>
  <si>
    <t xml:space="preserve">JAIRO ROBERTO ROQUE MINA</t>
  </si>
  <si>
    <t xml:space="preserve">MINAS MERCADO</t>
  </si>
  <si>
    <t xml:space="preserve">PAULO FEITOSA DE OLIVEIRA</t>
  </si>
  <si>
    <t xml:space="preserve">MINI MERCADO OLIVEIRA</t>
  </si>
  <si>
    <t xml:space="preserve">PURIMADA PRODUTOS AGROPECUARIOS LTDA</t>
  </si>
  <si>
    <t xml:space="preserve">EDSON JOSE DE ALMEIDA</t>
  </si>
  <si>
    <t xml:space="preserve">SM LIDER</t>
  </si>
  <si>
    <t xml:space="preserve">CUNHA E BORGES LTDA</t>
  </si>
  <si>
    <t xml:space="preserve">VICIO DA GULA</t>
  </si>
  <si>
    <t xml:space="preserve">CAMPOS E FLORIANO LTDA</t>
  </si>
  <si>
    <t xml:space="preserve">REAL DIST.FRUTAS VERDURAS</t>
  </si>
  <si>
    <t xml:space="preserve">JOSE LUIZ DOS SANTOS MERCEARIA</t>
  </si>
  <si>
    <t xml:space="preserve">HELENA DE CASSIA BRASSALOTI</t>
  </si>
  <si>
    <t xml:space="preserve">LUIZ XEROCOPIA</t>
  </si>
  <si>
    <t xml:space="preserve">ELIZABETH TERUYA LEITE</t>
  </si>
  <si>
    <t xml:space="preserve">MERCEARIA TERUYA</t>
  </si>
  <si>
    <t xml:space="preserve">ASSO DE PAIS E MESTRES DO COL MIL DE CG </t>
  </si>
  <si>
    <t xml:space="preserve">COLEGIO MILITAR</t>
  </si>
  <si>
    <t xml:space="preserve">CEART  CENTRO EDUCACIONAL ANTONIO RAPOSO</t>
  </si>
  <si>
    <t xml:space="preserve">CEART</t>
  </si>
  <si>
    <t xml:space="preserve">OVALDETH VIEIRA DE ALMEIDA</t>
  </si>
  <si>
    <t xml:space="preserve">MERCADINHO VERON LTDA</t>
  </si>
  <si>
    <t xml:space="preserve">CASA DE CARNES GOMES SILVA LTDA</t>
  </si>
  <si>
    <t xml:space="preserve">CASA DE CARNE ALAGOAS</t>
  </si>
  <si>
    <t xml:space="preserve">CELSA GONCALVES MARTINES</t>
  </si>
  <si>
    <t xml:space="preserve">MERCEARIA CORUMBA</t>
  </si>
  <si>
    <t xml:space="preserve">MOYSES MELLA ME/MS</t>
  </si>
  <si>
    <t xml:space="preserve">PANIFICADORA TIO MOYSES</t>
  </si>
  <si>
    <t xml:space="preserve">PAULO CESAR ROESE</t>
  </si>
  <si>
    <t xml:space="preserve">PEDAGGIO LANCHES</t>
  </si>
  <si>
    <t xml:space="preserve">MINI MERCADO DALLAS LTDA</t>
  </si>
  <si>
    <t xml:space="preserve">CONVENIENCIA CANTA GALO</t>
  </si>
  <si>
    <t xml:space="preserve">HOTEL RESTAURANTE CONGONHAS LTDA</t>
  </si>
  <si>
    <t xml:space="preserve">HOTEL E REST.CONGANHAS</t>
  </si>
  <si>
    <t xml:space="preserve">MORESCHI COSMETICOS LTDA - ME</t>
  </si>
  <si>
    <t xml:space="preserve">DESTAK COSMETICOS</t>
  </si>
  <si>
    <t xml:space="preserve">TATIANI MOSSINI ROLIM</t>
  </si>
  <si>
    <t xml:space="preserve">MARIA ROSILDA DE FARIAS MORENO</t>
  </si>
  <si>
    <t xml:space="preserve">COMERCIAL FARIAS</t>
  </si>
  <si>
    <t xml:space="preserve">MERCADO DIAS LTDA</t>
  </si>
  <si>
    <t xml:space="preserve">SM DIAS</t>
  </si>
  <si>
    <t xml:space="preserve">SM MODELO</t>
  </si>
  <si>
    <t xml:space="preserve">RAMOS E PAULA LTDA</t>
  </si>
  <si>
    <t xml:space="preserve">PAG POKO</t>
  </si>
  <si>
    <t xml:space="preserve">JUSCELINO FILHO FLAVIO MACEDO</t>
  </si>
  <si>
    <t xml:space="preserve">SM FLAVIO</t>
  </si>
  <si>
    <t xml:space="preserve">JOAO BATISTA NAVA LIMA</t>
  </si>
  <si>
    <t xml:space="preserve">MERCEARIA NAVA LIMA</t>
  </si>
  <si>
    <t xml:space="preserve">GALLERY FASHION ARTIGO DO VESTUARIO LTDA</t>
  </si>
  <si>
    <t xml:space="preserve">LABAMBA BAR E CHOPERIA</t>
  </si>
  <si>
    <t xml:space="preserve">PEREIRA E FRANCA LTDA</t>
  </si>
  <si>
    <t xml:space="preserve">COMERCIAL PRIMAVERA</t>
  </si>
  <si>
    <t xml:space="preserve">JOAO COFFANI</t>
  </si>
  <si>
    <t xml:space="preserve">ADEMIR ANDRE LUPATINI</t>
  </si>
  <si>
    <t xml:space="preserve">CARTER COMERCIO ALIMENTOS BEBIDAS LTDA  </t>
  </si>
  <si>
    <t xml:space="preserve">ARABIAN</t>
  </si>
  <si>
    <t xml:space="preserve">J MOREIRA EMBALAGENS LTDA</t>
  </si>
  <si>
    <t xml:space="preserve">J.MOREIRA</t>
  </si>
  <si>
    <t xml:space="preserve">SANTA IZABEL MEDICAMENTOS LTDA</t>
  </si>
  <si>
    <t xml:space="preserve">DROGARIA ULTRA POPULAR</t>
  </si>
  <si>
    <t xml:space="preserve">APOLINARIO GOMES</t>
  </si>
  <si>
    <t xml:space="preserve">DROGARIA POLIFARMA</t>
  </si>
  <si>
    <t xml:space="preserve">REDE SAO MIGUEL </t>
  </si>
  <si>
    <t xml:space="preserve">SM SAO MIGUEL</t>
  </si>
  <si>
    <t xml:space="preserve">SUPERMERCADO SAO MIGUEL II</t>
  </si>
  <si>
    <t xml:space="preserve">FARMACIA SANTA TEREZINHA LTDA ME</t>
  </si>
  <si>
    <t xml:space="preserve">FARMACIA SANTA TEREZINHA</t>
  </si>
  <si>
    <t xml:space="preserve">DON PAULIGI PIZZARIA E BAR LTDA</t>
  </si>
  <si>
    <t xml:space="preserve">DON PAULIGI PIZZARIA</t>
  </si>
  <si>
    <t xml:space="preserve">MARIA FATIMA DE LIMA EIRELI ME</t>
  </si>
  <si>
    <t xml:space="preserve">SUPERMERCADO EURO</t>
  </si>
  <si>
    <t xml:space="preserve">CLAUDIO DO AMARAL GOES</t>
  </si>
  <si>
    <t xml:space="preserve">COMERCIAL PANTANAL</t>
  </si>
  <si>
    <t xml:space="preserve">VIDRACARIA CRISTAL LTDA</t>
  </si>
  <si>
    <t xml:space="preserve">CRISTAL VIDRIOS</t>
  </si>
  <si>
    <t xml:space="preserve">DANIEL JOSE JOSILCO</t>
  </si>
  <si>
    <t xml:space="preserve">SM AVENIDA</t>
  </si>
  <si>
    <t xml:space="preserve">A SILVA CONCEICAO E CIA LTDA</t>
  </si>
  <si>
    <t xml:space="preserve">AUTO POSTO N SUL CONVENIENCIA</t>
  </si>
  <si>
    <t xml:space="preserve">MERCEARIA JR.</t>
  </si>
  <si>
    <t xml:space="preserve">BARBOSA E NANTES LTDA</t>
  </si>
  <si>
    <t xml:space="preserve">PANIF MONTE LIBANO</t>
  </si>
  <si>
    <t xml:space="preserve">PAULA FRANCINETE RAMALHO BEZERRA EIRELI </t>
  </si>
  <si>
    <t xml:space="preserve">VENEZA PAES E DOCES</t>
  </si>
  <si>
    <t xml:space="preserve">LOURIVAL ASCILDO GUERRA</t>
  </si>
  <si>
    <t xml:space="preserve">SENAV LTDA</t>
  </si>
  <si>
    <t xml:space="preserve">SENAV</t>
  </si>
  <si>
    <t xml:space="preserve">DOLCI MIGUEL DA CUNHA</t>
  </si>
  <si>
    <t xml:space="preserve">MERCEARIA SANTA CLARA</t>
  </si>
  <si>
    <t xml:space="preserve">ANTONIO JOSE DE OLIVEIRA</t>
  </si>
  <si>
    <t xml:space="preserve">CRIADOURO DE PASSAROS SANTA ANNA LTDA</t>
  </si>
  <si>
    <t xml:space="preserve">CRIADOURO DE PASSAROS SANTA ANNA</t>
  </si>
  <si>
    <t xml:space="preserve">FARIAS E VARELA LTDA</t>
  </si>
  <si>
    <t xml:space="preserve">AUTO POSTO CAVILA</t>
  </si>
  <si>
    <t xml:space="preserve">AUTO POSTO MARAMBAIA LTDA</t>
  </si>
  <si>
    <t xml:space="preserve">POSTO MARAMBAIA</t>
  </si>
  <si>
    <t xml:space="preserve">LANCHONETE E RESTAURANTE J T LTDA</t>
  </si>
  <si>
    <t xml:space="preserve">LANCHONETE E RESTAURANTE JT</t>
  </si>
  <si>
    <t xml:space="preserve">ADAO DONIZETE SOCORRO</t>
  </si>
  <si>
    <t xml:space="preserve">MINI MERCADO SANTA ELIZA</t>
  </si>
  <si>
    <t xml:space="preserve">ODILON DA SILVA ME</t>
  </si>
  <si>
    <t xml:space="preserve">REST COMIDA CASEIRA CRUZ SUL</t>
  </si>
  <si>
    <t xml:space="preserve">JACINTO DOS SANTOS ALMEIDA</t>
  </si>
  <si>
    <t xml:space="preserve">AGROTAJU PRODUTOS AGROPECUARIOS LTDA</t>
  </si>
  <si>
    <t xml:space="preserve">REDE AGRO TOURO </t>
  </si>
  <si>
    <t xml:space="preserve">AGRO TOURO</t>
  </si>
  <si>
    <t xml:space="preserve">AGROTOURO</t>
  </si>
  <si>
    <t xml:space="preserve">AGROTAJU PRODUTOS AGROPECUARIOS LTDA EPP</t>
  </si>
  <si>
    <t xml:space="preserve">AGROTAJU</t>
  </si>
  <si>
    <t xml:space="preserve">CAFE E PAO PANIFICADORA LTDA</t>
  </si>
  <si>
    <t xml:space="preserve">CAFE &amp; PAO PANIF</t>
  </si>
  <si>
    <t xml:space="preserve">NELSON ANTUNES DA LUZ</t>
  </si>
  <si>
    <t xml:space="preserve">PADARIA ANTUNES</t>
  </si>
  <si>
    <t xml:space="preserve">RESTAURANTE MORENA LTDA</t>
  </si>
  <si>
    <t xml:space="preserve">MORENA CONVENIENCIAS</t>
  </si>
  <si>
    <t xml:space="preserve">MARILZA FARIAS FRORES  MEI</t>
  </si>
  <si>
    <t xml:space="preserve">MERCADO VILA NOVA</t>
  </si>
  <si>
    <t xml:space="preserve">IDERALDO LUIZ MARTINS</t>
  </si>
  <si>
    <t xml:space="preserve">DEDE FESTAS</t>
  </si>
  <si>
    <t xml:space="preserve">NILTON BRAZ GIRALDELLI</t>
  </si>
  <si>
    <t xml:space="preserve">AUTO POSTO GIRALDELLI</t>
  </si>
  <si>
    <t xml:space="preserve">CASTELLO SABOR CAFETERIA LTDA</t>
  </si>
  <si>
    <t xml:space="preserve">CASTELLO DO SABOR</t>
  </si>
  <si>
    <t xml:space="preserve">COMERCIO DE CARNES WM LTDA</t>
  </si>
  <si>
    <t xml:space="preserve">COMERCIO DE CARNE WM</t>
  </si>
  <si>
    <t xml:space="preserve">ACOUGUE E MERCEARIA LOPES LTDA</t>
  </si>
  <si>
    <t xml:space="preserve">ACOUGUE E MERCEARIA LOPES</t>
  </si>
  <si>
    <t xml:space="preserve">NAZARETH LUCIA DE JESUS DA SILVA</t>
  </si>
  <si>
    <t xml:space="preserve">JAIME CASARI E CIA LTDA</t>
  </si>
  <si>
    <t xml:space="preserve">SM CATARINENSE</t>
  </si>
  <si>
    <t xml:space="preserve">JULIO XIMENEZ</t>
  </si>
  <si>
    <t xml:space="preserve">MERCEARIA JULIANE</t>
  </si>
  <si>
    <t xml:space="preserve">CENTRAL VITORIA DE ALIMENTOS LTDA</t>
  </si>
  <si>
    <t xml:space="preserve">SM CENTRAL</t>
  </si>
  <si>
    <t xml:space="preserve">ANTONIO RODRIGUES DE OLIVEIRA</t>
  </si>
  <si>
    <t xml:space="preserve">SANTOS NEVES E CIA LTDA</t>
  </si>
  <si>
    <t xml:space="preserve">SM ECONOMICO</t>
  </si>
  <si>
    <t xml:space="preserve">IRONETE MARIA KLEINUBING</t>
  </si>
  <si>
    <t xml:space="preserve">MERCADO PAMPA</t>
  </si>
  <si>
    <t xml:space="preserve">FABIANA FERRAZZA</t>
  </si>
  <si>
    <t xml:space="preserve">FARMACIA UNIVERSAL</t>
  </si>
  <si>
    <t xml:space="preserve">DARTE FERRACIOLLI FERRICHE</t>
  </si>
  <si>
    <t xml:space="preserve">DARTE FERRACIOLI FERRICHE ME</t>
  </si>
  <si>
    <t xml:space="preserve">BICHOS MANIAS</t>
  </si>
  <si>
    <t xml:space="preserve">SONIA CRISTINA OLIVEIRA TELES</t>
  </si>
  <si>
    <t xml:space="preserve">SM TELLES I</t>
  </si>
  <si>
    <t xml:space="preserve">LORACI TERESA SOUZA</t>
  </si>
  <si>
    <t xml:space="preserve">O VERDURAO</t>
  </si>
  <si>
    <t xml:space="preserve">ALTIVA COSTA BRUM</t>
  </si>
  <si>
    <t xml:space="preserve">CAFE COM ARONA</t>
  </si>
  <si>
    <t xml:space="preserve">MAKINO E MAKINO LTDA</t>
  </si>
  <si>
    <t xml:space="preserve">SM MAKINO</t>
  </si>
  <si>
    <t xml:space="preserve">PIMENTA COMERCIO DE ALIMENTOS LTDA</t>
  </si>
  <si>
    <t xml:space="preserve">VALMIR DERKOSKI</t>
  </si>
  <si>
    <t xml:space="preserve">SM CHOPINZINHO</t>
  </si>
  <si>
    <t xml:space="preserve">ACOUGUE E MINI MERCADO IMPERIAL LTDA</t>
  </si>
  <si>
    <t xml:space="preserve">DROGALAB COMERCIO DE MEDICAMENT LTDA ME </t>
  </si>
  <si>
    <t xml:space="preserve">DROGALAB</t>
  </si>
  <si>
    <t xml:space="preserve">REGINALDO SATURNINO DA SILVA</t>
  </si>
  <si>
    <t xml:space="preserve">AUTO POSTO SIRIUS LTDA</t>
  </si>
  <si>
    <t xml:space="preserve">DAVI LESCANO CACHO</t>
  </si>
  <si>
    <t xml:space="preserve">CORDIL ROUXINOIS</t>
  </si>
  <si>
    <t xml:space="preserve">MARIO SCHIAVINI</t>
  </si>
  <si>
    <t xml:space="preserve">SUPERMERCADO SCHIAVINI</t>
  </si>
  <si>
    <t xml:space="preserve">JOSE DELSON DIAS BATISTA</t>
  </si>
  <si>
    <t xml:space="preserve">BEBIDAS FAVO DE MEL</t>
  </si>
  <si>
    <t xml:space="preserve">PANIFICADORA PAO BOM LTDA</t>
  </si>
  <si>
    <t xml:space="preserve">PANIF PAO BOM</t>
  </si>
  <si>
    <t xml:space="preserve">CLAREAR COM DE MATERIAIS DE LIMPEZA LTDA</t>
  </si>
  <si>
    <t xml:space="preserve">CLAREAR</t>
  </si>
  <si>
    <t xml:space="preserve">KANCUM CONSUT E FIN, CRED E COB  S/S LTD</t>
  </si>
  <si>
    <t xml:space="preserve">KANCUM</t>
  </si>
  <si>
    <t xml:space="preserve">V M OLIVEIRA CELERI EIRELI</t>
  </si>
  <si>
    <t xml:space="preserve">REDE NUTRISUL </t>
  </si>
  <si>
    <t xml:space="preserve">CASA DE RACOES NUTRISUL</t>
  </si>
  <si>
    <t xml:space="preserve">VANILDA SILVA DE OLIVEIRA</t>
  </si>
  <si>
    <t xml:space="preserve">MERCADO MV</t>
  </si>
  <si>
    <t xml:space="preserve">JOAO CARLOS PARISE</t>
  </si>
  <si>
    <t xml:space="preserve">PADARIA E LANCH RUI BARBOSA</t>
  </si>
  <si>
    <t xml:space="preserve">AUTO POSTO SANTA TEREZINHA LTDA</t>
  </si>
  <si>
    <t xml:space="preserve">AUTO POSTO STA TEREZINHA</t>
  </si>
  <si>
    <t xml:space="preserve">ELENIR RODRIGUES MARQUES MERCEARIA</t>
  </si>
  <si>
    <t xml:space="preserve">DORACILDA MOREIRA DA SILVA DE OLIVEIRA  </t>
  </si>
  <si>
    <t xml:space="preserve">MERCADINHO UNIAO</t>
  </si>
  <si>
    <t xml:space="preserve">OSWALDO ABRAO DIAS E CIA LTDA</t>
  </si>
  <si>
    <t xml:space="preserve">PASTELARIA MINEIRA</t>
  </si>
  <si>
    <t xml:space="preserve">DIVA MAZUI MAIDANA</t>
  </si>
  <si>
    <t xml:space="preserve">MERCADO PONTUAL</t>
  </si>
  <si>
    <t xml:space="preserve">MACEDO E MELO LTDA</t>
  </si>
  <si>
    <t xml:space="preserve">PANIF NOSSA SENHORA</t>
  </si>
  <si>
    <t xml:space="preserve">ROGERIO VIEIRA CARVALHO</t>
  </si>
  <si>
    <t xml:space="preserve">MERCADO E PANIFICADORA CENTRAL</t>
  </si>
  <si>
    <t xml:space="preserve">ZOOMANIA LIG CAO COM RAC LTDA</t>
  </si>
  <si>
    <t xml:space="preserve">ZOOMANIA</t>
  </si>
  <si>
    <t xml:space="preserve">VALMIR STRADA</t>
  </si>
  <si>
    <t xml:space="preserve">AGROPAMPA COMERCIO E REPRESENTACOES LTDA</t>
  </si>
  <si>
    <t xml:space="preserve">SHOPPING RURAL</t>
  </si>
  <si>
    <t xml:space="preserve">GENESIO BUENO DOS SANTOS</t>
  </si>
  <si>
    <t xml:space="preserve">ACOUGUEE MERC NSRA APARECIDA</t>
  </si>
  <si>
    <t xml:space="preserve">VALDIR FERREIRA ROSA</t>
  </si>
  <si>
    <t xml:space="preserve">HOTEIS W DIAS LTDA</t>
  </si>
  <si>
    <t xml:space="preserve">INDAIA PARK HOTEL</t>
  </si>
  <si>
    <t xml:space="preserve">CLAUDECI PIRES DE OLIVEIRA</t>
  </si>
  <si>
    <t xml:space="preserve">APOLINO FERREIRA AMARANTE</t>
  </si>
  <si>
    <t xml:space="preserve">MERCADO BLUMENAL</t>
  </si>
  <si>
    <t xml:space="preserve">DARIO JORGE COSTA MARQUES</t>
  </si>
  <si>
    <t xml:space="preserve">REST E CHUR BARRIL DORO</t>
  </si>
  <si>
    <t xml:space="preserve">JOSE QUEIROZ DUTRA ME</t>
  </si>
  <si>
    <t xml:space="preserve">DROGARIA TAMANDARE LTDA</t>
  </si>
  <si>
    <t xml:space="preserve">DROGARIA TAMANDARE</t>
  </si>
  <si>
    <t xml:space="preserve">AZEVEDO E MESSA LTDA</t>
  </si>
  <si>
    <t xml:space="preserve">CELSON RIBEIRO DA SILVA</t>
  </si>
  <si>
    <t xml:space="preserve">MERCEARIA RUI BARBOSA</t>
  </si>
  <si>
    <t xml:space="preserve">DEOCLIDES JOSE JOAQUIM</t>
  </si>
  <si>
    <t xml:space="preserve">COMERCIAL SAO JOAQUIM</t>
  </si>
  <si>
    <t xml:space="preserve">ROMILDA SALAI BOTTA</t>
  </si>
  <si>
    <t xml:space="preserve">EVER XIMENES CASTELLON</t>
  </si>
  <si>
    <t xml:space="preserve">DISTRIBUIDORA E EXPORTADORA HALLEY LTDA </t>
  </si>
  <si>
    <t xml:space="preserve">SM SOL DE VERANO</t>
  </si>
  <si>
    <t xml:space="preserve">ROBERTO DA SILVA MARQUES</t>
  </si>
  <si>
    <t xml:space="preserve">CASA DE CARNE MINEIRO</t>
  </si>
  <si>
    <t xml:space="preserve">DIANA JACINTO DE ARAUJO</t>
  </si>
  <si>
    <t xml:space="preserve">MERCEARIA JUPIA</t>
  </si>
  <si>
    <t xml:space="preserve">ANA TEIXEIRA GARRIGO</t>
  </si>
  <si>
    <t xml:space="preserve">MERCEARIA GARRIGO</t>
  </si>
  <si>
    <t xml:space="preserve">KARLA MARIA RODRIGUES GUIMARAES</t>
  </si>
  <si>
    <t xml:space="preserve">PANIFICADORA MULTI PAES</t>
  </si>
  <si>
    <t xml:space="preserve">C J DE OLIVEIRA PINHEIRO</t>
  </si>
  <si>
    <t xml:space="preserve">PANIF TARUNA</t>
  </si>
  <si>
    <t xml:space="preserve">ANANIAS DA SILVA SOBRINHO</t>
  </si>
  <si>
    <t xml:space="preserve">BIBI ISCA VIVA</t>
  </si>
  <si>
    <t xml:space="preserve">POSTO DE SERVICO LAGO DA MARCELINO LTDA </t>
  </si>
  <si>
    <t xml:space="preserve">POSTO DO LAGO</t>
  </si>
  <si>
    <t xml:space="preserve">MOISES ANTONIO LUCHETTA - ME</t>
  </si>
  <si>
    <t xml:space="preserve">FUNERARIA TRES LAGOAS</t>
  </si>
  <si>
    <t xml:space="preserve">VANDA LUCIA SANTOS DE SOUZA</t>
  </si>
  <si>
    <t xml:space="preserve">AYRES SOARES MARTINS</t>
  </si>
  <si>
    <t xml:space="preserve">ACUOGUE E MERC NSRA APARECIDA</t>
  </si>
  <si>
    <t xml:space="preserve">APARECIDO FRANCISCO DE OLIVEIRA FILHO</t>
  </si>
  <si>
    <t xml:space="preserve">AUTO ELETRICA ESTRELA</t>
  </si>
  <si>
    <t xml:space="preserve">CEMITERIO JARDIM DAS PALMEIRAS LTDA</t>
  </si>
  <si>
    <t xml:space="preserve">MERCADO BENTO'S LTDA</t>
  </si>
  <si>
    <t xml:space="preserve">SUPERMERCADO SAO BENTO</t>
  </si>
  <si>
    <t xml:space="preserve">COMERCIAL VEG DE ALIMENTOS LTDA</t>
  </si>
  <si>
    <t xml:space="preserve">CAFE DO PONTO</t>
  </si>
  <si>
    <t xml:space="preserve">CAFE DO PONTO - HIPER COMPER</t>
  </si>
  <si>
    <t xml:space="preserve">SUPERMERCADO PRINCESA 5</t>
  </si>
  <si>
    <t xml:space="preserve">APARECIDA PEREIRA BASSO LIMA</t>
  </si>
  <si>
    <t xml:space="preserve">KALINY COSMETICOS</t>
  </si>
  <si>
    <t xml:space="preserve">EDINA MARIA SIMEAO</t>
  </si>
  <si>
    <t xml:space="preserve">S J COMERCIAL LTDA</t>
  </si>
  <si>
    <t xml:space="preserve">LUZIA REZENDE DIAS</t>
  </si>
  <si>
    <t xml:space="preserve">CORDIL MATA DO JACINTO</t>
  </si>
  <si>
    <t xml:space="preserve">GIULIENE CARVALHO TORQUATO P  DA SILVA  </t>
  </si>
  <si>
    <t xml:space="preserve">LUCIA STRAPASON</t>
  </si>
  <si>
    <t xml:space="preserve">PANIF RHARUS</t>
  </si>
  <si>
    <t xml:space="preserve">HOTEL PARAISO AGUAS LTDA</t>
  </si>
  <si>
    <t xml:space="preserve">HOTEL PARAISO DAS AGUAS</t>
  </si>
  <si>
    <t xml:space="preserve">UNITED CINEMAS INTERNATIONAL BRASIL LTDA</t>
  </si>
  <si>
    <t xml:space="preserve">UNITED CINEMAS INTERNATIONAL BRASIL</t>
  </si>
  <si>
    <t xml:space="preserve">SILVIO CESAR DE OLIVEIRA</t>
  </si>
  <si>
    <t xml:space="preserve">ACOUGUE SANTA PURA</t>
  </si>
  <si>
    <t xml:space="preserve">IGREJA BATISTA LIRIO DOS VALES</t>
  </si>
  <si>
    <t xml:space="preserve">KASSAB E PACHECO LTDA</t>
  </si>
  <si>
    <t xml:space="preserve">MATRIZ LOCACOES DE FITAS P VIDEO LTDA</t>
  </si>
  <si>
    <t xml:space="preserve">AUTO POSTO OURO BRANCO LTDA</t>
  </si>
  <si>
    <t xml:space="preserve">ELIANA CERES PEREIRA</t>
  </si>
  <si>
    <t xml:space="preserve">24 HS ISCAS VIVAS E PEIXARIA</t>
  </si>
  <si>
    <t xml:space="preserve">FERNANDO JOSE FIALHO</t>
  </si>
  <si>
    <t xml:space="preserve">OASIS LAMCHONETE</t>
  </si>
  <si>
    <t xml:space="preserve">CEZAR DE L GOMEZ E CIA LTDA</t>
  </si>
  <si>
    <t xml:space="preserve">FARMADROGA</t>
  </si>
  <si>
    <t xml:space="preserve">JOAO B DOS SANTOS MERCEARIA</t>
  </si>
  <si>
    <t xml:space="preserve">J B MERCEARIA</t>
  </si>
  <si>
    <t xml:space="preserve">SIRLEY DOS SANTOS GONCALVES NETTO</t>
  </si>
  <si>
    <t xml:space="preserve">CASA LLIS</t>
  </si>
  <si>
    <t xml:space="preserve">CLIN OFF DO BRASIL LTDA</t>
  </si>
  <si>
    <t xml:space="preserve">OLIVEIRA</t>
  </si>
  <si>
    <t xml:space="preserve">CLIN OFF</t>
  </si>
  <si>
    <t xml:space="preserve">SILVIO RODRIGUES RIBEIRO</t>
  </si>
  <si>
    <t xml:space="preserve">CHURRASCARIA E COSTELARIA CAPITAL</t>
  </si>
  <si>
    <t xml:space="preserve">IRACILDO MACIEL JUNIOR</t>
  </si>
  <si>
    <t xml:space="preserve">PANIF MACIEL</t>
  </si>
  <si>
    <t xml:space="preserve">CORDOBA E CARAMALAC PADARIA E CONFEIT</t>
  </si>
  <si>
    <t xml:space="preserve">PERFIL COSMETICOS LTDA</t>
  </si>
  <si>
    <t xml:space="preserve">PERFIL COSMETICOS</t>
  </si>
  <si>
    <t xml:space="preserve">VALTER DIAS DE SOUZA</t>
  </si>
  <si>
    <t xml:space="preserve">ANTONIO ALDECIR DE OLIVEIRA</t>
  </si>
  <si>
    <t xml:space="preserve">PANIF E CONF OLIVEIRA</t>
  </si>
  <si>
    <t xml:space="preserve">AUTO POSTO SHIMA LTDA</t>
  </si>
  <si>
    <t xml:space="preserve">AUTO POSTO SHIMA</t>
  </si>
  <si>
    <t xml:space="preserve">REGINALDO JOSE ROCHA DO NASCIMENTO</t>
  </si>
  <si>
    <t xml:space="preserve">PANIFICADORA ESKLA EIRELI</t>
  </si>
  <si>
    <t xml:space="preserve">SUPERMERCADO RONDOM</t>
  </si>
  <si>
    <t xml:space="preserve">PANIFICADORA ESKALA LTDA</t>
  </si>
  <si>
    <t xml:space="preserve">PANIFICADORA E CASA DE CARNE RONDON</t>
  </si>
  <si>
    <t xml:space="preserve">AUTO POSTO MILENIO LTDA</t>
  </si>
  <si>
    <t xml:space="preserve">ANDREA PAULA SZABLEWISKI</t>
  </si>
  <si>
    <t xml:space="preserve">PAO PAO</t>
  </si>
  <si>
    <t xml:space="preserve">BIG MART CENTRO DE COMPRAS LTDA</t>
  </si>
  <si>
    <t xml:space="preserve">SUPERMERCADO BIG MART</t>
  </si>
  <si>
    <t xml:space="preserve">NUTRI PET COM E REPRESENTACOES LTDA</t>
  </si>
  <si>
    <t xml:space="preserve">DISK DOG</t>
  </si>
  <si>
    <t xml:space="preserve">SUPERMERCADO RASTELAO LTDA</t>
  </si>
  <si>
    <t xml:space="preserve">SUPERMERCADO RASTELAO</t>
  </si>
  <si>
    <t xml:space="preserve">MARCON CERVIERI E CIA LTDA</t>
  </si>
  <si>
    <t xml:space="preserve">FARMACIA SAO PEDRO</t>
  </si>
  <si>
    <t xml:space="preserve">LUCIRENI CLISMERIO ALVES</t>
  </si>
  <si>
    <t xml:space="preserve">IVAIR ZANOLLA</t>
  </si>
  <si>
    <t xml:space="preserve">LANCHONETE E CHUR.DOIS GAUCHOS</t>
  </si>
  <si>
    <t xml:space="preserve">APARECIDA NOGUEIRA DAMASCENO</t>
  </si>
  <si>
    <t xml:space="preserve">COMERCIAL PONTINHA DO PE</t>
  </si>
  <si>
    <t xml:space="preserve">ELIANE DUARTE DA SILVA</t>
  </si>
  <si>
    <t xml:space="preserve">PADARIA DUARTE</t>
  </si>
  <si>
    <t xml:space="preserve">HOTEL E CHURRASCARIA QUERENCIA LTDA</t>
  </si>
  <si>
    <t xml:space="preserve">CHURRASCARIA QUERENCIA</t>
  </si>
  <si>
    <t xml:space="preserve">AUTO POSTO E RESTAURANTE KM 36 LTDA</t>
  </si>
  <si>
    <t xml:space="preserve">POSTO DAS MURANGAS</t>
  </si>
  <si>
    <t xml:space="preserve">NERY E FALBOT LTDA</t>
  </si>
  <si>
    <t xml:space="preserve">AUTO POSTO JUSSARA</t>
  </si>
  <si>
    <t xml:space="preserve">QUEENS COSMETICOS E PERFUMARIAS LTDA</t>
  </si>
  <si>
    <t xml:space="preserve">QUEE'S COSMETICOS</t>
  </si>
  <si>
    <t xml:space="preserve">MACHADO E GARCIA LTDA</t>
  </si>
  <si>
    <t xml:space="preserve">DANILO GONCALVES</t>
  </si>
  <si>
    <t xml:space="preserve">MERCEARIA MAX</t>
  </si>
  <si>
    <t xml:space="preserve">SERGIO RUFINO VIEIRA BARBOSA</t>
  </si>
  <si>
    <t xml:space="preserve">MERCADO CAMILA</t>
  </si>
  <si>
    <t xml:space="preserve">SANDRA MARA MARTINS LTDA</t>
  </si>
  <si>
    <t xml:space="preserve">AGROPECUARIA PO</t>
  </si>
  <si>
    <t xml:space="preserve">SUPERMERCADO BARBOSA LTDA</t>
  </si>
  <si>
    <t xml:space="preserve">SM BARBOSA</t>
  </si>
  <si>
    <t xml:space="preserve">HOTEL SAN REMO LTDA ME</t>
  </si>
  <si>
    <t xml:space="preserve">SAN REMO HOTEL</t>
  </si>
  <si>
    <t xml:space="preserve">ELIETE BATISTA DOS SANTOS</t>
  </si>
  <si>
    <t xml:space="preserve">E B S OLIVEIRA</t>
  </si>
  <si>
    <t xml:space="preserve">DROGARIA NOVA VIDA</t>
  </si>
  <si>
    <t xml:space="preserve">SIVALDO BRONZIM</t>
  </si>
  <si>
    <t xml:space="preserve">COMERCIAL JUNIOR</t>
  </si>
  <si>
    <t xml:space="preserve">JOSE APDO OLIVEIRA REPRESENTACAOES</t>
  </si>
  <si>
    <t xml:space="preserve">EMPORIO SAO MATEUS</t>
  </si>
  <si>
    <t xml:space="preserve">ERNESTINA DA SILVA RIBEIRO</t>
  </si>
  <si>
    <t xml:space="preserve">MERCEARIA PANORAMA</t>
  </si>
  <si>
    <t xml:space="preserve">PEIXARIA MS LTDA EPP</t>
  </si>
  <si>
    <t xml:space="preserve">PEIXARIA MS</t>
  </si>
  <si>
    <t xml:space="preserve">VISANI LANCHONETE LTDA</t>
  </si>
  <si>
    <t xml:space="preserve">LANCH.E REST.NOVO MATO GROSSO</t>
  </si>
  <si>
    <t xml:space="preserve">REST NOVO MATO GROSSO</t>
  </si>
  <si>
    <t xml:space="preserve">M C DE OLIVEIRA</t>
  </si>
  <si>
    <t xml:space="preserve">SM PIRES</t>
  </si>
  <si>
    <t xml:space="preserve">MARIA DE FATIMA PAULA SILVA CELARO</t>
  </si>
  <si>
    <t xml:space="preserve">SM JUMBO</t>
  </si>
  <si>
    <t xml:space="preserve">ROSIVALDO PEDRO DE MIRANDA</t>
  </si>
  <si>
    <t xml:space="preserve">CEREALISTA PANTANEIRA</t>
  </si>
  <si>
    <t xml:space="preserve">ANTONIO HORACIO ALVES DE AZAMBUJA</t>
  </si>
  <si>
    <t xml:space="preserve">LINGUICA DE MARACAJU</t>
  </si>
  <si>
    <t xml:space="preserve">JOAO CARLOS SOARES BATISTA ME</t>
  </si>
  <si>
    <t xml:space="preserve">TEXAS CLUB EVENTOS</t>
  </si>
  <si>
    <t xml:space="preserve">VESPASIANO L DA SILVA E CIA LTDA EPP</t>
  </si>
  <si>
    <t xml:space="preserve">DROGARIA SERVFARMA</t>
  </si>
  <si>
    <t xml:space="preserve">LIDROC COMERCIO PROD ALIMENTICIOS LTDA  </t>
  </si>
  <si>
    <t xml:space="preserve">COMITIVA DA CARNE</t>
  </si>
  <si>
    <t xml:space="preserve">JOSE ORLANDO COSTA DE SOUZA</t>
  </si>
  <si>
    <t xml:space="preserve">SM COSTA SOUZA</t>
  </si>
  <si>
    <t xml:space="preserve">CHURRASCARIA PIZZARIA BEZERRO OURO LTDA </t>
  </si>
  <si>
    <t xml:space="preserve">CHURRASCARIA BEZERRO DE OURO</t>
  </si>
  <si>
    <t xml:space="preserve">MAURILIO ANTONIO BRUSAMARELLO</t>
  </si>
  <si>
    <t xml:space="preserve">ADEGA DE VINHOS</t>
  </si>
  <si>
    <t xml:space="preserve">MARIA LINDALVA DE MOURA MATOS</t>
  </si>
  <si>
    <t xml:space="preserve">COMERCIAL SOTAM</t>
  </si>
  <si>
    <t xml:space="preserve">COMERCIAL DE ALIMENTOS RECHE LTDA</t>
  </si>
  <si>
    <t xml:space="preserve">SM BOM GOSTO</t>
  </si>
  <si>
    <t xml:space="preserve">SUPERMERCADO NANDAS LTDA</t>
  </si>
  <si>
    <t xml:space="preserve">REDEMS NANDAS </t>
  </si>
  <si>
    <t xml:space="preserve">SM NANDAS</t>
  </si>
  <si>
    <t xml:space="preserve">MARIA CONCEICAO DE AMORIM</t>
  </si>
  <si>
    <t xml:space="preserve">PANIFICADORA PAO MORENO</t>
  </si>
  <si>
    <t xml:space="preserve">JOAO BATISTA OLIVEIRA LOPES</t>
  </si>
  <si>
    <t xml:space="preserve">COMERCIAL OLIVEIRA</t>
  </si>
  <si>
    <t xml:space="preserve">MARIA JOSE VASQUES</t>
  </si>
  <si>
    <t xml:space="preserve">MERCADO MANA</t>
  </si>
  <si>
    <t xml:space="preserve">TEREZINHA FILIPINI MARTINS</t>
  </si>
  <si>
    <t xml:space="preserve">L R PEREIRA SILVA JUNIOR</t>
  </si>
  <si>
    <t xml:space="preserve">ALVES E VIEGAS LTDA</t>
  </si>
  <si>
    <t xml:space="preserve">BAR LANCHONETE SKINAO</t>
  </si>
  <si>
    <t xml:space="preserve">HOTEL POUSADA BONSAI LTDA EPP</t>
  </si>
  <si>
    <t xml:space="preserve">HOTEL BONSAI</t>
  </si>
  <si>
    <t xml:space="preserve">JOSE PEDRO OLIVEIRA MERCADO</t>
  </si>
  <si>
    <t xml:space="preserve">MERCADO SANTANA</t>
  </si>
  <si>
    <t xml:space="preserve">HERMES CACERES</t>
  </si>
  <si>
    <t xml:space="preserve">MERCEARIA VENCEDORA</t>
  </si>
  <si>
    <t xml:space="preserve">ROSINHA VIEIRA DE LIMA</t>
  </si>
  <si>
    <t xml:space="preserve">M E M COMERCIO PROD VETERINARIOS LTDA</t>
  </si>
  <si>
    <t xml:space="preserve">CASA RURAL</t>
  </si>
  <si>
    <t xml:space="preserve">CASA DE CARNE GUZERA</t>
  </si>
  <si>
    <t xml:space="preserve">CASA DE CARNE BEZERRA</t>
  </si>
  <si>
    <t xml:space="preserve">M DE AGUIAR SILVA</t>
  </si>
  <si>
    <t xml:space="preserve">MERCEARIA TREZE</t>
  </si>
  <si>
    <t xml:space="preserve">MERCADO DUMA LTDA</t>
  </si>
  <si>
    <t xml:space="preserve">MERCADO DUMA</t>
  </si>
  <si>
    <t xml:space="preserve">SEBASTIAO SILVA DE ARAUJO</t>
  </si>
  <si>
    <t xml:space="preserve">MERCADO FLOR DA TERRA</t>
  </si>
  <si>
    <t xml:space="preserve">ALMIRA LIMA CARVALHO MACEDO ME/MS</t>
  </si>
  <si>
    <t xml:space="preserve">NINI MERCADO BOTAFOGO</t>
  </si>
  <si>
    <t xml:space="preserve">SUPERMERCADOS CARREIRO LTDA</t>
  </si>
  <si>
    <t xml:space="preserve">SM CARREIRO</t>
  </si>
  <si>
    <t xml:space="preserve">BIG</t>
  </si>
  <si>
    <t xml:space="preserve">LUCIA BENEDITO</t>
  </si>
  <si>
    <t xml:space="preserve">PLAZA SUPERMERCADO</t>
  </si>
  <si>
    <t xml:space="preserve">BURGEDURF COM DE PROD ALIMENTICIOS LTDA </t>
  </si>
  <si>
    <t xml:space="preserve">ARMAZEM DO TONHAO</t>
  </si>
  <si>
    <t xml:space="preserve">M D FERREIRA LOPES</t>
  </si>
  <si>
    <t xml:space="preserve">COMERCIAL SANTA MARIA</t>
  </si>
  <si>
    <t xml:space="preserve">ARCELINA ALVARENGA NUNES</t>
  </si>
  <si>
    <t xml:space="preserve">MERCEARIA ALVARENGA</t>
  </si>
  <si>
    <t xml:space="preserve">SAO LUCAS COM GENEROS ALIMENTICIOS LTDA </t>
  </si>
  <si>
    <t xml:space="preserve">COMERCIAL SAO LUCAS</t>
  </si>
  <si>
    <t xml:space="preserve">SUPERMERCADO MALENA LTDA</t>
  </si>
  <si>
    <t xml:space="preserve">SM MALENA</t>
  </si>
  <si>
    <t xml:space="preserve">NORBERTO DE OLIVEIRA CAVALHEIRO NETO</t>
  </si>
  <si>
    <t xml:space="preserve">BAR E DIST DE BEBIDAS OLIVEIRA</t>
  </si>
  <si>
    <t xml:space="preserve">ACARAY DIAS COELHO</t>
  </si>
  <si>
    <t xml:space="preserve">PANF ESDRAS</t>
  </si>
  <si>
    <t xml:space="preserve">LIDIA ALMEIDA DA SILVA</t>
  </si>
  <si>
    <t xml:space="preserve">PADARIA NOSSO PAO</t>
  </si>
  <si>
    <t xml:space="preserve">RODOMINAS ENCOMENDAS LTDA</t>
  </si>
  <si>
    <t xml:space="preserve">RODOMINAS</t>
  </si>
  <si>
    <t xml:space="preserve">ROSA REISDORFER</t>
  </si>
  <si>
    <t xml:space="preserve">ROSA COSMETICOS</t>
  </si>
  <si>
    <t xml:space="preserve">LIBERATO PORTES DE BAIRROS</t>
  </si>
  <si>
    <t xml:space="preserve">HOUSE BEER</t>
  </si>
  <si>
    <t xml:space="preserve">JOSE HENRIQUE OUTEIRO PINTO E CIA LTDA  </t>
  </si>
  <si>
    <t xml:space="preserve">PAN E ACOG NSA SRA APARECIDA</t>
  </si>
  <si>
    <t xml:space="preserve">TRICHES E ARALDI LTDA</t>
  </si>
  <si>
    <t xml:space="preserve">CASA DE CARNE SANTO ANTONIO]</t>
  </si>
  <si>
    <t xml:space="preserve">ILMA GIRONDE DE OLIVEIRA ME/MS</t>
  </si>
  <si>
    <t xml:space="preserve">J B DIAS E CIA LTDA</t>
  </si>
  <si>
    <t xml:space="preserve">EUFLAZINA DE SOUZA AFONSO</t>
  </si>
  <si>
    <t xml:space="preserve">MERCADO R S</t>
  </si>
  <si>
    <t xml:space="preserve">CLAUDIO ANTONIO ROCHA</t>
  </si>
  <si>
    <t xml:space="preserve">PANIF PROGRESSO</t>
  </si>
  <si>
    <t xml:space="preserve">ANTONIO CARLOS R DE OLIVEIRA</t>
  </si>
  <si>
    <t xml:space="preserve">BUFFE REST LANCH DO CARLINHOS</t>
  </si>
  <si>
    <t xml:space="preserve">ROBERTO MONTEIRO FILHO</t>
  </si>
  <si>
    <t xml:space="preserve">PANIF PAO E CIA</t>
  </si>
  <si>
    <t xml:space="preserve">AUTO POSTO QUERENCIA LTDA</t>
  </si>
  <si>
    <t xml:space="preserve">AUTO POSTO SAO JORGE</t>
  </si>
  <si>
    <t xml:space="preserve">GUSSON &amp; PECCINI LTDA ME</t>
  </si>
  <si>
    <t xml:space="preserve">POUSADA FAZ MINOSO</t>
  </si>
  <si>
    <t xml:space="preserve">ULISSES ASSIS DOS SANTOS</t>
  </si>
  <si>
    <t xml:space="preserve">PANF BIF PAO</t>
  </si>
  <si>
    <t xml:space="preserve">GENERAL BRANDS LTDA</t>
  </si>
  <si>
    <t xml:space="preserve">GUARULHOS</t>
  </si>
  <si>
    <t xml:space="preserve">WALTER DIAS GRANJA</t>
  </si>
  <si>
    <t xml:space="preserve">EMPORIO</t>
  </si>
  <si>
    <t xml:space="preserve">JOSE VICENTE DIONIZIO</t>
  </si>
  <si>
    <t xml:space="preserve">FARMACIA CENTRAL</t>
  </si>
  <si>
    <t xml:space="preserve">REFLORESTADORA DOURADENSE LTDA</t>
  </si>
  <si>
    <t xml:space="preserve">REFLORESTADORA DOURADENSE</t>
  </si>
  <si>
    <t xml:space="preserve">BORTOLIM COMERCIO DE ALIMENTOS LTDA</t>
  </si>
  <si>
    <t xml:space="preserve">SM MARTINS</t>
  </si>
  <si>
    <t xml:space="preserve">BORTOLIM COMERCIO DE ALIMENTOS LTDA ME  </t>
  </si>
  <si>
    <t xml:space="preserve">SUPERMERCADO MARTINS</t>
  </si>
  <si>
    <t xml:space="preserve">NASCIMENTO E LOPES LTDA</t>
  </si>
  <si>
    <t xml:space="preserve">FENIX COSMETICOS</t>
  </si>
  <si>
    <t xml:space="preserve">JOAO G DA SILVA</t>
  </si>
  <si>
    <t xml:space="preserve">BAR E MERCEARIA MONTOSE</t>
  </si>
  <si>
    <t xml:space="preserve">MARIA CELSA SANCHES MUSSATO</t>
  </si>
  <si>
    <t xml:space="preserve">HOTEL BRASIL</t>
  </si>
  <si>
    <t xml:space="preserve">GP SANTOS E CIA LTDA</t>
  </si>
  <si>
    <t xml:space="preserve">REDE GAUCHO </t>
  </si>
  <si>
    <t xml:space="preserve">SUPERMERCADO COMPRE BEM</t>
  </si>
  <si>
    <t xml:space="preserve">NARA MOTOS COMERCIO DE VEICULOS LTDA</t>
  </si>
  <si>
    <t xml:space="preserve">NARA MOTOS</t>
  </si>
  <si>
    <t xml:space="preserve">JACYRA ALVES DE MOURA</t>
  </si>
  <si>
    <t xml:space="preserve">CASA DE CARNE DJ</t>
  </si>
  <si>
    <t xml:space="preserve">BEM BOM SUPERMERCADO LTDA</t>
  </si>
  <si>
    <t xml:space="preserve">SM BEM BOM</t>
  </si>
  <si>
    <t xml:space="preserve">HOTEIS MARTINS LTDA</t>
  </si>
  <si>
    <t xml:space="preserve">NACIONAL PALACE HOTEL</t>
  </si>
  <si>
    <t xml:space="preserve">HOTEL BAHAMAS LTDA</t>
  </si>
  <si>
    <t xml:space="preserve">HOTEL BAHAMAS</t>
  </si>
  <si>
    <t xml:space="preserve">JOSE ALBINO CASTRO</t>
  </si>
  <si>
    <t xml:space="preserve">MERCADINHO E DISTR. SAO JOSE</t>
  </si>
  <si>
    <t xml:space="preserve">MARTINS E FERNANDES LTDA ME</t>
  </si>
  <si>
    <t xml:space="preserve">SUPERMERCADO DIA A DIA</t>
  </si>
  <si>
    <t xml:space="preserve">CASA NOSTRA RESTAURANTE E PIZZARIA LTDA </t>
  </si>
  <si>
    <t xml:space="preserve">CASA NOSTRA REST E PIZZARIAA</t>
  </si>
  <si>
    <t xml:space="preserve">CHARME COSMETICOS LTDA</t>
  </si>
  <si>
    <t xml:space="preserve">SUPERMERCADO RIGO LTDA</t>
  </si>
  <si>
    <t xml:space="preserve">MINI MERCADO RIGO</t>
  </si>
  <si>
    <t xml:space="preserve">JUSCELINO DIAS GUIMARAES</t>
  </si>
  <si>
    <t xml:space="preserve">SM BOM JESUS</t>
  </si>
  <si>
    <t xml:space="preserve">COMERCIO DE BEBIDAS E CONVENIENCIAS LTDA</t>
  </si>
  <si>
    <t xml:space="preserve">CENTRAL CONVENIENCIAS</t>
  </si>
  <si>
    <t xml:space="preserve">VAREJAO GLOBO VERDE CONVENIENCIAS LTDA  </t>
  </si>
  <si>
    <t xml:space="preserve">VAREJAO GLOBO VERDE CONVENIENC</t>
  </si>
  <si>
    <t xml:space="preserve">MERCADO E ACOUGUE SAO JUDAS LTDA EPP</t>
  </si>
  <si>
    <t xml:space="preserve">MERCEARIA SAO JUDAS</t>
  </si>
  <si>
    <t xml:space="preserve">CONCENTRO MARCAS LTDA</t>
  </si>
  <si>
    <t xml:space="preserve">MULTICASA</t>
  </si>
  <si>
    <t xml:space="preserve">HATSUO OSADA</t>
  </si>
  <si>
    <t xml:space="preserve">MERCADINHO INOCENCIA</t>
  </si>
  <si>
    <t xml:space="preserve">SUPERMERCADOS SORGATTO LTDA</t>
  </si>
  <si>
    <t xml:space="preserve">SM FARTURAO</t>
  </si>
  <si>
    <t xml:space="preserve">CARLOS HIRT</t>
  </si>
  <si>
    <t xml:space="preserve">MERCEARIA SOL</t>
  </si>
  <si>
    <t xml:space="preserve">COM DE REFRIGERANTES DOURADOS LTDA</t>
  </si>
  <si>
    <t xml:space="preserve">CAVALCANTE E CIA LTDA</t>
  </si>
  <si>
    <t xml:space="preserve">LANCH E RST IZABEL</t>
  </si>
  <si>
    <t xml:space="preserve">W DAGA</t>
  </si>
  <si>
    <t xml:space="preserve">PANIFICADORA DAGA</t>
  </si>
  <si>
    <t xml:space="preserve">DAL MORO DISTRIBUIDORA DE LIVROS LTDA</t>
  </si>
  <si>
    <t xml:space="preserve">LIBERA LIMES</t>
  </si>
  <si>
    <t xml:space="preserve">CASA DE CARNE RAMOS LTDA</t>
  </si>
  <si>
    <t xml:space="preserve">CASA DE CARNES RAMOS</t>
  </si>
  <si>
    <t xml:space="preserve">TOMILTO FRANCISCO DE OLIVEIRA</t>
  </si>
  <si>
    <t xml:space="preserve">COMERCIO DE FRUTAS E VERDURAS</t>
  </si>
  <si>
    <t xml:space="preserve">CRUVINEL E RODRIGUES LTDA</t>
  </si>
  <si>
    <t xml:space="preserve">ZEBULANDIA</t>
  </si>
  <si>
    <t xml:space="preserve">AUTO POSTO DOIS IRMAOS LTDA</t>
  </si>
  <si>
    <t xml:space="preserve">AUTO POSTO DOIS IRMAOS</t>
  </si>
  <si>
    <t xml:space="preserve">FARINHA BOLOS IND COM LTDA</t>
  </si>
  <si>
    <t xml:space="preserve">CONVENIENCIAS SANTA MARIA</t>
  </si>
  <si>
    <t xml:space="preserve">ANTONIO BARBOSA DE LUCENA</t>
  </si>
  <si>
    <t xml:space="preserve">MERCEARIA NOSSA SRA APARECIDA</t>
  </si>
  <si>
    <t xml:space="preserve">SOLANGE DE SOUZA</t>
  </si>
  <si>
    <t xml:space="preserve">(COLONIA DE FERIAS)</t>
  </si>
  <si>
    <t xml:space="preserve">PANIFICADORA CONFEITARIA TREVO LTDA</t>
  </si>
  <si>
    <t xml:space="preserve">PANIF TREVO</t>
  </si>
  <si>
    <t xml:space="preserve">JOSE SERGIO FOGACA</t>
  </si>
  <si>
    <t xml:space="preserve">SM FOGACA</t>
  </si>
  <si>
    <t xml:space="preserve">ARALFARMA DROGARIA LTDA</t>
  </si>
  <si>
    <t xml:space="preserve">FARMACIA ARALFARMA</t>
  </si>
  <si>
    <t xml:space="preserve">JORGE E B SOARES</t>
  </si>
  <si>
    <t xml:space="preserve">EUROPA ALIMENTOS</t>
  </si>
  <si>
    <t xml:space="preserve">LIDIA DAVALO FERREIRA</t>
  </si>
  <si>
    <t xml:space="preserve">MERCEARIA LIDER</t>
  </si>
  <si>
    <t xml:space="preserve">COMERCIO DE BEBIDAS MARACAJU LTDA</t>
  </si>
  <si>
    <t xml:space="preserve">GREGORIO PEREIRA LINO</t>
  </si>
  <si>
    <t xml:space="preserve">BAR DO GREGORIO</t>
  </si>
  <si>
    <t xml:space="preserve">ALTAIR DE MEDEIROS CHARAO</t>
  </si>
  <si>
    <t xml:space="preserve">AUTO POSTO SAO LUIZ LTDA</t>
  </si>
  <si>
    <t xml:space="preserve">LUIZ CARVALHO ANDRADE</t>
  </si>
  <si>
    <t xml:space="preserve">FRUTARIA ANDRADE</t>
  </si>
  <si>
    <t xml:space="preserve">GUAVIRA AGROPECUARIA LTDA ME</t>
  </si>
  <si>
    <t xml:space="preserve">GUAVIRA AGROPECUARIA</t>
  </si>
  <si>
    <t xml:space="preserve">KRUM SOFTOV E CIA LTDA</t>
  </si>
  <si>
    <t xml:space="preserve">ROSIMARI MENDES LIMA</t>
  </si>
  <si>
    <t xml:space="preserve">HOTEL POUSADA AQUARIUS</t>
  </si>
  <si>
    <t xml:space="preserve">AIRTON SCARIOT E CIA LTDA</t>
  </si>
  <si>
    <t xml:space="preserve">LANCH.E REST.SERVE BEM</t>
  </si>
  <si>
    <t xml:space="preserve">LOURIVALDO ALVES CAVALCANTE</t>
  </si>
  <si>
    <t xml:space="preserve">RADEKE LOGISTICA LTDA</t>
  </si>
  <si>
    <t xml:space="preserve">BRAHMA</t>
  </si>
  <si>
    <t xml:space="preserve">MERCADO SANTA RITA LTDA</t>
  </si>
  <si>
    <t xml:space="preserve">AQUINO COMERCIO VAREJISTA DE ALIMENTOS E</t>
  </si>
  <si>
    <t xml:space="preserve">REDEMS AQUINO </t>
  </si>
  <si>
    <t xml:space="preserve">MERCADO AQUINO</t>
  </si>
  <si>
    <t xml:space="preserve">AQUINO COM VAREJISTA DE ALIM LTDA</t>
  </si>
  <si>
    <t xml:space="preserve">SUPERMERCADO AQUINO</t>
  </si>
  <si>
    <t xml:space="preserve">SUPERMERCADO E ACOUGUE VITORIA LTDA</t>
  </si>
  <si>
    <t xml:space="preserve">SUPERMERCADO E ACOUGUE VITORIA.</t>
  </si>
  <si>
    <t xml:space="preserve">JOAO FRANCISCO DE ANDRADE</t>
  </si>
  <si>
    <t xml:space="preserve">FARMACIA BRASIL</t>
  </si>
  <si>
    <t xml:space="preserve">IVO CARNIEL</t>
  </si>
  <si>
    <t xml:space="preserve">MERCADO SAO RAPHAEL</t>
  </si>
  <si>
    <t xml:space="preserve">PANIFICADORA PAO DE MEL LTDA</t>
  </si>
  <si>
    <t xml:space="preserve">PANIF. PAO DE MEL</t>
  </si>
  <si>
    <t xml:space="preserve">MARIO MACIEL MARQUES</t>
  </si>
  <si>
    <t xml:space="preserve">ASA IND E COM LTDA</t>
  </si>
  <si>
    <t xml:space="preserve">RECIFE</t>
  </si>
  <si>
    <t xml:space="preserve">ASA</t>
  </si>
  <si>
    <t xml:space="preserve">PAULO RUI DA SILVA</t>
  </si>
  <si>
    <t xml:space="preserve">SM PASSE BEM</t>
  </si>
  <si>
    <t xml:space="preserve">AUTO POSTO AGUA LIMPA LTDA</t>
  </si>
  <si>
    <t xml:space="preserve">HOTEIS CASA BRANCA LTDA</t>
  </si>
  <si>
    <t xml:space="preserve">HOTEL CASA BRANCA</t>
  </si>
  <si>
    <t xml:space="preserve">EDSON RICARDO BERNAL</t>
  </si>
  <si>
    <t xml:space="preserve">MERCEARIA SAO JOSE LTDA</t>
  </si>
  <si>
    <t xml:space="preserve">MATTOS E GALVAO LTDA</t>
  </si>
  <si>
    <t xml:space="preserve">GUAICURUS EXPRESS</t>
  </si>
  <si>
    <t xml:space="preserve">COMERCIAL ARCO IRIS DE GENEROS ALIMENTIC</t>
  </si>
  <si>
    <t xml:space="preserve">COMERCIAL ARCO IRIS</t>
  </si>
  <si>
    <t xml:space="preserve">HOTEL TREVAO</t>
  </si>
  <si>
    <t xml:space="preserve">TREVAO HOTEL</t>
  </si>
  <si>
    <t xml:space="preserve">MERCADINHO MONTEZE</t>
  </si>
  <si>
    <t xml:space="preserve">GEDILSON CASSIANO PONTES</t>
  </si>
  <si>
    <t xml:space="preserve">MERCADO SAO PAULO</t>
  </si>
  <si>
    <t xml:space="preserve">PALUDO POSTOS DE SERVICOS LTDA</t>
  </si>
  <si>
    <t xml:space="preserve">POSTO SANTO ANTONIO</t>
  </si>
  <si>
    <t xml:space="preserve">SAUL ORTIZ</t>
  </si>
  <si>
    <t xml:space="preserve">MERCEARIA STA CLARA</t>
  </si>
  <si>
    <t xml:space="preserve">JOFRAN COMERCIO DE CARNES LTDA</t>
  </si>
  <si>
    <t xml:space="preserve">BAR E MERCEARIA TOQUINHO</t>
  </si>
  <si>
    <t xml:space="preserve">AGRO FARMACEUTICA BRASILEIRA LTDA</t>
  </si>
  <si>
    <t xml:space="preserve">DROGARIA BRASILEIRA</t>
  </si>
  <si>
    <t xml:space="preserve">HERMAN RODRIGUES PINHEIRO</t>
  </si>
  <si>
    <t xml:space="preserve">SUPERMERCADO SAO PAULO</t>
  </si>
  <si>
    <t xml:space="preserve">DEUZIMAR ALVES DE OLIVEIRA</t>
  </si>
  <si>
    <t xml:space="preserve">SM SONORA</t>
  </si>
  <si>
    <t xml:space="preserve">COMERCIAL SANTA JULIA LTDA</t>
  </si>
  <si>
    <t xml:space="preserve">COMERCIAL STA JULIA</t>
  </si>
  <si>
    <t xml:space="preserve">MINI BOX 3 IRMAOS LTDA</t>
  </si>
  <si>
    <t xml:space="preserve">ALTAIR A GARCIA LOPES</t>
  </si>
  <si>
    <t xml:space="preserve">NADIR ALVES E CIA LTDA</t>
  </si>
  <si>
    <t xml:space="preserve">MERCADO NANA</t>
  </si>
  <si>
    <t xml:space="preserve">DROGAUNI MEDICAMENTOS PERFUM LTDA</t>
  </si>
  <si>
    <t xml:space="preserve">DROGARIA UNIVERSITARIA</t>
  </si>
  <si>
    <t xml:space="preserve">NILSON LOPES MORAIS</t>
  </si>
  <si>
    <t xml:space="preserve">MINI MERCADO MICHELLY</t>
  </si>
  <si>
    <t xml:space="preserve">IDEAL COM DE DERIVADOS DE PETROLEO LTDA </t>
  </si>
  <si>
    <t xml:space="preserve">POSTO IDEAL</t>
  </si>
  <si>
    <t xml:space="preserve">WILSON MICHELS LEITE</t>
  </si>
  <si>
    <t xml:space="preserve">ALMEIDA E RODRIGUES LTDA</t>
  </si>
  <si>
    <t xml:space="preserve">MORADA DO SOL</t>
  </si>
  <si>
    <t xml:space="preserve">PAULA E CASTRO ALVES LTDA</t>
  </si>
  <si>
    <t xml:space="preserve">PANF CARICIA</t>
  </si>
  <si>
    <t xml:space="preserve">M L P DA SILVA EPP</t>
  </si>
  <si>
    <t xml:space="preserve">FRUTTVAR</t>
  </si>
  <si>
    <t xml:space="preserve">CLEMENTINO DAVALO</t>
  </si>
  <si>
    <t xml:space="preserve">OTILDES BRUM DO CANTO</t>
  </si>
  <si>
    <t xml:space="preserve">KELLY LANCHES</t>
  </si>
  <si>
    <t xml:space="preserve">PALMEIRA E MOTA LTDA</t>
  </si>
  <si>
    <t xml:space="preserve">DROGARIA PALMEIRA 420</t>
  </si>
  <si>
    <t xml:space="preserve">JOSE JOBILINO MELO</t>
  </si>
  <si>
    <t xml:space="preserve">MANOEL PIRES DE OLIVEIRA</t>
  </si>
  <si>
    <t xml:space="preserve">EDISON ANTONIO CESTARO</t>
  </si>
  <si>
    <t xml:space="preserve">MERCADO OURO VERDE</t>
  </si>
  <si>
    <t xml:space="preserve">DALAQUA E CIA LTDA</t>
  </si>
  <si>
    <t xml:space="preserve">ADALBERTO PAULINO DIAS</t>
  </si>
  <si>
    <t xml:space="preserve">MERCEARIA ELISA</t>
  </si>
  <si>
    <t xml:space="preserve">FRANCISCO ASSIS LIMA</t>
  </si>
  <si>
    <t xml:space="preserve">CHACAROSQUI E FONSECA LTDA</t>
  </si>
  <si>
    <t xml:space="preserve">MERCADO JOAO MINI BOX</t>
  </si>
  <si>
    <t xml:space="preserve">AUTO POSTO MUTUM LTDA</t>
  </si>
  <si>
    <t xml:space="preserve">LANCHONETE MUTUM</t>
  </si>
  <si>
    <t xml:space="preserve">LIMA E COLLA LTDA</t>
  </si>
  <si>
    <t xml:space="preserve">DROGARIA AVENIDA</t>
  </si>
  <si>
    <t xml:space="preserve">D ART LUSTRES E LUMINOSOS LTDA</t>
  </si>
  <si>
    <t xml:space="preserve">D ART LUSTRES E LUMINOSOS</t>
  </si>
  <si>
    <t xml:space="preserve">PEDRO RODRIGUES MERCEARIA</t>
  </si>
  <si>
    <t xml:space="preserve">MINI MERCADO OLIVEIRA EIRELI EPP</t>
  </si>
  <si>
    <t xml:space="preserve">JONAS BATISTA DA SILVA</t>
  </si>
  <si>
    <t xml:space="preserve">CORRETA EMPREENDIMENTOS IMOB LTDA</t>
  </si>
  <si>
    <t xml:space="preserve">CORRETA</t>
  </si>
  <si>
    <t xml:space="preserve">KATIE CRISTINA GUILARDI EPP</t>
  </si>
  <si>
    <t xml:space="preserve">DROGAVIDA MAIS</t>
  </si>
  <si>
    <t xml:space="preserve">DOMINGOS PASCOAL DOS SANTOS</t>
  </si>
  <si>
    <t xml:space="preserve">MERCEARIA SAO DOMINGOS</t>
  </si>
  <si>
    <t xml:space="preserve">TEREZINHA DE AMORIM REIS</t>
  </si>
  <si>
    <t xml:space="preserve">AMORIM COSMETICOS</t>
  </si>
  <si>
    <t xml:space="preserve">JOEL DOMINGUES DO AMARAL</t>
  </si>
  <si>
    <t xml:space="preserve">ALEDIR LUIZ TONET</t>
  </si>
  <si>
    <t xml:space="preserve">MINI MERCADO TONET</t>
  </si>
  <si>
    <t xml:space="preserve">ROSANGELA REZENDE NASCIMENTO LOPES</t>
  </si>
  <si>
    <t xml:space="preserve">TOCA DO FRANGO</t>
  </si>
  <si>
    <t xml:space="preserve">ELAINE MARIA DOS SANTOS NEVES</t>
  </si>
  <si>
    <t xml:space="preserve">PALLADIO CONVENIENCIAS</t>
  </si>
  <si>
    <t xml:space="preserve">SIVALDO LELIS DE SOUZA</t>
  </si>
  <si>
    <t xml:space="preserve">CASA DE CARNE ELDORADO</t>
  </si>
  <si>
    <t xml:space="preserve">MOURA FE E PEREIRA LTDA</t>
  </si>
  <si>
    <t xml:space="preserve">CONV PRIMAVERA</t>
  </si>
  <si>
    <t xml:space="preserve">TANIA MARIA SANTOS C BASTOS</t>
  </si>
  <si>
    <t xml:space="preserve">SM SINUELO</t>
  </si>
  <si>
    <t xml:space="preserve">MERCADO JOTA LI</t>
  </si>
  <si>
    <t xml:space="preserve">MERCADO JOTA LI LTDA - ME.</t>
  </si>
  <si>
    <t xml:space="preserve">SUPERMERCADO JOTA LI - JARDIM</t>
  </si>
  <si>
    <t xml:space="preserve">PINHEIRO E CAMPOS LTDA</t>
  </si>
  <si>
    <t xml:space="preserve">DROGARIA SILVA</t>
  </si>
  <si>
    <t xml:space="preserve">JOAO MELO SOBRINHO</t>
  </si>
  <si>
    <t xml:space="preserve">SM STA TEREZA</t>
  </si>
  <si>
    <t xml:space="preserve">ELISABETE SILVEIRA FERNANDES</t>
  </si>
  <si>
    <t xml:space="preserve">ASSIS SANTANA E RODRIGUES DE SOUZA LTDA </t>
  </si>
  <si>
    <t xml:space="preserve">DROGA VERDE</t>
  </si>
  <si>
    <t xml:space="preserve">MICHELA LARISSA NOGUEIRA SILVA DAVID</t>
  </si>
  <si>
    <t xml:space="preserve">KILOGRAMA SELF SERVICE</t>
  </si>
  <si>
    <t xml:space="preserve">UNILEVER BESTFOODS BRASIL LTDA</t>
  </si>
  <si>
    <t xml:space="preserve">UNILEVER</t>
  </si>
  <si>
    <t xml:space="preserve">GOIANIA</t>
  </si>
  <si>
    <t xml:space="preserve">GUILHERME CARVALHO ESPINDOLA</t>
  </si>
  <si>
    <t xml:space="preserve">VICENTE TELES DE OLIVEIRA</t>
  </si>
  <si>
    <t xml:space="preserve">MERCEARIA TELES</t>
  </si>
  <si>
    <t xml:space="preserve">TSUNADA E CIA LTDA</t>
  </si>
  <si>
    <t xml:space="preserve">MERCEARIA NOVA ESPERAN?A</t>
  </si>
  <si>
    <t xml:space="preserve">PANIFICADORA E CONFEIT PAO DOURADO LTDA </t>
  </si>
  <si>
    <t xml:space="preserve">DROGARIA SAO EXPEDITO LTDA ME</t>
  </si>
  <si>
    <t xml:space="preserve">DROGARIA SAN RAFHAEL</t>
  </si>
  <si>
    <t xml:space="preserve">SALLES E ROCHA LTDA</t>
  </si>
  <si>
    <t xml:space="preserve">MERC ROCHA</t>
  </si>
  <si>
    <t xml:space="preserve">JOSE CASSAVARA FILHO</t>
  </si>
  <si>
    <t xml:space="preserve">COMERCIAL ROVIA</t>
  </si>
  <si>
    <t xml:space="preserve">IRINEU CASSAVARA JUNIOR</t>
  </si>
  <si>
    <t xml:space="preserve">Z U DE SOUZA</t>
  </si>
  <si>
    <t xml:space="preserve">PEREIRA DA COSTA E CIA LTDA</t>
  </si>
  <si>
    <t xml:space="preserve">PADARIA JANDAIA</t>
  </si>
  <si>
    <t xml:space="preserve">PANIFICADORA DIAS LTDA</t>
  </si>
  <si>
    <t xml:space="preserve">PANIF KI PAO</t>
  </si>
  <si>
    <t xml:space="preserve">MARA LUCIA DE O  D  NANTES</t>
  </si>
  <si>
    <t xml:space="preserve">RACOES TAMANDARE</t>
  </si>
  <si>
    <t xml:space="preserve">ANGELINA DOS SANTOS FERREIRA</t>
  </si>
  <si>
    <t xml:space="preserve">PANF BOM JESUS</t>
  </si>
  <si>
    <t xml:space="preserve">HERMES ODEQUE</t>
  </si>
  <si>
    <t xml:space="preserve">FOTO CINE PRUDENTE</t>
  </si>
  <si>
    <t xml:space="preserve">ODETE MARQUES DA SILVA</t>
  </si>
  <si>
    <t xml:space="preserve">COMERCIAL DE ALIMENTOS FR LTDA</t>
  </si>
  <si>
    <t xml:space="preserve">COMERCIAL ALIMENTOS F.R.</t>
  </si>
  <si>
    <t xml:space="preserve">EDSON BISPO DOS SANTOS</t>
  </si>
  <si>
    <t xml:space="preserve">CONV CPO GDE</t>
  </si>
  <si>
    <t xml:space="preserve">MERCADO RICARTH LTDA</t>
  </si>
  <si>
    <t xml:space="preserve">MERCADINHO DO CRIDI</t>
  </si>
  <si>
    <t xml:space="preserve">MARIA DA FONSECA DE OLIVEIRA E CIA LTDA </t>
  </si>
  <si>
    <t xml:space="preserve">FOGAO A LENHA</t>
  </si>
  <si>
    <t xml:space="preserve">QUAREZEMIN E CIA LTDA</t>
  </si>
  <si>
    <t xml:space="preserve">CARLOS ALMIR DALLASTA</t>
  </si>
  <si>
    <t xml:space="preserve">MARCOS ANTONIO MOREIRA</t>
  </si>
  <si>
    <t xml:space="preserve">SUPERMERCADO PIRES LTDA</t>
  </si>
  <si>
    <t xml:space="preserve">THOMAZ AQUINO CHAMORRO</t>
  </si>
  <si>
    <t xml:space="preserve">MERC MILLUS</t>
  </si>
  <si>
    <t xml:space="preserve">ESTANISLADA MARTINES</t>
  </si>
  <si>
    <t xml:space="preserve">MERCEARIA JO</t>
  </si>
  <si>
    <t xml:space="preserve">ART VIDEO LTDA</t>
  </si>
  <si>
    <t xml:space="preserve">REAL VIDEO</t>
  </si>
  <si>
    <t xml:space="preserve">RESTAURANTE DA BASE LTDA</t>
  </si>
  <si>
    <t xml:space="preserve">CHURASCARIA DA BASE</t>
  </si>
  <si>
    <t xml:space="preserve">MARA SILVA FIGUEIREDO</t>
  </si>
  <si>
    <t xml:space="preserve">PADARIA BIG PAO</t>
  </si>
  <si>
    <t xml:space="preserve">M M BORGES</t>
  </si>
  <si>
    <t xml:space="preserve">SM CASTELO</t>
  </si>
  <si>
    <t xml:space="preserve">ANTONIO RAIMUNDO ANDRADE</t>
  </si>
  <si>
    <t xml:space="preserve">ALVINA ALVES DE OLIVEIRA</t>
  </si>
  <si>
    <t xml:space="preserve">SIC SERVICO DE INF. COM. LTDA</t>
  </si>
  <si>
    <t xml:space="preserve">SIC</t>
  </si>
  <si>
    <t xml:space="preserve">ESSENCIAL COSMETICOS LTDA</t>
  </si>
  <si>
    <t xml:space="preserve">ESSENCIAL COSMETICOS</t>
  </si>
  <si>
    <t xml:space="preserve">MERCEARIA SACRAMENTO LTDA</t>
  </si>
  <si>
    <t xml:space="preserve">MERCEARIA SERRA</t>
  </si>
  <si>
    <t xml:space="preserve">JOAO B DOS SANTOS</t>
  </si>
  <si>
    <t xml:space="preserve">MINI MERCADO BEM T VI</t>
  </si>
  <si>
    <t xml:space="preserve">AMERICEL SA</t>
  </si>
  <si>
    <t xml:space="preserve">CARLOS PAGANI</t>
  </si>
  <si>
    <t xml:space="preserve">VIRMA NANTES</t>
  </si>
  <si>
    <t xml:space="preserve">REST.LANCH.BOM GOSTO</t>
  </si>
  <si>
    <t xml:space="preserve">CAROLINA NOGUEIRA</t>
  </si>
  <si>
    <t xml:space="preserve">PADARIA DONA PRETA</t>
  </si>
  <si>
    <t xml:space="preserve">ZERO GRAU</t>
  </si>
  <si>
    <t xml:space="preserve">ROBERTO JORDANO</t>
  </si>
  <si>
    <t xml:space="preserve">GETULIO KYOSHI TAKAHASHI</t>
  </si>
  <si>
    <t xml:space="preserve">REST YAKI NIKU</t>
  </si>
  <si>
    <t xml:space="preserve">CASTRO COELHO XAVIER</t>
  </si>
  <si>
    <t xml:space="preserve">COMERCIAL WILSON</t>
  </si>
  <si>
    <t xml:space="preserve">MERCADO PEREZ LTDA</t>
  </si>
  <si>
    <t xml:space="preserve">COMERCIAL PERES</t>
  </si>
  <si>
    <t xml:space="preserve">COMERCIAL MELIDU LTDA</t>
  </si>
  <si>
    <t xml:space="preserve">PLACIDO ADAO TEIXEIRA</t>
  </si>
  <si>
    <t xml:space="preserve">MER A ACOUGUE PIAUI</t>
  </si>
  <si>
    <t xml:space="preserve">ROSIMEIRE A MEIRA</t>
  </si>
  <si>
    <t xml:space="preserve">MERCADINHO MEIRA</t>
  </si>
  <si>
    <t xml:space="preserve">FHORTALEZZA ELETRODOMESTICOS LTDA</t>
  </si>
  <si>
    <t xml:space="preserve">GEMILA PALACE HOTEL</t>
  </si>
  <si>
    <t xml:space="preserve">SUPERMERCADO SALOME LTDA</t>
  </si>
  <si>
    <t xml:space="preserve">SM SALOME</t>
  </si>
  <si>
    <t xml:space="preserve">AUGUSTINHO HILARIO REGO</t>
  </si>
  <si>
    <t xml:space="preserve">EDSON VERDELHO RAMOS</t>
  </si>
  <si>
    <t xml:space="preserve">DISCOM</t>
  </si>
  <si>
    <t xml:space="preserve">MARTINEZ E BARRIOS LTDA</t>
  </si>
  <si>
    <t xml:space="preserve">ACACI GELOS E CONVENIENCIAS</t>
  </si>
  <si>
    <t xml:space="preserve">DROGARIA SYDRO LTDA</t>
  </si>
  <si>
    <t xml:space="preserve">DROGARIA SYDRO</t>
  </si>
  <si>
    <t xml:space="preserve">THAIZA WITANGELLA DA SILVA STAUDT ME</t>
  </si>
  <si>
    <t xml:space="preserve">SUPERMERCARDO SILVA</t>
  </si>
  <si>
    <t xml:space="preserve">TERRA BOA PROD AGROPECUARIOS EIRELI</t>
  </si>
  <si>
    <t xml:space="preserve">TERRA BOA</t>
  </si>
  <si>
    <t xml:space="preserve">DOIS M COMERCIAL LTDA</t>
  </si>
  <si>
    <t xml:space="preserve">JOSE EVANGELISTA DA SILVA E CIA LTDA</t>
  </si>
  <si>
    <t xml:space="preserve">1001 DELICIAS</t>
  </si>
  <si>
    <t xml:space="preserve">PROVENSI GABIATTI E CIA LTDA</t>
  </si>
  <si>
    <t xml:space="preserve">SUPERMERCADO AMIGAO LTDA</t>
  </si>
  <si>
    <t xml:space="preserve">SM AMIGAO</t>
  </si>
  <si>
    <t xml:space="preserve">CELSO LUIS DA SILVA ME</t>
  </si>
  <si>
    <t xml:space="preserve">CELSO LUIS DA SILVA</t>
  </si>
  <si>
    <t xml:space="preserve">MASCIMINO GOMES VIEIRA</t>
  </si>
  <si>
    <t xml:space="preserve">SM VIEIRA</t>
  </si>
  <si>
    <t xml:space="preserve">MERCEARIA E LANCH REC DOS AMIGOS LTDA</t>
  </si>
  <si>
    <t xml:space="preserve">MERCEARIA E L. RECANTO ANJOS</t>
  </si>
  <si>
    <t xml:space="preserve">IRMAOS BATISTELA LTDA</t>
  </si>
  <si>
    <t xml:space="preserve">CONV LION FOOD</t>
  </si>
  <si>
    <t xml:space="preserve">ANDRADE MONTEIRO E CIA LTDA</t>
  </si>
  <si>
    <t xml:space="preserve">POSTO CANAA</t>
  </si>
  <si>
    <t xml:space="preserve">FAVORITA TRANSPORTES LTDA</t>
  </si>
  <si>
    <t xml:space="preserve">FAVORITA TRANSPORTES</t>
  </si>
  <si>
    <t xml:space="preserve">RESTAURANTE A CASEIRA</t>
  </si>
  <si>
    <t xml:space="preserve">L E EMPREENDIMENTOS LTDA</t>
  </si>
  <si>
    <t xml:space="preserve">COLISEU MOTEL</t>
  </si>
  <si>
    <t xml:space="preserve">IRENE SANTANA CAIRES</t>
  </si>
  <si>
    <t xml:space="preserve">OLIVIO JOSE GAIGHER</t>
  </si>
  <si>
    <t xml:space="preserve">ERIKA KIYOMI MATSUDA TORTOZA</t>
  </si>
  <si>
    <t xml:space="preserve">PRINCESA COSMETICOS</t>
  </si>
  <si>
    <t xml:space="preserve">JACINTO ESPINDOLA CABRAL</t>
  </si>
  <si>
    <t xml:space="preserve">NEUSA DE FATIMA BORGES LEAL</t>
  </si>
  <si>
    <t xml:space="preserve">CARANDA CONVENIENCIAS</t>
  </si>
  <si>
    <t xml:space="preserve">M S GODOI E CIA LTDA</t>
  </si>
  <si>
    <t xml:space="preserve">PARADA LANCHONETE</t>
  </si>
  <si>
    <t xml:space="preserve">IRINEU SAVITRAZ</t>
  </si>
  <si>
    <t xml:space="preserve">DROGARIA DOIS IRMAOS</t>
  </si>
  <si>
    <t xml:space="preserve">IRMAOS ITIKI LTDA</t>
  </si>
  <si>
    <t xml:space="preserve">AUTO POSTO APARECIDA DO NORTE</t>
  </si>
  <si>
    <t xml:space="preserve">NOVO HORIZONTE DIEZEL E LOJA CONVEN LTDA</t>
  </si>
  <si>
    <t xml:space="preserve">EDIVAR NANTES TAGARA</t>
  </si>
  <si>
    <t xml:space="preserve">SACOLAO TUTTI FRUTI</t>
  </si>
  <si>
    <t xml:space="preserve">A C C PINHEIRO</t>
  </si>
  <si>
    <t xml:space="preserve">ANDERSSOM LIMA DE SOUZA</t>
  </si>
  <si>
    <t xml:space="preserve">CASA DE RA?OES SOUZA</t>
  </si>
  <si>
    <t xml:space="preserve">MARIVANI LIBRELOTTO LAURETTO</t>
  </si>
  <si>
    <t xml:space="preserve">CORDIL - SALA B</t>
  </si>
  <si>
    <t xml:space="preserve">LUIZ ERNESTO EMILIANI</t>
  </si>
  <si>
    <t xml:space="preserve">CAFE CREME</t>
  </si>
  <si>
    <t xml:space="preserve">SGORLA UTILIDADES LTDA</t>
  </si>
  <si>
    <t xml:space="preserve">AUTO POSTO RICAO LTDA</t>
  </si>
  <si>
    <t xml:space="preserve">POSTO PETROBRAS</t>
  </si>
  <si>
    <t xml:space="preserve">J L COMERCIO DE ALIMENTOS LTDA</t>
  </si>
  <si>
    <t xml:space="preserve">JOAO BATISTA SILVA COM PROD ALIMENTICIOS</t>
  </si>
  <si>
    <t xml:space="preserve">J L CONVENIENCIA</t>
  </si>
  <si>
    <t xml:space="preserve">AGROLINE COM DE PROD VETERINARIOS LTDA  </t>
  </si>
  <si>
    <t xml:space="preserve">AGROLINE</t>
  </si>
  <si>
    <t xml:space="preserve">AUTO POSTO TIJUCA LTDA</t>
  </si>
  <si>
    <t xml:space="preserve">POSTO JESSICA</t>
  </si>
  <si>
    <t xml:space="preserve">RUIZ SILVEIRA LTDA</t>
  </si>
  <si>
    <t xml:space="preserve">SM BOLSAO PORTUGUESA</t>
  </si>
  <si>
    <t xml:space="preserve">I N MARTINS EIRELI</t>
  </si>
  <si>
    <t xml:space="preserve">ATACADO PARANA</t>
  </si>
  <si>
    <t xml:space="preserve">JANER CESAR SHINOHARA DE ALMEIDA</t>
  </si>
  <si>
    <t xml:space="preserve">SM O BARATAO</t>
  </si>
  <si>
    <t xml:space="preserve">JANER CESAR SHINOHARA DE ALMEIDA LTDA</t>
  </si>
  <si>
    <t xml:space="preserve">O BARATAO</t>
  </si>
  <si>
    <t xml:space="preserve">SM O BARATAO II</t>
  </si>
  <si>
    <t xml:space="preserve">RENI ZANOLLA</t>
  </si>
  <si>
    <t xml:space="preserve">RESTAURANTE E LANCH. PIONEIRO</t>
  </si>
  <si>
    <t xml:space="preserve">M R DOG PROD VETERINARIOS LTDA</t>
  </si>
  <si>
    <t xml:space="preserve">M R DOG</t>
  </si>
  <si>
    <t xml:space="preserve">JOAO GONZALEZ</t>
  </si>
  <si>
    <t xml:space="preserve">MERCEARIA 3J</t>
  </si>
  <si>
    <t xml:space="preserve">IRACI RODRIGUES</t>
  </si>
  <si>
    <t xml:space="preserve">FESTMAR COMERCIO DE BEBIDAS LTDA ME/MS  </t>
  </si>
  <si>
    <t xml:space="preserve">CORDIL I</t>
  </si>
  <si>
    <t xml:space="preserve">MOACIR SEBASTIAO FREITAS</t>
  </si>
  <si>
    <t xml:space="preserve">PANIF BRUNELLA</t>
  </si>
  <si>
    <t xml:space="preserve">JOANA DA COSTA PEREIRA</t>
  </si>
  <si>
    <t xml:space="preserve">FRANCISCO EDSON DA SILVA SANTOS</t>
  </si>
  <si>
    <t xml:space="preserve">MJ RONDON BARRA</t>
  </si>
  <si>
    <t xml:space="preserve">MERCADO AC SERTANEJO</t>
  </si>
  <si>
    <t xml:space="preserve">JOAO DALL ACQUA</t>
  </si>
  <si>
    <t xml:space="preserve">JOSE ZITO MENDES DA SILVA</t>
  </si>
  <si>
    <t xml:space="preserve">MERCADO SILVA BUENO</t>
  </si>
  <si>
    <t xml:space="preserve">ITAMAR ANTONIOLLI</t>
  </si>
  <si>
    <t xml:space="preserve">CHU CHICO BENTO (P SAO MARCOS)</t>
  </si>
  <si>
    <t xml:space="preserve">ZILDA BATISTA MARTINS</t>
  </si>
  <si>
    <t xml:space="preserve">GUERINO OSVALDO DAN</t>
  </si>
  <si>
    <t xml:space="preserve">GUERINO MINI MERCADO</t>
  </si>
  <si>
    <t xml:space="preserve">TAIAMA COMERCIAL PROD ALIMENTICIOS LTDA </t>
  </si>
  <si>
    <t xml:space="preserve">SM COMPRE BEM</t>
  </si>
  <si>
    <t xml:space="preserve">DACIO ROGERIO FERREIRA</t>
  </si>
  <si>
    <t xml:space="preserve">BAR E LANCH CENTRAL</t>
  </si>
  <si>
    <t xml:space="preserve">COMERCIAL SAGARANA LTDA</t>
  </si>
  <si>
    <t xml:space="preserve">COMERCIAL SAGARANA</t>
  </si>
  <si>
    <t xml:space="preserve">ADEMIR AP MARTINS C GRANDE ME</t>
  </si>
  <si>
    <t xml:space="preserve">PANIFICADORA TRIGAZZI</t>
  </si>
  <si>
    <t xml:space="preserve">LEOSMAR MARTINS DA FONSECA</t>
  </si>
  <si>
    <t xml:space="preserve">TALCY TERRA DE MATTOS SOLER</t>
  </si>
  <si>
    <t xml:space="preserve">SACOLAO E CONVENIENCIA BRUNETTO LTDA</t>
  </si>
  <si>
    <t xml:space="preserve">SACOLAO BRUNETTO</t>
  </si>
  <si>
    <t xml:space="preserve">CIPA INDUSTRIAL PROD ALIMENTARES LTDA</t>
  </si>
  <si>
    <t xml:space="preserve">CIPA IND PRODUTOS ALIM LTDA</t>
  </si>
  <si>
    <t xml:space="preserve">ORG HOTELEIRAS SERRA VERDE LTDA</t>
  </si>
  <si>
    <t xml:space="preserve">HOTEL SERRA VERDE</t>
  </si>
  <si>
    <t xml:space="preserve">S ESCOBAR ME</t>
  </si>
  <si>
    <t xml:space="preserve">BAR E MERCEARIA BOA SORTE</t>
  </si>
  <si>
    <t xml:space="preserve">CARRARO E CIA LTDA</t>
  </si>
  <si>
    <t xml:space="preserve">FRIOS CATARINENSE</t>
  </si>
  <si>
    <t xml:space="preserve">ERODETE QUADROS SOLER</t>
  </si>
  <si>
    <t xml:space="preserve">DIST BEBIDAS CAMPO GRANDE</t>
  </si>
  <si>
    <t xml:space="preserve">JOSE RUBENS PEREIRA DE LIMA</t>
  </si>
  <si>
    <t xml:space="preserve">SACOLAO TUTTI FRUTTI</t>
  </si>
  <si>
    <t xml:space="preserve">MIGUEL WEISE KHOURI</t>
  </si>
  <si>
    <t xml:space="preserve">PANF E CONV CHANTILLY</t>
  </si>
  <si>
    <t xml:space="preserve">BELMIRO LUIZ MARTINS NETO</t>
  </si>
  <si>
    <t xml:space="preserve">MERCADO COLONIAL</t>
  </si>
  <si>
    <t xml:space="preserve">AUTO POSTO JAU LTDA</t>
  </si>
  <si>
    <t xml:space="preserve">CHURRASCARIA RAINHA DO SUL</t>
  </si>
  <si>
    <t xml:space="preserve">CORUJAO POSTO DE SERVICOS LTDA</t>
  </si>
  <si>
    <t xml:space="preserve">POSTO CORUJAO</t>
  </si>
  <si>
    <t xml:space="preserve">AGENOR FONTOURA DA SILVA</t>
  </si>
  <si>
    <t xml:space="preserve">MERCADO FONTOURA</t>
  </si>
  <si>
    <t xml:space="preserve">EDUARDO KAZUKO GRAUTH MERCEARIA</t>
  </si>
  <si>
    <t xml:space="preserve">MERCADO MERELES LTDA</t>
  </si>
  <si>
    <t xml:space="preserve">MERCADO MERELES</t>
  </si>
  <si>
    <t xml:space="preserve">LEANDRO NEVES MATTOS</t>
  </si>
  <si>
    <t xml:space="preserve">MERCADO LUMER</t>
  </si>
  <si>
    <t xml:space="preserve">CASA DAS CORES COMERCIO DE TINTAS LTDA  </t>
  </si>
  <si>
    <t xml:space="preserve">CASA DAS CORES</t>
  </si>
  <si>
    <t xml:space="preserve">TUMELERO E TEODORO LTDA</t>
  </si>
  <si>
    <t xml:space="preserve">LANCH REST SONORA</t>
  </si>
  <si>
    <t xml:space="preserve">ODAIR CESAR GODOY BARBOSA</t>
  </si>
  <si>
    <t xml:space="preserve">PADARIA E CONF. MODERNA</t>
  </si>
  <si>
    <t xml:space="preserve">MERCADO BONATO EIRELI - ME</t>
  </si>
  <si>
    <t xml:space="preserve">MERCADINHO BONATO</t>
  </si>
  <si>
    <t xml:space="preserve">M I D SCHAEFER MERCEARIA</t>
  </si>
  <si>
    <t xml:space="preserve">COM. DE PRODUTOS AL. TRADICAO</t>
  </si>
  <si>
    <t xml:space="preserve">NILZA CASAGRANDE GASPARETTO ME/MS</t>
  </si>
  <si>
    <t xml:space="preserve">SKINA LANCHES</t>
  </si>
  <si>
    <t xml:space="preserve">PANIFICADORA CONF PADUA LTDA</t>
  </si>
  <si>
    <t xml:space="preserve">PANIF E CONF PADUA</t>
  </si>
  <si>
    <t xml:space="preserve">PUREZINHA ALVES VORIA</t>
  </si>
  <si>
    <t xml:space="preserve">PARAISO PUREZINHA</t>
  </si>
  <si>
    <t xml:space="preserve">JOSE CARLOS DOS SANTOS MERCADO</t>
  </si>
  <si>
    <t xml:space="preserve">MERCADO ALVORADA LTDA</t>
  </si>
  <si>
    <t xml:space="preserve">QUEIROZ E SANTOS LTDA</t>
  </si>
  <si>
    <t xml:space="preserve"> QUEIROZ E SANTOS LTDA</t>
  </si>
  <si>
    <t xml:space="preserve">ALVARO PENZE DE SOUZA</t>
  </si>
  <si>
    <t xml:space="preserve">CLEUZA TOIGO DE OLIVEIRA</t>
  </si>
  <si>
    <t xml:space="preserve">MERCADO E ACOUGUE SANTO ANTONIO</t>
  </si>
  <si>
    <t xml:space="preserve">SUPERMERCADO DITZEL LTDA</t>
  </si>
  <si>
    <t xml:space="preserve">SM DIZEL</t>
  </si>
  <si>
    <t xml:space="preserve">A J IAHN XAVIER</t>
  </si>
  <si>
    <t xml:space="preserve">SUPERMERCADO XAVIER</t>
  </si>
  <si>
    <t xml:space="preserve">ALEXANDRE BREDA CALDAS</t>
  </si>
  <si>
    <t xml:space="preserve">CASA NOVA MATERIAL PARA CONSTRUCAO</t>
  </si>
  <si>
    <t xml:space="preserve">CASA DE CARNE COQUEIRO LTDA</t>
  </si>
  <si>
    <t xml:space="preserve">CASA DE CARNE COQUEIRO</t>
  </si>
  <si>
    <t xml:space="preserve">V M GARCIA PINHEIRO</t>
  </si>
  <si>
    <t xml:space="preserve">GODOY E ARRUDA LTDA</t>
  </si>
  <si>
    <t xml:space="preserve">ESCOLA NOVO MUNDO</t>
  </si>
  <si>
    <t xml:space="preserve">RECREACAO PEQUENO MUNDO MAGICO</t>
  </si>
  <si>
    <t xml:space="preserve">OLIVEIRA E SILVA LTDA</t>
  </si>
  <si>
    <t xml:space="preserve">MERCADO PRECO BAIXO</t>
  </si>
  <si>
    <t xml:space="preserve">SUPERMERCADO CAMPOS LTDA</t>
  </si>
  <si>
    <t xml:space="preserve">SM CAMPOS</t>
  </si>
  <si>
    <t xml:space="preserve">SUCOS DEL VALLE BRASIL LTDA</t>
  </si>
  <si>
    <t xml:space="preserve">AMERICANA</t>
  </si>
  <si>
    <t xml:space="preserve">SUCOS DEL VALLE</t>
  </si>
  <si>
    <t xml:space="preserve">SUCOS DEL VALLE DO BRASIL LTDA</t>
  </si>
  <si>
    <t xml:space="preserve">DEL VALLE</t>
  </si>
  <si>
    <t xml:space="preserve">PATRICIA REGINA MARTINS</t>
  </si>
  <si>
    <t xml:space="preserve">J P S CINTRA</t>
  </si>
  <si>
    <t xml:space="preserve">MERC E CONV DOM AQUINO</t>
  </si>
  <si>
    <t xml:space="preserve">SM PALMEIRA</t>
  </si>
  <si>
    <t xml:space="preserve">ALCIDES ALVES AMARO</t>
  </si>
  <si>
    <t xml:space="preserve">MINI MERCADO AMARO</t>
  </si>
  <si>
    <t xml:space="preserve">CLECI PEREIRA DA LUZ</t>
  </si>
  <si>
    <t xml:space="preserve">BAR E MERC RIO GRANDENSE</t>
  </si>
  <si>
    <t xml:space="preserve">SACOLAO DESTAK</t>
  </si>
  <si>
    <t xml:space="preserve">MERCEARIA CAFELANDIA LTDA</t>
  </si>
  <si>
    <t xml:space="preserve">MERCADO CAFELANDIA</t>
  </si>
  <si>
    <t xml:space="preserve">ROSANGELA HENRIQUE DE SOUZA DA SILVA</t>
  </si>
  <si>
    <t xml:space="preserve">FARMACIA DO POVO</t>
  </si>
  <si>
    <t xml:space="preserve">MERCADO YASSUMOTO LTDA</t>
  </si>
  <si>
    <t xml:space="preserve">MERCADO YASSUMOTO</t>
  </si>
  <si>
    <t xml:space="preserve">MAURICIO COMERCIO E REPRESENTACOES LTDA </t>
  </si>
  <si>
    <t xml:space="preserve">ESQUINA DA CARNE</t>
  </si>
  <si>
    <t xml:space="preserve">PASSOS E ALVES LTDA</t>
  </si>
  <si>
    <t xml:space="preserve">CANTINA FRUTOS DO TRIGO</t>
  </si>
  <si>
    <t xml:space="preserve">UILSON FERREIRA ALVES</t>
  </si>
  <si>
    <t xml:space="preserve">MERCADO UNIVERSO</t>
  </si>
  <si>
    <t xml:space="preserve">ROBERTO HAFEZ ASSAD</t>
  </si>
  <si>
    <t xml:space="preserve">DOCE PAO</t>
  </si>
  <si>
    <t xml:space="preserve">MERCADO URANESKI</t>
  </si>
  <si>
    <t xml:space="preserve">ARGENEU THOMAZ NEVES</t>
  </si>
  <si>
    <t xml:space="preserve">MERCEARIA NEVES</t>
  </si>
  <si>
    <t xml:space="preserve">CICERO MARTINS SILVA</t>
  </si>
  <si>
    <t xml:space="preserve">J MARTINS OLIVEIRA</t>
  </si>
  <si>
    <t xml:space="preserve">MINI MERC MARTINS</t>
  </si>
  <si>
    <t xml:space="preserve">SELVA VICTORIA DA SILVA</t>
  </si>
  <si>
    <t xml:space="preserve">ALEIXO E SANTOS LTDA</t>
  </si>
  <si>
    <t xml:space="preserve">CASA DE CARNE PILOTO</t>
  </si>
  <si>
    <t xml:space="preserve">CLAUDIO FRIDRICH</t>
  </si>
  <si>
    <t xml:space="preserve">FRIDRICH ALIMENTOS</t>
  </si>
  <si>
    <t xml:space="preserve">KENIA KANASHIRO QUADROS DO NASCIMENTO</t>
  </si>
  <si>
    <t xml:space="preserve">MIDAS CONV</t>
  </si>
  <si>
    <t xml:space="preserve">JOSE RAMOS FIGUEIREDO</t>
  </si>
  <si>
    <t xml:space="preserve">MERCEARIA FIGUEIREDO</t>
  </si>
  <si>
    <t xml:space="preserve">IRMAOS CURTI LTDA</t>
  </si>
  <si>
    <t xml:space="preserve">CARNES E PAES TROPICAL</t>
  </si>
  <si>
    <t xml:space="preserve">BRANDAO E ZWARG LTDA</t>
  </si>
  <si>
    <t xml:space="preserve">PANIF SAO FRANCISCO</t>
  </si>
  <si>
    <t xml:space="preserve">MARQUES E FARINHA LTDA</t>
  </si>
  <si>
    <t xml:space="preserve">ALMIR FAGUNDES</t>
  </si>
  <si>
    <t xml:space="preserve">COMERCIAL DE ALIMENTOS IYOBE LTDA</t>
  </si>
  <si>
    <t xml:space="preserve">COMERCIAL IYOBE</t>
  </si>
  <si>
    <t xml:space="preserve">DIVINO VICENTE GOMES</t>
  </si>
  <si>
    <t xml:space="preserve">DISTRIBUIDORA DE BEBIDAS MULT</t>
  </si>
  <si>
    <t xml:space="preserve">AGRO LINN TRANSPORTES E REPRES LTDA</t>
  </si>
  <si>
    <t xml:space="preserve">SM PELLIN</t>
  </si>
  <si>
    <t xml:space="preserve">PAULO CAMPOS E FILHOS LTDA</t>
  </si>
  <si>
    <t xml:space="preserve">LINCON HOTEL</t>
  </si>
  <si>
    <t xml:space="preserve">JOSE VICENTE DA SILVA SOBRINHO</t>
  </si>
  <si>
    <t xml:space="preserve">FRUTARIA E MERCEARIA DO ZE</t>
  </si>
  <si>
    <t xml:space="preserve">E M V COMERCIO DE ALIMENTOS LTDA</t>
  </si>
  <si>
    <t xml:space="preserve">BOB`S</t>
  </si>
  <si>
    <t xml:space="preserve">TRANSPANORAMA TRANSPORTE LTDA</t>
  </si>
  <si>
    <t xml:space="preserve">MARINGA</t>
  </si>
  <si>
    <t xml:space="preserve">TRANSPANORAMA</t>
  </si>
  <si>
    <t xml:space="preserve">ADEILDO FARIAS DA SILVA</t>
  </si>
  <si>
    <t xml:space="preserve">MERCEARIA DO DINHO</t>
  </si>
  <si>
    <t xml:space="preserve">MINI MERCADO AMERICA</t>
  </si>
  <si>
    <t xml:space="preserve">JOSE CAPASSO JUNIOR</t>
  </si>
  <si>
    <t xml:space="preserve">PANIF.E CONFEITARIA IDEAL</t>
  </si>
  <si>
    <t xml:space="preserve">MARIA SUZANA SIQUEIRA GONCALVES</t>
  </si>
  <si>
    <t xml:space="preserve">LAGOS HOTEL</t>
  </si>
  <si>
    <t xml:space="preserve">MANTOVANI E MANTOVANI LTDA</t>
  </si>
  <si>
    <t xml:space="preserve">FARMACIA GAUCHA</t>
  </si>
  <si>
    <t xml:space="preserve">JOSE BERNADINO LOPES</t>
  </si>
  <si>
    <t xml:space="preserve">EMELIANO NUNES ALMEIDA</t>
  </si>
  <si>
    <t xml:space="preserve">FESTALAR COM BEBIDAS LTDA</t>
  </si>
  <si>
    <t xml:space="preserve">FESTALAR</t>
  </si>
  <si>
    <t xml:space="preserve">CASA DAS RACOES</t>
  </si>
  <si>
    <t xml:space="preserve">GRANJA E SOUZA GEN ALIM PANIF CONF LTDA </t>
  </si>
  <si>
    <t xml:space="preserve">PANIFICADORA REI DA MASSA</t>
  </si>
  <si>
    <t xml:space="preserve">VALDEVINO NUNES</t>
  </si>
  <si>
    <t xml:space="preserve">PANIF E CONV ESTRELA</t>
  </si>
  <si>
    <t xml:space="preserve">AMELIA YOSHICO HAYASHI TUDA</t>
  </si>
  <si>
    <t xml:space="preserve">M C EMBALAGENS</t>
  </si>
  <si>
    <t xml:space="preserve">JACIR BOLLER</t>
  </si>
  <si>
    <t xml:space="preserve">MINI MERCADO SAO JOSE</t>
  </si>
  <si>
    <t xml:space="preserve">COMERCIO DE MODAS CORPO LIVRE LTDA</t>
  </si>
  <si>
    <t xml:space="preserve">ACADEMIA CORPO LIVRE</t>
  </si>
  <si>
    <t xml:space="preserve">AUTO POSTO MORADA DO SOL LTDA</t>
  </si>
  <si>
    <t xml:space="preserve">POSTO MORADA DO SOL</t>
  </si>
  <si>
    <t xml:space="preserve">RESTAURANTE FOGAO DE MINAS LTDA</t>
  </si>
  <si>
    <t xml:space="preserve">REST FOGAO DE MINAS</t>
  </si>
  <si>
    <t xml:space="preserve">AMADI RAMOS PEREIRA</t>
  </si>
  <si>
    <t xml:space="preserve">CLODEMAR GARCIA PEREIRA</t>
  </si>
  <si>
    <t xml:space="preserve">MINI MERC E ACOUGUE MONALIZA</t>
  </si>
  <si>
    <t xml:space="preserve">SEMPREBOM COMERCIO DE ALIMENTOS EIRELI  </t>
  </si>
  <si>
    <t xml:space="preserve">A C B EUGENIO</t>
  </si>
  <si>
    <t xml:space="preserve">FABRICA DE GELO N SRA APARECID</t>
  </si>
  <si>
    <t xml:space="preserve">WELINGTON CAVALLARO</t>
  </si>
  <si>
    <t xml:space="preserve">M B MARQUES E CIA LTDA</t>
  </si>
  <si>
    <t xml:space="preserve">FARMACIA POPULAR</t>
  </si>
  <si>
    <t xml:space="preserve">BELMIRO APARECIDO DE AMORIM</t>
  </si>
  <si>
    <t xml:space="preserve">COMERCIAL POSTO MIL LTDA</t>
  </si>
  <si>
    <t xml:space="preserve">MIL CONVENIENCIA LTDA</t>
  </si>
  <si>
    <t xml:space="preserve">LINIA SUPERMERCADOS LTDA</t>
  </si>
  <si>
    <t xml:space="preserve">SM LINIA</t>
  </si>
  <si>
    <t xml:space="preserve">CASSOL E CIA LTDA</t>
  </si>
  <si>
    <t xml:space="preserve">SM CASSOL</t>
  </si>
  <si>
    <t xml:space="preserve">MARIA ANTONIA MACHADO SOARES</t>
  </si>
  <si>
    <t xml:space="preserve">AUTO POSTO VERA CRUZ</t>
  </si>
  <si>
    <t xml:space="preserve">FRANCISCO ASSIS MELO GOMES</t>
  </si>
  <si>
    <t xml:space="preserve">DALZIRO TEODORO ELIAS</t>
  </si>
  <si>
    <t xml:space="preserve">CONV ANHANDUI</t>
  </si>
  <si>
    <t xml:space="preserve">MARIA CHRISTINA BATISTA P CASSAVARA</t>
  </si>
  <si>
    <t xml:space="preserve">SM IPANEMA</t>
  </si>
  <si>
    <t xml:space="preserve">JOHANN E CIA LTDA</t>
  </si>
  <si>
    <t xml:space="preserve">SUPERMERCADO SORRISO</t>
  </si>
  <si>
    <t xml:space="preserve">MARCILIA MARIA RIBEIRO ANTONIO</t>
  </si>
  <si>
    <t xml:space="preserve">MINE MERC E ACOUGUE ANASTACIO</t>
  </si>
  <si>
    <t xml:space="preserve">XITUIS PANIFICADORA E CONFEITARIA LTDA  </t>
  </si>
  <si>
    <t xml:space="preserve">XITUIS PANIFICADORA</t>
  </si>
  <si>
    <t xml:space="preserve">VIANA DE MATOS CIA LTDA</t>
  </si>
  <si>
    <t xml:space="preserve">LANCHONETE SALVADOR</t>
  </si>
  <si>
    <t xml:space="preserve">LANCHONETE PIU BELLA</t>
  </si>
  <si>
    <t xml:space="preserve">JOAO JOSE RIGHI</t>
  </si>
  <si>
    <t xml:space="preserve">FARMACIA MARIALVA LTDA</t>
  </si>
  <si>
    <t xml:space="preserve"> FARMACIA MARIALVA</t>
  </si>
  <si>
    <t xml:space="preserve">SUPERMERCADO PAULISTA</t>
  </si>
  <si>
    <t xml:space="preserve">ANTONIO GOMES ROCHA</t>
  </si>
  <si>
    <t xml:space="preserve">MERCEARIA ECONOMICA</t>
  </si>
  <si>
    <t xml:space="preserve">WILSON GARCIA BARBOSA</t>
  </si>
  <si>
    <t xml:space="preserve">DISTRIB.GAS CENTRO-OESTE</t>
  </si>
  <si>
    <t xml:space="preserve">NEUZITA INACIA MORAES</t>
  </si>
  <si>
    <t xml:space="preserve">HOTEL E RETAURANTE MORAIS II</t>
  </si>
  <si>
    <t xml:space="preserve">ELIANE MARIA MARIANO DE ALMEIDA</t>
  </si>
  <si>
    <t xml:space="preserve">SM ELIANE</t>
  </si>
  <si>
    <t xml:space="preserve">REIS E MITTANCK LTDA</t>
  </si>
  <si>
    <t xml:space="preserve">SM MATO GROSSO</t>
  </si>
  <si>
    <t xml:space="preserve">VARGAS E BIBERG LTDA</t>
  </si>
  <si>
    <t xml:space="preserve">SM NSRA APARECIDA</t>
  </si>
  <si>
    <t xml:space="preserve">SOLANGE AGUIAR LOBATO ME</t>
  </si>
  <si>
    <t xml:space="preserve">LANCHONETE RIO FORMOSO</t>
  </si>
  <si>
    <t xml:space="preserve">GENIS GARCIA BARBOSA</t>
  </si>
  <si>
    <t xml:space="preserve">MERCADO BARBOSA</t>
  </si>
  <si>
    <t xml:space="preserve">SOUBHIA E CIA LTDA</t>
  </si>
  <si>
    <t xml:space="preserve">ALVORADA PRODUTOS VETERINARIOS</t>
  </si>
  <si>
    <t xml:space="preserve">JOAO MANOEL CLEMENTE</t>
  </si>
  <si>
    <t xml:space="preserve">MERCEARIA KELLY</t>
  </si>
  <si>
    <t xml:space="preserve">M SANTOS ALVES E FILHOS LTDA</t>
  </si>
  <si>
    <t xml:space="preserve">POSTO REAL</t>
  </si>
  <si>
    <t xml:space="preserve">CEREALISTA AGUILERA LTDA ME</t>
  </si>
  <si>
    <t xml:space="preserve">CEREALISTA BEM TE VI</t>
  </si>
  <si>
    <t xml:space="preserve">MARTINS ALVES DE OLIVEIRA</t>
  </si>
  <si>
    <t xml:space="preserve">BERBEL E RODRIGUES LTDA</t>
  </si>
  <si>
    <t xml:space="preserve">PANIF.LANC.PEROLA DO PLANALTO</t>
  </si>
  <si>
    <t xml:space="preserve">FRANCO E PRADO LTDA</t>
  </si>
  <si>
    <t xml:space="preserve">REDE FARMA TOTAL</t>
  </si>
  <si>
    <t xml:space="preserve">DROGARIA FRENTINI</t>
  </si>
  <si>
    <t xml:space="preserve">JANO LUIS CAMARGO LEMOS E CIA LTDA</t>
  </si>
  <si>
    <t xml:space="preserve">SUPERMERCADO BARATEIRO</t>
  </si>
  <si>
    <t xml:space="preserve">BRAS FRUTY COM DE PROD HORTIFRUT LTDA</t>
  </si>
  <si>
    <t xml:space="preserve">BRAZ FRUTY</t>
  </si>
  <si>
    <t xml:space="preserve">ANGELINO RODRIGUES GARCIA</t>
  </si>
  <si>
    <t xml:space="preserve">MERCADINHO GARCIA</t>
  </si>
  <si>
    <t xml:space="preserve">FATIMA ROSANA DA CRUZ</t>
  </si>
  <si>
    <t xml:space="preserve">FLIPPER RESTAURANTE E PIZZARIA</t>
  </si>
  <si>
    <t xml:space="preserve">DOCES MOMENTOS LTDA EPP</t>
  </si>
  <si>
    <t xml:space="preserve">DOCES MOMENTOS</t>
  </si>
  <si>
    <t xml:space="preserve">J A M D OLIVEIRA</t>
  </si>
  <si>
    <t xml:space="preserve">GRABOWSKI E CIA LTDA</t>
  </si>
  <si>
    <t xml:space="preserve">FELISBELA ALVES SIQUEIRA</t>
  </si>
  <si>
    <t xml:space="preserve">FRUTARIA MENDONCA</t>
  </si>
  <si>
    <t xml:space="preserve">ALICE DE FATIMA RODRIGUES LOPES</t>
  </si>
  <si>
    <t xml:space="preserve">MINI MERCADO BERBEL</t>
  </si>
  <si>
    <t xml:space="preserve">HILTON YASUNORI OKUMOTO</t>
  </si>
  <si>
    <t xml:space="preserve">MERCADO PRATA</t>
  </si>
  <si>
    <t xml:space="preserve">EVA XAVIER NOGUEIRA</t>
  </si>
  <si>
    <t xml:space="preserve">IDEAL PANIF. E COVENIENCIAS</t>
  </si>
  <si>
    <t xml:space="preserve">VALDENIR MODESTO SILVA GARCIA ME/MS</t>
  </si>
  <si>
    <t xml:space="preserve">PAN. E CONV. SERRADINHO</t>
  </si>
  <si>
    <t xml:space="preserve">MARLENE COUTINHO</t>
  </si>
  <si>
    <t xml:space="preserve">FRUTS SUCOS LTDA</t>
  </si>
  <si>
    <t xml:space="preserve">FRUT`SUCOS</t>
  </si>
  <si>
    <t xml:space="preserve">MARLI E F MESTURA</t>
  </si>
  <si>
    <t xml:space="preserve">NEUSA BARRETO DA SILVA</t>
  </si>
  <si>
    <t xml:space="preserve">MERCADINHO VEM Q TEM</t>
  </si>
  <si>
    <t xml:space="preserve">CARMEM MOSQUEIRA</t>
  </si>
  <si>
    <t xml:space="preserve">SOUZA E MENEZES LTDA</t>
  </si>
  <si>
    <t xml:space="preserve">MERCEARIA VANESSA</t>
  </si>
  <si>
    <t xml:space="preserve">LUCIANO CINTRA SALES</t>
  </si>
  <si>
    <t xml:space="preserve">COMERCIAL J M</t>
  </si>
  <si>
    <t xml:space="preserve">RODRIGUES E JUNQUEIRA LTDA</t>
  </si>
  <si>
    <t xml:space="preserve">SUPERMERCADO UNIAO</t>
  </si>
  <si>
    <t xml:space="preserve">APETRECHO'S COMERCIO E E ACESSORIOS LTDA</t>
  </si>
  <si>
    <t xml:space="preserve">DOCE MANIA</t>
  </si>
  <si>
    <t xml:space="preserve">NIKKEY VIDEO LOCADORA CONVENIENCIA LTDA </t>
  </si>
  <si>
    <t xml:space="preserve">NIKKEY VIDEO</t>
  </si>
  <si>
    <t xml:space="preserve">GARBIN E SOARES LTDA</t>
  </si>
  <si>
    <t xml:space="preserve">EMPORIO REAL</t>
  </si>
  <si>
    <t xml:space="preserve">JOSILENE T TONIOLLI</t>
  </si>
  <si>
    <t xml:space="preserve">MERCADO TONIOLI</t>
  </si>
  <si>
    <t xml:space="preserve">ANDERSON DA LUZ MORAES</t>
  </si>
  <si>
    <t xml:space="preserve">MERCADO AMIZADE</t>
  </si>
  <si>
    <t xml:space="preserve">BULGARELLI E BARROS LTDA</t>
  </si>
  <si>
    <t xml:space="preserve">PAO QUENTE CONVENIENCIA</t>
  </si>
  <si>
    <t xml:space="preserve">ALFREDO HOFFMEISTER</t>
  </si>
  <si>
    <t xml:space="preserve">ADM DO BRASIL LTDA</t>
  </si>
  <si>
    <t xml:space="preserve">ADM DO BRASIL</t>
  </si>
  <si>
    <t xml:space="preserve">SOBRAL E ALMEIDA LTDA</t>
  </si>
  <si>
    <t xml:space="preserve">FRUTAL SM</t>
  </si>
  <si>
    <t xml:space="preserve">RIO PEIXE EPREEND TURIST LTDA</t>
  </si>
  <si>
    <t xml:space="preserve">RIO DO PEIXE TURISMO</t>
  </si>
  <si>
    <t xml:space="preserve">EVA DE OLIVEIRA SILVA LIMA</t>
  </si>
  <si>
    <t xml:space="preserve">EUDES LELIS BENTO E CIA LTDA</t>
  </si>
  <si>
    <t xml:space="preserve">POSTO E LANCH DIAMANTE</t>
  </si>
  <si>
    <t xml:space="preserve">VEREDIANA JOSE DA SILVA</t>
  </si>
  <si>
    <t xml:space="preserve">CASA DE CARNE CASTELO</t>
  </si>
  <si>
    <t xml:space="preserve">J C TEIXEIRA E CIA LTDA</t>
  </si>
  <si>
    <t xml:space="preserve">SACOLAO SAO PAULO</t>
  </si>
  <si>
    <t xml:space="preserve">IRMAOS SAAD LTDA</t>
  </si>
  <si>
    <t xml:space="preserve">MANURA CHURRASCARIA ARABE</t>
  </si>
  <si>
    <t xml:space="preserve">MIYOKO IUASSA HIRAHATA</t>
  </si>
  <si>
    <t xml:space="preserve">MERCEARIA IPANEMA</t>
  </si>
  <si>
    <t xml:space="preserve">PANIF LANCHONETE PIZZARIA VIANA LTDA</t>
  </si>
  <si>
    <t xml:space="preserve">PANIF E LANCH PIZZ VIANA</t>
  </si>
  <si>
    <t xml:space="preserve">JOAO MARTINS FILHO</t>
  </si>
  <si>
    <t xml:space="preserve">DROGARIA ANDRE LUIZ</t>
  </si>
  <si>
    <t xml:space="preserve">MARCOS ISAMU OSHIRO E CIA LTDA</t>
  </si>
  <si>
    <t xml:space="preserve">SACOLAO OSHIRO</t>
  </si>
  <si>
    <t xml:space="preserve">FUGIKO ONODA</t>
  </si>
  <si>
    <t xml:space="preserve">MERCEARIA CASTELHEIRA LTDA</t>
  </si>
  <si>
    <t xml:space="preserve">MERCEARIA PRATA</t>
  </si>
  <si>
    <t xml:space="preserve">EDETE MARIA DE BARROS FERNANDES</t>
  </si>
  <si>
    <t xml:space="preserve">CRUZ E ALENCAR LTDA</t>
  </si>
  <si>
    <t xml:space="preserve">LEVI DROGARIA</t>
  </si>
  <si>
    <t xml:space="preserve">MARIO VALERIO</t>
  </si>
  <si>
    <t xml:space="preserve">MERCEARIA PEG PAG</t>
  </si>
  <si>
    <t xml:space="preserve">JOSE L SOUZA</t>
  </si>
  <si>
    <t xml:space="preserve">CASA NOSSA SRA DA GUIA</t>
  </si>
  <si>
    <t xml:space="preserve">BENEFICIADORA DE CEREAIS RIO VERDE LTDA </t>
  </si>
  <si>
    <t xml:space="preserve">SUPERMERCADO MENDONCA</t>
  </si>
  <si>
    <t xml:space="preserve">FARIAS AUTO POSTO LTDA</t>
  </si>
  <si>
    <t xml:space="preserve">POSTO FARIAS</t>
  </si>
  <si>
    <t xml:space="preserve">CARLOS SAVIO FREIRE NOVAES</t>
  </si>
  <si>
    <t xml:space="preserve">PADARIA E CONV LENOU</t>
  </si>
  <si>
    <t xml:space="preserve">NORBERTO KAZUAKI SHINGU</t>
  </si>
  <si>
    <t xml:space="preserve">TINTAS RENER</t>
  </si>
  <si>
    <t xml:space="preserve">LITER ARTE COMERCIO DE LIVROS LTDA</t>
  </si>
  <si>
    <t xml:space="preserve">LIVRARIA LE</t>
  </si>
  <si>
    <t xml:space="preserve">LE LIVRARIA</t>
  </si>
  <si>
    <t xml:space="preserve">JOSE BERNARDO PEREIRA</t>
  </si>
  <si>
    <t xml:space="preserve">GUGU LANCHES</t>
  </si>
  <si>
    <t xml:space="preserve">MOHAMAD SAID E CAVALCANTE LTDA</t>
  </si>
  <si>
    <t xml:space="preserve">KALFAT</t>
  </si>
  <si>
    <t xml:space="preserve">ACAC COMERCIO DERIVADOS DE PETROLEO LTDA</t>
  </si>
  <si>
    <t xml:space="preserve">NOSSO POSTO</t>
  </si>
  <si>
    <t xml:space="preserve">SILVERIA TEREZINHA GASS</t>
  </si>
  <si>
    <t xml:space="preserve">MINI MERCADO VISTA ALEGRE LTDA</t>
  </si>
  <si>
    <t xml:space="preserve">MINI MERCADO VISTA ALEGRE</t>
  </si>
  <si>
    <t xml:space="preserve">LUIZ ANTONIO SANTOS</t>
  </si>
  <si>
    <t xml:space="preserve">LINDINALVA G DOS SANTOS E FILHOS LTDA</t>
  </si>
  <si>
    <t xml:space="preserve">MERCADO BLUMENAU</t>
  </si>
  <si>
    <t xml:space="preserve">S C BARBOSA COELHO</t>
  </si>
  <si>
    <t xml:space="preserve">DOCES ADRIANA</t>
  </si>
  <si>
    <t xml:space="preserve">NORMA GOMES VARGAS</t>
  </si>
  <si>
    <t xml:space="preserve">SUPERMERCADO VARGAS</t>
  </si>
  <si>
    <t xml:space="preserve">COSTA E BARETA LTDA</t>
  </si>
  <si>
    <t xml:space="preserve">COMERCIO DE BEBIDAS DINIZ</t>
  </si>
  <si>
    <t xml:space="preserve">EXPORTADORA IMPORTADORA SAN MATHEUS LTDA</t>
  </si>
  <si>
    <t xml:space="preserve">SAN MATEU LTDA.</t>
  </si>
  <si>
    <t xml:space="preserve">ANTONIO CASANOVA SILVA</t>
  </si>
  <si>
    <t xml:space="preserve">ANTONIO DA SILVA FREITAS</t>
  </si>
  <si>
    <t xml:space="preserve">MERCADO DA BARAO</t>
  </si>
  <si>
    <t xml:space="preserve">BRINGHENTI E ALMEIDA LTDA</t>
  </si>
  <si>
    <t xml:space="preserve">PANIFICADORA MINUANO</t>
  </si>
  <si>
    <t xml:space="preserve">JOAO MARCOS PINHEIRO ROCHA</t>
  </si>
  <si>
    <t xml:space="preserve">MERCEARIA 3 IRMAO</t>
  </si>
  <si>
    <t xml:space="preserve">AUTO POSTO AURORA LTDA</t>
  </si>
  <si>
    <t xml:space="preserve">AUTO POSTO AURORA</t>
  </si>
  <si>
    <t xml:space="preserve">CLAUDIO RICANELLI</t>
  </si>
  <si>
    <t xml:space="preserve">RICANELLI MINI MERCADO</t>
  </si>
  <si>
    <t xml:space="preserve">CAETANO THOME</t>
  </si>
  <si>
    <t xml:space="preserve">CASA DE CARNE THOME</t>
  </si>
  <si>
    <t xml:space="preserve">GERSON DOS SANTOS</t>
  </si>
  <si>
    <t xml:space="preserve">TRIUNFANTE RIO GDE SUL ALIMENT LTDA</t>
  </si>
  <si>
    <t xml:space="preserve">PORTO ALEGRE</t>
  </si>
  <si>
    <t xml:space="preserve">TRIUNFANTE PORTO ALEGRE</t>
  </si>
  <si>
    <t xml:space="preserve">SICCAL CARGAS E ENCOMENDAS LTDA</t>
  </si>
  <si>
    <t xml:space="preserve">LICIO DE TOLEDO MACIEL JUNIOR</t>
  </si>
  <si>
    <t xml:space="preserve">CONTRAMAO VIDEO</t>
  </si>
  <si>
    <t xml:space="preserve">A A DOS SANTOS</t>
  </si>
  <si>
    <t xml:space="preserve">SUPERMERCADO ZULU</t>
  </si>
  <si>
    <t xml:space="preserve">4L TRANSPORTES LTDA</t>
  </si>
  <si>
    <t xml:space="preserve">BAURU</t>
  </si>
  <si>
    <t xml:space="preserve">4L TRANSPORTES</t>
  </si>
  <si>
    <t xml:space="preserve">L M A CHAVES NOGUEIRA</t>
  </si>
  <si>
    <t xml:space="preserve">F R CRUZ</t>
  </si>
  <si>
    <t xml:space="preserve">SUPERMERCADO SERVE BEM</t>
  </si>
  <si>
    <t xml:space="preserve">POSTO NIKKEY LTDA</t>
  </si>
  <si>
    <t xml:space="preserve">ELIANA MARIA MAGRINI CASTANHA</t>
  </si>
  <si>
    <t xml:space="preserve">HOTEL DANIEL</t>
  </si>
  <si>
    <t xml:space="preserve">ALVES DA SILVA E FILHA LTDA</t>
  </si>
  <si>
    <t xml:space="preserve">SANTOS E EUZEBIO LTDA</t>
  </si>
  <si>
    <t xml:space="preserve">MERCADO CAIUAS</t>
  </si>
  <si>
    <t xml:space="preserve">IRMA FERNANDES DOS SANTOS</t>
  </si>
  <si>
    <t xml:space="preserve">SARTORI E SARTORI LTDA EPP</t>
  </si>
  <si>
    <t xml:space="preserve">SARTORI E SARTORI</t>
  </si>
  <si>
    <t xml:space="preserve">SUPERMERCADO NEVOEIRO LTDA</t>
  </si>
  <si>
    <t xml:space="preserve">SM NEVOEIRO</t>
  </si>
  <si>
    <t xml:space="preserve">PEDRO GARCIA DOS SANTOS</t>
  </si>
  <si>
    <t xml:space="preserve">MERCEARIA PEDRINHO</t>
  </si>
  <si>
    <t xml:space="preserve">IVALDO CASTELLI</t>
  </si>
  <si>
    <t xml:space="preserve">COMERCIAL CASTELLI</t>
  </si>
  <si>
    <t xml:space="preserve">SANDRA REGINA DA SILVA</t>
  </si>
  <si>
    <t xml:space="preserve">PANIFICADORA AGUA NA BOCA</t>
  </si>
  <si>
    <t xml:space="preserve">CLAUDIA DO NASCIMENTO GIMENEZ</t>
  </si>
  <si>
    <t xml:space="preserve">SM LUMARU</t>
  </si>
  <si>
    <t xml:space="preserve">MERCADO LAYS</t>
  </si>
  <si>
    <t xml:space="preserve">COMERCIAL TIJUCAS LTDA</t>
  </si>
  <si>
    <t xml:space="preserve">SUPERMERCADO TIJUCA</t>
  </si>
  <si>
    <t xml:space="preserve">ANALIA OLIVEIRA BONATO</t>
  </si>
  <si>
    <t xml:space="preserve">FLORES &amp; SONHOS</t>
  </si>
  <si>
    <t xml:space="preserve">CELENITA BONAMIGO DE JESUS</t>
  </si>
  <si>
    <t xml:space="preserve">COMERCIAL HENRIQUE</t>
  </si>
  <si>
    <t xml:space="preserve">FERNANDO MARIN CARVALHO</t>
  </si>
  <si>
    <t xml:space="preserve">ACADEMIA PERFORMANCE</t>
  </si>
  <si>
    <t xml:space="preserve">IVANILDO RODRIGUES DE ALMEIDA</t>
  </si>
  <si>
    <t xml:space="preserve">MERCADO ALMEIDA</t>
  </si>
  <si>
    <t xml:space="preserve">ENGSTER E DALLA ROSA LTDA</t>
  </si>
  <si>
    <t xml:space="preserve">RESTAURANTE E LANCH PEGORADO</t>
  </si>
  <si>
    <t xml:space="preserve">MILENA PRODUTOS ALIMENTICIOS LTDA</t>
  </si>
  <si>
    <t xml:space="preserve">MILENA</t>
  </si>
  <si>
    <t xml:space="preserve">MANUEL VIEIRA DA COSTA</t>
  </si>
  <si>
    <t xml:space="preserve">PANF GLORIA</t>
  </si>
  <si>
    <t xml:space="preserve">AUTO VIDROS CALOGERAS LTDA</t>
  </si>
  <si>
    <t xml:space="preserve">AUTO VIDROS</t>
  </si>
  <si>
    <t xml:space="preserve">MARIA DE FATIMA OLIVEIRA MARECO</t>
  </si>
  <si>
    <t xml:space="preserve">MARCELO CONVENIENCIAS</t>
  </si>
  <si>
    <t xml:space="preserve">PAULO OSHIRO</t>
  </si>
  <si>
    <t xml:space="preserve">MARIA REGINA MARTINS VELOSO</t>
  </si>
  <si>
    <t xml:space="preserve">SALBOR RESTAURANTE E LANCH</t>
  </si>
  <si>
    <t xml:space="preserve">POSTO RANCHARIA</t>
  </si>
  <si>
    <t xml:space="preserve">CIDERCLEIA DOS SANTOS</t>
  </si>
  <si>
    <t xml:space="preserve">FRUTASUL COM GEN ALIM</t>
  </si>
  <si>
    <t xml:space="preserve">HOMERO SANTANA DE FREITAS E CIA LTDA</t>
  </si>
  <si>
    <t xml:space="preserve">CASA DAS MOTOS</t>
  </si>
  <si>
    <t xml:space="preserve">EMERSON LEVY ESPINDOLA DIAS</t>
  </si>
  <si>
    <t xml:space="preserve">CAFE MOSTARDA</t>
  </si>
  <si>
    <t xml:space="preserve">MERCADO KI BARATO LTDA</t>
  </si>
  <si>
    <t xml:space="preserve">MERCADO BOM PRE?O</t>
  </si>
  <si>
    <t xml:space="preserve">RODOVALHO E TERCEROS LTDA ME</t>
  </si>
  <si>
    <t xml:space="preserve">AUTO POSTO COSTA RICA</t>
  </si>
  <si>
    <t xml:space="preserve">KATIA LEITE ALBUQUERQUE SOUZA</t>
  </si>
  <si>
    <t xml:space="preserve">MARISTELA SAFANELLI</t>
  </si>
  <si>
    <t xml:space="preserve">VALDECI PEDRO DOS SANTOS</t>
  </si>
  <si>
    <t xml:space="preserve">MERCADO TRICOLOR</t>
  </si>
  <si>
    <t xml:space="preserve">ADEMAR BATISTA DE NOVAES</t>
  </si>
  <si>
    <t xml:space="preserve">PANIF 3 ESTRELAS</t>
  </si>
  <si>
    <t xml:space="preserve">SEVEN ADMINISTRACAO E PARTICIPACAO LTDA </t>
  </si>
  <si>
    <t xml:space="preserve">NOVOTEL CAMPO GRANDE</t>
  </si>
  <si>
    <t xml:space="preserve">SEVEN ADMINISTRACAO  E PARTICIPACAO LTDA</t>
  </si>
  <si>
    <t xml:space="preserve">IBIS</t>
  </si>
  <si>
    <t xml:space="preserve">IBIS BUDGET</t>
  </si>
  <si>
    <t xml:space="preserve">SUPERMERCADO CRISTO REI</t>
  </si>
  <si>
    <t xml:space="preserve">MERCEARIA VENTURA LTDA</t>
  </si>
  <si>
    <t xml:space="preserve">MAURI PEREIRA MENDONCA</t>
  </si>
  <si>
    <t xml:space="preserve">CONV GUANANDY</t>
  </si>
  <si>
    <t xml:space="preserve">BRILHO BELEZA COSMETICOS LTDA</t>
  </si>
  <si>
    <t xml:space="preserve">BRILHO &amp; BELEZA</t>
  </si>
  <si>
    <t xml:space="preserve">DULCE PEREIRA COSTA</t>
  </si>
  <si>
    <t xml:space="preserve">MINI MERCADO VITORIA</t>
  </si>
  <si>
    <t xml:space="preserve">GIMENEZ E SANTANA ALIMENTOS LTDA</t>
  </si>
  <si>
    <t xml:space="preserve">VERDURAO TEND TUDO</t>
  </si>
  <si>
    <t xml:space="preserve">ADEMAR SERVILLA MARTINES</t>
  </si>
  <si>
    <t xml:space="preserve">MINI MERCADO SOBERANO</t>
  </si>
  <si>
    <t xml:space="preserve">ORMEZINDA MARIA DE MELO NUNES</t>
  </si>
  <si>
    <t xml:space="preserve">BAR E LANCH RODOBAR</t>
  </si>
  <si>
    <t xml:space="preserve">JOAO AVELINO BATISTA ME/MS</t>
  </si>
  <si>
    <t xml:space="preserve">MINI</t>
  </si>
  <si>
    <t xml:space="preserve">FREE COM COMERCIO ALIM LTDA ME/MS</t>
  </si>
  <si>
    <t xml:space="preserve">CHURRASCARIA DO GAUCHO GASTAO</t>
  </si>
  <si>
    <t xml:space="preserve">VILMA DA SILVA DUTRA</t>
  </si>
  <si>
    <t xml:space="preserve">MERCEARIA E CONVENIENCIA 20</t>
  </si>
  <si>
    <t xml:space="preserve">ELIANE RIBAS FERREIRA</t>
  </si>
  <si>
    <t xml:space="preserve">PANIF E CONV. SANTO MEU KI-PAO</t>
  </si>
  <si>
    <t xml:space="preserve">NILTON DIAS MIRANDA</t>
  </si>
  <si>
    <t xml:space="preserve">REDE CASA DO CRIADOR</t>
  </si>
  <si>
    <t xml:space="preserve">CASA DO CRIADOR</t>
  </si>
  <si>
    <t xml:space="preserve">VALERIA APARECIDA L R H MELLO ME/MS</t>
  </si>
  <si>
    <t xml:space="preserve">ALBERGUE</t>
  </si>
  <si>
    <t xml:space="preserve">TOSCANA SORVETES LTDA</t>
  </si>
  <si>
    <t xml:space="preserve">TOSCANA SORVETES</t>
  </si>
  <si>
    <t xml:space="preserve">A EVANGELISTA E CIA LTDA</t>
  </si>
  <si>
    <t xml:space="preserve">MERCADO E ACOUGUE TALISMA</t>
  </si>
  <si>
    <t xml:space="preserve">CLAUDIO ALVES MEDEIROS</t>
  </si>
  <si>
    <t xml:space="preserve">SUPERMERCADO VITOR LTDA</t>
  </si>
  <si>
    <t xml:space="preserve">SM VITOR</t>
  </si>
  <si>
    <t xml:space="preserve">MOISES FERREIRA</t>
  </si>
  <si>
    <t xml:space="preserve">MERCADO SERV LAR LTDA</t>
  </si>
  <si>
    <t xml:space="preserve">MERCADO SEVILAR</t>
  </si>
  <si>
    <t xml:space="preserve">ARAUJO E CARMO LTDA</t>
  </si>
  <si>
    <t xml:space="preserve">RESTAURANTE MA?ARICO</t>
  </si>
  <si>
    <t xml:space="preserve">ODETE NAHABEDIAN</t>
  </si>
  <si>
    <t xml:space="preserve">PADARIA E CONFEITARIA LIDER</t>
  </si>
  <si>
    <t xml:space="preserve">PEDRO BAZAN FILHO</t>
  </si>
  <si>
    <t xml:space="preserve">MERCEARIA BAZAN</t>
  </si>
  <si>
    <t xml:space="preserve">ONOFRE M SERAPIAO</t>
  </si>
  <si>
    <t xml:space="preserve">PAPELARIA MIL KOISAS</t>
  </si>
  <si>
    <t xml:space="preserve">CARLOS JOSE ARAUJO TEIXEIRA</t>
  </si>
  <si>
    <t xml:space="preserve">MERCADO E ACOUGUE FORTALEZA</t>
  </si>
  <si>
    <t xml:space="preserve">R DA COSTA MONTEZANO</t>
  </si>
  <si>
    <t xml:space="preserve">MERCADO CAMPO GRANDE</t>
  </si>
  <si>
    <t xml:space="preserve">MARIA GOMES DA SILVA FERREIRA</t>
  </si>
  <si>
    <t xml:space="preserve">COMERCIAL CASCATINHA</t>
  </si>
  <si>
    <t xml:space="preserve">AUTO POSTO GL II LTDA</t>
  </si>
  <si>
    <t xml:space="preserve">POSTO CAMPO VERDE</t>
  </si>
  <si>
    <t xml:space="preserve">COMERCIO DE CARNES TIRADENTES LTDA</t>
  </si>
  <si>
    <t xml:space="preserve">MERCADO E ACOUGUE TIRADENTES</t>
  </si>
  <si>
    <t xml:space="preserve">GILBERTO ARAUJO COSTA</t>
  </si>
  <si>
    <t xml:space="preserve">DEP BEBIDAS MERC GUISSONI</t>
  </si>
  <si>
    <t xml:space="preserve">DOLCE E PANECONFEITARIA LTDA</t>
  </si>
  <si>
    <t xml:space="preserve">DOLCE E PANE CONFEITARIA</t>
  </si>
  <si>
    <t xml:space="preserve">ANA PAULA REIS SANTANA</t>
  </si>
  <si>
    <t xml:space="preserve">M R S CONCEICAO</t>
  </si>
  <si>
    <t xml:space="preserve">COMERCIAL DO PARTO</t>
  </si>
  <si>
    <t xml:space="preserve">SUPERMERCADO SERV BEM LTDA</t>
  </si>
  <si>
    <t xml:space="preserve">SUPERMERCADO SERV BEM</t>
  </si>
  <si>
    <t xml:space="preserve">J G C CONFEITARIA LTDA ME/MS</t>
  </si>
  <si>
    <t xml:space="preserve">JACIMAR CONF. PANIFICADORA</t>
  </si>
  <si>
    <t xml:space="preserve">BAREIRO E BAEZ LTDA</t>
  </si>
  <si>
    <t xml:space="preserve">CONV SERV FESTAS</t>
  </si>
  <si>
    <t xml:space="preserve">SARA COMERCIAL LTDA</t>
  </si>
  <si>
    <t xml:space="preserve">SAO GABRIEL PANIFIC E COM BEBIDAS LTDA  </t>
  </si>
  <si>
    <t xml:space="preserve">JOAO BATISTA CAVALCANTI</t>
  </si>
  <si>
    <t xml:space="preserve">MERCEARIA NS SRA APARECIDA</t>
  </si>
  <si>
    <t xml:space="preserve">JOAO MOREIRA DE LIMA</t>
  </si>
  <si>
    <t xml:space="preserve">PIT STOP CONVENIENCIAS</t>
  </si>
  <si>
    <t xml:space="preserve">MERCEARIA NAKAMURA LTDA</t>
  </si>
  <si>
    <t xml:space="preserve">MERCADO E ACOU NAKAMURA</t>
  </si>
  <si>
    <t xml:space="preserve">ARIEDNA SERRA</t>
  </si>
  <si>
    <t xml:space="preserve">CASA DO PASTEL</t>
  </si>
  <si>
    <t xml:space="preserve">VIDA LONGA CONFECCOES LTDA</t>
  </si>
  <si>
    <t xml:space="preserve">EX'CLAMA?AO</t>
  </si>
  <si>
    <t xml:space="preserve">EDSON ALVES DIAS</t>
  </si>
  <si>
    <t xml:space="preserve">SALES E OLIVEIRA E FILHO LTDA</t>
  </si>
  <si>
    <t xml:space="preserve">PASCOAL SOUZA VASCO</t>
  </si>
  <si>
    <t xml:space="preserve">MINI MERCADO E BAR PASCOAL</t>
  </si>
  <si>
    <t xml:space="preserve">MARILEYDE SOARES COSTA CAMARGO</t>
  </si>
  <si>
    <t xml:space="preserve">MINI MERCADO BROTAO</t>
  </si>
  <si>
    <t xml:space="preserve">OLIVEIRA ROCHA COM DOCES LTDA</t>
  </si>
  <si>
    <t xml:space="preserve">DOCE DELICIA</t>
  </si>
  <si>
    <t xml:space="preserve">COMERCIAL CASA DAS LATAS LTDA</t>
  </si>
  <si>
    <t xml:space="preserve">CASA DA LATAS</t>
  </si>
  <si>
    <t xml:space="preserve">FERNANDO ALLE DOS SANTOS</t>
  </si>
  <si>
    <t xml:space="preserve">ESPETEX CARNES E CONV</t>
  </si>
  <si>
    <t xml:space="preserve">GRASIELE KATY FRACARO</t>
  </si>
  <si>
    <t xml:space="preserve">AMERICA RESTAURANTE</t>
  </si>
  <si>
    <t xml:space="preserve">LOURDES PEREIRA BASSO ME</t>
  </si>
  <si>
    <t xml:space="preserve">DROGARIA POPULAR CENTRAL</t>
  </si>
  <si>
    <t xml:space="preserve">DAL PIVA E ROCAMORA LTDA</t>
  </si>
  <si>
    <t xml:space="preserve">PANIF ALBUQUERQUE</t>
  </si>
  <si>
    <t xml:space="preserve">CENTRAL BORRACHAS E FERRAMENTAS LTDA</t>
  </si>
  <si>
    <t xml:space="preserve">CENTRAL BORRACHAS</t>
  </si>
  <si>
    <t xml:space="preserve">MORAES E RAMOS LTDA</t>
  </si>
  <si>
    <t xml:space="preserve">SUPERMERCADO NOGUEIRA I</t>
  </si>
  <si>
    <t xml:space="preserve">EMPORIO SAINT PHILLIPE LTDA</t>
  </si>
  <si>
    <t xml:space="preserve">EMPORIO SAINT PHILLIPE</t>
  </si>
  <si>
    <t xml:space="preserve">HOSPITAL E MATERNIDADE SAO LUIZ S/C LTDA</t>
  </si>
  <si>
    <t xml:space="preserve">HOSPITAL E CLINICA SAO LUIS</t>
  </si>
  <si>
    <t xml:space="preserve">JUSSENILIA ALMEIDA DE S ANDRADE</t>
  </si>
  <si>
    <t xml:space="preserve">VAREJAO DE BEBIDAS BOA SORTE</t>
  </si>
  <si>
    <t xml:space="preserve">LUNARDI E SILVA LTDA</t>
  </si>
  <si>
    <t xml:space="preserve">GRISON E FILHA LTDA</t>
  </si>
  <si>
    <t xml:space="preserve">JANIO TEIXEIRA SILVA</t>
  </si>
  <si>
    <t xml:space="preserve">MERCEARIA AURORA</t>
  </si>
  <si>
    <t xml:space="preserve">MARIA HELENA REZENDE</t>
  </si>
  <si>
    <t xml:space="preserve">PANIF PONTO DE ENCONTRO</t>
  </si>
  <si>
    <t xml:space="preserve">PEREIRA E MOREIRA LTDA</t>
  </si>
  <si>
    <t xml:space="preserve">SANTOS E RIATO LTDA</t>
  </si>
  <si>
    <t xml:space="preserve">DROGARIA RENASCER LTDA</t>
  </si>
  <si>
    <t xml:space="preserve">DROGARIA RENASCER</t>
  </si>
  <si>
    <t xml:space="preserve">DONIZETE JOSE DOS SANTOS</t>
  </si>
  <si>
    <t xml:space="preserve">D J</t>
  </si>
  <si>
    <t xml:space="preserve">EDYWALDA SOARES SANTOS</t>
  </si>
  <si>
    <t xml:space="preserve">DEUSDETE BRITTO DE SOUZA</t>
  </si>
  <si>
    <t xml:space="preserve">MERCADO E CONVENIENCIA BRITTO</t>
  </si>
  <si>
    <t xml:space="preserve">D R B SCARIM</t>
  </si>
  <si>
    <t xml:space="preserve">SM CARINHOSO</t>
  </si>
  <si>
    <t xml:space="preserve">MARCELO DE SOUZA BARTOLOMEU</t>
  </si>
  <si>
    <t xml:space="preserve">SERV FESTA 24HRS</t>
  </si>
  <si>
    <t xml:space="preserve">VIA OLIMPICA ACAD DE ED FISICA LTDA</t>
  </si>
  <si>
    <t xml:space="preserve">VIA OLIMPICA ACDEMIA</t>
  </si>
  <si>
    <t xml:space="preserve">EDGAR KIYOTA BARBOSA SILVA</t>
  </si>
  <si>
    <t xml:space="preserve">NIPON PAES</t>
  </si>
  <si>
    <t xml:space="preserve">EDILSON CONSOLINI E CIA LTDA</t>
  </si>
  <si>
    <t xml:space="preserve">IVANILDE TOSTA QUEROS</t>
  </si>
  <si>
    <t xml:space="preserve">SIQUEIRA COMERCIAL DE FRIOS LTDA</t>
  </si>
  <si>
    <t xml:space="preserve">EXTRA BOX</t>
  </si>
  <si>
    <t xml:space="preserve">G D C ALIMENTOS S.A</t>
  </si>
  <si>
    <t xml:space="preserve">ITAJAI</t>
  </si>
  <si>
    <t xml:space="preserve">G D C</t>
  </si>
  <si>
    <t xml:space="preserve">G D C ALIMENTOS S/A</t>
  </si>
  <si>
    <t xml:space="preserve">GOMES DA COSTA</t>
  </si>
  <si>
    <t xml:space="preserve">GDC ALIMENTOS SA</t>
  </si>
  <si>
    <t xml:space="preserve">GDC</t>
  </si>
  <si>
    <t xml:space="preserve">AUTO POSTO NOVO SECULO LTDA</t>
  </si>
  <si>
    <t xml:space="preserve">NOVO SECULO</t>
  </si>
  <si>
    <t xml:space="preserve">SILVA E SAOVESSO LTDA</t>
  </si>
  <si>
    <t xml:space="preserve">POSTO CENTRAL</t>
  </si>
  <si>
    <t xml:space="preserve">PAULO LEANDRO MORAIS</t>
  </si>
  <si>
    <t xml:space="preserve">MERCADO NOVA AMERICA</t>
  </si>
  <si>
    <t xml:space="preserve">MARGARETE DA SILVA ME</t>
  </si>
  <si>
    <t xml:space="preserve">SUPERMERCADO PERENE</t>
  </si>
  <si>
    <t xml:space="preserve">MERCEARIA BRITO LTDA</t>
  </si>
  <si>
    <t xml:space="preserve">REDEMS CAMILA </t>
  </si>
  <si>
    <t xml:space="preserve">SM CAMILA</t>
  </si>
  <si>
    <t xml:space="preserve">MERCEARIA MARQUES DA SILVA LTDA</t>
  </si>
  <si>
    <t xml:space="preserve">SM LONDRINENSE</t>
  </si>
  <si>
    <t xml:space="preserve">DEWES E CIA LTDA</t>
  </si>
  <si>
    <t xml:space="preserve">PAULOVIC E PISANI LTDA</t>
  </si>
  <si>
    <t xml:space="preserve">DIST.PROD.ALIMENTICIOS NENE</t>
  </si>
  <si>
    <t xml:space="preserve">ARMANDA ARGUELHO RAMIRES</t>
  </si>
  <si>
    <t xml:space="preserve">ARMANDA A.RAMIRES</t>
  </si>
  <si>
    <t xml:space="preserve">SUELY DE SOUZA TEODORO</t>
  </si>
  <si>
    <t xml:space="preserve">PANIF CONF PAO CROCANTE</t>
  </si>
  <si>
    <t xml:space="preserve">FRANCA COMERCIAL DE ALIMENTOS LTDA</t>
  </si>
  <si>
    <t xml:space="preserve">MERCADO STA.BARBARA</t>
  </si>
  <si>
    <t xml:space="preserve">EMILIANA BENITES</t>
  </si>
  <si>
    <t xml:space="preserve">ESTA?AO DA CARNE CONVENIENCIA</t>
  </si>
  <si>
    <t xml:space="preserve">AMARILDO JOSE BALESTRIN</t>
  </si>
  <si>
    <t xml:space="preserve">RIO SUL REST (RODOVIARIA )</t>
  </si>
  <si>
    <t xml:space="preserve">ESCOBAR PODEROSO LTDA</t>
  </si>
  <si>
    <t xml:space="preserve">COMERCIAL SAO PEDRO</t>
  </si>
  <si>
    <t xml:space="preserve">GILVAN HOBOLD</t>
  </si>
  <si>
    <t xml:space="preserve">PANIF RICARDO FRANCO</t>
  </si>
  <si>
    <t xml:space="preserve">ROBERTO MOURA</t>
  </si>
  <si>
    <t xml:space="preserve">MERCADO YL</t>
  </si>
  <si>
    <t xml:space="preserve">COMERCIAL VENANCIO DE BEBIDAS LTDA</t>
  </si>
  <si>
    <t xml:space="preserve">CORDIL DE CASSILANDIA</t>
  </si>
  <si>
    <t xml:space="preserve">BELONI TEREZINHA COMARELLA</t>
  </si>
  <si>
    <t xml:space="preserve">COMERCIAL COMARELA</t>
  </si>
  <si>
    <t xml:space="preserve">SM PLANALTO</t>
  </si>
  <si>
    <t xml:space="preserve">ALEXANDRE SCAFF RAFFI</t>
  </si>
  <si>
    <t xml:space="preserve">LUZ DA LUZ BAR E CHOPERIA</t>
  </si>
  <si>
    <t xml:space="preserve">SEBASTIANA MESSIAS</t>
  </si>
  <si>
    <t xml:space="preserve">MERCEARIA N. SENHORA APARECIDA</t>
  </si>
  <si>
    <t xml:space="preserve">PAULO CEZAR SOBRAL</t>
  </si>
  <si>
    <t xml:space="preserve">SM VERATTI - LJ04</t>
  </si>
  <si>
    <t xml:space="preserve">MERCADO VERATTI V</t>
  </si>
  <si>
    <t xml:space="preserve">ROSIMERI GIOMBELLI SANDRI</t>
  </si>
  <si>
    <t xml:space="preserve">MERCEARIA JS LTDA</t>
  </si>
  <si>
    <t xml:space="preserve">ACOUGUE E FRUTARIA AMIGAO</t>
  </si>
  <si>
    <t xml:space="preserve">AGENCIA LOTERICA 500 MILHAS LTDA</t>
  </si>
  <si>
    <t xml:space="preserve">LOTERICA 500 MILHAS</t>
  </si>
  <si>
    <t xml:space="preserve">POSTO FIGUEIRA LTDA</t>
  </si>
  <si>
    <t xml:space="preserve">POSTO FIGUEIRA</t>
  </si>
  <si>
    <t xml:space="preserve">SUGUI E SUYAMA LTDA</t>
  </si>
  <si>
    <t xml:space="preserve">SM FORMOSO</t>
  </si>
  <si>
    <t xml:space="preserve">COMERCIAL RSV LTDA</t>
  </si>
  <si>
    <t xml:space="preserve">COMERCIAL RSV</t>
  </si>
  <si>
    <t xml:space="preserve">HOTEL OT LTDA</t>
  </si>
  <si>
    <t xml:space="preserve">HOTEL OT</t>
  </si>
  <si>
    <t xml:space="preserve">K BARATO SUPERMERCADO LTDA</t>
  </si>
  <si>
    <t xml:space="preserve">K'BARATO SM</t>
  </si>
  <si>
    <t xml:space="preserve">MARTINS E GEDRO LTDA</t>
  </si>
  <si>
    <t xml:space="preserve">ADEMAR MICHALSKI</t>
  </si>
  <si>
    <t xml:space="preserve">DROGARIA NIOAQUE</t>
  </si>
  <si>
    <t xml:space="preserve">TROPGRAPH LTDA</t>
  </si>
  <si>
    <t xml:space="preserve">GRAFICA TROPICAL</t>
  </si>
  <si>
    <t xml:space="preserve">WOW NUTRION IND E COMERCIO S A</t>
  </si>
  <si>
    <t xml:space="preserve">CACAPAVA</t>
  </si>
  <si>
    <t xml:space="preserve">WOW NUTRION</t>
  </si>
  <si>
    <t xml:space="preserve">ANNE CONVENIENCIAS LTDA</t>
  </si>
  <si>
    <t xml:space="preserve">ANNE CONVENIENCIAS</t>
  </si>
  <si>
    <t xml:space="preserve">DISTRIBUIDORA DE ALIMENTOS SONORA LTDA  </t>
  </si>
  <si>
    <t xml:space="preserve">REDE AMIGAO </t>
  </si>
  <si>
    <t xml:space="preserve">PANIFICADORA MARICA LTDA</t>
  </si>
  <si>
    <t xml:space="preserve">REDE GRUPAO </t>
  </si>
  <si>
    <t xml:space="preserve">PANIF MARICA</t>
  </si>
  <si>
    <t xml:space="preserve">F ROBBIN</t>
  </si>
  <si>
    <t xml:space="preserve">DOCES ECONOMICO</t>
  </si>
  <si>
    <t xml:space="preserve">SILVANA APARECIDA SANTOS LARA</t>
  </si>
  <si>
    <t xml:space="preserve">SILVIA FARMA</t>
  </si>
  <si>
    <t xml:space="preserve">L R SUPERMERCADOS LTDA</t>
  </si>
  <si>
    <t xml:space="preserve">REDE DOIS IRMãOS</t>
  </si>
  <si>
    <t xml:space="preserve">SUPERMERCADO DOIS IRMAOS</t>
  </si>
  <si>
    <t xml:space="preserve">SUPERMERCADO 2 IRMAOS</t>
  </si>
  <si>
    <t xml:space="preserve">SUPERMERCADO DOIS IRMAOS 4</t>
  </si>
  <si>
    <t xml:space="preserve">CENTRAL DE DISTRIBUICAO DOIS IRMAOS</t>
  </si>
  <si>
    <t xml:space="preserve">SUPER DOIS IRMAOS</t>
  </si>
  <si>
    <t xml:space="preserve">JOSE FRANCISCO ALVES MERCADO</t>
  </si>
  <si>
    <t xml:space="preserve">MARIA FLORES LTDA</t>
  </si>
  <si>
    <t xml:space="preserve">MARIA FLORES - FLORICULTURA</t>
  </si>
  <si>
    <t xml:space="preserve">MARLENE CLAUDIO PEREIRA</t>
  </si>
  <si>
    <t xml:space="preserve">SUPERMERCADO REUNIDAS</t>
  </si>
  <si>
    <t xml:space="preserve">PRANDI E CIA LTDA</t>
  </si>
  <si>
    <t xml:space="preserve">MERCADO KIBARATO</t>
  </si>
  <si>
    <t xml:space="preserve">ANA ROSA FAUSTINO</t>
  </si>
  <si>
    <t xml:space="preserve">ALDO ANTONIO BATISTA GODOI</t>
  </si>
  <si>
    <t xml:space="preserve">SORV PONTO FRIO</t>
  </si>
  <si>
    <t xml:space="preserve">FARES SAID FAYEK</t>
  </si>
  <si>
    <t xml:space="preserve">DISTRIBUIDORA ALIANCA</t>
  </si>
  <si>
    <t xml:space="preserve">LUZIPAN PANIF LANCH CONV LTDA</t>
  </si>
  <si>
    <t xml:space="preserve">PANIFICADORA LUZIPAN</t>
  </si>
  <si>
    <t xml:space="preserve">PEROMINGO E MENEZES LTDA</t>
  </si>
  <si>
    <t xml:space="preserve">AUTO POSTO ITAMBE LTDA</t>
  </si>
  <si>
    <t xml:space="preserve">POSTO ITAMBE</t>
  </si>
  <si>
    <t xml:space="preserve">PAMPAS PRODUTOS ALIMENTICIOS LTDA</t>
  </si>
  <si>
    <t xml:space="preserve">PAMPAS RESTAURANTE</t>
  </si>
  <si>
    <t xml:space="preserve">CLEONICE GONCALVES ALONSO MERIQUE</t>
  </si>
  <si>
    <t xml:space="preserve">LELU COSMET PERF E BIOUTERIAS</t>
  </si>
  <si>
    <t xml:space="preserve">QUEIROZ E MICLOS LTDA</t>
  </si>
  <si>
    <t xml:space="preserve">PANF CRISTAL</t>
  </si>
  <si>
    <t xml:space="preserve">JATHAI SORVETES LTDA</t>
  </si>
  <si>
    <t xml:space="preserve">SORVETES JATHAI</t>
  </si>
  <si>
    <t xml:space="preserve">LUCIARA FERREIRA PALHANO</t>
  </si>
  <si>
    <t xml:space="preserve">PANIFICADORA OURO BRANCO</t>
  </si>
  <si>
    <t xml:space="preserve">S Q SILVA</t>
  </si>
  <si>
    <t xml:space="preserve">HELOISA CRISTINA PERES RODRIGUES</t>
  </si>
  <si>
    <t xml:space="preserve">PHARMACIA E DROGARIA BRASIL</t>
  </si>
  <si>
    <t xml:space="preserve">APARECIDA SILVA PASSARINI</t>
  </si>
  <si>
    <t xml:space="preserve">PADARIA DO PASSARINHO</t>
  </si>
  <si>
    <t xml:space="preserve">CENTRAL PAES LTDA</t>
  </si>
  <si>
    <t xml:space="preserve">PANETERIA KI PAO</t>
  </si>
  <si>
    <t xml:space="preserve">MARIA DE FATIMA GOMES DA SILVA</t>
  </si>
  <si>
    <t xml:space="preserve">SALTENHA E CIA</t>
  </si>
  <si>
    <t xml:space="preserve">COVRE E SOUZA LTDA</t>
  </si>
  <si>
    <t xml:space="preserve">ADAEL SUPERMERCADOS LTDA</t>
  </si>
  <si>
    <t xml:space="preserve">ADAEL SUPERMERCADO</t>
  </si>
  <si>
    <t xml:space="preserve">DIAS ALVES E BARROS LTDA</t>
  </si>
  <si>
    <t xml:space="preserve">J.J. CONVENIENCIAS</t>
  </si>
  <si>
    <t xml:space="preserve">MERCADO PONTO CERTO LTDA</t>
  </si>
  <si>
    <t xml:space="preserve">VALTER MOLINA FERRINHO</t>
  </si>
  <si>
    <t xml:space="preserve">M MARIAS PARK HOTEL  REST E EVENTOS LTDA</t>
  </si>
  <si>
    <t xml:space="preserve">REST. E LANCH. PANELA DE PEDRA</t>
  </si>
  <si>
    <t xml:space="preserve">FERNANDO DOMINGOS ROCHA</t>
  </si>
  <si>
    <t xml:space="preserve">SM ISRAEL</t>
  </si>
  <si>
    <t xml:space="preserve">V A R HERANCE</t>
  </si>
  <si>
    <t xml:space="preserve">MERCADO SANTO ANTONIO LTDA</t>
  </si>
  <si>
    <t xml:space="preserve">LF PRESTADORA SERVICOS E DECORACOES LTDA</t>
  </si>
  <si>
    <t xml:space="preserve">L F</t>
  </si>
  <si>
    <t xml:space="preserve">VALDOLINO JORGE TRELHA</t>
  </si>
  <si>
    <t xml:space="preserve">DROGARIA CONFIANCA</t>
  </si>
  <si>
    <t xml:space="preserve">POUSADA DOM AQUINO LTDA ME</t>
  </si>
  <si>
    <t xml:space="preserve">POUSADA DOM AQUINO</t>
  </si>
  <si>
    <t xml:space="preserve">PEREIRA E HERTER LTDA</t>
  </si>
  <si>
    <t xml:space="preserve">COMERCIO DE CARNE ITANHAGA</t>
  </si>
  <si>
    <t xml:space="preserve">ANTONIO PEREIRA DOS SANTOS PANIFICADORA </t>
  </si>
  <si>
    <t xml:space="preserve">PANIF SERV MAIS</t>
  </si>
  <si>
    <t xml:space="preserve">ZINIA COMERCIO DE BEBIDAS LTDA</t>
  </si>
  <si>
    <t xml:space="preserve">PLUTAO CONVENIENCIAS</t>
  </si>
  <si>
    <t xml:space="preserve">AUTO POSTO PMP LTDA</t>
  </si>
  <si>
    <t xml:space="preserve">POSTO AVENIDA</t>
  </si>
  <si>
    <t xml:space="preserve">TAVARES E LOUVEIRA LTDA</t>
  </si>
  <si>
    <t xml:space="preserve">CHAPAO LA FIESTA</t>
  </si>
  <si>
    <t xml:space="preserve">MARIO CARDOSO DE MENEZES</t>
  </si>
  <si>
    <t xml:space="preserve">MERCADINHO MENEZES</t>
  </si>
  <si>
    <t xml:space="preserve">JOSE CARLOS C DO NASCIMENTO</t>
  </si>
  <si>
    <t xml:space="preserve">COMERCIAL O BARATEIRO</t>
  </si>
  <si>
    <t xml:space="preserve">MARIA NUNES JARA LOPES</t>
  </si>
  <si>
    <t xml:space="preserve">MIRACENTER NAUTICA LTDA</t>
  </si>
  <si>
    <t xml:space="preserve">ZANATTA PEREIRA E CIA LTDA</t>
  </si>
  <si>
    <t xml:space="preserve">CHUR</t>
  </si>
  <si>
    <t xml:space="preserve">SOUZA E PASCHOALOTTO LTDA</t>
  </si>
  <si>
    <t xml:space="preserve">M S DA SILVA</t>
  </si>
  <si>
    <t xml:space="preserve">SM SILVA</t>
  </si>
  <si>
    <t xml:space="preserve">TRANSPORTE REGIONAL DO INTERIOR PAULISTA</t>
  </si>
  <si>
    <t xml:space="preserve">TRIP LINHAS AEREAS</t>
  </si>
  <si>
    <t xml:space="preserve">LAPA MERCADO LTDA</t>
  </si>
  <si>
    <t xml:space="preserve">MERCADO LAPA</t>
  </si>
  <si>
    <t xml:space="preserve">LUQUE E NICOLETTI LTDA</t>
  </si>
  <si>
    <t xml:space="preserve">LUCAS MINI MERCADO</t>
  </si>
  <si>
    <t xml:space="preserve">NEUZA LUZIA PEREGO MELLO</t>
  </si>
  <si>
    <t xml:space="preserve">MERCADO GUIRAY</t>
  </si>
  <si>
    <t xml:space="preserve">R E R ALIMENTOS LTDA</t>
  </si>
  <si>
    <t xml:space="preserve">BENITO E FINELON LTDA</t>
  </si>
  <si>
    <t xml:space="preserve">LANCHONETE CENTRAL</t>
  </si>
  <si>
    <t xml:space="preserve">MARIA VIRGINIA F FERNANDES</t>
  </si>
  <si>
    <t xml:space="preserve">VERA LUCIA ELY</t>
  </si>
  <si>
    <t xml:space="preserve">REST AMIGAO</t>
  </si>
  <si>
    <t xml:space="preserve">R A MARTINS CAMARGO</t>
  </si>
  <si>
    <t xml:space="preserve">PREISSLER E VICENSI LTDA</t>
  </si>
  <si>
    <t xml:space="preserve">DROGARIA FARMARIS</t>
  </si>
  <si>
    <t xml:space="preserve">ITAJAPLAN ACESS PROJ AGROPEC LTDA</t>
  </si>
  <si>
    <t xml:space="preserve">ITAJAPLAN</t>
  </si>
  <si>
    <t xml:space="preserve">ANA PAULA CACAO LECHUGA DINIZ</t>
  </si>
  <si>
    <t xml:space="preserve">BRAHMET BEBIDAS</t>
  </si>
  <si>
    <t xml:space="preserve">AURINDO PEREIRA DE SANTANA</t>
  </si>
  <si>
    <t xml:space="preserve">SANTANAS TINTAS</t>
  </si>
  <si>
    <t xml:space="preserve">MARIA APARECIDA MIGUEL POLI</t>
  </si>
  <si>
    <t xml:space="preserve">CIDA POLI CONVENIENCIAS</t>
  </si>
  <si>
    <t xml:space="preserve">VILMA A M TRIDICO</t>
  </si>
  <si>
    <t xml:space="preserve">MERCADO VILMA</t>
  </si>
  <si>
    <t xml:space="preserve">IRMAOS BONGIOLO LTDA</t>
  </si>
  <si>
    <t xml:space="preserve">MERCADO BONGIOLO</t>
  </si>
  <si>
    <t xml:space="preserve">LUCIANO LUCIANER</t>
  </si>
  <si>
    <t xml:space="preserve">GIOVANA T DA SILVA</t>
  </si>
  <si>
    <t xml:space="preserve">CASA DE CARNE E CONV STA MARIA</t>
  </si>
  <si>
    <t xml:space="preserve">MARIA LOURDES G BAZZO</t>
  </si>
  <si>
    <t xml:space="preserve">LANC E CONV AGROSSOL</t>
  </si>
  <si>
    <t xml:space="preserve">EULALIO RODRIGUES</t>
  </si>
  <si>
    <t xml:space="preserve">NELY DE AGOSTINHO PEREIRA ONCA</t>
  </si>
  <si>
    <t xml:space="preserve">COM DE BEB SERRA DE MARACAJU</t>
  </si>
  <si>
    <t xml:space="preserve">LUCENY FREITAS FERREIRA CIA LTDA</t>
  </si>
  <si>
    <t xml:space="preserve">MERCEARIA LARANJEIRAS</t>
  </si>
  <si>
    <t xml:space="preserve">SOUZA E ARGERIN LTDA</t>
  </si>
  <si>
    <t xml:space="preserve">DROGARIA DO POVO</t>
  </si>
  <si>
    <t xml:space="preserve">MANOEL ALOISO DOS SANTOS</t>
  </si>
  <si>
    <t xml:space="preserve">ELOINA GOMES DE S DIONIZIO</t>
  </si>
  <si>
    <t xml:space="preserve">IDA DOLA</t>
  </si>
  <si>
    <t xml:space="preserve">HOTEL SOLAR</t>
  </si>
  <si>
    <t xml:space="preserve">SUPERMERCADO ECONOMIA LTDA</t>
  </si>
  <si>
    <t xml:space="preserve">REDEMS SUPERMERDADO ECONOMIA</t>
  </si>
  <si>
    <t xml:space="preserve">SM ECONOMIA I</t>
  </si>
  <si>
    <t xml:space="preserve">SM ECONOMIA II</t>
  </si>
  <si>
    <t xml:space="preserve">SUPERMERCADO ECONOMIA</t>
  </si>
  <si>
    <t xml:space="preserve">ANTONIO APARECIDO BERTON</t>
  </si>
  <si>
    <t xml:space="preserve">A M COSTA COELHO</t>
  </si>
  <si>
    <t xml:space="preserve">SOL CONVENIENCIAS</t>
  </si>
  <si>
    <t xml:space="preserve">ODACIR DE OLIVEIRA SILVA</t>
  </si>
  <si>
    <t xml:space="preserve">JOSEFA RODRIGUES SILVA</t>
  </si>
  <si>
    <t xml:space="preserve">DISTRIBUIDORA PRODUTOS ALIMENT S F LTDA </t>
  </si>
  <si>
    <t xml:space="preserve">JOSE FRANCISCO RIBEIRO DUO</t>
  </si>
  <si>
    <t xml:space="preserve">FABIO JOSE MILANI GRANJEIRO</t>
  </si>
  <si>
    <t xml:space="preserve">ACOUGUE MILANI</t>
  </si>
  <si>
    <t xml:space="preserve">DEONILDE GANDOLFI</t>
  </si>
  <si>
    <t xml:space="preserve">COMERCIAL SANTA RITA</t>
  </si>
  <si>
    <t xml:space="preserve">ZELIA DA SILVA MONTEIRO</t>
  </si>
  <si>
    <t xml:space="preserve">PADARIA E MERCEARIA STA PULA</t>
  </si>
  <si>
    <t xml:space="preserve">ROSALIA MARIA SERENA</t>
  </si>
  <si>
    <t xml:space="preserve">CASA DE CARNE SAO JORGE</t>
  </si>
  <si>
    <t xml:space="preserve">PALUDO E SORDI LTDA</t>
  </si>
  <si>
    <t xml:space="preserve">POSTO PALUDO</t>
  </si>
  <si>
    <t xml:space="preserve">EDILEUZA ROMERA MEDINA</t>
  </si>
  <si>
    <t xml:space="preserve">MINI SHOPPING PIT STOP</t>
  </si>
  <si>
    <t xml:space="preserve">RICARDO MELLO</t>
  </si>
  <si>
    <t xml:space="preserve">HOTEL KARANDA</t>
  </si>
  <si>
    <t xml:space="preserve">MARA CRISTINA DE ASSIS MARTINS</t>
  </si>
  <si>
    <t xml:space="preserve">CASA DE CARNE SANTANA</t>
  </si>
  <si>
    <t xml:space="preserve">DULCE APARECIDA MARQUES</t>
  </si>
  <si>
    <t xml:space="preserve">BAR E MERCEARIA MARQUES</t>
  </si>
  <si>
    <t xml:space="preserve">MERCEARIA AMORIM LTDA</t>
  </si>
  <si>
    <t xml:space="preserve">SM DAYANE</t>
  </si>
  <si>
    <t xml:space="preserve">ADEMAR CAETANO</t>
  </si>
  <si>
    <t xml:space="preserve">JOAQUINA MARIA DA SILVA</t>
  </si>
  <si>
    <t xml:space="preserve">BAR E RESTAURANTE D'JOAQUINA</t>
  </si>
  <si>
    <t xml:space="preserve">ISRAEL DE SOUZA BARTHOLOMEU</t>
  </si>
  <si>
    <t xml:space="preserve">COML. SANTA TEREZINHA</t>
  </si>
  <si>
    <t xml:space="preserve">AMILTON DIAS DO NASCIMENTO</t>
  </si>
  <si>
    <t xml:space="preserve">COMERCIO DIST DOCES DANI</t>
  </si>
  <si>
    <t xml:space="preserve">CANTINA AMAMBAI LTDA</t>
  </si>
  <si>
    <t xml:space="preserve">CANTIMA AMAMBAI</t>
  </si>
  <si>
    <t xml:space="preserve">LUZIA APARECIDA DOS SANTOS</t>
  </si>
  <si>
    <t xml:space="preserve">FRANGO E FRIOS CONVENIENCIAS</t>
  </si>
  <si>
    <t xml:space="preserve">C V OLIVEIRA</t>
  </si>
  <si>
    <t xml:space="preserve">PAD E ACOUGUE CAIPIRA</t>
  </si>
  <si>
    <t xml:space="preserve">TEREZINHA VILLELA BARBOSA</t>
  </si>
  <si>
    <t xml:space="preserve">BAR DO PONTO CONVENIENCIA</t>
  </si>
  <si>
    <t xml:space="preserve">LUIZ CLAUDIO ARAUJO</t>
  </si>
  <si>
    <t xml:space="preserve">PANIFICADORA E CONFEITARIA JARDIM LTDA  </t>
  </si>
  <si>
    <t xml:space="preserve">PANIF E CONF JARDIM</t>
  </si>
  <si>
    <t xml:space="preserve">NELSON RIBEIRO FERES JUNIOR</t>
  </si>
  <si>
    <t xml:space="preserve">CASA AMERICANA</t>
  </si>
  <si>
    <t xml:space="preserve">ANADILZA APARECIDA AVALOS PEREIRA</t>
  </si>
  <si>
    <t xml:space="preserve">AG.MINI MERCADO E CONVENIENCIA</t>
  </si>
  <si>
    <t xml:space="preserve">FELIPE SAMPAIO</t>
  </si>
  <si>
    <t xml:space="preserve">COMERCIAL SAMPAIO</t>
  </si>
  <si>
    <t xml:space="preserve">SUPERMERCADO NSRA GRACAS LTDA</t>
  </si>
  <si>
    <t xml:space="preserve">SM CHAMA</t>
  </si>
  <si>
    <t xml:space="preserve">SERGIO ROBERTO SOUZA ALIMENTOS</t>
  </si>
  <si>
    <t xml:space="preserve">VIA ON LINE COMERCIAL LTDA</t>
  </si>
  <si>
    <t xml:space="preserve">CAMYLA LUZIA DE SOUZA FONSECA</t>
  </si>
  <si>
    <t xml:space="preserve">VITORINOS BAR E RES</t>
  </si>
  <si>
    <t xml:space="preserve">OZELIA LIRA MATTOS</t>
  </si>
  <si>
    <t xml:space="preserve">SUP BASTOS</t>
  </si>
  <si>
    <t xml:space="preserve">MANOEL ALEXANDRE DE OLIVEIRA</t>
  </si>
  <si>
    <t xml:space="preserve">MERCADO E A?OUGUE SAO JOS?</t>
  </si>
  <si>
    <t xml:space="preserve">EUDIS FERREIRA FRANCO</t>
  </si>
  <si>
    <t xml:space="preserve">CASA DO PESCADOR</t>
  </si>
  <si>
    <t xml:space="preserve">KANTINA COMERCIO ALIMENTOS LTDA</t>
  </si>
  <si>
    <t xml:space="preserve">CANTINA UNIDERP</t>
  </si>
  <si>
    <t xml:space="preserve">CAMPQUIMICA COMERCIAL  LTDA</t>
  </si>
  <si>
    <t xml:space="preserve">CAMPO QUIMICA COMERCIAL LTDA</t>
  </si>
  <si>
    <t xml:space="preserve">CLAUDIOMIR MARCHI</t>
  </si>
  <si>
    <t xml:space="preserve">PANIFICADORA E CONF BOM SABOR</t>
  </si>
  <si>
    <t xml:space="preserve">WANDERLEIA NUNES DE OLIVEIRA</t>
  </si>
  <si>
    <t xml:space="preserve">WANDER MERCADO E MAGAZIME</t>
  </si>
  <si>
    <t xml:space="preserve">JOSELI BALBINO FALCAO</t>
  </si>
  <si>
    <t xml:space="preserve">COMERCIAL BARBOSA</t>
  </si>
  <si>
    <t xml:space="preserve">NILVA VENTURELLI</t>
  </si>
  <si>
    <t xml:space="preserve">DROGARIA REUNIDAS</t>
  </si>
  <si>
    <t xml:space="preserve">L V BRAGA</t>
  </si>
  <si>
    <t xml:space="preserve">BRAGA PAN PAES E DOCES</t>
  </si>
  <si>
    <t xml:space="preserve">ELIZEU RODRIGUES ALVES</t>
  </si>
  <si>
    <t xml:space="preserve">COMERCIAL SANDRE LTDA</t>
  </si>
  <si>
    <t xml:space="preserve">MAQUINA DE ARROZ BEIRA RIO</t>
  </si>
  <si>
    <t xml:space="preserve">LINDOMAR MOISES PEREIRA RIBEIRO</t>
  </si>
  <si>
    <t xml:space="preserve">LUCELENE THOMAZ</t>
  </si>
  <si>
    <t xml:space="preserve">BAR E MEC BEIROVISK</t>
  </si>
  <si>
    <t xml:space="preserve">LOUREIRO E FILHO LTDA</t>
  </si>
  <si>
    <t xml:space="preserve">MERCADINHO LOUREIRO</t>
  </si>
  <si>
    <t xml:space="preserve">CRISTOFARI E FRAGNAN LTDA</t>
  </si>
  <si>
    <t xml:space="preserve">MERCADO BELLONI</t>
  </si>
  <si>
    <t xml:space="preserve">MERCEARIA SILVA BARBIERI LTDA ME/MS</t>
  </si>
  <si>
    <t xml:space="preserve">MERCEARIA SOL DE VERAO</t>
  </si>
  <si>
    <t xml:space="preserve">OURO VERDE PANIFICADORA</t>
  </si>
  <si>
    <t xml:space="preserve">VIRGINIA DOS SANTOS MELO LITO ME</t>
  </si>
  <si>
    <t xml:space="preserve">VIRGINIA PALACE HOTEL</t>
  </si>
  <si>
    <t xml:space="preserve">AMALIA MAZINA NASCIMENTO</t>
  </si>
  <si>
    <t xml:space="preserve">DROGALIDER</t>
  </si>
  <si>
    <t xml:space="preserve">NEIDE BARBOSA SARAIVA</t>
  </si>
  <si>
    <t xml:space="preserve">PANIF E CONV MONJUREM</t>
  </si>
  <si>
    <t xml:space="preserve">JOSE BRANDAO SILVA</t>
  </si>
  <si>
    <t xml:space="preserve">DROGARIA SANTA FE</t>
  </si>
  <si>
    <t xml:space="preserve">PEDRO ALVES DE LIMA</t>
  </si>
  <si>
    <t xml:space="preserve">NEIDE MARGI CAETANO</t>
  </si>
  <si>
    <t xml:space="preserve">FRUTARIA PAULISTA</t>
  </si>
  <si>
    <t xml:space="preserve">E B DA SILVA</t>
  </si>
  <si>
    <t xml:space="preserve">FARMACIA DROGAMED</t>
  </si>
  <si>
    <t xml:space="preserve">SCARABELO E MEDEIROS LTDA</t>
  </si>
  <si>
    <t xml:space="preserve">AUTO POSTO PAJE</t>
  </si>
  <si>
    <t xml:space="preserve">SONIA MARIA ANTUNES DE BRITO</t>
  </si>
  <si>
    <t xml:space="preserve">ELISEU EMERSON TAROCO</t>
  </si>
  <si>
    <t xml:space="preserve">JOAO GASPAR RIBEIRO</t>
  </si>
  <si>
    <t xml:space="preserve">MERCADINHO PRIMAVERA</t>
  </si>
  <si>
    <t xml:space="preserve">VERA LUCIA DE SOUZA RESTAURANTE</t>
  </si>
  <si>
    <t xml:space="preserve">REST.E CHURRASC.CAFE EXPRESSO</t>
  </si>
  <si>
    <t xml:space="preserve">BACURI LANCHONETE LTDA</t>
  </si>
  <si>
    <t xml:space="preserve">BACURI AUTO POSTO</t>
  </si>
  <si>
    <t xml:space="preserve">MARIM E OLIVEIRA LTDA</t>
  </si>
  <si>
    <t xml:space="preserve">SM CONQUISTA</t>
  </si>
  <si>
    <t xml:space="preserve">MIGUEL ANGELO JUSSIANI</t>
  </si>
  <si>
    <t xml:space="preserve">MERCEARIA B. JUSSIANI</t>
  </si>
  <si>
    <t xml:space="preserve">BELONI LOURDES ZORZI PASOLINI</t>
  </si>
  <si>
    <t xml:space="preserve">LANCH GARCA BRANCA</t>
  </si>
  <si>
    <t xml:space="preserve">GISELE GONCALVES E CIA LTDA</t>
  </si>
  <si>
    <t xml:space="preserve">DIVINO GULA</t>
  </si>
  <si>
    <t xml:space="preserve">ELIANE RUY DIAS</t>
  </si>
  <si>
    <t xml:space="preserve">BAZAR DAS TINTAS</t>
  </si>
  <si>
    <t xml:space="preserve">MELISSA R A DA SILVA</t>
  </si>
  <si>
    <t xml:space="preserve">MERCADINHO 2000</t>
  </si>
  <si>
    <t xml:space="preserve">CLEISSON ANTERO DA SILVA</t>
  </si>
  <si>
    <t xml:space="preserve">ANA FRANCISCA DE SOUZA LIMA</t>
  </si>
  <si>
    <t xml:space="preserve">HIPER BOM PRECO</t>
  </si>
  <si>
    <t xml:space="preserve">SILAS DUTRA SANTOS</t>
  </si>
  <si>
    <t xml:space="preserve">COMERCIAL SS</t>
  </si>
  <si>
    <t xml:space="preserve">JAILSON JACQUES LIMA</t>
  </si>
  <si>
    <t xml:space="preserve">BIG FESTA</t>
  </si>
  <si>
    <t xml:space="preserve">JUSVIAK E ALMEIDA LTDA</t>
  </si>
  <si>
    <t xml:space="preserve">DOCE RECORD</t>
  </si>
  <si>
    <t xml:space="preserve">ADELINA FROES</t>
  </si>
  <si>
    <t xml:space="preserve">IRMAOS ABRAO LTDA</t>
  </si>
  <si>
    <t xml:space="preserve">IRMAOS ABRAO</t>
  </si>
  <si>
    <t xml:space="preserve">MARIA APARECIDA RIBEIRO</t>
  </si>
  <si>
    <t xml:space="preserve">MERCADINHO KI LEGAL</t>
  </si>
  <si>
    <t xml:space="preserve">CLEUZA FERREIRA SANTANA</t>
  </si>
  <si>
    <t xml:space="preserve">MERCADO E ACOUGUE SANTANA</t>
  </si>
  <si>
    <t xml:space="preserve">VALDECIR C DA SILVA</t>
  </si>
  <si>
    <t xml:space="preserve">VANIA APARECIDA RIBEIRO SILVA</t>
  </si>
  <si>
    <t xml:space="preserve">CENTER LIMPA</t>
  </si>
  <si>
    <t xml:space="preserve">IZABEL APARECIDA FERREIRA BARROS</t>
  </si>
  <si>
    <t xml:space="preserve">LANCHONETE ZERO GRAU</t>
  </si>
  <si>
    <t xml:space="preserve">AUGUSTO CESAR ALVES EIRELI</t>
  </si>
  <si>
    <t xml:space="preserve">ALVES TRANSPORTE INTERNACIONAL</t>
  </si>
  <si>
    <t xml:space="preserve">ELEMAR DE FARIAS</t>
  </si>
  <si>
    <t xml:space="preserve">CLOTILDE MATOS BRITO</t>
  </si>
  <si>
    <t xml:space="preserve">CASA DE CARNE E MEC. BRITO</t>
  </si>
  <si>
    <t xml:space="preserve">MARIA DE FATIMA SOUZA MUSSATO</t>
  </si>
  <si>
    <t xml:space="preserve">MERCEARIA N. S. DE FATIMA</t>
  </si>
  <si>
    <t xml:space="preserve">FRANCISCO RODRIGUES TAVARES JUNIOR</t>
  </si>
  <si>
    <t xml:space="preserve">BIG CONVENIENCIA</t>
  </si>
  <si>
    <t xml:space="preserve">HELVIO M DE OLIVEIRA</t>
  </si>
  <si>
    <t xml:space="preserve">MERCADO ACOUGUE OUROVERDE</t>
  </si>
  <si>
    <t xml:space="preserve">S C THOMAZ ABREU</t>
  </si>
  <si>
    <t xml:space="preserve">COND RESD PRIVE VILLAGE BAHAMAS</t>
  </si>
  <si>
    <t xml:space="preserve">CONDOMINIO BAHAMAS</t>
  </si>
  <si>
    <t xml:space="preserve">GERALDO CRISPIM BARBOSA DIST</t>
  </si>
  <si>
    <t xml:space="preserve">DIST SAO SEBASTIAO</t>
  </si>
  <si>
    <t xml:space="preserve">HATSUE AKAMINE</t>
  </si>
  <si>
    <t xml:space="preserve">KAMPAI</t>
  </si>
  <si>
    <t xml:space="preserve">PADARIA E CONFEITARIA DOM VELOSO LTDA</t>
  </si>
  <si>
    <t xml:space="preserve">PADARIA E CONFEITARIA DOM VELO</t>
  </si>
  <si>
    <t xml:space="preserve">MARIANA GISELE BERNARDINO</t>
  </si>
  <si>
    <t xml:space="preserve">ANA PAULA CONCEICAO DA SILVA</t>
  </si>
  <si>
    <t xml:space="preserve">BIG PIZZA</t>
  </si>
  <si>
    <t xml:space="preserve">LINDACI DAS VIRGENS DA CONCEICAO MACEDO </t>
  </si>
  <si>
    <t xml:space="preserve">SUPERMERCADO FLOR VALE LTDA</t>
  </si>
  <si>
    <t xml:space="preserve">SM FLOR DO VALE</t>
  </si>
  <si>
    <t xml:space="preserve">MARCO HUMBERTO DAMASCENO</t>
  </si>
  <si>
    <t xml:space="preserve">SM FRANCO</t>
  </si>
  <si>
    <t xml:space="preserve">SALVADOR ANTONIO FERREIRA LIMA</t>
  </si>
  <si>
    <t xml:space="preserve">FERNANDO SANTIAGO DE SOUZA</t>
  </si>
  <si>
    <t xml:space="preserve">CENTRAL PET SHOP</t>
  </si>
  <si>
    <t xml:space="preserve">MERCEARIA JUNIOR LTDA</t>
  </si>
  <si>
    <t xml:space="preserve">MERCADO SANTA BARBARA</t>
  </si>
  <si>
    <t xml:space="preserve">PIRA MIUNA - TURISMO E ECOLOGIA LTDA</t>
  </si>
  <si>
    <t xml:space="preserve">HOTEL PIRA MIUNA</t>
  </si>
  <si>
    <t xml:space="preserve">NILSON LEITE BARBOSA</t>
  </si>
  <si>
    <t xml:space="preserve">PANIFICADORA SAO JOSE</t>
  </si>
  <si>
    <t xml:space="preserve">ENILDA PEREIRA WALOSZEK</t>
  </si>
  <si>
    <t xml:space="preserve">PANIF PITU</t>
  </si>
  <si>
    <t xml:space="preserve">L CARLOS CARDOSO NUNES</t>
  </si>
  <si>
    <t xml:space="preserve">COMERCIAL CARDOSO LTDA</t>
  </si>
  <si>
    <t xml:space="preserve">CESAR CASTILHO PAZ OLIVEIRA</t>
  </si>
  <si>
    <t xml:space="preserve">VAREJAO DO PRECO A VISTA</t>
  </si>
  <si>
    <t xml:space="preserve">LANCHONETE COXIM LTDA</t>
  </si>
  <si>
    <t xml:space="preserve">RESTAURANTE E LANCH DRAGAO</t>
  </si>
  <si>
    <t xml:space="preserve">LEANDRO ALBERTO SOUZA ALVES</t>
  </si>
  <si>
    <t xml:space="preserve">PANIFICADORA SOBERANA</t>
  </si>
  <si>
    <t xml:space="preserve">PANIFICADORA SANTIAGO LTDA</t>
  </si>
  <si>
    <t xml:space="preserve">PANF SANTIAGO</t>
  </si>
  <si>
    <t xml:space="preserve">ODETE TEREZINHA BENACHIO LENZI</t>
  </si>
  <si>
    <t xml:space="preserve">DROGARIA SANTA TEREZINHA</t>
  </si>
  <si>
    <t xml:space="preserve">QUITANDA PRODUTOR LTDA</t>
  </si>
  <si>
    <t xml:space="preserve">QUINTANDA DO PRODUTO</t>
  </si>
  <si>
    <t xml:space="preserve">ELAINE CRISTINA ESTERQUILE</t>
  </si>
  <si>
    <t xml:space="preserve">APPETITE PIZZAS</t>
  </si>
  <si>
    <t xml:space="preserve">B M COMERCIO DE ALIMENTOS LTDA</t>
  </si>
  <si>
    <t xml:space="preserve">BALSANI E OLIVEIRA LTDA</t>
  </si>
  <si>
    <t xml:space="preserve">ACOUSTIC BAR</t>
  </si>
  <si>
    <t xml:space="preserve">SORAIA ARAUJO DOS SANTOS</t>
  </si>
  <si>
    <t xml:space="preserve">XODO CONVENIENCIAS</t>
  </si>
  <si>
    <t xml:space="preserve">MARIA DA SILVA PADARIA</t>
  </si>
  <si>
    <t xml:space="preserve">PADARIA PRUDENTINA</t>
  </si>
  <si>
    <t xml:space="preserve">M LIBORIO FERREIRA E CIA LTDA</t>
  </si>
  <si>
    <t xml:space="preserve">CASA DE CARNE CENTRAL</t>
  </si>
  <si>
    <t xml:space="preserve">JOAO BATISTA PINHEIRO E CIA LTDA</t>
  </si>
  <si>
    <t xml:space="preserve">MUNIZ E SILVEIRA LTDA</t>
  </si>
  <si>
    <t xml:space="preserve">MASTER SUPERMERCADOS</t>
  </si>
  <si>
    <t xml:space="preserve">FRANCISCA JUCILEIDE LEITE</t>
  </si>
  <si>
    <t xml:space="preserve">EDNILSON P FAVERO</t>
  </si>
  <si>
    <t xml:space="preserve">J P MOURA DE JESUS</t>
  </si>
  <si>
    <t xml:space="preserve">FARMACIA VITORIA</t>
  </si>
  <si>
    <t xml:space="preserve">HOTEL METROPOLITAN EIRELI EPP</t>
  </si>
  <si>
    <t xml:space="preserve">HOTEL METROPOLITAN</t>
  </si>
  <si>
    <t xml:space="preserve">SANTOS E PEDREIRA LTDA</t>
  </si>
  <si>
    <t xml:space="preserve">LEODIR DOMINGOS BOTTON</t>
  </si>
  <si>
    <t xml:space="preserve">V M P B LUIZ PANIFICADORA ME/</t>
  </si>
  <si>
    <t xml:space="preserve">PANIFICADORA BOA VISTA</t>
  </si>
  <si>
    <t xml:space="preserve">ROBERTA ANDRADE MACHADO BORGES</t>
  </si>
  <si>
    <t xml:space="preserve">MANOEL PINHEIRO DOS SANTOS</t>
  </si>
  <si>
    <t xml:space="preserve">SM PANA</t>
  </si>
  <si>
    <t xml:space="preserve">UBERCON UBERABA CONVENIENCIAS LTDA</t>
  </si>
  <si>
    <t xml:space="preserve">UBECFEST</t>
  </si>
  <si>
    <t xml:space="preserve">JONAS LUIS CARNIEL</t>
  </si>
  <si>
    <t xml:space="preserve">LOIR OLIVEIRA CAMPOS MEDEIROS E CIALTDA </t>
  </si>
  <si>
    <t xml:space="preserve">SM SANTANA</t>
  </si>
  <si>
    <t xml:space="preserve">S F MARCON</t>
  </si>
  <si>
    <t xml:space="preserve">PLANETA LANCHES</t>
  </si>
  <si>
    <t xml:space="preserve">JALITO ALIMENTOS LTDA</t>
  </si>
  <si>
    <t xml:space="preserve">FRIOS E CIA</t>
  </si>
  <si>
    <t xml:space="preserve">BAGUETE CONFEITARIA LTDA</t>
  </si>
  <si>
    <t xml:space="preserve">PANIFICADORA CASA DO PAO</t>
  </si>
  <si>
    <t xml:space="preserve">NICANOR FERNANDES FILHO</t>
  </si>
  <si>
    <t xml:space="preserve">MERCADO PAG LEV</t>
  </si>
  <si>
    <t xml:space="preserve">NARIA APARECIDA SANTAROZA</t>
  </si>
  <si>
    <t xml:space="preserve">CLOVIS SUPERMERCADO LTDA</t>
  </si>
  <si>
    <t xml:space="preserve">CLOVIS SUPERMERCADO</t>
  </si>
  <si>
    <t xml:space="preserve">MERCADO FLAMBOYANT LTDA</t>
  </si>
  <si>
    <t xml:space="preserve">SM FLAMBOYANT</t>
  </si>
  <si>
    <t xml:space="preserve">CELSO FERNANDES CORREA</t>
  </si>
  <si>
    <t xml:space="preserve">FERNANDES MATERIAIS CONSTRUCAO</t>
  </si>
  <si>
    <t xml:space="preserve">BARBOSA COSMETICOS LTDA</t>
  </si>
  <si>
    <t xml:space="preserve">RR VARIEDADES</t>
  </si>
  <si>
    <t xml:space="preserve">SIRA DALVINA BRONEL FREITAS</t>
  </si>
  <si>
    <t xml:space="preserve">MERCEARIA DO TREVO</t>
  </si>
  <si>
    <t xml:space="preserve">5 ESTRELAS DIST IMP EXPORTACAO LTDA</t>
  </si>
  <si>
    <t xml:space="preserve">ATACADO 5 ESTRELAS</t>
  </si>
  <si>
    <t xml:space="preserve">ROSA E ROCHA LTDA</t>
  </si>
  <si>
    <t xml:space="preserve">MERCADO TANGARA</t>
  </si>
  <si>
    <t xml:space="preserve">VALMIR ANTONIO BRIZOLLA</t>
  </si>
  <si>
    <t xml:space="preserve">REST E LANCH SANTA CATARINA</t>
  </si>
  <si>
    <t xml:space="preserve">AUTO POSTO VACARIA LTDA</t>
  </si>
  <si>
    <t xml:space="preserve">AUTO POSTO VACARIA</t>
  </si>
  <si>
    <t xml:space="preserve">NEUZA GONCALVES DA SILVA</t>
  </si>
  <si>
    <t xml:space="preserve">BAR RIO VERDE</t>
  </si>
  <si>
    <t xml:space="preserve">ALVARO DA SILVA REGO</t>
  </si>
  <si>
    <t xml:space="preserve">ZELIA GOMES RIOS</t>
  </si>
  <si>
    <t xml:space="preserve">CASA DE EMBALAGENS RIOS</t>
  </si>
  <si>
    <t xml:space="preserve">MARIA IZA DE GODOY</t>
  </si>
  <si>
    <t xml:space="preserve">MERCEARIA SAO BENETIDO</t>
  </si>
  <si>
    <t xml:space="preserve">M S SHIOKAWA</t>
  </si>
  <si>
    <t xml:space="preserve">JOAO DE SOUZA LOBO</t>
  </si>
  <si>
    <t xml:space="preserve">SIDNEI MARCOS DEBONA</t>
  </si>
  <si>
    <t xml:space="preserve">REBECA COSMETICO</t>
  </si>
  <si>
    <t xml:space="preserve">S F MAYER</t>
  </si>
  <si>
    <t xml:space="preserve">MERCEARIA PRODENCE</t>
  </si>
  <si>
    <t xml:space="preserve">SUPERMERCADO TULHA LTDA</t>
  </si>
  <si>
    <t xml:space="preserve">SM TULHA</t>
  </si>
  <si>
    <t xml:space="preserve">ALEXANDRE SOUZA DOS SANTOS</t>
  </si>
  <si>
    <t xml:space="preserve">COMERCIAL SANTA ROSA</t>
  </si>
  <si>
    <t xml:space="preserve">F J DE LIMA</t>
  </si>
  <si>
    <t xml:space="preserve">O PECADO DA GULA</t>
  </si>
  <si>
    <t xml:space="preserve">TAKATORI COMERCIO DE ALIMENTOS LTDA</t>
  </si>
  <si>
    <t xml:space="preserve">KI-FRUTAS</t>
  </si>
  <si>
    <t xml:space="preserve">ELUCIENE JESUS DE QUEIROZ</t>
  </si>
  <si>
    <t xml:space="preserve">BENILDE FRANCISCO TIECHER</t>
  </si>
  <si>
    <t xml:space="preserve">HOTEL E REST O BISTECAO</t>
  </si>
  <si>
    <t xml:space="preserve">J L SUPERMERCADO LTDA</t>
  </si>
  <si>
    <t xml:space="preserve">RANCHAO MAGAZINE</t>
  </si>
  <si>
    <t xml:space="preserve">ROSMARI SUTIL DOS SANTOS</t>
  </si>
  <si>
    <t xml:space="preserve">MINI MERCADO ROSE</t>
  </si>
  <si>
    <t xml:space="preserve">ORLANDO INACIO DA SILVA</t>
  </si>
  <si>
    <t xml:space="preserve">URCABAR</t>
  </si>
  <si>
    <t xml:space="preserve">VALDIR MORAES DIAS</t>
  </si>
  <si>
    <t xml:space="preserve">CHURR MODELO</t>
  </si>
  <si>
    <t xml:space="preserve">NEVES E CONCEICAO LTDA</t>
  </si>
  <si>
    <t xml:space="preserve">DOCERIA</t>
  </si>
  <si>
    <t xml:space="preserve">FRANCISVAL DE ALMEIDA OLIVEIRA ME</t>
  </si>
  <si>
    <t xml:space="preserve">PET PONTALINA</t>
  </si>
  <si>
    <t xml:space="preserve">ROSELY SOUZA E SILVA</t>
  </si>
  <si>
    <t xml:space="preserve">REST DO BAIANINHO</t>
  </si>
  <si>
    <t xml:space="preserve">CARVALHO E SALES LTDA</t>
  </si>
  <si>
    <t xml:space="preserve">SUPER 10 - LJ II</t>
  </si>
  <si>
    <t xml:space="preserve">CARMEN T C S BRUNER ME</t>
  </si>
  <si>
    <t xml:space="preserve">CONVENIENCIA MINIMERCADO TOTAL</t>
  </si>
  <si>
    <t xml:space="preserve">J S SUPERMERCADO LTDA</t>
  </si>
  <si>
    <t xml:space="preserve">CONVENIENCIA VILELA E SANTOS LTDA</t>
  </si>
  <si>
    <t xml:space="preserve">CONVENIENCIA VILELA</t>
  </si>
  <si>
    <t xml:space="preserve">MARTA LIRA MOURA</t>
  </si>
  <si>
    <t xml:space="preserve">REST O CASARAO</t>
  </si>
  <si>
    <t xml:space="preserve">DAVI ANTONIO DE MACEDO</t>
  </si>
  <si>
    <t xml:space="preserve">PANIFICADORA MACEDO</t>
  </si>
  <si>
    <t xml:space="preserve">VAGNER STIVAL GUIMARAES</t>
  </si>
  <si>
    <t xml:space="preserve">DELEI BEBIDAS</t>
  </si>
  <si>
    <t xml:space="preserve">PRADO COMERCIO DE TINTAS LTDA</t>
  </si>
  <si>
    <t xml:space="preserve">CASA DO PINTOR</t>
  </si>
  <si>
    <t xml:space="preserve">MARLENE MARQUES SANCHES</t>
  </si>
  <si>
    <t xml:space="preserve">WINGS HOTEL</t>
  </si>
  <si>
    <t xml:space="preserve">DARCI DETUMIM BUENO ME/MS</t>
  </si>
  <si>
    <t xml:space="preserve">AUTO POSTO EUCALIPITO</t>
  </si>
  <si>
    <t xml:space="preserve">TEREZINHA MARIA PERUZZO</t>
  </si>
  <si>
    <t xml:space="preserve">MERCEARIA DA BIANCA</t>
  </si>
  <si>
    <t xml:space="preserve">SANTOS E AMANCIO LTDA</t>
  </si>
  <si>
    <t xml:space="preserve">DELICIA PANIF. E CONFEITARIA</t>
  </si>
  <si>
    <t xml:space="preserve">OLIVEIRA E FERREIRA LTDA</t>
  </si>
  <si>
    <t xml:space="preserve">AGROPECUARIA VALE DO IVINHEMA</t>
  </si>
  <si>
    <t xml:space="preserve">ESPINDOLA E LOPES LTDA</t>
  </si>
  <si>
    <t xml:space="preserve">JARY SOUZA NETO</t>
  </si>
  <si>
    <t xml:space="preserve">MERCADO CARACOL</t>
  </si>
  <si>
    <t xml:space="preserve">CASA DO SACHET LTDA</t>
  </si>
  <si>
    <t xml:space="preserve">CASA DO SCHET</t>
  </si>
  <si>
    <t xml:space="preserve">EDSON MEDEIROS BATAGUASSU</t>
  </si>
  <si>
    <t xml:space="preserve">CASA DE CARNE STA MARIA</t>
  </si>
  <si>
    <t xml:space="preserve">LUCIVAL C DE DEUS</t>
  </si>
  <si>
    <t xml:space="preserve">MEC FERREIRA</t>
  </si>
  <si>
    <t xml:space="preserve">MARIA SALETE ABREU BERTON COSTA</t>
  </si>
  <si>
    <t xml:space="preserve">FUTURA EXPRESS CONVENIENCIAS</t>
  </si>
  <si>
    <t xml:space="preserve">CREUZA BATISTA SILVA</t>
  </si>
  <si>
    <t xml:space="preserve">LOJA DO PORTO</t>
  </si>
  <si>
    <t xml:space="preserve">CATARINA SOUZA</t>
  </si>
  <si>
    <t xml:space="preserve">VALDINEIA M BAHIA ME/MS</t>
  </si>
  <si>
    <t xml:space="preserve">ACOUGUE MERCEARIA BAHIA</t>
  </si>
  <si>
    <t xml:space="preserve">MELO COMERCIO DE ALIMENTOS LTDA</t>
  </si>
  <si>
    <t xml:space="preserve">AQUILA FAST FOOD</t>
  </si>
  <si>
    <t xml:space="preserve">GERCILEIA FRANCISCA PEREIRA</t>
  </si>
  <si>
    <t xml:space="preserve">ELDER CHRISTIAN RIBEIRO DA SILVA</t>
  </si>
  <si>
    <t xml:space="preserve">SUPERMERCADO FAVORITO 2</t>
  </si>
  <si>
    <t xml:space="preserve">JOSENI ALVES DE OLIVEIRA CIA LTDA ME</t>
  </si>
  <si>
    <t xml:space="preserve">J A SUPERMERCADO</t>
  </si>
  <si>
    <t xml:space="preserve">AUTO POSTO ASA BRANCA LTDA</t>
  </si>
  <si>
    <t xml:space="preserve">AUTO POSTO ASA BRANCA</t>
  </si>
  <si>
    <t xml:space="preserve">LOURIVAL FELIX DOS REIS</t>
  </si>
  <si>
    <t xml:space="preserve">MERCADO SAO PEDRO</t>
  </si>
  <si>
    <t xml:space="preserve">TRIGO OESTE ALIMENTOS IND COM LTDA</t>
  </si>
  <si>
    <t xml:space="preserve">MUINHO CATARINENSE</t>
  </si>
  <si>
    <t xml:space="preserve">MARIO LUIZ SANTOS</t>
  </si>
  <si>
    <t xml:space="preserve">BAR SAO LUIZ</t>
  </si>
  <si>
    <t xml:space="preserve">RAYMUNDA JOSEFINA FERREIRA EIRELI EPP</t>
  </si>
  <si>
    <t xml:space="preserve">MARCELO SANTOS SOUZA</t>
  </si>
  <si>
    <t xml:space="preserve">MINI MERCADO SAO MARCOS</t>
  </si>
  <si>
    <t xml:space="preserve">ABASTECEDORA APARECIDA DO NORTE LTDA</t>
  </si>
  <si>
    <t xml:space="preserve">POSTO APARECIDA DO NORTE</t>
  </si>
  <si>
    <t xml:space="preserve">PERRONI E MORO LTDA</t>
  </si>
  <si>
    <t xml:space="preserve">AUOT POSTO TAMBORY</t>
  </si>
  <si>
    <t xml:space="preserve">AUTO POSTO TAMBORY 2</t>
  </si>
  <si>
    <t xml:space="preserve">PERONI E MORO</t>
  </si>
  <si>
    <t xml:space="preserve">AUTO POSTO TAMBORY 04</t>
  </si>
  <si>
    <t xml:space="preserve">ANTONIO DUOR DA SILVA</t>
  </si>
  <si>
    <t xml:space="preserve">MERCADO SAO FRANCISCO</t>
  </si>
  <si>
    <t xml:space="preserve">JACONIAS VIANA DUTRA</t>
  </si>
  <si>
    <t xml:space="preserve">CONVENIENCIA NOVA ANGELICA</t>
  </si>
  <si>
    <t xml:space="preserve">VERA LUCIA REIS ROCHA</t>
  </si>
  <si>
    <t xml:space="preserve">PANIF MULTI PAO</t>
  </si>
  <si>
    <t xml:space="preserve">CLAUDIR LORENZATTO</t>
  </si>
  <si>
    <t xml:space="preserve">BORTOLIN E BORTOLIN LTDA.</t>
  </si>
  <si>
    <t xml:space="preserve">DROGARIA FARMA VIDA</t>
  </si>
  <si>
    <t xml:space="preserve">SUZUKI E SUZUKI LTDA</t>
  </si>
  <si>
    <t xml:space="preserve">MINI MERCADO BILL LTDA</t>
  </si>
  <si>
    <t xml:space="preserve">ANTONIA JOELINA C DE AGUIAR</t>
  </si>
  <si>
    <t xml:space="preserve">REDONDO'S BEER</t>
  </si>
  <si>
    <t xml:space="preserve">MERCADO AMARILHA</t>
  </si>
  <si>
    <t xml:space="preserve">JOSE ROBERTO FABRAO MARQUES</t>
  </si>
  <si>
    <t xml:space="preserve">VALENTIM APARECIDO DOS SANTOS</t>
  </si>
  <si>
    <t xml:space="preserve">RESTAURANTE DA VOVO</t>
  </si>
  <si>
    <t xml:space="preserve">COMERCIAL BOA SORTE LTDA</t>
  </si>
  <si>
    <t xml:space="preserve">SM BOA SORTE</t>
  </si>
  <si>
    <t xml:space="preserve">COMERCIAL BOA SORTE LTDA FILIAL 01</t>
  </si>
  <si>
    <t xml:space="preserve">PASQUALOTTO CONFECCOES LTDA</t>
  </si>
  <si>
    <t xml:space="preserve">MARIA E MARIA</t>
  </si>
  <si>
    <t xml:space="preserve">VIEIRA MOTOPECAS E TRANSPORTES LTDA</t>
  </si>
  <si>
    <t xml:space="preserve">MERCADO ARAUJO</t>
  </si>
  <si>
    <t xml:space="preserve">G DA SILVA MENDONCA</t>
  </si>
  <si>
    <t xml:space="preserve">CONVENIENCIA MENDONCA</t>
  </si>
  <si>
    <t xml:space="preserve">CASSARO E NOGUEIRA LTDA</t>
  </si>
  <si>
    <t xml:space="preserve">POSTO MORENAO PIC</t>
  </si>
  <si>
    <t xml:space="preserve">WILSON MENDONCA MALHEIRO</t>
  </si>
  <si>
    <t xml:space="preserve">PANIF. RIO PARDENSE</t>
  </si>
  <si>
    <t xml:space="preserve">DISGRAN DISTRIBUIDORA BEBIDAS LTDA</t>
  </si>
  <si>
    <t xml:space="preserve">SCHINCARIOL</t>
  </si>
  <si>
    <t xml:space="preserve">MARIA LUIZA DALOSTO FANTINEL</t>
  </si>
  <si>
    <t xml:space="preserve">MERCADO LUIZA</t>
  </si>
  <si>
    <t xml:space="preserve">FRUTARIA DO PRODUTOR LTDA</t>
  </si>
  <si>
    <t xml:space="preserve">FRUTARIA DO PRODUTOR</t>
  </si>
  <si>
    <t xml:space="preserve">MARIA PEREIRA DA SILVA</t>
  </si>
  <si>
    <t xml:space="preserve">FERREIRA E LAGO LTDA</t>
  </si>
  <si>
    <t xml:space="preserve">CINTRASUL COMERCIO DE BEBIDAS LTDA</t>
  </si>
  <si>
    <t xml:space="preserve">CINTRA</t>
  </si>
  <si>
    <t xml:space="preserve">COMERCIO DE ALIMENTOS SAO GABRIEL LTDA  </t>
  </si>
  <si>
    <t xml:space="preserve">SM SAO GABRIEL</t>
  </si>
  <si>
    <t xml:space="preserve">SERJUS MS ASSOC SERV DA JUSTICA FEDERAL </t>
  </si>
  <si>
    <t xml:space="preserve">CANTINA DA SERJUS MS</t>
  </si>
  <si>
    <t xml:space="preserve">SP COML  DE ALIMENTOS LTDA</t>
  </si>
  <si>
    <t xml:space="preserve">LAERTE TESSARI ME/MS</t>
  </si>
  <si>
    <t xml:space="preserve">LUIZ OSORIO BATTU DE LIMA</t>
  </si>
  <si>
    <t xml:space="preserve">MERCADO ANDORINHA</t>
  </si>
  <si>
    <t xml:space="preserve">LUCIANA F NAKAMURA ZACARIN</t>
  </si>
  <si>
    <t xml:space="preserve">BOX SAO PAULO</t>
  </si>
  <si>
    <t xml:space="preserve">COMERCIAL AMIGAO LTDA</t>
  </si>
  <si>
    <t xml:space="preserve">COMERCIAL AMIGAO</t>
  </si>
  <si>
    <t xml:space="preserve">ORGANIZACOES AKAMINE LTDA</t>
  </si>
  <si>
    <t xml:space="preserve">RESTAURANTE A A B B</t>
  </si>
  <si>
    <t xml:space="preserve">ADEMAR NOGUEIRA</t>
  </si>
  <si>
    <t xml:space="preserve">INACIO R PEREIRA GONCALVES</t>
  </si>
  <si>
    <t xml:space="preserve">AFONSO E GUIMARAES LTDA</t>
  </si>
  <si>
    <t xml:space="preserve">SUPERMERCADO W.R</t>
  </si>
  <si>
    <t xml:space="preserve">SUPERMERCADO W R II</t>
  </si>
  <si>
    <t xml:space="preserve">D E P COMERCIAL LTDA</t>
  </si>
  <si>
    <t xml:space="preserve">A J B TELLES  ME</t>
  </si>
  <si>
    <t xml:space="preserve">SM TELLES II</t>
  </si>
  <si>
    <t xml:space="preserve">IRSON DE BARROS LIMA</t>
  </si>
  <si>
    <t xml:space="preserve">ANTONIO F DA SILVA</t>
  </si>
  <si>
    <t xml:space="preserve">BAR E MERCEARIA VITORIA</t>
  </si>
  <si>
    <t xml:space="preserve">IDALICE ALVES DE ANDRADE</t>
  </si>
  <si>
    <t xml:space="preserve">LE MACHE</t>
  </si>
  <si>
    <t xml:space="preserve">LEMA LANCHES</t>
  </si>
  <si>
    <t xml:space="preserve">DALLEH E DALLEH LTDA</t>
  </si>
  <si>
    <t xml:space="preserve">OPCAO MINI SHOPPING</t>
  </si>
  <si>
    <t xml:space="preserve">MERCEARIA FLORES LTDA</t>
  </si>
  <si>
    <t xml:space="preserve">BRAZAO SUPERMERCADO LTDA</t>
  </si>
  <si>
    <t xml:space="preserve">ADELIA JAQUES ECHEVERRIA</t>
  </si>
  <si>
    <t xml:space="preserve">FLORES BELA</t>
  </si>
  <si>
    <t xml:space="preserve">CASA CARNES FRIOS MICHELOTTO LTDA</t>
  </si>
  <si>
    <t xml:space="preserve">CASA CARNES FRIOS MICHELOTTO</t>
  </si>
  <si>
    <t xml:space="preserve">S GOMES CASTANHEIRA NETO</t>
  </si>
  <si>
    <t xml:space="preserve">PANIF E CONF GOMES</t>
  </si>
  <si>
    <t xml:space="preserve">AFONSO MARIN</t>
  </si>
  <si>
    <t xml:space="preserve">GAS E CONV DA BARAAO</t>
  </si>
  <si>
    <t xml:space="preserve">MARCELO MACHINSKI BRANDAO</t>
  </si>
  <si>
    <t xml:space="preserve">COMERCIAL BOM GOSTO</t>
  </si>
  <si>
    <t xml:space="preserve">MINI MERCADO CASA CARNES AMIZADE LTDA</t>
  </si>
  <si>
    <t xml:space="preserve">MINI MERC E CASA CARNE AMIZADE</t>
  </si>
  <si>
    <t xml:space="preserve">COMERCIAL DERPECO LTDA</t>
  </si>
  <si>
    <t xml:space="preserve">POSTO AEROPORTO</t>
  </si>
  <si>
    <t xml:space="preserve">MARIA DE JESUS PEREIRA</t>
  </si>
  <si>
    <t xml:space="preserve">MERC. E CASA</t>
  </si>
  <si>
    <t xml:space="preserve">DINALVA SILVA DE JESUS</t>
  </si>
  <si>
    <t xml:space="preserve">REGATTA</t>
  </si>
  <si>
    <t xml:space="preserve">CIA NAUTICA</t>
  </si>
  <si>
    <t xml:space="preserve">R.A. DROGARIAS LTDA</t>
  </si>
  <si>
    <t xml:space="preserve">BIG FARMA BRASILANDIA</t>
  </si>
  <si>
    <t xml:space="preserve">R A DROGARIAS FILIAL 9</t>
  </si>
  <si>
    <t xml:space="preserve">BIG FARMA</t>
  </si>
  <si>
    <t xml:space="preserve">MARIA APARECIDA SANTOS FERREIRA</t>
  </si>
  <si>
    <t xml:space="preserve">ACOUGUE E MERC APARECIDA</t>
  </si>
  <si>
    <t xml:space="preserve">B T DA COSTA FILHO</t>
  </si>
  <si>
    <t xml:space="preserve">DANILO GRANIERO FARIA ME/MS</t>
  </si>
  <si>
    <t xml:space="preserve">SORVETERIA O SORVETAO</t>
  </si>
  <si>
    <t xml:space="preserve">DOURALUB DIST DE LUBRIF FILTROS LTDA</t>
  </si>
  <si>
    <t xml:space="preserve">DOURALUB</t>
  </si>
  <si>
    <t xml:space="preserve">LUIZ LAURENTINO DE SOUZA</t>
  </si>
  <si>
    <t xml:space="preserve">MERCEARIA NATANIA</t>
  </si>
  <si>
    <t xml:space="preserve">J E K CONVENIENCIAS LTDA</t>
  </si>
  <si>
    <t xml:space="preserve">JOSE MARIA BARBOSA ORTIZ</t>
  </si>
  <si>
    <t xml:space="preserve">FARMACIA SAO LUCAS</t>
  </si>
  <si>
    <t xml:space="preserve">EVA DE SOUSA GOMES</t>
  </si>
  <si>
    <t xml:space="preserve">MERCADO FRANCO</t>
  </si>
  <si>
    <t xml:space="preserve">IRMAOS FRANDOLOSO LTDA</t>
  </si>
  <si>
    <t xml:space="preserve">CHURRASCARIA GASTAO</t>
  </si>
  <si>
    <t xml:space="preserve">ADRIANO JOSE DA S ARAUJO</t>
  </si>
  <si>
    <t xml:space="preserve">CANGURU LANCHES</t>
  </si>
  <si>
    <t xml:space="preserve">J C ALVES E CIA LTDA</t>
  </si>
  <si>
    <t xml:space="preserve">MINI MERCADO JOCAIVS</t>
  </si>
  <si>
    <t xml:space="preserve">JOSE DOE SILVA</t>
  </si>
  <si>
    <t xml:space="preserve">STRANIERI E OLIVEIRA LTDA</t>
  </si>
  <si>
    <t xml:space="preserve">VANDERLEY SMANIOTTO</t>
  </si>
  <si>
    <t xml:space="preserve">DOCES PARANA</t>
  </si>
  <si>
    <t xml:space="preserve">ELIZEU THOMAZ</t>
  </si>
  <si>
    <t xml:space="preserve">MERCEARIA PIRAPORA</t>
  </si>
  <si>
    <t xml:space="preserve">JOSE MARIO FERNANDES</t>
  </si>
  <si>
    <t xml:space="preserve">ESTIMACAO</t>
  </si>
  <si>
    <t xml:space="preserve">LEONILIA MONTEIRO DE LIMA</t>
  </si>
  <si>
    <t xml:space="preserve">PANIFICADORA AKI-TEM</t>
  </si>
  <si>
    <t xml:space="preserve">WILMAR J G SERENA</t>
  </si>
  <si>
    <t xml:space="preserve">ACOUGUE SAO JOSE</t>
  </si>
  <si>
    <t xml:space="preserve">RESTAURANTE FORNARI EIRELI</t>
  </si>
  <si>
    <t xml:space="preserve">VERMELHO GRIL RESTAURANTE</t>
  </si>
  <si>
    <t xml:space="preserve">SAPEKA IND COM</t>
  </si>
  <si>
    <t xml:space="preserve">APARECIDA DE GOIANIA</t>
  </si>
  <si>
    <t xml:space="preserve">JACIRA FERREIRA SILVA SOUZA</t>
  </si>
  <si>
    <t xml:space="preserve">BAR E MERCEARIA AMIZADE</t>
  </si>
  <si>
    <t xml:space="preserve">DEOCLESIO PEREIRA DE SOUZA E CIA LTDA</t>
  </si>
  <si>
    <t xml:space="preserve">JORGE EDSON PEREIRA SILVA</t>
  </si>
  <si>
    <t xml:space="preserve">VICENTIN E CIA LTDA</t>
  </si>
  <si>
    <t xml:space="preserve">SANTO ANTONIO SUPERMERCADOS</t>
  </si>
  <si>
    <t xml:space="preserve">JOAO BISPO PEREIRA</t>
  </si>
  <si>
    <t xml:space="preserve">POSTO DE SERVICOS DOM BOSCO LTDA</t>
  </si>
  <si>
    <t xml:space="preserve">POSTO DOM BOSCO</t>
  </si>
  <si>
    <t xml:space="preserve">BELLUZZO E HOLSBACK LTDA</t>
  </si>
  <si>
    <t xml:space="preserve">SUPERMERCADO ECONOMICO</t>
  </si>
  <si>
    <t xml:space="preserve">D B C DE SOUZA</t>
  </si>
  <si>
    <t xml:space="preserve">V V SOUZA E CIA LTDA</t>
  </si>
  <si>
    <t xml:space="preserve">DROGARIIA DROGANOSSA</t>
  </si>
  <si>
    <t xml:space="preserve">ECIMAR MELCHIOR DE SOUZA</t>
  </si>
  <si>
    <t xml:space="preserve">MINI MERCADO BARATAO</t>
  </si>
  <si>
    <t xml:space="preserve">J A F CORDEIRO</t>
  </si>
  <si>
    <t xml:space="preserve">AROEIRA ALIMETOS LTDA</t>
  </si>
  <si>
    <t xml:space="preserve">AROEIRA CONVENIENCIA</t>
  </si>
  <si>
    <t xml:space="preserve">COMERCIAL ESPERANCA LTDA</t>
  </si>
  <si>
    <t xml:space="preserve">MERCEARIAL ZIPPEL</t>
  </si>
  <si>
    <t xml:space="preserve">DIGITAL COMERCIO E SERVICOS LTDA</t>
  </si>
  <si>
    <t xml:space="preserve">CANTINA DO CESEC</t>
  </si>
  <si>
    <t xml:space="preserve">C R HICKMANN</t>
  </si>
  <si>
    <t xml:space="preserve">MERCADO E ACOUGUE SERRANO</t>
  </si>
  <si>
    <t xml:space="preserve">GENTIL PEREIRA E CIA LTDA</t>
  </si>
  <si>
    <t xml:space="preserve">GENTIL PEREIRA</t>
  </si>
  <si>
    <t xml:space="preserve">NIPON FARMA PRODUTOS FARMACEUTICOS LTDA </t>
  </si>
  <si>
    <t xml:space="preserve">PANIFICADORA MASCARENHA</t>
  </si>
  <si>
    <t xml:space="preserve">DISTRIBUIDORA NATAL LTDA</t>
  </si>
  <si>
    <t xml:space="preserve">LUIZ SILVEIRA NETTO</t>
  </si>
  <si>
    <t xml:space="preserve">CASA DOS AIMORES</t>
  </si>
  <si>
    <t xml:space="preserve">REGINA GOMES MOURA SANTANA</t>
  </si>
  <si>
    <t xml:space="preserve">ITALU COMERCIAL DE ALIMENTOS</t>
  </si>
  <si>
    <t xml:space="preserve">MERCADO DO CONSUMIDOR LTDA</t>
  </si>
  <si>
    <t xml:space="preserve">MERCADO DO CONSUMIDOR</t>
  </si>
  <si>
    <t xml:space="preserve">DIRCE ZIRONDI</t>
  </si>
  <si>
    <t xml:space="preserve">PANIFICADORA MOTTA LTDA</t>
  </si>
  <si>
    <t xml:space="preserve">PANIFICADORA MOTTA</t>
  </si>
  <si>
    <t xml:space="preserve">GR S A</t>
  </si>
  <si>
    <t xml:space="preserve">SUPERMERCADO SOL LTDA</t>
  </si>
  <si>
    <t xml:space="preserve">SM EXPRESSO</t>
  </si>
  <si>
    <t xml:space="preserve">JV HILGERT E CIA LTDA</t>
  </si>
  <si>
    <t xml:space="preserve">MERCADO VILA CRISTINA</t>
  </si>
  <si>
    <t xml:space="preserve">B D ALVARES</t>
  </si>
  <si>
    <t xml:space="preserve">BRASIL FARMA</t>
  </si>
  <si>
    <t xml:space="preserve">MARIA SIMAILDE DE MELO MARCULINO</t>
  </si>
  <si>
    <t xml:space="preserve">MERCADO PINQUIM</t>
  </si>
  <si>
    <t xml:space="preserve">T M F OUTA</t>
  </si>
  <si>
    <t xml:space="preserve">DROGARIA TYEKO</t>
  </si>
  <si>
    <t xml:space="preserve">SUPERMERCADO ALFA LTDA</t>
  </si>
  <si>
    <t xml:space="preserve">SUPER ALFA</t>
  </si>
  <si>
    <t xml:space="preserve">GIMENEZ E GIMENEZ LTDA</t>
  </si>
  <si>
    <t xml:space="preserve">HQC DOCERIA LTDA</t>
  </si>
  <si>
    <t xml:space="preserve">PAO DE QUEIJO EXPRESS - SHOPP</t>
  </si>
  <si>
    <t xml:space="preserve">BRUNO E WEILLER LTDA</t>
  </si>
  <si>
    <t xml:space="preserve">VAREJAO POPULAR</t>
  </si>
  <si>
    <t xml:space="preserve">NOGUEIRA E TARGINO LTDA</t>
  </si>
  <si>
    <t xml:space="preserve">DROGARIA RUI BARBOSA LTDA</t>
  </si>
  <si>
    <t xml:space="preserve">DROGARIA RUI BARBOSA</t>
  </si>
  <si>
    <t xml:space="preserve">DROGARIA RUI BRABOSA</t>
  </si>
  <si>
    <t xml:space="preserve">FRIBOI LTDA</t>
  </si>
  <si>
    <t xml:space="preserve">LUZIANIA</t>
  </si>
  <si>
    <t xml:space="preserve">DIVISAO HIG E LIMPEZA</t>
  </si>
  <si>
    <t xml:space="preserve">GRABOWSKI DA SILVA E CIA LTDA</t>
  </si>
  <si>
    <t xml:space="preserve">DROGACRUZ LTDA</t>
  </si>
  <si>
    <t xml:space="preserve">DROGACRUZ</t>
  </si>
  <si>
    <t xml:space="preserve">T D B RESTAURANTE DANCING BAR LTDA</t>
  </si>
  <si>
    <t xml:space="preserve">TANGO BAR</t>
  </si>
  <si>
    <t xml:space="preserve">A NOGUEIRA SANTOS COMERCIO</t>
  </si>
  <si>
    <t xml:space="preserve">MERCEARIA CUIABANO</t>
  </si>
  <si>
    <t xml:space="preserve">ROSANGELA DE PAIVA CAFFEU</t>
  </si>
  <si>
    <t xml:space="preserve">MEL ROSE BAR</t>
  </si>
  <si>
    <t xml:space="preserve">VIA SUL VEICULOS LTDA</t>
  </si>
  <si>
    <t xml:space="preserve">VIA SUL VEICULOS</t>
  </si>
  <si>
    <t xml:space="preserve">SIRLEI MONTOVANI</t>
  </si>
  <si>
    <t xml:space="preserve">RIO SUCURI ECOTURISMO LTDA</t>
  </si>
  <si>
    <t xml:space="preserve">RIO SUCURI</t>
  </si>
  <si>
    <t xml:space="preserve">FRANCISCO JOSE MARQUES COSTA</t>
  </si>
  <si>
    <t xml:space="preserve">PADARIA NOVA ESPERANCA</t>
  </si>
  <si>
    <t xml:space="preserve">RESTAURANTE E LANCHONETE TAQUARUCU LTDA </t>
  </si>
  <si>
    <t xml:space="preserve">REST. TAGUARUCU</t>
  </si>
  <si>
    <t xml:space="preserve">GOURMET PARQUE LTDA</t>
  </si>
  <si>
    <t xml:space="preserve">GOURMET PARQUE</t>
  </si>
  <si>
    <t xml:space="preserve">LORINA L WRUBEL</t>
  </si>
  <si>
    <t xml:space="preserve">VILMA S DUARTE</t>
  </si>
  <si>
    <t xml:space="preserve">VIVI ICE</t>
  </si>
  <si>
    <t xml:space="preserve">HYPERMARCAS SA</t>
  </si>
  <si>
    <t xml:space="preserve">SAPEKA</t>
  </si>
  <si>
    <t xml:space="preserve">COMERCIAL CASBE LTDA</t>
  </si>
  <si>
    <t xml:space="preserve">COMERCIAL CASBE</t>
  </si>
  <si>
    <t xml:space="preserve">D RODRIGUES</t>
  </si>
  <si>
    <t xml:space="preserve">JOSE DOS SANTOS PEREIRA</t>
  </si>
  <si>
    <t xml:space="preserve">PASTEL MAGICO</t>
  </si>
  <si>
    <t xml:space="preserve">BORDIM E SANDIM LTDA ME/MS</t>
  </si>
  <si>
    <t xml:space="preserve">RESTAURANTE U.C.D.B</t>
  </si>
  <si>
    <t xml:space="preserve">DROGACITY FARMACEUTICA LTDA</t>
  </si>
  <si>
    <t xml:space="preserve">DROGACITY</t>
  </si>
  <si>
    <t xml:space="preserve">MERCADO DA ECONOMIA LTDA</t>
  </si>
  <si>
    <t xml:space="preserve">VALDETE CANDIDA DE LIMA VIEIRA</t>
  </si>
  <si>
    <t xml:space="preserve">CASA DE CARNE AVENIDA</t>
  </si>
  <si>
    <t xml:space="preserve">LAZARA DA CONCEICAO FLAVIO</t>
  </si>
  <si>
    <t xml:space="preserve">MERCEARIA SAO BENEDITO</t>
  </si>
  <si>
    <t xml:space="preserve">RAQUEL LEIVA DO PRADO OLIVEIRA</t>
  </si>
  <si>
    <t xml:space="preserve">PANF E CONV PAO GOSTOSO</t>
  </si>
  <si>
    <t xml:space="preserve">JEANCARLO CESTARI</t>
  </si>
  <si>
    <t xml:space="preserve">PADARIA A PREFERIDA</t>
  </si>
  <si>
    <t xml:space="preserve">NORBERTO LUIZ GRISON</t>
  </si>
  <si>
    <t xml:space="preserve">MINI MERCADO E SAC. AVENIDA</t>
  </si>
  <si>
    <t xml:space="preserve">TAKEO YAMAKI</t>
  </si>
  <si>
    <t xml:space="preserve">MERCEARIA YAMAKI</t>
  </si>
  <si>
    <t xml:space="preserve">DELCARI APARECIDO FERNANDES DE CAMPOS</t>
  </si>
  <si>
    <t xml:space="preserve">MERCEARIA HOFFMAN</t>
  </si>
  <si>
    <t xml:space="preserve">JOAO BUZANELO</t>
  </si>
  <si>
    <t xml:space="preserve">REST.E PANIFICADORA AVENIDA</t>
  </si>
  <si>
    <t xml:space="preserve">ORLANDO SANTOS GENEROS ALIMENTICIOS</t>
  </si>
  <si>
    <t xml:space="preserve">RED BULL DO BRASIL LTDA</t>
  </si>
  <si>
    <t xml:space="preserve">RED BULL</t>
  </si>
  <si>
    <t xml:space="preserve">MINI MERCADO SORRISO LTDA</t>
  </si>
  <si>
    <t xml:space="preserve">MINI MERCADO SORRISO</t>
  </si>
  <si>
    <t xml:space="preserve">MARIO FONSECA P SILVA E CIA LTDA</t>
  </si>
  <si>
    <t xml:space="preserve">POSTO LUZITANO</t>
  </si>
  <si>
    <t xml:space="preserve">MARIO DA FONSECA P DA SILVA E CIA LTDA  </t>
  </si>
  <si>
    <t xml:space="preserve">POSTO</t>
  </si>
  <si>
    <t xml:space="preserve">MANOEL FRANCISCO ANDRADE</t>
  </si>
  <si>
    <t xml:space="preserve">SILVA E ANJOS LTDA</t>
  </si>
  <si>
    <t xml:space="preserve">MERCEARIA FASOL</t>
  </si>
  <si>
    <t xml:space="preserve">ILARIO FERREIRA</t>
  </si>
  <si>
    <t xml:space="preserve">VERIANO HOFFMEISTER</t>
  </si>
  <si>
    <t xml:space="preserve">MERCEARIA SANTO AFONSO</t>
  </si>
  <si>
    <t xml:space="preserve">MARIA HELENA NOGUEIRA OLIVEIRA</t>
  </si>
  <si>
    <t xml:space="preserve">LOJA BOM PRE?O</t>
  </si>
  <si>
    <t xml:space="preserve">APARECIDO JOSE EGIDIA MUSSATO</t>
  </si>
  <si>
    <t xml:space="preserve">SIRLEI TELES PINHEIRO</t>
  </si>
  <si>
    <t xml:space="preserve">MERCADINHO NSRA FATIMA</t>
  </si>
  <si>
    <t xml:space="preserve">MARIA GORETE BARBOSA DA SILVA</t>
  </si>
  <si>
    <t xml:space="preserve">COMERCIAL TRIANGULO DE ALIMENTOS LTDA</t>
  </si>
  <si>
    <t xml:space="preserve">COMERCIAL TRIANGULO</t>
  </si>
  <si>
    <t xml:space="preserve">ANTONIO DA COSTA CARDOZO</t>
  </si>
  <si>
    <t xml:space="preserve">ATACADAO DO TRIGO</t>
  </si>
  <si>
    <t xml:space="preserve">NERCI GARCIA DO ROSARIO</t>
  </si>
  <si>
    <t xml:space="preserve">GARCIA CONVENIENCIA</t>
  </si>
  <si>
    <t xml:space="preserve">SUPERMERCADO RHEMA LTDA</t>
  </si>
  <si>
    <t xml:space="preserve">SUPERMERCADO RHEMA</t>
  </si>
  <si>
    <t xml:space="preserve">MAM DAP COMERCIO FARMACEUTICO LTDA</t>
  </si>
  <si>
    <t xml:space="preserve">FARMACIA MODERNA</t>
  </si>
  <si>
    <t xml:space="preserve">ROSEMAR FRANCISCA MARQUES</t>
  </si>
  <si>
    <t xml:space="preserve">MERCEARIA BOM PRE?O</t>
  </si>
  <si>
    <t xml:space="preserve">EDELWEISS GONCALVES PEREIRA</t>
  </si>
  <si>
    <t xml:space="preserve">URI MOREIRA FERRAZ</t>
  </si>
  <si>
    <t xml:space="preserve">EDISON GONCALVES FERREIRA</t>
  </si>
  <si>
    <t xml:space="preserve">PANIF REKINTE DE SABOR</t>
  </si>
  <si>
    <t xml:space="preserve">JOSE ELIAS ME</t>
  </si>
  <si>
    <t xml:space="preserve">LANCHONETE ELIAS</t>
  </si>
  <si>
    <t xml:space="preserve">DEILSON CORREA MIRANDA</t>
  </si>
  <si>
    <t xml:space="preserve">MERCADO MIRANDA</t>
  </si>
  <si>
    <t xml:space="preserve">MARIA RIBEIRO BONATO</t>
  </si>
  <si>
    <t xml:space="preserve">COMERCIAL RIBEIRO</t>
  </si>
  <si>
    <t xml:space="preserve">AUTO POSTO MARIELY LTDA</t>
  </si>
  <si>
    <t xml:space="preserve">AUTO POSTO MARIELY</t>
  </si>
  <si>
    <t xml:space="preserve">EDER OLIVEIRA ALVES</t>
  </si>
  <si>
    <t xml:space="preserve">SM ERVA CRIOLA</t>
  </si>
  <si>
    <t xml:space="preserve">E A SILVA CONVENIENCIAS</t>
  </si>
  <si>
    <t xml:space="preserve">CONV NOVO MILENIO</t>
  </si>
  <si>
    <t xml:space="preserve">VIVIANE PESS</t>
  </si>
  <si>
    <t xml:space="preserve">SM ATEND BEM</t>
  </si>
  <si>
    <t xml:space="preserve">FERREIRA E MARGATO LTDA</t>
  </si>
  <si>
    <t xml:space="preserve">DROGARIA VANIA</t>
  </si>
  <si>
    <t xml:space="preserve">CUNHA E YONAMINE LTDA</t>
  </si>
  <si>
    <t xml:space="preserve">KAERU</t>
  </si>
  <si>
    <t xml:space="preserve">CELSO LEME PRADO</t>
  </si>
  <si>
    <t xml:space="preserve">MINI MERCEARIA NOSSA CASA</t>
  </si>
  <si>
    <t xml:space="preserve">DALLA ROSA E DALLA ROSA LTDA</t>
  </si>
  <si>
    <t xml:space="preserve">MERCEARIA CATARIMENSE</t>
  </si>
  <si>
    <t xml:space="preserve">TEREZINHA SOARES DUARTE</t>
  </si>
  <si>
    <t xml:space="preserve">MILA PANIFICADORA</t>
  </si>
  <si>
    <t xml:space="preserve">ZIRONDI E CIA LTDA</t>
  </si>
  <si>
    <t xml:space="preserve">MERCADO ZIRONDI</t>
  </si>
  <si>
    <t xml:space="preserve">ARARA PANTANEIRA TRANS.FLUVIAS TURISMO  </t>
  </si>
  <si>
    <t xml:space="preserve">ARARA PANTANEIRA</t>
  </si>
  <si>
    <t xml:space="preserve">PANIFICADORA ZILIO LTDA</t>
  </si>
  <si>
    <t xml:space="preserve">PANIF ZILIO</t>
  </si>
  <si>
    <t xml:space="preserve">MARIA UENO DE CARVALHO</t>
  </si>
  <si>
    <t xml:space="preserve">MERCEARIA CARVALHO</t>
  </si>
  <si>
    <t xml:space="preserve">LANCHONETE E REST VARZEA ALEGRE LTDA</t>
  </si>
  <si>
    <t xml:space="preserve">AUTO POSTO VARZEA ALEGRE LTDA</t>
  </si>
  <si>
    <t xml:space="preserve">M S FORASTIERI E CIA LTDA</t>
  </si>
  <si>
    <t xml:space="preserve">MERCADO SAO MATHEUS</t>
  </si>
  <si>
    <t xml:space="preserve">MARQUES E AVILA LTDA</t>
  </si>
  <si>
    <t xml:space="preserve">DISK FESTA E CONV.RODA VIVA</t>
  </si>
  <si>
    <t xml:space="preserve">PANIFICADORA CONFEIT K CAROLINNA LTDA</t>
  </si>
  <si>
    <t xml:space="preserve">LANCHONETE K-CAROLINNA</t>
  </si>
  <si>
    <t xml:space="preserve">JOAO RAMPELOTTI</t>
  </si>
  <si>
    <t xml:space="preserve">MERCEARIA RAMPELOTTI</t>
  </si>
  <si>
    <t xml:space="preserve">DEMETRIO VESCOVI</t>
  </si>
  <si>
    <t xml:space="preserve">TROKAR POSTOS DE SERVICOS LTDA</t>
  </si>
  <si>
    <t xml:space="preserve">CLEUSA SILVA ROCHA</t>
  </si>
  <si>
    <t xml:space="preserve">MERCADO MARATANA</t>
  </si>
  <si>
    <t xml:space="preserve">AREIEIRO SAARA LTDA</t>
  </si>
  <si>
    <t xml:space="preserve">AREEIRO SAARA</t>
  </si>
  <si>
    <t xml:space="preserve">NELSON PEREIRA DA COSTA</t>
  </si>
  <si>
    <t xml:space="preserve">SM COSTA</t>
  </si>
  <si>
    <t xml:space="preserve">CANTINA DO SENAC</t>
  </si>
  <si>
    <t xml:space="preserve">C C BALAN</t>
  </si>
  <si>
    <t xml:space="preserve">CASA DE CARNE BOA VISTA</t>
  </si>
  <si>
    <t xml:space="preserve">MERC E ACOUGUE OURO VERDE LTDA</t>
  </si>
  <si>
    <t xml:space="preserve">MERC E ACOUGUE OURO VERDE</t>
  </si>
  <si>
    <t xml:space="preserve">GLAFIRA DA SILVA BRANDAO</t>
  </si>
  <si>
    <t xml:space="preserve">PANI</t>
  </si>
  <si>
    <t xml:space="preserve">CASARIL E CASARIL LTDA</t>
  </si>
  <si>
    <t xml:space="preserve">CHURRASCARIA</t>
  </si>
  <si>
    <t xml:space="preserve">DARCI LOPES E FILHO LTDA</t>
  </si>
  <si>
    <t xml:space="preserve">PALLACIO PIZZARIA</t>
  </si>
  <si>
    <t xml:space="preserve">MERCADO ITAPARICA LTDA</t>
  </si>
  <si>
    <t xml:space="preserve">MERCADO ITAPARICA</t>
  </si>
  <si>
    <t xml:space="preserve">VANGUARDA COM BEBIDAS PROD ALIMENT LTDA </t>
  </si>
  <si>
    <t xml:space="preserve">LOURDES DA SILVA PINHEIRO</t>
  </si>
  <si>
    <t xml:space="preserve">MERCEARIA NOVA CANAA</t>
  </si>
  <si>
    <t xml:space="preserve">ARGERIN E ARGERIN LTDA</t>
  </si>
  <si>
    <t xml:space="preserve">ESTACAO RODOVIARIA</t>
  </si>
  <si>
    <t xml:space="preserve">NUTRIBEM PRODUTOS AGROPECUARIOS LTDA</t>
  </si>
  <si>
    <t xml:space="preserve">NUTRIBEM</t>
  </si>
  <si>
    <t xml:space="preserve">AUTO POSTO FRONTEIRA LTDA</t>
  </si>
  <si>
    <t xml:space="preserve">POSTO FRONTEIRA</t>
  </si>
  <si>
    <t xml:space="preserve">BACHEGA E RONDON LTDA</t>
  </si>
  <si>
    <t xml:space="preserve">PAES DULCE MARIA</t>
  </si>
  <si>
    <t xml:space="preserve">M S OLARTE E CIA LTDA</t>
  </si>
  <si>
    <t xml:space="preserve">O POSITIVO</t>
  </si>
  <si>
    <t xml:space="preserve">IRENE ALMEIDA DE OLIVEIRA</t>
  </si>
  <si>
    <t xml:space="preserve">BAR E MERCEARIA OLIVEIRA</t>
  </si>
  <si>
    <t xml:space="preserve">LUCIA DONIZETH RIBEIRO</t>
  </si>
  <si>
    <t xml:space="preserve">MARIA LUISA GONCALVES DE MATOS</t>
  </si>
  <si>
    <t xml:space="preserve">ASSIS E RODRIGUES LTDA</t>
  </si>
  <si>
    <t xml:space="preserve">SM SERRA DOURADA</t>
  </si>
  <si>
    <t xml:space="preserve">CARDOSO E SALVADOR LTDA</t>
  </si>
  <si>
    <t xml:space="preserve">COMERCIAL UCHOA LTDA</t>
  </si>
  <si>
    <t xml:space="preserve">HOTEL UCHOA</t>
  </si>
  <si>
    <t xml:space="preserve">REGINA SANTOS ELOY DA SILVA</t>
  </si>
  <si>
    <t xml:space="preserve">PANIF MARAMATA</t>
  </si>
  <si>
    <t xml:space="preserve">COMERCIAL VALMAMS DE ALIMENTOS LTDA</t>
  </si>
  <si>
    <t xml:space="preserve">CAFE DO PONTO -AEROPORTO</t>
  </si>
  <si>
    <t xml:space="preserve">R L COELHO SANCHES</t>
  </si>
  <si>
    <t xml:space="preserve">SEILA COSTA SOUZA</t>
  </si>
  <si>
    <t xml:space="preserve">VERDURAO DA ECONOMIA</t>
  </si>
  <si>
    <t xml:space="preserve">BARBOSA E MACHADO LTDA</t>
  </si>
  <si>
    <t xml:space="preserve">SM EXTRA</t>
  </si>
  <si>
    <t xml:space="preserve">PET SHOP 4 PATAS EIRELI</t>
  </si>
  <si>
    <t xml:space="preserve">PET SHOP 4 PATAS</t>
  </si>
  <si>
    <t xml:space="preserve">FAVO DE MEL COM DE GEN ALIMENTICIOS LTDA</t>
  </si>
  <si>
    <t xml:space="preserve">DORALICE DA SILVA</t>
  </si>
  <si>
    <t xml:space="preserve">DROGARIA NOVA ALVORADA</t>
  </si>
  <si>
    <t xml:space="preserve">REMO COM DE ART DE VESTUARIO LTDA</t>
  </si>
  <si>
    <t xml:space="preserve">KM TRANSPORTES RODOV DE CARGAS LTDA</t>
  </si>
  <si>
    <t xml:space="preserve">KM TRANSPORTES</t>
  </si>
  <si>
    <t xml:space="preserve">JESUS MARIA BRUM</t>
  </si>
  <si>
    <t xml:space="preserve">CASA ALO AMAMBAI</t>
  </si>
  <si>
    <t xml:space="preserve">REINALDO FRANCO</t>
  </si>
  <si>
    <t xml:space="preserve">RAMAO OSWALDO VIEIRA</t>
  </si>
  <si>
    <t xml:space="preserve">LUIZ BORGES VIEIRA</t>
  </si>
  <si>
    <t xml:space="preserve">CEARA 48 HORAS</t>
  </si>
  <si>
    <t xml:space="preserve">GILMAR MACIEL</t>
  </si>
  <si>
    <t xml:space="preserve">VERDURAO DO CABRAL</t>
  </si>
  <si>
    <t xml:space="preserve">AMAMBAI INDUSTRIA ALIMENTICIA LTDA</t>
  </si>
  <si>
    <t xml:space="preserve">MERCADAO DA CARNIS AMAMBAI</t>
  </si>
  <si>
    <t xml:space="preserve">MERCADO DE CARNES AMAMBAI</t>
  </si>
  <si>
    <t xml:space="preserve">DELFINA PRADO FERREIRA ROSA</t>
  </si>
  <si>
    <t xml:space="preserve">CONVENIENCIAS DOM AQUINO LTDA</t>
  </si>
  <si>
    <t xml:space="preserve">CONVENIENCIA DOM AQUINO</t>
  </si>
  <si>
    <t xml:space="preserve">SILVIO BATISTA REIS</t>
  </si>
  <si>
    <t xml:space="preserve">FIORENTINA PIZZ E CONVEN LTDA</t>
  </si>
  <si>
    <t xml:space="preserve">FIORENTINA PIZZARIA</t>
  </si>
  <si>
    <t xml:space="preserve">ANDRELINO MARQUES DE SOUZA</t>
  </si>
  <si>
    <t xml:space="preserve">SM MARQUES</t>
  </si>
  <si>
    <t xml:space="preserve">MARIA APARECIDA VILELA DALAVALE EPP</t>
  </si>
  <si>
    <t xml:space="preserve">MERCADO MARIA MARIA</t>
  </si>
  <si>
    <t xml:space="preserve">DIJALMA FLORENCIO DE SOUZA</t>
  </si>
  <si>
    <t xml:space="preserve">CASA DE CARNE SOUZA</t>
  </si>
  <si>
    <t xml:space="preserve">NAIR MAXIMO DA ROCHA</t>
  </si>
  <si>
    <t xml:space="preserve">CANTINA DO COLEGIO MILITAR</t>
  </si>
  <si>
    <t xml:space="preserve">VIRGILIO CRISTALDO</t>
  </si>
  <si>
    <t xml:space="preserve">EDICARLOS LACERDA DE OLIVEIRA</t>
  </si>
  <si>
    <t xml:space="preserve">MERCADO LACERDA</t>
  </si>
  <si>
    <t xml:space="preserve">RAIMUNDA FERREIRA CASIMIRO</t>
  </si>
  <si>
    <t xml:space="preserve">BRAGA E CASTRO LTDA</t>
  </si>
  <si>
    <t xml:space="preserve">DINDIOS</t>
  </si>
  <si>
    <t xml:space="preserve">PANIF E CONFEITARIA LIMA LTDA</t>
  </si>
  <si>
    <t xml:space="preserve">PANIF CONF LIMA</t>
  </si>
  <si>
    <t xml:space="preserve">POSTO GUENO PROSA LTDA</t>
  </si>
  <si>
    <t xml:space="preserve">CONV AM PM</t>
  </si>
  <si>
    <t xml:space="preserve">LURDENICE APARECIDA GOMES LIMA ME/MS</t>
  </si>
  <si>
    <t xml:space="preserve">PRIMEIRA IGREJA EVANGELICA BATISTA</t>
  </si>
  <si>
    <t xml:space="preserve">NILVA SILVA PISURNO</t>
  </si>
  <si>
    <t xml:space="preserve">LANCHONETE PISURNO</t>
  </si>
  <si>
    <t xml:space="preserve">SINDICATO DOS SERV. DOS JUDICIARIO</t>
  </si>
  <si>
    <t xml:space="preserve">SUPERMERCADO LIDER LTDA</t>
  </si>
  <si>
    <t xml:space="preserve">LALAI DOCES LTDA</t>
  </si>
  <si>
    <t xml:space="preserve">LALAI DOCES</t>
  </si>
  <si>
    <t xml:space="preserve">T SILVA MERCADO</t>
  </si>
  <si>
    <t xml:space="preserve">PAULO A DE MIRANDA</t>
  </si>
  <si>
    <t xml:space="preserve">PADARIA E CONF</t>
  </si>
  <si>
    <t xml:space="preserve">CLEUNICE ALVES DE MELO</t>
  </si>
  <si>
    <t xml:space="preserve">CIRCULO MILITAR DE CAMPO GRANDE</t>
  </si>
  <si>
    <t xml:space="preserve">CIRCULO MILITAR</t>
  </si>
  <si>
    <t xml:space="preserve">NILSON LOPES</t>
  </si>
  <si>
    <t xml:space="preserve">HORTIFRUTI SANTA RITA LTDA ME</t>
  </si>
  <si>
    <t xml:space="preserve">REDE HORTIFRUT SANTA RITA </t>
  </si>
  <si>
    <t xml:space="preserve">HORTIFRUTI SANTA RITA</t>
  </si>
  <si>
    <t xml:space="preserve">HORTIFRUTTI SANTA RITA</t>
  </si>
  <si>
    <t xml:space="preserve">JOAO CARLOS VENDRAME PRIMO</t>
  </si>
  <si>
    <t xml:space="preserve">PANIF VENDRAME</t>
  </si>
  <si>
    <t xml:space="preserve">SHIZUKO NAKASHIMA</t>
  </si>
  <si>
    <t xml:space="preserve">CASA RIO NEGRO</t>
  </si>
  <si>
    <t xml:space="preserve">CONVENIENCIA SANTA GULA LTDA ME/MS</t>
  </si>
  <si>
    <t xml:space="preserve">CONVENIENCIA SANTA GULA</t>
  </si>
  <si>
    <t xml:space="preserve">PAROQUIA SAO JOAO BOSCO</t>
  </si>
  <si>
    <t xml:space="preserve">CARLITOS RODRIGUES</t>
  </si>
  <si>
    <t xml:space="preserve">MERCANTIL DICHOFF LTDA</t>
  </si>
  <si>
    <t xml:space="preserve">MERCAMTIL DICHOF</t>
  </si>
  <si>
    <t xml:space="preserve">KARINE RESTAURANTE LTDA</t>
  </si>
  <si>
    <t xml:space="preserve">LITANI BAR E RESTAURANTE</t>
  </si>
  <si>
    <t xml:space="preserve">JORGE TAMASHIRO</t>
  </si>
  <si>
    <t xml:space="preserve">CASA TAMASHIRO</t>
  </si>
  <si>
    <t xml:space="preserve">MASAYUKI HIGASHI</t>
  </si>
  <si>
    <t xml:space="preserve">CASA HIGASHI</t>
  </si>
  <si>
    <t xml:space="preserve">ADRIANA COZIM OLIVEIRA</t>
  </si>
  <si>
    <t xml:space="preserve">SM TIO PATINHAS</t>
  </si>
  <si>
    <t xml:space="preserve">CLAUDIO B LOPES E CIA LTDA EPP</t>
  </si>
  <si>
    <t xml:space="preserve">CASA PORTUGUESA</t>
  </si>
  <si>
    <t xml:space="preserve">POSTO MERCURIO LTDA</t>
  </si>
  <si>
    <t xml:space="preserve">POSTO MERCURIO</t>
  </si>
  <si>
    <t xml:space="preserve">ELENIR VARGAS BENITES</t>
  </si>
  <si>
    <t xml:space="preserve">DELICIA CARNES CONVENIENCIAS</t>
  </si>
  <si>
    <t xml:space="preserve">CELINA SANTOS SILVA MACHADO RIOS ME</t>
  </si>
  <si>
    <t xml:space="preserve">HOTEL CASABELA</t>
  </si>
  <si>
    <t xml:space="preserve">SUPERMERCADO CARDOSO</t>
  </si>
  <si>
    <t xml:space="preserve">ESCOLA TENIR LTDA</t>
  </si>
  <si>
    <t xml:space="preserve">ESCOLA TENIR</t>
  </si>
  <si>
    <t xml:space="preserve">A J ABDEL JABER</t>
  </si>
  <si>
    <t xml:space="preserve">MERCADINHO POPULAR NOVA</t>
  </si>
  <si>
    <t xml:space="preserve">ROSA L G LEITE E CIA LTDA</t>
  </si>
  <si>
    <t xml:space="preserve">SM CARANDA</t>
  </si>
  <si>
    <t xml:space="preserve">UEMURA SUPERMERCADO LTDA</t>
  </si>
  <si>
    <t xml:space="preserve">SM GRANDOURADOS</t>
  </si>
  <si>
    <t xml:space="preserve">CLINEU ARAUJO COSTA</t>
  </si>
  <si>
    <t xml:space="preserve">CENTRAL BEBIDAS</t>
  </si>
  <si>
    <t xml:space="preserve">CACILDA ANTONIA S MAIA</t>
  </si>
  <si>
    <t xml:space="preserve">MERCADO SIMOES</t>
  </si>
  <si>
    <t xml:space="preserve">S B CIRILO E CIA LTDA</t>
  </si>
  <si>
    <t xml:space="preserve">CASA DE CARNE DOM AQUINO</t>
  </si>
  <si>
    <t xml:space="preserve">FAICAL SLEIMAN ALLE</t>
  </si>
  <si>
    <t xml:space="preserve">MULTIPLA ESCOLHA</t>
  </si>
  <si>
    <t xml:space="preserve">MIRACY OLIVEIRA PERIANO</t>
  </si>
  <si>
    <t xml:space="preserve">EMPORIO TRIUNFO</t>
  </si>
  <si>
    <t xml:space="preserve">ALEXANDRINA FROES</t>
  </si>
  <si>
    <t xml:space="preserve">CASA DE CARNE E CONV BOI GORDO</t>
  </si>
  <si>
    <t xml:space="preserve">POSTO JATO SERVICO LTDA</t>
  </si>
  <si>
    <t xml:space="preserve">POSTO JATO</t>
  </si>
  <si>
    <t xml:space="preserve">FRANCISCO MACEDO VALENSUELA</t>
  </si>
  <si>
    <t xml:space="preserve">VAREJAO PALMA</t>
  </si>
  <si>
    <t xml:space="preserve">BEEF CHIC CARNES E CONVENIENCIAS LTDA</t>
  </si>
  <si>
    <t xml:space="preserve">BEEF CHIC</t>
  </si>
  <si>
    <t xml:space="preserve">LOURENCA A A BORGES DE ARAUJO</t>
  </si>
  <si>
    <t xml:space="preserve">HOTEL POUSA GUARANY</t>
  </si>
  <si>
    <t xml:space="preserve">MARIA ADELIA NUNES MEDEIROS</t>
  </si>
  <si>
    <t xml:space="preserve">HELIO BISS</t>
  </si>
  <si>
    <t xml:space="preserve">COMERCIAL LUNA LTDA</t>
  </si>
  <si>
    <t xml:space="preserve">ROMA DISTRIBUIDORA DE ALIMENTOS LTDA</t>
  </si>
  <si>
    <t xml:space="preserve">BAR MERCEARIA GAUCHA LTDA</t>
  </si>
  <si>
    <t xml:space="preserve">BAR E MERCEARIA GAUCHA</t>
  </si>
  <si>
    <t xml:space="preserve">MARANATHA AGROPECUARIA LTDA</t>
  </si>
  <si>
    <t xml:space="preserve">REDE MARANATHA</t>
  </si>
  <si>
    <t xml:space="preserve">MARANATHA PETSHOP</t>
  </si>
  <si>
    <t xml:space="preserve">MARANATHA AGROPECUARIA LTDA ME</t>
  </si>
  <si>
    <t xml:space="preserve">MARANATHA</t>
  </si>
  <si>
    <t xml:space="preserve">MARANATHA PET SHOP</t>
  </si>
  <si>
    <t xml:space="preserve">MARANATA PET SHOP</t>
  </si>
  <si>
    <t xml:space="preserve">R DOS SANTOS</t>
  </si>
  <si>
    <t xml:space="preserve">MERCADINHO BRASIL</t>
  </si>
  <si>
    <t xml:space="preserve">JOAO BATISTA FAGUNDES COTRIN</t>
  </si>
  <si>
    <t xml:space="preserve">COMERCIAL COTRIM</t>
  </si>
  <si>
    <t xml:space="preserve">ZACARINI E CIA LTDA</t>
  </si>
  <si>
    <t xml:space="preserve">SO SAL AGROPECUARIA</t>
  </si>
  <si>
    <t xml:space="preserve">ZACARINI E  CIA LTDA</t>
  </si>
  <si>
    <t xml:space="preserve">SO SAL</t>
  </si>
  <si>
    <t xml:space="preserve">CICERA MARIA OLIVEIRA SANTOS</t>
  </si>
  <si>
    <t xml:space="preserve">MINI MERCADO MOINHO</t>
  </si>
  <si>
    <t xml:space="preserve">MARINEZ OLIVEIRA COSTA</t>
  </si>
  <si>
    <t xml:space="preserve">MIRIAN HOFFMAN</t>
  </si>
  <si>
    <t xml:space="preserve">GERALDO CASSIANO PONTES</t>
  </si>
  <si>
    <t xml:space="preserve">CASA PONTES</t>
  </si>
  <si>
    <t xml:space="preserve">ORTENILA SEVERGNINI</t>
  </si>
  <si>
    <t xml:space="preserve">LANCHONETE CARRETAO</t>
  </si>
  <si>
    <t xml:space="preserve">MERCADO MASTER BOM LTDA</t>
  </si>
  <si>
    <t xml:space="preserve">MERCADO MASTER BOM</t>
  </si>
  <si>
    <t xml:space="preserve">WILSON COELHO ALVES</t>
  </si>
  <si>
    <t xml:space="preserve">PAES CONV.LEITE MEL</t>
  </si>
  <si>
    <t xml:space="preserve">YARA KARLA DE OLIVEIRA SA</t>
  </si>
  <si>
    <t xml:space="preserve">CONVENIENCIA AKITEM</t>
  </si>
  <si>
    <t xml:space="preserve">ACADEMIA COLISEU LTDA</t>
  </si>
  <si>
    <t xml:space="preserve">AUTO POSTO MAEDA LTDA</t>
  </si>
  <si>
    <t xml:space="preserve">LUCIENE APARECIDA FERREIRA DE SOUZA ME/M</t>
  </si>
  <si>
    <t xml:space="preserve">COMERCIAL ZARELI LTDA</t>
  </si>
  <si>
    <t xml:space="preserve">VERDURAO KI PRECO</t>
  </si>
  <si>
    <t xml:space="preserve">SACOLAO KI PRECO</t>
  </si>
  <si>
    <t xml:space="preserve">AUTO POSTO ANIELLI LTDA</t>
  </si>
  <si>
    <t xml:space="preserve">AUTO POSTO ANIELLI</t>
  </si>
  <si>
    <t xml:space="preserve">MARIA JOSE COSTA</t>
  </si>
  <si>
    <t xml:space="preserve">CELIA SOUZA FARIAS</t>
  </si>
  <si>
    <t xml:space="preserve">BAR E MERC.SAO LUIZ</t>
  </si>
  <si>
    <t xml:space="preserve">COMERCIAL DE ALIMENTOS MATHEUS LTDA</t>
  </si>
  <si>
    <t xml:space="preserve">SM SAO LUIZ</t>
  </si>
  <si>
    <t xml:space="preserve">CARDOSO CONVENIENCIAS LTDA</t>
  </si>
  <si>
    <t xml:space="preserve">MONTEIRO FREIRE E CIA LTDA</t>
  </si>
  <si>
    <t xml:space="preserve">EMPORIO ARABE</t>
  </si>
  <si>
    <t xml:space="preserve">GUIOMAR DOS SANTOS RAMOS</t>
  </si>
  <si>
    <t xml:space="preserve">PANIFICADORA PAO CROCANTE</t>
  </si>
  <si>
    <t xml:space="preserve">BALEN E SCHIO LTDA</t>
  </si>
  <si>
    <t xml:space="preserve">MERC E PANIF ALENCAR</t>
  </si>
  <si>
    <t xml:space="preserve">FRANCISCO ROSA LOPES - ME</t>
  </si>
  <si>
    <t xml:space="preserve">CINEMA - CINE OURO BRANCO</t>
  </si>
  <si>
    <t xml:space="preserve">EDITE ALVES DE OLIVEIRA ME/MS</t>
  </si>
  <si>
    <t xml:space="preserve">CONVENIENCIA CERRADO LTDA ME</t>
  </si>
  <si>
    <t xml:space="preserve">CONVENIENCIA CERRADO</t>
  </si>
  <si>
    <t xml:space="preserve">LIGIA HERNANDES MORETO</t>
  </si>
  <si>
    <t xml:space="preserve">DONIZETTI CARDOSO</t>
  </si>
  <si>
    <t xml:space="preserve">MARCELO ALMEIDA DE QUEIROZ</t>
  </si>
  <si>
    <t xml:space="preserve">REQUINTE BUFFET</t>
  </si>
  <si>
    <t xml:space="preserve">ELIANA SUMIE SATO</t>
  </si>
  <si>
    <t xml:space="preserve">MERCADO VILANE</t>
  </si>
  <si>
    <t xml:space="preserve">RAMAO ANTONIO ROMEIRO</t>
  </si>
  <si>
    <t xml:space="preserve">MERCEARIA CUBAS</t>
  </si>
  <si>
    <t xml:space="preserve">ACOUGUE PAULISTA LTDA</t>
  </si>
  <si>
    <t xml:space="preserve">TRICARNE</t>
  </si>
  <si>
    <t xml:space="preserve">EDMAR SOKEN E CIA LTDA</t>
  </si>
  <si>
    <t xml:space="preserve">PANIFICADORA CONF. XANDO</t>
  </si>
  <si>
    <t xml:space="preserve">MENDES E GOUVEIA LTDA</t>
  </si>
  <si>
    <t xml:space="preserve">MENDES &amp; GOUVEIA CONVENIENCIAS</t>
  </si>
  <si>
    <t xml:space="preserve">ROBERSON SCHERER SUTEL</t>
  </si>
  <si>
    <t xml:space="preserve">PADARIA PAO DE MEL</t>
  </si>
  <si>
    <t xml:space="preserve">AMADEU OLIVEIRA</t>
  </si>
  <si>
    <t xml:space="preserve">MATHILDE FABRES DE QUEIROZ</t>
  </si>
  <si>
    <t xml:space="preserve">MERCEARIA SANTA LAURA</t>
  </si>
  <si>
    <t xml:space="preserve">EVA LOURENCO GATI</t>
  </si>
  <si>
    <t xml:space="preserve">RESTAURANTE RODOVANA</t>
  </si>
  <si>
    <t xml:space="preserve">CRECHE DONA CLEMENTINA CARROTO</t>
  </si>
  <si>
    <t xml:space="preserve">CRECHE D CLEMENTINA</t>
  </si>
  <si>
    <t xml:space="preserve">ANTONIO BATISTA</t>
  </si>
  <si>
    <t xml:space="preserve">SM SORRIZO</t>
  </si>
  <si>
    <t xml:space="preserve">JAIRO GODOY</t>
  </si>
  <si>
    <t xml:space="preserve">SUPERMERCADO RANCHARIA</t>
  </si>
  <si>
    <t xml:space="preserve">FRANCISCA PINHEIRO MATOS</t>
  </si>
  <si>
    <t xml:space="preserve">MERCEARIA JARDIM BOA VISTA</t>
  </si>
  <si>
    <t xml:space="preserve">PANIFICADORA PAO NOSSO LTDA</t>
  </si>
  <si>
    <t xml:space="preserve">PANF PAO NOSSO</t>
  </si>
  <si>
    <t xml:space="preserve">FABIO HENRIQUE NOMA BOIGUES E CIA LTDA  </t>
  </si>
  <si>
    <t xml:space="preserve">CERALISTA B DOIS</t>
  </si>
  <si>
    <t xml:space="preserve">PONTO CHIC SUPERMERCADO</t>
  </si>
  <si>
    <t xml:space="preserve">DISTRIBUIDORA BRASIL MEDICAMENTOS LTDA  </t>
  </si>
  <si>
    <t xml:space="preserve">DISTRIBUIDORA BRASIL</t>
  </si>
  <si>
    <t xml:space="preserve">JACQUES MIRANDA E CIA LTDA</t>
  </si>
  <si>
    <t xml:space="preserve">LUIZ FERNANDES</t>
  </si>
  <si>
    <t xml:space="preserve">SM FERNANDES</t>
  </si>
  <si>
    <t xml:space="preserve">JOAO DA ROSA LEONEL</t>
  </si>
  <si>
    <t xml:space="preserve">EMPORIO LEONEL</t>
  </si>
  <si>
    <t xml:space="preserve">VANIA PRIETO BALBUENA</t>
  </si>
  <si>
    <t xml:space="preserve">ACOUGUE E MERCEARIA MARQUES</t>
  </si>
  <si>
    <t xml:space="preserve">JULIA SILVA PRETTI</t>
  </si>
  <si>
    <t xml:space="preserve">ESSENSIA COMETICO</t>
  </si>
  <si>
    <t xml:space="preserve">PANIFICADORA GRAO DE TRIGO LTDA</t>
  </si>
  <si>
    <t xml:space="preserve">PANIFICADORA GRAO DE TRIGO</t>
  </si>
  <si>
    <t xml:space="preserve">ANTONIA REGINA S SANTA CRUZ CARVALHO</t>
  </si>
  <si>
    <t xml:space="preserve">MERCADO CRUZ</t>
  </si>
  <si>
    <t xml:space="preserve">EDSON WANDER AMBROSIO</t>
  </si>
  <si>
    <t xml:space="preserve">MERCEARIA VILLA LTDA</t>
  </si>
  <si>
    <t xml:space="preserve">MINI MERCADO VILLA</t>
  </si>
  <si>
    <t xml:space="preserve">ALMEIDA CONVENIENCIAS LTDA</t>
  </si>
  <si>
    <t xml:space="preserve">NOVA ERA CONVENIENCIA</t>
  </si>
  <si>
    <t xml:space="preserve">CONSELHO CENTRAL DE CAMPO GRANDE DA SOC </t>
  </si>
  <si>
    <t xml:space="preserve">HELGA THALER</t>
  </si>
  <si>
    <t xml:space="preserve">CARNES MATEL</t>
  </si>
  <si>
    <t xml:space="preserve">FRANCISCO DE ASSIS SOUSA</t>
  </si>
  <si>
    <t xml:space="preserve">MERCADO FLORESTA</t>
  </si>
  <si>
    <t xml:space="preserve">FERRARI E BATELLI LTDA</t>
  </si>
  <si>
    <t xml:space="preserve">MARIA MARDEGAN DE ABREU</t>
  </si>
  <si>
    <t xml:space="preserve">VITOR CONVENIENCIAS</t>
  </si>
  <si>
    <t xml:space="preserve">IGREJA ELSHADAI COMUNIDADE CRISTA</t>
  </si>
  <si>
    <t xml:space="preserve">IGRJA EL SHADAI</t>
  </si>
  <si>
    <t xml:space="preserve">MENDES E ANDRADE LTDA</t>
  </si>
  <si>
    <t xml:space="preserve">AUTO POSTO CHAMA</t>
  </si>
  <si>
    <t xml:space="preserve">S L CASTILHO</t>
  </si>
  <si>
    <t xml:space="preserve">SUMIAO KAWAHARA</t>
  </si>
  <si>
    <t xml:space="preserve">ECOMEL COMERCIO E SERVICOS LTDA</t>
  </si>
  <si>
    <t xml:space="preserve">ECOMEL</t>
  </si>
  <si>
    <t xml:space="preserve">LUIZ SHIGUEHARU AKAMINE</t>
  </si>
  <si>
    <t xml:space="preserve">AKAMINE CONVENIENCIAS</t>
  </si>
  <si>
    <t xml:space="preserve">WILSON SANCHES FILHO CIA LTDA</t>
  </si>
  <si>
    <t xml:space="preserve">OFICINA DO PAO</t>
  </si>
  <si>
    <t xml:space="preserve">PANIFICADORA COOPHASUL LTDA</t>
  </si>
  <si>
    <t xml:space="preserve">PANF COOPHASUL</t>
  </si>
  <si>
    <t xml:space="preserve">VILMAR ORTOLAN</t>
  </si>
  <si>
    <t xml:space="preserve">EMPORIO DIET PRODUTOS NATURAIS LTDA</t>
  </si>
  <si>
    <t xml:space="preserve">EMPORIO DIET</t>
  </si>
  <si>
    <t xml:space="preserve">ANDRE MARCIANO</t>
  </si>
  <si>
    <t xml:space="preserve">SUPERMERCADO SANTA HELENA</t>
  </si>
  <si>
    <t xml:space="preserve">ELZA STABILE</t>
  </si>
  <si>
    <t xml:space="preserve">CLAUDOMIRO ALMEIDA FARIA</t>
  </si>
  <si>
    <t xml:space="preserve">MERCADINHOP ALMEIDA</t>
  </si>
  <si>
    <t xml:space="preserve">HOSPITAL SANTA RITA LTDA</t>
  </si>
  <si>
    <t xml:space="preserve">HOSPITAL SANTA RITA</t>
  </si>
  <si>
    <t xml:space="preserve">CLODOALDO BARTHIMAN</t>
  </si>
  <si>
    <t xml:space="preserve">MERCADO BARTIHIMAM</t>
  </si>
  <si>
    <t xml:space="preserve">SIZUKA MIYAKE MAKINO</t>
  </si>
  <si>
    <t xml:space="preserve">SM LUZIMAR</t>
  </si>
  <si>
    <t xml:space="preserve">VALDEMAR OLINSKI</t>
  </si>
  <si>
    <t xml:space="preserve">MERCADO OLINSKI</t>
  </si>
  <si>
    <t xml:space="preserve">MARIA SEDEI</t>
  </si>
  <si>
    <t xml:space="preserve">TAMARINDO PANIFICADORA</t>
  </si>
  <si>
    <t xml:space="preserve">LUZIA EUZEBIA VIANA DE QUEIROZ</t>
  </si>
  <si>
    <t xml:space="preserve">PADARIA VIANA</t>
  </si>
  <si>
    <t xml:space="preserve">ALEXSANDER SIQUEIRA DE ALMEIDA</t>
  </si>
  <si>
    <t xml:space="preserve">MERCADO LUSITANO</t>
  </si>
  <si>
    <t xml:space="preserve">PREFEITURA MUNICIPAL DE DOURADOS</t>
  </si>
  <si>
    <t xml:space="preserve">PREF DE DOURADOS</t>
  </si>
  <si>
    <t xml:space="preserve">MONICA DE JESUS ECKERT</t>
  </si>
  <si>
    <t xml:space="preserve">SUPER REAL COMERCIO TRANSPORTE LTDA EPP </t>
  </si>
  <si>
    <t xml:space="preserve">ELISANGELA ANDRADE FERREIRA</t>
  </si>
  <si>
    <t xml:space="preserve">LANCH REST TERM ROD COXIM</t>
  </si>
  <si>
    <t xml:space="preserve">PANIFICADORA MORUMBI LTDA</t>
  </si>
  <si>
    <t xml:space="preserve">PANIFICADORA MORUMBI</t>
  </si>
  <si>
    <t xml:space="preserve">NUBIA REIS PEIXOTO MARQUES</t>
  </si>
  <si>
    <t xml:space="preserve">MERCEARIA MINI BOX</t>
  </si>
  <si>
    <t xml:space="preserve">GREGORIO BISPO DA SILVA</t>
  </si>
  <si>
    <t xml:space="preserve">MERC.BOM JESUS</t>
  </si>
  <si>
    <t xml:space="preserve">JUAREZ BATISTA DE ALENCAR</t>
  </si>
  <si>
    <t xml:space="preserve">MERCADINHO SILVA</t>
  </si>
  <si>
    <t xml:space="preserve">TEREZA SABINO DE MORAES</t>
  </si>
  <si>
    <t xml:space="preserve">MERCEARIO DO BAO</t>
  </si>
  <si>
    <t xml:space="preserve">WALDOW E CIA LTDA</t>
  </si>
  <si>
    <t xml:space="preserve">CONVENIENCIA SERRANA</t>
  </si>
  <si>
    <t xml:space="preserve">EULINA SIMOES SANTOS</t>
  </si>
  <si>
    <t xml:space="preserve">A GRACIOSA</t>
  </si>
  <si>
    <t xml:space="preserve">ELOE QUELE RAMOS</t>
  </si>
  <si>
    <t xml:space="preserve">DROGARIA RAMOS</t>
  </si>
  <si>
    <t xml:space="preserve">NILTON CESAR MANFRE</t>
  </si>
  <si>
    <t xml:space="preserve">PANIF GLORIA</t>
  </si>
  <si>
    <t xml:space="preserve">HOTEL CHACARA DO LAGO LTDA</t>
  </si>
  <si>
    <t xml:space="preserve">HOTEL CHACARA DO LAGO</t>
  </si>
  <si>
    <t xml:space="preserve">QUICK LOGISTICA LTDA</t>
  </si>
  <si>
    <t xml:space="preserve">LEME</t>
  </si>
  <si>
    <t xml:space="preserve">QUICK LOGISTICA</t>
  </si>
  <si>
    <t xml:space="preserve">THEREZINHA GOMES SILVA</t>
  </si>
  <si>
    <t xml:space="preserve">FARMA BRASIL</t>
  </si>
  <si>
    <t xml:space="preserve">BRUSAROSCO &amp; BRUSAROSCO LTDA</t>
  </si>
  <si>
    <t xml:space="preserve">CARANDA PALACE HOTEL</t>
  </si>
  <si>
    <t xml:space="preserve">B E B COMERCIO ALIMENTOS LTDA</t>
  </si>
  <si>
    <t xml:space="preserve">BRAVOS PET SHOP</t>
  </si>
  <si>
    <t xml:space="preserve">AGNES ELIZABETH CALVAGANTE MORAES MUNHOZ</t>
  </si>
  <si>
    <t xml:space="preserve">DROGARIA MODERNA</t>
  </si>
  <si>
    <t xml:space="preserve">BRUNO CANDIA NUNES DA CUNHA</t>
  </si>
  <si>
    <t xml:space="preserve">A C KIL</t>
  </si>
  <si>
    <t xml:space="preserve">MERC ACOUGUE VIRGILIO ALEIXO</t>
  </si>
  <si>
    <t xml:space="preserve">LUZIA RAMOS PRADO OLIVEIRA</t>
  </si>
  <si>
    <t xml:space="preserve">CASA DE CARNE BARRA MANSA LTDA</t>
  </si>
  <si>
    <t xml:space="preserve">BARRA MANSA CARNE</t>
  </si>
  <si>
    <t xml:space="preserve">ALDENIR GONCALVES DA SILVA</t>
  </si>
  <si>
    <t xml:space="preserve">SUPERMERCADO OURO VERDE</t>
  </si>
  <si>
    <t xml:space="preserve">D A ZAGONEL E CIA LTDA</t>
  </si>
  <si>
    <t xml:space="preserve">ERALDO S SATILI</t>
  </si>
  <si>
    <t xml:space="preserve">L S B TELLES</t>
  </si>
  <si>
    <t xml:space="preserve">SM TELLES III</t>
  </si>
  <si>
    <t xml:space="preserve">CICERO ANANIAS SILVA</t>
  </si>
  <si>
    <t xml:space="preserve">SUPERMERCADO SOL NASCENTE</t>
  </si>
  <si>
    <t xml:space="preserve">SANDRA MARIA DA SILVA FERNANDES MEDEIROS</t>
  </si>
  <si>
    <t xml:space="preserve">TIBONE CARNES E CONVENIENCIAS</t>
  </si>
  <si>
    <t xml:space="preserve">JULIA SOUZA DA SILVA</t>
  </si>
  <si>
    <t xml:space="preserve">PE DE CAFE COMERCIAL LTDA</t>
  </si>
  <si>
    <t xml:space="preserve">PE DE CAFE</t>
  </si>
  <si>
    <t xml:space="preserve">VILMAR DE LIMA MOLINA</t>
  </si>
  <si>
    <t xml:space="preserve">CARUDO PARAFUSO</t>
  </si>
  <si>
    <t xml:space="preserve">APARECIDO AZEVEDO DE ALMEIDA</t>
  </si>
  <si>
    <t xml:space="preserve">ROZELANGE FUNES TAIRA MACEDO ME/MS</t>
  </si>
  <si>
    <t xml:space="preserve">MERCEARIA KELLEN</t>
  </si>
  <si>
    <t xml:space="preserve">OTONIEL PEREIRA XAVIER</t>
  </si>
  <si>
    <t xml:space="preserve">ZUZU LANH REST DORMITORIO</t>
  </si>
  <si>
    <t xml:space="preserve">FRANCISCO HUGO MENEZES</t>
  </si>
  <si>
    <t xml:space="preserve">MERC CASA CARNE MENEZES</t>
  </si>
  <si>
    <t xml:space="preserve">GILMAR BOFF</t>
  </si>
  <si>
    <t xml:space="preserve">BAR MERCEARIA BOFF</t>
  </si>
  <si>
    <t xml:space="preserve">LEILA DE MOURA CAVALHEIRO ME/MS</t>
  </si>
  <si>
    <t xml:space="preserve">MERCADO GABRIELA</t>
  </si>
  <si>
    <t xml:space="preserve">IVAN SANTANA DA SILVA</t>
  </si>
  <si>
    <t xml:space="preserve">MERCADO BARATEIRO SILVA</t>
  </si>
  <si>
    <t xml:space="preserve">DALO MODESTO DE FREITAS</t>
  </si>
  <si>
    <t xml:space="preserve">SM MODESTO</t>
  </si>
  <si>
    <t xml:space="preserve">PAULO DA SILVEIRA GOMES</t>
  </si>
  <si>
    <t xml:space="preserve">PANIF MARISCOS</t>
  </si>
  <si>
    <t xml:space="preserve">NEUSA KIOCO ARAKAKI</t>
  </si>
  <si>
    <t xml:space="preserve">MERC. N. S. DE FATIMA</t>
  </si>
  <si>
    <t xml:space="preserve">TURIS HOTEL LTDA</t>
  </si>
  <si>
    <t xml:space="preserve">TURIS HOTEL</t>
  </si>
  <si>
    <t xml:space="preserve">VANIA AURINEIDE SOARES DOS SANTOS EIRELI</t>
  </si>
  <si>
    <t xml:space="preserve">SHOPPING DOS ANIMAIS</t>
  </si>
  <si>
    <t xml:space="preserve">SIQUEIRA E LOPES LTDA</t>
  </si>
  <si>
    <t xml:space="preserve">MERCADO SIQUEIRA</t>
  </si>
  <si>
    <t xml:space="preserve">WALDEMAR CARVALHINHO</t>
  </si>
  <si>
    <t xml:space="preserve">RESTAURANTE GAUCHAO</t>
  </si>
  <si>
    <t xml:space="preserve">SOC HOTELEIRA IGUACU LTDA</t>
  </si>
  <si>
    <t xml:space="preserve">HOTEL IGUACU</t>
  </si>
  <si>
    <t xml:space="preserve">ANETE BACK ERNZEN ME/MS</t>
  </si>
  <si>
    <t xml:space="preserve">CHURRASCARIA DO ALEMAO</t>
  </si>
  <si>
    <t xml:space="preserve">JOAO RICARDO DAS NEVES</t>
  </si>
  <si>
    <t xml:space="preserve">MAXI PAO</t>
  </si>
  <si>
    <t xml:space="preserve">MERCADO E ACOUG NOVO MILENIO LTDA ME/MS </t>
  </si>
  <si>
    <t xml:space="preserve">MERCADO E ACOUGUE N MILENIO</t>
  </si>
  <si>
    <t xml:space="preserve">MOISES GUSTAVO GRENZEL</t>
  </si>
  <si>
    <t xml:space="preserve">TUBIANO BEBIDAS</t>
  </si>
  <si>
    <t xml:space="preserve">MISSAO SALESIANA DE MATO GROSSO</t>
  </si>
  <si>
    <t xml:space="preserve">SALESIANOS</t>
  </si>
  <si>
    <t xml:space="preserve">MISSAO SALESIANO DE MT COLEGIO D BOSCO  </t>
  </si>
  <si>
    <t xml:space="preserve">COLEGIO DOM BOSCO</t>
  </si>
  <si>
    <t xml:space="preserve">UCDB PRO-REITORIA (BL ADMNI</t>
  </si>
  <si>
    <t xml:space="preserve">LUCIO GEREMIAS SILVA</t>
  </si>
  <si>
    <t xml:space="preserve">MITSUGOSHI OSHIRO E CIA LTDA</t>
  </si>
  <si>
    <t xml:space="preserve">GIOCONDO PAES &amp; CONVENIENCIAS</t>
  </si>
  <si>
    <t xml:space="preserve">HOTEL SAVANA LTDA ME</t>
  </si>
  <si>
    <t xml:space="preserve">YONAMINE E CIA LTDA</t>
  </si>
  <si>
    <t xml:space="preserve">POSTO PAULISTA</t>
  </si>
  <si>
    <t xml:space="preserve">WILSON AZAMBUJA PINHO</t>
  </si>
  <si>
    <t xml:space="preserve">PRONTO SOCORRO DA CERVEJA</t>
  </si>
  <si>
    <t xml:space="preserve">CM DE ALMEIDA SUPERMERCADO</t>
  </si>
  <si>
    <t xml:space="preserve">SM PINHEIRAO II</t>
  </si>
  <si>
    <t xml:space="preserve">VIACAO CRUZEIRO DO SUL LTDA</t>
  </si>
  <si>
    <t xml:space="preserve">MARINES RIBAS DE BRITO</t>
  </si>
  <si>
    <t xml:space="preserve">MERCADO MAIS EM CONTA</t>
  </si>
  <si>
    <t xml:space="preserve">R F SILVA</t>
  </si>
  <si>
    <t xml:space="preserve">FERNANDEZ E MEINERZ COM VAREJ PROD ALIM </t>
  </si>
  <si>
    <t xml:space="preserve">E SALES DE OLIVEIRA</t>
  </si>
  <si>
    <t xml:space="preserve">PANIF ITALIANA</t>
  </si>
  <si>
    <t xml:space="preserve">ALESSANDRO UBALDINO SOUZA</t>
  </si>
  <si>
    <t xml:space="preserve">SERV-LAR CONVENIENCIAS</t>
  </si>
  <si>
    <t xml:space="preserve">SAO MARCOS DISTRIBUIDORA ALIMENTOS LTDA </t>
  </si>
  <si>
    <t xml:space="preserve">SAO MARCOS ALIMENTOS</t>
  </si>
  <si>
    <t xml:space="preserve">CENTRO SOCIAL DOM BOSCO</t>
  </si>
  <si>
    <t xml:space="preserve">PAROQUIA DOM BOSCO</t>
  </si>
  <si>
    <t xml:space="preserve">ADRIANA SAKUDE TAKASHI KATO E CIA LTDA  </t>
  </si>
  <si>
    <t xml:space="preserve">HORTO FRUTI DAIEI</t>
  </si>
  <si>
    <t xml:space="preserve">OKAMA E CIA LTDA</t>
  </si>
  <si>
    <t xml:space="preserve">BAR DO ZE</t>
  </si>
  <si>
    <t xml:space="preserve">ESPOLIO DE SEBASTIAO VALERIANO DA SILVA </t>
  </si>
  <si>
    <t xml:space="preserve">VAREJAO DE CARNES BIG BOI</t>
  </si>
  <si>
    <t xml:space="preserve">FRANCISCO BENTO FEITOSA</t>
  </si>
  <si>
    <t xml:space="preserve">CANIL LANCHES LTDA</t>
  </si>
  <si>
    <t xml:space="preserve">CANIL LANCHES</t>
  </si>
  <si>
    <t xml:space="preserve">POSTO SANTA ELIZA LTDA</t>
  </si>
  <si>
    <t xml:space="preserve">LOJA ALGO MAIS</t>
  </si>
  <si>
    <t xml:space="preserve">LUCI TEREZINHA O T DE CASTRO</t>
  </si>
  <si>
    <t xml:space="preserve">MERCEARIA CASTRO</t>
  </si>
  <si>
    <t xml:space="preserve">OTACILIO RODRIGUES DA SILVA</t>
  </si>
  <si>
    <t xml:space="preserve">FRIOS &amp; FRANGO DELICIA</t>
  </si>
  <si>
    <t xml:space="preserve">POSTO SERVICOS SAO MARCOS LTDA</t>
  </si>
  <si>
    <t xml:space="preserve">POSTO SERV SAO NARCOS</t>
  </si>
  <si>
    <t xml:space="preserve">B DOIS DISTRIBUIDORA LTDA</t>
  </si>
  <si>
    <t xml:space="preserve">BDOIS DISTRIBUIDORA</t>
  </si>
  <si>
    <t xml:space="preserve">MARIA LUZINETE GASPAR</t>
  </si>
  <si>
    <t xml:space="preserve">AURELINO DA SILVA</t>
  </si>
  <si>
    <t xml:space="preserve">PANIF BOM MESTRE PAES DOCES</t>
  </si>
  <si>
    <t xml:space="preserve">MARSEL UTILIDADES LTDA</t>
  </si>
  <si>
    <t xml:space="preserve">UTILL BOX</t>
  </si>
  <si>
    <t xml:space="preserve">JOSIMAR DA SILVA FREITAS</t>
  </si>
  <si>
    <t xml:space="preserve">MERCEARIA J.M</t>
  </si>
  <si>
    <t xml:space="preserve">DIVINO FERMINO DE JESUS</t>
  </si>
  <si>
    <t xml:space="preserve">FRUTARIA FRUTAO</t>
  </si>
  <si>
    <t xml:space="preserve">LOURIVALDO DOS ANJOS</t>
  </si>
  <si>
    <t xml:space="preserve">MINI MERCADO DOS ANJOS</t>
  </si>
  <si>
    <t xml:space="preserve">AGENOR NERI SCHWINN ME</t>
  </si>
  <si>
    <t xml:space="preserve">MERCADO TRIANGULO</t>
  </si>
  <si>
    <t xml:space="preserve">DEVONIL PEDRO DUTRA DE SOUZA</t>
  </si>
  <si>
    <t xml:space="preserve">D.P.FESTAS</t>
  </si>
  <si>
    <t xml:space="preserve">ALEXANDRA LIMA WINK</t>
  </si>
  <si>
    <t xml:space="preserve">PADARIA COLONIAL I</t>
  </si>
  <si>
    <t xml:space="preserve">MARIA J  M  DE SOUSA</t>
  </si>
  <si>
    <t xml:space="preserve">MERCEARIA N. S. APARECIDA</t>
  </si>
  <si>
    <t xml:space="preserve">CASA COLIBRI LTDA</t>
  </si>
  <si>
    <t xml:space="preserve">CASA COLIBRI</t>
  </si>
  <si>
    <t xml:space="preserve">RTS COMERCIO LTDA</t>
  </si>
  <si>
    <t xml:space="preserve">LEONICE APDA DE SOUZA ALQUAZ</t>
  </si>
  <si>
    <t xml:space="preserve">BAR CENTRAL</t>
  </si>
  <si>
    <t xml:space="preserve">WILLIAN MENEZES E FERREIRA LTDA</t>
  </si>
  <si>
    <t xml:space="preserve">POSTO E RESTAURANTE INGAZEIRO</t>
  </si>
  <si>
    <t xml:space="preserve">RENATA BARBOSA NOGUEIRA DA SILVA EPP</t>
  </si>
  <si>
    <t xml:space="preserve">MARCIA BENTO</t>
  </si>
  <si>
    <t xml:space="preserve">SM ECOMONICO</t>
  </si>
  <si>
    <t xml:space="preserve">HELIO DE ANDRADE GAHOMA</t>
  </si>
  <si>
    <t xml:space="preserve">BANCA DO HELIO</t>
  </si>
  <si>
    <t xml:space="preserve">YOUSSIF AMIM YOUSSIF</t>
  </si>
  <si>
    <t xml:space="preserve">MERCEARIA PRINCESA AZUL</t>
  </si>
  <si>
    <t xml:space="preserve">VALTERLEI VENTURINI NOZABIELI</t>
  </si>
  <si>
    <t xml:space="preserve">EIJI SUDO</t>
  </si>
  <si>
    <t xml:space="preserve">RESTAURANTE HONG KONG</t>
  </si>
  <si>
    <t xml:space="preserve">MW COMERCIO DE ALIMENTOS LTDA</t>
  </si>
  <si>
    <t xml:space="preserve">KI-DELICIA PAN.REST.LANCHONETE</t>
  </si>
  <si>
    <t xml:space="preserve">PAULO CESAR NICOLAU E CIA LTDA</t>
  </si>
  <si>
    <t xml:space="preserve">SUPERMERCADO TERRA DOURADA LTDA</t>
  </si>
  <si>
    <t xml:space="preserve">SUPERMERCADO TERRA DOURADA</t>
  </si>
  <si>
    <t xml:space="preserve">IRMAOS CASARI LTDA</t>
  </si>
  <si>
    <t xml:space="preserve">SM XASARI</t>
  </si>
  <si>
    <t xml:space="preserve">JUCENIA SOARES DE CARVALHO</t>
  </si>
  <si>
    <t xml:space="preserve">HS LUVAS</t>
  </si>
  <si>
    <t xml:space="preserve">VANDA CHICOL GONCALVES</t>
  </si>
  <si>
    <t xml:space="preserve">PADARIA SAO JOAO</t>
  </si>
  <si>
    <t xml:space="preserve">MARGARIDA RAMOS DE FIGUEIREDO</t>
  </si>
  <si>
    <t xml:space="preserve">MARIA DAS GRACAS PEREIRA DE SOUSA LINS  </t>
  </si>
  <si>
    <t xml:space="preserve">ELZEVIER MELO DE OLIVEIRA</t>
  </si>
  <si>
    <t xml:space="preserve">ASSOCIACAO LUSO BRAS CLUB ESTORIL</t>
  </si>
  <si>
    <t xml:space="preserve">CLUB ESTORIL</t>
  </si>
  <si>
    <t xml:space="preserve">RESTAURANTE SANTA FE LTDA</t>
  </si>
  <si>
    <t xml:space="preserve">CAFE FAZENDA</t>
  </si>
  <si>
    <t xml:space="preserve">CHIESA E CHIESA LTDA</t>
  </si>
  <si>
    <t xml:space="preserve">MERCADO KIEZA</t>
  </si>
  <si>
    <t xml:space="preserve">FAUSTINO E FILHOS LTDA</t>
  </si>
  <si>
    <t xml:space="preserve">BOTIQUE DO PAO</t>
  </si>
  <si>
    <t xml:space="preserve">JORGE KEVORK PUXIAN</t>
  </si>
  <si>
    <t xml:space="preserve">REST. LANC. CENTRAL</t>
  </si>
  <si>
    <t xml:space="preserve">OLIMPIO CANDIDO DE SIQUEIRA</t>
  </si>
  <si>
    <t xml:space="preserve">SIQUEIRA CONVENIENCIA</t>
  </si>
  <si>
    <t xml:space="preserve">TERUO TAKEI</t>
  </si>
  <si>
    <t xml:space="preserve">SM TAKEI</t>
  </si>
  <si>
    <t xml:space="preserve">PEIXARIA CONVENIENCIA P PANTANAL LTDA</t>
  </si>
  <si>
    <t xml:space="preserve">PEIXARIA CONV P PANTANAL</t>
  </si>
  <si>
    <t xml:space="preserve">EDNA VILALBA EPP</t>
  </si>
  <si>
    <t xml:space="preserve">MERCADO E ACOUGUE LISBOA</t>
  </si>
  <si>
    <t xml:space="preserve">DARCI PARIZOTTO</t>
  </si>
  <si>
    <t xml:space="preserve">REST LANCH TREVAO</t>
  </si>
  <si>
    <t xml:space="preserve">MM INDUSTRIA E COM ALIM LTDA</t>
  </si>
  <si>
    <t xml:space="preserve">SABOR IN QUILO</t>
  </si>
  <si>
    <t xml:space="preserve">STEINER JARDIM</t>
  </si>
  <si>
    <t xml:space="preserve">POSTO BRILHANTE</t>
  </si>
  <si>
    <t xml:space="preserve">ARQUIDIOCESE DE CAMPO GRANDE</t>
  </si>
  <si>
    <t xml:space="preserve">PAROQUIA CRISTO LUZ DOS POVOS</t>
  </si>
  <si>
    <t xml:space="preserve">PAROQUIA SANTA RITA DE CASSIA</t>
  </si>
  <si>
    <t xml:space="preserve">ASSOCIACAO AMPARO A MATERNIDADE E INFANC</t>
  </si>
  <si>
    <t xml:space="preserve">MATERNIDADE CANDIDO MARIANO</t>
  </si>
  <si>
    <t xml:space="preserve">ASSOC AUX REC DOS HANSENIANOS</t>
  </si>
  <si>
    <t xml:space="preserve">HOSPITAL SAO JULIAO</t>
  </si>
  <si>
    <t xml:space="preserve">MERCADO MISTER JUNIOR LTDA-LJ01</t>
  </si>
  <si>
    <t xml:space="preserve">REDE MISTER JUNIOR</t>
  </si>
  <si>
    <t xml:space="preserve">SM MISTER JUNIOR-LJ01</t>
  </si>
  <si>
    <t xml:space="preserve">MERCADO MISTER JUNIOR LTDA-LJ03</t>
  </si>
  <si>
    <t xml:space="preserve">MERCADO MISTER JUNIOR</t>
  </si>
  <si>
    <t xml:space="preserve">MERCADO MISTER JUNIOR LTDA EPP</t>
  </si>
  <si>
    <t xml:space="preserve">MERCADO MISTER JUNIOR LTDA</t>
  </si>
  <si>
    <t xml:space="preserve">LAURO R PROCHERA</t>
  </si>
  <si>
    <t xml:space="preserve">LUIZ HENRIQUE DE ALMEIDA</t>
  </si>
  <si>
    <t xml:space="preserve">MERCEARIA SAO LUIZ</t>
  </si>
  <si>
    <t xml:space="preserve">ELETRONICA CONCORD LTDA</t>
  </si>
  <si>
    <t xml:space="preserve">ELETRONICA CONCORD</t>
  </si>
  <si>
    <t xml:space="preserve">ASSOCIACAO BENEFICENTE DE CAMPO GRANDE  </t>
  </si>
  <si>
    <t xml:space="preserve">SANTA CASA DE CAMPO GRANDE</t>
  </si>
  <si>
    <t xml:space="preserve">ELPIOMAR KREIBICH</t>
  </si>
  <si>
    <t xml:space="preserve">PIMPOLHO</t>
  </si>
  <si>
    <t xml:space="preserve">ASSOCIACIAO ATLETICA BANCO DO BRASIL</t>
  </si>
  <si>
    <t xml:space="preserve">RESTAURANTE A.A.B.B</t>
  </si>
  <si>
    <t xml:space="preserve">RAMONA B L C PLEUTIN</t>
  </si>
  <si>
    <t xml:space="preserve">MERCADO BARATAO</t>
  </si>
  <si>
    <t xml:space="preserve">M R S FERRARI E CIA LTDA</t>
  </si>
  <si>
    <t xml:space="preserve">ZANE COSMETICOS</t>
  </si>
  <si>
    <t xml:space="preserve">MATHEUS E CIA LTDA</t>
  </si>
  <si>
    <t xml:space="preserve">SUPERMERCADO SOBERANO</t>
  </si>
  <si>
    <t xml:space="preserve">ABDIAS PEREIRA DA SILVA - ME</t>
  </si>
  <si>
    <t xml:space="preserve">CENTRAL DE REVISTA</t>
  </si>
  <si>
    <t xml:space="preserve">ED LUCIO KIYOSHI SOTOMA</t>
  </si>
  <si>
    <t xml:space="preserve">FRUTARIA SAO BENTO</t>
  </si>
  <si>
    <t xml:space="preserve">ROSA FONSECA VIEIRA</t>
  </si>
  <si>
    <t xml:space="preserve">PANIFICADORA SQUINAPAO</t>
  </si>
  <si>
    <t xml:space="preserve">FERNANDES E CARDOSO LTDA</t>
  </si>
  <si>
    <t xml:space="preserve">LUZITANO</t>
  </si>
  <si>
    <t xml:space="preserve">VALDEIR MORAGA</t>
  </si>
  <si>
    <t xml:space="preserve">MERCADINHO MOREIRA 2</t>
  </si>
  <si>
    <t xml:space="preserve">AGUINALDO PEREIRA NANTES</t>
  </si>
  <si>
    <t xml:space="preserve">COMERCIAL NANTES</t>
  </si>
  <si>
    <t xml:space="preserve">BELLA PHARMA FARMACIA E MANIPULACAO LTDA</t>
  </si>
  <si>
    <t xml:space="preserve">ARROJITO COMERCIO DE ALIMENTOS LTDA</t>
  </si>
  <si>
    <t xml:space="preserve">PINHAIS</t>
  </si>
  <si>
    <t xml:space="preserve">ARROJITO</t>
  </si>
  <si>
    <t xml:space="preserve">MULTI OESTE TRANSPORTE E LOGISTICA LTDA </t>
  </si>
  <si>
    <t xml:space="preserve">MULTI OESTE TRANSPORTE</t>
  </si>
  <si>
    <t xml:space="preserve">CLADIR TERESINHA MARTINS DOS SANTOS</t>
  </si>
  <si>
    <t xml:space="preserve">MERCADINHO COPACABANA</t>
  </si>
  <si>
    <t xml:space="preserve">NEREA REIS LOBATO</t>
  </si>
  <si>
    <t xml:space="preserve">FERNANDES E BEZERRA LTDA EPP</t>
  </si>
  <si>
    <t xml:space="preserve">FARMACIA SATYFARMA</t>
  </si>
  <si>
    <t xml:space="preserve">ANA TEREZA D JESUS GAVICHIONI</t>
  </si>
  <si>
    <t xml:space="preserve">L N PRODUTOS ALIMENTICIOS LTDA</t>
  </si>
  <si>
    <t xml:space="preserve">VIA BONITO INFORMATICA LTDA</t>
  </si>
  <si>
    <t xml:space="preserve">VIA BONITO</t>
  </si>
  <si>
    <t xml:space="preserve">ROSANGELA ANDRETO SILVA MATOS E CIA LTDA</t>
  </si>
  <si>
    <t xml:space="preserve">CONVENIENCIAS DO ALEMAO LTDA</t>
  </si>
  <si>
    <t xml:space="preserve">CONVENIENCIA DO ALEMAO</t>
  </si>
  <si>
    <t xml:space="preserve">WAGNER DE JESUS ESTEVES DE LIMA</t>
  </si>
  <si>
    <t xml:space="preserve">O MASCOTE</t>
  </si>
  <si>
    <t xml:space="preserve">PAULO ARASHIRO</t>
  </si>
  <si>
    <t xml:space="preserve">PAULO MASSAYOSSI MIYASHIRO</t>
  </si>
  <si>
    <t xml:space="preserve">SACOLAO B HORIZONTE</t>
  </si>
  <si>
    <t xml:space="preserve">A E RODRIGUES</t>
  </si>
  <si>
    <t xml:space="preserve">TROPICAL LANCHES</t>
  </si>
  <si>
    <t xml:space="preserve">VR COMERCIAL LTDA</t>
  </si>
  <si>
    <t xml:space="preserve">IMPERIO DOS PAES</t>
  </si>
  <si>
    <t xml:space="preserve">UNIMED CG MS COOP DE TRABALHO MEDICO</t>
  </si>
  <si>
    <t xml:space="preserve">UNIMED</t>
  </si>
  <si>
    <t xml:space="preserve">UNIMED DE CAMPO GRANDE MS COOP DE MEDICO</t>
  </si>
  <si>
    <t xml:space="preserve">HOSPITAL MIGUEL COUTO</t>
  </si>
  <si>
    <t xml:space="preserve">PRO MATRE MATERNIDADE CPO.GDE. LTDA</t>
  </si>
  <si>
    <t xml:space="preserve">PRO MATRE</t>
  </si>
  <si>
    <t xml:space="preserve">JOSE ALCIDES RIBEIRO</t>
  </si>
  <si>
    <t xml:space="preserve">BAR E MERC DO ZE PRETO</t>
  </si>
  <si>
    <t xml:space="preserve">DALVINA LARA DA SILVA</t>
  </si>
  <si>
    <t xml:space="preserve">CANTINA LARA</t>
  </si>
  <si>
    <t xml:space="preserve">MIGUEIS E SOUSA LTDA</t>
  </si>
  <si>
    <t xml:space="preserve">REST MIGUEIS</t>
  </si>
  <si>
    <t xml:space="preserve">COMERCIAL MINURA</t>
  </si>
  <si>
    <t xml:space="preserve">COMERCIAL OLIVEIRA LTDA - ME</t>
  </si>
  <si>
    <t xml:space="preserve">PRAGORA</t>
  </si>
  <si>
    <t xml:space="preserve">PE E CAR DISTRIBUIDORA DE BEBIDAS LTDA  </t>
  </si>
  <si>
    <t xml:space="preserve">COMERCIAL DE BEBIDAS GUANANDI</t>
  </si>
  <si>
    <t xml:space="preserve">MATSUDA E CIA LTDA</t>
  </si>
  <si>
    <t xml:space="preserve">SAFRA AGROPECUARIA</t>
  </si>
  <si>
    <t xml:space="preserve">C ALEXANDRE BORDAO</t>
  </si>
  <si>
    <t xml:space="preserve">V LAZARO</t>
  </si>
  <si>
    <t xml:space="preserve">MERCASUL 02</t>
  </si>
  <si>
    <t xml:space="preserve">COMERCIAL ALIMENTOS N SRA APARECID LTDA </t>
  </si>
  <si>
    <t xml:space="preserve">COMERCIAL ALIM N SRA APARECIDA</t>
  </si>
  <si>
    <t xml:space="preserve">FLAVIO FERNANDES DA ROSA</t>
  </si>
  <si>
    <t xml:space="preserve">PANIFICADORA E CONV. IDEAL</t>
  </si>
  <si>
    <t xml:space="preserve">ADAIR PEREIRA DA SILVA</t>
  </si>
  <si>
    <t xml:space="preserve">MERCADO RENDE MAIS</t>
  </si>
  <si>
    <t xml:space="preserve">FRUTAL CORUMBAENSE LTDA</t>
  </si>
  <si>
    <t xml:space="preserve">FRUTAL CORUMBAENSE</t>
  </si>
  <si>
    <t xml:space="preserve">M SHIOTSUKA</t>
  </si>
  <si>
    <t xml:space="preserve">SM MAKOTO</t>
  </si>
  <si>
    <t xml:space="preserve">ASE MOTORS LIMITADA</t>
  </si>
  <si>
    <t xml:space="preserve">ROSANGELA DE LOURDES C ALVES</t>
  </si>
  <si>
    <t xml:space="preserve">LANCHONETE MOTTA</t>
  </si>
  <si>
    <t xml:space="preserve">ANA MARIA NATALIA DE OLIVEIRA</t>
  </si>
  <si>
    <t xml:space="preserve">WISKERIA PARANAIBA</t>
  </si>
  <si>
    <t xml:space="preserve">FABIO INACIO PEREIRA</t>
  </si>
  <si>
    <t xml:space="preserve">CENSI E CENSI LTDA</t>
  </si>
  <si>
    <t xml:space="preserve">MERCADO ARAS</t>
  </si>
  <si>
    <t xml:space="preserve">DJANIRA SILVA DE MELO GUEDES</t>
  </si>
  <si>
    <t xml:space="preserve">MARTINS E BARBOSA LTDA</t>
  </si>
  <si>
    <t xml:space="preserve">PIZZARIA PAPALEGUAS</t>
  </si>
  <si>
    <t xml:space="preserve">ROSANGELA GONCALVES C NUNES</t>
  </si>
  <si>
    <t xml:space="preserve">GRANTECH MAQUINAS E LOCACAO E EQUIP LTDA</t>
  </si>
  <si>
    <t xml:space="preserve">PESQUEIRO DO BUGIO</t>
  </si>
  <si>
    <t xml:space="preserve">REGIMARA URZULINO</t>
  </si>
  <si>
    <t xml:space="preserve">DAVI DE OLIVEIRA</t>
  </si>
  <si>
    <t xml:space="preserve">DOCES PRINCESINHA</t>
  </si>
  <si>
    <t xml:space="preserve">MARCIA SANTOS DE ALMEIDA</t>
  </si>
  <si>
    <t xml:space="preserve">MERC E ACOLGUE SOARES</t>
  </si>
  <si>
    <t xml:space="preserve">KASSIE RODOVALHO MACIEL</t>
  </si>
  <si>
    <t xml:space="preserve">SM BARATAO</t>
  </si>
  <si>
    <t xml:space="preserve">JOSE BATISTA SANTOS</t>
  </si>
  <si>
    <t xml:space="preserve">CASA SAO JOSE</t>
  </si>
  <si>
    <t xml:space="preserve">GOMES COMERCIO DE COMBUSTIVEIS LTDA</t>
  </si>
  <si>
    <t xml:space="preserve">AUTO POSTO SAO PEDRO</t>
  </si>
  <si>
    <t xml:space="preserve">YURA E YURA LTDA</t>
  </si>
  <si>
    <t xml:space="preserve">PAES E DOCES STA ISABEL II</t>
  </si>
  <si>
    <t xml:space="preserve">SANDRA OQUINO SILVA</t>
  </si>
  <si>
    <t xml:space="preserve">MINI MERCADO DOMY</t>
  </si>
  <si>
    <t xml:space="preserve">MELISSA BENITO DE LIMA</t>
  </si>
  <si>
    <t xml:space="preserve">MERCADO DE LIMA</t>
  </si>
  <si>
    <t xml:space="preserve">ALBINO EMILIO GAEDICKE</t>
  </si>
  <si>
    <t xml:space="preserve">ALFREDO E VILLANOVA LTDA</t>
  </si>
  <si>
    <t xml:space="preserve">MINI MERCADO VARANDA</t>
  </si>
  <si>
    <t xml:space="preserve">LOURENCO GRISON</t>
  </si>
  <si>
    <t xml:space="preserve">CASA GRISON</t>
  </si>
  <si>
    <t xml:space="preserve">PREFEITURA MUNICIPAL DE RIO VERDE</t>
  </si>
  <si>
    <t xml:space="preserve">PREFEITURA MUNICIPAL</t>
  </si>
  <si>
    <t xml:space="preserve">MOTA FONTES E FONTES LTDA</t>
  </si>
  <si>
    <t xml:space="preserve">CASA FAZENDEIRO</t>
  </si>
  <si>
    <t xml:space="preserve">WALDIRENE APA NOGUEIRA ALMEIDA</t>
  </si>
  <si>
    <t xml:space="preserve">MERCADO CILEVA</t>
  </si>
  <si>
    <t xml:space="preserve">ACACIA CONVENIENCIAS LTDA</t>
  </si>
  <si>
    <t xml:space="preserve">SOLANGE A PEREIRA GOMES</t>
  </si>
  <si>
    <t xml:space="preserve">S.M. CONQUISTA</t>
  </si>
  <si>
    <t xml:space="preserve">TIBURTINO SOUZA MEIRA</t>
  </si>
  <si>
    <t xml:space="preserve">BAR E MERCEARIA MEIRA</t>
  </si>
  <si>
    <t xml:space="preserve">DORIVAL CUSTODIO</t>
  </si>
  <si>
    <t xml:space="preserve">ELIZEU GONCALVES SOBRINHO</t>
  </si>
  <si>
    <t xml:space="preserve">DROGARIA E ARMARINHOS ST.ANT.</t>
  </si>
  <si>
    <t xml:space="preserve">WALTER ATAIDE MARTINS</t>
  </si>
  <si>
    <t xml:space="preserve">J AILTON DA SILVA</t>
  </si>
  <si>
    <t xml:space="preserve">CASA DE CARNE SILVA</t>
  </si>
  <si>
    <t xml:space="preserve">COMERCIAL CORONEL ANTONINO LTDA</t>
  </si>
  <si>
    <t xml:space="preserve">SM SAO PEDRO</t>
  </si>
  <si>
    <t xml:space="preserve">CHURRASCARIA E LANCHONETE RODOVIA LTDA  </t>
  </si>
  <si>
    <t xml:space="preserve">CHURRASCARIA E LANCH CURIO</t>
  </si>
  <si>
    <t xml:space="preserve">GINEZ E GINEZ LTDA</t>
  </si>
  <si>
    <t xml:space="preserve">ALINE CONVENIENCIAS</t>
  </si>
  <si>
    <t xml:space="preserve">VALIMAR SUPERMERCADOS LTDA</t>
  </si>
  <si>
    <t xml:space="preserve">SM WAGNER</t>
  </si>
  <si>
    <t xml:space="preserve">JORGE ALEXANDRE RADER</t>
  </si>
  <si>
    <t xml:space="preserve">CONVENIENCIA I J</t>
  </si>
  <si>
    <t xml:space="preserve">VALE APORE EMPREEND TURISTICO LTDA</t>
  </si>
  <si>
    <t xml:space="preserve">VALE DO APORE HOTEL</t>
  </si>
  <si>
    <t xml:space="preserve">J C LEITE</t>
  </si>
  <si>
    <t xml:space="preserve">PANIF N SRA DE FATIMA</t>
  </si>
  <si>
    <t xml:space="preserve">ABISMO ANHUMAS ECOTURISMO LTDA</t>
  </si>
  <si>
    <t xml:space="preserve">GRUTA DO LAGO AZUL</t>
  </si>
  <si>
    <t xml:space="preserve">FIGUEIRA PALACE HOTEL LTDA</t>
  </si>
  <si>
    <t xml:space="preserve">TRANSFILE TRANSPORTADORA BOI FILE LTDA  </t>
  </si>
  <si>
    <t xml:space="preserve">TRANSFILE TRANSPORTADORA</t>
  </si>
  <si>
    <t xml:space="preserve">MANOEL ISIDORO DE MORAES</t>
  </si>
  <si>
    <t xml:space="preserve">MERCEARIA ISIDORO</t>
  </si>
  <si>
    <t xml:space="preserve">MARI TEREZINHA GOLDONI</t>
  </si>
  <si>
    <t xml:space="preserve">HOTEL E REST SANTO ANTONIO</t>
  </si>
  <si>
    <t xml:space="preserve">GERALDO COSTA</t>
  </si>
  <si>
    <t xml:space="preserve">PANIFICADORA PAO OURO</t>
  </si>
  <si>
    <t xml:space="preserve">BEZERRA E PEGAZ LTDA</t>
  </si>
  <si>
    <t xml:space="preserve">PANIF CONV SAO FRANCISCO</t>
  </si>
  <si>
    <t xml:space="preserve">BOCA DA ONCA ECOTOUR LTDA</t>
  </si>
  <si>
    <t xml:space="preserve">BOCA DA ONCA</t>
  </si>
  <si>
    <t xml:space="preserve">PANIFICADORA E CONF PAO DE OURO LTDA</t>
  </si>
  <si>
    <t xml:space="preserve">PANF PAO DE OURO</t>
  </si>
  <si>
    <t xml:space="preserve">CEZAR GONCALVES DE MELO</t>
  </si>
  <si>
    <t xml:space="preserve">MERCEARIA CEZAR</t>
  </si>
  <si>
    <t xml:space="preserve">RATIER E CIA LTDA</t>
  </si>
  <si>
    <t xml:space="preserve">DIESE</t>
  </si>
  <si>
    <t xml:space="preserve">AYALA E AYALA LTDA</t>
  </si>
  <si>
    <t xml:space="preserve">CASA DE CARNE SANTA MARIA</t>
  </si>
  <si>
    <t xml:space="preserve">NOIMAR BORCA</t>
  </si>
  <si>
    <t xml:space="preserve">MERCADO BOR?A</t>
  </si>
  <si>
    <t xml:space="preserve">MERCADO BONS AMIGOS</t>
  </si>
  <si>
    <t xml:space="preserve">HYBERVILLE PAULO DATHAYDE JUNIOR</t>
  </si>
  <si>
    <t xml:space="preserve">PROCAMPO PRODUTOS AGROPECUARIO</t>
  </si>
  <si>
    <t xml:space="preserve">OXIPAIVA COMERCIO E TRANSPORTE LTDA</t>
  </si>
  <si>
    <t xml:space="preserve">MINI CUSTO CESTA BASICA</t>
  </si>
  <si>
    <t xml:space="preserve">CATARINA CAMARGO GUIMARAES</t>
  </si>
  <si>
    <t xml:space="preserve">BAR VASCO DA GAMA</t>
  </si>
  <si>
    <t xml:space="preserve">JOLANDO E PEREIRA LTDA</t>
  </si>
  <si>
    <t xml:space="preserve">RESTAURANTE FEIJAO PRETO</t>
  </si>
  <si>
    <t xml:space="preserve">PASTEIS LELECO LTDA</t>
  </si>
  <si>
    <t xml:space="preserve">PASTEIS LELECO</t>
  </si>
  <si>
    <t xml:space="preserve">MILTON ZANCANARIO DE OLIVEIRA</t>
  </si>
  <si>
    <t xml:space="preserve">FRIOS PASTORINHO</t>
  </si>
  <si>
    <t xml:space="preserve">J OLIVEIRA</t>
  </si>
  <si>
    <t xml:space="preserve">MERCEARIA J</t>
  </si>
  <si>
    <t xml:space="preserve">ODACIR JORGE GIORDANO</t>
  </si>
  <si>
    <t xml:space="preserve">POSTO PAULISTA PNEUS LTDA</t>
  </si>
  <si>
    <t xml:space="preserve">POSTO PAULISTA PNEUS</t>
  </si>
  <si>
    <t xml:space="preserve">HIPOLITO FONTEBASSE JUNIOR</t>
  </si>
  <si>
    <t xml:space="preserve">CONV BALALIKA</t>
  </si>
  <si>
    <t xml:space="preserve">MERCADO DESTRO</t>
  </si>
  <si>
    <t xml:space="preserve">CRISTINA MARTINS GONZALEZ</t>
  </si>
  <si>
    <t xml:space="preserve">SM FLOR DA TERRA</t>
  </si>
  <si>
    <t xml:space="preserve">PAULA MENEZES SELERI</t>
  </si>
  <si>
    <t xml:space="preserve">J MAURO CIRELLE</t>
  </si>
  <si>
    <t xml:space="preserve">SCOBDOO LANCH EM FRENTE SM SBE</t>
  </si>
  <si>
    <t xml:space="preserve">MORENA ESTRUTURA PARA EVENTOS LTDA</t>
  </si>
  <si>
    <t xml:space="preserve">MORENA SERV FESTAS</t>
  </si>
  <si>
    <t xml:space="preserve">WALTER E OLIVEIRA LTDA</t>
  </si>
  <si>
    <t xml:space="preserve">RITA DE CASSIA SARMENTO</t>
  </si>
  <si>
    <t xml:space="preserve">BER DO PARAIBA</t>
  </si>
  <si>
    <t xml:space="preserve">NALEPA MACHADO E CIA LTDA</t>
  </si>
  <si>
    <t xml:space="preserve">REDE PEROLA </t>
  </si>
  <si>
    <t xml:space="preserve">SM PEROLA</t>
  </si>
  <si>
    <t xml:space="preserve">SUPERMERCADO PEROLA</t>
  </si>
  <si>
    <t xml:space="preserve">ORTEGA E ESCOBAR LTDA ME</t>
  </si>
  <si>
    <t xml:space="preserve">SUPERMERCADO MILENIO</t>
  </si>
  <si>
    <t xml:space="preserve">JAIR MEDEIROS ECHEVERRIA</t>
  </si>
  <si>
    <t xml:space="preserve">CASA DE CARNE E CONV. NELORE</t>
  </si>
  <si>
    <t xml:space="preserve">MILTON ROMAN SOUZA</t>
  </si>
  <si>
    <t xml:space="preserve">ANGELA SETSUE ISERI GIRALDELLI ME/MS</t>
  </si>
  <si>
    <t xml:space="preserve">MERCEARIA ISERI</t>
  </si>
  <si>
    <t xml:space="preserve">CEMITERIO NACIONAL PARQUE LTDA EPP</t>
  </si>
  <si>
    <t xml:space="preserve">CEMITERIO NACIONAL PARK</t>
  </si>
  <si>
    <t xml:space="preserve">NELSON GONCALVES</t>
  </si>
  <si>
    <t xml:space="preserve">PANF MANDI-PAN</t>
  </si>
  <si>
    <t xml:space="preserve">SUPERMERCADO PARANAENSE LTDA</t>
  </si>
  <si>
    <t xml:space="preserve">DIST. PARANAENSE</t>
  </si>
  <si>
    <t xml:space="preserve">P D SOZZI E CIA LTDA</t>
  </si>
  <si>
    <t xml:space="preserve">FARMACIA CONTINENTAL 3</t>
  </si>
  <si>
    <t xml:space="preserve">MILENIO COMERCIO DE ALIMENTOS LTDA</t>
  </si>
  <si>
    <t xml:space="preserve">VARZEA GRANDE</t>
  </si>
  <si>
    <t xml:space="preserve">MILENIO FILIAL</t>
  </si>
  <si>
    <t xml:space="preserve">MERCADO MISTER JOAO LTDA</t>
  </si>
  <si>
    <t xml:space="preserve">MERCADO MISTER JOAO</t>
  </si>
  <si>
    <t xml:space="preserve">ISABEL FERNANDES SANTOS</t>
  </si>
  <si>
    <t xml:space="preserve">BAR E MERCEARIA COSME DAMIAO</t>
  </si>
  <si>
    <t xml:space="preserve">M F ARGUELLO DE SOUZA E CIA LTDA</t>
  </si>
  <si>
    <t xml:space="preserve">MARIMAR FLORICULTURA</t>
  </si>
  <si>
    <t xml:space="preserve">PAES E PAES LTDA</t>
  </si>
  <si>
    <t xml:space="preserve">CASA CARNE ELDORADO</t>
  </si>
  <si>
    <t xml:space="preserve">MANOEL ZEOLA</t>
  </si>
  <si>
    <t xml:space="preserve">VIA MILANO</t>
  </si>
  <si>
    <t xml:space="preserve">WINCKLER E SILVA LTDA</t>
  </si>
  <si>
    <t xml:space="preserve">UNIVERSO BEBIDAS</t>
  </si>
  <si>
    <t xml:space="preserve">YOSHITERU OGAWA</t>
  </si>
  <si>
    <t xml:space="preserve">SM MANSO</t>
  </si>
  <si>
    <t xml:space="preserve">ISNALDO DOMINGOS ALVES</t>
  </si>
  <si>
    <t xml:space="preserve">MERCEARIA MAIA, 156</t>
  </si>
  <si>
    <t xml:space="preserve">N C SILVA CAMARGO</t>
  </si>
  <si>
    <t xml:space="preserve">HOTEL E RESTAURANTE LAIR</t>
  </si>
  <si>
    <t xml:space="preserve">CAMARGO E WERNER LTDA</t>
  </si>
  <si>
    <t xml:space="preserve">SM BEIJA FLOR</t>
  </si>
  <si>
    <t xml:space="preserve">M PEREIRA LEITE</t>
  </si>
  <si>
    <t xml:space="preserve">J.MACEDO ALIMENTOS NORDESTE S/A</t>
  </si>
  <si>
    <t xml:space="preserve">SALVADOR</t>
  </si>
  <si>
    <t xml:space="preserve">J.MACEDO</t>
  </si>
  <si>
    <t xml:space="preserve">SUPER BARATAO LTDA</t>
  </si>
  <si>
    <t xml:space="preserve">BARATAO</t>
  </si>
  <si>
    <t xml:space="preserve">DIRCE SILVA AGUILAR SAHIB</t>
  </si>
  <si>
    <t xml:space="preserve">PET SHOP CORUMBA</t>
  </si>
  <si>
    <t xml:space="preserve">BRONEL MATERIAIS PARA CONSTRUCAO LTDA</t>
  </si>
  <si>
    <t xml:space="preserve">MERCEARIA BROMEL</t>
  </si>
  <si>
    <t xml:space="preserve">OSCAR DOS SANTOS ME/MS</t>
  </si>
  <si>
    <t xml:space="preserve">DENIR SARAT ANTUNES DE OLIVEIRA</t>
  </si>
  <si>
    <t xml:space="preserve">MERCEARIA JUTI</t>
  </si>
  <si>
    <t xml:space="preserve">LAZER REVISTAS LIVROS JORNAIS E TAB LTDA</t>
  </si>
  <si>
    <t xml:space="preserve">OPCAO</t>
  </si>
  <si>
    <t xml:space="preserve">CASA DE SUCO JAMELAO</t>
  </si>
  <si>
    <t xml:space="preserve">DAVID ARISTOFANES ALVARENGA</t>
  </si>
  <si>
    <t xml:space="preserve">LANCH DA RODOVIARIA CASA BLANC</t>
  </si>
  <si>
    <t xml:space="preserve">MERCEARIA CONV OLIVEIRA LTDA</t>
  </si>
  <si>
    <t xml:space="preserve">MERC E CONV OLIVEIRA</t>
  </si>
  <si>
    <t xml:space="preserve">AUTO POSTO ESQUINAO LTDA</t>
  </si>
  <si>
    <t xml:space="preserve">AUTO POSTO ESQUINAO</t>
  </si>
  <si>
    <t xml:space="preserve">SIGNORI E SIGNORI LTDA</t>
  </si>
  <si>
    <t xml:space="preserve">SM KI-CARNE</t>
  </si>
  <si>
    <t xml:space="preserve">SIGNORI SUPERMERCADO SA</t>
  </si>
  <si>
    <t xml:space="preserve">SIGNORI SUPERMERCADO</t>
  </si>
  <si>
    <t xml:space="preserve">APARECIDO NUNES MOTA</t>
  </si>
  <si>
    <t xml:space="preserve">BISTROT</t>
  </si>
  <si>
    <t xml:space="preserve">AILTON DE ARRUDA</t>
  </si>
  <si>
    <t xml:space="preserve">MERCADO ARRUDA</t>
  </si>
  <si>
    <t xml:space="preserve">SUPERMERCADO PANTANAL LTDA</t>
  </si>
  <si>
    <t xml:space="preserve">LOEDY DUTRA VARGAS</t>
  </si>
  <si>
    <t xml:space="preserve">MINI MERCADO IPORANGA</t>
  </si>
  <si>
    <t xml:space="preserve">J W DA SILVA</t>
  </si>
  <si>
    <t xml:space="preserve">COMERCIAL TAJOS</t>
  </si>
  <si>
    <t xml:space="preserve">PAULO ROGERIO BOTAN</t>
  </si>
  <si>
    <t xml:space="preserve">PADARIA VENUS</t>
  </si>
  <si>
    <t xml:space="preserve">LM DO AMARAL E CIA LTDA</t>
  </si>
  <si>
    <t xml:space="preserve">VERMELHO GRILL RESTAURANTE LTDA</t>
  </si>
  <si>
    <t xml:space="preserve">RESTAURANTE VERMELHO GRIL</t>
  </si>
  <si>
    <t xml:space="preserve">ALMIR ANGELO GANASSINI</t>
  </si>
  <si>
    <t xml:space="preserve">GIOVANA DARIO SBARAINI DE ANDRADE</t>
  </si>
  <si>
    <t xml:space="preserve">BR - MANIA</t>
  </si>
  <si>
    <t xml:space="preserve">LICERIO DOS SANTOS</t>
  </si>
  <si>
    <t xml:space="preserve">A NATUREZA</t>
  </si>
  <si>
    <t xml:space="preserve">MERCADO E ACOUGUE KAJY LTDA</t>
  </si>
  <si>
    <t xml:space="preserve">MERCADO E ACOUGUE KAJY</t>
  </si>
  <si>
    <t xml:space="preserve">ROSELI BATISTA DE O LOPES E CIA LTDA</t>
  </si>
  <si>
    <t xml:space="preserve">MINI MERCADO LOPES</t>
  </si>
  <si>
    <t xml:space="preserve">UNIVERSO PARALELO COMIC SHOP LTDA</t>
  </si>
  <si>
    <t xml:space="preserve">UNIVERSO PARALELO</t>
  </si>
  <si>
    <t xml:space="preserve">CAFE DE PONTA LTDA</t>
  </si>
  <si>
    <t xml:space="preserve">CAFE DE PONTO</t>
  </si>
  <si>
    <t xml:space="preserve">VANIA DO COUTO BRUM</t>
  </si>
  <si>
    <t xml:space="preserve">CONVENIENCIA ALVORADA</t>
  </si>
  <si>
    <t xml:space="preserve">JORGE THEISEN</t>
  </si>
  <si>
    <t xml:space="preserve">POSTO AMIGAO</t>
  </si>
  <si>
    <t xml:space="preserve">IZABEL ALVES DOS SANTOS</t>
  </si>
  <si>
    <t xml:space="preserve">ARIMA E ARIMA LTDA</t>
  </si>
  <si>
    <t xml:space="preserve">SM BOM CLIMA</t>
  </si>
  <si>
    <t xml:space="preserve">HOTEL POUSADA AGUAS DE BONITO LTDA</t>
  </si>
  <si>
    <t xml:space="preserve">POUSADA AGUAS BONITO</t>
  </si>
  <si>
    <t xml:space="preserve">J SOUZA BAR</t>
  </si>
  <si>
    <t xml:space="preserve">PENHA E DAMACENO LTDA</t>
  </si>
  <si>
    <t xml:space="preserve">PANIF PIZZ E CHOPERIA TRIANGUL</t>
  </si>
  <si>
    <t xml:space="preserve">JOAO GONCALVES DOS SANTOS</t>
  </si>
  <si>
    <t xml:space="preserve">CUNHA E ASSIS LTDA</t>
  </si>
  <si>
    <t xml:space="preserve">EDJ CONVENIENCIAS</t>
  </si>
  <si>
    <t xml:space="preserve">FRUTARIA RIZO LTDA</t>
  </si>
  <si>
    <t xml:space="preserve">LEVE FRUTA</t>
  </si>
  <si>
    <t xml:space="preserve">SUPERMERCADO PIRES OLIVEIRA LTDA-LJ05</t>
  </si>
  <si>
    <t xml:space="preserve">SM PIRES-LJ05</t>
  </si>
  <si>
    <t xml:space="preserve">DISTRIB MAD MILLENNIUM IMP EXP LTDA EPP </t>
  </si>
  <si>
    <t xml:space="preserve">DISTRIBUIDORA DE MADEIRAS</t>
  </si>
  <si>
    <t xml:space="preserve">SUELI ROSA</t>
  </si>
  <si>
    <t xml:space="preserve">BAR E MERCEARIA AVENIDA</t>
  </si>
  <si>
    <t xml:space="preserve">K M KLEM EIRELI EPP</t>
  </si>
  <si>
    <t xml:space="preserve">FARMACIA PROGRESSO</t>
  </si>
  <si>
    <t xml:space="preserve">SUPERMERCADO REAL LTDA</t>
  </si>
  <si>
    <t xml:space="preserve">MIGUEL FARIAS DE BARROS - ME</t>
  </si>
  <si>
    <t xml:space="preserve">ACOUGUE E MERC. ALVORADA</t>
  </si>
  <si>
    <t xml:space="preserve">JOARCE JOLANDO NEVES</t>
  </si>
  <si>
    <t xml:space="preserve">FEIJAO PRETO RESTAURANTE</t>
  </si>
  <si>
    <t xml:space="preserve">BRUNO E SILVA LTDA</t>
  </si>
  <si>
    <t xml:space="preserve">SM BRUNO</t>
  </si>
  <si>
    <t xml:space="preserve">EDSON G MIYASHIRO</t>
  </si>
  <si>
    <t xml:space="preserve">DINHO CARNE E CONV</t>
  </si>
  <si>
    <t xml:space="preserve"> FARMACIA ALQUIMIA LTDA</t>
  </si>
  <si>
    <t xml:space="preserve">INTEGRAL CONVENIENCIA LTDA</t>
  </si>
  <si>
    <t xml:space="preserve">BAGHETERIA</t>
  </si>
  <si>
    <t xml:space="preserve">G G DE OLIVEIRA</t>
  </si>
  <si>
    <t xml:space="preserve">PAULO TADANORI SHIMABUCO</t>
  </si>
  <si>
    <t xml:space="preserve">N C RUIZ</t>
  </si>
  <si>
    <t xml:space="preserve">MERCADO NOVA VIDA</t>
  </si>
  <si>
    <t xml:space="preserve">ESTEVAO DARMANCEF NETO</t>
  </si>
  <si>
    <t xml:space="preserve">BAR E MERCEARIA DARMANCEF</t>
  </si>
  <si>
    <t xml:space="preserve">AUN WEOR COMERCIO E REPRESENTACAO LTDA  </t>
  </si>
  <si>
    <t xml:space="preserve">MERCEARIA CASA DE CARNE SAO MARCOS LTDA </t>
  </si>
  <si>
    <t xml:space="preserve">MERCEARIA SAO MARCOS</t>
  </si>
  <si>
    <t xml:space="preserve">ILARIO WEIRICH</t>
  </si>
  <si>
    <t xml:space="preserve">FRUTARIA CENTRAL</t>
  </si>
  <si>
    <t xml:space="preserve">LOJA DE CONVENIENCIAS SANTOS LTDA</t>
  </si>
  <si>
    <t xml:space="preserve">FAROIS CONVENIENCIAS</t>
  </si>
  <si>
    <t xml:space="preserve">GRS COMERCIAL DE ALIMENTOS LTDA</t>
  </si>
  <si>
    <t xml:space="preserve">SM O SUPER</t>
  </si>
  <si>
    <t xml:space="preserve">C A SITOLINO</t>
  </si>
  <si>
    <t xml:space="preserve">SACOLAO ZAP</t>
  </si>
  <si>
    <t xml:space="preserve">TEREZINHA T DE MELO</t>
  </si>
  <si>
    <t xml:space="preserve">INAN SANCHES GONZAGA</t>
  </si>
  <si>
    <t xml:space="preserve">SM COOPHAUNIAO</t>
  </si>
  <si>
    <t xml:space="preserve">TAURUS EMPREENDIMENTOS LTDA</t>
  </si>
  <si>
    <t xml:space="preserve">AIRTON DA SILVA</t>
  </si>
  <si>
    <t xml:space="preserve">MERCADO UNIVERSAL</t>
  </si>
  <si>
    <t xml:space="preserve">BEAUTY FOREVER PERFUMARIA LTDA</t>
  </si>
  <si>
    <t xml:space="preserve">BEATY FOREVER PERFUMARIA</t>
  </si>
  <si>
    <t xml:space="preserve">CLAUDEMIR FIGUEIREDO</t>
  </si>
  <si>
    <t xml:space="preserve">EDGARD PEREIRA</t>
  </si>
  <si>
    <t xml:space="preserve">JOYLER KEITH COSTA LEMOS</t>
  </si>
  <si>
    <t xml:space="preserve">DIST DE BEBIDAS SUL DO OESTE</t>
  </si>
  <si>
    <t xml:space="preserve">RAUL S JACQUES</t>
  </si>
  <si>
    <t xml:space="preserve">MERCADO RIO DA PRATA</t>
  </si>
  <si>
    <t xml:space="preserve">BAGATINI E POZZA LTDA</t>
  </si>
  <si>
    <t xml:space="preserve">RESTAURANTE E LANCH. O LACADOR</t>
  </si>
  <si>
    <t xml:space="preserve">JOSINALDO LIMA</t>
  </si>
  <si>
    <t xml:space="preserve">MERCADO ATALAIA</t>
  </si>
  <si>
    <t xml:space="preserve">KARINA CONVENIENCIA LTDA EPP</t>
  </si>
  <si>
    <t xml:space="preserve">KARINA CONVENIENCIA</t>
  </si>
  <si>
    <t xml:space="preserve">ROSS E CIA LTDA</t>
  </si>
  <si>
    <t xml:space="preserve">MARRUA HOTEL</t>
  </si>
  <si>
    <t xml:space="preserve">EROALDO PRIETO FERNANDES</t>
  </si>
  <si>
    <t xml:space="preserve">MINI MERCADO FERNANDES</t>
  </si>
  <si>
    <t xml:space="preserve">GOMES E MONTEIRO LTDA</t>
  </si>
  <si>
    <t xml:space="preserve">AUTO POSTO BEJEL</t>
  </si>
  <si>
    <t xml:space="preserve">AUTO POSTO PANTANAL LTDA</t>
  </si>
  <si>
    <t xml:space="preserve">AUTO POSTO PANTANAL</t>
  </si>
  <si>
    <t xml:space="preserve">PEDRO BENTO PEREIRA GONCALVES</t>
  </si>
  <si>
    <t xml:space="preserve">MERCADO DO PEDRO</t>
  </si>
  <si>
    <t xml:space="preserve">ELITE COMERCIO DE TINTAS LTDA</t>
  </si>
  <si>
    <t xml:space="preserve">ANDRADE E MARCONDES LTDA</t>
  </si>
  <si>
    <t xml:space="preserve">PANIF STO ANTONIO</t>
  </si>
  <si>
    <t xml:space="preserve">PETS CAO COM VAREJISTA DE RACOES EIRELI </t>
  </si>
  <si>
    <t xml:space="preserve">PETS CAO</t>
  </si>
  <si>
    <t xml:space="preserve">JOEL VARGAS DE OLIVEIRA ME/MS</t>
  </si>
  <si>
    <t xml:space="preserve">MERCADO VENCEDOR</t>
  </si>
  <si>
    <t xml:space="preserve">ROSENI SILVA RAMOS</t>
  </si>
  <si>
    <t xml:space="preserve">CARANDA CONVENIENCIA</t>
  </si>
  <si>
    <t xml:space="preserve">S R FERREIRA DE OLIVEIRA</t>
  </si>
  <si>
    <t xml:space="preserve">N L S R COMERCIAL DE ALIMENTOS LTDA</t>
  </si>
  <si>
    <t xml:space="preserve">AMINA DARE</t>
  </si>
  <si>
    <t xml:space="preserve">ADEVANDER ELIAS DA SILVA</t>
  </si>
  <si>
    <t xml:space="preserve">SUP PONTO ECONOMICO</t>
  </si>
  <si>
    <t xml:space="preserve">ROSA MARIA DIAS ROCHA</t>
  </si>
  <si>
    <t xml:space="preserve">COMERCIAL ROCHA</t>
  </si>
  <si>
    <t xml:space="preserve">M DE F MARQUES DA SILVA MORAGA</t>
  </si>
  <si>
    <t xml:space="preserve">SUPERMERCADO MOREIRA</t>
  </si>
  <si>
    <t xml:space="preserve">J P ALVES</t>
  </si>
  <si>
    <t xml:space="preserve">MERCEARIA CEARENSE</t>
  </si>
  <si>
    <t xml:space="preserve">RAIMUNDO LEONARDO DA COSTA</t>
  </si>
  <si>
    <t xml:space="preserve">SM RAIVITO</t>
  </si>
  <si>
    <t xml:space="preserve">RINALDO MINEI ME</t>
  </si>
  <si>
    <t xml:space="preserve">FARMINEI POPULAR</t>
  </si>
  <si>
    <t xml:space="preserve">LOJA E SUPERMERCADO ESTRELA LTDA</t>
  </si>
  <si>
    <t xml:space="preserve">SUPERMERCADO ESTRELA</t>
  </si>
  <si>
    <t xml:space="preserve">CONVENIENCIA PARQUE UNIAO LTDA</t>
  </si>
  <si>
    <t xml:space="preserve">CHURRASCARIA E LANCH.TREVAO</t>
  </si>
  <si>
    <t xml:space="preserve">ROSANGELA SILVERIO DO N DA SILVA</t>
  </si>
  <si>
    <t xml:space="preserve">MERC.E ACOUGUE MIRANDA</t>
  </si>
  <si>
    <t xml:space="preserve">CHURRASCARIA DO BOIZINHO LTDA</t>
  </si>
  <si>
    <t xml:space="preserve">CHURRASCARIA NOSSA QUERENCIA</t>
  </si>
  <si>
    <t xml:space="preserve">M  C  FERREIRA TERRA</t>
  </si>
  <si>
    <t xml:space="preserve">SACOLAO FRUTILANDIA</t>
  </si>
  <si>
    <t xml:space="preserve">EVERALDO GOMES MOREIRA E CIA LTDA</t>
  </si>
  <si>
    <t xml:space="preserve">POSTAL LTDA</t>
  </si>
  <si>
    <t xml:space="preserve">AEROPORTO INTERN.VAGA 06</t>
  </si>
  <si>
    <t xml:space="preserve">MOACYR LEITE BORGES</t>
  </si>
  <si>
    <t xml:space="preserve">BAR E LANCH RODOVIARIO</t>
  </si>
  <si>
    <t xml:space="preserve">ELIANE ANDREO ALVES SANTOS</t>
  </si>
  <si>
    <t xml:space="preserve">COMERCIO DE ALIMENTOS MB LTDA</t>
  </si>
  <si>
    <t xml:space="preserve">COMERCIAL MB</t>
  </si>
  <si>
    <t xml:space="preserve">ROSANGELA MARIA FONTOURA</t>
  </si>
  <si>
    <t xml:space="preserve">ROSANGELA M.FONTOURA DE ARAUJO</t>
  </si>
  <si>
    <t xml:space="preserve">DOBEL BAR RESTAURANTE E DANCETERIA LTDA </t>
  </si>
  <si>
    <t xml:space="preserve">BAIE DUNKIE BAR</t>
  </si>
  <si>
    <t xml:space="preserve">LEANDRA SILVEIRA MARTINS FERNANDES</t>
  </si>
  <si>
    <t xml:space="preserve">SM TRADICAO</t>
  </si>
  <si>
    <t xml:space="preserve">RESTAURANTE TRANSPORTADORA EDUKARI LTDA </t>
  </si>
  <si>
    <t xml:space="preserve">REST E TRANS EDUKARI</t>
  </si>
  <si>
    <t xml:space="preserve">S V M PEREIRA EXPORTACAO E CONVENIENCIA </t>
  </si>
  <si>
    <t xml:space="preserve">S.V.M. CONVENIENCIA.</t>
  </si>
  <si>
    <t xml:space="preserve">MARIANA MINOSSI</t>
  </si>
  <si>
    <t xml:space="preserve">ARTESANATO DO PAO</t>
  </si>
  <si>
    <t xml:space="preserve">SUPERMERCADO CEARA LTDA</t>
  </si>
  <si>
    <t xml:space="preserve">FRANCO E SANCHES LTDA</t>
  </si>
  <si>
    <t xml:space="preserve">ARACIBE FERNANDES DE BARROS</t>
  </si>
  <si>
    <t xml:space="preserve">BIG STAR DIST DE BEBIDAS</t>
  </si>
  <si>
    <t xml:space="preserve">COMERCIAL T E C LTDA</t>
  </si>
  <si>
    <t xml:space="preserve">T E C</t>
  </si>
  <si>
    <t xml:space="preserve">NUNES E SILVA LTDA EPP</t>
  </si>
  <si>
    <t xml:space="preserve">SM BONANZA</t>
  </si>
  <si>
    <t xml:space="preserve">SUPERMERCADO KI FARTURA LTDA</t>
  </si>
  <si>
    <t xml:space="preserve">MERCADO KI FARTURA II</t>
  </si>
  <si>
    <t xml:space="preserve">IVONETE ALVES DE MORAIS</t>
  </si>
  <si>
    <t xml:space="preserve">V R PANHOZZI</t>
  </si>
  <si>
    <t xml:space="preserve">MERCEARIA PANHOZZI</t>
  </si>
  <si>
    <t xml:space="preserve">FRANCINE BIGUETI PIZZARIA</t>
  </si>
  <si>
    <t xml:space="preserve">PIZZARIA MAMMAMIA</t>
  </si>
  <si>
    <t xml:space="preserve">ELENIR PEREIRA MACHADO</t>
  </si>
  <si>
    <t xml:space="preserve">ROSELI MARCIANA DE OLIVEIRA</t>
  </si>
  <si>
    <t xml:space="preserve">POSTO CHARRUA</t>
  </si>
  <si>
    <t xml:space="preserve">ANGELA M NUCCI GORGATTO</t>
  </si>
  <si>
    <t xml:space="preserve">PADARIA E CONF.MASSA PURA</t>
  </si>
  <si>
    <t xml:space="preserve">GLAUCIA SANTANA HARTELSBERGER PASSOS ME </t>
  </si>
  <si>
    <t xml:space="preserve">CONVENIENCIA RIO PARDO</t>
  </si>
  <si>
    <t xml:space="preserve">DOSANGELA MARCAL PAES EIRELI</t>
  </si>
  <si>
    <t xml:space="preserve">V R S MATERIAIS PARA CONSTRUCAO LTDA</t>
  </si>
  <si>
    <t xml:space="preserve">WALDIR MATERIAIS PARA CONST.</t>
  </si>
  <si>
    <t xml:space="preserve">EDNEIA AYRES PEREIRA</t>
  </si>
  <si>
    <t xml:space="preserve">PANIF NOVA CPO GRANDE</t>
  </si>
  <si>
    <t xml:space="preserve">ALVES E LIMA LTDA</t>
  </si>
  <si>
    <t xml:space="preserve">AUTO POSTO CENTRO</t>
  </si>
  <si>
    <t xml:space="preserve">ARILDO CARNES ESPECIAIS LTDA</t>
  </si>
  <si>
    <t xml:space="preserve">ARILDO CARNES ESPECIAIS</t>
  </si>
  <si>
    <t xml:space="preserve">GENILSE VICTORIO IBRAHIM</t>
  </si>
  <si>
    <t xml:space="preserve">PANF SILVA JARDIM</t>
  </si>
  <si>
    <t xml:space="preserve">ADELAIDE ARECO JARA</t>
  </si>
  <si>
    <t xml:space="preserve">MERCEARIA SAO BRAZ</t>
  </si>
  <si>
    <t xml:space="preserve">POUSADA RANCHO JARINU LTDA</t>
  </si>
  <si>
    <t xml:space="preserve">JAIR MOYA VILARIM</t>
  </si>
  <si>
    <t xml:space="preserve">MERCADO MOYA</t>
  </si>
  <si>
    <t xml:space="preserve">EDUARDO DA SILVA OLIVEIRA</t>
  </si>
  <si>
    <t xml:space="preserve">MAURO SGARAVATTI</t>
  </si>
  <si>
    <t xml:space="preserve">RUBENS A RIBEIRO</t>
  </si>
  <si>
    <t xml:space="preserve">MERCADO MP LTDA</t>
  </si>
  <si>
    <t xml:space="preserve">MERCADO PLATINO</t>
  </si>
  <si>
    <t xml:space="preserve">RESTAURANTE MAXIMO LTDA</t>
  </si>
  <si>
    <t xml:space="preserve">RESTAURANTE MAXINO LTDA</t>
  </si>
  <si>
    <t xml:space="preserve">COMERCIAL SAO JUDAS TADEU LTDA</t>
  </si>
  <si>
    <t xml:space="preserve">SUPERMERCADO SAO JUDAS TADEU</t>
  </si>
  <si>
    <t xml:space="preserve">SESC - ADM REG DO ESTADO MS</t>
  </si>
  <si>
    <t xml:space="preserve">SESC - ALTO SUMARE</t>
  </si>
  <si>
    <t xml:space="preserve">SESC ADM. REG. NO ESTADO DO MS</t>
  </si>
  <si>
    <t xml:space="preserve">SESC HORTO FLORESTAL</t>
  </si>
  <si>
    <t xml:space="preserve">SESC ADM. REG. NO ESTADO DO SUL</t>
  </si>
  <si>
    <t xml:space="preserve">SESC</t>
  </si>
  <si>
    <t xml:space="preserve">SESC - ADMINISTRACAO REG NO MS</t>
  </si>
  <si>
    <t xml:space="preserve">OSMAR MARTINS RODRIGUES</t>
  </si>
  <si>
    <t xml:space="preserve">PANIFICAD LANCH PONTO X LTDA</t>
  </si>
  <si>
    <t xml:space="preserve">PANIF PONTO X</t>
  </si>
  <si>
    <t xml:space="preserve">COMERCIAL KARINA LTDA</t>
  </si>
  <si>
    <t xml:space="preserve">E G DINIZ</t>
  </si>
  <si>
    <t xml:space="preserve">MERCADO MINI BOM</t>
  </si>
  <si>
    <t xml:space="preserve">MANOEL ALVES SILVA MERCEARIA</t>
  </si>
  <si>
    <t xml:space="preserve">NAGAMINE  OSHIRO E CIA LTDA</t>
  </si>
  <si>
    <t xml:space="preserve">PALHACINHO REI DAS FESTAS</t>
  </si>
  <si>
    <t xml:space="preserve">ANTONIO ANTUNES BITTENCOURT</t>
  </si>
  <si>
    <t xml:space="preserve">AUTO POSTO CENTRAL LTDA</t>
  </si>
  <si>
    <t xml:space="preserve">AUTO POSTO CENTRAL</t>
  </si>
  <si>
    <t xml:space="preserve">LEONICE BARBOSA SIMAO</t>
  </si>
  <si>
    <t xml:space="preserve">RESTAURANTE 315</t>
  </si>
  <si>
    <t xml:space="preserve">UNIAO SUPERMERCADO LTDA</t>
  </si>
  <si>
    <t xml:space="preserve">AUTO POSTO POROROCA XV LTDA</t>
  </si>
  <si>
    <t xml:space="preserve">REDE IPE POSTOS DE SERVICOS</t>
  </si>
  <si>
    <t xml:space="preserve">OZAIR MIRANDA ROSA</t>
  </si>
  <si>
    <t xml:space="preserve">ARMAZEM PAULISTA</t>
  </si>
  <si>
    <t xml:space="preserve">JOAO NASCIMENTO SANTOS</t>
  </si>
  <si>
    <t xml:space="preserve">AUTO POSTO PRUDENTAO LTDA</t>
  </si>
  <si>
    <t xml:space="preserve">AUTO POSTO PRUDENTAO</t>
  </si>
  <si>
    <t xml:space="preserve">A F FARIA E CIA LTDA</t>
  </si>
  <si>
    <t xml:space="preserve">SM ESTRELA DO SUL</t>
  </si>
  <si>
    <t xml:space="preserve">WILSON COLOMBO</t>
  </si>
  <si>
    <t xml:space="preserve">PARANAIBA TENS CLUBE</t>
  </si>
  <si>
    <t xml:space="preserve">P.T.C</t>
  </si>
  <si>
    <t xml:space="preserve">D S MOTA AURELIANO</t>
  </si>
  <si>
    <t xml:space="preserve">ISCA VIVA DOS AMIGOS</t>
  </si>
  <si>
    <t xml:space="preserve">DROGAMELLO LTDA ME</t>
  </si>
  <si>
    <t xml:space="preserve">DROGAMELLO</t>
  </si>
  <si>
    <t xml:space="preserve">JOSE MARTINS DOS SANTOS MERCEARIA</t>
  </si>
  <si>
    <t xml:space="preserve">DELORGES NEWTON MACHADO FOSSATI</t>
  </si>
  <si>
    <t xml:space="preserve">ZERO HORA CONVENIENCIA</t>
  </si>
  <si>
    <t xml:space="preserve">M T COMERCIO DE PROD ALIMENTICIOS LTDA  </t>
  </si>
  <si>
    <t xml:space="preserve">TOGS PIZZA DOG</t>
  </si>
  <si>
    <t xml:space="preserve">AUTO POSTO PETROBRAS LTDA</t>
  </si>
  <si>
    <t xml:space="preserve">AUTO POSTO PETROBRAS</t>
  </si>
  <si>
    <t xml:space="preserve">BUZON E TOLEDO LTDA</t>
  </si>
  <si>
    <t xml:space="preserve">BLUE SKY NET</t>
  </si>
  <si>
    <t xml:space="preserve">MARIA JOSE SATURNINO DA SILVA</t>
  </si>
  <si>
    <t xml:space="preserve">MINI MERC GONCALVES</t>
  </si>
  <si>
    <t xml:space="preserve">M ETTO</t>
  </si>
  <si>
    <t xml:space="preserve">RRM PICCOLI</t>
  </si>
  <si>
    <t xml:space="preserve">REST CARAVAGIO</t>
  </si>
  <si>
    <t xml:space="preserve">EMMANOEL MARINHO NASCIMENTO</t>
  </si>
  <si>
    <t xml:space="preserve">CASA REGIMA</t>
  </si>
  <si>
    <t xml:space="preserve">MARCO ANTONIO DE SOUZA LANCHONETE ME/MS </t>
  </si>
  <si>
    <t xml:space="preserve">LANCHONETE CAMARGO</t>
  </si>
  <si>
    <t xml:space="preserve">PAULO C SOUZA</t>
  </si>
  <si>
    <t xml:space="preserve">RACA ANIMAL</t>
  </si>
  <si>
    <t xml:space="preserve">SIDINEIA DA ROCHA</t>
  </si>
  <si>
    <t xml:space="preserve">REST SABIA</t>
  </si>
  <si>
    <t xml:space="preserve">ILDO CARNEVALLI SUPERMERCADO</t>
  </si>
  <si>
    <t xml:space="preserve">FRAM SUPERMERCADO</t>
  </si>
  <si>
    <t xml:space="preserve">GILBERTO FERREIRA DE SOUZA</t>
  </si>
  <si>
    <t xml:space="preserve">MERCADO E CASA DE CARNE PIONEIRA</t>
  </si>
  <si>
    <t xml:space="preserve">PAULO CARDOSO DA SILVA</t>
  </si>
  <si>
    <t xml:space="preserve">RIOTEL TELECOMUNICACOES EMBALAGENS E COM</t>
  </si>
  <si>
    <t xml:space="preserve">JANETE AUXILIADORA RODRIGUES FREITAS</t>
  </si>
  <si>
    <t xml:space="preserve">Q SORVETES</t>
  </si>
  <si>
    <t xml:space="preserve">ALMERINDO FERREIRA FILHO</t>
  </si>
  <si>
    <t xml:space="preserve">AUTO POSTO KELLI LTDA EPP</t>
  </si>
  <si>
    <t xml:space="preserve">POSTO KELLI</t>
  </si>
  <si>
    <t xml:space="preserve">ASSOCIACAO BENEFICENTE DOURADENSE</t>
  </si>
  <si>
    <t xml:space="preserve">HOSPITAL EVANGELICO</t>
  </si>
  <si>
    <t xml:space="preserve">MARILENE PICKIUS</t>
  </si>
  <si>
    <t xml:space="preserve">MERCEARIA SANTA CATARINA</t>
  </si>
  <si>
    <t xml:space="preserve">VALDENICIA BENICHIO SILVA RODRIGUES</t>
  </si>
  <si>
    <t xml:space="preserve">MERCEARIA MILEN</t>
  </si>
  <si>
    <t xml:space="preserve">MERCADO TRES IRMAS</t>
  </si>
  <si>
    <t xml:space="preserve">RICARDO MUSTAFA DE OLIVEIRA</t>
  </si>
  <si>
    <t xml:space="preserve">CASA DE CARNE SOBERANO</t>
  </si>
  <si>
    <t xml:space="preserve">SUMIE YMAMURA YAMATO</t>
  </si>
  <si>
    <t xml:space="preserve">CASA AGRICOLA</t>
  </si>
  <si>
    <t xml:space="preserve">AFONSO RAMAO RODRIGUES</t>
  </si>
  <si>
    <t xml:space="preserve">ALPHONSUS HOTEL</t>
  </si>
  <si>
    <t xml:space="preserve">JOSE BORTOLO PIZZATTO</t>
  </si>
  <si>
    <t xml:space="preserve">HOTEL 2 GAUCHOS</t>
  </si>
  <si>
    <t xml:space="preserve">BRAGAPAN PANIFICADORA E CONFEITARIA LTDA</t>
  </si>
  <si>
    <t xml:space="preserve">PANF BRAGA PAN</t>
  </si>
  <si>
    <t xml:space="preserve">A F DA MOTA</t>
  </si>
  <si>
    <t xml:space="preserve">E J DE ALMEIDA</t>
  </si>
  <si>
    <t xml:space="preserve">COMERCIAL MAIS VOCE</t>
  </si>
  <si>
    <t xml:space="preserve">MATOS CIA LTDA</t>
  </si>
  <si>
    <t xml:space="preserve">MATOS E CIA LTDA</t>
  </si>
  <si>
    <t xml:space="preserve">EMIKO SUGI MINOHARA</t>
  </si>
  <si>
    <t xml:space="preserve">MERC E DIST DE BEBIDAS DOM</t>
  </si>
  <si>
    <t xml:space="preserve">MARLI DA SILVA RAMOS E CIA LTDA</t>
  </si>
  <si>
    <t xml:space="preserve">SM MARLI</t>
  </si>
  <si>
    <t xml:space="preserve">ESCOLA PRESBITERIANA ERASMO BRAGA</t>
  </si>
  <si>
    <t xml:space="preserve">ESC PRESBITERIANA ERASMO BRAGA</t>
  </si>
  <si>
    <t xml:space="preserve">OSVALDO RODRIGUES FRAGA</t>
  </si>
  <si>
    <t xml:space="preserve">MERCADO RONDON</t>
  </si>
  <si>
    <t xml:space="preserve">SOUZA E MIRANDA LTDA</t>
  </si>
  <si>
    <t xml:space="preserve">POSTO GENTIL</t>
  </si>
  <si>
    <t xml:space="preserve">SOUTO E ZAMIN LTDA</t>
  </si>
  <si>
    <t xml:space="preserve">MERCADO ESKINA</t>
  </si>
  <si>
    <t xml:space="preserve">ALGEMIRO DIAS MARQUES</t>
  </si>
  <si>
    <t xml:space="preserve">CASA SOL</t>
  </si>
  <si>
    <t xml:space="preserve">ALCOVA E RIBEIRO LTDA</t>
  </si>
  <si>
    <t xml:space="preserve">AUTO POSTO ANTARES</t>
  </si>
  <si>
    <t xml:space="preserve">MOACIR BORGES DE SOUZA</t>
  </si>
  <si>
    <t xml:space="preserve">SERV FESTA</t>
  </si>
  <si>
    <t xml:space="preserve">AUTO POSTO SHIRAISHI LTDA</t>
  </si>
  <si>
    <t xml:space="preserve">SH CONVENIENCIA</t>
  </si>
  <si>
    <t xml:space="preserve">VALDIR ANTONIO OLIVEIRA</t>
  </si>
  <si>
    <t xml:space="preserve">AGROPECUARIA APARECIDENSE</t>
  </si>
  <si>
    <t xml:space="preserve">ANTONIO FERREIRA MERCEARIA</t>
  </si>
  <si>
    <t xml:space="preserve">MERCEARIA BOM DIA</t>
  </si>
  <si>
    <t xml:space="preserve">ELIDIA MATEUSSI</t>
  </si>
  <si>
    <t xml:space="preserve">COMERCIAL COMETA</t>
  </si>
  <si>
    <t xml:space="preserve">CLAUDIA VALERIA S FERNANDES E CIA LTDA  </t>
  </si>
  <si>
    <t xml:space="preserve">MERCADO SULINA</t>
  </si>
  <si>
    <t xml:space="preserve">SANDRA REGINA ARCE</t>
  </si>
  <si>
    <t xml:space="preserve">RICHA FORTE</t>
  </si>
  <si>
    <t xml:space="preserve">MAILDE LIMA MOTA</t>
  </si>
  <si>
    <t xml:space="preserve">MERCADO E CONV. MOTA</t>
  </si>
  <si>
    <t xml:space="preserve">MARIA APARECIDA FERREIRA DOS SANTOS</t>
  </si>
  <si>
    <t xml:space="preserve">FRUTARIA DA CIDA</t>
  </si>
  <si>
    <t xml:space="preserve">VIERO  VIERO E MARTINS LTDA</t>
  </si>
  <si>
    <t xml:space="preserve">AUTO POSTO VIANA II</t>
  </si>
  <si>
    <t xml:space="preserve">MARIA FRANCA DE NAZARETH</t>
  </si>
  <si>
    <t xml:space="preserve">MERCEARIA DO PRIMO</t>
  </si>
  <si>
    <t xml:space="preserve">PANIFICADORA MERCEARIA QUARTO PLANO LTDA</t>
  </si>
  <si>
    <t xml:space="preserve">MINI MERCADO KI BOM PRECO</t>
  </si>
  <si>
    <t xml:space="preserve">RODRIGUES E FREITAS LTDA</t>
  </si>
  <si>
    <t xml:space="preserve">MERCADO DA TORRE</t>
  </si>
  <si>
    <t xml:space="preserve">LIMA E GIBRAN LTDA</t>
  </si>
  <si>
    <t xml:space="preserve">MERCEARIA OMEGA</t>
  </si>
  <si>
    <t xml:space="preserve">CESTI E CIA LTDA EPP</t>
  </si>
  <si>
    <t xml:space="preserve">PANIF E CONF BIG PAO</t>
  </si>
  <si>
    <t xml:space="preserve">PARQUE DAS CACHOEIRAS ECOTURISMO LTDA</t>
  </si>
  <si>
    <t xml:space="preserve">PARQUE DAS CACHOEIRAS</t>
  </si>
  <si>
    <t xml:space="preserve">LANCHONETE REST POUSADA DAS EMAS</t>
  </si>
  <si>
    <t xml:space="preserve">REST POPUSADA DAS EMAS</t>
  </si>
  <si>
    <t xml:space="preserve">CLEIDE LEITE ROMERO</t>
  </si>
  <si>
    <t xml:space="preserve">PANF SAO RAFAEL</t>
  </si>
  <si>
    <t xml:space="preserve">EDU ALFREDO TOMAZONI ME/MS</t>
  </si>
  <si>
    <t xml:space="preserve">PANF REAL</t>
  </si>
  <si>
    <t xml:space="preserve">MASCARELLO E RODRIGUES LTDA</t>
  </si>
  <si>
    <t xml:space="preserve">PADARIA DO SONHO</t>
  </si>
  <si>
    <t xml:space="preserve">ANDRADAS FRIOS E CONVENIENCIA LTDA</t>
  </si>
  <si>
    <t xml:space="preserve">RAQUEL MEZAVILLA</t>
  </si>
  <si>
    <t xml:space="preserve">MERCADO NOVA SUL</t>
  </si>
  <si>
    <t xml:space="preserve">EVERALDO LUBAS AQUINO - ME</t>
  </si>
  <si>
    <t xml:space="preserve">POSTO LUBAS</t>
  </si>
  <si>
    <t xml:space="preserve">MANUEL DUARTE LUCENA</t>
  </si>
  <si>
    <t xml:space="preserve">SM CACAPAVA</t>
  </si>
  <si>
    <t xml:space="preserve">JOSE ADELINO SANTOS MACHADO</t>
  </si>
  <si>
    <t xml:space="preserve">BAR E MERCEARIA MACHADO</t>
  </si>
  <si>
    <t xml:space="preserve">MAURO ALVES SA</t>
  </si>
  <si>
    <t xml:space="preserve">MENEGHINI E CIA LTDA</t>
  </si>
  <si>
    <t xml:space="preserve">PIZZARIA GIUSEPPE</t>
  </si>
  <si>
    <t xml:space="preserve">FRANCISCA MENCIA</t>
  </si>
  <si>
    <t xml:space="preserve">MERCADO ARM.VAREJO</t>
  </si>
  <si>
    <t xml:space="preserve">PRATIKA CONVENIENCIAS LTDA</t>
  </si>
  <si>
    <t xml:space="preserve">CAMARGO E DICHOFF LTDA</t>
  </si>
  <si>
    <t xml:space="preserve">CAFE DA 15</t>
  </si>
  <si>
    <t xml:space="preserve">ADEMIR BISPO DO CARMO</t>
  </si>
  <si>
    <t xml:space="preserve">IVON SERGIO RAMOS LIMA</t>
  </si>
  <si>
    <t xml:space="preserve">CONVENIENCIA MUTUM</t>
  </si>
  <si>
    <t xml:space="preserve">MERCADO LS</t>
  </si>
  <si>
    <t xml:space="preserve">TS PRODUTOS NAUTICOS LTDA</t>
  </si>
  <si>
    <t xml:space="preserve">VARGAS PETROLEO LTDA</t>
  </si>
  <si>
    <t xml:space="preserve">AVELINO ROHOD</t>
  </si>
  <si>
    <t xml:space="preserve">CASA BOA SORTE</t>
  </si>
  <si>
    <t xml:space="preserve">MARIA MADALENA ROLON ROMERO</t>
  </si>
  <si>
    <t xml:space="preserve">CASA SANTO ANTONIO</t>
  </si>
  <si>
    <t xml:space="preserve">CAMPOS E SERAFIM LTDA ME</t>
  </si>
  <si>
    <t xml:space="preserve">DROGARIA SAO LUIZ</t>
  </si>
  <si>
    <t xml:space="preserve">POROROCA AUTO POSTO 2 LTDA</t>
  </si>
  <si>
    <t xml:space="preserve">POROROCA AUTO POSTO</t>
  </si>
  <si>
    <t xml:space="preserve">ELIZABETH VOLKOPF</t>
  </si>
  <si>
    <t xml:space="preserve">GONCALO E CIA LTDA EPP</t>
  </si>
  <si>
    <t xml:space="preserve">FARMACIA MENINO DEUS</t>
  </si>
  <si>
    <t xml:space="preserve">F F DA SILVA</t>
  </si>
  <si>
    <t xml:space="preserve">ADAO MANOEL LIMA</t>
  </si>
  <si>
    <t xml:space="preserve">PANIF E CONF OURO VERDE</t>
  </si>
  <si>
    <t xml:space="preserve">LOPES E CANUTO LTDA</t>
  </si>
  <si>
    <t xml:space="preserve">AUTO POSTO STA CLARA</t>
  </si>
  <si>
    <t xml:space="preserve">RANGEL COSTA DO AMARAL</t>
  </si>
  <si>
    <t xml:space="preserve">FORMA VIDA 2</t>
  </si>
  <si>
    <t xml:space="preserve">GILSON GABRIEL DE SOUZA</t>
  </si>
  <si>
    <t xml:space="preserve">BAR E MERCEARIA SAO GABRIEL</t>
  </si>
  <si>
    <t xml:space="preserve">DENISON LEAL BORGES ME</t>
  </si>
  <si>
    <t xml:space="preserve">COMPLETA VETERINARIA</t>
  </si>
  <si>
    <t xml:space="preserve">CELIA SHIZUKO FUZIKI YAMADA HIRAMA</t>
  </si>
  <si>
    <t xml:space="preserve">SACOLAO PRUDENTE</t>
  </si>
  <si>
    <t xml:space="preserve">GUILERMINA ANACLETO GARCIA</t>
  </si>
  <si>
    <t xml:space="preserve">MERCADINHO PONTO ALTO</t>
  </si>
  <si>
    <t xml:space="preserve">ALEXANDRE LUIZ CARNEIRO</t>
  </si>
  <si>
    <t xml:space="preserve">CONV. JOAQUIM MURTINHO</t>
  </si>
  <si>
    <t xml:space="preserve">SIMEON CHAVES</t>
  </si>
  <si>
    <t xml:space="preserve">CASA ITAIPU</t>
  </si>
  <si>
    <t xml:space="preserve">RANCHO DO PESCADOR LTDA</t>
  </si>
  <si>
    <t xml:space="preserve">NEUZA PATRONI DUARTE DA SILVA</t>
  </si>
  <si>
    <t xml:space="preserve">MERCADO DUARTE</t>
  </si>
  <si>
    <t xml:space="preserve">SUPERMERCADO LEOMAR BOTEGA LTDA</t>
  </si>
  <si>
    <t xml:space="preserve">CEREALISTA FORMIGAO LTDA</t>
  </si>
  <si>
    <t xml:space="preserve">MERCADO PALBOCK</t>
  </si>
  <si>
    <t xml:space="preserve">HONEIDE O FERREIRA</t>
  </si>
  <si>
    <t xml:space="preserve">MERCEARIA JARDIM BELA VISTA</t>
  </si>
  <si>
    <t xml:space="preserve">VERA LUCIA VALIN ME</t>
  </si>
  <si>
    <t xml:space="preserve">VITORIA HOTEL</t>
  </si>
  <si>
    <t xml:space="preserve">NEECI PEREIRA OLIVEIRA</t>
  </si>
  <si>
    <t xml:space="preserve">CARDAPIOS RESTAURANTE</t>
  </si>
  <si>
    <t xml:space="preserve">EMILIO ISSAMU HIRAMA</t>
  </si>
  <si>
    <t xml:space="preserve">SM ENCONTA</t>
  </si>
  <si>
    <t xml:space="preserve">ASSIS E PASSOS LTDA</t>
  </si>
  <si>
    <t xml:space="preserve">ASSIS E PASSOS</t>
  </si>
  <si>
    <t xml:space="preserve">EL SHADAY PAPELARIA EMPREENDEDOR MS L</t>
  </si>
  <si>
    <t xml:space="preserve">PAPELARIA EL SHADAY</t>
  </si>
  <si>
    <t xml:space="preserve">VANTOILLES T MACHADO SILVEIRA</t>
  </si>
  <si>
    <t xml:space="preserve">PIZZARIA RECANTO</t>
  </si>
  <si>
    <t xml:space="preserve">SIMONE TABARO</t>
  </si>
  <si>
    <t xml:space="preserve">ATACADO 2000 COM EXPORTACAO</t>
  </si>
  <si>
    <t xml:space="preserve">LINO ALVES FERNANDES</t>
  </si>
  <si>
    <t xml:space="preserve">MINI MERC VINICIUS</t>
  </si>
  <si>
    <t xml:space="preserve">ANTONIO RAPOSO DE SOUZA</t>
  </si>
  <si>
    <t xml:space="preserve">SM FAVORITO</t>
  </si>
  <si>
    <t xml:space="preserve">AGUEDA BEATRIZ DA SILVA MESSIAS</t>
  </si>
  <si>
    <t xml:space="preserve">MERCEARIA SETE QUEDAS</t>
  </si>
  <si>
    <t xml:space="preserve">COMERCIAL TUPY LTDA</t>
  </si>
  <si>
    <t xml:space="preserve">COMERCIAL TUPY</t>
  </si>
  <si>
    <t xml:space="preserve">CARLOS ALBERTO MORITA</t>
  </si>
  <si>
    <t xml:space="preserve">MERCEARIA OSIRO</t>
  </si>
  <si>
    <t xml:space="preserve">MARIA O DA SILVA</t>
  </si>
  <si>
    <t xml:space="preserve">MERCEARIA DO PAPAI</t>
  </si>
  <si>
    <t xml:space="preserve">DLAMARIE CABELO E ESTETICA LTDA</t>
  </si>
  <si>
    <t xml:space="preserve">D LAMARIE</t>
  </si>
  <si>
    <t xml:space="preserve">SOUZA E REVERTIDO LTDA</t>
  </si>
  <si>
    <t xml:space="preserve">MERCADO AMERICA</t>
  </si>
  <si>
    <t xml:space="preserve">DEMYS R MIYASHIRO</t>
  </si>
  <si>
    <t xml:space="preserve">MERCEARIA BRASILIA</t>
  </si>
  <si>
    <t xml:space="preserve">MOPER MATERIAIS DE CONSTRUCAO LTDA</t>
  </si>
  <si>
    <t xml:space="preserve">MOPER MATERIAIS</t>
  </si>
  <si>
    <t xml:space="preserve">MOPER</t>
  </si>
  <si>
    <t xml:space="preserve">RESIDENCE HOTEL LTDA</t>
  </si>
  <si>
    <t xml:space="preserve">RESIDENCE HOTEL</t>
  </si>
  <si>
    <t xml:space="preserve">BERNADINO MOREIRA SANTANA</t>
  </si>
  <si>
    <t xml:space="preserve">COMERCIAL SANSIL</t>
  </si>
  <si>
    <t xml:space="preserve">V S RODRIGUES</t>
  </si>
  <si>
    <t xml:space="preserve">TUCANOS LANCHES</t>
  </si>
  <si>
    <t xml:space="preserve">ALMEIDA E MELLO LTDA</t>
  </si>
  <si>
    <t xml:space="preserve">PANIFICADORA ARAKAKI</t>
  </si>
  <si>
    <t xml:space="preserve">ISAC HONORATO BARBOSA</t>
  </si>
  <si>
    <t xml:space="preserve">SM STA MARIA</t>
  </si>
  <si>
    <t xml:space="preserve">FRANCISCO F GONCALVES</t>
  </si>
  <si>
    <t xml:space="preserve">MINI MERCADO NANDO</t>
  </si>
  <si>
    <t xml:space="preserve">PEDRO FRANCISCO SILVA</t>
  </si>
  <si>
    <t xml:space="preserve">AQUARIUS NATURAL BAR</t>
  </si>
  <si>
    <t xml:space="preserve">SERVAT E TURRA LTDA</t>
  </si>
  <si>
    <t xml:space="preserve">D.D.D. PADARIA CONV. E CONV.</t>
  </si>
  <si>
    <t xml:space="preserve">PADARIA OM LTDA</t>
  </si>
  <si>
    <t xml:space="preserve">PADARIA PAO KI DELICIA</t>
  </si>
  <si>
    <t xml:space="preserve">TURCHIELLO E TURCHIELLO LTDA</t>
  </si>
  <si>
    <t xml:space="preserve">PAGE AUTO POSTO</t>
  </si>
  <si>
    <t xml:space="preserve">A MARTINS SILVA</t>
  </si>
  <si>
    <t xml:space="preserve">COMERCIAL SANTO ANTONIO</t>
  </si>
  <si>
    <t xml:space="preserve">LAURO HENRIQUE NERY RAMOS</t>
  </si>
  <si>
    <t xml:space="preserve">CONV</t>
  </si>
  <si>
    <t xml:space="preserve">JA 1000 COMERCIO E CONVENIENCIAS LTDA</t>
  </si>
  <si>
    <t xml:space="preserve">J.A 1.000 DOCES E CONVENIENCIA</t>
  </si>
  <si>
    <t xml:space="preserve">FRONTAL COMERCIAL LTDA</t>
  </si>
  <si>
    <t xml:space="preserve">BRIOLIMP</t>
  </si>
  <si>
    <t xml:space="preserve">IGREJA BATISTA BOAS NOVAS</t>
  </si>
  <si>
    <t xml:space="preserve">KATIA CRISTINA JORGE BATISTA</t>
  </si>
  <si>
    <t xml:space="preserve">JB PROD.HORTIFRUTIGRANGEIROS</t>
  </si>
  <si>
    <t xml:space="preserve">ASSOCIACAO RECANTO SAO JOAO BOSCO ARSJB </t>
  </si>
  <si>
    <t xml:space="preserve">RECANTO SAO JOAO BOSCO</t>
  </si>
  <si>
    <t xml:space="preserve">NILZA DOS SANTOS ROZA</t>
  </si>
  <si>
    <t xml:space="preserve">MERC UNIAO</t>
  </si>
  <si>
    <t xml:space="preserve">J RODRIGUES VIEIRA</t>
  </si>
  <si>
    <t xml:space="preserve">MERCEARIA POXOREO</t>
  </si>
  <si>
    <t xml:space="preserve">DENISE MALJAARS</t>
  </si>
  <si>
    <t xml:space="preserve">LANCHONETE PAPAGAIOS</t>
  </si>
  <si>
    <t xml:space="preserve">J ANTONIO DE SOUZA</t>
  </si>
  <si>
    <t xml:space="preserve">SUPERMERCADO SP LTDA</t>
  </si>
  <si>
    <t xml:space="preserve">SM S.P</t>
  </si>
  <si>
    <t xml:space="preserve">WILSON FELIX</t>
  </si>
  <si>
    <t xml:space="preserve">WILSON MERC E CONV</t>
  </si>
  <si>
    <t xml:space="preserve">MASTER CONVENIENCIA LTDA</t>
  </si>
  <si>
    <t xml:space="preserve">MASTER CONVENIENCIA</t>
  </si>
  <si>
    <t xml:space="preserve">RESTAURANTE E PIZZARIA V AZEVEDO LTDA</t>
  </si>
  <si>
    <t xml:space="preserve">PALADAR GRILL</t>
  </si>
  <si>
    <t xml:space="preserve">MERCADO CONQUISTA LTDA</t>
  </si>
  <si>
    <t xml:space="preserve">GUSTAVO DORIGAO</t>
  </si>
  <si>
    <t xml:space="preserve">PANIFICADORA BIG PAO</t>
  </si>
  <si>
    <t xml:space="preserve">ADENILDA ALVES DE OLIVEIRA</t>
  </si>
  <si>
    <t xml:space="preserve">NIEHUES E NIEHUES LTDA</t>
  </si>
  <si>
    <t xml:space="preserve">AUTO POSTO CONFIANCA</t>
  </si>
  <si>
    <t xml:space="preserve">JOSE LEONARDO AGUILAR AZEVEDO</t>
  </si>
  <si>
    <t xml:space="preserve">SUPERMERCADO CRISTAL</t>
  </si>
  <si>
    <t xml:space="preserve">J L A AZEVEDO EIRELI</t>
  </si>
  <si>
    <t xml:space="preserve">SUPERMERCADO CRISLAW II</t>
  </si>
  <si>
    <t xml:space="preserve">GIOVANNI THOMAZ DE FREITAS</t>
  </si>
  <si>
    <t xml:space="preserve">IRMAOS RAMIREZ LTDA</t>
  </si>
  <si>
    <t xml:space="preserve">AUTO POSTO 2001</t>
  </si>
  <si>
    <t xml:space="preserve">PALMERI PRODUTOS ALIMENTICIOS LTDA</t>
  </si>
  <si>
    <t xml:space="preserve">SUPERMERCADO TREVO</t>
  </si>
  <si>
    <t xml:space="preserve">NEY DE SOUZA FIGUEIREDO</t>
  </si>
  <si>
    <t xml:space="preserve">MERCADO E PADARIA DO NEY</t>
  </si>
  <si>
    <t xml:space="preserve">OSHIRO, NOGUEIRA E CIA</t>
  </si>
  <si>
    <t xml:space="preserve">LANCHONETE SANTA CASA</t>
  </si>
  <si>
    <t xml:space="preserve">WETIGA HOTEL LTDA</t>
  </si>
  <si>
    <t xml:space="preserve">HOTEL WETEGA</t>
  </si>
  <si>
    <t xml:space="preserve">ESPACO VIP REVISTARIA CONVENIENCIA</t>
  </si>
  <si>
    <t xml:space="preserve">ESPA?O VIP</t>
  </si>
  <si>
    <t xml:space="preserve">POUSADA DEI FIORI LTDA</t>
  </si>
  <si>
    <t xml:space="preserve">POUSADA DEI FIORI</t>
  </si>
  <si>
    <t xml:space="preserve">TUTOMU GUNJI</t>
  </si>
  <si>
    <t xml:space="preserve">M SANTOS SECOS E MOLHADOS</t>
  </si>
  <si>
    <t xml:space="preserve">PADARIA IRMAOS MILHOMEM</t>
  </si>
  <si>
    <t xml:space="preserve">COMERCIAL DE ALIMENTOS MORENO LTDA</t>
  </si>
  <si>
    <t xml:space="preserve">VILMA DE OLIVEIRA FRANCA</t>
  </si>
  <si>
    <t xml:space="preserve">TEONILO BARBOSA DA SILVA</t>
  </si>
  <si>
    <t xml:space="preserve">CASA BARBOSA</t>
  </si>
  <si>
    <t xml:space="preserve">IRMAOS GP COMERCIO E REPRESENTACOES LTDA</t>
  </si>
  <si>
    <t xml:space="preserve">REDEMS IRMAOS GP</t>
  </si>
  <si>
    <t xml:space="preserve">RONIS ELIAS VENIER</t>
  </si>
  <si>
    <t xml:space="preserve">LEON CENTER - MERC BELA VISTA</t>
  </si>
  <si>
    <t xml:space="preserve">LOURACY FARIAS SODRE E CIA LTDA</t>
  </si>
  <si>
    <t xml:space="preserve">CASA FARIAS</t>
  </si>
  <si>
    <t xml:space="preserve">EDILSON ALVES BONFIM</t>
  </si>
  <si>
    <t xml:space="preserve">MERCEARIA BONFIM</t>
  </si>
  <si>
    <t xml:space="preserve">ADRIANO BORGES TOSCANO</t>
  </si>
  <si>
    <t xml:space="preserve">PADARIA TOSCANO</t>
  </si>
  <si>
    <t xml:space="preserve">GODOY E OLIVEIRA LTDA</t>
  </si>
  <si>
    <t xml:space="preserve">MOTEL VILA RICA</t>
  </si>
  <si>
    <t xml:space="preserve">MOTEIS VILA RICA - FILIAL</t>
  </si>
  <si>
    <t xml:space="preserve">MARCIO ROBERTO DIAS VIEIRA</t>
  </si>
  <si>
    <t xml:space="preserve">DANIEL DIAS</t>
  </si>
  <si>
    <t xml:space="preserve">ANTONIO CARLOS FRAGOSO</t>
  </si>
  <si>
    <t xml:space="preserve">CONV TAPAJOS</t>
  </si>
  <si>
    <t xml:space="preserve">POUSADA SOL AMARELO LTDA</t>
  </si>
  <si>
    <t xml:space="preserve">POUSADA SOL AMARELO</t>
  </si>
  <si>
    <t xml:space="preserve">BETH SALEM BAZAR E PAPE  LTDA</t>
  </si>
  <si>
    <t xml:space="preserve">PAULO GONCALVES DA SILVA</t>
  </si>
  <si>
    <t xml:space="preserve">AGROPECUARIA TRESLAGOENSE LTDA</t>
  </si>
  <si>
    <t xml:space="preserve">AGROPECUARIA TRESLAGOENSE</t>
  </si>
  <si>
    <t xml:space="preserve">DUO E CIA LTDA ME</t>
  </si>
  <si>
    <t xml:space="preserve">DUO E CIA</t>
  </si>
  <si>
    <t xml:space="preserve">DROGARIA ITAPORA LTDA</t>
  </si>
  <si>
    <t xml:space="preserve">DROGARIA ITAPORA</t>
  </si>
  <si>
    <t xml:space="preserve">COMERCIAL OLIVEIRA NUNES LTDA</t>
  </si>
  <si>
    <t xml:space="preserve">CVN MIGUEIS</t>
  </si>
  <si>
    <t xml:space="preserve">CELEIRO</t>
  </si>
  <si>
    <t xml:space="preserve">C V N MIGUEIS</t>
  </si>
  <si>
    <t xml:space="preserve">CONVENIENCIA SAO CRISTOVAO</t>
  </si>
  <si>
    <t xml:space="preserve">EDEVIAR LORENZON</t>
  </si>
  <si>
    <t xml:space="preserve">R FERNANDES</t>
  </si>
  <si>
    <t xml:space="preserve">COMERCIAL R FENANDES</t>
  </si>
  <si>
    <t xml:space="preserve">SUPERMERCADO SANTOS E ALVES LTDA</t>
  </si>
  <si>
    <t xml:space="preserve">SM FLOR DO VALE II</t>
  </si>
  <si>
    <t xml:space="preserve">PANIFICADORA E CONFEIT SANTA MARIA LTDA </t>
  </si>
  <si>
    <t xml:space="preserve">PANIF CONF JD DOS ESTADOS</t>
  </si>
  <si>
    <t xml:space="preserve">NUNES E FREITAS LTDA</t>
  </si>
  <si>
    <t xml:space="preserve">FAVORITOS SUPERMERCADOS</t>
  </si>
  <si>
    <t xml:space="preserve">VERA LUCIA GEJAO SALGUEIRO</t>
  </si>
  <si>
    <t xml:space="preserve">PANIF MASHMELLOW</t>
  </si>
  <si>
    <t xml:space="preserve">JONNY A BERWANGER</t>
  </si>
  <si>
    <t xml:space="preserve">VALTER DOMINGUES DE AMORIM</t>
  </si>
  <si>
    <t xml:space="preserve">MARYSETH PEREZ E FILHAS LTDA</t>
  </si>
  <si>
    <t xml:space="preserve">ADRIANA NODAS</t>
  </si>
  <si>
    <t xml:space="preserve">MARIA ANTONIA TOSTA</t>
  </si>
  <si>
    <t xml:space="preserve">MINI MERCADO ELAINE</t>
  </si>
  <si>
    <t xml:space="preserve">CIRILO SALINA</t>
  </si>
  <si>
    <t xml:space="preserve">CASA PROGRESSO</t>
  </si>
  <si>
    <t xml:space="preserve">ARI SILVA ME</t>
  </si>
  <si>
    <t xml:space="preserve">M A CAETANO</t>
  </si>
  <si>
    <t xml:space="preserve">POSTO FRANCA LTDA</t>
  </si>
  <si>
    <t xml:space="preserve">BRED BEER CONVENIENCIA</t>
  </si>
  <si>
    <t xml:space="preserve">MUGARTE E LIMA LTDA</t>
  </si>
  <si>
    <t xml:space="preserve">M L LAKABACA</t>
  </si>
  <si>
    <t xml:space="preserve">MARTA NUNES CORDEIRO</t>
  </si>
  <si>
    <t xml:space="preserve">WETTERS E CIA LTDA</t>
  </si>
  <si>
    <t xml:space="preserve">CORBALAN E SILVA LTDA</t>
  </si>
  <si>
    <t xml:space="preserve">RAINHA COSMETICO</t>
  </si>
  <si>
    <t xml:space="preserve">SP CEN ATIVIDADE FISICA IND LTDA</t>
  </si>
  <si>
    <t xml:space="preserve">SP PERSONAL TRAINIMG</t>
  </si>
  <si>
    <t xml:space="preserve">PANIF E CONVEN POZZOBOM LTDA</t>
  </si>
  <si>
    <t xml:space="preserve">CASTOR E SILVA LTDA</t>
  </si>
  <si>
    <t xml:space="preserve">FESTIUM CONVENIENCIA</t>
  </si>
  <si>
    <t xml:space="preserve">DROGARIA ALVORADA LTDA</t>
  </si>
  <si>
    <t xml:space="preserve">DROGARIA ALVORADA</t>
  </si>
  <si>
    <t xml:space="preserve">CENTRO DE ATIVIDADE FISICA LTDA</t>
  </si>
  <si>
    <t xml:space="preserve">WELL SPORT</t>
  </si>
  <si>
    <t xml:space="preserve">OSVALDO MARQUES SOUZA</t>
  </si>
  <si>
    <t xml:space="preserve">SM CASA MARUQES</t>
  </si>
  <si>
    <t xml:space="preserve">ASSOCIACAO ATLETICA BANCO DO BRASIL</t>
  </si>
  <si>
    <t xml:space="preserve">A.A.B.B</t>
  </si>
  <si>
    <t xml:space="preserve">J MARINHO DA SILVA</t>
  </si>
  <si>
    <t xml:space="preserve">AUTO POSTO SAO JOSE</t>
  </si>
  <si>
    <t xml:space="preserve">JOAO GOMES DOS SANTOS JUNIOR</t>
  </si>
  <si>
    <t xml:space="preserve">MINI MERCADO DHIEGO</t>
  </si>
  <si>
    <t xml:space="preserve">E B CANTO</t>
  </si>
  <si>
    <t xml:space="preserve">RESTAURANTE KI-XODO</t>
  </si>
  <si>
    <t xml:space="preserve">PRODUQUIMICA COM PROD DE LIMPEZA LTDA</t>
  </si>
  <si>
    <t xml:space="preserve">PRODUQUIMICA</t>
  </si>
  <si>
    <t xml:space="preserve">PEREIRA E SANTOS LTDA</t>
  </si>
  <si>
    <t xml:space="preserve">IVANDA ALVES DE CASTRO</t>
  </si>
  <si>
    <t xml:space="preserve">SORVETERIA PONTO FRIO</t>
  </si>
  <si>
    <t xml:space="preserve">ASTRA SUPERMERCADO LTDA</t>
  </si>
  <si>
    <t xml:space="preserve">ASTRA SUPERMERCADO</t>
  </si>
  <si>
    <t xml:space="preserve">PONCIANO OLIVEIRA E CIA LTDA</t>
  </si>
  <si>
    <t xml:space="preserve">CRISTALDO E MARTINS LTDA</t>
  </si>
  <si>
    <t xml:space="preserve">MERCADO VITORIA II</t>
  </si>
  <si>
    <t xml:space="preserve">POSTO 11 LTDA</t>
  </si>
  <si>
    <t xml:space="preserve">POSTO 11</t>
  </si>
  <si>
    <t xml:space="preserve">MAGOICHI NASU</t>
  </si>
  <si>
    <t xml:space="preserve">MERCEARIA NASA</t>
  </si>
  <si>
    <t xml:space="preserve">CORDIL MATA DO JAC E CONVENI LTDA</t>
  </si>
  <si>
    <t xml:space="preserve">CONVENIENCIA MATA DO JACINTO</t>
  </si>
  <si>
    <t xml:space="preserve">ROSANGELA JORGE DA SILVA</t>
  </si>
  <si>
    <t xml:space="preserve">PAPA LEGUA</t>
  </si>
  <si>
    <t xml:space="preserve">ANTONIO NABIA</t>
  </si>
  <si>
    <t xml:space="preserve">COMERCIAL LUPASI</t>
  </si>
  <si>
    <t xml:space="preserve">JANDAIA HOTEL LTDA</t>
  </si>
  <si>
    <t xml:space="preserve">JANDAIA HOTEL</t>
  </si>
  <si>
    <t xml:space="preserve">RONALDO GASQUE SUARES</t>
  </si>
  <si>
    <t xml:space="preserve">FLORICUTURA PRIMAVERA</t>
  </si>
  <si>
    <t xml:space="preserve">SANTOS E LIMA LTDA</t>
  </si>
  <si>
    <t xml:space="preserve">SM FERREIRA</t>
  </si>
  <si>
    <t xml:space="preserve">DUARTE E CORREIA LTDA</t>
  </si>
  <si>
    <t xml:space="preserve">OK FRUTAS</t>
  </si>
  <si>
    <t xml:space="preserve">MERCADO TRES PLUMAS LTDA</t>
  </si>
  <si>
    <t xml:space="preserve">M A R RIBEIRO MERCADO</t>
  </si>
  <si>
    <t xml:space="preserve">MERCADINHO SORRISO</t>
  </si>
  <si>
    <t xml:space="preserve">COAN E TRAZZI LTDA</t>
  </si>
  <si>
    <t xml:space="preserve">SM FRAN</t>
  </si>
  <si>
    <t xml:space="preserve">GIVANILDO GAUNA PADARIA</t>
  </si>
  <si>
    <t xml:space="preserve">PANIF E LANCH REQUINTE</t>
  </si>
  <si>
    <t xml:space="preserve">ALBA E LAMEN LTDA</t>
  </si>
  <si>
    <t xml:space="preserve">TRANSGAZ</t>
  </si>
  <si>
    <t xml:space="preserve">SALES E SILVA LTDA</t>
  </si>
  <si>
    <t xml:space="preserve">DROGARIA FARMATOTAL</t>
  </si>
  <si>
    <t xml:space="preserve">COMERCIAL MARTINS</t>
  </si>
  <si>
    <t xml:space="preserve">LUCIENE POLIZEL TAVARES OLIVEIRA</t>
  </si>
  <si>
    <t xml:space="preserve">MERCADO INTERLAGOS</t>
  </si>
  <si>
    <t xml:space="preserve">MARIA APARECIDA DE SOUZA RESTAURANTE</t>
  </si>
  <si>
    <t xml:space="preserve">LANCH REST PARADA SERTANEJA</t>
  </si>
  <si>
    <t xml:space="preserve">LUZIA DIAS DA FONSECA</t>
  </si>
  <si>
    <t xml:space="preserve">JAGUARAO CONVENIENCIAS</t>
  </si>
  <si>
    <t xml:space="preserve">GHREISLE TATIANNE APPARECIDA MARTINS</t>
  </si>
  <si>
    <t xml:space="preserve">ALIMENTOS NEIVA LTDA</t>
  </si>
  <si>
    <t xml:space="preserve">PANIF E CONF NEIVA</t>
  </si>
  <si>
    <t xml:space="preserve">LEIDA ROSA DE MATOS</t>
  </si>
  <si>
    <t xml:space="preserve">FINO SABOR</t>
  </si>
  <si>
    <t xml:space="preserve">FAZ SAN FRANCISCO AGRO ECOTURISMO LTDA  </t>
  </si>
  <si>
    <t xml:space="preserve">FAZ SAN FRANCISCO AGRO-ECOTU</t>
  </si>
  <si>
    <t xml:space="preserve">EVERSON CORREA</t>
  </si>
  <si>
    <t xml:space="preserve">KALIFAS RESTAURANTE</t>
  </si>
  <si>
    <t xml:space="preserve">MARIA ROSA RODRIGUES</t>
  </si>
  <si>
    <t xml:space="preserve">VIP'S PANIF.E CONVENIENCIA</t>
  </si>
  <si>
    <t xml:space="preserve">SUPERMERCADO DOURADAO COM ALIMENTOS LTDA</t>
  </si>
  <si>
    <t xml:space="preserve">REDE DOURADO</t>
  </si>
  <si>
    <t xml:space="preserve">SUPERMERCADO DOURADAO</t>
  </si>
  <si>
    <t xml:space="preserve">JANDIR FERREIRA GOMES</t>
  </si>
  <si>
    <t xml:space="preserve">ARMAZEM SAO PAULO</t>
  </si>
  <si>
    <t xml:space="preserve">JOAQUIM CHAMBO CASTILHO ME</t>
  </si>
  <si>
    <t xml:space="preserve">MECANICA BRASIL</t>
  </si>
  <si>
    <t xml:space="preserve">LEONEL NEVES ALANO</t>
  </si>
  <si>
    <t xml:space="preserve">HEBSON PADARIA E CONV</t>
  </si>
  <si>
    <t xml:space="preserve">JORNAL DO POVO LTDA</t>
  </si>
  <si>
    <t xml:space="preserve">JORNAL DO POVO</t>
  </si>
  <si>
    <t xml:space="preserve">COMASO COML DE ALIMENTOS SOROCABA LTDA  </t>
  </si>
  <si>
    <t xml:space="preserve">REDE COMPER </t>
  </si>
  <si>
    <t xml:space="preserve">COMPER</t>
  </si>
  <si>
    <t xml:space="preserve">COMASO COMERCIAL DE ALIM SOROCABA LTDA  </t>
  </si>
  <si>
    <t xml:space="preserve">SALES E SALES LTDA</t>
  </si>
  <si>
    <t xml:space="preserve">DROGARIA DROGAMED</t>
  </si>
  <si>
    <t xml:space="preserve">JOELMA IZABEL PEREIRA</t>
  </si>
  <si>
    <t xml:space="preserve">CASA DE CARNE ITALIA</t>
  </si>
  <si>
    <t xml:space="preserve">HELIO MORETTO</t>
  </si>
  <si>
    <t xml:space="preserve">BIFI CHIQUE</t>
  </si>
  <si>
    <t xml:space="preserve">NACIONAL ALIMENTOS LTDA</t>
  </si>
  <si>
    <t xml:space="preserve">SUPERMERCADO NACIONAL</t>
  </si>
  <si>
    <t xml:space="preserve">MARCIA GUIMARAES DA SILVA</t>
  </si>
  <si>
    <t xml:space="preserve">M D B VIERO E CIA LTDA</t>
  </si>
  <si>
    <t xml:space="preserve">POSTO AVENIDA CONV</t>
  </si>
  <si>
    <t xml:space="preserve">ADIR JORGE DINIZ</t>
  </si>
  <si>
    <t xml:space="preserve">PANIFICADORA PAO E CIA</t>
  </si>
  <si>
    <t xml:space="preserve">FRANCISCA MARIA DOS SANTOS</t>
  </si>
  <si>
    <t xml:space="preserve">PANIFICADORA STA TEREZINHA</t>
  </si>
  <si>
    <t xml:space="preserve">POSTO SANTO AFONSO LTDA</t>
  </si>
  <si>
    <t xml:space="preserve">POSTO STO AFONSO</t>
  </si>
  <si>
    <t xml:space="preserve">LA CABACA COM DE PROD ALIMENTICIOS LTDA </t>
  </si>
  <si>
    <t xml:space="preserve">MAX CENTER</t>
  </si>
  <si>
    <t xml:space="preserve">FARMA PRODUTOS FARMACEUTICOS LTDA</t>
  </si>
  <si>
    <t xml:space="preserve">FARMACIA EDONOMICA</t>
  </si>
  <si>
    <t xml:space="preserve">SUPERMERCADO MAX BOM LTDA</t>
  </si>
  <si>
    <t xml:space="preserve">SM MAX BOM</t>
  </si>
  <si>
    <t xml:space="preserve">FATIMA R M SANABRIA</t>
  </si>
  <si>
    <t xml:space="preserve">ACOUGUE DO DIDIER</t>
  </si>
  <si>
    <t xml:space="preserve">MERCADO ECONOMICO DE SONORA LTDA</t>
  </si>
  <si>
    <t xml:space="preserve">JOSE FERREIRA DE ANDRADE</t>
  </si>
  <si>
    <t xml:space="preserve">LANCH RIBEIRO</t>
  </si>
  <si>
    <t xml:space="preserve">CANISSO E CIA LTDA</t>
  </si>
  <si>
    <t xml:space="preserve">CONSUELITA DE BRITO</t>
  </si>
  <si>
    <t xml:space="preserve">SABOROSA CONVENIENCIAS</t>
  </si>
  <si>
    <t xml:space="preserve">VENITOR PIAZER DE MIRANDA MERCADO</t>
  </si>
  <si>
    <t xml:space="preserve">MERCADO VERDAO</t>
  </si>
  <si>
    <t xml:space="preserve">FERNANDA ROSAN LIMA</t>
  </si>
  <si>
    <t xml:space="preserve">PANIF MERC NOSSO PAO</t>
  </si>
  <si>
    <t xml:space="preserve">MINI MERCADO J C LTDA</t>
  </si>
  <si>
    <t xml:space="preserve">P R HICKMANN</t>
  </si>
  <si>
    <t xml:space="preserve">MERCADO SERRANO II</t>
  </si>
  <si>
    <t xml:space="preserve">BEBE BRINQUEDOS E CARRINHO LTDA</t>
  </si>
  <si>
    <t xml:space="preserve">PARANAVAI</t>
  </si>
  <si>
    <t xml:space="preserve">VILLAS COM DE PROD VETERINARIOS EIRELI  </t>
  </si>
  <si>
    <t xml:space="preserve">MASCOTE PET SHOP</t>
  </si>
  <si>
    <t xml:space="preserve">NATARIO E EZOE LTDA</t>
  </si>
  <si>
    <t xml:space="preserve">CASARAO</t>
  </si>
  <si>
    <t xml:space="preserve">COMERCIAL DE ALIMENTOS J G LTDA</t>
  </si>
  <si>
    <t xml:space="preserve">SM CASA PORTUGUESA</t>
  </si>
  <si>
    <t xml:space="preserve">ANA ISENI MESACASA</t>
  </si>
  <si>
    <t xml:space="preserve">LIMA E QUEIROZ LTDA</t>
  </si>
  <si>
    <t xml:space="preserve">TOCA DOS BICHOS PET SHOP</t>
  </si>
  <si>
    <t xml:space="preserve">SANDRA MINHOS QUEIROZ VELTER</t>
  </si>
  <si>
    <t xml:space="preserve">CASA ALIANCA DE MARACAJU LTDA</t>
  </si>
  <si>
    <t xml:space="preserve">CASA ALIANCA</t>
  </si>
  <si>
    <t xml:space="preserve">MERCADAO ALIANCA LTDA</t>
  </si>
  <si>
    <t xml:space="preserve">MERCADAO ALIANCA</t>
  </si>
  <si>
    <t xml:space="preserve">MASSANOLI MURAKAMI</t>
  </si>
  <si>
    <t xml:space="preserve">PADARIA SAO SEBASTIAO LTDA</t>
  </si>
  <si>
    <t xml:space="preserve">PADARIA SAO SEBASTIAO</t>
  </si>
  <si>
    <t xml:space="preserve">PEDRO JOSE DA SILVA</t>
  </si>
  <si>
    <t xml:space="preserve">MACHADO DE LIMA E CIA LTDA</t>
  </si>
  <si>
    <t xml:space="preserve">COMERCIAL LIMOSINE</t>
  </si>
  <si>
    <t xml:space="preserve">YAMAKAWA E CIA LTDA</t>
  </si>
  <si>
    <t xml:space="preserve">VALDEMAR MARQUES DE ANDRADE</t>
  </si>
  <si>
    <t xml:space="preserve">MERCEARIA PLATEADA</t>
  </si>
  <si>
    <t xml:space="preserve">LEO LUIZ CAMELLO</t>
  </si>
  <si>
    <t xml:space="preserve">LANCHONETE RODA VIVA</t>
  </si>
  <si>
    <t xml:space="preserve">SO FESTA EMBALAGENS LTDA</t>
  </si>
  <si>
    <t xml:space="preserve">SO FESTAS</t>
  </si>
  <si>
    <t xml:space="preserve">ODECIO CUENCA SOTERO-LJ02</t>
  </si>
  <si>
    <t xml:space="preserve">SUPERMERCADO CUENCA II</t>
  </si>
  <si>
    <t xml:space="preserve">ODECIO CUENCA SOTERO-LJ03</t>
  </si>
  <si>
    <t xml:space="preserve">SUPERMERCADO CUENCA III</t>
  </si>
  <si>
    <t xml:space="preserve">ODECIO CUENCA SOTERO</t>
  </si>
  <si>
    <t xml:space="preserve">MERCADO CUENCA IV</t>
  </si>
  <si>
    <t xml:space="preserve">CARLOS E CARLOS LTDA</t>
  </si>
  <si>
    <t xml:space="preserve">SUPERMERCARDO SAO CARLOS</t>
  </si>
  <si>
    <t xml:space="preserve">HERMENEGILDO AGOSTINHO</t>
  </si>
  <si>
    <t xml:space="preserve">CENTRAL DE CARNES CARIOCA</t>
  </si>
  <si>
    <t xml:space="preserve">MASSARU OBA</t>
  </si>
  <si>
    <t xml:space="preserve">BAR E MERCEARIA NIPPON</t>
  </si>
  <si>
    <t xml:space="preserve">FARMACIA SANTA CRISTINA LTDA</t>
  </si>
  <si>
    <t xml:space="preserve">FARMACIA SANTA CRISTINA</t>
  </si>
  <si>
    <t xml:space="preserve">EDILEUZA VIEIRA DA SILVA</t>
  </si>
  <si>
    <t xml:space="preserve">CONVENIENCIA JM</t>
  </si>
  <si>
    <t xml:space="preserve">PEREIRA DO NASCIMENTO E CIA LTDA</t>
  </si>
  <si>
    <t xml:space="preserve">SUPERMERCADO VERDAO</t>
  </si>
  <si>
    <t xml:space="preserve">CORREIA E MATIAS LTDA</t>
  </si>
  <si>
    <t xml:space="preserve">CALIFAS</t>
  </si>
  <si>
    <t xml:space="preserve">CORREA E MATIAS LTDA</t>
  </si>
  <si>
    <t xml:space="preserve">CALIFAS CONVENIENCIAS</t>
  </si>
  <si>
    <t xml:space="preserve">TADASHI MIYAZAKI</t>
  </si>
  <si>
    <t xml:space="preserve">FRUTARIA MIYAZAKI</t>
  </si>
  <si>
    <t xml:space="preserve">FILZHUT E PEIXOTO LTDA</t>
  </si>
  <si>
    <t xml:space="preserve">ADAMUCCIO TRANSPORTES LTDA</t>
  </si>
  <si>
    <t xml:space="preserve">ADAMUCCIO TRANSPORTES</t>
  </si>
  <si>
    <t xml:space="preserve">S E OLIVEIRA AVILA E CIA LTDA</t>
  </si>
  <si>
    <t xml:space="preserve">MINI MERCADO INDAIA</t>
  </si>
  <si>
    <t xml:space="preserve">I H ROCHA ME/MS</t>
  </si>
  <si>
    <t xml:space="preserve">MERCADO DOM BOSCO</t>
  </si>
  <si>
    <t xml:space="preserve">M R Z COMERCIAL LTDA</t>
  </si>
  <si>
    <t xml:space="preserve">JUCEMARA GOMES RIBEIRO</t>
  </si>
  <si>
    <t xml:space="preserve">MERCADO NATUREZA</t>
  </si>
  <si>
    <t xml:space="preserve">MARIO SORIANO</t>
  </si>
  <si>
    <t xml:space="preserve">LANCH SABOR E CARNE</t>
  </si>
  <si>
    <t xml:space="preserve">ANTONIO CARDOSO SILVA</t>
  </si>
  <si>
    <t xml:space="preserve">MERCADO CARDOSO</t>
  </si>
  <si>
    <t xml:space="preserve">CALDERAN PALACE HOTEL LTDA</t>
  </si>
  <si>
    <t xml:space="preserve">CALDERAN PALACE HOTEL</t>
  </si>
  <si>
    <t xml:space="preserve">JESUS DA SILVA E CHIMENE LTDA</t>
  </si>
  <si>
    <t xml:space="preserve">SM GRAN DOURADO</t>
  </si>
  <si>
    <t xml:space="preserve">E M SANTOS AQUINO</t>
  </si>
  <si>
    <t xml:space="preserve">MERCADO TRADICAO</t>
  </si>
  <si>
    <t xml:space="preserve">SUPERMERCADO DOM BOSCO LTDA</t>
  </si>
  <si>
    <t xml:space="preserve">SM DOM BOSCO</t>
  </si>
  <si>
    <t xml:space="preserve">M S RAMUNIEH</t>
  </si>
  <si>
    <t xml:space="preserve">CONVENIENCIA POSTO LADARIO</t>
  </si>
  <si>
    <t xml:space="preserve">ORDALINA PEREIRA BRANDAO</t>
  </si>
  <si>
    <t xml:space="preserve">MERCEARIA STA MARTHA</t>
  </si>
  <si>
    <t xml:space="preserve">NILSON CESARIO FIGUEIREDO CRISTALDO</t>
  </si>
  <si>
    <t xml:space="preserve">CASA DOS PAES</t>
  </si>
  <si>
    <t xml:space="preserve">ANTONIO PIRES CARDOSO</t>
  </si>
  <si>
    <t xml:space="preserve">PADARIA BROTINHO</t>
  </si>
  <si>
    <t xml:space="preserve">NELCA ROSA SOUZA DE OLIVEIRA</t>
  </si>
  <si>
    <t xml:space="preserve">MERCADO PAI E FILHA</t>
  </si>
  <si>
    <t xml:space="preserve">RICARDO LEON CORDONE ROJAS</t>
  </si>
  <si>
    <t xml:space="preserve">MERCADO OURO MAIS</t>
  </si>
  <si>
    <t xml:space="preserve">SANCHES BETTIOL E FREITAS LTDA</t>
  </si>
  <si>
    <t xml:space="preserve">PANIFICADORA JOVEM PAN</t>
  </si>
  <si>
    <t xml:space="preserve">PERFUMARIA PONTA PORA LTDA</t>
  </si>
  <si>
    <t xml:space="preserve">PERFUMARIA PONTA PORA</t>
  </si>
  <si>
    <t xml:space="preserve">DELICIA INDUSTRIA E COM DE CARNES LTDA  </t>
  </si>
  <si>
    <t xml:space="preserve">DELICIA CASA DE CARNE</t>
  </si>
  <si>
    <t xml:space="preserve">JOAO RODRIGUES GOMES</t>
  </si>
  <si>
    <t xml:space="preserve">MERCEARIA OURU FINO</t>
  </si>
  <si>
    <t xml:space="preserve">CLEIDE DOS SANTOS E FILHOS LTDA</t>
  </si>
  <si>
    <t xml:space="preserve">SUP SANTOS</t>
  </si>
  <si>
    <t xml:space="preserve">JOSIELI DE ALMEIDA MALDONADO LTDA</t>
  </si>
  <si>
    <t xml:space="preserve">J CARLOS FERREIRA</t>
  </si>
  <si>
    <t xml:space="preserve">LANCHONETE DO CARLITO</t>
  </si>
  <si>
    <t xml:space="preserve">TRANSSUL TRANSPORTE E LOGISTICA LTDA</t>
  </si>
  <si>
    <t xml:space="preserve">TRANSSUL</t>
  </si>
  <si>
    <t xml:space="preserve">MIRANDA E FERREIRA LTDA</t>
  </si>
  <si>
    <t xml:space="preserve">MERCADO E SACOLAO DO MARINHO</t>
  </si>
  <si>
    <t xml:space="preserve">FERNANDA P DE SOUZA</t>
  </si>
  <si>
    <t xml:space="preserve">AGRO PEC</t>
  </si>
  <si>
    <t xml:space="preserve">NELSON FERNANDES CAMPOS</t>
  </si>
  <si>
    <t xml:space="preserve">BAR E MERC PROGRESSO</t>
  </si>
  <si>
    <t xml:space="preserve">JAIME BERTOLDI</t>
  </si>
  <si>
    <t xml:space="preserve">CANTINA ITALIANA</t>
  </si>
  <si>
    <t xml:space="preserve">ATALANTA EXPRESS LTDA</t>
  </si>
  <si>
    <t xml:space="preserve">ATALANTA EXPRESS</t>
  </si>
  <si>
    <t xml:space="preserve">CLEIDE DE PAULA FARIA FAVERO</t>
  </si>
  <si>
    <t xml:space="preserve">REDE PAN DE POSTOS E SERVICOS LTDA</t>
  </si>
  <si>
    <t xml:space="preserve">POSTO SANTA MARIA</t>
  </si>
  <si>
    <t xml:space="preserve">INEZ DOS SANTOS PEREIRA</t>
  </si>
  <si>
    <t xml:space="preserve">J THOMAZ</t>
  </si>
  <si>
    <t xml:space="preserve">ELIETE DE MIRANDA GUESSY</t>
  </si>
  <si>
    <t xml:space="preserve">HOTEL ALPHAVILLE LTDA</t>
  </si>
  <si>
    <t xml:space="preserve">HOTEL ALPHAVILLE</t>
  </si>
  <si>
    <t xml:space="preserve">CARLOS ALBERTO DA MOTA</t>
  </si>
  <si>
    <t xml:space="preserve">COMERCIAL MOTA</t>
  </si>
  <si>
    <t xml:space="preserve">COMERCIAL TERRA BOA LTDA EPP</t>
  </si>
  <si>
    <t xml:space="preserve">COMERCIAL TERRA BOA</t>
  </si>
  <si>
    <t xml:space="preserve">ANA R TORRES</t>
  </si>
  <si>
    <t xml:space="preserve">POSTO GUANANDY</t>
  </si>
  <si>
    <t xml:space="preserve">GENTIL VIEIRA MARQUES JUNIOR</t>
  </si>
  <si>
    <t xml:space="preserve">OLARSY NUNES CRISTALDO</t>
  </si>
  <si>
    <t xml:space="preserve">MERCADO KAREM</t>
  </si>
  <si>
    <t xml:space="preserve">DEMAMANN E FEITOSA LTDA</t>
  </si>
  <si>
    <t xml:space="preserve">TCHE CONVENIENCIAS</t>
  </si>
  <si>
    <t xml:space="preserve">DROGARIA IRACI COELHO LTDA ME</t>
  </si>
  <si>
    <t xml:space="preserve">DROGARIA IRACI COELHO</t>
  </si>
  <si>
    <t xml:space="preserve">CANTINA MAMMA ITALIA LTDA</t>
  </si>
  <si>
    <t xml:space="preserve">PIZZARIA MAMMA ITALIA</t>
  </si>
  <si>
    <t xml:space="preserve">GEASI RIBEIRO DA SILVA</t>
  </si>
  <si>
    <t xml:space="preserve">LANCHONETE SUZI</t>
  </si>
  <si>
    <t xml:space="preserve">P DOS SANTOS PANIFICADORA</t>
  </si>
  <si>
    <t xml:space="preserve">PANF POPULAR</t>
  </si>
  <si>
    <t xml:space="preserve">IZAURA RAIMUNDO AMATE</t>
  </si>
  <si>
    <t xml:space="preserve">MERCEARIA DO SILVIO</t>
  </si>
  <si>
    <t xml:space="preserve">JOAO FERNANDES GUIMARES</t>
  </si>
  <si>
    <t xml:space="preserve">CASA SAO JOAO</t>
  </si>
  <si>
    <t xml:space="preserve">MA SEVERO</t>
  </si>
  <si>
    <t xml:space="preserve">MERCADINHO SERVE BEM LTDA</t>
  </si>
  <si>
    <t xml:space="preserve">MEIRE SUZANA BAO</t>
  </si>
  <si>
    <t xml:space="preserve">CHUR LACO DE OURO</t>
  </si>
  <si>
    <t xml:space="preserve">CRUZ E SANTANA LTDA</t>
  </si>
  <si>
    <t xml:space="preserve">GALERIA DOS PAES CONVENIENCIA</t>
  </si>
  <si>
    <t xml:space="preserve">S K SALAME E CIA LTDA</t>
  </si>
  <si>
    <t xml:space="preserve">PADARIA E CONV.SALOMAO</t>
  </si>
  <si>
    <t xml:space="preserve">PANIF SALAMAO</t>
  </si>
  <si>
    <t xml:space="preserve">ALEXANDRE HENRIQUE LIZIERO</t>
  </si>
  <si>
    <t xml:space="preserve">MERCEARIA NOVO MILENIUM</t>
  </si>
  <si>
    <t xml:space="preserve">JOSE GIBIM NETO</t>
  </si>
  <si>
    <t xml:space="preserve">AUTO POSTO MURTINHENSE</t>
  </si>
  <si>
    <t xml:space="preserve">NILTO DEITOS</t>
  </si>
  <si>
    <t xml:space="preserve">MERCADO MANOS</t>
  </si>
  <si>
    <t xml:space="preserve">PATRICIA VANZO DA SILVA</t>
  </si>
  <si>
    <t xml:space="preserve">CASA DE CARNE SANTO ANTONIO</t>
  </si>
  <si>
    <t xml:space="preserve">CAFFARENA E JUNQUEIRA LTDA</t>
  </si>
  <si>
    <t xml:space="preserve">COM LIRIOS</t>
  </si>
  <si>
    <t xml:space="preserve">GENIEL SANCHES PERES</t>
  </si>
  <si>
    <t xml:space="preserve">MERCEARIA CONVENIENCIA 2000</t>
  </si>
  <si>
    <t xml:space="preserve">MINEMERCADO RIBAMAR LTDA</t>
  </si>
  <si>
    <t xml:space="preserve">MINI MERCADO RIBAMAR</t>
  </si>
  <si>
    <t xml:space="preserve">HOTEL E LAVANDERIA PRUDENTAO LTDA</t>
  </si>
  <si>
    <t xml:space="preserve">POSTO PRUDENTAO</t>
  </si>
  <si>
    <t xml:space="preserve">PIZZARIA DA MAMA LTDA ME</t>
  </si>
  <si>
    <t xml:space="preserve">PIZZARIA DA MAMA</t>
  </si>
  <si>
    <t xml:space="preserve">A C DE ABREU CHURRASCARIA</t>
  </si>
  <si>
    <t xml:space="preserve">CHURRASCARIA GALLETO</t>
  </si>
  <si>
    <t xml:space="preserve">VAGNER DE OLIVEIRA</t>
  </si>
  <si>
    <t xml:space="preserve">AGROPECUARIA VAGAO</t>
  </si>
  <si>
    <t xml:space="preserve">JOSE APARECIDO DOS SANTOS MINE MERCADO  </t>
  </si>
  <si>
    <t xml:space="preserve">MINI MERCADO NSRA APARECIDA</t>
  </si>
  <si>
    <t xml:space="preserve">FARIA E SILVA LTDA</t>
  </si>
  <si>
    <t xml:space="preserve">CONVENIENCIA VILARINHO</t>
  </si>
  <si>
    <t xml:space="preserve">IVONE APARECIDA DE CARVALHO OLIVEIRA</t>
  </si>
  <si>
    <t xml:space="preserve">MERCADORAMA</t>
  </si>
  <si>
    <t xml:space="preserve">ART SERVICE SOLU€OES &amp; LOGISTICA</t>
  </si>
  <si>
    <t xml:space="preserve">ART-SERVICES</t>
  </si>
  <si>
    <t xml:space="preserve">ART SERVICES SOLU€OES &amp; LOGISTICA</t>
  </si>
  <si>
    <t xml:space="preserve">REGINA MAURA PEDROSSIAN</t>
  </si>
  <si>
    <t xml:space="preserve">HOTEL FAZENDA DO BETIONE</t>
  </si>
  <si>
    <t xml:space="preserve">MARILANDIA J BORGES ME</t>
  </si>
  <si>
    <t xml:space="preserve">POUSADA DO SOL</t>
  </si>
  <si>
    <t xml:space="preserve">ELIZETE PEREIRA DA VERA</t>
  </si>
  <si>
    <t xml:space="preserve">MARELITA MANTELLI NICARETTA</t>
  </si>
  <si>
    <t xml:space="preserve">FERRONATO E BERTI LTDA</t>
  </si>
  <si>
    <t xml:space="preserve">MERCADO BERTI</t>
  </si>
  <si>
    <t xml:space="preserve">NEUSA GOMES DE OLIVEIRA</t>
  </si>
  <si>
    <t xml:space="preserve">LANCH RODOVIARIA</t>
  </si>
  <si>
    <t xml:space="preserve">RAMONA APARECIDA PINHEIRO SOUTO</t>
  </si>
  <si>
    <t xml:space="preserve">MERCEARIA DANTAS</t>
  </si>
  <si>
    <t xml:space="preserve">LOPES E BEVILAQUIA LTDA</t>
  </si>
  <si>
    <t xml:space="preserve">REST E LANCH RAFFA</t>
  </si>
  <si>
    <t xml:space="preserve">ALENCAR E TEBALDI LTDA</t>
  </si>
  <si>
    <t xml:space="preserve">SM SAO MARCOS</t>
  </si>
  <si>
    <t xml:space="preserve">MATOS E SOUZA LTDA ME</t>
  </si>
  <si>
    <t xml:space="preserve">MOTEL IPACARAY LTDA</t>
  </si>
  <si>
    <t xml:space="preserve">JOAMIR RODRIGUES RAMOS</t>
  </si>
  <si>
    <t xml:space="preserve">BAR E MERCEARIA ITAPUA LTDA</t>
  </si>
  <si>
    <t xml:space="preserve">PIZZARIA ITAPUA</t>
  </si>
  <si>
    <t xml:space="preserve">VALMIR SILVA SANTOS</t>
  </si>
  <si>
    <t xml:space="preserve">MERCEARIA BARRETO</t>
  </si>
  <si>
    <t xml:space="preserve">MANOEL CODAS</t>
  </si>
  <si>
    <t xml:space="preserve">LANCHES PARAMONT</t>
  </si>
  <si>
    <t xml:space="preserve">AIRTON FLORES</t>
  </si>
  <si>
    <t xml:space="preserve">PADOCA PAO LTDA</t>
  </si>
  <si>
    <t xml:space="preserve">PADOCA PAO</t>
  </si>
  <si>
    <t xml:space="preserve">EDINO PALHANO</t>
  </si>
  <si>
    <t xml:space="preserve">PADARIA OURO BRANCO</t>
  </si>
  <si>
    <t xml:space="preserve">COML RODRIGUES LTDA ME</t>
  </si>
  <si>
    <t xml:space="preserve">CASA DOS FRIOS</t>
  </si>
  <si>
    <t xml:space="preserve">BOM ALMOCO ALIMENTOS LTDA</t>
  </si>
  <si>
    <t xml:space="preserve">BOM ALMOCO</t>
  </si>
  <si>
    <t xml:space="preserve">BAR E LANCHONETE IMPERIAL LTDA</t>
  </si>
  <si>
    <t xml:space="preserve">DEMYS COFEE</t>
  </si>
  <si>
    <t xml:space="preserve">FRIGORIFICO PERI LTDA</t>
  </si>
  <si>
    <t xml:space="preserve">MINI MERCADO PONTO FORTE</t>
  </si>
  <si>
    <t xml:space="preserve">A FRUTAL LANCHES LTDA</t>
  </si>
  <si>
    <t xml:space="preserve">CHURRASCARIA FRUTAL</t>
  </si>
  <si>
    <t xml:space="preserve">ANAIR VIEIRA SOARES ME</t>
  </si>
  <si>
    <t xml:space="preserve">PADARIA E CONV SERVE BEM</t>
  </si>
  <si>
    <t xml:space="preserve">ROGERIO MENDES MAZZARO LTDA</t>
  </si>
  <si>
    <t xml:space="preserve">AUTO POSTO BRASIL</t>
  </si>
  <si>
    <t xml:space="preserve">ELIANE DIONISIO DE ANDRADE</t>
  </si>
  <si>
    <t xml:space="preserve">PANIF DRUMOND</t>
  </si>
  <si>
    <t xml:space="preserve">SANDRA DO AMARAL MARQUES</t>
  </si>
  <si>
    <t xml:space="preserve">WORKY PET SHOP</t>
  </si>
  <si>
    <t xml:space="preserve">VANIA LUCIA AMADO  ME</t>
  </si>
  <si>
    <t xml:space="preserve">HOTEL TRES LAGOAS</t>
  </si>
  <si>
    <t xml:space="preserve">TANIA MARIA DA SILVA REZENDE DA CRUZ</t>
  </si>
  <si>
    <t xml:space="preserve">CANTINA DA TELEMS</t>
  </si>
  <si>
    <t xml:space="preserve">TENDA FLORES E PRESENTES LTDA</t>
  </si>
  <si>
    <t xml:space="preserve">TENDA ARTESANATOS FLORES</t>
  </si>
  <si>
    <t xml:space="preserve">ASSOCIACAO MAGISTRADOS MATO GROSSO SUL  </t>
  </si>
  <si>
    <t xml:space="preserve">AMANSUL</t>
  </si>
  <si>
    <t xml:space="preserve">BOUTIQUE GASTRONOMICA LTDA</t>
  </si>
  <si>
    <t xml:space="preserve">CANTINA ROMANA</t>
  </si>
  <si>
    <t xml:space="preserve">TROPICAL PAES CONVENIENCIAS LTDA</t>
  </si>
  <si>
    <t xml:space="preserve">MARILETE GALESKI</t>
  </si>
  <si>
    <t xml:space="preserve">CASA DE CARNES ALVORADA LTDA</t>
  </si>
  <si>
    <t xml:space="preserve">PROJETO PADRINHO</t>
  </si>
  <si>
    <t xml:space="preserve">CLACIR SOMAVILLA</t>
  </si>
  <si>
    <t xml:space="preserve">PANF CASEIRA</t>
  </si>
  <si>
    <t xml:space="preserve">ISMAEL NOGUEIRA MICROEMPRESA</t>
  </si>
  <si>
    <t xml:space="preserve">POSTO TRES LAGOAS</t>
  </si>
  <si>
    <t xml:space="preserve">ANGELO BOGAZ PERES</t>
  </si>
  <si>
    <t xml:space="preserve">ARLINDO COSTA DE OLIVEIRA</t>
  </si>
  <si>
    <t xml:space="preserve">PANIFICADORA CACIQUE LTDA</t>
  </si>
  <si>
    <t xml:space="preserve">PANIF CACIQUE</t>
  </si>
  <si>
    <t xml:space="preserve">FRIOS E CONSERVAS RIO APORE LTDA</t>
  </si>
  <si>
    <t xml:space="preserve">SALOMAO E LOPES LTDA</t>
  </si>
  <si>
    <t xml:space="preserve">MINISTERIO PUBLICO ESTADUAL</t>
  </si>
  <si>
    <t xml:space="preserve">PROCURADORIA GERAL DE JUSTICA</t>
  </si>
  <si>
    <t xml:space="preserve">AGENCIA ESTADUAL DE ADMINISTRACAO DO SIS</t>
  </si>
  <si>
    <t xml:space="preserve">DEPTO DO SIST PENITE PRESIDIO FEMININO</t>
  </si>
  <si>
    <t xml:space="preserve">DEPARTAMENTO DO SISTEMA PENITENCIARIO</t>
  </si>
  <si>
    <t xml:space="preserve">ANTONIO DINAMERICO ARRUDA MARQUES</t>
  </si>
  <si>
    <t xml:space="preserve">MARCELO APARECIDO GIMENEZ</t>
  </si>
  <si>
    <t xml:space="preserve">AUTO VIDROS PANTANAL LTDA</t>
  </si>
  <si>
    <t xml:space="preserve">AUTO VIDROS PANTANAL</t>
  </si>
  <si>
    <t xml:space="preserve">DENIZE GIMENEZ</t>
  </si>
  <si>
    <t xml:space="preserve">COMERCIAL LUIZA</t>
  </si>
  <si>
    <t xml:space="preserve">VESPASIANO CAMPOS FILHO ME/MS</t>
  </si>
  <si>
    <t xml:space="preserve">MINI MERCADO NOVO MILENIO</t>
  </si>
  <si>
    <t xml:space="preserve">JOSE ANIBAL REIS FERREIRA</t>
  </si>
  <si>
    <t xml:space="preserve">MERC E BAR 05 IRMAOS</t>
  </si>
  <si>
    <t xml:space="preserve">ROSANGELA PEREIRA MARTINS</t>
  </si>
  <si>
    <t xml:space="preserve">CASA CARNE CONVENIENCIA MARTIN</t>
  </si>
  <si>
    <t xml:space="preserve">SUPERMERCADO LISANNE LTDA</t>
  </si>
  <si>
    <t xml:space="preserve">J VILELA PEREIRA</t>
  </si>
  <si>
    <t xml:space="preserve">CONFEITARIA E PADARIA</t>
  </si>
  <si>
    <t xml:space="preserve">DALZIRIA DE SOUZA NETO</t>
  </si>
  <si>
    <t xml:space="preserve">MERCADO ALTO CARACOL</t>
  </si>
  <si>
    <t xml:space="preserve">OZIEL VIDA DE ALMEIDA</t>
  </si>
  <si>
    <t xml:space="preserve">MERCEARIA DIAMANTE AZUL</t>
  </si>
  <si>
    <t xml:space="preserve">GEOVANE GARCIA DE CASTRO</t>
  </si>
  <si>
    <t xml:space="preserve">MERCADO E ACOUGUE MADRI</t>
  </si>
  <si>
    <t xml:space="preserve">UMADA E LIMA LTDA</t>
  </si>
  <si>
    <t xml:space="preserve">SM MAGROSSUL</t>
  </si>
  <si>
    <t xml:space="preserve">IZABEL CRISTINA BERNARDELLI FERREIRA</t>
  </si>
  <si>
    <t xml:space="preserve">CONVENIENCIA FERREIRA</t>
  </si>
  <si>
    <t xml:space="preserve">DAVI DA SILVA ROCHA</t>
  </si>
  <si>
    <t xml:space="preserve">ESTEVES E FERNANDES LTDA</t>
  </si>
  <si>
    <t xml:space="preserve">LUSOPHARMA</t>
  </si>
  <si>
    <t xml:space="preserve">CAPIBARIBE COMERCIO DE ALIMENTOS LTDA</t>
  </si>
  <si>
    <t xml:space="preserve">SEBASTIAO ANGELO DOS SANTOS</t>
  </si>
  <si>
    <t xml:space="preserve">JOSE AUGUSTO CONSALTER MERISSI</t>
  </si>
  <si>
    <t xml:space="preserve">MERCADO PEZAO</t>
  </si>
  <si>
    <t xml:space="preserve">DISTRIBUIDORA DE FRIOS CATARINENSE LTDA </t>
  </si>
  <si>
    <t xml:space="preserve">BONA E GIARETTA LTDA</t>
  </si>
  <si>
    <t xml:space="preserve">FARMARCIA DROGA VIDA</t>
  </si>
  <si>
    <t xml:space="preserve">LAERCIO FRANCISCO DE OLIVEIRA</t>
  </si>
  <si>
    <t xml:space="preserve">PADARIA ALGODAO DOCE</t>
  </si>
  <si>
    <t xml:space="preserve">JAKSON SERGIO BETINI DA SILVA</t>
  </si>
  <si>
    <t xml:space="preserve">MERCEARIA ANUNCIADA</t>
  </si>
  <si>
    <t xml:space="preserve">JAIR LUIZ STRADA</t>
  </si>
  <si>
    <t xml:space="preserve">CLEITON SOBRINHO AVILA</t>
  </si>
  <si>
    <t xml:space="preserve">RESTAURANTE REDONDO</t>
  </si>
  <si>
    <t xml:space="preserve">E P DA SILVA RAMOS</t>
  </si>
  <si>
    <t xml:space="preserve">PALOMARES E PEREIRA LTDA</t>
  </si>
  <si>
    <t xml:space="preserve">DROGARIA DROGALINE</t>
  </si>
  <si>
    <t xml:space="preserve">SILVIA HELENA GARCIA REIS LOPES</t>
  </si>
  <si>
    <t xml:space="preserve">DERCIO LOTTERMANN</t>
  </si>
  <si>
    <t xml:space="preserve">LANCHONETE CARAZINHO</t>
  </si>
  <si>
    <t xml:space="preserve">COMERCIAL DE P ALIMEN BELLINCANTA LTDA  </t>
  </si>
  <si>
    <t xml:space="preserve">DIST.PROD.ALIMENT.BELLINCANTA</t>
  </si>
  <si>
    <t xml:space="preserve">FINO SABOR LTDA</t>
  </si>
  <si>
    <t xml:space="preserve">VARANDA CAFE</t>
  </si>
  <si>
    <t xml:space="preserve">ROSITA CAIRES NETA AUGUSTINI DE LIMA</t>
  </si>
  <si>
    <t xml:space="preserve">FARMACIA MAGISTRAL</t>
  </si>
  <si>
    <t xml:space="preserve">MARA LUCIA ZANDONA</t>
  </si>
  <si>
    <t xml:space="preserve">CASA CARNE CONV PRIMAVERA</t>
  </si>
  <si>
    <t xml:space="preserve">ESTACIONAMENTO NACOES UNIDAS LTDA</t>
  </si>
  <si>
    <t xml:space="preserve">LANCH DO MINEIRO</t>
  </si>
  <si>
    <t xml:space="preserve">JULIA FERREIRA SILVA</t>
  </si>
  <si>
    <t xml:space="preserve">SM FELIPE</t>
  </si>
  <si>
    <t xml:space="preserve">MGS FOODS INDUSTRIA E COMERCIO LTDA</t>
  </si>
  <si>
    <t xml:space="preserve">MGS FOODS</t>
  </si>
  <si>
    <t xml:space="preserve">SONIA MARA ZACARIAS TEIXEIRA</t>
  </si>
  <si>
    <t xml:space="preserve">CONVENIENCIA PLUTAO</t>
  </si>
  <si>
    <t xml:space="preserve">K L COMERCIAL DE ALIMENTOS LTDA</t>
  </si>
  <si>
    <t xml:space="preserve">SM ALEMAO</t>
  </si>
  <si>
    <t xml:space="preserve">PANAMA AUTO SERVICO E CONVENIENCIA LTDA </t>
  </si>
  <si>
    <t xml:space="preserve">CONV PANAMA</t>
  </si>
  <si>
    <t xml:space="preserve">LUIZ ALBERTO DA SILVA ROLIN</t>
  </si>
  <si>
    <t xml:space="preserve">MERCADINHO SAO LUIZ</t>
  </si>
  <si>
    <t xml:space="preserve">MERCADO LUMER LTDA</t>
  </si>
  <si>
    <t xml:space="preserve">MERC LUMER</t>
  </si>
  <si>
    <t xml:space="preserve">COMERCIO FRIOS CARNES FIDALGOS LTDA</t>
  </si>
  <si>
    <t xml:space="preserve">CASA DE CARNE FIDALGOS</t>
  </si>
  <si>
    <t xml:space="preserve">COMERCIO DE FRIOS E CARNES FIDALGOS LTDA</t>
  </si>
  <si>
    <t xml:space="preserve">JOSE MARCEL MARIN MARTINS</t>
  </si>
  <si>
    <t xml:space="preserve">DROGARIA 2000</t>
  </si>
  <si>
    <t xml:space="preserve">AGUIA SUL TRANSPORTES LTDA</t>
  </si>
  <si>
    <t xml:space="preserve">AGUIA SUL</t>
  </si>
  <si>
    <t xml:space="preserve">EDEL RODRIGUES DE LIMA EPP</t>
  </si>
  <si>
    <t xml:space="preserve">SM LIMA</t>
  </si>
  <si>
    <t xml:space="preserve">ELEONTINA COSTA AZEVEDO</t>
  </si>
  <si>
    <t xml:space="preserve">MERCADO E ACOUGUE AZEVEDO</t>
  </si>
  <si>
    <t xml:space="preserve">MEAT IND COM DE CARNES E DERIVADOS LTDA </t>
  </si>
  <si>
    <t xml:space="preserve">MATEL CARNES E CIA</t>
  </si>
  <si>
    <t xml:space="preserve">KEILA SILVA MEDINA</t>
  </si>
  <si>
    <t xml:space="preserve">EDILENE VALENZUELA ESPINDOLA</t>
  </si>
  <si>
    <t xml:space="preserve">FARMACIA AMIGA</t>
  </si>
  <si>
    <t xml:space="preserve">SUPERMERCADO LEONEL LTDA</t>
  </si>
  <si>
    <t xml:space="preserve">SM LEONEL</t>
  </si>
  <si>
    <t xml:space="preserve">JOSE CELESTINO MATTOS</t>
  </si>
  <si>
    <t xml:space="preserve">EDMARCIO ALBERTO CAMPAROTTO</t>
  </si>
  <si>
    <t xml:space="preserve">PANIFICADORA VANESSA</t>
  </si>
  <si>
    <t xml:space="preserve">OLIVEIRA E IBANHEZ LTDA EPP</t>
  </si>
  <si>
    <t xml:space="preserve">OLIVEIRA E IBANHEZ LTDA</t>
  </si>
  <si>
    <t xml:space="preserve">FARMACIA FARMA TOTAL</t>
  </si>
  <si>
    <t xml:space="preserve">REDE GUANABARA</t>
  </si>
  <si>
    <t xml:space="preserve">SAO BENTO</t>
  </si>
  <si>
    <t xml:space="preserve">ULTRA POPULAR</t>
  </si>
  <si>
    <t xml:space="preserve">TRIPLE A ARTES GRAF EDITORA LTDA</t>
  </si>
  <si>
    <t xml:space="preserve">SANTANA DE PARNAIBA</t>
  </si>
  <si>
    <t xml:space="preserve">TRIPLE</t>
  </si>
  <si>
    <t xml:space="preserve">C L M EVENTOS LTDA</t>
  </si>
  <si>
    <t xml:space="preserve">KAMALOTTE</t>
  </si>
  <si>
    <t xml:space="preserve">ELIAS TAVARES DA SILVEIRA</t>
  </si>
  <si>
    <t xml:space="preserve">RESTAURANTE 163</t>
  </si>
  <si>
    <t xml:space="preserve">NARELI DOS SANTOS RIBEIRO</t>
  </si>
  <si>
    <t xml:space="preserve">SM PORTOALEGRENSE</t>
  </si>
  <si>
    <t xml:space="preserve">NILSON SILVA CONFECCOES</t>
  </si>
  <si>
    <t xml:space="preserve">WEVERTONS STILOS</t>
  </si>
  <si>
    <t xml:space="preserve">AMELIA YONEKO UETI</t>
  </si>
  <si>
    <t xml:space="preserve">TOKIO BILHAR</t>
  </si>
  <si>
    <t xml:space="preserve">AURO FERMINO FARIA</t>
  </si>
  <si>
    <t xml:space="preserve">MERCADO ESTRELA DO SUL</t>
  </si>
  <si>
    <t xml:space="preserve">ROSIMEIRE MELO SANT'ANA</t>
  </si>
  <si>
    <t xml:space="preserve">SANTANA FRUTAS E CONVENIENCIAS</t>
  </si>
  <si>
    <t xml:space="preserve">MAURINEI CARDOSO RONDON</t>
  </si>
  <si>
    <t xml:space="preserve">MERCADO MAC BOM</t>
  </si>
  <si>
    <t xml:space="preserve">P J LOPES E CIA LTDA</t>
  </si>
  <si>
    <t xml:space="preserve">ESSENCIA COSMETICOS</t>
  </si>
  <si>
    <t xml:space="preserve">ANTONIO BENEDITO DE OLIV E FILHOS LTDA  </t>
  </si>
  <si>
    <t xml:space="preserve">CONV PRONTO SOCORRO CERVEJA</t>
  </si>
  <si>
    <t xml:space="preserve">IRENI HOFFNANN LUBECK</t>
  </si>
  <si>
    <t xml:space="preserve">HOFFNANN MODELS</t>
  </si>
  <si>
    <t xml:space="preserve">ZANELLA CONVENIENCIA LTDA</t>
  </si>
  <si>
    <t xml:space="preserve">MERCADO ZAPE</t>
  </si>
  <si>
    <t xml:space="preserve">EVELCY PEREIRA RODRIGUES FRANCISCO</t>
  </si>
  <si>
    <t xml:space="preserve">MARIA DOS SANTOS SANTANA</t>
  </si>
  <si>
    <t xml:space="preserve">ANTONIO CENTRO AUTOMOTIVO</t>
  </si>
  <si>
    <t xml:space="preserve">DROGA VIDA MEDICAMENTOS LTDA ME</t>
  </si>
  <si>
    <t xml:space="preserve">DROGA VIDA</t>
  </si>
  <si>
    <t xml:space="preserve">LEAL E SOUZA LTDA</t>
  </si>
  <si>
    <t xml:space="preserve">MINI MERCADO E AC. MARTINS</t>
  </si>
  <si>
    <t xml:space="preserve">J PEIXOTO BARBOSA E CIA LTDA</t>
  </si>
  <si>
    <t xml:space="preserve">SUPERMERCADO BIG MAIS</t>
  </si>
  <si>
    <t xml:space="preserve">VERATI E CAMPOS LTDA</t>
  </si>
  <si>
    <t xml:space="preserve">STEFANELLO STEFANELLO E STEFANELLO LTDA </t>
  </si>
  <si>
    <t xml:space="preserve">PANIF PAO GOSTOSO</t>
  </si>
  <si>
    <t xml:space="preserve">PRUDENCIO NUNES DIAS</t>
  </si>
  <si>
    <t xml:space="preserve">ANTONIO EDUARDO AMARAL</t>
  </si>
  <si>
    <t xml:space="preserve">SM ARROIO</t>
  </si>
  <si>
    <t xml:space="preserve">JOSE APARECIDO BEIJO</t>
  </si>
  <si>
    <t xml:space="preserve">COMERCIO BEBIDAS N N LTDA</t>
  </si>
  <si>
    <t xml:space="preserve">MERCADO E ACOUGUE VALE VERDE</t>
  </si>
  <si>
    <t xml:space="preserve">CARMEM HISSAMI OBA</t>
  </si>
  <si>
    <t xml:space="preserve">ELENICE SOUZA XAVIER</t>
  </si>
  <si>
    <t xml:space="preserve">DELIRIUS MOTEL</t>
  </si>
  <si>
    <t xml:space="preserve">ARAUJO E ARAUJO LTDA</t>
  </si>
  <si>
    <t xml:space="preserve">DROGARIA SANTA LUZIA</t>
  </si>
  <si>
    <t xml:space="preserve">ANITA ELIAS DE SOUZA E CIA LTDA</t>
  </si>
  <si>
    <t xml:space="preserve">MINI MERCADO TUIUIU</t>
  </si>
  <si>
    <t xml:space="preserve">AZAIDE DE ANDRADE</t>
  </si>
  <si>
    <t xml:space="preserve">MERCADO AROEIRA</t>
  </si>
  <si>
    <t xml:space="preserve">SEBASTIANA PEREIRA FRANCA</t>
  </si>
  <si>
    <t xml:space="preserve">SUPERMERCADO PANTANAL</t>
  </si>
  <si>
    <t xml:space="preserve">ELIETE MARIA SOUZA</t>
  </si>
  <si>
    <t xml:space="preserve">MERCEARIA MICHELLE</t>
  </si>
  <si>
    <t xml:space="preserve">PAULO F DE ANDRADE E CIA LTDA</t>
  </si>
  <si>
    <t xml:space="preserve">CASA DE CARNE MATEL</t>
  </si>
  <si>
    <t xml:space="preserve">FIRMINO ARGUILERA</t>
  </si>
  <si>
    <t xml:space="preserve">CANA DO PANTANAL COMERCIAL LTDA</t>
  </si>
  <si>
    <t xml:space="preserve">AGUA DOCE CACHACARIA</t>
  </si>
  <si>
    <t xml:space="preserve">DROGARIA DROGADONI LTDA</t>
  </si>
  <si>
    <t xml:space="preserve">DROGARIA DROGADONI</t>
  </si>
  <si>
    <t xml:space="preserve">AGUAS GUARIROBA S/A</t>
  </si>
  <si>
    <t xml:space="preserve">DANIELA PEREIRA DA SILVA</t>
  </si>
  <si>
    <t xml:space="preserve">SM ROSA</t>
  </si>
  <si>
    <t xml:space="preserve">NEMERCIO BARBOSA DE PAULA</t>
  </si>
  <si>
    <t xml:space="preserve">MERCADO PRATIKO LTDA</t>
  </si>
  <si>
    <t xml:space="preserve">SUPERMERCADO PRATIKO</t>
  </si>
  <si>
    <t xml:space="preserve">TEREZINHA SANTOS</t>
  </si>
  <si>
    <t xml:space="preserve">CANDELLORIO E CANDELLORIO LTDA</t>
  </si>
  <si>
    <t xml:space="preserve">DROGARIA MULTVIDA</t>
  </si>
  <si>
    <t xml:space="preserve">MARIA DO ROSARIO DA SILVA</t>
  </si>
  <si>
    <t xml:space="preserve">MERCADO DIVISAO</t>
  </si>
  <si>
    <t xml:space="preserve">SOUZA E PAZETO LTDA EPP</t>
  </si>
  <si>
    <t xml:space="preserve">COMERCIAL LOSANGO</t>
  </si>
  <si>
    <t xml:space="preserve">LUIZ APOLONIO DA SILVA</t>
  </si>
  <si>
    <t xml:space="preserve">JP DA SILVA OLIVEIRA</t>
  </si>
  <si>
    <t xml:space="preserve">CHURRASCARIA BEIRA RIO</t>
  </si>
  <si>
    <t xml:space="preserve">CARLOS ROBERTO SEGATTO</t>
  </si>
  <si>
    <t xml:space="preserve">CHOP.PIZZARIA E REST.SAPOTI</t>
  </si>
  <si>
    <t xml:space="preserve">MARIVANE ONGARRATTO TEIXEIRA</t>
  </si>
  <si>
    <t xml:space="preserve">REST TRADICAO GAUCHA</t>
  </si>
  <si>
    <t xml:space="preserve">ERICA P CECCATTO</t>
  </si>
  <si>
    <t xml:space="preserve">SM CECCATO</t>
  </si>
  <si>
    <t xml:space="preserve">MINI MERCADO SID LTDA ME/MS</t>
  </si>
  <si>
    <t xml:space="preserve">MINI MERCADO JOAD</t>
  </si>
  <si>
    <t xml:space="preserve">MARLI APARECIDA GAIOLA NUNES DE PAULA</t>
  </si>
  <si>
    <t xml:space="preserve">BELA COSMETICOS</t>
  </si>
  <si>
    <t xml:space="preserve">SEBASTIANA LEONICE LOPES SANTOS</t>
  </si>
  <si>
    <t xml:space="preserve">DOCES DJ</t>
  </si>
  <si>
    <t xml:space="preserve">PEDRO SOARES DOS SANTOS FILHO</t>
  </si>
  <si>
    <t xml:space="preserve">MINI MERCADO EBENEZER</t>
  </si>
  <si>
    <t xml:space="preserve">DJANIR DE ARAUJO</t>
  </si>
  <si>
    <t xml:space="preserve">MERCADO ARASILVA</t>
  </si>
  <si>
    <t xml:space="preserve">THALITA MARA BIACIO</t>
  </si>
  <si>
    <t xml:space="preserve">PANIF JUMBO</t>
  </si>
  <si>
    <t xml:space="preserve">E F BARBOSA CONVENIENCIA</t>
  </si>
  <si>
    <t xml:space="preserve">CONVENIENCIA GUANABARA</t>
  </si>
  <si>
    <t xml:space="preserve">NOVA FARMA LTDA</t>
  </si>
  <si>
    <t xml:space="preserve">J J M CUNHA E CIA LTDA</t>
  </si>
  <si>
    <t xml:space="preserve">SM J.J</t>
  </si>
  <si>
    <t xml:space="preserve">BORRALHO E SILVA LTDA</t>
  </si>
  <si>
    <t xml:space="preserve">CASA LOPES</t>
  </si>
  <si>
    <t xml:space="preserve">FARMA NOVA LTDA</t>
  </si>
  <si>
    <t xml:space="preserve">SAO BENTO - F 84</t>
  </si>
  <si>
    <t xml:space="preserve">WESLEY HOLSBACK NUNES E CIA LTDA</t>
  </si>
  <si>
    <t xml:space="preserve">SM COMPRECO</t>
  </si>
  <si>
    <t xml:space="preserve">MARLENE A L DE BRITTO</t>
  </si>
  <si>
    <t xml:space="preserve">H E M CONVENIENCIAS</t>
  </si>
  <si>
    <t xml:space="preserve">ADEMIR CIRIACO DE ARRUDA</t>
  </si>
  <si>
    <t xml:space="preserve">GLORIA CONVENIENCIA</t>
  </si>
  <si>
    <t xml:space="preserve">JOSE PALMEIRAS DOS SANTOS</t>
  </si>
  <si>
    <t xml:space="preserve">BAR E MERC TRICOLOR</t>
  </si>
  <si>
    <t xml:space="preserve">LIMEIRA E ROSA LTDA</t>
  </si>
  <si>
    <t xml:space="preserve">BIANCA GODOY NOVAES</t>
  </si>
  <si>
    <t xml:space="preserve">RODOLFO AUGUSTO FURIGO</t>
  </si>
  <si>
    <t xml:space="preserve">SILVA FABRICIO</t>
  </si>
  <si>
    <t xml:space="preserve">CANTINA AJALA</t>
  </si>
  <si>
    <t xml:space="preserve">ROCHA E MATOS LTDA</t>
  </si>
  <si>
    <t xml:space="preserve">ROQUE COSTA NETO</t>
  </si>
  <si>
    <t xml:space="preserve">DROGARIA LAGO AZUL</t>
  </si>
  <si>
    <t xml:space="preserve">EMI MARA COMERCIO DE ALIMENTOS LTDA</t>
  </si>
  <si>
    <t xml:space="preserve">MR PRETZEL</t>
  </si>
  <si>
    <t xml:space="preserve">MARIA ZENI NARCIZO RODRIGUES</t>
  </si>
  <si>
    <t xml:space="preserve">SACOLAO DOURADOS</t>
  </si>
  <si>
    <t xml:space="preserve">IGUACU ENTREPOSTO DE PESCADOS E ALI LTDA</t>
  </si>
  <si>
    <t xml:space="preserve">TRANSPORTADORA IGUACU</t>
  </si>
  <si>
    <t xml:space="preserve">ALFA E OMEGA COMERCIAL LTDA</t>
  </si>
  <si>
    <t xml:space="preserve">HOUSE E CIA PET</t>
  </si>
  <si>
    <t xml:space="preserve">ELIAS BARRETO DOS SANTOS</t>
  </si>
  <si>
    <t xml:space="preserve">DEPOSITO DE DOCES EDIPAN</t>
  </si>
  <si>
    <t xml:space="preserve">MARIA JOSE NETA AZAMBUJA</t>
  </si>
  <si>
    <t xml:space="preserve">GRANDE PARADA II</t>
  </si>
  <si>
    <t xml:space="preserve">ECP DE OLIVEIRA DA SILVA - LJ07</t>
  </si>
  <si>
    <t xml:space="preserve">SM PIRES-LJ07</t>
  </si>
  <si>
    <t xml:space="preserve">JOCIANE MARA SILVA PRATES</t>
  </si>
  <si>
    <t xml:space="preserve">CASA DE CARNE NISSEI</t>
  </si>
  <si>
    <t xml:space="preserve">A G EVARISTO</t>
  </si>
  <si>
    <t xml:space="preserve">MERCEARIA GAMA</t>
  </si>
  <si>
    <t xml:space="preserve">COMERCIO DE ALIMENTOS POLLY LTDA</t>
  </si>
  <si>
    <t xml:space="preserve">DROGARIA OSTETTO LTDA</t>
  </si>
  <si>
    <t xml:space="preserve">DROGARIA OSTETTO</t>
  </si>
  <si>
    <t xml:space="preserve">I R APESTIGUE</t>
  </si>
  <si>
    <t xml:space="preserve">CECILIA DONIZETH OLIVEIRA</t>
  </si>
  <si>
    <t xml:space="preserve">HARMONIA COSMETICOS LTDA</t>
  </si>
  <si>
    <t xml:space="preserve">HARMONIA COSMETICOS</t>
  </si>
  <si>
    <t xml:space="preserve">EDILEUSA MARIA DE AZEVEDO SILVA</t>
  </si>
  <si>
    <t xml:space="preserve">ABASTECEDORA CRISTO REI LTDA</t>
  </si>
  <si>
    <t xml:space="preserve">CONV ABASTECEDORA</t>
  </si>
  <si>
    <t xml:space="preserve">BUALE MUSTAFA RATEIB ME/MS</t>
  </si>
  <si>
    <t xml:space="preserve">OTTUS LANCHES</t>
  </si>
  <si>
    <t xml:space="preserve">C P DOS SANTOS</t>
  </si>
  <si>
    <t xml:space="preserve">CANTINA E B S LTDA</t>
  </si>
  <si>
    <t xml:space="preserve">CANTINA E.B.S</t>
  </si>
  <si>
    <t xml:space="preserve">PANF ROSE</t>
  </si>
  <si>
    <t xml:space="preserve">VICENTE PAREDES</t>
  </si>
  <si>
    <t xml:space="preserve">ROGERIO BRILHANTE CONDE</t>
  </si>
  <si>
    <t xml:space="preserve">SUPERMERCADO GAMA LTDA</t>
  </si>
  <si>
    <t xml:space="preserve">SUPERMERCADO GAMA</t>
  </si>
  <si>
    <t xml:space="preserve">THOMAZ LOPES LTDA EPP</t>
  </si>
  <si>
    <t xml:space="preserve">DROGALEV MEDICAMENTOS E PERFUM</t>
  </si>
  <si>
    <t xml:space="preserve">VANDERLEI APARECIDO CELARO</t>
  </si>
  <si>
    <t xml:space="preserve">SUPERMERCADO JUMBO</t>
  </si>
  <si>
    <t xml:space="preserve">MARIA A TORRES DOS SANTOS</t>
  </si>
  <si>
    <t xml:space="preserve">MERCADO SERVE LAR</t>
  </si>
  <si>
    <t xml:space="preserve">ELAINE MEROTI ALMEIDA</t>
  </si>
  <si>
    <t xml:space="preserve">MERCADO SIQUEIRA II</t>
  </si>
  <si>
    <t xml:space="preserve">SUELI COELHO DO AMARAL MOREIRA ME/MS</t>
  </si>
  <si>
    <t xml:space="preserve">NUNES E CAITANO LTDA</t>
  </si>
  <si>
    <t xml:space="preserve">DROGAVIDA</t>
  </si>
  <si>
    <t xml:space="preserve">CHAVES DE SOUZA E CIA LTDA</t>
  </si>
  <si>
    <t xml:space="preserve">PRONTO VET</t>
  </si>
  <si>
    <t xml:space="preserve">ROTARY CLUB DE TRES LAGOAS</t>
  </si>
  <si>
    <t xml:space="preserve">ARMANDIO GUERRA</t>
  </si>
  <si>
    <t xml:space="preserve">CASA DE SUCOS E REST. NATUREZA</t>
  </si>
  <si>
    <t xml:space="preserve">ANDERSON CLEBER DO AMARAL</t>
  </si>
  <si>
    <t xml:space="preserve">UTIL CONVENIENCIAS</t>
  </si>
  <si>
    <t xml:space="preserve">LEDESMA E GARCIA LTDA</t>
  </si>
  <si>
    <t xml:space="preserve">DAGMAR P DE BARROS</t>
  </si>
  <si>
    <t xml:space="preserve">OLIVEIRA CUNHA E CUNHA LTDA</t>
  </si>
  <si>
    <t xml:space="preserve">UMUARAMA ROUPAS LTDA ME</t>
  </si>
  <si>
    <t xml:space="preserve">UMUARAMA ROUPAS</t>
  </si>
  <si>
    <t xml:space="preserve">FELIX NUNES SANTOS</t>
  </si>
  <si>
    <t xml:space="preserve">BB CONVENIENCIAS LTDA</t>
  </si>
  <si>
    <t xml:space="preserve">BREAD &amp; BEAR</t>
  </si>
  <si>
    <t xml:space="preserve">MAURICIO X TRELHA</t>
  </si>
  <si>
    <t xml:space="preserve">VANDERLEIA ECHER</t>
  </si>
  <si>
    <t xml:space="preserve">COOPAVALE MINI BOX</t>
  </si>
  <si>
    <t xml:space="preserve">CENSU COMERCIO LTDA</t>
  </si>
  <si>
    <t xml:space="preserve">CENSU COMERCIO LTDA FILIAL</t>
  </si>
  <si>
    <t xml:space="preserve">L &amp; C CONS DE VAREJO, COMUNIC PLAN LTDA </t>
  </si>
  <si>
    <t xml:space="preserve">GRUPO UNIAO DE SUPERMERCADOS</t>
  </si>
  <si>
    <t xml:space="preserve">TRIUNFANTE DIST DE ALIMENTOS LTDA</t>
  </si>
  <si>
    <t xml:space="preserve">SAO JOSE DOS CAMPOS</t>
  </si>
  <si>
    <t xml:space="preserve">TRIUNFANTE SAO JOSE</t>
  </si>
  <si>
    <t xml:space="preserve">MINEIRA FRIOS A LATICINIOS LTDA</t>
  </si>
  <si>
    <t xml:space="preserve">MINEIRA FRIOS</t>
  </si>
  <si>
    <t xml:space="preserve">M RODRIGUES FAVILLA</t>
  </si>
  <si>
    <t xml:space="preserve">MOTEL NUAGE AGRO-BOI</t>
  </si>
  <si>
    <t xml:space="preserve">MARIA DO CARMO MANHANI E SILVA</t>
  </si>
  <si>
    <t xml:space="preserve">COMERCIAL ZAMA</t>
  </si>
  <si>
    <t xml:space="preserve">MUNDO PET E RACOES LTDA ME</t>
  </si>
  <si>
    <t xml:space="preserve">MUNDO PET</t>
  </si>
  <si>
    <t xml:space="preserve">NGA PRODUTOS AGROPECUARIOS LTDA</t>
  </si>
  <si>
    <t xml:space="preserve">A GRANJA</t>
  </si>
  <si>
    <t xml:space="preserve">ARJ COMERCIO E SERVICOS LTDA</t>
  </si>
  <si>
    <t xml:space="preserve">WINNER TENIS</t>
  </si>
  <si>
    <t xml:space="preserve">DROGAVIDA COXIM LTDA</t>
  </si>
  <si>
    <t xml:space="preserve">APARECIDO SILVA THOMAZ</t>
  </si>
  <si>
    <t xml:space="preserve">MERCADO GLOBO</t>
  </si>
  <si>
    <t xml:space="preserve">CELSO SUZUKI E FILHO LTDA</t>
  </si>
  <si>
    <t xml:space="preserve">SM SUPERBELL</t>
  </si>
  <si>
    <t xml:space="preserve">CARLITO DO CARMO RIBEIRO</t>
  </si>
  <si>
    <t xml:space="preserve">PAO DO SUL</t>
  </si>
  <si>
    <t xml:space="preserve">TAKESHITA E ARAUJO LTDA</t>
  </si>
  <si>
    <t xml:space="preserve">TAKESHITA E ARAUJO</t>
  </si>
  <si>
    <t xml:space="preserve">PANIFICADORA SANTOS TEIXEIRA LTDA</t>
  </si>
  <si>
    <t xml:space="preserve">LUCIANE MOURA CAVALCANTE</t>
  </si>
  <si>
    <t xml:space="preserve">SUPERMERCADO FELIX</t>
  </si>
  <si>
    <t xml:space="preserve">T N DA SILVA SANTOS COSMETICOS</t>
  </si>
  <si>
    <t xml:space="preserve">REALCE</t>
  </si>
  <si>
    <t xml:space="preserve">LROS PINTO MICHELONI E CIA LTDA</t>
  </si>
  <si>
    <t xml:space="preserve">ARTE MANHAS E OFICIOS</t>
  </si>
  <si>
    <t xml:space="preserve">PANIFICADORA SUPER PAO LTDA</t>
  </si>
  <si>
    <t xml:space="preserve">PANIF SUPER PAO</t>
  </si>
  <si>
    <t xml:space="preserve">BENEVENUTO E GARCIA LTDA</t>
  </si>
  <si>
    <t xml:space="preserve">MULTI DROGAS</t>
  </si>
  <si>
    <t xml:space="preserve">QUEIROZ E DORETTO LTDA EPP</t>
  </si>
  <si>
    <t xml:space="preserve">WAP TELEINFORMATICA LTDA</t>
  </si>
  <si>
    <t xml:space="preserve">WAP TELEINFORMATICA</t>
  </si>
  <si>
    <t xml:space="preserve">CENTRAL COMERCIO DE COMBUSTIVEIS LTDA</t>
  </si>
  <si>
    <t xml:space="preserve">AUTO POSTO BARES AMIGOS</t>
  </si>
  <si>
    <t xml:space="preserve">CELIO ROBERTO PAULINO</t>
  </si>
  <si>
    <t xml:space="preserve">SUPER IDEAL</t>
  </si>
  <si>
    <t xml:space="preserve">GRACIOSA COM CARNES CONVENIENCIAS LTDA  </t>
  </si>
  <si>
    <t xml:space="preserve">GRACIOSA COMERCIO DE CARNE</t>
  </si>
  <si>
    <t xml:space="preserve">MARIANO COMERCIO DE ALIMENTOS LTDA</t>
  </si>
  <si>
    <t xml:space="preserve">MERCADO MARIANO</t>
  </si>
  <si>
    <t xml:space="preserve">SIMAS HOTEL LTDA</t>
  </si>
  <si>
    <t xml:space="preserve">SIMAS HOTEL</t>
  </si>
  <si>
    <t xml:space="preserve">KI SONHO IND COM PROD ALIM LTDA</t>
  </si>
  <si>
    <t xml:space="preserve">PANF KI-SONHO</t>
  </si>
  <si>
    <t xml:space="preserve">PANIFICADORA AKI TEM LTDA</t>
  </si>
  <si>
    <t xml:space="preserve">PANIFICADORA AKI TEM</t>
  </si>
  <si>
    <t xml:space="preserve">MARCIA DE OLIVEIRA DROGARIA</t>
  </si>
  <si>
    <t xml:space="preserve">DROGARIA DUQUE DE CAXIAS</t>
  </si>
  <si>
    <t xml:space="preserve">LOSS E LOPES LTDA</t>
  </si>
  <si>
    <t xml:space="preserve">NATALINO FERNANDES DE RESENDE</t>
  </si>
  <si>
    <t xml:space="preserve">COMILHO</t>
  </si>
  <si>
    <t xml:space="preserve">RIBEIRO E LIMA LTDA</t>
  </si>
  <si>
    <t xml:space="preserve">GIOCONDO PAES E CONVENIENCIAS</t>
  </si>
  <si>
    <t xml:space="preserve">JOISEANE VACARO</t>
  </si>
  <si>
    <t xml:space="preserve">MERCADO E ACOUGUE JJN</t>
  </si>
  <si>
    <t xml:space="preserve">GILSON SOLTOYSKY DE SOUZA</t>
  </si>
  <si>
    <t xml:space="preserve">FERRATO E FERRATO LTDA</t>
  </si>
  <si>
    <t xml:space="preserve">AUTO POSTO CANARINHO</t>
  </si>
  <si>
    <t xml:space="preserve">CICERO A FILHO</t>
  </si>
  <si>
    <t xml:space="preserve">PANIF MASSA PURA</t>
  </si>
  <si>
    <t xml:space="preserve">PEREIRA DE OLIVEIRA E CIA LTDA EPP</t>
  </si>
  <si>
    <t xml:space="preserve">VETERINARIA BOI GORDO</t>
  </si>
  <si>
    <t xml:space="preserve">FERNANDO VIGANO</t>
  </si>
  <si>
    <t xml:space="preserve">COVENIENCIAS DA COLONIA</t>
  </si>
  <si>
    <t xml:space="preserve">MARCIO FABIANI DOS SANTOS</t>
  </si>
  <si>
    <t xml:space="preserve">MERCADO PASSARINE</t>
  </si>
  <si>
    <t xml:space="preserve">GILBERTO DOS SANTOS BRIZOLA</t>
  </si>
  <si>
    <t xml:space="preserve">COXIM CONVENIENCIA</t>
  </si>
  <si>
    <t xml:space="preserve">CAIRES E SGARBI LTDA</t>
  </si>
  <si>
    <t xml:space="preserve">DROGARIA FARMAIS</t>
  </si>
  <si>
    <t xml:space="preserve">SUPERMERCADO AVENIDA LTDA</t>
  </si>
  <si>
    <t xml:space="preserve">PED PAO PANIFICADORA E CONFEITARIA LTDA </t>
  </si>
  <si>
    <t xml:space="preserve">ARIOVAN GONZAGA NOGUEIRA</t>
  </si>
  <si>
    <t xml:space="preserve">CASA DE RACOES REB</t>
  </si>
  <si>
    <t xml:space="preserve">AQUARIUS LANCHES LTDA</t>
  </si>
  <si>
    <t xml:space="preserve">CAFE HAITI</t>
  </si>
  <si>
    <t xml:space="preserve">BENITES E ALVES LTDA</t>
  </si>
  <si>
    <t xml:space="preserve">HELTON CASSIO PEREIRA ROCHA</t>
  </si>
  <si>
    <t xml:space="preserve">MERCEARIA ROCHA</t>
  </si>
  <si>
    <t xml:space="preserve">MINI MERCADO SERVE BEM LTDA</t>
  </si>
  <si>
    <t xml:space="preserve">EDEMIR JARDIM NETO</t>
  </si>
  <si>
    <t xml:space="preserve">POSTO TARUMA</t>
  </si>
  <si>
    <t xml:space="preserve">MIRTES MIE MURAKAMI MELO</t>
  </si>
  <si>
    <t xml:space="preserve">MINI MERCADO ARAREMAS</t>
  </si>
  <si>
    <t xml:space="preserve">PELLIM E PELLIM LTDA</t>
  </si>
  <si>
    <t xml:space="preserve">SM DO TIAO</t>
  </si>
  <si>
    <t xml:space="preserve">DROGARIA FARMAVIDA DE MARACAJU LTDA</t>
  </si>
  <si>
    <t xml:space="preserve">DROGARIA FARMAVIDA</t>
  </si>
  <si>
    <t xml:space="preserve">GENY CLAUDINO DA SILVA CAMARGO</t>
  </si>
  <si>
    <t xml:space="preserve">COMERCIAL DE ALIMENTOS STUTZ LTDA</t>
  </si>
  <si>
    <t xml:space="preserve">SM GAUCHAO</t>
  </si>
  <si>
    <t xml:space="preserve">PAULA E REIS LTDA</t>
  </si>
  <si>
    <t xml:space="preserve">AUTO POSTO ELDORADO</t>
  </si>
  <si>
    <t xml:space="preserve">SABOR DA 13 LANCHONETE E RESTAURANTE</t>
  </si>
  <si>
    <t xml:space="preserve">SABOR DA 13</t>
  </si>
  <si>
    <t xml:space="preserve">RUBIOS CONVENIENCIA LTDA</t>
  </si>
  <si>
    <t xml:space="preserve">MERCADO VITORIA LTDA</t>
  </si>
  <si>
    <t xml:space="preserve">CARLOS ANTONIO COSTA DA CUNHA ME/MS</t>
  </si>
  <si>
    <t xml:space="preserve">ADENILZA FERREIRA DAVID MORALES</t>
  </si>
  <si>
    <t xml:space="preserve">PANF E CONF DELICIAS E SABORES</t>
  </si>
  <si>
    <t xml:space="preserve">COMERCIAL E DISTR SALVADOR LTDA</t>
  </si>
  <si>
    <t xml:space="preserve">COMERCIAL SALVADOR</t>
  </si>
  <si>
    <t xml:space="preserve">NILZA DA SILVA MACHADO</t>
  </si>
  <si>
    <t xml:space="preserve">MINI MERCADO MACHSIL</t>
  </si>
  <si>
    <t xml:space="preserve">FERNANDO AUGUSTO CRISTALDO DE MATTOS</t>
  </si>
  <si>
    <t xml:space="preserve">NOVA COMERCIAL</t>
  </si>
  <si>
    <t xml:space="preserve">COLEGIO ARMONIA UNIDADE III</t>
  </si>
  <si>
    <t xml:space="preserve">COLEGIO ARMONIA</t>
  </si>
  <si>
    <t xml:space="preserve">CATARINA ANGELICA OLIVEIRA CIA LTDA</t>
  </si>
  <si>
    <t xml:space="preserve">DROGARIA ODEON DOIS</t>
  </si>
  <si>
    <t xml:space="preserve">NANDI SUPERMERCADO</t>
  </si>
  <si>
    <t xml:space="preserve">HADDAD DELFINI E CIA LTDA</t>
  </si>
  <si>
    <t xml:space="preserve">DU PAO PANIFICADORA E CONVENIENCIA LTDA </t>
  </si>
  <si>
    <t xml:space="preserve">DU PAO</t>
  </si>
  <si>
    <t xml:space="preserve">DOLORES CORREIA DOS SANTOS</t>
  </si>
  <si>
    <t xml:space="preserve">ANDRADE E MORIKAWA LTDA</t>
  </si>
  <si>
    <t xml:space="preserve">SM MORI</t>
  </si>
  <si>
    <t xml:space="preserve">NORMA MIRANDA DE O VILELA ME</t>
  </si>
  <si>
    <t xml:space="preserve">SUPERMERCADO CAMBUCA</t>
  </si>
  <si>
    <t xml:space="preserve">NORMA MIRANDA DE O  VILELA - ME</t>
  </si>
  <si>
    <t xml:space="preserve">SUPERMERCADO CAMBUCA II</t>
  </si>
  <si>
    <t xml:space="preserve">TE GUARANI DO BRASIL LTDA</t>
  </si>
  <si>
    <t xml:space="preserve">CURITIBA</t>
  </si>
  <si>
    <t xml:space="preserve">TE GUARANI DO BRASIL</t>
  </si>
  <si>
    <t xml:space="preserve">CONVENIENCIA AERO RANCHO LTDA</t>
  </si>
  <si>
    <t xml:space="preserve">ALTO POSTO MASTER</t>
  </si>
  <si>
    <t xml:space="preserve">CARVALHO E OLIVEIRA LTDA</t>
  </si>
  <si>
    <t xml:space="preserve">SM HIPOLITO</t>
  </si>
  <si>
    <t xml:space="preserve">OLIVEIRA E ESQUERDO FILHO LTDA</t>
  </si>
  <si>
    <t xml:space="preserve">SUPER VALLE SUPERMERCADO</t>
  </si>
  <si>
    <t xml:space="preserve">ODAIR JOSE DE MELO E CIA LTDA</t>
  </si>
  <si>
    <t xml:space="preserve">MERCADO PLANALTO</t>
  </si>
  <si>
    <t xml:space="preserve">CLEUSA MARIA VIANA MARIN</t>
  </si>
  <si>
    <t xml:space="preserve">GOTAS PERFUMARIA</t>
  </si>
  <si>
    <t xml:space="preserve">ANTONIO MOLINA FLOR</t>
  </si>
  <si>
    <t xml:space="preserve">COMERCIAL A M F</t>
  </si>
  <si>
    <t xml:space="preserve">DROGARIA BRASIL LTDA</t>
  </si>
  <si>
    <t xml:space="preserve">DROGARIA BRASIL</t>
  </si>
  <si>
    <t xml:space="preserve">ROGERIO NISHIDA</t>
  </si>
  <si>
    <t xml:space="preserve">PANIFIC E CONFEIT PAO DA VIDA LTDA</t>
  </si>
  <si>
    <t xml:space="preserve">MERCADO SAO BENTO LTDA</t>
  </si>
  <si>
    <t xml:space="preserve">GESILDE R DELAI</t>
  </si>
  <si>
    <t xml:space="preserve">PANIF BOM GOSTO</t>
  </si>
  <si>
    <t xml:space="preserve">IRMAOS CUNHA LTDA</t>
  </si>
  <si>
    <t xml:space="preserve">AUTO POSTO ECOLOGICO</t>
  </si>
  <si>
    <t xml:space="preserve">FARMADIB LTDA</t>
  </si>
  <si>
    <t xml:space="preserve">SAO BENTO - F 81</t>
  </si>
  <si>
    <t xml:space="preserve">LORENA DO BRASILLTDA</t>
  </si>
  <si>
    <t xml:space="preserve">JUMIRIM</t>
  </si>
  <si>
    <t xml:space="preserve">LORENA</t>
  </si>
  <si>
    <t xml:space="preserve">VILMAR PEREIRA DA SILVA E CIA LTDA ME</t>
  </si>
  <si>
    <t xml:space="preserve">CASA DE RACAO SANTO ANTONIO</t>
  </si>
  <si>
    <t xml:space="preserve">ROMANA GENEROS ALIMENTOS LTDA</t>
  </si>
  <si>
    <t xml:space="preserve">SUPERMERCADO AGUA VIVA LTDA</t>
  </si>
  <si>
    <t xml:space="preserve">RENATA MIYASHIRO</t>
  </si>
  <si>
    <t xml:space="preserve">IVANIR DA SILVA DIAS</t>
  </si>
  <si>
    <t xml:space="preserve">HOTEL ORIENTE</t>
  </si>
  <si>
    <t xml:space="preserve">SM OURO VERDE</t>
  </si>
  <si>
    <t xml:space="preserve">CENTRO ESPIRITA EMMANUEL</t>
  </si>
  <si>
    <t xml:space="preserve">SERRANA AUTO POSTO LTDA</t>
  </si>
  <si>
    <t xml:space="preserve">SERRANA AUTO POSTO</t>
  </si>
  <si>
    <t xml:space="preserve">M FALAVINA MERCADO</t>
  </si>
  <si>
    <t xml:space="preserve">ACOUGUE E CONVENIENCIA CENTRAL LTDA</t>
  </si>
  <si>
    <t xml:space="preserve">ACOUGUE CENTRAL</t>
  </si>
  <si>
    <t xml:space="preserve">SILCE MACHADO DE LIMA DAUZACKER</t>
  </si>
  <si>
    <t xml:space="preserve">MERCADO DALAS</t>
  </si>
  <si>
    <t xml:space="preserve">MILTON ANTONIO DA SILVA</t>
  </si>
  <si>
    <t xml:space="preserve">PANIF E CONF FORNALHA</t>
  </si>
  <si>
    <t xml:space="preserve">ADRIANO CORTES DE MENDONCA</t>
  </si>
  <si>
    <t xml:space="preserve">ROSALANDIA FLORICULTURA</t>
  </si>
  <si>
    <t xml:space="preserve">FIGUEIRA COMERCIO E SERVICOS LTDA</t>
  </si>
  <si>
    <t xml:space="preserve">LANCHONETE POSTO FIGUEIRO</t>
  </si>
  <si>
    <t xml:space="preserve">MARILEIDE DA CRUZ VARGAS</t>
  </si>
  <si>
    <t xml:space="preserve">J K CONVENIENCIA</t>
  </si>
  <si>
    <t xml:space="preserve">COMERCIAL UNIAO LTDA</t>
  </si>
  <si>
    <t xml:space="preserve">SM UNIAO II</t>
  </si>
  <si>
    <t xml:space="preserve">R V ACOUGUE E CONVENIENCIA LTDA</t>
  </si>
  <si>
    <t xml:space="preserve">RV ACOUGUE E CONV</t>
  </si>
  <si>
    <t xml:space="preserve">DAKOTA TRANSPORTES LTDA</t>
  </si>
  <si>
    <t xml:space="preserve">AUTO POSTO DAKOTA</t>
  </si>
  <si>
    <t xml:space="preserve">EDUARDO TORRES SOUSA</t>
  </si>
  <si>
    <t xml:space="preserve">MARIA IMACULADA CANGUSSU DIAS</t>
  </si>
  <si>
    <t xml:space="preserve">SM BAIXINHO</t>
  </si>
  <si>
    <t xml:space="preserve">IRAIVAM FERREIRA MACEDO</t>
  </si>
  <si>
    <t xml:space="preserve">H.L. COSMETICOS</t>
  </si>
  <si>
    <t xml:space="preserve">ROSELI FERREIRA SOUZA</t>
  </si>
  <si>
    <t xml:space="preserve">PANF FATALA</t>
  </si>
  <si>
    <t xml:space="preserve">RISONEIDE PARNAIBA VIEIRA DA SILVA</t>
  </si>
  <si>
    <t xml:space="preserve">MERCEARIA E ACOUGUE AREA VERDE</t>
  </si>
  <si>
    <t xml:space="preserve">ROSANA SOUZA BATISTA</t>
  </si>
  <si>
    <t xml:space="preserve">MERCEARIA CAZOTE</t>
  </si>
  <si>
    <t xml:space="preserve">APARECIDA E M C DE SOUZA</t>
  </si>
  <si>
    <t xml:space="preserve">CONV ALVORADA</t>
  </si>
  <si>
    <t xml:space="preserve">ARIANA VARALDO DA FONSECA</t>
  </si>
  <si>
    <t xml:space="preserve">FARMABELA</t>
  </si>
  <si>
    <t xml:space="preserve">ANDERSON MOURA MACHADO</t>
  </si>
  <si>
    <t xml:space="preserve">PALADAR PAES E CONF</t>
  </si>
  <si>
    <t xml:space="preserve">GIAN FABIO FLORES BRUM</t>
  </si>
  <si>
    <t xml:space="preserve">CENTRAL GELO</t>
  </si>
  <si>
    <t xml:space="preserve">MARCIA FRAILE</t>
  </si>
  <si>
    <t xml:space="preserve">CONVENIENCIAS 4 M</t>
  </si>
  <si>
    <t xml:space="preserve">ROSELY SANTANA</t>
  </si>
  <si>
    <t xml:space="preserve">INDUSTRIA ALIMENTOS SANTANA</t>
  </si>
  <si>
    <t xml:space="preserve">LEONEL PEREIRA SARAIVA</t>
  </si>
  <si>
    <t xml:space="preserve">CLAUDECI DA SILVA E CIA LTDA</t>
  </si>
  <si>
    <t xml:space="preserve">MERCADO ROCHA FORTE</t>
  </si>
  <si>
    <t xml:space="preserve">CASA PRIMAVERA</t>
  </si>
  <si>
    <t xml:space="preserve">COMERCIAL RIBEIRO ZUCARELI LTDA</t>
  </si>
  <si>
    <t xml:space="preserve">SM ZUCARELLI</t>
  </si>
  <si>
    <t xml:space="preserve">ANGELICA MARIA CEOLIN</t>
  </si>
  <si>
    <t xml:space="preserve">CEOLIM ALIMENTOS</t>
  </si>
  <si>
    <t xml:space="preserve">DARLI NONATO B SILVA</t>
  </si>
  <si>
    <t xml:space="preserve">ESQUINA DAS UTILIDADES</t>
  </si>
  <si>
    <t xml:space="preserve">NEIDE ROCHA BARROS GONCALVES</t>
  </si>
  <si>
    <t xml:space="preserve">COMERCIAL QUIRINO LTDA</t>
  </si>
  <si>
    <t xml:space="preserve">COMERCIAL QUIRINO</t>
  </si>
  <si>
    <t xml:space="preserve">DOMINGOS PINTO DA SILVA</t>
  </si>
  <si>
    <t xml:space="preserve">ANASUPER</t>
  </si>
  <si>
    <t xml:space="preserve">REDE PANTANAL</t>
  </si>
  <si>
    <t xml:space="preserve">W M A DE MOURA CHAVES DA LUZ</t>
  </si>
  <si>
    <t xml:space="preserve">S A DA COSTA</t>
  </si>
  <si>
    <t xml:space="preserve">MERC PRIMAVERA</t>
  </si>
  <si>
    <t xml:space="preserve">D L DOS SANTOS MERCEARIA</t>
  </si>
  <si>
    <t xml:space="preserve">PADARIA DO BAIRRO</t>
  </si>
  <si>
    <t xml:space="preserve">NEUSA DIAS JUNQUEIRA</t>
  </si>
  <si>
    <t xml:space="preserve">RESTAURANTE 2000</t>
  </si>
  <si>
    <t xml:space="preserve">C G DA SILVA</t>
  </si>
  <si>
    <t xml:space="preserve">FRANCIS MENDONCA FERREIRA</t>
  </si>
  <si>
    <t xml:space="preserve">SIMONE SOUZA ARRUDA</t>
  </si>
  <si>
    <t xml:space="preserve">PANIF PADOCA MARTINS</t>
  </si>
  <si>
    <t xml:space="preserve">PANEBELLO PANIFICADORA E CONVENIEN LTDA </t>
  </si>
  <si>
    <t xml:space="preserve">PANEBELLO PANIFIC.CONVENIENCIA</t>
  </si>
  <si>
    <t xml:space="preserve">CARLOS DIAS SOUZA MERCEARIA</t>
  </si>
  <si>
    <t xml:space="preserve">JORGE SABOUNGI SLEIMAN</t>
  </si>
  <si>
    <t xml:space="preserve">EMPORIO SANTA FE</t>
  </si>
  <si>
    <t xml:space="preserve">AURELIO MUNHOZ DE SOUZA</t>
  </si>
  <si>
    <t xml:space="preserve">LIV E PAPELARIA INTEGRACAO</t>
  </si>
  <si>
    <t xml:space="preserve">AMACOCO NORDESTE LTDA</t>
  </si>
  <si>
    <t xml:space="preserve">PETROLINA</t>
  </si>
  <si>
    <t xml:space="preserve">VANDA DE FATIMA FERREIRA LIMA</t>
  </si>
  <si>
    <t xml:space="preserve">COSTA E LEONARDI LTDA</t>
  </si>
  <si>
    <t xml:space="preserve">REST E LANCH SANTA ROSA</t>
  </si>
  <si>
    <t xml:space="preserve">CAIPIRAO RESTAURANTE E LANCHONETE LTDA  </t>
  </si>
  <si>
    <t xml:space="preserve">LANCH E REST NSRA APARECIDA</t>
  </si>
  <si>
    <t xml:space="preserve">ROSILDA DE MORAES MARQUES</t>
  </si>
  <si>
    <t xml:space="preserve">J BENICIO FILHO</t>
  </si>
  <si>
    <t xml:space="preserve">CONVENIENCIA RANGEL</t>
  </si>
  <si>
    <t xml:space="preserve">DROGARIA DROGAMED LTDA</t>
  </si>
  <si>
    <t xml:space="preserve">GERALDO SUPERMERCADO LTDA</t>
  </si>
  <si>
    <t xml:space="preserve">GERALDO SUPERMERCADO</t>
  </si>
  <si>
    <t xml:space="preserve">A T MARTELLO</t>
  </si>
  <si>
    <t xml:space="preserve">RESTAURANTE EUCALIPTO</t>
  </si>
  <si>
    <t xml:space="preserve">CLARICE DUARTE GOMES MARCOSSE</t>
  </si>
  <si>
    <t xml:space="preserve">MERCADINHO MOREIRA</t>
  </si>
  <si>
    <t xml:space="preserve">J A AMARAL E CIA LTDA</t>
  </si>
  <si>
    <t xml:space="preserve">PANIFICADORA SAO SEBASTIAO</t>
  </si>
  <si>
    <t xml:space="preserve">EDISON GIL NOGUEIRA</t>
  </si>
  <si>
    <t xml:space="preserve">AC CEREALISTA NOSSA SRA APARECIDA LTDA  </t>
  </si>
  <si>
    <t xml:space="preserve">CEREALISTA NSRA APARECIDA</t>
  </si>
  <si>
    <t xml:space="preserve">NACAGAMI SERVICOS ADM LTDA</t>
  </si>
  <si>
    <t xml:space="preserve">REDEMS NACAGAMI </t>
  </si>
  <si>
    <t xml:space="preserve">SUPERMERCADO NACAGAMI</t>
  </si>
  <si>
    <t xml:space="preserve">SM NACAGAMI</t>
  </si>
  <si>
    <t xml:space="preserve">ALCEU ADAUTO SANTORO</t>
  </si>
  <si>
    <t xml:space="preserve">RESTAURANTE E LANCH. JUTI</t>
  </si>
  <si>
    <t xml:space="preserve">ELIZEU CLEMENTINO DOS SANTOS</t>
  </si>
  <si>
    <t xml:space="preserve">EDSON XAVIER DOS SANTOS</t>
  </si>
  <si>
    <t xml:space="preserve">MERCADO BIG BOM</t>
  </si>
  <si>
    <t xml:space="preserve">ANDREOLI E ANDREOLI LTDA</t>
  </si>
  <si>
    <t xml:space="preserve">O POLENTAO II</t>
  </si>
  <si>
    <t xml:space="preserve">AUTO POSTO SANTA CLARA LTDA</t>
  </si>
  <si>
    <t xml:space="preserve">POSTO SANTA CLARA</t>
  </si>
  <si>
    <t xml:space="preserve">COMERCIAL FENIX ALIMENTOS EIRELI ME</t>
  </si>
  <si>
    <t xml:space="preserve">MARTINEZ RIBEIRO LTDA ME</t>
  </si>
  <si>
    <t xml:space="preserve">ADEGA CONVENIENCIA INDIANAPOLI</t>
  </si>
  <si>
    <t xml:space="preserve">LUZIA DOS SANTOS MEDEIROS</t>
  </si>
  <si>
    <t xml:space="preserve">MERCADINHO SANTA LUZIA</t>
  </si>
  <si>
    <t xml:space="preserve">SULEINE DE FATIMA MAGI SAIFEDDINE</t>
  </si>
  <si>
    <t xml:space="preserve">DISTRIBUIDORA MAGI</t>
  </si>
  <si>
    <t xml:space="preserve">POSTO CARANDA BOSQUE LTDA</t>
  </si>
  <si>
    <t xml:space="preserve">S A ANDRELLA MADUREIRA</t>
  </si>
  <si>
    <t xml:space="preserve">MERCEARIA PORTUGUESA</t>
  </si>
  <si>
    <t xml:space="preserve">ROBERTO DEMEU PEREIRA</t>
  </si>
  <si>
    <t xml:space="preserve">CHAMA GAS E ADEGAS</t>
  </si>
  <si>
    <t xml:space="preserve">LODI E CURIONI LTDA</t>
  </si>
  <si>
    <t xml:space="preserve">FARMA NOVA</t>
  </si>
  <si>
    <t xml:space="preserve">PELLICIONI E SOUZA LTDA</t>
  </si>
  <si>
    <t xml:space="preserve">KANASHIMA E KARIYA LTDA</t>
  </si>
  <si>
    <t xml:space="preserve">PASTELARIA KINOMA</t>
  </si>
  <si>
    <t xml:space="preserve">JOSE LEONIDAS GOMES ME</t>
  </si>
  <si>
    <t xml:space="preserve">JM MERCEARIA</t>
  </si>
  <si>
    <t xml:space="preserve">MARIO J DE OLIVEIRA E CIA LTDA</t>
  </si>
  <si>
    <t xml:space="preserve">SM OLIVEIRA</t>
  </si>
  <si>
    <t xml:space="preserve">SUPERMERCADO RAFAGNIN LTDA</t>
  </si>
  <si>
    <t xml:space="preserve">DEPOSITO DE FRUTAS RAFAGNIN</t>
  </si>
  <si>
    <t xml:space="preserve">C AQUINOS ALIMENTOS</t>
  </si>
  <si>
    <t xml:space="preserve">SM LION</t>
  </si>
  <si>
    <t xml:space="preserve">STEAK HOUSE NOVO HORIZONTE LTDA</t>
  </si>
  <si>
    <t xml:space="preserve">STEAK HOUSE</t>
  </si>
  <si>
    <t xml:space="preserve">TC ANDRADE PANIFICADORA LTDA</t>
  </si>
  <si>
    <t xml:space="preserve">PANIF TRES IRMAOS</t>
  </si>
  <si>
    <t xml:space="preserve">ALECA PRODUTOS ALIMENTICIOS LTDA</t>
  </si>
  <si>
    <t xml:space="preserve">LANCHONETE FRUTAL</t>
  </si>
  <si>
    <t xml:space="preserve">NISHIKAWA E CIA LTDA EPP</t>
  </si>
  <si>
    <t xml:space="preserve">LIV E PAPELA NISHIKAWA</t>
  </si>
  <si>
    <t xml:space="preserve">MARIA ROSIMEIRE APARECIDA RUFINO</t>
  </si>
  <si>
    <t xml:space="preserve">MERCEARIA BANDEIRA LTDA</t>
  </si>
  <si>
    <t xml:space="preserve">MERCEARIA BANDEIRA</t>
  </si>
  <si>
    <t xml:space="preserve">CLEONICE MISQUITA DE OLIVEIRA ARRUDA</t>
  </si>
  <si>
    <t xml:space="preserve">MERCEARIA E CONV.OLIVEIRA</t>
  </si>
  <si>
    <t xml:space="preserve">PROCOPIU'S BOLICHE LTDA</t>
  </si>
  <si>
    <t xml:space="preserve">PROCOPIU'S BOLICHE</t>
  </si>
  <si>
    <t xml:space="preserve">RODRIGO MELLO</t>
  </si>
  <si>
    <t xml:space="preserve">CAFE &amp; CIA</t>
  </si>
  <si>
    <t xml:space="preserve">CONVENIENCIA DO TONINHO</t>
  </si>
  <si>
    <t xml:space="preserve">V R CORDEIRO E CIA LTDA</t>
  </si>
  <si>
    <t xml:space="preserve">COMERCIAL PROGRESSO</t>
  </si>
  <si>
    <t xml:space="preserve">SUPERMERCADO MARTINS SOUZA LTDA</t>
  </si>
  <si>
    <t xml:space="preserve">PANIFICADORA STELA LTDA</t>
  </si>
  <si>
    <t xml:space="preserve">BARBOSA E RICCIO LTDA</t>
  </si>
  <si>
    <t xml:space="preserve">PANIFICADORA TIETE</t>
  </si>
  <si>
    <t xml:space="preserve">TM AMARAL E CIA LTDA</t>
  </si>
  <si>
    <t xml:space="preserve">TEOBALDO PANQUECARIA</t>
  </si>
  <si>
    <t xml:space="preserve">A SALADERIA COM DE ALIMENTOS LTDA</t>
  </si>
  <si>
    <t xml:space="preserve">CONVENIENCIA SANTOS LTDA</t>
  </si>
  <si>
    <t xml:space="preserve">ARTEIRO E MARCONDES LTDA</t>
  </si>
  <si>
    <t xml:space="preserve">CAFE VEREDA</t>
  </si>
  <si>
    <t xml:space="preserve">MERCADO RICARPAN LTDA</t>
  </si>
  <si>
    <t xml:space="preserve">VERA LUCIA BATISTA LANCHE</t>
  </si>
  <si>
    <t xml:space="preserve">PASTELARIA BOX DO MILTON</t>
  </si>
  <si>
    <t xml:space="preserve">RAMAO BENITES</t>
  </si>
  <si>
    <t xml:space="preserve">BAR E MERCEARIA SAO RAMAO</t>
  </si>
  <si>
    <t xml:space="preserve">ROSALINA COUTO TAVARES</t>
  </si>
  <si>
    <t xml:space="preserve">BAR E LANCH ESTRELA</t>
  </si>
  <si>
    <t xml:space="preserve">CARLOS ALBERTO BERTOLIM</t>
  </si>
  <si>
    <t xml:space="preserve">MINI BOX BERTOLIM</t>
  </si>
  <si>
    <t xml:space="preserve">PEDRO PEREIRA FARIAS</t>
  </si>
  <si>
    <t xml:space="preserve">EMPREEND TURIT BURACO DAS ARARAS LTDA</t>
  </si>
  <si>
    <t xml:space="preserve">SANTOS E CIA LTDA</t>
  </si>
  <si>
    <t xml:space="preserve">SM PONTO COM</t>
  </si>
  <si>
    <t xml:space="preserve">CATIA LEINI FERREIRA E CIA LTDA</t>
  </si>
  <si>
    <t xml:space="preserve">SEMPRE BELLA COSMETICOS</t>
  </si>
  <si>
    <t xml:space="preserve">ORTIZ E FELTRIM LTDA</t>
  </si>
  <si>
    <t xml:space="preserve">NILSON VILHALVA FRANCO</t>
  </si>
  <si>
    <t xml:space="preserve">PANIF SANTA MARIA</t>
  </si>
  <si>
    <t xml:space="preserve">GENI MELANIA CANDIA</t>
  </si>
  <si>
    <t xml:space="preserve">HOTEL REST. LANCH. PARANA</t>
  </si>
  <si>
    <t xml:space="preserve">POSTO ELDORADO TRES LAGOAS LTDA</t>
  </si>
  <si>
    <t xml:space="preserve">POSTO ELDORADO</t>
  </si>
  <si>
    <t xml:space="preserve">HEVILA T SANOMIYA E CIA LTDA</t>
  </si>
  <si>
    <t xml:space="preserve">DOCE CAFE</t>
  </si>
  <si>
    <t xml:space="preserve">PANIF AQUARELA</t>
  </si>
  <si>
    <t xml:space="preserve">SANDRA DE FATIMA CASARIN FLAVIO</t>
  </si>
  <si>
    <t xml:space="preserve">ANGELINA BEVILACQUA</t>
  </si>
  <si>
    <t xml:space="preserve">SM STO ANTONIO</t>
  </si>
  <si>
    <t xml:space="preserve">ANGELA A E NAKATANI</t>
  </si>
  <si>
    <t xml:space="preserve">MERCADO E CONV ESPERANCA</t>
  </si>
  <si>
    <t xml:space="preserve">GREENHOUSE COM DE ALIM E SERV DE BUFFET </t>
  </si>
  <si>
    <t xml:space="preserve">PAPO DE ANJO</t>
  </si>
  <si>
    <t xml:space="preserve">RIANEZ CLAUDIA G B DE MELO ME</t>
  </si>
  <si>
    <t xml:space="preserve">AU Q MIA</t>
  </si>
  <si>
    <t xml:space="preserve">MERCADO ACOUGUE CONVENIENCIA HUANY LTDA </t>
  </si>
  <si>
    <t xml:space="preserve">HUANI MERCADO E ACOUGUE</t>
  </si>
  <si>
    <t xml:space="preserve">ELOIDE FRETE MIRANDA</t>
  </si>
  <si>
    <t xml:space="preserve">RESTAURANTE DA ELO</t>
  </si>
  <si>
    <t xml:space="preserve">SUPERMERCADO PARAIBANO LTDA</t>
  </si>
  <si>
    <t xml:space="preserve">SUPERMERCADO PARAIBANO</t>
  </si>
  <si>
    <t xml:space="preserve">MARQUES E MARTINS LTDA</t>
  </si>
  <si>
    <t xml:space="preserve">FARMACIA N SRA APARECIDA</t>
  </si>
  <si>
    <t xml:space="preserve">PRISCILLA EMANUELLE M DE O FRANDOLOSO</t>
  </si>
  <si>
    <t xml:space="preserve">GASTAO IN CASA</t>
  </si>
  <si>
    <t xml:space="preserve">BRESSIANI E BRESSIANI LTDA</t>
  </si>
  <si>
    <t xml:space="preserve">HERSHEY DO BRASIL LTDA</t>
  </si>
  <si>
    <t xml:space="preserve">SAO ROQUE</t>
  </si>
  <si>
    <t xml:space="preserve">HERSHEY'S</t>
  </si>
  <si>
    <t xml:space="preserve">DEPOSITO BARBOSA LTDA</t>
  </si>
  <si>
    <t xml:space="preserve">PH&amp;T POTENCIAL HUMANO E TECNOLOGIA</t>
  </si>
  <si>
    <t xml:space="preserve">REDE IPERGRAN</t>
  </si>
  <si>
    <t xml:space="preserve">EDVAN BONETTI DOCERIA</t>
  </si>
  <si>
    <t xml:space="preserve">SANDRA ESPINDOLA PLEUTIM</t>
  </si>
  <si>
    <t xml:space="preserve">MERCEARIA SAO BENTO</t>
  </si>
  <si>
    <t xml:space="preserve">TEC MICROS INFORMATICA LTDA</t>
  </si>
  <si>
    <t xml:space="preserve">TEC MICROS</t>
  </si>
  <si>
    <t xml:space="preserve">CELIA CRISTINA XAVIER</t>
  </si>
  <si>
    <t xml:space="preserve">DIS BEM</t>
  </si>
  <si>
    <t xml:space="preserve">ROGERIO MIRANDA CHAGAS</t>
  </si>
  <si>
    <t xml:space="preserve">COMERCIAL SERVE BEM</t>
  </si>
  <si>
    <t xml:space="preserve">VET CENTER LTDA ME</t>
  </si>
  <si>
    <t xml:space="preserve">VET CENTER PET</t>
  </si>
  <si>
    <t xml:space="preserve">ASSOCIACAO SUPER REDE LTDA</t>
  </si>
  <si>
    <t xml:space="preserve">SUPER REDE</t>
  </si>
  <si>
    <t xml:space="preserve">R A SANTOS RESTAURANTE</t>
  </si>
  <si>
    <t xml:space="preserve">CHURRASCARIA UM</t>
  </si>
  <si>
    <t xml:space="preserve">ATHAIDE LEITE BRUM</t>
  </si>
  <si>
    <t xml:space="preserve">ACOUGUE E MERCEARIA STO ANDRE</t>
  </si>
  <si>
    <t xml:space="preserve">A A DA SILVA DOCES</t>
  </si>
  <si>
    <t xml:space="preserve">DIST DE DOCES BEIRUTH</t>
  </si>
  <si>
    <t xml:space="preserve">CHAGAS E FALCAO LTDA</t>
  </si>
  <si>
    <t xml:space="preserve">MERCADO CAMARADA</t>
  </si>
  <si>
    <t xml:space="preserve">OLCRECI PEREIRA DE LIMA</t>
  </si>
  <si>
    <t xml:space="preserve">SM FAVORITO II</t>
  </si>
  <si>
    <t xml:space="preserve">M F TORQUATO RIBEIRO</t>
  </si>
  <si>
    <t xml:space="preserve">MARIANA</t>
  </si>
  <si>
    <t xml:space="preserve">EVANIA MARIANO VIEIRA MARQUES</t>
  </si>
  <si>
    <t xml:space="preserve">MERCADO BOM GOSTO</t>
  </si>
  <si>
    <t xml:space="preserve">MANOEL FRANCISCO DE SOUZA</t>
  </si>
  <si>
    <t xml:space="preserve">S M DE ARAUJO E CIA LTDA</t>
  </si>
  <si>
    <t xml:space="preserve">FERNANDES E CIA LTDA</t>
  </si>
  <si>
    <t xml:space="preserve">POSTO ITANHANGA</t>
  </si>
  <si>
    <t xml:space="preserve">M L M NOGUEIRA</t>
  </si>
  <si>
    <t xml:space="preserve">CIOCCA E PASE LTDA</t>
  </si>
  <si>
    <t xml:space="preserve">PANF ELDORADO</t>
  </si>
  <si>
    <t xml:space="preserve">JOMAR MIRANDA LOUREIRO GOMES</t>
  </si>
  <si>
    <t xml:space="preserve">JONATHAN BORGES DE OLIVEIRA</t>
  </si>
  <si>
    <t xml:space="preserve">MJ DE ARAUJO</t>
  </si>
  <si>
    <t xml:space="preserve">SACOLAO AVENIDA</t>
  </si>
  <si>
    <t xml:space="preserve">LOPES E ALMADA LTDA</t>
  </si>
  <si>
    <t xml:space="preserve">VIVA NATURAL</t>
  </si>
  <si>
    <t xml:space="preserve">H M TAMAZATO</t>
  </si>
  <si>
    <t xml:space="preserve">PURO SABOR</t>
  </si>
  <si>
    <t xml:space="preserve">DANIEL ALVES DE SOUZA</t>
  </si>
  <si>
    <t xml:space="preserve">PAULO S C S DA CUNHA</t>
  </si>
  <si>
    <t xml:space="preserve">DISTRIB CARNES DERIVADOS ALEXANDRE LTDA </t>
  </si>
  <si>
    <t xml:space="preserve">MARCIO ANTONIO SABINO</t>
  </si>
  <si>
    <t xml:space="preserve">MERCADO TERRA RICA</t>
  </si>
  <si>
    <t xml:space="preserve">MERCADO PORTAL LTDA</t>
  </si>
  <si>
    <t xml:space="preserve">SM PORTAL</t>
  </si>
  <si>
    <t xml:space="preserve">JOSIMAR DE MATOS SILVA</t>
  </si>
  <si>
    <t xml:space="preserve">CELIA ALVES SANTOS EPP</t>
  </si>
  <si>
    <t xml:space="preserve">S A DA SILVA RODRIGUES</t>
  </si>
  <si>
    <t xml:space="preserve">DISTRIBUIDORA REALEZA</t>
  </si>
  <si>
    <t xml:space="preserve">TERESA P MORESCO</t>
  </si>
  <si>
    <t xml:space="preserve">ATACADO SANTA CLARA</t>
  </si>
  <si>
    <t xml:space="preserve">ENOC COELHO DE LIMA</t>
  </si>
  <si>
    <t xml:space="preserve">SERV FESTA LIMA</t>
  </si>
  <si>
    <t xml:space="preserve">COMERCIAL DE ALIMENTOS J OLIVEIRA LTDA  </t>
  </si>
  <si>
    <t xml:space="preserve">COMERCIAL DO PRODUTOR</t>
  </si>
  <si>
    <t xml:space="preserve">A M P QUEIROZ MINI MERCADO</t>
  </si>
  <si>
    <t xml:space="preserve">MINI MERCADO NUNES</t>
  </si>
  <si>
    <t xml:space="preserve">A D VIZZOTTO E CIA LTDA</t>
  </si>
  <si>
    <t xml:space="preserve">MERCADO COMPRE</t>
  </si>
  <si>
    <t xml:space="preserve">JOEL MENDES DA SILVA</t>
  </si>
  <si>
    <t xml:space="preserve">COMEWE COMERCIO ALIM LTDA  ME</t>
  </si>
  <si>
    <t xml:space="preserve">ROSANA APARECIDA LOPES BONDAN</t>
  </si>
  <si>
    <t xml:space="preserve">PANIF PINGO DE OURO</t>
  </si>
  <si>
    <t xml:space="preserve">DIB JORGE ABUSSAFI FIGUEIRO</t>
  </si>
  <si>
    <t xml:space="preserve">TEIXEIRA E ALMEIDA LTDA</t>
  </si>
  <si>
    <t xml:space="preserve">SAGITARIUS PAES</t>
  </si>
  <si>
    <t xml:space="preserve">PORTAL LANCHONETE E EVENTOS LTDA</t>
  </si>
  <si>
    <t xml:space="preserve">O PORTEIRAO</t>
  </si>
  <si>
    <t xml:space="preserve">WALNIR SILVA DE OLIVEIRA</t>
  </si>
  <si>
    <t xml:space="preserve">SUPERMERCADO MATOS E MATOS LTDA</t>
  </si>
  <si>
    <t xml:space="preserve">HOTEL PERTITI LTDA</t>
  </si>
  <si>
    <t xml:space="preserve">BARBABRA HOTEL</t>
  </si>
  <si>
    <t xml:space="preserve">F V GALVAO COMERCIAL</t>
  </si>
  <si>
    <t xml:space="preserve">VITOIO'S PIZZARIA E REST</t>
  </si>
  <si>
    <t xml:space="preserve">FERNANDO PEREIRA DE SOUZA</t>
  </si>
  <si>
    <t xml:space="preserve">RENILDA VORPAGEL</t>
  </si>
  <si>
    <t xml:space="preserve">SM INDIANE II</t>
  </si>
  <si>
    <t xml:space="preserve">ANILDO SANTOS MARECO</t>
  </si>
  <si>
    <t xml:space="preserve">COMERCIAL J.M</t>
  </si>
  <si>
    <t xml:space="preserve">ROBERTO HADDAD NESRALA</t>
  </si>
  <si>
    <t xml:space="preserve">FRIOS E CIA LTDA</t>
  </si>
  <si>
    <t xml:space="preserve">MERCADO MAQUINA MONTE ALEGRE LTDA ME</t>
  </si>
  <si>
    <t xml:space="preserve">MERCADO MAQUINA MONTE ALEGRE</t>
  </si>
  <si>
    <t xml:space="preserve">HELIO MARCIO CANDIDO COSTA</t>
  </si>
  <si>
    <t xml:space="preserve">CASA CARNE HELIO</t>
  </si>
  <si>
    <t xml:space="preserve">PBM COM. VAREJO DE MEDICAMENTOS LTDA</t>
  </si>
  <si>
    <t xml:space="preserve">FARMAIS</t>
  </si>
  <si>
    <t xml:space="preserve">ROZAO E WEBER LTDA</t>
  </si>
  <si>
    <t xml:space="preserve">NEW POINT - LANCHONETE</t>
  </si>
  <si>
    <t xml:space="preserve">I P CUSTODIO</t>
  </si>
  <si>
    <t xml:space="preserve">SUPERMERCADO CORBARI LTDA</t>
  </si>
  <si>
    <t xml:space="preserve">REGINALDO DUDA DA SILVA</t>
  </si>
  <si>
    <t xml:space="preserve">MERCADINHO ESTRELA</t>
  </si>
  <si>
    <t xml:space="preserve">JOAO SATURNINO DA SILVA</t>
  </si>
  <si>
    <t xml:space="preserve">MERCEARIA KI PRECO</t>
  </si>
  <si>
    <t xml:space="preserve">MERCADINHO ROSSI</t>
  </si>
  <si>
    <t xml:space="preserve">PARQUE ECOLOGICO RIO FORMOSO LTDA</t>
  </si>
  <si>
    <t xml:space="preserve">PARQUE ECOLOGICO RIO FORMOSO</t>
  </si>
  <si>
    <t xml:space="preserve">HELENIR PEDO</t>
  </si>
  <si>
    <t xml:space="preserve">MERCADO FLOR DA SERRA</t>
  </si>
  <si>
    <t xml:space="preserve">IVONE APARECIDA OLIVEIRA PRADO</t>
  </si>
  <si>
    <t xml:space="preserve">VICARI REST PRADO</t>
  </si>
  <si>
    <t xml:space="preserve">MACHADO E VILAR LTDA</t>
  </si>
  <si>
    <t xml:space="preserve">COMERCIAL SORRISO</t>
  </si>
  <si>
    <t xml:space="preserve">CATARINO E CHERUBIM LTDA</t>
  </si>
  <si>
    <t xml:space="preserve">MINI MERCADO E ACOUGUE KARINA</t>
  </si>
  <si>
    <t xml:space="preserve">FRANCISMEIRE DO CARMO BRAGA AGUEIRO</t>
  </si>
  <si>
    <t xml:space="preserve">MERCADINHO DO XIRU LTDA</t>
  </si>
  <si>
    <t xml:space="preserve">MERCADINHO DO XIRU</t>
  </si>
  <si>
    <t xml:space="preserve">COMERCIAL ZEUS LTDA</t>
  </si>
  <si>
    <t xml:space="preserve">COMERCIAL ZEUS</t>
  </si>
  <si>
    <t xml:space="preserve">MARCELO SILVA FRAGOSO</t>
  </si>
  <si>
    <t xml:space="preserve">CICLO RIBEIRO</t>
  </si>
  <si>
    <t xml:space="preserve">JOSE MARIA JUVELINO</t>
  </si>
  <si>
    <t xml:space="preserve">SUPERMERCADO PANTAL</t>
  </si>
  <si>
    <t xml:space="preserve">N FERREIRA DA SILVA</t>
  </si>
  <si>
    <t xml:space="preserve">RACOES DALMATAS</t>
  </si>
  <si>
    <t xml:space="preserve">MARIA APARECIDA LIMA DE ARAUJO</t>
  </si>
  <si>
    <t xml:space="preserve">MERCADINHO CHIPS</t>
  </si>
  <si>
    <t xml:space="preserve">D D DE SALES</t>
  </si>
  <si>
    <t xml:space="preserve">BELLA FACE COSMETICOS LTDA</t>
  </si>
  <si>
    <t xml:space="preserve">GLORIA BEATRIZ ORTIZ VIDAL</t>
  </si>
  <si>
    <t xml:space="preserve">MERCADO ISABELLA</t>
  </si>
  <si>
    <t xml:space="preserve">CENTRO FARMA LTDA</t>
  </si>
  <si>
    <t xml:space="preserve">TEREZA FRANCISCO ALVES SERGIO</t>
  </si>
  <si>
    <t xml:space="preserve">J M ZACCHI</t>
  </si>
  <si>
    <t xml:space="preserve">LJ CONV P. MARINGA I</t>
  </si>
  <si>
    <t xml:space="preserve">ZELIA LARA OLIVEIRA</t>
  </si>
  <si>
    <t xml:space="preserve">LARA COSMETICOS</t>
  </si>
  <si>
    <t xml:space="preserve">MARLI MONTEIRO SOUZA</t>
  </si>
  <si>
    <t xml:space="preserve">MD.CONVENIENCIAS</t>
  </si>
  <si>
    <t xml:space="preserve">SIDINEI FERREIRA DE FARIAS</t>
  </si>
  <si>
    <t xml:space="preserve">PANIF. E LANCH PAO DE MEL</t>
  </si>
  <si>
    <t xml:space="preserve">ZELY ANTONIA ROZALINO LUCIO</t>
  </si>
  <si>
    <t xml:space="preserve">SM GEISSI</t>
  </si>
  <si>
    <t xml:space="preserve">CRISTIANE LIMA DE ALENCAR</t>
  </si>
  <si>
    <t xml:space="preserve">PANIF MONTEIRO</t>
  </si>
  <si>
    <t xml:space="preserve">DERCIDIO CONSTANTINO</t>
  </si>
  <si>
    <t xml:space="preserve">PIZZARIA CHOPERIA FUNDO DE QUINTAL LTDA </t>
  </si>
  <si>
    <t xml:space="preserve">PIZZARIA FUNDO DE QUINTAL</t>
  </si>
  <si>
    <t xml:space="preserve">CLAUDIO APARECIDO MENEGASSI</t>
  </si>
  <si>
    <t xml:space="preserve">MERCEARIA CACAU</t>
  </si>
  <si>
    <t xml:space="preserve">ANTONIO FERREIRA DOS SANTOS</t>
  </si>
  <si>
    <t xml:space="preserve">DIRCEU RUCASQUE PEREIRA E CIA LTDA</t>
  </si>
  <si>
    <t xml:space="preserve">OVIDIO FALAVIGNA NETO</t>
  </si>
  <si>
    <t xml:space="preserve">JOSE LUIS FREIRE</t>
  </si>
  <si>
    <t xml:space="preserve">BARUCH</t>
  </si>
  <si>
    <t xml:space="preserve">GLAICIMAR NOGUEIRA DE PAULA CARVALHO</t>
  </si>
  <si>
    <t xml:space="preserve">COMERCIAL 8 DE MAIO</t>
  </si>
  <si>
    <t xml:space="preserve">SYDNEY AMARILHA</t>
  </si>
  <si>
    <t xml:space="preserve">COMERCIAL SYDY</t>
  </si>
  <si>
    <t xml:space="preserve">RAMAO DONATO DE OLIVEIRA</t>
  </si>
  <si>
    <t xml:space="preserve">PANIFICADORA DO DONATO</t>
  </si>
  <si>
    <t xml:space="preserve">CONVENIENCIA ESTRELA DO SUL LTDA</t>
  </si>
  <si>
    <t xml:space="preserve">SM LUNARDI</t>
  </si>
  <si>
    <t xml:space="preserve">REGINA ARAUJO LIMA</t>
  </si>
  <si>
    <t xml:space="preserve">ILSON BATISTA BORGES</t>
  </si>
  <si>
    <t xml:space="preserve">MERCADO E A?OUGUE IDEAL</t>
  </si>
  <si>
    <t xml:space="preserve">CAMPOS E PENHA LTDA</t>
  </si>
  <si>
    <t xml:space="preserve">MERCADO E CASA DE CARNE PENHA</t>
  </si>
  <si>
    <t xml:space="preserve">LEANDRO ROQUE JARDIM</t>
  </si>
  <si>
    <t xml:space="preserve">AGROPECUARIA BOI GORDO</t>
  </si>
  <si>
    <t xml:space="preserve">ALEM E AQUINO LTDA EPP</t>
  </si>
  <si>
    <t xml:space="preserve">SM QUEIROZ</t>
  </si>
  <si>
    <t xml:space="preserve">SUPERMERCADO CENTRO OESTE LTDA</t>
  </si>
  <si>
    <t xml:space="preserve">SM CENTRO OESTE</t>
  </si>
  <si>
    <t xml:space="preserve">REGINA CELIA DA SILVA</t>
  </si>
  <si>
    <t xml:space="preserve">MINI MERCADO BARONI</t>
  </si>
  <si>
    <t xml:space="preserve">ZAQUEU CARRASCO</t>
  </si>
  <si>
    <t xml:space="preserve">BACURI DO APA POUSADA E CONVEN LTDA</t>
  </si>
  <si>
    <t xml:space="preserve">BACURI DO APA</t>
  </si>
  <si>
    <t xml:space="preserve">GILVAN RIBEIRO</t>
  </si>
  <si>
    <t xml:space="preserve">MERCAFRIOS</t>
  </si>
  <si>
    <t xml:space="preserve">R G MARTINS</t>
  </si>
  <si>
    <t xml:space="preserve">NEUZA ORTIS</t>
  </si>
  <si>
    <t xml:space="preserve">ORTIZ CARMO CONVENIENCIA</t>
  </si>
  <si>
    <t xml:space="preserve">PALOSCHI E PALOSCHI LTDA</t>
  </si>
  <si>
    <t xml:space="preserve">SABOR REAL ALIMENTOS</t>
  </si>
  <si>
    <t xml:space="preserve">NINHAIS OPER DE VIAGENS E TURISMO LTDA  </t>
  </si>
  <si>
    <t xml:space="preserve">AGUINALDO ANDRETO DA SILVA</t>
  </si>
  <si>
    <t xml:space="preserve">CASELLES E MADEIRA LTDA</t>
  </si>
  <si>
    <t xml:space="preserve">STA CLARA PAES CONVENIENCIAS</t>
  </si>
  <si>
    <t xml:space="preserve">JOEL A LUNARDI</t>
  </si>
  <si>
    <t xml:space="preserve">BEER'S HOUSE</t>
  </si>
  <si>
    <t xml:space="preserve">MERCEARIA BATISTA LTDA</t>
  </si>
  <si>
    <t xml:space="preserve">MERCEARIA BATISTA</t>
  </si>
  <si>
    <t xml:space="preserve">A J VIDOVIX - ME</t>
  </si>
  <si>
    <t xml:space="preserve">BUFALO BRANCO HOTEL</t>
  </si>
  <si>
    <t xml:space="preserve">AMARILDO FERREIRA FONSECA</t>
  </si>
  <si>
    <t xml:space="preserve">CLAUDIO BARBOSA</t>
  </si>
  <si>
    <t xml:space="preserve">PANF DOURADOS</t>
  </si>
  <si>
    <t xml:space="preserve">HERONITA FERNANDES DE SOUSA</t>
  </si>
  <si>
    <t xml:space="preserve">S.PEDRO</t>
  </si>
  <si>
    <t xml:space="preserve">VALDINEIA DOS SANTOS</t>
  </si>
  <si>
    <t xml:space="preserve">ASSIS CONV E PADARIA</t>
  </si>
  <si>
    <t xml:space="preserve">FARMAZEN COM DE PROD FARMACEUTICOS LTDA </t>
  </si>
  <si>
    <t xml:space="preserve">FARMAZEN</t>
  </si>
  <si>
    <t xml:space="preserve">FRANCISCO DE ALBUQUERQUE CAVALCANTE</t>
  </si>
  <si>
    <t xml:space="preserve">COM.E CASA DE CARNE ANGELICA</t>
  </si>
  <si>
    <t xml:space="preserve">PINGO DOCE COMERCIO DE ALIMENTOS LTDA</t>
  </si>
  <si>
    <t xml:space="preserve">SM PINGO DOCE</t>
  </si>
  <si>
    <t xml:space="preserve">LUCIA JUNKO MOROTO HONDA</t>
  </si>
  <si>
    <t xml:space="preserve">PRIMAVERA CONV E MERCEARIA</t>
  </si>
  <si>
    <t xml:space="preserve">PEDRO RUFINO VILORDO</t>
  </si>
  <si>
    <t xml:space="preserve">MERCADINHO POR DO SOL</t>
  </si>
  <si>
    <t xml:space="preserve">MARIA DA LUZ GONCALVES SALVETTI</t>
  </si>
  <si>
    <t xml:space="preserve">EMPORIO SAO ROQUE</t>
  </si>
  <si>
    <t xml:space="preserve">ROGERIO LUIS CARVALHO DE OLIVEIRA</t>
  </si>
  <si>
    <t xml:space="preserve">CONVENIENCIA SANTOS REIS</t>
  </si>
  <si>
    <t xml:space="preserve">FERREIRA E AGOSTINI LTDA</t>
  </si>
  <si>
    <t xml:space="preserve">ANTONIA DE SOUSA PEREIRA</t>
  </si>
  <si>
    <t xml:space="preserve">SIRIA NABHAN YAMASHITA</t>
  </si>
  <si>
    <t xml:space="preserve">SM YAMASHITA</t>
  </si>
  <si>
    <t xml:space="preserve">F G RODRIGUES</t>
  </si>
  <si>
    <t xml:space="preserve">ADAO RIQUENA DOS SANTOS</t>
  </si>
  <si>
    <t xml:space="preserve">MERCADO MARTINS</t>
  </si>
  <si>
    <t xml:space="preserve">SAO MARCOS ENERGIA LTDA</t>
  </si>
  <si>
    <t xml:space="preserve">TECNICARE IND E COM LTDA</t>
  </si>
  <si>
    <t xml:space="preserve">TECNICARE</t>
  </si>
  <si>
    <t xml:space="preserve">MENDES E VASCONCELOS LTDA</t>
  </si>
  <si>
    <t xml:space="preserve">IVANIL ALVES DOS SANTOS</t>
  </si>
  <si>
    <t xml:space="preserve">O CESTAO</t>
  </si>
  <si>
    <t xml:space="preserve">SOLANGE SOUZA MERCADO</t>
  </si>
  <si>
    <t xml:space="preserve">MERCADO TIRADENTE</t>
  </si>
  <si>
    <t xml:space="preserve">MANSUR LOPES DUARTE EIRELLI</t>
  </si>
  <si>
    <t xml:space="preserve">SUPERMERCADO TIRADENTES</t>
  </si>
  <si>
    <t xml:space="preserve">PANIFICADORA DUARTE NUNES LTDA</t>
  </si>
  <si>
    <t xml:space="preserve">PANIF LANCH TERRA SANTA</t>
  </si>
  <si>
    <t xml:space="preserve">GUAIBA COMERCIO E TRANSP PETROLEO LTDA  </t>
  </si>
  <si>
    <t xml:space="preserve">POSTO DEDAO</t>
  </si>
  <si>
    <t xml:space="preserve">CLEIRI REIZ</t>
  </si>
  <si>
    <t xml:space="preserve">CENTRO DE CULINARIA DALANI</t>
  </si>
  <si>
    <t xml:space="preserve">CLEMILDES SOARES CABELO</t>
  </si>
  <si>
    <t xml:space="preserve">LANCH.E PIZZARIA O CHOPPAO</t>
  </si>
  <si>
    <t xml:space="preserve">SPINDOLA DE ALMEIDA E CIA LTDA</t>
  </si>
  <si>
    <t xml:space="preserve">PRATIKA CONVENIENCIA</t>
  </si>
  <si>
    <t xml:space="preserve">WALDELY GONCALVES NUNES</t>
  </si>
  <si>
    <t xml:space="preserve">10? RC MEC (QUARTEL)</t>
  </si>
  <si>
    <t xml:space="preserve">RESTAURANTE PRUDENTAO LTDA</t>
  </si>
  <si>
    <t xml:space="preserve">RESTAURANTE PRUDENTAO</t>
  </si>
  <si>
    <t xml:space="preserve">ROSSI E SIMAO</t>
  </si>
  <si>
    <t xml:space="preserve">DROGARIA SAUDE</t>
  </si>
  <si>
    <t xml:space="preserve">VETERINARIA SIGUINORI LTDA</t>
  </si>
  <si>
    <t xml:space="preserve">PLANETA ANIMAL</t>
  </si>
  <si>
    <t xml:space="preserve">FARMACIA SAO JOSE LTDA</t>
  </si>
  <si>
    <t xml:space="preserve">FARMACIA SAO JOSE</t>
  </si>
  <si>
    <t xml:space="preserve">ACOUGUE E MERCEARIA TAMANDARE LTDA</t>
  </si>
  <si>
    <t xml:space="preserve">ACOUGUE MERC TAMANDARE</t>
  </si>
  <si>
    <t xml:space="preserve">CORDIAL CONVENIENCIAS</t>
  </si>
  <si>
    <t xml:space="preserve">J L AZEVEDO</t>
  </si>
  <si>
    <t xml:space="preserve">HOTEL BUFALO BRANCO</t>
  </si>
  <si>
    <t xml:space="preserve">TAMIOZZO E TAMIOZZO LTDA</t>
  </si>
  <si>
    <t xml:space="preserve">SM ARCO IRIS</t>
  </si>
  <si>
    <t xml:space="preserve">ANA CRISTINA CARVALHO REGANO - ME</t>
  </si>
  <si>
    <t xml:space="preserve">CANTINA DAS CLINICAS DO UCDB</t>
  </si>
  <si>
    <t xml:space="preserve">AUDISOM SOM E ACESSORIOS LTDA</t>
  </si>
  <si>
    <t xml:space="preserve">CHURRASCARIA TIO NEGO</t>
  </si>
  <si>
    <t xml:space="preserve">PANIFICADORA E CONV SUPREMA LTDA</t>
  </si>
  <si>
    <t xml:space="preserve">PANIF SUPREMA</t>
  </si>
  <si>
    <t xml:space="preserve">MARGARETH BUTKENICIUS</t>
  </si>
  <si>
    <t xml:space="preserve">CAFE DO PONTO (GAL.DONA NETA)</t>
  </si>
  <si>
    <t xml:space="preserve">N O LINO</t>
  </si>
  <si>
    <t xml:space="preserve">M A DA SILVA</t>
  </si>
  <si>
    <t xml:space="preserve">SORVETERIA CUCA FRESCA</t>
  </si>
  <si>
    <t xml:space="preserve">JOHANN E ALVES LTDA</t>
  </si>
  <si>
    <t xml:space="preserve">SILMARA CRISTINA DE LIMA A GONCALVES</t>
  </si>
  <si>
    <t xml:space="preserve">LUCIANA SILVA ROMEIRO</t>
  </si>
  <si>
    <t xml:space="preserve">CASA DE CARNE PANTANAL</t>
  </si>
  <si>
    <t xml:space="preserve">HOTEL CABANAS LTDA</t>
  </si>
  <si>
    <t xml:space="preserve">GARDENIA DE ANDRADE CABRAL ME/MS</t>
  </si>
  <si>
    <t xml:space="preserve">CONVENIENCIA RUSTICA</t>
  </si>
  <si>
    <t xml:space="preserve">HELIA DE SOUZA RODOVALHO</t>
  </si>
  <si>
    <t xml:space="preserve">RESTAURANTE RECANTO DO SERTAO</t>
  </si>
  <si>
    <t xml:space="preserve">E J DE OLIVEIRA</t>
  </si>
  <si>
    <t xml:space="preserve">MERCEARIA E ACOUGUE WF</t>
  </si>
  <si>
    <t xml:space="preserve">REZENDE E BASTOS LTDA</t>
  </si>
  <si>
    <t xml:space="preserve">AGNALDO FERREIRA CAMARGO</t>
  </si>
  <si>
    <t xml:space="preserve">F C RIBEIRO</t>
  </si>
  <si>
    <t xml:space="preserve">CHURASC LANCH BUFALO BRANCO</t>
  </si>
  <si>
    <t xml:space="preserve">ASSOC DE PAIS E MESTRES JACI COMBAI</t>
  </si>
  <si>
    <t xml:space="preserve">OLIVEIRA E RAMOS LTDA</t>
  </si>
  <si>
    <t xml:space="preserve">MERCADO VIMI</t>
  </si>
  <si>
    <t xml:space="preserve">COMERCIAL NASHVILLE LTDA</t>
  </si>
  <si>
    <t xml:space="preserve">PATRICIA TANAKA ANGELI</t>
  </si>
  <si>
    <t xml:space="preserve">CHOCOLATERIA TRUFFAS GRAZIELA</t>
  </si>
  <si>
    <t xml:space="preserve">BRIGIDO ROJAS</t>
  </si>
  <si>
    <t xml:space="preserve">SUPERMERCADO PAO DE MEL</t>
  </si>
  <si>
    <t xml:space="preserve">COMERCIAL MEIRAGAR LTDA</t>
  </si>
  <si>
    <t xml:space="preserve">SUPERMERCADO SAO JOSE</t>
  </si>
  <si>
    <t xml:space="preserve">L O MARTINS</t>
  </si>
  <si>
    <t xml:space="preserve">VILMAR CALISTO DE SOUZA</t>
  </si>
  <si>
    <t xml:space="preserve">MERCADO BIG STAR</t>
  </si>
  <si>
    <t xml:space="preserve">SEBASTIAO LOPES CABRERA</t>
  </si>
  <si>
    <t xml:space="preserve">PANIFICADORA PAO E TUDO LTDA</t>
  </si>
  <si>
    <t xml:space="preserve">PANIFICADORA PAO E TUDO</t>
  </si>
  <si>
    <t xml:space="preserve">DIRCE DIAS</t>
  </si>
  <si>
    <t xml:space="preserve">PANIFICADORA DOCE PAES</t>
  </si>
  <si>
    <t xml:space="preserve">ARAUJO E SILVA LTDA</t>
  </si>
  <si>
    <t xml:space="preserve">SM MONFORT</t>
  </si>
  <si>
    <t xml:space="preserve">MARCELA M C DE BARROS POR DEUS</t>
  </si>
  <si>
    <t xml:space="preserve">DIET LIGHT</t>
  </si>
  <si>
    <t xml:space="preserve">GUARA COMERCIAL DE ARMARINHOS LTDA</t>
  </si>
  <si>
    <t xml:space="preserve">ANDRESSA VARIEDADES</t>
  </si>
  <si>
    <t xml:space="preserve">SOUZA E QUEIROZ LTDA</t>
  </si>
  <si>
    <t xml:space="preserve">REDE ECONOMICA</t>
  </si>
  <si>
    <t xml:space="preserve">DROGARIA CASTILHO LTDA</t>
  </si>
  <si>
    <t xml:space="preserve">DROGARIA CASTILHO</t>
  </si>
  <si>
    <t xml:space="preserve">R DOS SANTOS E CIA LTDA</t>
  </si>
  <si>
    <t xml:space="preserve">E F CHACAROSQUI</t>
  </si>
  <si>
    <t xml:space="preserve">MERCADO MINI BOX</t>
  </si>
  <si>
    <t xml:space="preserve">UNIAO DIESEL E LOJA DE CONVENIENCIA LTDA</t>
  </si>
  <si>
    <t xml:space="preserve">AUTO POSTO UNIAO DIESEL</t>
  </si>
  <si>
    <t xml:space="preserve">GUSTAVO MORENO DE MEDEIROS M E FIGUEIRO </t>
  </si>
  <si>
    <t xml:space="preserve">CHOPPEON</t>
  </si>
  <si>
    <t xml:space="preserve">COMERCIAL VICTOR LTDA EPP</t>
  </si>
  <si>
    <t xml:space="preserve">SUPERMERCADO COMPRE FACIL III</t>
  </si>
  <si>
    <t xml:space="preserve">DROGARIA DROGANOVA LTDA</t>
  </si>
  <si>
    <t xml:space="preserve">DROGARIA DROGANOVA</t>
  </si>
  <si>
    <t xml:space="preserve">MOACIR DALL AGNOL</t>
  </si>
  <si>
    <t xml:space="preserve">MORENA COSMETICOS</t>
  </si>
  <si>
    <t xml:space="preserve">REZENDE E SILVA LTDA</t>
  </si>
  <si>
    <t xml:space="preserve">NELSON DA COSTA SILVA</t>
  </si>
  <si>
    <t xml:space="preserve">PANIF PEIX CONV DO NELSON</t>
  </si>
  <si>
    <t xml:space="preserve">M M CONVENIENCIAS LTDA</t>
  </si>
  <si>
    <t xml:space="preserve">SUPERMERCADO SANTA ROSA LTDA</t>
  </si>
  <si>
    <t xml:space="preserve">SM SANTA ROSA</t>
  </si>
  <si>
    <t xml:space="preserve">EFFERSON BARAGAO LEITE</t>
  </si>
  <si>
    <t xml:space="preserve">MERCADO SANTA CRUZ</t>
  </si>
  <si>
    <t xml:space="preserve">MARIA MADALENA ZACHARIAS</t>
  </si>
  <si>
    <t xml:space="preserve">MIRRAGE CONVENIENCIAS</t>
  </si>
  <si>
    <t xml:space="preserve">EDGAR GOMES DELFINO</t>
  </si>
  <si>
    <t xml:space="preserve">DEBHIR SORVETES LTDA</t>
  </si>
  <si>
    <t xml:space="preserve">DEBHIR SORVETES</t>
  </si>
  <si>
    <t xml:space="preserve">CRISTO REI PRODUTOS ALIMENTICIOS LTDA</t>
  </si>
  <si>
    <t xml:space="preserve">MERCADO LISBOA</t>
  </si>
  <si>
    <t xml:space="preserve">IRANI RITA COLPO LEAL</t>
  </si>
  <si>
    <t xml:space="preserve">MERCADO FRUTO DA TERRA</t>
  </si>
  <si>
    <t xml:space="preserve">N O DUTRA E CIA LTDA</t>
  </si>
  <si>
    <t xml:space="preserve">SM GRANDOURADO</t>
  </si>
  <si>
    <t xml:space="preserve">SILVANA SOUZA DA SILVA JANUARIO</t>
  </si>
  <si>
    <t xml:space="preserve">CALIFORNIA PAES E DOCES</t>
  </si>
  <si>
    <t xml:space="preserve">MARCAO CONVENIENCIAS LTDA</t>
  </si>
  <si>
    <t xml:space="preserve">MARCAO CONVENIENCIA</t>
  </si>
  <si>
    <t xml:space="preserve">AUTO POSTO SAN FRANCISCO LTDA</t>
  </si>
  <si>
    <t xml:space="preserve">POROROCA AUTO POSTO XIV</t>
  </si>
  <si>
    <t xml:space="preserve">A DE SOUZA PORTO</t>
  </si>
  <si>
    <t xml:space="preserve">ACOUGUE CONV PORTO</t>
  </si>
  <si>
    <t xml:space="preserve">DIRCE R SOUZA</t>
  </si>
  <si>
    <t xml:space="preserve">CASA DO PERFUME</t>
  </si>
  <si>
    <t xml:space="preserve">E S PEREIRA</t>
  </si>
  <si>
    <t xml:space="preserve">VEM KA MERCADO</t>
  </si>
  <si>
    <t xml:space="preserve">M P FILHO</t>
  </si>
  <si>
    <t xml:space="preserve">JAPO RESTAURANTE LTDA</t>
  </si>
  <si>
    <t xml:space="preserve">JAPO RESTAURANTE</t>
  </si>
  <si>
    <t xml:space="preserve">IVALDI ANDRADE DE SOUZA</t>
  </si>
  <si>
    <t xml:space="preserve">PAO CROCANTE</t>
  </si>
  <si>
    <t xml:space="preserve">VALDECIR DOS REIS CAVALCANTE LANCHONETE </t>
  </si>
  <si>
    <t xml:space="preserve">HOTEL E LANCHONETE 2003</t>
  </si>
  <si>
    <t xml:space="preserve">COMERCIAL DE PRODS ALIME SIQUEIRA LTDA  </t>
  </si>
  <si>
    <t xml:space="preserve">NUTANKY</t>
  </si>
  <si>
    <t xml:space="preserve">W M MARTINS</t>
  </si>
  <si>
    <t xml:space="preserve">RESTAURANTE PROGRESSO</t>
  </si>
  <si>
    <t xml:space="preserve">GUERINI E FILHO LTDA</t>
  </si>
  <si>
    <t xml:space="preserve">KI-PAO CONVENIENCIAS</t>
  </si>
  <si>
    <t xml:space="preserve">PANF NOVA LIMA</t>
  </si>
  <si>
    <t xml:space="preserve">LAURA MARGARIDA BARCELOS CAFURE</t>
  </si>
  <si>
    <t xml:space="preserve">ROSE MEIRE VERA CORREA</t>
  </si>
  <si>
    <t xml:space="preserve">GARAPARIA BEIJA FLOR</t>
  </si>
  <si>
    <t xml:space="preserve">SILVEIRA E BICUDO SUPERMERCADOS LTDA</t>
  </si>
  <si>
    <t xml:space="preserve">REDE SANTA CLARA</t>
  </si>
  <si>
    <t xml:space="preserve">SUPERMERCADO SANTA CLARA</t>
  </si>
  <si>
    <t xml:space="preserve">SUPERMERCADO SANTA CLARA IV</t>
  </si>
  <si>
    <t xml:space="preserve">SUPERMERCADO SANTA CLARA III</t>
  </si>
  <si>
    <t xml:space="preserve">SUPERMERCADO SANTA CLARA II</t>
  </si>
  <si>
    <t xml:space="preserve">REDE DE SUPERMERCADOS SANTA CLARA</t>
  </si>
  <si>
    <t xml:space="preserve">DIRCEU OLIRIO TESTA</t>
  </si>
  <si>
    <t xml:space="preserve">MERCADO COLIBRI</t>
  </si>
  <si>
    <t xml:space="preserve">DROGARIA PARANA LTDA</t>
  </si>
  <si>
    <t xml:space="preserve">DROGARIA PARANA</t>
  </si>
  <si>
    <t xml:space="preserve">CONVENIENCIAS SALVADOR LTDA</t>
  </si>
  <si>
    <t xml:space="preserve">CONVENIENCIA SALVADOR</t>
  </si>
  <si>
    <t xml:space="preserve">ALAOR PEREIRA</t>
  </si>
  <si>
    <t xml:space="preserve">LEMES E CIA LTDA</t>
  </si>
  <si>
    <t xml:space="preserve">PANIFICADORA ITALIANA</t>
  </si>
  <si>
    <t xml:space="preserve">INES LIBERA REBECHI</t>
  </si>
  <si>
    <t xml:space="preserve">TOQUE FINAL</t>
  </si>
  <si>
    <t xml:space="preserve">FERNANDES E OLIVEIRA LTDA</t>
  </si>
  <si>
    <t xml:space="preserve">COMPANHIA DO VERDE CAFE</t>
  </si>
  <si>
    <t xml:space="preserve">SHEILA KATIUSCIA RAMIRES DE SOUZA</t>
  </si>
  <si>
    <t xml:space="preserve">ANTONIO DORIVAL GRACIA</t>
  </si>
  <si>
    <t xml:space="preserve">ALMEIDA MORAIS E CIA LTDA</t>
  </si>
  <si>
    <t xml:space="preserve">MERC DOIS IRMAOS</t>
  </si>
  <si>
    <t xml:space="preserve">SANDRA MARCIA ROSSI BARBOSA ME/MS</t>
  </si>
  <si>
    <t xml:space="preserve">KATIA R G BUENO</t>
  </si>
  <si>
    <t xml:space="preserve">FARMACIA FARMASIL LTDA</t>
  </si>
  <si>
    <t xml:space="preserve">FARMACIL</t>
  </si>
  <si>
    <t xml:space="preserve">POSTO NOSSA SENHORA DE FATIMA LTDA</t>
  </si>
  <si>
    <t xml:space="preserve">POSTO NOSSA SRA FATIMA LTDA</t>
  </si>
  <si>
    <t xml:space="preserve">INSTITUTO ZEQUINHA BARBOSA</t>
  </si>
  <si>
    <t xml:space="preserve">CORRENDO PELA VIDA</t>
  </si>
  <si>
    <t xml:space="preserve">NILSON BORGES DE CARVALHO</t>
  </si>
  <si>
    <t xml:space="preserve">MERCEARIA N.J.</t>
  </si>
  <si>
    <t xml:space="preserve">CESAR FERREIRA MARTINS</t>
  </si>
  <si>
    <t xml:space="preserve">DROGARIA SAO LEOPOLDO</t>
  </si>
  <si>
    <t xml:space="preserve">FARMACIA SAO LEOPOLDO</t>
  </si>
  <si>
    <t xml:space="preserve">DROGARIA S L SAO LEOPOLDO</t>
  </si>
  <si>
    <t xml:space="preserve">SAO LEOPOLDO</t>
  </si>
  <si>
    <t xml:space="preserve">MARIA FRANCISCA DE OLIVEIRA</t>
  </si>
  <si>
    <t xml:space="preserve">MERCADO E ACOUGUE COLORADO</t>
  </si>
  <si>
    <t xml:space="preserve">CAFE MANIA LTDA</t>
  </si>
  <si>
    <t xml:space="preserve">CAFE MANIA</t>
  </si>
  <si>
    <t xml:space="preserve">ISMAEL BENITES</t>
  </si>
  <si>
    <t xml:space="preserve">CASA DE CARNES 4 PATAS</t>
  </si>
  <si>
    <t xml:space="preserve">SUPERMERCADO TULIPA LTDA</t>
  </si>
  <si>
    <t xml:space="preserve">MERCADO TULIPA</t>
  </si>
  <si>
    <t xml:space="preserve">HENRIQUE E SOUZA LTDA</t>
  </si>
  <si>
    <t xml:space="preserve">AQUILEA FERNANDES E CIA LTDA</t>
  </si>
  <si>
    <t xml:space="preserve">ARACIRO E ARACIRO LTDA</t>
  </si>
  <si>
    <t xml:space="preserve">NEWS &amp; CIA</t>
  </si>
  <si>
    <t xml:space="preserve">ROSANI MARIA SANCHES SACHETIN</t>
  </si>
  <si>
    <t xml:space="preserve">FARMACIA MANIP EQUILIBRIO</t>
  </si>
  <si>
    <t xml:space="preserve">LOURDES LETICIA FUENTES BARBOSA</t>
  </si>
  <si>
    <t xml:space="preserve">QUITANDA</t>
  </si>
  <si>
    <t xml:space="preserve">MARCOS GONGORA RODRIGUES</t>
  </si>
  <si>
    <t xml:space="preserve">AUTO MANIA</t>
  </si>
  <si>
    <t xml:space="preserve">MARTINS E LIMA LTDA</t>
  </si>
  <si>
    <t xml:space="preserve">MERCADO CASA NOVA</t>
  </si>
  <si>
    <t xml:space="preserve">RANGEL ALIMENTOS LTDA</t>
  </si>
  <si>
    <t xml:space="preserve">PAO QUENTE CONVENIENCIAS</t>
  </si>
  <si>
    <t xml:space="preserve">AUTO POSTO GUERRA LTDA</t>
  </si>
  <si>
    <t xml:space="preserve">AUTO POSTO TEXACAO</t>
  </si>
  <si>
    <t xml:space="preserve">IGNEZ TREVISOL PERLIN</t>
  </si>
  <si>
    <t xml:space="preserve">COM VAREJISTA TREVISOL</t>
  </si>
  <si>
    <t xml:space="preserve">BATATINA COMERCIO REP DIST ALIMENT LTDA </t>
  </si>
  <si>
    <t xml:space="preserve">BATATINA COM REP ALIMENTOS</t>
  </si>
  <si>
    <t xml:space="preserve">JOSE CARLOS CORREA</t>
  </si>
  <si>
    <t xml:space="preserve">ELIZABEL VIEIRA ORTIZ CORREIA - ME</t>
  </si>
  <si>
    <t xml:space="preserve">IZABEL CRISTINA GOULART</t>
  </si>
  <si>
    <t xml:space="preserve">LIC CONVENIENCIAS</t>
  </si>
  <si>
    <t xml:space="preserve">WILSON BENEDITO OLIVEIRA</t>
  </si>
  <si>
    <t xml:space="preserve">JOSE ANTONIO DO CARMO JUNIOR</t>
  </si>
  <si>
    <t xml:space="preserve">CONV NOSSA SRA DO CARMO</t>
  </si>
  <si>
    <t xml:space="preserve">MOURA E VASQUES LTDA</t>
  </si>
  <si>
    <t xml:space="preserve">DROGARIAS FARMAIS</t>
  </si>
  <si>
    <t xml:space="preserve">COMERCIAL MARTINS TALAVEIRA</t>
  </si>
  <si>
    <t xml:space="preserve">COM MARTINS</t>
  </si>
  <si>
    <t xml:space="preserve">PIZZARIA E CHOPERIA BARBOSA LTDA</t>
  </si>
  <si>
    <t xml:space="preserve">PIZZARIA E CHOPERIA BARBOSA</t>
  </si>
  <si>
    <t xml:space="preserve">TEOFILO DUTRA</t>
  </si>
  <si>
    <t xml:space="preserve">ADVANCED CENTRO EDUCACIONAL</t>
  </si>
  <si>
    <t xml:space="preserve">COLEGIO ADVANCED</t>
  </si>
  <si>
    <t xml:space="preserve">SILVIO BRAGA CURY</t>
  </si>
  <si>
    <t xml:space="preserve">FORMIGAO DOCES E SALGADOS</t>
  </si>
  <si>
    <t xml:space="preserve">N C DIAS</t>
  </si>
  <si>
    <t xml:space="preserve">CASA DE CARNE CARIOCA</t>
  </si>
  <si>
    <t xml:space="preserve">RAMOS BELO E CIA LTDA</t>
  </si>
  <si>
    <t xml:space="preserve">BEERHOUSE</t>
  </si>
  <si>
    <t xml:space="preserve">GRACIELA BENITES FARIAS</t>
  </si>
  <si>
    <t xml:space="preserve">LARA COMERCIAL</t>
  </si>
  <si>
    <t xml:space="preserve">JOSIENE DOS SANTOS</t>
  </si>
  <si>
    <t xml:space="preserve">SACOLAO REAL FRUTY</t>
  </si>
  <si>
    <t xml:space="preserve">WAGNER GIOLANDO</t>
  </si>
  <si>
    <t xml:space="preserve">CAFETERIA LIRIO LTDA</t>
  </si>
  <si>
    <t xml:space="preserve">CAFETERIA LIRIS</t>
  </si>
  <si>
    <t xml:space="preserve">RODRIGO HENRIQUE ALEXANDRE PREGENTINO</t>
  </si>
  <si>
    <t xml:space="preserve">MARIA CONCEICAO LOPES DE SOUZA</t>
  </si>
  <si>
    <t xml:space="preserve">CONVENIENCIA LUNARD</t>
  </si>
  <si>
    <t xml:space="preserve">YURI DAVID LEDESMA</t>
  </si>
  <si>
    <t xml:space="preserve">MINI MERCADO ESTRELA</t>
  </si>
  <si>
    <t xml:space="preserve">JEFERSON LOPES DOS REIS</t>
  </si>
  <si>
    <t xml:space="preserve">CONVENIENCIA LOPES E LOPES</t>
  </si>
  <si>
    <t xml:space="preserve">IRMAOS PRETTE LTDA</t>
  </si>
  <si>
    <t xml:space="preserve">MINI MERCADO IDEAL</t>
  </si>
  <si>
    <t xml:space="preserve">SERGIO FERNANDO DE ANGELO</t>
  </si>
  <si>
    <t xml:space="preserve">PANIFICADORA E CONF DANGELO</t>
  </si>
  <si>
    <t xml:space="preserve">SUPERMERCADO DUARTE LTDA 01</t>
  </si>
  <si>
    <t xml:space="preserve">REDE DUARTE </t>
  </si>
  <si>
    <t xml:space="preserve">SM DUARTE 01</t>
  </si>
  <si>
    <t xml:space="preserve">SUPERMERCADO DUARTE</t>
  </si>
  <si>
    <t xml:space="preserve">CILENE APARECIDA ANTONIO NAGATA</t>
  </si>
  <si>
    <t xml:space="preserve">ROSELI JOAQUIM</t>
  </si>
  <si>
    <t xml:space="preserve">LINALDA SANTANA DIAS DA SILVA</t>
  </si>
  <si>
    <t xml:space="preserve">EDILSON GARCIA DA COSTA</t>
  </si>
  <si>
    <t xml:space="preserve">MERCEARIA TARUMA</t>
  </si>
  <si>
    <t xml:space="preserve">LEME E SANTANA LTDA</t>
  </si>
  <si>
    <t xml:space="preserve">KAREN GRAZIELI AMARAL LABOISSIER</t>
  </si>
  <si>
    <t xml:space="preserve">GUTI SUPERMERCADO</t>
  </si>
  <si>
    <t xml:space="preserve">NORBERTO KAZUAKI SHINGU LTDA</t>
  </si>
  <si>
    <t xml:space="preserve">SHINGUS HOTEL</t>
  </si>
  <si>
    <t xml:space="preserve">GERSON JUNIOR COLEVATE</t>
  </si>
  <si>
    <t xml:space="preserve">FARMAZIN III</t>
  </si>
  <si>
    <t xml:space="preserve">GERSON JUNIOR COLEVATE ME</t>
  </si>
  <si>
    <t xml:space="preserve">CLACI DA SILVA VIANA</t>
  </si>
  <si>
    <t xml:space="preserve">LANC E REST CAMINHONEIRO</t>
  </si>
  <si>
    <t xml:space="preserve">APARECIDA PERPETUA DE SOUZA SANTOS</t>
  </si>
  <si>
    <t xml:space="preserve">CASA DE CARNE SANTA FE</t>
  </si>
  <si>
    <t xml:space="preserve">FLAT ADMINISTRACAO E PARTICIPACAO</t>
  </si>
  <si>
    <t xml:space="preserve">BAHASMAS HOTEL</t>
  </si>
  <si>
    <t xml:space="preserve">NANTES E HORING LTDA</t>
  </si>
  <si>
    <t xml:space="preserve">MINI MERCADO SANTA CATARINA</t>
  </si>
  <si>
    <t xml:space="preserve">ABV COMERCIO DE ALIMENTOS LTDA</t>
  </si>
  <si>
    <t xml:space="preserve">SM SUPER MIX</t>
  </si>
  <si>
    <t xml:space="preserve">ABV SUPERMERCADO</t>
  </si>
  <si>
    <t xml:space="preserve">ABV SUPERMERCADO - SHOPPING</t>
  </si>
  <si>
    <t xml:space="preserve">ABEV SUPERMERCADO</t>
  </si>
  <si>
    <t xml:space="preserve">ABV SUPERMERCADOS</t>
  </si>
  <si>
    <t xml:space="preserve">ABV COMERCIO DE ALIMENTOS LTADA</t>
  </si>
  <si>
    <t xml:space="preserve">ABV FERNANDO FERRARI</t>
  </si>
  <si>
    <t xml:space="preserve">LJ-19 ABV COMERCIO DE ALIMENTOS LTDA</t>
  </si>
  <si>
    <t xml:space="preserve">LEVEMAX ANDRADINA</t>
  </si>
  <si>
    <t xml:space="preserve">ABV FACIL</t>
  </si>
  <si>
    <t xml:space="preserve">ABEVE PARQUE DAS NACOES</t>
  </si>
  <si>
    <t xml:space="preserve">LJ-33 ABV COMERCIO DE ALIMENTOS LTDA</t>
  </si>
  <si>
    <t xml:space="preserve">LEVE MAX PARANAIBA</t>
  </si>
  <si>
    <t xml:space="preserve">ABEL ALVINO LOPES</t>
  </si>
  <si>
    <t xml:space="preserve">TATIANE CORONEL ARISTIMUNHO</t>
  </si>
  <si>
    <t xml:space="preserve">A A DA SILVA MERCEARIA</t>
  </si>
  <si>
    <t xml:space="preserve">ANDRE LUIS SANCHES SALINEIRO</t>
  </si>
  <si>
    <t xml:space="preserve">MAIS SABOR</t>
  </si>
  <si>
    <t xml:space="preserve">M R NAKAO E CIA LTDA</t>
  </si>
  <si>
    <t xml:space="preserve">AUTO POSTO FAEDO LTDA</t>
  </si>
  <si>
    <t xml:space="preserve">POSTO BEIRA RIO</t>
  </si>
  <si>
    <t xml:space="preserve">ELIAS BARBOSA DO NASCIMENTO</t>
  </si>
  <si>
    <t xml:space="preserve">MINI MERCADO E ACOUGUE UNIAO</t>
  </si>
  <si>
    <t xml:space="preserve">ANNA PAULA FERREIRA NESPOLI</t>
  </si>
  <si>
    <t xml:space="preserve">CONVENIENCIA CRISTO REI</t>
  </si>
  <si>
    <t xml:space="preserve">A R PRODUTOS VETERINARIOS LTDA</t>
  </si>
  <si>
    <t xml:space="preserve">CLINVET</t>
  </si>
  <si>
    <t xml:space="preserve">PAULO JOVAN DE OLIVEIRA TRINDADE</t>
  </si>
  <si>
    <t xml:space="preserve">ROBERTO ALVES CAVALCANTE</t>
  </si>
  <si>
    <t xml:space="preserve">VERMELHO FILES RESTAURANTE LTDA</t>
  </si>
  <si>
    <t xml:space="preserve">VERMELHO FILES</t>
  </si>
  <si>
    <t xml:space="preserve">WALDEMAR ORTEGA FREITAS</t>
  </si>
  <si>
    <t xml:space="preserve">SUPERMERCADO GRANDOURADOS LTDA</t>
  </si>
  <si>
    <t xml:space="preserve">SM GRAN PORA</t>
  </si>
  <si>
    <t xml:space="preserve">SAAD E SAAD LTDA</t>
  </si>
  <si>
    <t xml:space="preserve">NAGIBAO</t>
  </si>
  <si>
    <t xml:space="preserve">RESTAURANTE SAVANA LTDA</t>
  </si>
  <si>
    <t xml:space="preserve">RESTAURANTE SAVANA</t>
  </si>
  <si>
    <t xml:space="preserve">LOCAMANIA CONVENIENCIAS LTDA</t>
  </si>
  <si>
    <t xml:space="preserve">LOCA MANIA</t>
  </si>
  <si>
    <t xml:space="preserve">LOCA MANIA CONVENIENCIA LTDA</t>
  </si>
  <si>
    <t xml:space="preserve">LOCA MANIA CONV</t>
  </si>
  <si>
    <t xml:space="preserve">OLIVEIRA E MORAIS LTDA</t>
  </si>
  <si>
    <t xml:space="preserve">ANA LUZIA RAMIRES ESPINOSA ME</t>
  </si>
  <si>
    <t xml:space="preserve">SUPERMERCADO ESPINOSA</t>
  </si>
  <si>
    <t xml:space="preserve">FERNANDO VAREIRO</t>
  </si>
  <si>
    <t xml:space="preserve">PAD SANTO ANTONIO</t>
  </si>
  <si>
    <t xml:space="preserve">WALDEMIR MORALES</t>
  </si>
  <si>
    <t xml:space="preserve">JVM MERCADO</t>
  </si>
  <si>
    <t xml:space="preserve">VANESSA APARECIDA DE SOUZA</t>
  </si>
  <si>
    <t xml:space="preserve">GERSON OSCILO PONTIM</t>
  </si>
  <si>
    <t xml:space="preserve">POUSADA CEU DE ESTRELA LTDA ME</t>
  </si>
  <si>
    <t xml:space="preserve">POUSADA CEU DE ESTRELA</t>
  </si>
  <si>
    <t xml:space="preserve">PANIFICADORA THALY ENNE LTDA</t>
  </si>
  <si>
    <t xml:space="preserve">PANF THALY ENNE</t>
  </si>
  <si>
    <t xml:space="preserve">LIANE DA SILVA</t>
  </si>
  <si>
    <t xml:space="preserve">RESTAURANTE IRMAOS</t>
  </si>
  <si>
    <t xml:space="preserve">SUPERMERCADO FRUTILANDIA LTDA</t>
  </si>
  <si>
    <t xml:space="preserve">COMERCIAL FRUTILANDIA</t>
  </si>
  <si>
    <t xml:space="preserve">ATACADO BARBOSA E ALVES LTDA</t>
  </si>
  <si>
    <t xml:space="preserve">ATACAREJO CASA BARBOSA</t>
  </si>
  <si>
    <t xml:space="preserve">JORGE LUIZ BATISTA</t>
  </si>
  <si>
    <t xml:space="preserve">LANCHONETE SORV BIG BOM</t>
  </si>
  <si>
    <t xml:space="preserve">ESTELA MARY CAPASSO</t>
  </si>
  <si>
    <t xml:space="preserve">PANIF E CONFEITARIA 4G</t>
  </si>
  <si>
    <t xml:space="preserve">PANIF E CONF SABOR E ARTE LTDA</t>
  </si>
  <si>
    <t xml:space="preserve">PANIF E CONF SABOR E ARTE</t>
  </si>
  <si>
    <t xml:space="preserve">FIGUEIRAS E FIGUEIRAS LTDA</t>
  </si>
  <si>
    <t xml:space="preserve">CANTINHO DO GULOSO</t>
  </si>
  <si>
    <t xml:space="preserve">I J MARTINS EPP</t>
  </si>
  <si>
    <t xml:space="preserve">LEON CENTER</t>
  </si>
  <si>
    <t xml:space="preserve">J J MANENTI E CIA LTDA</t>
  </si>
  <si>
    <t xml:space="preserve">MERCADO SAO LUCAS</t>
  </si>
  <si>
    <t xml:space="preserve">D S ALBANEZE</t>
  </si>
  <si>
    <t xml:space="preserve">AVALON GRILL</t>
  </si>
  <si>
    <t xml:space="preserve">DROGAVISTA LTDA</t>
  </si>
  <si>
    <t xml:space="preserve">DROGAVISTA</t>
  </si>
  <si>
    <t xml:space="preserve">CELSON MAGALHAES DE OLIVEIRA LTDA</t>
  </si>
  <si>
    <t xml:space="preserve">REST E LANCH 22</t>
  </si>
  <si>
    <t xml:space="preserve">LUZIA PICINELLI VIEIRA</t>
  </si>
  <si>
    <t xml:space="preserve">J .L.M ALIMENTOS E CIA</t>
  </si>
  <si>
    <t xml:space="preserve">NAUIL SERVIM BAIRROS ME</t>
  </si>
  <si>
    <t xml:space="preserve">CONV.ISCA VIVA DO TANGO</t>
  </si>
  <si>
    <t xml:space="preserve">O C COMERCIO E DISTRIBUICAO LTDA</t>
  </si>
  <si>
    <t xml:space="preserve">DISTRIBUIDORA 3 AMIGOS</t>
  </si>
  <si>
    <t xml:space="preserve">SOLLUA CONVENIENCIAS LTDA</t>
  </si>
  <si>
    <t xml:space="preserve">SOLLVA CONVENIENCIAS</t>
  </si>
  <si>
    <t xml:space="preserve">DIST DE ALIMENTOS VICENTE SILVA LTDA</t>
  </si>
  <si>
    <t xml:space="preserve">SUPERMERCADO KI-PRECO</t>
  </si>
  <si>
    <t xml:space="preserve">F A S OLIVEIRA</t>
  </si>
  <si>
    <t xml:space="preserve">CAFE EXPRESSO OURO PRETO</t>
  </si>
  <si>
    <t xml:space="preserve">RB DANIEL NETO PETSHOP ME</t>
  </si>
  <si>
    <t xml:space="preserve">ROCAO PET SHOP</t>
  </si>
  <si>
    <t xml:space="preserve">MANOEL CARLOS SIQUEIRA CELESQUE</t>
  </si>
  <si>
    <t xml:space="preserve">CAROLINA CONVENIENCIA LTDA</t>
  </si>
  <si>
    <t xml:space="preserve">HORA EXTRA</t>
  </si>
  <si>
    <t xml:space="preserve">RF CONVENIENCIA LTDA</t>
  </si>
  <si>
    <t xml:space="preserve">CONV MARINGA I</t>
  </si>
  <si>
    <t xml:space="preserve">GALHARDO E SILVA LTDA</t>
  </si>
  <si>
    <t xml:space="preserve">SUPERMERCADO UNIVERSAL</t>
  </si>
  <si>
    <t xml:space="preserve">MAURO MARIN ME</t>
  </si>
  <si>
    <t xml:space="preserve">POSTO CABREUVA LTDA</t>
  </si>
  <si>
    <t xml:space="preserve">POSTO CABREUVA</t>
  </si>
  <si>
    <t xml:space="preserve">MINI MERCADO FERREIRA LTDA</t>
  </si>
  <si>
    <t xml:space="preserve">RENILSON CESAR DA SILVA</t>
  </si>
  <si>
    <t xml:space="preserve">GRILL CONVENIENCIAS</t>
  </si>
  <si>
    <t xml:space="preserve">J A NETO E CIA LTDA ME</t>
  </si>
  <si>
    <t xml:space="preserve">FARMACIA BIG FARMA</t>
  </si>
  <si>
    <t xml:space="preserve">ILMA RIZZO TREVIZANI</t>
  </si>
  <si>
    <t xml:space="preserve">A IESTE CONVENIENCIA</t>
  </si>
  <si>
    <t xml:space="preserve">SIRLENE COSTA S SANCHES</t>
  </si>
  <si>
    <t xml:space="preserve">MERCADO JULIAM</t>
  </si>
  <si>
    <t xml:space="preserve">COM DE DERIVADOS PETROLEO T LAGOAS LTDA </t>
  </si>
  <si>
    <t xml:space="preserve">POSTO 3 LAGOAS</t>
  </si>
  <si>
    <t xml:space="preserve">MERCADO GABRIELA LTDA</t>
  </si>
  <si>
    <t xml:space="preserve">ERICA MARISA RODRIGUES</t>
  </si>
  <si>
    <t xml:space="preserve">FARMACIA E DROG ERICA</t>
  </si>
  <si>
    <t xml:space="preserve">GARLANDA FLORICULTURA LTDA</t>
  </si>
  <si>
    <t xml:space="preserve">GARLANDA E FLORICULTURA</t>
  </si>
  <si>
    <t xml:space="preserve">D KRUGMANN EPP</t>
  </si>
  <si>
    <t xml:space="preserve">MERCADO SERRANO</t>
  </si>
  <si>
    <t xml:space="preserve">ML AZEVEDO</t>
  </si>
  <si>
    <t xml:space="preserve">ESQUINAO MERCADO</t>
  </si>
  <si>
    <t xml:space="preserve">H F B DA SILVA ME</t>
  </si>
  <si>
    <t xml:space="preserve">ASSIS E CORREA LTDA</t>
  </si>
  <si>
    <t xml:space="preserve">AROMA PIZZARIA LTDA</t>
  </si>
  <si>
    <t xml:space="preserve">AROMA DE PIZZA</t>
  </si>
  <si>
    <t xml:space="preserve">JULIANO SALES DE OLIVEIRA</t>
  </si>
  <si>
    <t xml:space="preserve">DROGARIA INTERLAGOS</t>
  </si>
  <si>
    <t xml:space="preserve">COMERCIAL IRMAOS LEAL LTDA</t>
  </si>
  <si>
    <t xml:space="preserve">PONTO DE APOIO CAMPO GRANDE</t>
  </si>
  <si>
    <t xml:space="preserve">PEDRO ARLINDO DE SOUZA</t>
  </si>
  <si>
    <t xml:space="preserve">ARAUJO E RAVASCO LTDA</t>
  </si>
  <si>
    <t xml:space="preserve">MALUCAO PET SHOP</t>
  </si>
  <si>
    <t xml:space="preserve">SUPERMERCADO TORRES LTDA</t>
  </si>
  <si>
    <t xml:space="preserve">SM TORRES</t>
  </si>
  <si>
    <t xml:space="preserve">CONV DAMASCO</t>
  </si>
  <si>
    <t xml:space="preserve">CORREIA E CORREIA LTDA</t>
  </si>
  <si>
    <t xml:space="preserve">SM PRATIKO</t>
  </si>
  <si>
    <t xml:space="preserve">B K DISTRIBUIDORA DE BEBIDAS LTDA</t>
  </si>
  <si>
    <t xml:space="preserve">BK BEBIDAS</t>
  </si>
  <si>
    <t xml:space="preserve">GLEICE SUPERMERCADO EIRELI - ME</t>
  </si>
  <si>
    <t xml:space="preserve">COMPRE BEM</t>
  </si>
  <si>
    <t xml:space="preserve">MARIA DE LOURDES AFONSO DE OLIVEIRA</t>
  </si>
  <si>
    <t xml:space="preserve">A ARCAS FERNANDES</t>
  </si>
  <si>
    <t xml:space="preserve">PANIFICADORA CONFEITARIA POSITIVA LTDA  </t>
  </si>
  <si>
    <t xml:space="preserve">KI DELICIA</t>
  </si>
  <si>
    <t xml:space="preserve">ONORINO PORTIGLIOTI</t>
  </si>
  <si>
    <t xml:space="preserve">RESTAURANTE THESARI</t>
  </si>
  <si>
    <t xml:space="preserve">SUPERMERCADO PIRACEMA LTDA ME</t>
  </si>
  <si>
    <t xml:space="preserve">REDE NANTES </t>
  </si>
  <si>
    <t xml:space="preserve">SUPERMERCADO PIRACEMA</t>
  </si>
  <si>
    <t xml:space="preserve">ATACADO NANTES AVENIDA</t>
  </si>
  <si>
    <t xml:space="preserve">DANIELA MARTINS ALVES</t>
  </si>
  <si>
    <t xml:space="preserve">MERCADO SHALON</t>
  </si>
  <si>
    <t xml:space="preserve">GRAZIELA DE OLIVEIRA CAMARGO GONCALVES  </t>
  </si>
  <si>
    <t xml:space="preserve">COMERCIAL ITAMBE DE ALIMENTOS LTDA</t>
  </si>
  <si>
    <t xml:space="preserve">SM RASTELAO</t>
  </si>
  <si>
    <t xml:space="preserve">KOLLING E SOUZA LTDA</t>
  </si>
  <si>
    <t xml:space="preserve">COMPANIA DO PEIXE</t>
  </si>
  <si>
    <t xml:space="preserve">SOUZA E MAIA LTDA</t>
  </si>
  <si>
    <t xml:space="preserve">SUPERMERCADO MAIA</t>
  </si>
  <si>
    <t xml:space="preserve">MARCELO APARECIDO DAN</t>
  </si>
  <si>
    <t xml:space="preserve">SENE LAR CONVENIENCIAS</t>
  </si>
  <si>
    <t xml:space="preserve">ROSIMEIRE B DE OLIVEIRA</t>
  </si>
  <si>
    <t xml:space="preserve">MERCADO BARTIHIMAN</t>
  </si>
  <si>
    <t xml:space="preserve">TEREZA LOPES DA SILVA ME</t>
  </si>
  <si>
    <t xml:space="preserve">HOTEL PANTANAL</t>
  </si>
  <si>
    <t xml:space="preserve">C E G DE ARRUDA</t>
  </si>
  <si>
    <t xml:space="preserve">COMERCIAL SANTA CATARINA</t>
  </si>
  <si>
    <t xml:space="preserve">V F DE SOUZA</t>
  </si>
  <si>
    <t xml:space="preserve">COMERCIAL CIDADE BRANCA</t>
  </si>
  <si>
    <t xml:space="preserve">AUTO POSTO PRA FRENTE BRASIL LTDA</t>
  </si>
  <si>
    <t xml:space="preserve">POSTO PRA FRENTE BRASIL</t>
  </si>
  <si>
    <t xml:space="preserve">EDIL RODRIGUES DOS SANTOS</t>
  </si>
  <si>
    <t xml:space="preserve">SM J PLANALTO</t>
  </si>
  <si>
    <t xml:space="preserve">MARIA LUCIA DE SOUZA ALVES ME/MS</t>
  </si>
  <si>
    <t xml:space="preserve">ACOUGUE E MERCEARIA ALVES</t>
  </si>
  <si>
    <t xml:space="preserve">G NAKAZATO</t>
  </si>
  <si>
    <t xml:space="preserve">MERCADO NAKAZATO</t>
  </si>
  <si>
    <t xml:space="preserve">R A CHAVES MERCADO</t>
  </si>
  <si>
    <t xml:space="preserve">IRENE DE SOUZA SILVA</t>
  </si>
  <si>
    <t xml:space="preserve">CIRILO PANIFICADORA LTDA</t>
  </si>
  <si>
    <t xml:space="preserve">CIRILO PANIFICADORA</t>
  </si>
  <si>
    <t xml:space="preserve">ANDERSON FERREIRA DIAS ME</t>
  </si>
  <si>
    <t xml:space="preserve">DROGARIA MEGA ECONOMICA</t>
  </si>
  <si>
    <t xml:space="preserve">MARILENE ALEM COEVA</t>
  </si>
  <si>
    <t xml:space="preserve">VERA RIEGG - ME</t>
  </si>
  <si>
    <t xml:space="preserve">POUSADA LUA AZUL</t>
  </si>
  <si>
    <t xml:space="preserve">J BATISTA DE OLIVEIRA MERCEARIA</t>
  </si>
  <si>
    <t xml:space="preserve">REGIS LUIS COMARELLA</t>
  </si>
  <si>
    <t xml:space="preserve">LEOCADIA SOARES DA SILVA</t>
  </si>
  <si>
    <t xml:space="preserve">LANCHONETE HAWAI</t>
  </si>
  <si>
    <t xml:space="preserve">ITALO J T UNTEN</t>
  </si>
  <si>
    <t xml:space="preserve">CHAT ROOM</t>
  </si>
  <si>
    <t xml:space="preserve">MIRIAN GARCIA JACINTO</t>
  </si>
  <si>
    <t xml:space="preserve">MINI MERCADO REAL</t>
  </si>
  <si>
    <t xml:space="preserve">MARIANO E DIAS LTDA</t>
  </si>
  <si>
    <t xml:space="preserve">PURIFICADORA TRES LAGOAS</t>
  </si>
  <si>
    <t xml:space="preserve">ABNER SANDRO DE OLIVEIRA GOMES</t>
  </si>
  <si>
    <t xml:space="preserve">MINI MERCADO GOMES</t>
  </si>
  <si>
    <t xml:space="preserve">IZOLINA BORGES SOUZA</t>
  </si>
  <si>
    <t xml:space="preserve">GELADA EXPRESS LTDA</t>
  </si>
  <si>
    <t xml:space="preserve">GELADA EXPRESS</t>
  </si>
  <si>
    <t xml:space="preserve">ROGERIO VIEIRA DA SILVA</t>
  </si>
  <si>
    <t xml:space="preserve">MINI MERCADO OURO FINO</t>
  </si>
  <si>
    <t xml:space="preserve">EULINA ROSA DE LIMA MELO</t>
  </si>
  <si>
    <t xml:space="preserve">TEBALDI E NOGUEIRA LTDA</t>
  </si>
  <si>
    <t xml:space="preserve">SM BIG</t>
  </si>
  <si>
    <t xml:space="preserve">DROGARIA BRAGA LTDA</t>
  </si>
  <si>
    <t xml:space="preserve">DROGARIA BRAGA</t>
  </si>
  <si>
    <t xml:space="preserve">MINI MERCADO IKENO LTDA ME/MS</t>
  </si>
  <si>
    <t xml:space="preserve">MERCEARIA GABRIEL</t>
  </si>
  <si>
    <t xml:space="preserve">N T GOMES</t>
  </si>
  <si>
    <t xml:space="preserve">MERCADO XIMENIS</t>
  </si>
  <si>
    <t xml:space="preserve">LEAL COM??RCIO DE COMBUST??VEIS LTDA</t>
  </si>
  <si>
    <t xml:space="preserve">POSTO PEGORARO II</t>
  </si>
  <si>
    <t xml:space="preserve">DUTRA PERES E ROCHA LTDA</t>
  </si>
  <si>
    <t xml:space="preserve">MERCADO ACACIA</t>
  </si>
  <si>
    <t xml:space="preserve">FRANCISCO SOBRINHO DE ANDRADE</t>
  </si>
  <si>
    <t xml:space="preserve">LANCHONETE E REST 2 IRMAOS</t>
  </si>
  <si>
    <t xml:space="preserve">PADARIA GONZAGA E SA LTDA</t>
  </si>
  <si>
    <t xml:space="preserve">PAO E COMPANHIA</t>
  </si>
  <si>
    <t xml:space="preserve">ALVES E ANJOS LTDA ME</t>
  </si>
  <si>
    <t xml:space="preserve">DROGARIA BOM PAI</t>
  </si>
  <si>
    <t xml:space="preserve">MARCOS SILVA SAOVESSO</t>
  </si>
  <si>
    <t xml:space="preserve">RESTAURANTE</t>
  </si>
  <si>
    <t xml:space="preserve">MULTIPLA GESTAO DE PESSOAS LTDA</t>
  </si>
  <si>
    <t xml:space="preserve">MULTIPLA GESTAO DE PESSOAS</t>
  </si>
  <si>
    <t xml:space="preserve">FERNANDES E SIMADA LTDA</t>
  </si>
  <si>
    <t xml:space="preserve">BINOTE E GODOI LTDA</t>
  </si>
  <si>
    <t xml:space="preserve">MOVIMENTO ACADEMIA</t>
  </si>
  <si>
    <t xml:space="preserve">MARIA SUELI DA SILVA</t>
  </si>
  <si>
    <t xml:space="preserve">MERCEARIA LIDERAN?A</t>
  </si>
  <si>
    <t xml:space="preserve">N A BAUMER PANIFICADORA</t>
  </si>
  <si>
    <t xml:space="preserve">PANIF BAUMER</t>
  </si>
  <si>
    <t xml:space="preserve">SANTA ROSA E OLIVEIRA LIMA LTDA</t>
  </si>
  <si>
    <t xml:space="preserve">RITORNO RIZZO E PASTA</t>
  </si>
  <si>
    <t xml:space="preserve">NADIR BORGES OLIVEIRA</t>
  </si>
  <si>
    <t xml:space="preserve">SUPERMERCADO JUNIOR</t>
  </si>
  <si>
    <t xml:space="preserve">MARCOS H DE OLIVEIRA</t>
  </si>
  <si>
    <t xml:space="preserve">MERCADO RIOS</t>
  </si>
  <si>
    <t xml:space="preserve">SUELY MARTINS</t>
  </si>
  <si>
    <t xml:space="preserve">CAPITAL MADEIRAS</t>
  </si>
  <si>
    <t xml:space="preserve">IRENE DE MOURA DOS SANTOS</t>
  </si>
  <si>
    <t xml:space="preserve">SUPERMERCADO TATIANE</t>
  </si>
  <si>
    <t xml:space="preserve">MISEG CORRETORA DE SEG DE VIDA S S LTDA </t>
  </si>
  <si>
    <t xml:space="preserve">MISEG CORRETORA DE SEGUROS</t>
  </si>
  <si>
    <t xml:space="preserve">SH CONVENIENCIA LTDA ME</t>
  </si>
  <si>
    <t xml:space="preserve">AUTO POSTO NORTE SUL</t>
  </si>
  <si>
    <t xml:space="preserve">FELIX PARK ADMIN DE ESTACIONAMENTO LTDA </t>
  </si>
  <si>
    <t xml:space="preserve">FELIX PARK ESTACIONAMENTO</t>
  </si>
  <si>
    <t xml:space="preserve">EMPORIO PAULISTA LTDA</t>
  </si>
  <si>
    <t xml:space="preserve">MERCADO MATSUYA</t>
  </si>
  <si>
    <t xml:space="preserve">COMERCIAL DE ALIMENTOS TALISMA LTDA</t>
  </si>
  <si>
    <t xml:space="preserve">WW SUPERMERCADOS LTDA</t>
  </si>
  <si>
    <t xml:space="preserve">C A MACHADO</t>
  </si>
  <si>
    <t xml:space="preserve">IVONE APARECIDA DESTO DOS SANTOS ME/MS  </t>
  </si>
  <si>
    <t xml:space="preserve">COMERCIAL DONA IVONE</t>
  </si>
  <si>
    <t xml:space="preserve">J LUANDA SALVATORI</t>
  </si>
  <si>
    <t xml:space="preserve">SCHNEIDER E FERREIRA LTDA</t>
  </si>
  <si>
    <t xml:space="preserve">MERCADO E ACOUGUE COMPRE MAIS</t>
  </si>
  <si>
    <t xml:space="preserve">MARILEI PIRES CARON</t>
  </si>
  <si>
    <t xml:space="preserve">LANCHONETE RESTAURANTE PARAISO</t>
  </si>
  <si>
    <t xml:space="preserve">ANA CLAUDIA MARTINS MONACO</t>
  </si>
  <si>
    <t xml:space="preserve">MINI MERCADO RECANTO</t>
  </si>
  <si>
    <t xml:space="preserve">L A SOUZA</t>
  </si>
  <si>
    <t xml:space="preserve">CASA DE CARNES DOURADAO</t>
  </si>
  <si>
    <t xml:space="preserve">LISANGELA FATIMA OLIVEIRA</t>
  </si>
  <si>
    <t xml:space="preserve">MERCEARIA E FRUTARIA CENTRAL</t>
  </si>
  <si>
    <t xml:space="preserve">FRANGOLANDIA LTDA</t>
  </si>
  <si>
    <t xml:space="preserve">FRANGOLANDIA</t>
  </si>
  <si>
    <t xml:space="preserve">AGNO ANIBAL PRATES</t>
  </si>
  <si>
    <t xml:space="preserve">MERCADO PRATES</t>
  </si>
  <si>
    <t xml:space="preserve">RENATA MORAES KRINGER</t>
  </si>
  <si>
    <t xml:space="preserve">HELY FASHION</t>
  </si>
  <si>
    <t xml:space="preserve">SALVADOR COM IMPORT E EXPORT LTDA</t>
  </si>
  <si>
    <t xml:space="preserve">B &amp; A COMERCIAL DE ALIMENTOS</t>
  </si>
  <si>
    <t xml:space="preserve">DROGARIA MORENINHAS LTDA</t>
  </si>
  <si>
    <t xml:space="preserve">DROGARIA MORENIHAS</t>
  </si>
  <si>
    <t xml:space="preserve">ELIETE PEREIRA DA SILVA SASAYA</t>
  </si>
  <si>
    <t xml:space="preserve">LANCH E RESTAURANTE BAIANA</t>
  </si>
  <si>
    <t xml:space="preserve">PANIFICADORA E CONV VITORIA LTDA</t>
  </si>
  <si>
    <t xml:space="preserve">PANF CONV VITORIA</t>
  </si>
  <si>
    <t xml:space="preserve">GRAEFF E GRAEFF LTDA</t>
  </si>
  <si>
    <t xml:space="preserve">SEIVA BRUTA PRODUTOS NATURAIS LTDA</t>
  </si>
  <si>
    <t xml:space="preserve">SEIVA PRODUTOS NATURAIS</t>
  </si>
  <si>
    <t xml:space="preserve">ELIANE INES BORELLA</t>
  </si>
  <si>
    <t xml:space="preserve">MISTER SUCO</t>
  </si>
  <si>
    <t xml:space="preserve">EDISON VILHALBA RECALDE</t>
  </si>
  <si>
    <t xml:space="preserve">MINI MERCADO POR DO SOL LTDA</t>
  </si>
  <si>
    <t xml:space="preserve">JOAO E ALVES LTDA</t>
  </si>
  <si>
    <t xml:space="preserve">POSTO JAU</t>
  </si>
  <si>
    <t xml:space="preserve">DAVI FERNANDES FERREIRA DA SILVA</t>
  </si>
  <si>
    <t xml:space="preserve">DEBORA PRESENTES</t>
  </si>
  <si>
    <t xml:space="preserve">DANIEL RODRIGUES JUNIOR</t>
  </si>
  <si>
    <t xml:space="preserve">ADEGILDO PEIXOTO DE SOUZA E CIA LTDA</t>
  </si>
  <si>
    <t xml:space="preserve">CHURRASCARIA E RESTAURANTE DOM PIXOTE</t>
  </si>
  <si>
    <t xml:space="preserve">I G HAEFFNER RESTAURANTE</t>
  </si>
  <si>
    <t xml:space="preserve">LANCH E CHURR CHAPADAO</t>
  </si>
  <si>
    <t xml:space="preserve">SEBASTIAO BENITES FILHO</t>
  </si>
  <si>
    <t xml:space="preserve">MERCEARIA KI BARATO</t>
  </si>
  <si>
    <t xml:space="preserve">CONVENIENCIA TRES BARRAS</t>
  </si>
  <si>
    <t xml:space="preserve">CRISTALY PANIFICADORA E CONFEIT LTDA</t>
  </si>
  <si>
    <t xml:space="preserve">CRISTALY PANIF E CONF</t>
  </si>
  <si>
    <t xml:space="preserve">AGILIZA BRASIL SERVICOS LTDA</t>
  </si>
  <si>
    <t xml:space="preserve">BOM DIA CONVENIENCIAS</t>
  </si>
  <si>
    <t xml:space="preserve">MAGALY OCAMPOS GODOY</t>
  </si>
  <si>
    <t xml:space="preserve">TEIXEIRA E BRITO LTDA</t>
  </si>
  <si>
    <t xml:space="preserve">ANDRADE E VIEIRA LTDA</t>
  </si>
  <si>
    <t xml:space="preserve">DROGAMED</t>
  </si>
  <si>
    <t xml:space="preserve">TRANSPORTADORA E AUTO PECAS PARAISO LTDA</t>
  </si>
  <si>
    <t xml:space="preserve">ANDRADE SUPERMERSADO</t>
  </si>
  <si>
    <t xml:space="preserve">SILVIO TOME - ME</t>
  </si>
  <si>
    <t xml:space="preserve">AGENCIA SEGREDO TUR E HOTEL POUSADA</t>
  </si>
  <si>
    <t xml:space="preserve">POUSADA SEGREDO</t>
  </si>
  <si>
    <t xml:space="preserve">ERIKA S P SANTOS</t>
  </si>
  <si>
    <t xml:space="preserve">PANIF CONF PAO DE MEL</t>
  </si>
  <si>
    <t xml:space="preserve">ESTEVES E ESTRADA LTDA</t>
  </si>
  <si>
    <t xml:space="preserve">ESTEVES &amp; ESTRADA</t>
  </si>
  <si>
    <t xml:space="preserve">G R BORTALIERO</t>
  </si>
  <si>
    <t xml:space="preserve">FARMACIA E DROG BELLA FARMA</t>
  </si>
  <si>
    <t xml:space="preserve">SANDRA ROSA VIEIRA</t>
  </si>
  <si>
    <t xml:space="preserve">BRILHO LUZ PRODUTOS DE LIMPEZA</t>
  </si>
  <si>
    <t xml:space="preserve">FELIX E GODOY LTDA</t>
  </si>
  <si>
    <t xml:space="preserve">MERCADO DOURADAO</t>
  </si>
  <si>
    <t xml:space="preserve">EDSON FABRICIO DIAS</t>
  </si>
  <si>
    <t xml:space="preserve">SUPERMERCAO VITORIA</t>
  </si>
  <si>
    <t xml:space="preserve">BAPTISTA E RIBEIRO LTDA</t>
  </si>
  <si>
    <t xml:space="preserve">MERCADO NOVO MILENIO</t>
  </si>
  <si>
    <t xml:space="preserve">ELIEL MARCOS DE BARROS EPP</t>
  </si>
  <si>
    <t xml:space="preserve">SEIARA CEIFA LTDA</t>
  </si>
  <si>
    <t xml:space="preserve">SEIARA SUPERM ECONOMICO</t>
  </si>
  <si>
    <t xml:space="preserve">SEBASTIAO CLOVIS DA SILVA</t>
  </si>
  <si>
    <t xml:space="preserve">CONFEITARIA E BUFFET SAL E ACUCAR LTDA  </t>
  </si>
  <si>
    <t xml:space="preserve">REST SAL E ACUCAR</t>
  </si>
  <si>
    <t xml:space="preserve">MARINHO E CIA LTDA</t>
  </si>
  <si>
    <t xml:space="preserve">POSTO 10</t>
  </si>
  <si>
    <t xml:space="preserve">PONTO 10</t>
  </si>
  <si>
    <t xml:space="preserve">ILDA DE MATOS MORAES CARNEIRO</t>
  </si>
  <si>
    <t xml:space="preserve">MERCADO DA USINA PASSATEMPO</t>
  </si>
  <si>
    <t xml:space="preserve">VENTURINI E CIA LTDA</t>
  </si>
  <si>
    <t xml:space="preserve">POUSADA PASSO DO LONTRA</t>
  </si>
  <si>
    <t xml:space="preserve">RIOS E OLIVEIRA LTDA</t>
  </si>
  <si>
    <t xml:space="preserve">ATUAL COSMETICOS</t>
  </si>
  <si>
    <t xml:space="preserve">SM SIELLI</t>
  </si>
  <si>
    <t xml:space="preserve">COPFAX COPIADORA E PAPELARIA LTDA</t>
  </si>
  <si>
    <t xml:space="preserve">COPFAX</t>
  </si>
  <si>
    <t xml:space="preserve">AMARILDO RIBEIRO SOARES</t>
  </si>
  <si>
    <t xml:space="preserve">MULTIPLOS RESTAURANTE - ME</t>
  </si>
  <si>
    <t xml:space="preserve">RANULFO BARBOSA FALCAO</t>
  </si>
  <si>
    <t xml:space="preserve">PANIF E LANCH AVENIDA</t>
  </si>
  <si>
    <t xml:space="preserve">SANTOS E MARCHESE LTDA</t>
  </si>
  <si>
    <t xml:space="preserve">FARMACIA RIO BRILHANTE</t>
  </si>
  <si>
    <t xml:space="preserve">LENIR ROCHA FERREIRA</t>
  </si>
  <si>
    <t xml:space="preserve">RIBEIRO E PAULINO LTDA</t>
  </si>
  <si>
    <t xml:space="preserve">M I SHIOUSKI</t>
  </si>
  <si>
    <t xml:space="preserve">HOTEL E REST POUSADA DAS EMAS</t>
  </si>
  <si>
    <t xml:space="preserve">TROKAR CONVENIENCIA LTDA</t>
  </si>
  <si>
    <t xml:space="preserve">TROKAR CONVENIENCIA</t>
  </si>
  <si>
    <t xml:space="preserve">HOTEL AMAMBAI LTDA</t>
  </si>
  <si>
    <t xml:space="preserve">HOTEL AMAMBAI</t>
  </si>
  <si>
    <t xml:space="preserve">ANACAPRI RISTORANTE LTDA</t>
  </si>
  <si>
    <t xml:space="preserve">SPOLOTO</t>
  </si>
  <si>
    <t xml:space="preserve">MERCADO CELEMAR LTDA</t>
  </si>
  <si>
    <t xml:space="preserve">MERCADO CELEMAR</t>
  </si>
  <si>
    <t xml:space="preserve">ANDERSON DA SILVA</t>
  </si>
  <si>
    <t xml:space="preserve">LANCH E REST SILVA</t>
  </si>
  <si>
    <t xml:space="preserve">CLAUDIO ROSSI JUNIOR</t>
  </si>
  <si>
    <t xml:space="preserve">PATRICIA DE OLIVEIRA CUNHA-ME</t>
  </si>
  <si>
    <t xml:space="preserve">PET HERE</t>
  </si>
  <si>
    <t xml:space="preserve">DEP GAS MERCEARIA NSA APARECID</t>
  </si>
  <si>
    <t xml:space="preserve">LUZENIR FATIMA JUNQUEIRA TEIXEIRA</t>
  </si>
  <si>
    <t xml:space="preserve">SUP DALLAS</t>
  </si>
  <si>
    <t xml:space="preserve">FABRAO SUPERMERCADOS LTDA</t>
  </si>
  <si>
    <t xml:space="preserve">ROSA E SILVA LTDA</t>
  </si>
  <si>
    <t xml:space="preserve">M &amp; S UNAES</t>
  </si>
  <si>
    <t xml:space="preserve">RODRIGUES BARBIER E FAGUNDES LTDA</t>
  </si>
  <si>
    <t xml:space="preserve">MERCADO PRATIKA</t>
  </si>
  <si>
    <t xml:space="preserve">MARLI INES VIANA SANTOS</t>
  </si>
  <si>
    <t xml:space="preserve">CANTINA AGRARIA</t>
  </si>
  <si>
    <t xml:space="preserve">COMERCIAL TAVARES LTDA - ME</t>
  </si>
  <si>
    <t xml:space="preserve">COLETA BARBOSA SAIKI</t>
  </si>
  <si>
    <t xml:space="preserve">MERCADO SAIKI</t>
  </si>
  <si>
    <t xml:space="preserve">ADENILCE BEZERRA DA SILVA ALVES</t>
  </si>
  <si>
    <t xml:space="preserve">MERCEARIA E ACOUGUE JM</t>
  </si>
  <si>
    <t xml:space="preserve">V E J PANIFICADORA E CONVENIENCIA LTDA  </t>
  </si>
  <si>
    <t xml:space="preserve">VIVIS PANIFICADORA E CONVENIEN</t>
  </si>
  <si>
    <t xml:space="preserve">GRUTA GELADA E DOCE LUAR LTDA</t>
  </si>
  <si>
    <t xml:space="preserve">IDALECIO ALVES DE FARIAS</t>
  </si>
  <si>
    <t xml:space="preserve">FRUTARIA BIG FRUTAS</t>
  </si>
  <si>
    <t xml:space="preserve">BOSIO E BOSIO LTDA</t>
  </si>
  <si>
    <t xml:space="preserve">CASA DO CABELEREIRO</t>
  </si>
  <si>
    <t xml:space="preserve">JOEL CANHETE</t>
  </si>
  <si>
    <t xml:space="preserve">JORGE MERCADO</t>
  </si>
  <si>
    <t xml:space="preserve">IND COM DE ALIMENTOS PIERI LTDA</t>
  </si>
  <si>
    <t xml:space="preserve">CASA DE CARNES PIERI</t>
  </si>
  <si>
    <t xml:space="preserve">THIAGO DE SA ARAKAKI ME</t>
  </si>
  <si>
    <t xml:space="preserve">FUNERARIA NIPON</t>
  </si>
  <si>
    <t xml:space="preserve">TEREZINHA GEDRO</t>
  </si>
  <si>
    <t xml:space="preserve">MERCADO E A?OLGUE MACHADO</t>
  </si>
  <si>
    <t xml:space="preserve">KW COMERCIO DE ALIMENTOS LTDA</t>
  </si>
  <si>
    <t xml:space="preserve">CHOPERIA CELEIRO LTDA</t>
  </si>
  <si>
    <t xml:space="preserve">CHOPERIA CELEIRO</t>
  </si>
  <si>
    <t xml:space="preserve">JOSIANE LONGO E CIA LTDA</t>
  </si>
  <si>
    <t xml:space="preserve">BIASUS E LEVINSKI LTDA</t>
  </si>
  <si>
    <t xml:space="preserve">SINUELO LANCHONETE RESTAURANTE</t>
  </si>
  <si>
    <t xml:space="preserve">GOMES E BAZZO LTDA</t>
  </si>
  <si>
    <t xml:space="preserve">POSTO COPHARADIO</t>
  </si>
  <si>
    <t xml:space="preserve">ALESSANDRE ALVES DIAS</t>
  </si>
  <si>
    <t xml:space="preserve">AMAURI DA ROSA FERREIRA</t>
  </si>
  <si>
    <t xml:space="preserve">MERCEARIA PRECO BAIXO</t>
  </si>
  <si>
    <t xml:space="preserve">WILSON PECORARI</t>
  </si>
  <si>
    <t xml:space="preserve">SERV ANIMAL</t>
  </si>
  <si>
    <t xml:space="preserve">ABIZAEL DA CUNHA FERREIRA</t>
  </si>
  <si>
    <t xml:space="preserve">MERCADO CUNHA</t>
  </si>
  <si>
    <t xml:space="preserve">COMERCIAL ATACADISTA PRINCESA LTDA</t>
  </si>
  <si>
    <t xml:space="preserve">DISTRIBUIDORA BOM PRECO</t>
  </si>
  <si>
    <t xml:space="preserve">TOLEDO E REZENDE LTDA</t>
  </si>
  <si>
    <t xml:space="preserve">FARMACIA REZENDE</t>
  </si>
  <si>
    <t xml:space="preserve">FARMACIA FARMAMED LTDA</t>
  </si>
  <si>
    <t xml:space="preserve">FARMACIA FARMAMED</t>
  </si>
  <si>
    <t xml:space="preserve">PANIFICADORA PASSA TEMPO LTDA</t>
  </si>
  <si>
    <t xml:space="preserve">PANIFICADORA PASSA TEMPO</t>
  </si>
  <si>
    <t xml:space="preserve">FRUTUOSO E CANO LTDA</t>
  </si>
  <si>
    <t xml:space="preserve">MERCADO BEM-TI-VI</t>
  </si>
  <si>
    <t xml:space="preserve">IRANILDE REIS PEIXOTO</t>
  </si>
  <si>
    <t xml:space="preserve">SILVANA DAVID FERREIRA</t>
  </si>
  <si>
    <t xml:space="preserve">M &amp; M CHOPERIA</t>
  </si>
  <si>
    <t xml:space="preserve">MILENE NOVAES CALDEIRA EPP</t>
  </si>
  <si>
    <t xml:space="preserve">MILENE NOVAES CALDEIRA</t>
  </si>
  <si>
    <t xml:space="preserve">BRASIL COLCHOES LTDA</t>
  </si>
  <si>
    <t xml:space="preserve">FLORES CYBER CAFE II</t>
  </si>
  <si>
    <t xml:space="preserve">ANTENOR MAURICIO JACOB DOMINGUES</t>
  </si>
  <si>
    <t xml:space="preserve">CASA DAS FRUTAS</t>
  </si>
  <si>
    <t xml:space="preserve">JOSE NILSON VICTOR VIEIRA</t>
  </si>
  <si>
    <t xml:space="preserve">MERCADO BRASAO</t>
  </si>
  <si>
    <t xml:space="preserve">ROSIMEIRE CORREA</t>
  </si>
  <si>
    <t xml:space="preserve">REST DA AVENIDA</t>
  </si>
  <si>
    <t xml:space="preserve">REINALDO GONCALVES</t>
  </si>
  <si>
    <t xml:space="preserve">CASA DE CARNE GONCALVES</t>
  </si>
  <si>
    <t xml:space="preserve">FRUTAL SUPERMERCADO</t>
  </si>
  <si>
    <t xml:space="preserve">MARLY DO COUTO PORTELA</t>
  </si>
  <si>
    <t xml:space="preserve">MERCADO NAPOLEAO</t>
  </si>
  <si>
    <t xml:space="preserve">J M VIEIRA</t>
  </si>
  <si>
    <t xml:space="preserve">SANTANA SUPERMERCADO</t>
  </si>
  <si>
    <t xml:space="preserve">NIELLY COSMETICOS LTDA</t>
  </si>
  <si>
    <t xml:space="preserve">NIELLY COSMETICOS</t>
  </si>
  <si>
    <t xml:space="preserve">FLAVIA CAROLINE MIYASHIRO</t>
  </si>
  <si>
    <t xml:space="preserve">MERCADO IPE DE PARANAIBA LTDA - EPP</t>
  </si>
  <si>
    <t xml:space="preserve">SUPERMERCADO IPE</t>
  </si>
  <si>
    <t xml:space="preserve">MERCADO BOLANDO</t>
  </si>
  <si>
    <t xml:space="preserve">FABIO SOUZA DOS SANTOS LTDA</t>
  </si>
  <si>
    <t xml:space="preserve">LANCHONETE PIZZARIA DOM AQUINO LTDA</t>
  </si>
  <si>
    <t xml:space="preserve">BUGALU II</t>
  </si>
  <si>
    <t xml:space="preserve">ELAINE MARTINS MOURA</t>
  </si>
  <si>
    <t xml:space="preserve">CICERA GRANADO OKAEDA</t>
  </si>
  <si>
    <t xml:space="preserve">GAMES 2</t>
  </si>
  <si>
    <t xml:space="preserve">SAO FRANCISCO COMERCIO DE ALIMENTOS LTDA</t>
  </si>
  <si>
    <t xml:space="preserve">EXCELER RESTAURANTE LTDA</t>
  </si>
  <si>
    <t xml:space="preserve">EXCELER COMISSARIA</t>
  </si>
  <si>
    <t xml:space="preserve">GLOBO CONVENIENCIAS LTDA</t>
  </si>
  <si>
    <t xml:space="preserve">GLOBO CONVENIENCIA</t>
  </si>
  <si>
    <t xml:space="preserve">LUCIANE ALVES DE SOUZA</t>
  </si>
  <si>
    <t xml:space="preserve">ADERALDO ROBERTO PAIXAO</t>
  </si>
  <si>
    <t xml:space="preserve">DAMASTER CONVENIENCIAS</t>
  </si>
  <si>
    <t xml:space="preserve">EDNA PEDROZO FAVARO</t>
  </si>
  <si>
    <t xml:space="preserve">CRISTIANE DA PAZ OLIVEIRA</t>
  </si>
  <si>
    <t xml:space="preserve">MERCADO COMPARE E COMPRE</t>
  </si>
  <si>
    <t xml:space="preserve">SONIA DA COSTA MACHADO NAGATANI</t>
  </si>
  <si>
    <t xml:space="preserve">MERCADO SAO MATUES</t>
  </si>
  <si>
    <t xml:space="preserve">EDISON F BENITES</t>
  </si>
  <si>
    <t xml:space="preserve">MINI MERC VILA PENZA</t>
  </si>
  <si>
    <t xml:space="preserve">SUPERMERCADO UMADA LTDA</t>
  </si>
  <si>
    <t xml:space="preserve">MERLEI APARECIDA BUENO DA SILVA</t>
  </si>
  <si>
    <t xml:space="preserve">SM FERRACINE</t>
  </si>
  <si>
    <t xml:space="preserve">ANDO E BRUNO LTDA</t>
  </si>
  <si>
    <t xml:space="preserve">PANIF PANOCA</t>
  </si>
  <si>
    <t xml:space="preserve">AUTO POSTO UNIVERSAL LTDA</t>
  </si>
  <si>
    <t xml:space="preserve">AUTO POSTO UNIVERSAL</t>
  </si>
  <si>
    <t xml:space="preserve">SUPERMERCADO ACACIA LTDA</t>
  </si>
  <si>
    <t xml:space="preserve">REDEMS ACACIA </t>
  </si>
  <si>
    <t xml:space="preserve">SOCIEDADE DE PROTECAO ANIMAL ABRIGO DOS </t>
  </si>
  <si>
    <t xml:space="preserve">ABRIGO DOS BICHOS</t>
  </si>
  <si>
    <t xml:space="preserve">ARAUJO E PICCINI LTDA</t>
  </si>
  <si>
    <t xml:space="preserve">SILVANA BARATELLA FERNANDES</t>
  </si>
  <si>
    <t xml:space="preserve">FARMACIA ROMANA</t>
  </si>
  <si>
    <t xml:space="preserve">SILVANA BARATELLA FERNANDES - EPP</t>
  </si>
  <si>
    <t xml:space="preserve">NR COSMETICOS LTDA</t>
  </si>
  <si>
    <t xml:space="preserve">GAVIC COSMETICOS</t>
  </si>
  <si>
    <t xml:space="preserve">REGINA CLARICE CUNHA</t>
  </si>
  <si>
    <t xml:space="preserve">MINI MERCADO PEREIRA</t>
  </si>
  <si>
    <t xml:space="preserve">VILLETTI E GROSSO LTDA</t>
  </si>
  <si>
    <t xml:space="preserve">DEPOSITO DE BEBIDAS SAO MARCOS</t>
  </si>
  <si>
    <t xml:space="preserve">MINOHARA E MINOHARA LTDA</t>
  </si>
  <si>
    <t xml:space="preserve">MERCEARIA UNIVERSITARIA</t>
  </si>
  <si>
    <t xml:space="preserve">TRACHTA E SILVA E CIA LTDA ME</t>
  </si>
  <si>
    <t xml:space="preserve">CLINICA ANIMAL</t>
  </si>
  <si>
    <t xml:space="preserve">GLAUBER PERES DE MORAES</t>
  </si>
  <si>
    <t xml:space="preserve">ROCHA E DOMINGOS LTDA</t>
  </si>
  <si>
    <t xml:space="preserve">MEGABOX BOM JESUS</t>
  </si>
  <si>
    <t xml:space="preserve">ELENICE FERREIRA BARBOSA</t>
  </si>
  <si>
    <t xml:space="preserve">PADARIA PAO DE ACUCAR</t>
  </si>
  <si>
    <t xml:space="preserve">ROOSEVELT DE FIGUEIREDO DO NASCIMENTO</t>
  </si>
  <si>
    <t xml:space="preserve">JR BARBOSA E CIA LTDA</t>
  </si>
  <si>
    <t xml:space="preserve">SM NOVA ESTRELA</t>
  </si>
  <si>
    <t xml:space="preserve">ARMANDO JOSE PERUSSO</t>
  </si>
  <si>
    <t xml:space="preserve">DIST DE BEBIDAS PERUS</t>
  </si>
  <si>
    <t xml:space="preserve">JPM COMERCIO ATACADISTA E SERVICOS EIREL</t>
  </si>
  <si>
    <t xml:space="preserve">JPM COMERCIO E SERVICOS</t>
  </si>
  <si>
    <t xml:space="preserve">SANDRA MARIA BARTOLOMEU HONDA</t>
  </si>
  <si>
    <t xml:space="preserve">SOUTH FASHION</t>
  </si>
  <si>
    <t xml:space="preserve">COMERCIAL FERREIRA DE ALIMENTOS LTDA</t>
  </si>
  <si>
    <t xml:space="preserve">R E C FRIOS E CONVENIENCIAS LTDA</t>
  </si>
  <si>
    <t xml:space="preserve">R&amp;C FRIOS</t>
  </si>
  <si>
    <t xml:space="preserve">XAVIER E FILHO LTDA</t>
  </si>
  <si>
    <t xml:space="preserve">JOSE PEREIRA DA SILVA IVINHEMA</t>
  </si>
  <si>
    <t xml:space="preserve">COMERC ACUCAR</t>
  </si>
  <si>
    <t xml:space="preserve">MARIA JOSE DO NASCIMENTO RAMOS</t>
  </si>
  <si>
    <t xml:space="preserve">PADARIA E CONV. SABOR DE MEL</t>
  </si>
  <si>
    <t xml:space="preserve">MARIA JOSE DO NASCIMENTO ME</t>
  </si>
  <si>
    <t xml:space="preserve">PADARIA E CONVEN. SABOR DE MEL</t>
  </si>
  <si>
    <t xml:space="preserve">MERCEARIA NOVA VIDA</t>
  </si>
  <si>
    <t xml:space="preserve">R E R SUPERMERCADO LTDA</t>
  </si>
  <si>
    <t xml:space="preserve">MERCADO DOCE LAR</t>
  </si>
  <si>
    <t xml:space="preserve">IVONE CAETANO DA SILVA</t>
  </si>
  <si>
    <t xml:space="preserve">MERCADINHO DO TURCO</t>
  </si>
  <si>
    <t xml:space="preserve">SUPERMERCADO BAIXINHO LTDA</t>
  </si>
  <si>
    <t xml:space="preserve">GISLAINE MONTEIRO DE LIMA</t>
  </si>
  <si>
    <t xml:space="preserve">PADARIA MODERNA</t>
  </si>
  <si>
    <t xml:space="preserve">VALDEVINO ROSA DA SILVA</t>
  </si>
  <si>
    <t xml:space="preserve">ADRIANO DOS SANTOS MORRONE</t>
  </si>
  <si>
    <t xml:space="preserve">FRANCISCA MARIA FERREIRA</t>
  </si>
  <si>
    <t xml:space="preserve">SIMEAO E SILVA LTDA</t>
  </si>
  <si>
    <t xml:space="preserve">ADEMIR DA SILVA MATOS</t>
  </si>
  <si>
    <t xml:space="preserve">JC PEREIRA PET SHOP</t>
  </si>
  <si>
    <t xml:space="preserve">PETIT BICHON PET SHOP</t>
  </si>
  <si>
    <t xml:space="preserve">LUCIENE MONTIEL FELIPE</t>
  </si>
  <si>
    <t xml:space="preserve">CONVENIENCIA DA LU</t>
  </si>
  <si>
    <t xml:space="preserve">C B NANTES MERCEARIA</t>
  </si>
  <si>
    <t xml:space="preserve">MERCEARIA NANTES</t>
  </si>
  <si>
    <t xml:space="preserve">G M DE BARROS E CIA LTDA</t>
  </si>
  <si>
    <t xml:space="preserve">CANTINA DA UFMS</t>
  </si>
  <si>
    <t xml:space="preserve">L A DE ALENCAR</t>
  </si>
  <si>
    <t xml:space="preserve">PANIF VENUS</t>
  </si>
  <si>
    <t xml:space="preserve">PRODMEX FARMACIA EXPRESSA LTDA</t>
  </si>
  <si>
    <t xml:space="preserve">PRODMEX FARMACIA EXPRESSA</t>
  </si>
  <si>
    <t xml:space="preserve">TEREZA AUXILIADORA NANTES DA SILVEIRA</t>
  </si>
  <si>
    <t xml:space="preserve">V F DO NASCIMENTO</t>
  </si>
  <si>
    <t xml:space="preserve">SACOLAO SANTANA</t>
  </si>
  <si>
    <t xml:space="preserve">AUTO POSTO CASSILANDIA LTDA</t>
  </si>
  <si>
    <t xml:space="preserve">CENTRAL AUTO POSTO</t>
  </si>
  <si>
    <t xml:space="preserve">ANTONIO MARCOS DOS SANTOS PET SHOP</t>
  </si>
  <si>
    <t xml:space="preserve">MARQUINHOS PET SHOP</t>
  </si>
  <si>
    <t xml:space="preserve">RIATO CIA LTDA</t>
  </si>
  <si>
    <t xml:space="preserve">NEUZA BENEDITA DA SILVA</t>
  </si>
  <si>
    <t xml:space="preserve">SUPERMERCADO TALISMA LTDA</t>
  </si>
  <si>
    <t xml:space="preserve">PACOTAO AUTO SERVICO</t>
  </si>
  <si>
    <t xml:space="preserve">COMERCIAL REFRIPORA LTDA</t>
  </si>
  <si>
    <t xml:space="preserve">FRIPORA</t>
  </si>
  <si>
    <t xml:space="preserve">MARCIA MARIA DA SILVA MINIMERCADO</t>
  </si>
  <si>
    <t xml:space="preserve">MARIA DIRAIDE FILGUEIRAS</t>
  </si>
  <si>
    <t xml:space="preserve">SEGUROS TRANSPORTES LTDA</t>
  </si>
  <si>
    <t xml:space="preserve">HORT MIX</t>
  </si>
  <si>
    <t xml:space="preserve">EDILENE CAMARGO ESTEVES ME</t>
  </si>
  <si>
    <t xml:space="preserve">ALVORADA PET</t>
  </si>
  <si>
    <t xml:space="preserve">EMPORIO DO GUIMA LTDA</t>
  </si>
  <si>
    <t xml:space="preserve">EMPORIO DO GUIMA</t>
  </si>
  <si>
    <t xml:space="preserve">ABREU E RIBEIRO LTDA</t>
  </si>
  <si>
    <t xml:space="preserve">KRUGER TRANSPORTES LTDA</t>
  </si>
  <si>
    <t xml:space="preserve">O PONTO DA CARNE</t>
  </si>
  <si>
    <t xml:space="preserve">ANBRASKOL BEBIDAS SERV FESTAS LTDA</t>
  </si>
  <si>
    <t xml:space="preserve">ARLINE IMADA</t>
  </si>
  <si>
    <t xml:space="preserve">WALTER X SEEFELDER JUNIOR</t>
  </si>
  <si>
    <t xml:space="preserve">JUNIOR BEBIDAS E CONV</t>
  </si>
  <si>
    <t xml:space="preserve">PEDRO PAULO GOMES GAS</t>
  </si>
  <si>
    <t xml:space="preserve">DEPOSITO DE GAS PP</t>
  </si>
  <si>
    <t xml:space="preserve">EDUARDO NUNES DA COSTA</t>
  </si>
  <si>
    <t xml:space="preserve">CASA DE CARNE E PAD 3 IRMAOS</t>
  </si>
  <si>
    <t xml:space="preserve">FARMA MIL LTDA</t>
  </si>
  <si>
    <t xml:space="preserve">FARMA MIL</t>
  </si>
  <si>
    <t xml:space="preserve">ROSANGELA BUSA</t>
  </si>
  <si>
    <t xml:space="preserve">FRUTARIA CAXIAS DO SUL</t>
  </si>
  <si>
    <t xml:space="preserve">ALMIR PACHE RIBEIRO</t>
  </si>
  <si>
    <t xml:space="preserve">DUM DUM CONVENIENCIA</t>
  </si>
  <si>
    <t xml:space="preserve">MACIEL E CIA LTDA</t>
  </si>
  <si>
    <t xml:space="preserve">J C A FARIAS TRANSPORTES</t>
  </si>
  <si>
    <t xml:space="preserve">POSTO ANDRADE</t>
  </si>
  <si>
    <t xml:space="preserve">PEDRO PAULO AMARAL</t>
  </si>
  <si>
    <t xml:space="preserve">MERCEARIA NOVO MILENIO</t>
  </si>
  <si>
    <t xml:space="preserve">DENIS DOS SANTOS</t>
  </si>
  <si>
    <t xml:space="preserve">COMERCIAL BOM PRE?O</t>
  </si>
  <si>
    <t xml:space="preserve">GIVANIL BAGNARA</t>
  </si>
  <si>
    <t xml:space="preserve">PANF PAO MEL</t>
  </si>
  <si>
    <t xml:space="preserve">WALTER PEREIRA KREFF</t>
  </si>
  <si>
    <t xml:space="preserve">SHINZATO E SHINZATO LTDA</t>
  </si>
  <si>
    <t xml:space="preserve">OTICA PREC EXTETICO PERFEICAO</t>
  </si>
  <si>
    <t xml:space="preserve">MARILENE PEREIRA LEITE</t>
  </si>
  <si>
    <t xml:space="preserve">COMERCIAL LIDER</t>
  </si>
  <si>
    <t xml:space="preserve">LUIZ CLAUDIO MOREIRA DOS SANTOS</t>
  </si>
  <si>
    <t xml:space="preserve">MINI MERC LUIZINHO</t>
  </si>
  <si>
    <t xml:space="preserve">FREITAS FINOTTI E CIA LTDA</t>
  </si>
  <si>
    <t xml:space="preserve">COMERCIAL RODRIGUES</t>
  </si>
  <si>
    <t xml:space="preserve">LUCIETTO SEVERGNINI E CIA LTDA</t>
  </si>
  <si>
    <t xml:space="preserve">REST E LANCHONETE 2 IRMAOS</t>
  </si>
  <si>
    <t xml:space="preserve">SILVIA DE MORAIS</t>
  </si>
  <si>
    <t xml:space="preserve">PADARIA KI PAO</t>
  </si>
  <si>
    <t xml:space="preserve">PIC PANIFICADORA E CONFEITARIA LTDA</t>
  </si>
  <si>
    <t xml:space="preserve">PIC PANF CONV</t>
  </si>
  <si>
    <t xml:space="preserve">R L MIGUEIS</t>
  </si>
  <si>
    <t xml:space="preserve">CASA DE CARNE CACERENSE</t>
  </si>
  <si>
    <t xml:space="preserve">ADEMIR DE FREITAS</t>
  </si>
  <si>
    <t xml:space="preserve">KM 210</t>
  </si>
  <si>
    <t xml:space="preserve">TEREZINHA COSTA DO AMARAL ME</t>
  </si>
  <si>
    <t xml:space="preserve">BANHO E TOSA DOG MANIA</t>
  </si>
  <si>
    <t xml:space="preserve">PRUDENTMED PROD FARMACEUTICOS LTDA</t>
  </si>
  <si>
    <t xml:space="preserve">PRUDENTMED PROD FARMACEUTICOS</t>
  </si>
  <si>
    <t xml:space="preserve">SHIRAKAWA E CIA LTDA</t>
  </si>
  <si>
    <t xml:space="preserve">SM NIPPON</t>
  </si>
  <si>
    <t xml:space="preserve">CHURRASC LANCHONETE PAIS E FILHOS LTDA  </t>
  </si>
  <si>
    <t xml:space="preserve">CHURRASC PAIS E FILHOS</t>
  </si>
  <si>
    <t xml:space="preserve">N E CONVENIENCIA LTDA</t>
  </si>
  <si>
    <t xml:space="preserve">RESTAURANTE SAN FERNANDO</t>
  </si>
  <si>
    <t xml:space="preserve">GILBERTO LUCIANO DE OLIVEIRA</t>
  </si>
  <si>
    <t xml:space="preserve">G TEC - AEUROPA</t>
  </si>
  <si>
    <t xml:space="preserve">WILSON RODRIGUES VASCONCELOS EPP</t>
  </si>
  <si>
    <t xml:space="preserve">SALOMAO E DIAS LTDA</t>
  </si>
  <si>
    <t xml:space="preserve">POSTO VACARIA E CASA DE PAO Q</t>
  </si>
  <si>
    <t xml:space="preserve">PANIF PAO DOURADO</t>
  </si>
  <si>
    <t xml:space="preserve">PENTA COMERCIO DE PROD ALIMENTICIOS LTDA</t>
  </si>
  <si>
    <t xml:space="preserve">PENRA</t>
  </si>
  <si>
    <t xml:space="preserve">NEILTO MENDES DA SILVA</t>
  </si>
  <si>
    <t xml:space="preserve">MERCADO ALINCA</t>
  </si>
  <si>
    <t xml:space="preserve">WM SUPERMERCADO</t>
  </si>
  <si>
    <t xml:space="preserve">AROMA CAFE COMERCIAL LTDA</t>
  </si>
  <si>
    <t xml:space="preserve">AROMA CAFE</t>
  </si>
  <si>
    <t xml:space="preserve">ARMAZEM DA GULA LTDA</t>
  </si>
  <si>
    <t xml:space="preserve">ARMAZEM DA GULA</t>
  </si>
  <si>
    <t xml:space="preserve">EDNELSON CLAUDIO PEREIRA</t>
  </si>
  <si>
    <t xml:space="preserve">SM REUNIDAS</t>
  </si>
  <si>
    <t xml:space="preserve">FABERSON OLIVEIRA DE SOUSA</t>
  </si>
  <si>
    <t xml:space="preserve">SACOLAO REAL FRUT</t>
  </si>
  <si>
    <t xml:space="preserve">PIRES E OLIVEIRA LTDA</t>
  </si>
  <si>
    <t xml:space="preserve">MERCADO KAPITAL</t>
  </si>
  <si>
    <t xml:space="preserve">PLASTEL EMBALAGENS LTDA</t>
  </si>
  <si>
    <t xml:space="preserve">PLASTEL EMBALAGENS</t>
  </si>
  <si>
    <t xml:space="preserve">GENTIL SILVA</t>
  </si>
  <si>
    <t xml:space="preserve">GENTIL CONVENIENCIA</t>
  </si>
  <si>
    <t xml:space="preserve">SANDRA DA SILVA ALVES</t>
  </si>
  <si>
    <t xml:space="preserve">RITA DE CASSIA SILVEIRA CRAVEIRO</t>
  </si>
  <si>
    <t xml:space="preserve">ARTES E REQUINTE</t>
  </si>
  <si>
    <t xml:space="preserve">ARTE DOS SABORES</t>
  </si>
  <si>
    <t xml:space="preserve">MERCADO IDNEY</t>
  </si>
  <si>
    <t xml:space="preserve">COELHO E SOUZA LTDA</t>
  </si>
  <si>
    <t xml:space="preserve">COMERCIAL GLORIA</t>
  </si>
  <si>
    <t xml:space="preserve">ALEXANDRE GENES</t>
  </si>
  <si>
    <t xml:space="preserve">EMPORIO AGROPECUARIO</t>
  </si>
  <si>
    <t xml:space="preserve">EMPORIO AVENIDA LTDA</t>
  </si>
  <si>
    <t xml:space="preserve">EURIS VERGINIA MARIM SPINDULA</t>
  </si>
  <si>
    <t xml:space="preserve">MERCEARIA DO DIMAS</t>
  </si>
  <si>
    <t xml:space="preserve">ANTONIO CARLOS COPPO</t>
  </si>
  <si>
    <t xml:space="preserve">MERCEARIA PALMEIRAS</t>
  </si>
  <si>
    <t xml:space="preserve">NEGO BOM COMERCIO DE ALIMENTOS LTDA</t>
  </si>
  <si>
    <t xml:space="preserve">NEGO BOM</t>
  </si>
  <si>
    <t xml:space="preserve">SONIA SATO GERONYMO</t>
  </si>
  <si>
    <t xml:space="preserve">MERCADINHO SABO</t>
  </si>
  <si>
    <t xml:space="preserve">LEOPOLDO DE MELLO</t>
  </si>
  <si>
    <t xml:space="preserve">MERCADO LARANJEIRAS</t>
  </si>
  <si>
    <t xml:space="preserve">FORTESUL DITRIBUIDORA DE ALIMENTOS LTDA </t>
  </si>
  <si>
    <t xml:space="preserve">FORTESUL DIST DE ALIMENTOS</t>
  </si>
  <si>
    <t xml:space="preserve">AUTO POSTO SENA LTDA</t>
  </si>
  <si>
    <t xml:space="preserve">AUTO POSTO SENA</t>
  </si>
  <si>
    <t xml:space="preserve">COMERCIAL AJS LTDA</t>
  </si>
  <si>
    <t xml:space="preserve">MERC E ACOUGUE BOI BRANCO</t>
  </si>
  <si>
    <t xml:space="preserve">D E D COMERCIO DE ALIMENTOS LTDA</t>
  </si>
  <si>
    <t xml:space="preserve">SALSA RESTAURANTE</t>
  </si>
  <si>
    <t xml:space="preserve">CLOVES P DOS SANTOS</t>
  </si>
  <si>
    <t xml:space="preserve">CATIA ARAUJO SOFTOV</t>
  </si>
  <si>
    <t xml:space="preserve">PANIF SOFTOV</t>
  </si>
  <si>
    <t xml:space="preserve">BENEDITO SILVA MERCEARIA</t>
  </si>
  <si>
    <t xml:space="preserve">FERREIRA E ALMEIDA REST E CHOPERIA LTDA </t>
  </si>
  <si>
    <t xml:space="preserve">PAPA SOL MAMA LUA</t>
  </si>
  <si>
    <t xml:space="preserve">FERREIRA E ALMEIDA REST CHOPERIA LTDA</t>
  </si>
  <si>
    <t xml:space="preserve">POPPAO QUENTE</t>
  </si>
  <si>
    <t xml:space="preserve">MALHOTAQUE FERREIRA E MALANDRI LTDA</t>
  </si>
  <si>
    <t xml:space="preserve">E MARQUES DA SILVA</t>
  </si>
  <si>
    <t xml:space="preserve">MERCADO MOREIRA (LJ02)</t>
  </si>
  <si>
    <t xml:space="preserve">MARLENE EBRES DOS SANTOS</t>
  </si>
  <si>
    <t xml:space="preserve">POSTO JOIA</t>
  </si>
  <si>
    <t xml:space="preserve">C LASCLOTA LANCHONETE</t>
  </si>
  <si>
    <t xml:space="preserve">FATIMA SUCO E LANCHES</t>
  </si>
  <si>
    <t xml:space="preserve">COMERCIAL BELARMINO DE ALIMENTOS LTDA</t>
  </si>
  <si>
    <t xml:space="preserve">MERCADO BELARMINO</t>
  </si>
  <si>
    <t xml:space="preserve">TRANSPORTADORA MARQUES ROBERTO LTDA</t>
  </si>
  <si>
    <t xml:space="preserve">RANCHARIA</t>
  </si>
  <si>
    <t xml:space="preserve">TRANSP MARQUES ROBERTO</t>
  </si>
  <si>
    <t xml:space="preserve">ZILDA COSMO DE SOUZA</t>
  </si>
  <si>
    <t xml:space="preserve">BEER FESTAS</t>
  </si>
  <si>
    <t xml:space="preserve">ADMILSON DOS SANTOS FELIZARDO</t>
  </si>
  <si>
    <t xml:space="preserve">PANIF PIONEIRA</t>
  </si>
  <si>
    <t xml:space="preserve">ALDA CECILIA SOUZA DE LIMA</t>
  </si>
  <si>
    <t xml:space="preserve">BRUSAROSCO E CIA LTDA</t>
  </si>
  <si>
    <t xml:space="preserve">CARANDA AUTO POSTO</t>
  </si>
  <si>
    <t xml:space="preserve">I L SANTOS OLIVEIRA</t>
  </si>
  <si>
    <t xml:space="preserve">MINI MERCADO MID</t>
  </si>
  <si>
    <t xml:space="preserve">MEAT COMERCIO DE ALIMENTOS LTDA</t>
  </si>
  <si>
    <t xml:space="preserve">GEOMETRIA DA CARNE</t>
  </si>
  <si>
    <t xml:space="preserve">LENEMAR COMERCIAL LTDA</t>
  </si>
  <si>
    <t xml:space="preserve">MERCADO TEM</t>
  </si>
  <si>
    <t xml:space="preserve">LUCIANO DE QUEIROZ MOLINA</t>
  </si>
  <si>
    <t xml:space="preserve">LAURO APARECIDO ROSA DE SOUZA</t>
  </si>
  <si>
    <t xml:space="preserve">CASA DE CARNE RIO</t>
  </si>
  <si>
    <t xml:space="preserve">ICLACI BAUMGARTNER</t>
  </si>
  <si>
    <t xml:space="preserve">CHUR E PIZZARIA TOTA</t>
  </si>
  <si>
    <t xml:space="preserve">E M SAMPAIO DE SOUZA</t>
  </si>
  <si>
    <t xml:space="preserve">CREPE MANIA</t>
  </si>
  <si>
    <t xml:space="preserve">SILVIO MOYSES LEITE</t>
  </si>
  <si>
    <t xml:space="preserve">PADARIA E CONF VITORIA</t>
  </si>
  <si>
    <t xml:space="preserve">PANIFICADORA KI DELICIA</t>
  </si>
  <si>
    <t xml:space="preserve">MARCOS TERUO MORIYA</t>
  </si>
  <si>
    <t xml:space="preserve">FRIOS E ACESSORIOS</t>
  </si>
  <si>
    <t xml:space="preserve">CIA ATLETICA ESPORTE CLUBE</t>
  </si>
  <si>
    <t xml:space="preserve">SANER PAULO DE OLIVEIRA FARIAS</t>
  </si>
  <si>
    <t xml:space="preserve">BOVINO BOX</t>
  </si>
  <si>
    <t xml:space="preserve">O F Q DO N SOARES</t>
  </si>
  <si>
    <t xml:space="preserve">DROGARIA SANTA TERESA</t>
  </si>
  <si>
    <t xml:space="preserve">SUPERMERCADO AGUA AZUL LTDA</t>
  </si>
  <si>
    <t xml:space="preserve">SM AGUA AZUL</t>
  </si>
  <si>
    <t xml:space="preserve">COMERCIAL ALIMENTOS RIBAS R PARDO LTDA  </t>
  </si>
  <si>
    <t xml:space="preserve">REDE LIDER</t>
  </si>
  <si>
    <t xml:space="preserve">DE CARLI E CIA LTDA</t>
  </si>
  <si>
    <t xml:space="preserve">DROGARIA MAIS PANTANAL</t>
  </si>
  <si>
    <t xml:space="preserve">DROGARIA FABIANA LTDA ME</t>
  </si>
  <si>
    <t xml:space="preserve">DROGARIA FABIANA</t>
  </si>
  <si>
    <t xml:space="preserve">SIDNEI CARMO SANCHES LIMA</t>
  </si>
  <si>
    <t xml:space="preserve">MERCADO VILA ALMEIDA</t>
  </si>
  <si>
    <t xml:space="preserve">AUTO POSTO VELOSO LTDA</t>
  </si>
  <si>
    <t xml:space="preserve">CELLIAGRO COMERCIO E REPRESENTACOES LTDA</t>
  </si>
  <si>
    <t xml:space="preserve">RACAO E CIA</t>
  </si>
  <si>
    <t xml:space="preserve">FARMACOM MEDICAMENTOS E PERFUMARIAS LTDA</t>
  </si>
  <si>
    <t xml:space="preserve">FARMA E CIA</t>
  </si>
  <si>
    <t xml:space="preserve">RUBIVAL MARTINS SUBRINHO</t>
  </si>
  <si>
    <t xml:space="preserve">HORA DO ALMO?O REST. E LANCH</t>
  </si>
  <si>
    <t xml:space="preserve">STOP HORTIFRUTA E ART DO VESTUARIO LTDA </t>
  </si>
  <si>
    <t xml:space="preserve">STOP HORTIFRUTAS</t>
  </si>
  <si>
    <t xml:space="preserve">MARIO LUCIO RODRIGUES</t>
  </si>
  <si>
    <t xml:space="preserve">MINI MERC THAYNA</t>
  </si>
  <si>
    <t xml:space="preserve">LAUDI RAQUEL GABRIEL DOS SANTOS</t>
  </si>
  <si>
    <t xml:space="preserve">POUSADA GAUCHA</t>
  </si>
  <si>
    <t xml:space="preserve">PANIFICADORA CONF SANTA THEREZINHA LTDA </t>
  </si>
  <si>
    <t xml:space="preserve">LE BAGUETTE</t>
  </si>
  <si>
    <t xml:space="preserve">SUPERMERCADO AUSANI LTDA</t>
  </si>
  <si>
    <t xml:space="preserve">SUPERMERCADO AUSANI</t>
  </si>
  <si>
    <t xml:space="preserve">M B DE ALMEIDA</t>
  </si>
  <si>
    <t xml:space="preserve">DELICIAS CONGELADOS DA VOVO</t>
  </si>
  <si>
    <t xml:space="preserve">R S MUNHOZ</t>
  </si>
  <si>
    <t xml:space="preserve">CHOPP MANIA</t>
  </si>
  <si>
    <t xml:space="preserve">MERCADO AZEVEDO LTDA</t>
  </si>
  <si>
    <t xml:space="preserve">SUPERMERCADO AZEVEDO</t>
  </si>
  <si>
    <t xml:space="preserve">PRADO E MOTA LTDA</t>
  </si>
  <si>
    <t xml:space="preserve">FARMA 10 (FARMACIA POSTO 10)</t>
  </si>
  <si>
    <t xml:space="preserve">COMERCIAL DE ALIMENTOS TUIUIU LTDA</t>
  </si>
  <si>
    <t xml:space="preserve">MARCELO ALVES OLIVEIRA</t>
  </si>
  <si>
    <t xml:space="preserve">EMPORIO GENTE DA CASA</t>
  </si>
  <si>
    <t xml:space="preserve">A CANDIDO COMERCIAL OURINHOS</t>
  </si>
  <si>
    <t xml:space="preserve">SM SAMANTA</t>
  </si>
  <si>
    <t xml:space="preserve">LUIZ CAETANO SANTOS</t>
  </si>
  <si>
    <t xml:space="preserve">SM KI PRECO</t>
  </si>
  <si>
    <t xml:space="preserve">JORGE PEREIRA DE SOUZA</t>
  </si>
  <si>
    <t xml:space="preserve">COMERCIAL AMARELO</t>
  </si>
  <si>
    <t xml:space="preserve">MOURA E ROCHA COM DE ALIM LTDA</t>
  </si>
  <si>
    <t xml:space="preserve">ELIEL DA ROCHA COTA ME/MS</t>
  </si>
  <si>
    <t xml:space="preserve">FRANCISCA ROLON</t>
  </si>
  <si>
    <t xml:space="preserve">BRAZ E SANCHES LTDA</t>
  </si>
  <si>
    <t xml:space="preserve">MINI MERCADO SANCHES</t>
  </si>
  <si>
    <t xml:space="preserve">MARIA NAZARE SANTOS DE MELO</t>
  </si>
  <si>
    <t xml:space="preserve">BOGARIM BEBIDAS</t>
  </si>
  <si>
    <t xml:space="preserve">P R DO NASCIMENTO</t>
  </si>
  <si>
    <t xml:space="preserve">COMERCIAL KAPITAL LTDA</t>
  </si>
  <si>
    <t xml:space="preserve">PONTO MIX</t>
  </si>
  <si>
    <t xml:space="preserve">C L GONCALVES</t>
  </si>
  <si>
    <t xml:space="preserve">HOTEL E REST PADARIA DIAMANTE</t>
  </si>
  <si>
    <t xml:space="preserve">XAVIER E ANTUNES LTDA</t>
  </si>
  <si>
    <t xml:space="preserve">ALBATROZ COMERCIAL DE PETROLEO LTDA</t>
  </si>
  <si>
    <t xml:space="preserve">ACAI LANCHETERIA LTDA</t>
  </si>
  <si>
    <t xml:space="preserve">ACAI LANCHETERIA</t>
  </si>
  <si>
    <t xml:space="preserve">R.S EMPREENDIMENTOS TURISTICOS LTDA</t>
  </si>
  <si>
    <t xml:space="preserve">HOTEL DA MONTANHA</t>
  </si>
  <si>
    <t xml:space="preserve">WAGNER HENRIQUE DE SALES BENITES</t>
  </si>
  <si>
    <t xml:space="preserve">ARMAZEM DO PET</t>
  </si>
  <si>
    <t xml:space="preserve">JEFFERSON CEZAR FONTALVA</t>
  </si>
  <si>
    <t xml:space="preserve">MERCADO YUKI</t>
  </si>
  <si>
    <t xml:space="preserve">COMEWE COMERCIO DE ALIMENTOS LTDA</t>
  </si>
  <si>
    <t xml:space="preserve">SUPERMERCADO SUPER MS LTDA</t>
  </si>
  <si>
    <t xml:space="preserve">RF RESTAURANTE E LANCHONETE LTDA EPP</t>
  </si>
  <si>
    <t xml:space="preserve">FABIANA SILVESTRE DA SILVA</t>
  </si>
  <si>
    <t xml:space="preserve">MAZE CONVENIENCIA</t>
  </si>
  <si>
    <t xml:space="preserve">MISSE PEREIRA BARBOZA</t>
  </si>
  <si>
    <t xml:space="preserve">MONTANHA E MARTINS LTDA</t>
  </si>
  <si>
    <t xml:space="preserve">HOTEL JANDIA</t>
  </si>
  <si>
    <t xml:space="preserve">DANATIELE GRISON GONCALVES</t>
  </si>
  <si>
    <t xml:space="preserve">C E A MERCEARIA LTDA</t>
  </si>
  <si>
    <t xml:space="preserve">MARTINS E CIA LTDA</t>
  </si>
  <si>
    <t xml:space="preserve">SM LEVE MAIS</t>
  </si>
  <si>
    <t xml:space="preserve">MINI MERCADO SANTOS OLIVEIRA LTDA</t>
  </si>
  <si>
    <t xml:space="preserve">MINI MERCADO FAVORITO</t>
  </si>
  <si>
    <t xml:space="preserve">MACIEL E DEZEM LTDA</t>
  </si>
  <si>
    <t xml:space="preserve">TEC MAC COMPUTADORES LTDA</t>
  </si>
  <si>
    <t xml:space="preserve">TEC MAC COMPUTADORES</t>
  </si>
  <si>
    <t xml:space="preserve">ATACADO FERNANDES GEN ALIM IMP EXP LTDA </t>
  </si>
  <si>
    <t xml:space="preserve">REDE ATACADO FERNANDES</t>
  </si>
  <si>
    <t xml:space="preserve">ATACADO FERNANDES</t>
  </si>
  <si>
    <t xml:space="preserve">ATACADISTA PANTANEIRO</t>
  </si>
  <si>
    <t xml:space="preserve">ELIANE M LIMA CAMARA DA SILVA E CIA LTDA</t>
  </si>
  <si>
    <t xml:space="preserve">CONV MULTIMARCA</t>
  </si>
  <si>
    <t xml:space="preserve">R E CACERES</t>
  </si>
  <si>
    <t xml:space="preserve">DISTRIBUIDORA CACERES</t>
  </si>
  <si>
    <t xml:space="preserve">ARAUJO E GUIMARAES LTDA</t>
  </si>
  <si>
    <t xml:space="preserve">ANIMAIS COMPANHIA E CIA</t>
  </si>
  <si>
    <t xml:space="preserve">THEOTONIO E CANONICO LTDA</t>
  </si>
  <si>
    <t xml:space="preserve">DROGARIA DROGAMAIS</t>
  </si>
  <si>
    <t xml:space="preserve">LOSS E LOSS LTDA</t>
  </si>
  <si>
    <t xml:space="preserve">14 BRASIL TELECOM CELULAR S A</t>
  </si>
  <si>
    <t xml:space="preserve">BRASIL TELECOM</t>
  </si>
  <si>
    <t xml:space="preserve">CANDIDA A DA S AMARAL</t>
  </si>
  <si>
    <t xml:space="preserve">SALAR RA?OES</t>
  </si>
  <si>
    <t xml:space="preserve">PANAYOTIS ESQUIVEL PROCOPIOU</t>
  </si>
  <si>
    <t xml:space="preserve">LANCHES BOA VISTA</t>
  </si>
  <si>
    <t xml:space="preserve">ELCIO SATORU NISHI</t>
  </si>
  <si>
    <t xml:space="preserve">GELATERIA DOCE SABOR</t>
  </si>
  <si>
    <t xml:space="preserve">ANA BIA PRODUTOS VETERINARIOS LTDA</t>
  </si>
  <si>
    <t xml:space="preserve">J A DE SOUZA SANCHES</t>
  </si>
  <si>
    <t xml:space="preserve">MERC SANCHES</t>
  </si>
  <si>
    <t xml:space="preserve">RUSSI E CIA LTDA</t>
  </si>
  <si>
    <t xml:space="preserve">DROGARIA FAR MAIS</t>
  </si>
  <si>
    <t xml:space="preserve">ALIMENTOS SAMIRA LTDA</t>
  </si>
  <si>
    <t xml:space="preserve">NEITON SILVA BARBOSA</t>
  </si>
  <si>
    <t xml:space="preserve">PAN CONF MAMA-MIA</t>
  </si>
  <si>
    <t xml:space="preserve">MARIA NADIR LACHI MANETTI</t>
  </si>
  <si>
    <t xml:space="preserve">DERIO CIAL VAREJ PROD ALIMENT LTDA</t>
  </si>
  <si>
    <t xml:space="preserve">SUPERMERCADO ODERI</t>
  </si>
  <si>
    <t xml:space="preserve">MARLET EFERNANDES LTDA</t>
  </si>
  <si>
    <t xml:space="preserve">VIT CENTER</t>
  </si>
  <si>
    <t xml:space="preserve">IVETE FERNANDES DOS SANTOS</t>
  </si>
  <si>
    <t xml:space="preserve">MINI MERCADO DO TONINHO</t>
  </si>
  <si>
    <t xml:space="preserve">MASAYASU YAMUCHI</t>
  </si>
  <si>
    <t xml:space="preserve">SALE &amp; PEPE</t>
  </si>
  <si>
    <t xml:space="preserve">LUDELCA DORNELES DOS SANTOS</t>
  </si>
  <si>
    <t xml:space="preserve">MERCADO DONELES</t>
  </si>
  <si>
    <t xml:space="preserve">VALDEMIR GIMENES SONA - ME</t>
  </si>
  <si>
    <t xml:space="preserve">POSTO DO PARQUE</t>
  </si>
  <si>
    <t xml:space="preserve">S J MIAN</t>
  </si>
  <si>
    <t xml:space="preserve">MELANIA INES DENDENA SCHAEFER E CIA LTDA</t>
  </si>
  <si>
    <t xml:space="preserve">T F D INFORMATICA LTDA</t>
  </si>
  <si>
    <t xml:space="preserve">MONKEY</t>
  </si>
  <si>
    <t xml:space="preserve">PIZZATTO E PIZZATTO LTDA</t>
  </si>
  <si>
    <t xml:space="preserve">REST KILOGRAMA</t>
  </si>
  <si>
    <t xml:space="preserve">INSTITUTO EDUCACIONAL PAULO FREIRE</t>
  </si>
  <si>
    <t xml:space="preserve">PAULO FREIRE</t>
  </si>
  <si>
    <t xml:space="preserve">CENTRO DE GASTRONOMIA VIA PARK LTDA</t>
  </si>
  <si>
    <t xml:space="preserve">MARTIGNONI</t>
  </si>
  <si>
    <t xml:space="preserve">MERCADO AMERICA LTDA</t>
  </si>
  <si>
    <t xml:space="preserve">REDE AMERICA</t>
  </si>
  <si>
    <t xml:space="preserve">AMERICA ATACADISTA</t>
  </si>
  <si>
    <t xml:space="preserve">SERGIO SIQUEIRA DE AMORIM ME</t>
  </si>
  <si>
    <t xml:space="preserve">SIRLEY CESARIO DA SILVA</t>
  </si>
  <si>
    <t xml:space="preserve">COMERCIAL STELA</t>
  </si>
  <si>
    <t xml:space="preserve">SUPERMERCADO NOGUEIRA LTDA</t>
  </si>
  <si>
    <t xml:space="preserve">SM NOGUEIRA</t>
  </si>
  <si>
    <t xml:space="preserve">SUPERMERCADO FORTALEZA LTDA</t>
  </si>
  <si>
    <t xml:space="preserve">REDE FORTALEZA</t>
  </si>
  <si>
    <t xml:space="preserve">SUPERMERCADO FORTALEZA</t>
  </si>
  <si>
    <t xml:space="preserve">SUPER FORTALEZA</t>
  </si>
  <si>
    <t xml:space="preserve">FORTALEZA</t>
  </si>
  <si>
    <t xml:space="preserve">FORTEMAX ATACADO</t>
  </si>
  <si>
    <t xml:space="preserve">SUPERMERCADO FORTALEZA 4</t>
  </si>
  <si>
    <t xml:space="preserve">MERCEARIA PADRAO LTDA</t>
  </si>
  <si>
    <t xml:space="preserve">BAR E MERCEARIA PADRAO</t>
  </si>
  <si>
    <t xml:space="preserve">ALIMENTOS SANTA CRUZ LTDA</t>
  </si>
  <si>
    <t xml:space="preserve">ALIMENTOS SANTA CRUZ</t>
  </si>
  <si>
    <t xml:space="preserve">HUDSON MELO DO NASCIMENTO  ME</t>
  </si>
  <si>
    <t xml:space="preserve">MORETI GIMENEZ ALIMENTOS LTDA</t>
  </si>
  <si>
    <t xml:space="preserve">MERCADO VERDURAO</t>
  </si>
  <si>
    <t xml:space="preserve">PESADAO ACESSORIOS LTDA</t>
  </si>
  <si>
    <t xml:space="preserve">PESADAO ACESSORIOS</t>
  </si>
  <si>
    <t xml:space="preserve">VANIA MARIA P MOREIRA</t>
  </si>
  <si>
    <t xml:space="preserve">MERCADINHO DO PAO</t>
  </si>
  <si>
    <t xml:space="preserve">ESTEIO RURAL COM PRODS VETERINARIOS LTDA</t>
  </si>
  <si>
    <t xml:space="preserve">ESTEIO RURAL</t>
  </si>
  <si>
    <t xml:space="preserve">FERNANDO MEDEIROS DE AQUINO</t>
  </si>
  <si>
    <t xml:space="preserve">CESTA BASICA SHALON</t>
  </si>
  <si>
    <t xml:space="preserve">MAXIMIANO ANDRADE NOGUEIRA</t>
  </si>
  <si>
    <t xml:space="preserve">OMEGA</t>
  </si>
  <si>
    <t xml:space="preserve">MERCADO LEMES LTDA</t>
  </si>
  <si>
    <t xml:space="preserve">MERCADO LEMES</t>
  </si>
  <si>
    <t xml:space="preserve">KK FAST FOOD LANCHES LTDA</t>
  </si>
  <si>
    <t xml:space="preserve">K K FAST FOOD LANCHES</t>
  </si>
  <si>
    <t xml:space="preserve">TURISMO BONITO AVENTURA LTDA ME</t>
  </si>
  <si>
    <t xml:space="preserve">JOSE XAVIER RAMOS DOS SANTOS</t>
  </si>
  <si>
    <t xml:space="preserve">HELIO GARCIA COSTA</t>
  </si>
  <si>
    <t xml:space="preserve">RILDO NERI SIMAO E CIA LTDA</t>
  </si>
  <si>
    <t xml:space="preserve">MARCIA REGINA DOS SANTOS  MEI</t>
  </si>
  <si>
    <t xml:space="preserve">SORVETERIA SONHO DE VERAO</t>
  </si>
  <si>
    <t xml:space="preserve">ANGELITA FERREIRA DE SOUZA</t>
  </si>
  <si>
    <t xml:space="preserve">PANF AVENIDA</t>
  </si>
  <si>
    <t xml:space="preserve">TRAMARIN E ARAUJO LTDA</t>
  </si>
  <si>
    <t xml:space="preserve">MERCADO FAMA</t>
  </si>
  <si>
    <t xml:space="preserve">H A FERREIRA COSTA</t>
  </si>
  <si>
    <t xml:space="preserve">CHURRASCARIA E LANCHONETE VITO</t>
  </si>
  <si>
    <t xml:space="preserve">A F PINTO</t>
  </si>
  <si>
    <t xml:space="preserve">MERCADO BIG COMPRAS</t>
  </si>
  <si>
    <t xml:space="preserve">SEBASTIANA ALVES MACHADO</t>
  </si>
  <si>
    <t xml:space="preserve">SANTANA E CAMPANO LTDA</t>
  </si>
  <si>
    <t xml:space="preserve">DOURAFRIOS</t>
  </si>
  <si>
    <t xml:space="preserve">HILDA SOARES OLIVEIRA</t>
  </si>
  <si>
    <t xml:space="preserve">BE HAPPY BAR E RESTAU</t>
  </si>
  <si>
    <t xml:space="preserve">CLEIDE GONCALVES VICENTIN</t>
  </si>
  <si>
    <t xml:space="preserve">SM SANTO ANTONIO</t>
  </si>
  <si>
    <t xml:space="preserve">LUCIMARA GERALDA DE OLIVEIRA</t>
  </si>
  <si>
    <t xml:space="preserve">CONV PAO FOFINHO</t>
  </si>
  <si>
    <t xml:space="preserve">SUPERMERCADO GASPAR LTDA</t>
  </si>
  <si>
    <t xml:space="preserve">SUPERMERCADO GASPAR</t>
  </si>
  <si>
    <t xml:space="preserve">DROGARIA CHALEFARMA LTDA</t>
  </si>
  <si>
    <t xml:space="preserve">DROGARIA CHALEFARMA</t>
  </si>
  <si>
    <t xml:space="preserve">JACQUES E BRANDAO LTDA</t>
  </si>
  <si>
    <t xml:space="preserve">PANIFICADORA ESPANHOLA</t>
  </si>
  <si>
    <t xml:space="preserve">RAFAEL RODRIGUES DE BRITES</t>
  </si>
  <si>
    <t xml:space="preserve">AGROLANDIA CASA DAS RACOES</t>
  </si>
  <si>
    <t xml:space="preserve">MERC E EMPORIO ESQUIMAO</t>
  </si>
  <si>
    <t xml:space="preserve">RUBENS ROBERTO GALICIANI</t>
  </si>
  <si>
    <t xml:space="preserve">COM 2 IRMAOS</t>
  </si>
  <si>
    <t xml:space="preserve">OHLM RESTAURANTE E LANCHONETE EIRELI</t>
  </si>
  <si>
    <t xml:space="preserve">PLATINAO RESTAURANTE</t>
  </si>
  <si>
    <t xml:space="preserve">LEONIL GONCALVES DE SOUZA E CIA LTDA</t>
  </si>
  <si>
    <t xml:space="preserve">SOUZA E BORIN LTDA</t>
  </si>
  <si>
    <t xml:space="preserve">G H COMERCIO DE ALIMENTOS LTDA</t>
  </si>
  <si>
    <t xml:space="preserve">AVENIDA CONVENIENCIAS</t>
  </si>
  <si>
    <t xml:space="preserve">LUCIDALVA SILVA BATISTA</t>
  </si>
  <si>
    <t xml:space="preserve">LANCHONETE BEIRA RIO</t>
  </si>
  <si>
    <t xml:space="preserve">CRISTIANE MOYA SIMOES CONVENIENCIA</t>
  </si>
  <si>
    <t xml:space="preserve">TUTI BOM CONVENIENCIA</t>
  </si>
  <si>
    <t xml:space="preserve">ALFREDO VASQUEZ</t>
  </si>
  <si>
    <t xml:space="preserve">CONVENIENCIA ESTRELA</t>
  </si>
  <si>
    <t xml:space="preserve">RONALDO DE SOUZA CORREA</t>
  </si>
  <si>
    <t xml:space="preserve">MEGA BAZAR</t>
  </si>
  <si>
    <t xml:space="preserve">FABIANO DELMASCHIO DE MEDEIROS</t>
  </si>
  <si>
    <t xml:space="preserve">DISMART DISTR DE PROD DE HIGIENE LTDA</t>
  </si>
  <si>
    <t xml:space="preserve">DISMART DISTRIBUICAO E LOGISTICA</t>
  </si>
  <si>
    <t xml:space="preserve">FRUTAL CONVENIENCIAS LTDA</t>
  </si>
  <si>
    <t xml:space="preserve">FRUTAL PAD E CONFEITARIA</t>
  </si>
  <si>
    <t xml:space="preserve">MARIA BATISTA DA SILVA</t>
  </si>
  <si>
    <t xml:space="preserve">SM CASTELAO</t>
  </si>
  <si>
    <t xml:space="preserve">L F DE ALCANTARA</t>
  </si>
  <si>
    <t xml:space="preserve">MERCADO J J</t>
  </si>
  <si>
    <t xml:space="preserve">HIOCHINOBU WAKIMOTO HONDA</t>
  </si>
  <si>
    <t xml:space="preserve">SM HONDA</t>
  </si>
  <si>
    <t xml:space="preserve">EVA CESAR BARBOSA</t>
  </si>
  <si>
    <t xml:space="preserve">PANIF PAO ITALIANO</t>
  </si>
  <si>
    <t xml:space="preserve">SANDRO ANTONIO MACIEL EPP</t>
  </si>
  <si>
    <t xml:space="preserve">ROBSON CRISTIANO DA SILVA LANCHONETE</t>
  </si>
  <si>
    <t xml:space="preserve">LANCH FORNELLO</t>
  </si>
  <si>
    <t xml:space="preserve">ERAIDES PAULA DA SILVA</t>
  </si>
  <si>
    <t xml:space="preserve">TRIBO DO PAO E DOCES</t>
  </si>
  <si>
    <t xml:space="preserve">LUCIMEIRE LEAL DE OLIVEIRA</t>
  </si>
  <si>
    <t xml:space="preserve">TABERNA DO CHOPP</t>
  </si>
  <si>
    <t xml:space="preserve">GERAL COMERCIAL E PREST DE SERVICOS LTDA</t>
  </si>
  <si>
    <t xml:space="preserve">GERAL</t>
  </si>
  <si>
    <t xml:space="preserve">MERCADO SANTO AFONSO LTDA</t>
  </si>
  <si>
    <t xml:space="preserve">MERCADO SANTO AFONSO</t>
  </si>
  <si>
    <t xml:space="preserve">CELESTINA CANDIDA DE ALMEIDA</t>
  </si>
  <si>
    <t xml:space="preserve">CASA FORMOSA</t>
  </si>
  <si>
    <t xml:space="preserve">FURTADO E FRANCO LTDA</t>
  </si>
  <si>
    <t xml:space="preserve">MERCADO YPE</t>
  </si>
  <si>
    <t xml:space="preserve">MVK COM DE PRODUTOS NATURAIS LTDA ME</t>
  </si>
  <si>
    <t xml:space="preserve">MVK NOVIDADES</t>
  </si>
  <si>
    <t xml:space="preserve">PAULO CESAR AJEJE</t>
  </si>
  <si>
    <t xml:space="preserve">BOOKER LIVRARIA</t>
  </si>
  <si>
    <t xml:space="preserve">NAIR DALAQUA ALVES</t>
  </si>
  <si>
    <t xml:space="preserve">PADARIA E CONFEITARIA MULTIPAES LTDA</t>
  </si>
  <si>
    <t xml:space="preserve">PAD MULTIPAES</t>
  </si>
  <si>
    <t xml:space="preserve">MERC QUEVEDO</t>
  </si>
  <si>
    <t xml:space="preserve">MINIMERCADO MONTE SIAO LTDA</t>
  </si>
  <si>
    <t xml:space="preserve">MERCADO MONTE SIAO</t>
  </si>
  <si>
    <t xml:space="preserve">CARLA FERNANDA JULIANI</t>
  </si>
  <si>
    <t xml:space="preserve">ROCHA COM DE CARNES E DERIVADOS LTDA</t>
  </si>
  <si>
    <t xml:space="preserve">CASA DE CARNE ROCHA</t>
  </si>
  <si>
    <t xml:space="preserve">ORTIZ E INAGUE LTDA</t>
  </si>
  <si>
    <t xml:space="preserve">IRES CARLOS GREJIANIM</t>
  </si>
  <si>
    <t xml:space="preserve">MINI MERCAO RURAL</t>
  </si>
  <si>
    <t xml:space="preserve">JOAO ROBERTO TAVEIRA</t>
  </si>
  <si>
    <t xml:space="preserve">VELUPLAST COMERCIO DE TINTAS LTDA</t>
  </si>
  <si>
    <t xml:space="preserve">JOSCYLENE DE MEDEIROS OHARA</t>
  </si>
  <si>
    <t xml:space="preserve">COMERCIAL OHARA</t>
  </si>
  <si>
    <t xml:space="preserve">SKA ARAGI ME</t>
  </si>
  <si>
    <t xml:space="preserve">ZENAIDE DE ARAUJO SOUZA</t>
  </si>
  <si>
    <t xml:space="preserve">MERCEARIAS E PANIFICADORA BARR</t>
  </si>
  <si>
    <t xml:space="preserve">MARIA JOSE DE SOUZA ARAUJO</t>
  </si>
  <si>
    <t xml:space="preserve">CONVENIENCIA ZEZAO</t>
  </si>
  <si>
    <t xml:space="preserve">CEZAR CARLOS MOREIRA MOTA</t>
  </si>
  <si>
    <t xml:space="preserve">SERVE BEM</t>
  </si>
  <si>
    <t xml:space="preserve">HARASAKI SUGUI E CIA LTDA</t>
  </si>
  <si>
    <t xml:space="preserve">AUTO POSTO SHIRAISHI III</t>
  </si>
  <si>
    <t xml:space="preserve">OZORIA ALVES OLIVEIRA</t>
  </si>
  <si>
    <t xml:space="preserve">CENTER FRIOS LTDA</t>
  </si>
  <si>
    <t xml:space="preserve">CENTER FRIOD</t>
  </si>
  <si>
    <t xml:space="preserve">DRONOV E DRONOV LTDA</t>
  </si>
  <si>
    <t xml:space="preserve">MOACIR ROZA</t>
  </si>
  <si>
    <t xml:space="preserve">DIST DE BEBIDAS ALVORADA</t>
  </si>
  <si>
    <t xml:space="preserve">JP DISTRIBUIDORA DE CARNES LTDA</t>
  </si>
  <si>
    <t xml:space="preserve">OLIVEIRA E PERSI LTDA</t>
  </si>
  <si>
    <t xml:space="preserve">MERCADO DANIEL LTDA</t>
  </si>
  <si>
    <t xml:space="preserve">SM DANIEL</t>
  </si>
  <si>
    <t xml:space="preserve">CEZAR PINHEIRO MELO</t>
  </si>
  <si>
    <t xml:space="preserve">CALU DISTRIBUIDORA DE DOCES</t>
  </si>
  <si>
    <t xml:space="preserve">GERAIS COMERCIO DE LIVROS LTDA</t>
  </si>
  <si>
    <t xml:space="preserve">NOBEL LIVRARIA E PAPELARIA</t>
  </si>
  <si>
    <t xml:space="preserve">MAURO VIEIRA DA SILVA</t>
  </si>
  <si>
    <t xml:space="preserve">MARCOS DE OLIVEIRA ALVES</t>
  </si>
  <si>
    <t xml:space="preserve">LANCH PIONEIRO</t>
  </si>
  <si>
    <t xml:space="preserve">ABIANE ALVES LAMBLEM</t>
  </si>
  <si>
    <t xml:space="preserve">MINI MERCADO ACOUGUE ESQ</t>
  </si>
  <si>
    <t xml:space="preserve">WANDERLEY DA SILVA BATISTA</t>
  </si>
  <si>
    <t xml:space="preserve">CASA DE CARNE WB</t>
  </si>
  <si>
    <t xml:space="preserve">MANDIOCA S CONVENIENCIA LTDA MEMANDIOCA </t>
  </si>
  <si>
    <t xml:space="preserve">S CONVENIENCIA</t>
  </si>
  <si>
    <t xml:space="preserve">ANGELA TABATA QUIQUINATO</t>
  </si>
  <si>
    <t xml:space="preserve">MERC E ACOUGUE CRISTAL</t>
  </si>
  <si>
    <t xml:space="preserve">SANDRA BEZERRA MICHALSKI_FONSECA</t>
  </si>
  <si>
    <t xml:space="preserve">SM MICHALKI</t>
  </si>
  <si>
    <t xml:space="preserve">CONVENIENCIA DRAGAO LTDA EPP</t>
  </si>
  <si>
    <t xml:space="preserve">BR MANIA CONVENIENCIA</t>
  </si>
  <si>
    <t xml:space="preserve">ELISDIORNIE DE FATIMA DOS SANTOS</t>
  </si>
  <si>
    <t xml:space="preserve">DOCE CGR</t>
  </si>
  <si>
    <t xml:space="preserve">R R DA SILVA ANDRE</t>
  </si>
  <si>
    <t xml:space="preserve">MERCADO VIRMAO</t>
  </si>
  <si>
    <t xml:space="preserve">GUSTAVO ZANDAVALLI DE FIGUEIREDO</t>
  </si>
  <si>
    <t xml:space="preserve">RIVIERA PANIFICADORA</t>
  </si>
  <si>
    <t xml:space="preserve">MARCAO FESTAS LTDA</t>
  </si>
  <si>
    <t xml:space="preserve">MARCAO FESTA</t>
  </si>
  <si>
    <t xml:space="preserve">ALEXANDRE RIBEIRO DA SILVA</t>
  </si>
  <si>
    <t xml:space="preserve">SORVETERIA BOM SABOR</t>
  </si>
  <si>
    <t xml:space="preserve">LILIANA ROMERO DA SILVA</t>
  </si>
  <si>
    <t xml:space="preserve">BAZILIA R IAHNN</t>
  </si>
  <si>
    <t xml:space="preserve">MERCEARIA E CASA DE CARNE IAHN</t>
  </si>
  <si>
    <t xml:space="preserve">JOSE APARECIDO SOLIDADE DE LIMA</t>
  </si>
  <si>
    <t xml:space="preserve">JERE COMERCIAL DE ALIMENTOS LTDA</t>
  </si>
  <si>
    <t xml:space="preserve">VERISSIMO E CARVALHO LTDA</t>
  </si>
  <si>
    <t xml:space="preserve">VITRO RESTAURANTE</t>
  </si>
  <si>
    <t xml:space="preserve">LUIS CARLOS MARTON</t>
  </si>
  <si>
    <t xml:space="preserve">L M COMERCIAL</t>
  </si>
  <si>
    <t xml:space="preserve">CARMEN ELIANE SOBRAL NOGUEIRA</t>
  </si>
  <si>
    <t xml:space="preserve">MARIA DULCE TOMAZ DE SOUZA CESAR</t>
  </si>
  <si>
    <t xml:space="preserve">MAURICIO FERNANDES PEREIRA</t>
  </si>
  <si>
    <t xml:space="preserve">RESTAURANTE E LANCHONETE 3M</t>
  </si>
  <si>
    <t xml:space="preserve">MERCADO ESMERALDA LTDA</t>
  </si>
  <si>
    <t xml:space="preserve">SM BERNAL</t>
  </si>
  <si>
    <t xml:space="preserve">MERCADO CREPALOI</t>
  </si>
  <si>
    <t xml:space="preserve">PAULO ALESSANDRO DAVANTEL</t>
  </si>
  <si>
    <t xml:space="preserve">J.P CONV</t>
  </si>
  <si>
    <t xml:space="preserve">ZAMBIASI E ALVES LTDA</t>
  </si>
  <si>
    <t xml:space="preserve">CHURRASCARIA ZAMBIASI</t>
  </si>
  <si>
    <t xml:space="preserve">SILVANA VITORINA PERALTA</t>
  </si>
  <si>
    <t xml:space="preserve">LIZANDRA MARIA PASQUALOTTO</t>
  </si>
  <si>
    <t xml:space="preserve">REST LALAI</t>
  </si>
  <si>
    <t xml:space="preserve">EDNILSON ANTONIO NUNES</t>
  </si>
  <si>
    <t xml:space="preserve">MERCADO MOREA</t>
  </si>
  <si>
    <t xml:space="preserve">A FELIX DA SILVA</t>
  </si>
  <si>
    <t xml:space="preserve">ACOUGUE BOM JESUS</t>
  </si>
  <si>
    <t xml:space="preserve">COMERCIAL TARANTO PROD ALIMENTICIOS LTDA</t>
  </si>
  <si>
    <t xml:space="preserve">COMERCIAL TARANTO</t>
  </si>
  <si>
    <t xml:space="preserve">SEIJE E SATO LTDA</t>
  </si>
  <si>
    <t xml:space="preserve">POP'S LANCHES</t>
  </si>
  <si>
    <t xml:space="preserve">CRISTIANE SOUZA LIMA E CIA LTDA</t>
  </si>
  <si>
    <t xml:space="preserve">PIZZA 10</t>
  </si>
  <si>
    <t xml:space="preserve">SCHLEMPER E MARINHO LTDA</t>
  </si>
  <si>
    <t xml:space="preserve">FARMACIA MAIS SAUDE</t>
  </si>
  <si>
    <t xml:space="preserve">JOEL CANHETE GUEDES</t>
  </si>
  <si>
    <t xml:space="preserve">GALVAO E MOREIRA LTDA</t>
  </si>
  <si>
    <t xml:space="preserve">CASA DE CARNE DUBOI</t>
  </si>
  <si>
    <t xml:space="preserve">M C DE ANDRADE</t>
  </si>
  <si>
    <t xml:space="preserve">ANALICE PEREIRA GARCIA</t>
  </si>
  <si>
    <t xml:space="preserve">COMERCIAL GARCIA</t>
  </si>
  <si>
    <t xml:space="preserve">GENY MARQUES COURY E FILHOS LTDA</t>
  </si>
  <si>
    <t xml:space="preserve">MERCADO MADONA</t>
  </si>
  <si>
    <t xml:space="preserve">ELIANA DE FATIMA DE SOUZA FLORES LIMA</t>
  </si>
  <si>
    <t xml:space="preserve">PANIF CAFE C/LEITE</t>
  </si>
  <si>
    <t xml:space="preserve">V A DE CASTILHO E CIA LTDA</t>
  </si>
  <si>
    <t xml:space="preserve">SM 3 IRMAOS</t>
  </si>
  <si>
    <t xml:space="preserve">ELEN DAIANE DE OLIVEIRA</t>
  </si>
  <si>
    <t xml:space="preserve">PANIF LIDER</t>
  </si>
  <si>
    <t xml:space="preserve">VILMA APARECIDA MORAIS</t>
  </si>
  <si>
    <t xml:space="preserve">COMERCIAL TRICOLOR</t>
  </si>
  <si>
    <t xml:space="preserve">SUPERMERCADO SOUZA RODRIGUES LTDA</t>
  </si>
  <si>
    <t xml:space="preserve">CATINA SALEN</t>
  </si>
  <si>
    <t xml:space="preserve">RUFINO ORTIZ</t>
  </si>
  <si>
    <t xml:space="preserve">RUFINO BEBIDAS EM GERAL</t>
  </si>
  <si>
    <t xml:space="preserve">PAO MANIA LTDA ME/MS</t>
  </si>
  <si>
    <t xml:space="preserve">PAO MANIA</t>
  </si>
  <si>
    <t xml:space="preserve">LEONIS ROCHA DA COSTA E CIA LTDA</t>
  </si>
  <si>
    <t xml:space="preserve">DROGARIA VITORIA</t>
  </si>
  <si>
    <t xml:space="preserve">CESAR GUIMARAES CABRAL</t>
  </si>
  <si>
    <t xml:space="preserve">MERCADO ECONO MIX</t>
  </si>
  <si>
    <t xml:space="preserve">MARIANE DAUZACKER MOHR - ME</t>
  </si>
  <si>
    <t xml:space="preserve">MERCADO M.M</t>
  </si>
  <si>
    <t xml:space="preserve">ADIR ESCOBAR FELIX</t>
  </si>
  <si>
    <t xml:space="preserve">CONVENIENCIA ESCOBAR</t>
  </si>
  <si>
    <t xml:space="preserve">S  A  ANTUNES VASCONCELOS</t>
  </si>
  <si>
    <t xml:space="preserve">ROMEU E JULIETA</t>
  </si>
  <si>
    <t xml:space="preserve">FRANCISCO DE MELO MERCADO</t>
  </si>
  <si>
    <t xml:space="preserve">MERCADO MARIFRAN</t>
  </si>
  <si>
    <t xml:space="preserve">VANIA GONCALVES MAIA</t>
  </si>
  <si>
    <t xml:space="preserve">CANTINHO DO PROSA</t>
  </si>
  <si>
    <t xml:space="preserve">ARAGAO COMERCIO DE ALIMENTOS LTDA</t>
  </si>
  <si>
    <t xml:space="preserve">MINI MERCADO ARAGAO</t>
  </si>
  <si>
    <t xml:space="preserve">PAPACOSTA E PAPACOSTA LTDA</t>
  </si>
  <si>
    <t xml:space="preserve">MERCADO DOURADO LTDA</t>
  </si>
  <si>
    <t xml:space="preserve">ESTER PESQUEIRA MARQUES DA SILVA</t>
  </si>
  <si>
    <t xml:space="preserve">BRENDA CONV</t>
  </si>
  <si>
    <t xml:space="preserve">LIWISTON QUEIROZ DANTAS</t>
  </si>
  <si>
    <t xml:space="preserve">DINERS CONVENIENCIA</t>
  </si>
  <si>
    <t xml:space="preserve">LIVRARIA E PAPELARIA LAPIS DE COR LTDA  </t>
  </si>
  <si>
    <t xml:space="preserve">LAPIS DE COR</t>
  </si>
  <si>
    <t xml:space="preserve">JEAN BARBOSA DE OLIVEIRA EPP</t>
  </si>
  <si>
    <t xml:space="preserve">VERA TANIA DA SILVA TAVARES EPP</t>
  </si>
  <si>
    <t xml:space="preserve">CASA DE CARNE NOVILHA DE OURO</t>
  </si>
  <si>
    <t xml:space="preserve">ALBERTO MARTINS DE ALMEIDA</t>
  </si>
  <si>
    <t xml:space="preserve">CASA CARNE KARLONGA</t>
  </si>
  <si>
    <t xml:space="preserve">ROSIMARI CASAGRANDE DAHM</t>
  </si>
  <si>
    <t xml:space="preserve">REST CARRETAO</t>
  </si>
  <si>
    <t xml:space="preserve">PADARIA E CONVENIENCIA SHIRAYA LTDA</t>
  </si>
  <si>
    <t xml:space="preserve">PADARIA E CONVENIENCIA SHIRAYA</t>
  </si>
  <si>
    <t xml:space="preserve">MAYCKON GARCIA VIEIRA</t>
  </si>
  <si>
    <t xml:space="preserve">CASA DE CARNE KI CARNE</t>
  </si>
  <si>
    <t xml:space="preserve">ANDREIA DIAS DA SILVA</t>
  </si>
  <si>
    <t xml:space="preserve">LURDES ANGELA VALER LORENA DA SILVA</t>
  </si>
  <si>
    <t xml:space="preserve">REST TRADICAO</t>
  </si>
  <si>
    <t xml:space="preserve">MINI MERCADO BARBOSA LTDA</t>
  </si>
  <si>
    <t xml:space="preserve">MINI MERCADO BARBOSA</t>
  </si>
  <si>
    <t xml:space="preserve">JULIANA TIEME YOSHIDA</t>
  </si>
  <si>
    <t xml:space="preserve">SM YOSHIDA</t>
  </si>
  <si>
    <t xml:space="preserve">JARY SOUZA NETO FILHO</t>
  </si>
  <si>
    <t xml:space="preserve">MERCADO VITORIA 2</t>
  </si>
  <si>
    <t xml:space="preserve">CASA DOS AVIAMENTOS EIRELI</t>
  </si>
  <si>
    <t xml:space="preserve">CASA DOS AVIAMENTOS</t>
  </si>
  <si>
    <t xml:space="preserve">CASSIA SILENE COLETTE</t>
  </si>
  <si>
    <t xml:space="preserve">WILSON T OSHIRO</t>
  </si>
  <si>
    <t xml:space="preserve">LANCHONETE NIPPON</t>
  </si>
  <si>
    <t xml:space="preserve">CLEBER ALVES DOS SANTOS</t>
  </si>
  <si>
    <t xml:space="preserve">ADRIPHARMA</t>
  </si>
  <si>
    <t xml:space="preserve">ALTIVIA LOUREIRO ROCHA</t>
  </si>
  <si>
    <t xml:space="preserve">A AMORIM SUPERMERCADO</t>
  </si>
  <si>
    <t xml:space="preserve">DAVI FALKOWSKI</t>
  </si>
  <si>
    <t xml:space="preserve">MARIA DO ROSARIO ZAPATA COBO</t>
  </si>
  <si>
    <t xml:space="preserve">DROGARIA SAO SILVESTRE</t>
  </si>
  <si>
    <t xml:space="preserve">MORAIS E REZENDE LTDA</t>
  </si>
  <si>
    <t xml:space="preserve">MERCADO REZENDE</t>
  </si>
  <si>
    <t xml:space="preserve">MERCEARIA A E C COM PROD ALIMENT LTDA</t>
  </si>
  <si>
    <t xml:space="preserve">A G MENDONCA</t>
  </si>
  <si>
    <t xml:space="preserve">CASA BOLIVIA</t>
  </si>
  <si>
    <t xml:space="preserve">EDILENE JOSE DA SILVA</t>
  </si>
  <si>
    <t xml:space="preserve">PANF E MER DRUMOND II</t>
  </si>
  <si>
    <t xml:space="preserve">A M G DA SILVA - CANTINA</t>
  </si>
  <si>
    <t xml:space="preserve">PREDILETA REFEICOES</t>
  </si>
  <si>
    <t xml:space="preserve">D J CEMBRANEL</t>
  </si>
  <si>
    <t xml:space="preserve">MERCADO PAOLA</t>
  </si>
  <si>
    <t xml:space="preserve">JOAO A DA SILVA</t>
  </si>
  <si>
    <t xml:space="preserve">HOTEL POUSADA JS</t>
  </si>
  <si>
    <t xml:space="preserve">AMELIA JUSTINA PULEA</t>
  </si>
  <si>
    <t xml:space="preserve">J P SUPERMERCADO II</t>
  </si>
  <si>
    <t xml:space="preserve">RODRIGUES E MUTA LTDA</t>
  </si>
  <si>
    <t xml:space="preserve">SM</t>
  </si>
  <si>
    <t xml:space="preserve">MIYAHIRA E PAULA ROSENO LTDA</t>
  </si>
  <si>
    <t xml:space="preserve">AGROCENTRO PRODUTOS AGROPECUARIOS LTDA  </t>
  </si>
  <si>
    <t xml:space="preserve">AGRO CENTRO</t>
  </si>
  <si>
    <t xml:space="preserve">WILSON FERREIRA DA SILVA</t>
  </si>
  <si>
    <t xml:space="preserve">E C GUIMARAES TEIXEIRA ME</t>
  </si>
  <si>
    <t xml:space="preserve">PET SHOP DA MATA</t>
  </si>
  <si>
    <t xml:space="preserve">LEIDE MARA BARBOSA ARGUELHO</t>
  </si>
  <si>
    <t xml:space="preserve">W.L MERCEARIA</t>
  </si>
  <si>
    <t xml:space="preserve">LANCHONETE E CHURRASCARIA POLENTAO LTDA </t>
  </si>
  <si>
    <t xml:space="preserve">LANC POLENTAO</t>
  </si>
  <si>
    <t xml:space="preserve">VALDEMIR SANTOS SILVA</t>
  </si>
  <si>
    <t xml:space="preserve">MERCADINHO E CONVENIENCIA BOM</t>
  </si>
  <si>
    <t xml:space="preserve">LANSOL COM EMB E GEN ALIMENTICIOS LTDA  </t>
  </si>
  <si>
    <t xml:space="preserve">MERCADO LANSOL</t>
  </si>
  <si>
    <t xml:space="preserve">LEOVALDO M  DA SILVA</t>
  </si>
  <si>
    <t xml:space="preserve">GISLAINE APARECIDA OLIVEIRA DA SILVA</t>
  </si>
  <si>
    <t xml:space="preserve">CONEXAO COMERCIO DE CEREAIS LTDA</t>
  </si>
  <si>
    <t xml:space="preserve">SM PANAZZOLO</t>
  </si>
  <si>
    <t xml:space="preserve">MONICA YOSHIE SATO</t>
  </si>
  <si>
    <t xml:space="preserve">4 PATAS</t>
  </si>
  <si>
    <t xml:space="preserve">IMPERIANO E ROCHA PROD VET LTDA ME</t>
  </si>
  <si>
    <t xml:space="preserve">CENTER DOG RACOES</t>
  </si>
  <si>
    <t xml:space="preserve">VO ERMINIA ALIMENTOS LTDA</t>
  </si>
  <si>
    <t xml:space="preserve">VO ERMINIA</t>
  </si>
  <si>
    <t xml:space="preserve">TOTO COMPANY COM PROD VETERINARIOS LTDA </t>
  </si>
  <si>
    <t xml:space="preserve">TOTO COMPANY</t>
  </si>
  <si>
    <t xml:space="preserve">JURACI LIMA DOS SANTOS</t>
  </si>
  <si>
    <t xml:space="preserve">SM CLAUDIA</t>
  </si>
  <si>
    <t xml:space="preserve">VANESSA GOMES MARTINS MAGUETAS</t>
  </si>
  <si>
    <t xml:space="preserve">MERCADO MAGUETAS</t>
  </si>
  <si>
    <t xml:space="preserve">R E A SUPERMERCADOS</t>
  </si>
  <si>
    <t xml:space="preserve">MERCADO R &amp; A</t>
  </si>
  <si>
    <t xml:space="preserve">MARIA APLOPES SANTOS</t>
  </si>
  <si>
    <t xml:space="preserve">EDER LUIZ COUTINHO</t>
  </si>
  <si>
    <t xml:space="preserve">MERCADO DA REDE</t>
  </si>
  <si>
    <t xml:space="preserve">FERNANDES E SOUZA LTDA</t>
  </si>
  <si>
    <t xml:space="preserve">SM PONTO BOM</t>
  </si>
  <si>
    <t xml:space="preserve">TREVO DA SORTE LTDA</t>
  </si>
  <si>
    <t xml:space="preserve">LOTERIA TREVO DA SORTE</t>
  </si>
  <si>
    <t xml:space="preserve">NOVO RUMO SUPERMERCADO EIRELI</t>
  </si>
  <si>
    <t xml:space="preserve">NOVO RUMO SUPERMERCADO</t>
  </si>
  <si>
    <t xml:space="preserve">AUTO POSTO MURTINHENSE LTDA</t>
  </si>
  <si>
    <t xml:space="preserve">POSTO MURTINHENSE</t>
  </si>
  <si>
    <t xml:space="preserve">ANDERSON MARINHO PEDROSO</t>
  </si>
  <si>
    <t xml:space="preserve">MERCADO KI-PRECO</t>
  </si>
  <si>
    <t xml:space="preserve">ELISVANIA TREIS</t>
  </si>
  <si>
    <t xml:space="preserve">KARINA ZENARO</t>
  </si>
  <si>
    <t xml:space="preserve">SM KAREM</t>
  </si>
  <si>
    <t xml:space="preserve">HEVERTON SCHERER SUTEL</t>
  </si>
  <si>
    <t xml:space="preserve">CONVENIENCIA CAFE LEAO LTDA</t>
  </si>
  <si>
    <t xml:space="preserve">SUPERMERCADO ITAPEMIRIM LTDA</t>
  </si>
  <si>
    <t xml:space="preserve">SM ITAPEMIRIM</t>
  </si>
  <si>
    <t xml:space="preserve">DIOGO WENDLING</t>
  </si>
  <si>
    <t xml:space="preserve">MANDALA RESTAURANTE</t>
  </si>
  <si>
    <t xml:space="preserve">MADALLENA COMERCIO DE ALIMENTOS LTDA</t>
  </si>
  <si>
    <t xml:space="preserve">MADALENA</t>
  </si>
  <si>
    <t xml:space="preserve">ANGELIM E NASCIMENTO LTDA EPP</t>
  </si>
  <si>
    <t xml:space="preserve">FARMACIA UNIFARMA</t>
  </si>
  <si>
    <t xml:space="preserve">MERCEARIA GARIBALDI LTDA</t>
  </si>
  <si>
    <t xml:space="preserve">SIMONE PESSIN</t>
  </si>
  <si>
    <t xml:space="preserve">MERCADO PESSIN</t>
  </si>
  <si>
    <t xml:space="preserve">DENILSON DE LUCCA PERES</t>
  </si>
  <si>
    <t xml:space="preserve">MERCADO ALCALA</t>
  </si>
  <si>
    <t xml:space="preserve">SELMA DE FATIMA DE MOURA E CIA LTDA ME  </t>
  </si>
  <si>
    <t xml:space="preserve">SF COMERCIO DE BEBIDAS LTDA</t>
  </si>
  <si>
    <t xml:space="preserve">MELHOR CONVENIENCIA LTDA</t>
  </si>
  <si>
    <t xml:space="preserve">MELHOR CONVENIENCIA</t>
  </si>
  <si>
    <t xml:space="preserve">SUPERMERCADO COMPRE BEM MAIS LTDA</t>
  </si>
  <si>
    <t xml:space="preserve">SUPERMERCADO COMPRE BEM MAIS</t>
  </si>
  <si>
    <t xml:space="preserve">MILSA MARIA DE SOUZA</t>
  </si>
  <si>
    <t xml:space="preserve">SM VAGAO</t>
  </si>
  <si>
    <t xml:space="preserve">SANDRA TEIXEIRA RAMOS PEDRO</t>
  </si>
  <si>
    <t xml:space="preserve">BRASCAMPO PROD AGROPECUARIOS LTDA</t>
  </si>
  <si>
    <t xml:space="preserve">VETMAIS</t>
  </si>
  <si>
    <t xml:space="preserve">ADRIANO ROSA GOUVEIA</t>
  </si>
  <si>
    <t xml:space="preserve">ATACADO NAVIRAI</t>
  </si>
  <si>
    <t xml:space="preserve">MLS SUPERMERCADOS LTDA</t>
  </si>
  <si>
    <t xml:space="preserve">BOND COMPRA SM</t>
  </si>
  <si>
    <t xml:space="preserve">LORI GERALDO VEIGA XAVIER</t>
  </si>
  <si>
    <t xml:space="preserve">RESTAURANTE 13</t>
  </si>
  <si>
    <t xml:space="preserve">LUCIANA MURAKAMI DA SILVA</t>
  </si>
  <si>
    <t xml:space="preserve">POSTO SOA JOSE</t>
  </si>
  <si>
    <t xml:space="preserve">CASA DE CARNE E CONV S FRANCIS</t>
  </si>
  <si>
    <t xml:space="preserve">MERCADO SAO FRANCISCO III</t>
  </si>
  <si>
    <t xml:space="preserve">MERCADO SOARES LTDA</t>
  </si>
  <si>
    <t xml:space="preserve">MERCDADO SOARES</t>
  </si>
  <si>
    <t xml:space="preserve">RICARDO E QUEIROZ LTDA</t>
  </si>
  <si>
    <t xml:space="preserve">MERCADO E CONVENIENCIA DMF</t>
  </si>
  <si>
    <t xml:space="preserve">ROSEMARY APARECIDA RODRIGUES MATOZO</t>
  </si>
  <si>
    <t xml:space="preserve">MERCADO ECOUQUE ANGELO</t>
  </si>
  <si>
    <t xml:space="preserve">L E F RESTAURANTE GRILL LTDA</t>
  </si>
  <si>
    <t xml:space="preserve">MONTANA GRILL EXPRESS</t>
  </si>
  <si>
    <t xml:space="preserve">POTENCIAL COM DE GEN ALIMENTICIOS LTDA  </t>
  </si>
  <si>
    <t xml:space="preserve">CONVENIENCIA POTENCIAL</t>
  </si>
  <si>
    <t xml:space="preserve">BIELA CONVENIENCIAS LTDA</t>
  </si>
  <si>
    <t xml:space="preserve">STAR CONVENIENCIA</t>
  </si>
  <si>
    <t xml:space="preserve">MARIA ELIZABETH DA SILVA MARQUES</t>
  </si>
  <si>
    <t xml:space="preserve">MERC E PANIF NOSSO PAO</t>
  </si>
  <si>
    <t xml:space="preserve">DANIELLA GOMES PEREIRA DE SOUZA COSTA</t>
  </si>
  <si>
    <t xml:space="preserve">CIA DO SABOR</t>
  </si>
  <si>
    <t xml:space="preserve">TRW ALIMENTOS LTDA</t>
  </si>
  <si>
    <t xml:space="preserve">FRIOS CORUMBA</t>
  </si>
  <si>
    <t xml:space="preserve">PAULO SERGIO SOUZA DE BRITTO</t>
  </si>
  <si>
    <t xml:space="preserve">FLASH GRAFICA RAPIDA E CAFE EX</t>
  </si>
  <si>
    <t xml:space="preserve">FARMACIA JARDIM DOS ESTADOS LTDA</t>
  </si>
  <si>
    <t xml:space="preserve">FARMACIA JARDIM DOS ESTADOS</t>
  </si>
  <si>
    <t xml:space="preserve">D S TELLES</t>
  </si>
  <si>
    <t xml:space="preserve">SM TELLES</t>
  </si>
  <si>
    <t xml:space="preserve">JOSE CANDIDO</t>
  </si>
  <si>
    <t xml:space="preserve">CARLOS APARECIDO DE SOUSA</t>
  </si>
  <si>
    <t xml:space="preserve">FABIANO ONGARATTO</t>
  </si>
  <si>
    <t xml:space="preserve">J S FABRICACAO E COM DE ALIMENTOS LTDA  </t>
  </si>
  <si>
    <t xml:space="preserve">FONTEBELLA</t>
  </si>
  <si>
    <t xml:space="preserve">SILVA SAT TRANSP E MONITORAMENTO LTDA</t>
  </si>
  <si>
    <t xml:space="preserve">SAT SILVA</t>
  </si>
  <si>
    <t xml:space="preserve">BRITTO E LOPES LTDA</t>
  </si>
  <si>
    <t xml:space="preserve">CANTINA ESTACIO DE SA</t>
  </si>
  <si>
    <t xml:space="preserve">YUSSRA ALMEIDA SAMHA</t>
  </si>
  <si>
    <t xml:space="preserve">TANIA FERNANDES DE OLIVEIRA</t>
  </si>
  <si>
    <t xml:space="preserve">MERCADO CENTRO OESTE</t>
  </si>
  <si>
    <t xml:space="preserve">MARCIA DURANT DOS REIS</t>
  </si>
  <si>
    <t xml:space="preserve">CANTINA KFE</t>
  </si>
  <si>
    <t xml:space="preserve">MARIA ALVES RODRIGUES</t>
  </si>
  <si>
    <t xml:space="preserve">NELSAO 24 HS</t>
  </si>
  <si>
    <t xml:space="preserve">BASTON INDUSTRIA DE AEROSSOIS LTDA</t>
  </si>
  <si>
    <t xml:space="preserve">SERRA</t>
  </si>
  <si>
    <t xml:space="preserve">BASTON INDUSTRIA DE AEROSSOIS</t>
  </si>
  <si>
    <t xml:space="preserve">VERAO E BILHERBECK LTDA</t>
  </si>
  <si>
    <t xml:space="preserve">MERCADO RM</t>
  </si>
  <si>
    <t xml:space="preserve">GUTEMBERG MEDEIROS NAKAMURA E CIA LTDA  </t>
  </si>
  <si>
    <t xml:space="preserve">SM GUTI</t>
  </si>
  <si>
    <t xml:space="preserve">GUTY SUPERMERCADO</t>
  </si>
  <si>
    <t xml:space="preserve">FARMACIA RM LTDA EPP</t>
  </si>
  <si>
    <t xml:space="preserve">ERLEI ANTONIO FELINI</t>
  </si>
  <si>
    <t xml:space="preserve">SERGIO BAPTISTA TABOSA</t>
  </si>
  <si>
    <t xml:space="preserve">TABOSA'S BAR</t>
  </si>
  <si>
    <t xml:space="preserve">ROSA M OCAMPOS SOUZA GALVAO</t>
  </si>
  <si>
    <t xml:space="preserve">ROSALINO DE SOUZA E SOUSA LTDA</t>
  </si>
  <si>
    <t xml:space="preserve">EMBALAGENS PANTANAL</t>
  </si>
  <si>
    <t xml:space="preserve">SANTOS E CASTELLI LTDA</t>
  </si>
  <si>
    <t xml:space="preserve">FABIANO FONTES SOUSA SANTANA</t>
  </si>
  <si>
    <t xml:space="preserve">PANIF E CONF RIO</t>
  </si>
  <si>
    <t xml:space="preserve">COMPRE BEM COMERCIAL DE ALIMENTOS LTDA  </t>
  </si>
  <si>
    <t xml:space="preserve">M E D ODONTOLOGIA S S LTDA</t>
  </si>
  <si>
    <t xml:space="preserve">M E D ODONTOLOGIA</t>
  </si>
  <si>
    <t xml:space="preserve">CHURRASCARIA TALISMA - EIRELI</t>
  </si>
  <si>
    <t xml:space="preserve">CHURRASCARIA TALISMA</t>
  </si>
  <si>
    <t xml:space="preserve">DANIELA MARQUES LAPORTE</t>
  </si>
  <si>
    <t xml:space="preserve">CARDOSO E RODRIGUES LTDA</t>
  </si>
  <si>
    <t xml:space="preserve">SM SOL</t>
  </si>
  <si>
    <t xml:space="preserve">QUEIROZ E SOUSA ALIMENTOS LTDA</t>
  </si>
  <si>
    <t xml:space="preserve">CENTRAL SUPERMERCADOS</t>
  </si>
  <si>
    <t xml:space="preserve">QUEIROZ E SOUZA ALIMENTOS LTDA</t>
  </si>
  <si>
    <t xml:space="preserve">CENTRAL SUPERMERCADO LJ 05</t>
  </si>
  <si>
    <t xml:space="preserve">GUARANI PRODUTOS SERV AGROPECUARIOS LTDA</t>
  </si>
  <si>
    <t xml:space="preserve">GUARANI AGOPECUARIA</t>
  </si>
  <si>
    <t xml:space="preserve">G ARCARI MERCEARIA</t>
  </si>
  <si>
    <t xml:space="preserve">L R SAMPAIO E CIA LTDA</t>
  </si>
  <si>
    <t xml:space="preserve">CONV PARADA LEGAL</t>
  </si>
  <si>
    <t xml:space="preserve">TEREZA DA SILVA</t>
  </si>
  <si>
    <t xml:space="preserve">RENATA SCHEIDE</t>
  </si>
  <si>
    <t xml:space="preserve">PET SHOP CAES E GATOS</t>
  </si>
  <si>
    <t xml:space="preserve">BASSO BASSO E GARLET LTDA</t>
  </si>
  <si>
    <t xml:space="preserve">VIDEO LOCADORA NAKAMURA LTDA</t>
  </si>
  <si>
    <t xml:space="preserve">HOME VIDEO LOCADORA</t>
  </si>
  <si>
    <t xml:space="preserve">ELANE DA SILVA MINIMERCADO</t>
  </si>
  <si>
    <t xml:space="preserve">BRANDAO SAM COMERCIO DE ALIMENTOS LTDA  </t>
  </si>
  <si>
    <t xml:space="preserve">SM BIG BOM</t>
  </si>
  <si>
    <t xml:space="preserve">SILVA E DAMASCENA LTDA</t>
  </si>
  <si>
    <t xml:space="preserve">SM EMPORIO GARDEM</t>
  </si>
  <si>
    <t xml:space="preserve">MERCADO VENCEDOR LTDA</t>
  </si>
  <si>
    <t xml:space="preserve">J R D BARBOSA</t>
  </si>
  <si>
    <t xml:space="preserve">PAO E QUEIJO</t>
  </si>
  <si>
    <t xml:space="preserve">WILTON MEDEIROS CLEMENTINO</t>
  </si>
  <si>
    <t xml:space="preserve">MODELO COMERCIO DE MATERIAL HOSPITALAR  </t>
  </si>
  <si>
    <t xml:space="preserve">MODELO COMERCIO DE MATERIAL HOSPITALAR</t>
  </si>
  <si>
    <t xml:space="preserve">CASA DE CARNE E MERCEA SARRUF</t>
  </si>
  <si>
    <t xml:space="preserve">IRMAOS SARRUF LTDA LOJA II</t>
  </si>
  <si>
    <t xml:space="preserve">SUPERMERCADO SARRUF</t>
  </si>
  <si>
    <t xml:space="preserve">ASSIS E ASSIS LTDA</t>
  </si>
  <si>
    <t xml:space="preserve">FABIO HENRIQUE SILVA SARSI</t>
  </si>
  <si>
    <t xml:space="preserve">POSTO CARANDA</t>
  </si>
  <si>
    <t xml:space="preserve">ALEX WANDER NUNES MARTINS</t>
  </si>
  <si>
    <t xml:space="preserve">FERNANDES CARDOSO COM DE ALIMENTOS LTDA </t>
  </si>
  <si>
    <t xml:space="preserve">BILAIA E PORTELA COM DE ALIMENTOS LTDA  </t>
  </si>
  <si>
    <t xml:space="preserve">PAD BILAIA</t>
  </si>
  <si>
    <t xml:space="preserve">COMERCIAL DE ALIM OLIVEIRA CORTEZ LTDA  </t>
  </si>
  <si>
    <t xml:space="preserve">MERCADO BOM DIA</t>
  </si>
  <si>
    <t xml:space="preserve">SIGUE FREDO GARCIA COUTO</t>
  </si>
  <si>
    <t xml:space="preserve">BAR E MERCEARIA DO CHEIRO</t>
  </si>
  <si>
    <t xml:space="preserve">CINTIA LORENZI</t>
  </si>
  <si>
    <t xml:space="preserve">RESTAURANTE VO PEDRO</t>
  </si>
  <si>
    <t xml:space="preserve">VALDIR DE MACEDO MENDES</t>
  </si>
  <si>
    <t xml:space="preserve">SM MENDES</t>
  </si>
  <si>
    <t xml:space="preserve">CARMEM SALETE NOGUEIRA BARBOSA</t>
  </si>
  <si>
    <t xml:space="preserve">MERCADO ACOUGUE JUNIOR</t>
  </si>
  <si>
    <t xml:space="preserve">SOUZA E SILVA RESTAURANTE LTDA</t>
  </si>
  <si>
    <t xml:space="preserve">PANIFICADORA TRADICAO</t>
  </si>
  <si>
    <t xml:space="preserve">IVAN CARLOS APARECIDO DA SILVA</t>
  </si>
  <si>
    <t xml:space="preserve">CANTINA DO IVAN</t>
  </si>
  <si>
    <t xml:space="preserve">NALEPA E CIA LTDA</t>
  </si>
  <si>
    <t xml:space="preserve">S B MERCEARIA</t>
  </si>
  <si>
    <t xml:space="preserve">MATOS E LUPI LTDA</t>
  </si>
  <si>
    <t xml:space="preserve">SM SANTA HELENA</t>
  </si>
  <si>
    <t xml:space="preserve">MEZACASA E CIA LTDA</t>
  </si>
  <si>
    <t xml:space="preserve">RESTAURANTE E CHUR TIGRAO</t>
  </si>
  <si>
    <t xml:space="preserve">MENDONCA COMERCIO DE FLORES LTDA</t>
  </si>
  <si>
    <t xml:space="preserve">LUCIANO DA ROCHA CAMARGO</t>
  </si>
  <si>
    <t xml:space="preserve">ISAIAS VIEIRA PAIXAO</t>
  </si>
  <si>
    <t xml:space="preserve">CASA DE CARNE BOM GOSTO</t>
  </si>
  <si>
    <t xml:space="preserve">PEDRO LUIZ FERREIRA E CIA LTDA ME</t>
  </si>
  <si>
    <t xml:space="preserve">CASA DE CARNE E MERCADO BOI DE OURO</t>
  </si>
  <si>
    <t xml:space="preserve">ANDRE ALEXANDRE FACCHIN</t>
  </si>
  <si>
    <t xml:space="preserve">REST TRIVIAL</t>
  </si>
  <si>
    <t xml:space="preserve">ELOIZA MASSAMI TSUNODA</t>
  </si>
  <si>
    <t xml:space="preserve">CANTINHO DO PASTEL</t>
  </si>
  <si>
    <t xml:space="preserve">3LN CONFECCOES LTDA</t>
  </si>
  <si>
    <t xml:space="preserve">BARDOLI CAFETERIA</t>
  </si>
  <si>
    <t xml:space="preserve">ELIZETE MARGARIDA DE LUNA CORREA</t>
  </si>
  <si>
    <t xml:space="preserve">SM GUANANBARA III</t>
  </si>
  <si>
    <t xml:space="preserve">JOSE ALEXANDRE RODRIGUES</t>
  </si>
  <si>
    <t xml:space="preserve">PAD E CONF ESTORIL</t>
  </si>
  <si>
    <t xml:space="preserve">ADRIANO SILVEIRA COBIANCHI</t>
  </si>
  <si>
    <t xml:space="preserve">SABBORE RESTAURANTE</t>
  </si>
  <si>
    <t xml:space="preserve">MERCADO RL</t>
  </si>
  <si>
    <t xml:space="preserve">PANIFICADORA CONF ESTRELA MANHA LTDA</t>
  </si>
  <si>
    <t xml:space="preserve">PANF ESTRELA DA MANHA</t>
  </si>
  <si>
    <t xml:space="preserve">RESTAURANTE PARADA OBRIGATORIA LTDA</t>
  </si>
  <si>
    <t xml:space="preserve">REST E LANCH PARADA OBRIGATORI</t>
  </si>
  <si>
    <t xml:space="preserve">NERONE DA SILVA FERREIRA ME</t>
  </si>
  <si>
    <t xml:space="preserve">MERCADO DALLAS</t>
  </si>
  <si>
    <t xml:space="preserve">DARIO IRINEU THOMAS ME</t>
  </si>
  <si>
    <t xml:space="preserve">ESTANCIA HOTEL</t>
  </si>
  <si>
    <t xml:space="preserve">F A E SOUZA</t>
  </si>
  <si>
    <t xml:space="preserve">MERCEARIA J F</t>
  </si>
  <si>
    <t xml:space="preserve">ADENOR MAGALHAES RAMOS DOS SANTOS</t>
  </si>
  <si>
    <t xml:space="preserve">SIMONATTO E DEBORTOLI LTDA</t>
  </si>
  <si>
    <t xml:space="preserve">LANCH REST TRES IRMAOS</t>
  </si>
  <si>
    <t xml:space="preserve">MARCOS ALENCAR AZEVEDO E CIA LTDA</t>
  </si>
  <si>
    <t xml:space="preserve">PANIFICADORA BR 262</t>
  </si>
  <si>
    <t xml:space="preserve">SUPERMERCADO FAROS</t>
  </si>
  <si>
    <t xml:space="preserve">NELSON MIRANDA DE CASTILHO</t>
  </si>
  <si>
    <t xml:space="preserve">CASA DE CARNE CONV</t>
  </si>
  <si>
    <t xml:space="preserve">QUINTO SABOR CONVEN E ROTISSERIA LTDA</t>
  </si>
  <si>
    <t xml:space="preserve">QUINTO SABOR</t>
  </si>
  <si>
    <t xml:space="preserve">J S CESTARI</t>
  </si>
  <si>
    <t xml:space="preserve">MERCADO DE SOUZA LTDA</t>
  </si>
  <si>
    <t xml:space="preserve">SUPERMERCADO TELLES LTDA</t>
  </si>
  <si>
    <t xml:space="preserve">NILSA OLIVIO CARVALHO JESUS</t>
  </si>
  <si>
    <t xml:space="preserve">MERCEARIA DO BUIU</t>
  </si>
  <si>
    <t xml:space="preserve">DAVID E BORIN LTDA</t>
  </si>
  <si>
    <t xml:space="preserve">MINI MERCADI MODESTO</t>
  </si>
  <si>
    <t xml:space="preserve">FARMACIA ESTRELA DALVA LTDA ME</t>
  </si>
  <si>
    <t xml:space="preserve">FARMACIA ESTRELA DALVA</t>
  </si>
  <si>
    <t xml:space="preserve">LIMA E SOUZA LTDA</t>
  </si>
  <si>
    <t xml:space="preserve">SM RIBEIRO</t>
  </si>
  <si>
    <t xml:space="preserve">NATALIA CARDOSO PEREIRA</t>
  </si>
  <si>
    <t xml:space="preserve">BERNARDO AGUILHEIRA</t>
  </si>
  <si>
    <t xml:space="preserve">ROMILDO CAETANO</t>
  </si>
  <si>
    <t xml:space="preserve">MERCEARIA DE LOSS LTDA</t>
  </si>
  <si>
    <t xml:space="preserve">MERCEARIA DE LOSS</t>
  </si>
  <si>
    <t xml:space="preserve">DURVALINO JOSE DE OLIVEIRA</t>
  </si>
  <si>
    <t xml:space="preserve">AUTO POSTO NIPOBRAS LTDA</t>
  </si>
  <si>
    <t xml:space="preserve">RR MERCADO SUL EIRELI EPP</t>
  </si>
  <si>
    <t xml:space="preserve">IRACI HEBERLE CHURRASCARIA</t>
  </si>
  <si>
    <t xml:space="preserve">CHURRASCARIA SAO LUIS</t>
  </si>
  <si>
    <t xml:space="preserve">TELMA UTENA YAMASHITA</t>
  </si>
  <si>
    <t xml:space="preserve">SM MARIANO</t>
  </si>
  <si>
    <t xml:space="preserve">SOELI DEMARCO SENA</t>
  </si>
  <si>
    <t xml:space="preserve">POUSADA PRINCESA DO APA</t>
  </si>
  <si>
    <t xml:space="preserve">JORGE CARLOS GOMES THEDIM COSTA ME</t>
  </si>
  <si>
    <t xml:space="preserve">VALDECIR FERREIRA NANTES</t>
  </si>
  <si>
    <t xml:space="preserve">M N MERCADO</t>
  </si>
  <si>
    <t xml:space="preserve">LR DE SOUZA EPP</t>
  </si>
  <si>
    <t xml:space="preserve">DROGARIA CRISTO REI</t>
  </si>
  <si>
    <t xml:space="preserve">ANTONIO ANGELO GUIZZO</t>
  </si>
  <si>
    <t xml:space="preserve">COLONIAL CONF E PADARIA</t>
  </si>
  <si>
    <t xml:space="preserve">REDE DE SUPERMERCADOS PASSARELLI LTDA</t>
  </si>
  <si>
    <t xml:space="preserve">SM PASSARELLI</t>
  </si>
  <si>
    <t xml:space="preserve">COMERCIO DE ALIMENTOS LUNA LTDA</t>
  </si>
  <si>
    <t xml:space="preserve">GERSON DE SOUZA</t>
  </si>
  <si>
    <t xml:space="preserve">LUCIANO DE OLIVEIRA</t>
  </si>
  <si>
    <t xml:space="preserve">FERNANDO PEREIRA FERNANDES</t>
  </si>
  <si>
    <t xml:space="preserve">MERCADO PANTANEIRO</t>
  </si>
  <si>
    <t xml:space="preserve">ALEXANDRA VASQUES DO BOM DESPACHO</t>
  </si>
  <si>
    <t xml:space="preserve">PLAS FRIOS</t>
  </si>
  <si>
    <t xml:space="preserve">FRANCO E XIMENES LTDA</t>
  </si>
  <si>
    <t xml:space="preserve">CANTINHO PEIXE</t>
  </si>
  <si>
    <t xml:space="preserve">SUPERMERCADO SERIEMA LTDA</t>
  </si>
  <si>
    <t xml:space="preserve">SM SERIEMA</t>
  </si>
  <si>
    <t xml:space="preserve">PASSOS &amp; SOUZA LTDA</t>
  </si>
  <si>
    <t xml:space="preserve">PANIF SANTA BARBASA</t>
  </si>
  <si>
    <t xml:space="preserve">MARICA PAES E CONVENIENCIAS LTDA</t>
  </si>
  <si>
    <t xml:space="preserve">PAES E CONVENIENCIA</t>
  </si>
  <si>
    <t xml:space="preserve">REQUENA COM E REPRES LTDA</t>
  </si>
  <si>
    <t xml:space="preserve">PEREIRA E SILVERIO LTDA ME</t>
  </si>
  <si>
    <t xml:space="preserve">MERCEARIA LT</t>
  </si>
  <si>
    <t xml:space="preserve">COMERCIAL DE ALIMENTOS MATTOS LTDA</t>
  </si>
  <si>
    <t xml:space="preserve">LUIZ CARLOS BARBIERI</t>
  </si>
  <si>
    <t xml:space="preserve">SUPERMERCADO SANTA CRUZ LTDA</t>
  </si>
  <si>
    <t xml:space="preserve">SANTA CRUZ LTDA</t>
  </si>
  <si>
    <t xml:space="preserve">AFABIO JUNIOR LOPES CANCADO</t>
  </si>
  <si>
    <t xml:space="preserve">MERCADO AMERICO</t>
  </si>
  <si>
    <t xml:space="preserve">NILDO MENDES DA SILVA</t>
  </si>
  <si>
    <t xml:space="preserve">HILDA RAMIREZ DIAS</t>
  </si>
  <si>
    <t xml:space="preserve">SUPRI LASER</t>
  </si>
  <si>
    <t xml:space="preserve">SILVA E DUTRA LTDA</t>
  </si>
  <si>
    <t xml:space="preserve">SUP BIG BOM</t>
  </si>
  <si>
    <t xml:space="preserve">BORDAO E APESTIGUE LTDA</t>
  </si>
  <si>
    <t xml:space="preserve">ATACADO TRIUNFO</t>
  </si>
  <si>
    <t xml:space="preserve">SPEED LOCACAO DE KART LTDA</t>
  </si>
  <si>
    <t xml:space="preserve">SPEED LOCACAO DE KART</t>
  </si>
  <si>
    <t xml:space="preserve">FESTUGATTO E FESTUGATTO LTDA</t>
  </si>
  <si>
    <t xml:space="preserve">BETEL MORIA CONVENIENCIA LTDA</t>
  </si>
  <si>
    <t xml:space="preserve">SUPER MAIS</t>
  </si>
  <si>
    <t xml:space="preserve">N T DA SILVA E CIA LTDA</t>
  </si>
  <si>
    <t xml:space="preserve">SM PEREIRA</t>
  </si>
  <si>
    <t xml:space="preserve">MACIEL SOBREIRA E CIA LTDA</t>
  </si>
  <si>
    <t xml:space="preserve">MERCEARIA COISA DA TERRA</t>
  </si>
  <si>
    <t xml:space="preserve">JHF COMERCIAL LTDA</t>
  </si>
  <si>
    <t xml:space="preserve">SUPERMERCADO AGUA</t>
  </si>
  <si>
    <t xml:space="preserve">TM KOCHIYAMA E CIA LTDA</t>
  </si>
  <si>
    <t xml:space="preserve">MERC NOSSA SENHORA APARECIDA</t>
  </si>
  <si>
    <t xml:space="preserve">TROVAO REPRESENTACAO COMERCIAL LTDA - ME</t>
  </si>
  <si>
    <t xml:space="preserve">TROVAO COMERCIO E REPRESENTACAO</t>
  </si>
  <si>
    <t xml:space="preserve">D LUCAS  PANIFICADORA E CONFEITARIA LTDA</t>
  </si>
  <si>
    <t xml:space="preserve">D LUCAS</t>
  </si>
  <si>
    <t xml:space="preserve">C R ALMEIDA DIAS E DIAS LTDA</t>
  </si>
  <si>
    <t xml:space="preserve">DALMA MODESTO MARTINS</t>
  </si>
  <si>
    <t xml:space="preserve">SABOR E TENTACAO</t>
  </si>
  <si>
    <t xml:space="preserve">RESTAURANTE E LANCHONETE KANANE LTDA</t>
  </si>
  <si>
    <t xml:space="preserve">KANANE RESTAURANTE</t>
  </si>
  <si>
    <t xml:space="preserve">RUIZ COMERCIO DE PROD AGROPECUARIOS EIRE</t>
  </si>
  <si>
    <t xml:space="preserve">PECUARISTA DO OESTE</t>
  </si>
  <si>
    <t xml:space="preserve">F DE OLIVEIRA LINO ARTE PESCA</t>
  </si>
  <si>
    <t xml:space="preserve">ELIZABETH TIEPPO</t>
  </si>
  <si>
    <t xml:space="preserve">MERCADO BAGDA</t>
  </si>
  <si>
    <t xml:space="preserve">PINHEIRO E ORTIZ LTDA</t>
  </si>
  <si>
    <t xml:space="preserve">SM MANRIQUE</t>
  </si>
  <si>
    <t xml:space="preserve">SM MONIQUE</t>
  </si>
  <si>
    <t xml:space="preserve">SENDAS DISTRIBUIDORA SA LJ80</t>
  </si>
  <si>
    <t xml:space="preserve">REDE ASSAI</t>
  </si>
  <si>
    <t xml:space="preserve">ASSAI LJ80 CEL ANTONINO</t>
  </si>
  <si>
    <t xml:space="preserve">SENDAS DISTRIBUIDORA S A LJ92</t>
  </si>
  <si>
    <t xml:space="preserve">ASSAI LJ 92 ACRISSUL</t>
  </si>
  <si>
    <t xml:space="preserve">SENDAS DISTRIBUIDORA S A</t>
  </si>
  <si>
    <t xml:space="preserve">ASSAI LJ 100 DOURADOS</t>
  </si>
  <si>
    <t xml:space="preserve">ASSAI</t>
  </si>
  <si>
    <t xml:space="preserve">RUBENS YAMANE DE MELO</t>
  </si>
  <si>
    <t xml:space="preserve">MERCEARIA YAMANE</t>
  </si>
  <si>
    <t xml:space="preserve">NADIR DE FATIMA ARROYO DE LIMA</t>
  </si>
  <si>
    <t xml:space="preserve">FRUTARIA MACO VERDE</t>
  </si>
  <si>
    <t xml:space="preserve">AMADOSAN TUBOS E CONEXOES LTDA</t>
  </si>
  <si>
    <t xml:space="preserve">JV TUBOS E CONEXOES</t>
  </si>
  <si>
    <t xml:space="preserve">VALDECI JOSE BARBOSA</t>
  </si>
  <si>
    <t xml:space="preserve">SALVA E CIA LTDA</t>
  </si>
  <si>
    <t xml:space="preserve">TIO SID CONV</t>
  </si>
  <si>
    <t xml:space="preserve">S A QUEIROZ OLIVEIRA</t>
  </si>
  <si>
    <t xml:space="preserve">M C ROCHA DIAS E CIA LTDA</t>
  </si>
  <si>
    <t xml:space="preserve">FARMA VIDA</t>
  </si>
  <si>
    <t xml:space="preserve">E C DA SILVA MINI MERCADO</t>
  </si>
  <si>
    <t xml:space="preserve">DEDE FEST CONVENIENCIAS LTDA</t>
  </si>
  <si>
    <t xml:space="preserve">DEDE FEST</t>
  </si>
  <si>
    <t xml:space="preserve">ILSON VIEIRA DA COSTA</t>
  </si>
  <si>
    <t xml:space="preserve">JLD TINTAS LTDA EPP</t>
  </si>
  <si>
    <t xml:space="preserve">CASA DAS TINTAS</t>
  </si>
  <si>
    <t xml:space="preserve">ALCIR ANTONIO DE SALES</t>
  </si>
  <si>
    <t xml:space="preserve">MINI MERCACO KI-DELICIA</t>
  </si>
  <si>
    <t xml:space="preserve">DOMINGOS CEZERO</t>
  </si>
  <si>
    <t xml:space="preserve">PANF TRES LAGOAS</t>
  </si>
  <si>
    <t xml:space="preserve">JACIR BRUGNERA BELANI</t>
  </si>
  <si>
    <t xml:space="preserve">CHUR PANTANAL</t>
  </si>
  <si>
    <t xml:space="preserve">VT PARANA SUPERMERCADO LTDA</t>
  </si>
  <si>
    <t xml:space="preserve">REDE VT PARANA</t>
  </si>
  <si>
    <t xml:space="preserve">JOSE AUGUSTO PEREIRA</t>
  </si>
  <si>
    <t xml:space="preserve">REST E LANCHONETE GARCIA</t>
  </si>
  <si>
    <t xml:space="preserve">RAMAO FERNANDES</t>
  </si>
  <si>
    <t xml:space="preserve">SUPERMERCADO RURAL</t>
  </si>
  <si>
    <t xml:space="preserve">ANA MARIA DA CONCEICAO DE OLIVEIRA LIMA </t>
  </si>
  <si>
    <t xml:space="preserve">MERCEARIA ESTRELA DO LAR</t>
  </si>
  <si>
    <t xml:space="preserve">CELSO GONCALVES</t>
  </si>
  <si>
    <t xml:space="preserve">PANF BIANCO</t>
  </si>
  <si>
    <t xml:space="preserve">SILVIO MARINO THOME</t>
  </si>
  <si>
    <t xml:space="preserve">MEDEIROS E VIDAL LTDA</t>
  </si>
  <si>
    <t xml:space="preserve">DROGARIA DROGA PLUS</t>
  </si>
  <si>
    <t xml:space="preserve">MACEDO E ALBUQUERQUE COM DE MEDIC  LTDA </t>
  </si>
  <si>
    <t xml:space="preserve">CLAUDIA HELENA FONTOURA</t>
  </si>
  <si>
    <t xml:space="preserve">SM ZANCA</t>
  </si>
  <si>
    <t xml:space="preserve">R A DOS SANTOS</t>
  </si>
  <si>
    <t xml:space="preserve">GOMMA E GOUMERT</t>
  </si>
  <si>
    <t xml:space="preserve">SUPERMERCADO CRIOULA LTDA</t>
  </si>
  <si>
    <t xml:space="preserve">SM CRIOLA III</t>
  </si>
  <si>
    <t xml:space="preserve">EMERGILDA XIMENES ME</t>
  </si>
  <si>
    <t xml:space="preserve">POUSADA DA MEIRE</t>
  </si>
  <si>
    <t xml:space="preserve">IRINEU J DE OLIVEIRA</t>
  </si>
  <si>
    <t xml:space="preserve">F M DE LIMA LANCHONETE</t>
  </si>
  <si>
    <t xml:space="preserve">LANCHONETE BHOEMIA</t>
  </si>
  <si>
    <t xml:space="preserve">GUAPOREMA COMERCIO DE ALIMENTOS LTDA</t>
  </si>
  <si>
    <t xml:space="preserve">PADOVANI DE SOUZA E CIA LTDA ME</t>
  </si>
  <si>
    <t xml:space="preserve">GUANANDI CONVENIENCIA</t>
  </si>
  <si>
    <t xml:space="preserve">GM COM E DIST  DE PROD ALIMENTICIOS LTDA</t>
  </si>
  <si>
    <t xml:space="preserve">T D F MARQUES</t>
  </si>
  <si>
    <t xml:space="preserve">MARCHIOTTI E FERRUGEM LTDA</t>
  </si>
  <si>
    <t xml:space="preserve">LUCIANA ALEM MACIEL ME</t>
  </si>
  <si>
    <t xml:space="preserve">SORAYA DANIELLI HAMMOUD BRANDAO</t>
  </si>
  <si>
    <t xml:space="preserve">MERC ECONOMICA</t>
  </si>
  <si>
    <t xml:space="preserve">FERREIRA DE LIMA E OLIVEIRA LTDA</t>
  </si>
  <si>
    <t xml:space="preserve">AMARAL E GOIS LTDA</t>
  </si>
  <si>
    <t xml:space="preserve">REVELINO MARTINS DA SILVEIRA</t>
  </si>
  <si>
    <t xml:space="preserve">MERCADINHO INDAIA</t>
  </si>
  <si>
    <t xml:space="preserve">V DE OLIVEIRA GAS</t>
  </si>
  <si>
    <t xml:space="preserve">MERCEARIA DO PROFESSOR</t>
  </si>
  <si>
    <t xml:space="preserve">REGINA DE FATIMA MANIERI</t>
  </si>
  <si>
    <t xml:space="preserve">EMPORIO E CONV MANIERI</t>
  </si>
  <si>
    <t xml:space="preserve">AGNALDO RODRIGUES DA ROCHA</t>
  </si>
  <si>
    <t xml:space="preserve">MINI MERCADO ROCHA</t>
  </si>
  <si>
    <t xml:space="preserve">DICA SUPERMERCADO EIRELI</t>
  </si>
  <si>
    <t xml:space="preserve">DICA SUPERMERCADO</t>
  </si>
  <si>
    <t xml:space="preserve">FICASE TRANSP LOGISTICA DISTRIB LTDA</t>
  </si>
  <si>
    <t xml:space="preserve">FICASE</t>
  </si>
  <si>
    <t xml:space="preserve">FICASE TRANSP LOGISTICA DISTR LTDA</t>
  </si>
  <si>
    <t xml:space="preserve">PRESIDENTE EPITACIO</t>
  </si>
  <si>
    <t xml:space="preserve">IGUACU</t>
  </si>
  <si>
    <t xml:space="preserve">E M DA SILVA CONVENIENCIA</t>
  </si>
  <si>
    <t xml:space="preserve">FERNANDO RAMOS JOAQUIM</t>
  </si>
  <si>
    <t xml:space="preserve">MERCADO PLUMA LTDA</t>
  </si>
  <si>
    <t xml:space="preserve">MINIMERCADO MANGA LTDA</t>
  </si>
  <si>
    <t xml:space="preserve">RISORT HOTEL BERTIONE LTDA</t>
  </si>
  <si>
    <t xml:space="preserve">HOTEL BETIONE</t>
  </si>
  <si>
    <t xml:space="preserve">RONISON CENTURIAO PEREIRA</t>
  </si>
  <si>
    <t xml:space="preserve">SABORES RAPIDOS LTDA</t>
  </si>
  <si>
    <t xml:space="preserve">SABORES RAPIDOS PRAZER EM ALIMENTAR</t>
  </si>
  <si>
    <t xml:space="preserve">SUPERMERCADO CAROLINE LTDA</t>
  </si>
  <si>
    <t xml:space="preserve">SM CAROLINE</t>
  </si>
  <si>
    <t xml:space="preserve">AUTO POSTO ENTRE RIOS CIDADE LTDA</t>
  </si>
  <si>
    <t xml:space="preserve">AUTO POSTO ENTRE RIOS</t>
  </si>
  <si>
    <t xml:space="preserve">VANILDO RAFAEL MAGALHAES</t>
  </si>
  <si>
    <t xml:space="preserve">TINDA CONVENIENCIA</t>
  </si>
  <si>
    <t xml:space="preserve">ALESSANDRO BLANCH BERGOLI</t>
  </si>
  <si>
    <t xml:space="preserve">MORENA BEER</t>
  </si>
  <si>
    <t xml:space="preserve">MERCADO STA RITA</t>
  </si>
  <si>
    <t xml:space="preserve">MARCOS RAMAO FERREIRA DOS SANTOS</t>
  </si>
  <si>
    <t xml:space="preserve">MERCEARIA DO TO</t>
  </si>
  <si>
    <t xml:space="preserve">FORTES PRODUTOS AGROPECUARIOS LTDA</t>
  </si>
  <si>
    <t xml:space="preserve">FORTES DISTRIBUIDORA</t>
  </si>
  <si>
    <t xml:space="preserve">MARIA REMEDIO HIDALGO DE SOUZA</t>
  </si>
  <si>
    <t xml:space="preserve">AGUAS DE BONITO</t>
  </si>
  <si>
    <t xml:space="preserve">BELISSIMA AMBIENTES E MOVEIS LTDA</t>
  </si>
  <si>
    <t xml:space="preserve">PANIF.GALERAS</t>
  </si>
  <si>
    <t xml:space="preserve">GANASSIN E CIA LTDA</t>
  </si>
  <si>
    <t xml:space="preserve">SANTA LAURA CONVENIENCIAS LTDA</t>
  </si>
  <si>
    <t xml:space="preserve">CONV SANTA LAURA</t>
  </si>
  <si>
    <t xml:space="preserve">3 E COMERCIAL DE ALIMENTOS LTDA</t>
  </si>
  <si>
    <t xml:space="preserve">CARLONGA E SILVA LTDA</t>
  </si>
  <si>
    <t xml:space="preserve">ESPITNHO DO CARLONGA</t>
  </si>
  <si>
    <t xml:space="preserve">BRASILINA OLMEDO</t>
  </si>
  <si>
    <t xml:space="preserve">PADARIA CAACUPE</t>
  </si>
  <si>
    <t xml:space="preserve">RUFINA FERREIRA FARIA</t>
  </si>
  <si>
    <t xml:space="preserve">MERCADO CASA DE CARNE PARAISO</t>
  </si>
  <si>
    <t xml:space="preserve">JULIANO ALVES ROCHA</t>
  </si>
  <si>
    <t xml:space="preserve">AQUARIO RESTAURANTE</t>
  </si>
  <si>
    <t xml:space="preserve">NEUZA R  SIMOES</t>
  </si>
  <si>
    <t xml:space="preserve">MERCADO TIO PATINHAS</t>
  </si>
  <si>
    <t xml:space="preserve">CHOCOLATES DI SAPORE BRAS IND ALIM LTDA </t>
  </si>
  <si>
    <t xml:space="preserve">DIVINO SAPORE</t>
  </si>
  <si>
    <t xml:space="preserve">ANDRE RIBEIRO GOMES E CIA LTDA ME</t>
  </si>
  <si>
    <t xml:space="preserve">PEDRO FERMINO LEITE MARTINS JUNIOR ME</t>
  </si>
  <si>
    <t xml:space="preserve">TRADICAO</t>
  </si>
  <si>
    <t xml:space="preserve">WALDIRENE MARTINS DA SILVA NUNES</t>
  </si>
  <si>
    <t xml:space="preserve">CONV NUNES</t>
  </si>
  <si>
    <t xml:space="preserve">N C P DE OLIVEIRA</t>
  </si>
  <si>
    <t xml:space="preserve">CENILDA SOARES</t>
  </si>
  <si>
    <t xml:space="preserve">CUPIM MIL</t>
  </si>
  <si>
    <t xml:space="preserve">I M A DE LIMA</t>
  </si>
  <si>
    <t xml:space="preserve">TRENTO BCANDALIZE</t>
  </si>
  <si>
    <t xml:space="preserve">CANHETE E IRMAO LTDA</t>
  </si>
  <si>
    <t xml:space="preserve">MOTO RIO COM PECAS E ACESSORIO</t>
  </si>
  <si>
    <t xml:space="preserve">LUCIANO BATISTA</t>
  </si>
  <si>
    <t xml:space="preserve">REST E LACHONETE GALCHAO</t>
  </si>
  <si>
    <t xml:space="preserve">R T CHAVES</t>
  </si>
  <si>
    <t xml:space="preserve">COMERCIAL NICOLAS</t>
  </si>
  <si>
    <t xml:space="preserve">CHAVES E CIA LTDA</t>
  </si>
  <si>
    <t xml:space="preserve">CAVALEIRO E MAIORINO LTDA-ME</t>
  </si>
  <si>
    <t xml:space="preserve">PET BULL CAOVENIENCIA</t>
  </si>
  <si>
    <t xml:space="preserve">MAGALHAES E MARTINIANO LTDA</t>
  </si>
  <si>
    <t xml:space="preserve">AMOR E CIA</t>
  </si>
  <si>
    <t xml:space="preserve">C F CERZOSIMO</t>
  </si>
  <si>
    <t xml:space="preserve">COLD BEER</t>
  </si>
  <si>
    <t xml:space="preserve">JOSE CICERO DA SILVA MERCEARIA ME</t>
  </si>
  <si>
    <t xml:space="preserve">MINI MERCADO JOTA</t>
  </si>
  <si>
    <t xml:space="preserve">MARTA L M DA SILVA</t>
  </si>
  <si>
    <t xml:space="preserve">SERV CERTO</t>
  </si>
  <si>
    <t xml:space="preserve">ARILDO ACOSTA DE ALMEIDA</t>
  </si>
  <si>
    <t xml:space="preserve">MERCEARIA E ACOUGUE TREVO</t>
  </si>
  <si>
    <t xml:space="preserve">SANTOS E MARQUES LTDA</t>
  </si>
  <si>
    <t xml:space="preserve">MINI MERC MULTIPLA ESCOLHA</t>
  </si>
  <si>
    <t xml:space="preserve">OLIVEIRA LIMA IND EMBALAGENS DISTRIBUIDO</t>
  </si>
  <si>
    <t xml:space="preserve">PALADAR ALIMENTOS</t>
  </si>
  <si>
    <t xml:space="preserve">MARIMAR GARCIA MENEZES DIAS</t>
  </si>
  <si>
    <t xml:space="preserve">ALEXANDRE MOURA FREITAS</t>
  </si>
  <si>
    <t xml:space="preserve">MERCADO LANI ALVORADA</t>
  </si>
  <si>
    <t xml:space="preserve">M HASHIMOTO</t>
  </si>
  <si>
    <t xml:space="preserve">OISSHII SABOR</t>
  </si>
  <si>
    <t xml:space="preserve">R R FERREIRA MINIMERCADO</t>
  </si>
  <si>
    <t xml:space="preserve">MEIRIELY CAMARA ALBRES</t>
  </si>
  <si>
    <t xml:space="preserve">J C LOPES</t>
  </si>
  <si>
    <t xml:space="preserve">SUPERMERCADO CACIQUE</t>
  </si>
  <si>
    <t xml:space="preserve">DIONIZIO DIAS BEZERRA</t>
  </si>
  <si>
    <t xml:space="preserve">COMERCIAL PARANA</t>
  </si>
  <si>
    <t xml:space="preserve">CARLOS EDUARDO AMARAL PUELO EIRELI</t>
  </si>
  <si>
    <t xml:space="preserve">DROGARIA NOVA MORENA</t>
  </si>
  <si>
    <t xml:space="preserve">DANTAS E LOPES LTDA</t>
  </si>
  <si>
    <t xml:space="preserve">GELATERIA TROPICAL LTDA</t>
  </si>
  <si>
    <t xml:space="preserve">J A RODRIGUES E CIA LTDA</t>
  </si>
  <si>
    <t xml:space="preserve">FABIANI E SENA LTDA</t>
  </si>
  <si>
    <t xml:space="preserve">COML SERRANA</t>
  </si>
  <si>
    <t xml:space="preserve">SM SENA</t>
  </si>
  <si>
    <t xml:space="preserve">SIMONE MONTEIRO SOARES DALAVALE</t>
  </si>
  <si>
    <t xml:space="preserve">PAPELARIA EDUCATIVA</t>
  </si>
  <si>
    <t xml:space="preserve">PANIF PINHEIRO</t>
  </si>
  <si>
    <t xml:space="preserve">BIG RIO SUPERMERCADO LTDA</t>
  </si>
  <si>
    <t xml:space="preserve">BIG RIO SM</t>
  </si>
  <si>
    <t xml:space="preserve">FLAVIO DE ALBUQUERQUE CAVALCANTE</t>
  </si>
  <si>
    <t xml:space="preserve">MERCADO ANGELICA</t>
  </si>
  <si>
    <t xml:space="preserve">SUPERMERCADO DUVALE</t>
  </si>
  <si>
    <t xml:space="preserve">MARIA APARECIDA RODRIGUES VEDOVATI</t>
  </si>
  <si>
    <t xml:space="preserve">SHOP MANIA</t>
  </si>
  <si>
    <t xml:space="preserve">COMERCIAL VIEIRA</t>
  </si>
  <si>
    <t xml:space="preserve">ALA COM MEDICAMENTOS PERFUMARIA LTDA</t>
  </si>
  <si>
    <t xml:space="preserve">SENSIA FARMACIAS</t>
  </si>
  <si>
    <t xml:space="preserve">MARISA VICENTE DA SILVA</t>
  </si>
  <si>
    <t xml:space="preserve">GULLOS PADARIA E CONF</t>
  </si>
  <si>
    <t xml:space="preserve">LEANDRO ANGELO COMARELLA</t>
  </si>
  <si>
    <t xml:space="preserve">BIG BEEF</t>
  </si>
  <si>
    <t xml:space="preserve">PANIFICADORA PLANALTO LTDA</t>
  </si>
  <si>
    <t xml:space="preserve">PANIFICADORA PLANALTO</t>
  </si>
  <si>
    <t xml:space="preserve">FATIMA RIBEIRO</t>
  </si>
  <si>
    <t xml:space="preserve">ESPACO GRILLI</t>
  </si>
  <si>
    <t xml:space="preserve">RI COMERCIO DE ALIMENTOS LTDA</t>
  </si>
  <si>
    <t xml:space="preserve">P C M</t>
  </si>
  <si>
    <t xml:space="preserve">LENIR CRISTALDO FERREIRA</t>
  </si>
  <si>
    <t xml:space="preserve">MARCUS AURELIO PEREIRA BUENO</t>
  </si>
  <si>
    <t xml:space="preserve">HARMAZEM BAR</t>
  </si>
  <si>
    <t xml:space="preserve">LEANDRO DINIZ LTDA</t>
  </si>
  <si>
    <t xml:space="preserve">MULTIFARMA</t>
  </si>
  <si>
    <t xml:space="preserve">ROMARIO ALVES COELHO</t>
  </si>
  <si>
    <t xml:space="preserve">CONVENIENCIA RJ</t>
  </si>
  <si>
    <t xml:space="preserve">ELI DA SILVA</t>
  </si>
  <si>
    <t xml:space="preserve">FENIX BIER FESTA</t>
  </si>
  <si>
    <t xml:space="preserve">IRACI RODRIGUES DOS SANTOS</t>
  </si>
  <si>
    <t xml:space="preserve">EMPORIO VITORIA</t>
  </si>
  <si>
    <t xml:space="preserve">L O PANOVICH DE BARROS</t>
  </si>
  <si>
    <t xml:space="preserve">PANIFICADORA CENTRAL</t>
  </si>
  <si>
    <t xml:space="preserve">SANTO M?? BAR E RESTAURANTE LTDA</t>
  </si>
  <si>
    <t xml:space="preserve">SANTO ME</t>
  </si>
  <si>
    <t xml:space="preserve">GLEICE APARECIDA DE OLIVEIRA JULIO ME</t>
  </si>
  <si>
    <t xml:space="preserve">PANIFICADORA E LANCHONETE LIDE</t>
  </si>
  <si>
    <t xml:space="preserve">COYOTE MOTOS LTDA</t>
  </si>
  <si>
    <t xml:space="preserve">COYOTE MOTOS</t>
  </si>
  <si>
    <t xml:space="preserve">COMERCIAL DE ALIMENTOS JOEMA LTDA</t>
  </si>
  <si>
    <t xml:space="preserve">SUPERMERCADO ESQUERDAO</t>
  </si>
  <si>
    <t xml:space="preserve">FRUTARIA EBENEZER LTDA</t>
  </si>
  <si>
    <t xml:space="preserve">FRUTARIA EBNEZER</t>
  </si>
  <si>
    <t xml:space="preserve">V COLMAN N FAN</t>
  </si>
  <si>
    <t xml:space="preserve">DOCE SABORES</t>
  </si>
  <si>
    <t xml:space="preserve">IVONE MARIA DORILEO DE LIMA E FILHAS LTD</t>
  </si>
  <si>
    <t xml:space="preserve">DEL CONVENIENCIA</t>
  </si>
  <si>
    <t xml:space="preserve">AUTO POSTO GUAICURUS LTDA</t>
  </si>
  <si>
    <t xml:space="preserve">AUTO POSTO GUAICURUS</t>
  </si>
  <si>
    <t xml:space="preserve">ROSANA APARECIDA DADONA BARREIROS</t>
  </si>
  <si>
    <t xml:space="preserve">PANIF TRADICAO</t>
  </si>
  <si>
    <t xml:space="preserve">CLAUDIO MIRANDA</t>
  </si>
  <si>
    <t xml:space="preserve">RESTAURANTE E LANCHONETE FAVORITA LTDA  </t>
  </si>
  <si>
    <t xml:space="preserve">LANCH FAVORITA</t>
  </si>
  <si>
    <t xml:space="preserve">APARECIDA DE FATIMA RODRIGUES COSTA</t>
  </si>
  <si>
    <t xml:space="preserve">CASA DAS ISCAS</t>
  </si>
  <si>
    <t xml:space="preserve">VANIA FELIX BARBOSA</t>
  </si>
  <si>
    <t xml:space="preserve">SUP TURCO LOUCO</t>
  </si>
  <si>
    <t xml:space="preserve">DROGARIA CLEOMORENO LTDA</t>
  </si>
  <si>
    <t xml:space="preserve">DIA A DIA PARA O DIABETICO</t>
  </si>
  <si>
    <t xml:space="preserve">ROBERTO HIROSHI NISHIKAWA</t>
  </si>
  <si>
    <t xml:space="preserve">ROBERTO HIROSHI</t>
  </si>
  <si>
    <t xml:space="preserve">NISHIKAWA CELULAR</t>
  </si>
  <si>
    <t xml:space="preserve">PANIF E COVENIENCIA AVENIDA</t>
  </si>
  <si>
    <t xml:space="preserve">CASA DE CARNE E CONV FAVO MEL</t>
  </si>
  <si>
    <t xml:space="preserve">ITOR ANDRE SILVA</t>
  </si>
  <si>
    <t xml:space="preserve">HIGMASTER DIST DE PROD DE HIGIENE LTDA  </t>
  </si>
  <si>
    <t xml:space="preserve">LONDRINA</t>
  </si>
  <si>
    <t xml:space="preserve">HIGMASTER DIST DE PROD DE HIGI</t>
  </si>
  <si>
    <t xml:space="preserve">COMERCIAL ISOTOTAL LTDA EPP</t>
  </si>
  <si>
    <t xml:space="preserve">COMERCIAL ISOTOTAL</t>
  </si>
  <si>
    <t xml:space="preserve">DIRCE RIBEIRO SANTOS PEREIRA</t>
  </si>
  <si>
    <t xml:space="preserve">MINI MERCADO PONTO X</t>
  </si>
  <si>
    <t xml:space="preserve">LUCIANE N DUTRA CAVALCANTE</t>
  </si>
  <si>
    <t xml:space="preserve">MERCADO E ACOUGUE NSA. SRA.APA</t>
  </si>
  <si>
    <t xml:space="preserve">H ZAO RESTAURANTE LTDA</t>
  </si>
  <si>
    <t xml:space="preserve">DROGARIA IDEAL LTDA</t>
  </si>
  <si>
    <t xml:space="preserve">DROGARIA IDEAL</t>
  </si>
  <si>
    <t xml:space="preserve">SUPERMERCADO PANTANAL LTDA EPP</t>
  </si>
  <si>
    <t xml:space="preserve">V N LOPES ME</t>
  </si>
  <si>
    <t xml:space="preserve">SUP PLANALTO</t>
  </si>
  <si>
    <t xml:space="preserve">BERTAO E TEIXEIRA COM ALIM BEBIDAS LTDA </t>
  </si>
  <si>
    <t xml:space="preserve">ESPACO 43</t>
  </si>
  <si>
    <t xml:space="preserve">R F DOS SANTOS FARMACIA LTDA</t>
  </si>
  <si>
    <t xml:space="preserve">FARMACIA SAO JOAO</t>
  </si>
  <si>
    <t xml:space="preserve">MARIANO CANDIDO DE ARRUDA E CIA LTDA-ME </t>
  </si>
  <si>
    <t xml:space="preserve">RESTAURANTE COMITIVA PANTANEIRA LTDA</t>
  </si>
  <si>
    <t xml:space="preserve">COMITIVA PANTANEIRA RESTAURANT</t>
  </si>
  <si>
    <t xml:space="preserve">EURIDES DOS SANTOS NOGUEIRA</t>
  </si>
  <si>
    <t xml:space="preserve">MB RESTAURANTE</t>
  </si>
  <si>
    <t xml:space="preserve">COMIDA CASEIRA CONQUISTA</t>
  </si>
  <si>
    <t xml:space="preserve">ALVES E SANTOS COM DE ALIMENTOS LTDA</t>
  </si>
  <si>
    <t xml:space="preserve">SM J D</t>
  </si>
  <si>
    <t xml:space="preserve">EDSON GONCALVES E CIA LTDA</t>
  </si>
  <si>
    <t xml:space="preserve">LANCHONETE SECRETARIA DE ED. E</t>
  </si>
  <si>
    <t xml:space="preserve">RB NAFTALLY CONFECCOES LTDA</t>
  </si>
  <si>
    <t xml:space="preserve">NAFTALLY 2,00 REAIS</t>
  </si>
  <si>
    <t xml:space="preserve">FERNANDA BORGES RIBEIRO</t>
  </si>
  <si>
    <t xml:space="preserve">ARNALDO DE ASSIS SANTOS</t>
  </si>
  <si>
    <t xml:space="preserve">MERC NOSSA APERECIDA</t>
  </si>
  <si>
    <t xml:space="preserve">RUBENS MARTINS RIBEIRO</t>
  </si>
  <si>
    <t xml:space="preserve">BUMMER PET SHOP</t>
  </si>
  <si>
    <t xml:space="preserve">OZANA VASCONCELOS DIAS</t>
  </si>
  <si>
    <t xml:space="preserve">IZEQUIEL A ROSSATTO</t>
  </si>
  <si>
    <t xml:space="preserve">CONVENIENCIA LA</t>
  </si>
  <si>
    <t xml:space="preserve">J SALES DE OLIVEIRA</t>
  </si>
  <si>
    <t xml:space="preserve">SALES EMBALAGENS LTDA</t>
  </si>
  <si>
    <t xml:space="preserve">AUTO POSTO CANELLO LTDA</t>
  </si>
  <si>
    <t xml:space="preserve">AUTO POSTO CANELO LTDA</t>
  </si>
  <si>
    <t xml:space="preserve">BUENO E GONCALVES LTDA</t>
  </si>
  <si>
    <t xml:space="preserve">MINI MERCADO BOTAFOGO</t>
  </si>
  <si>
    <t xml:space="preserve">SERGIO FERNANDES DE CAMARGO</t>
  </si>
  <si>
    <t xml:space="preserve">JANDERSON RODRIGUES DA SILVA</t>
  </si>
  <si>
    <t xml:space="preserve">J.C ROSSO</t>
  </si>
  <si>
    <t xml:space="preserve">JOSE PEREIRA LINS NETO</t>
  </si>
  <si>
    <t xml:space="preserve">ANALICE NASCIMENTO DE OLIVEIRA SANTOS</t>
  </si>
  <si>
    <t xml:space="preserve">DALVA DUARTE PEREIRA LINO</t>
  </si>
  <si>
    <t xml:space="preserve">REST E CASA SUCO CIDADE AGUAS</t>
  </si>
  <si>
    <t xml:space="preserve">DILSON C DO NASCIMENTO</t>
  </si>
  <si>
    <t xml:space="preserve">LICIARDE E WINCKLER LTDA</t>
  </si>
  <si>
    <t xml:space="preserve">JABURU COMERCIO DE BEBIDAS</t>
  </si>
  <si>
    <t xml:space="preserve">A C A DE ALMEIDA</t>
  </si>
  <si>
    <t xml:space="preserve">ESTACAO DO PAU</t>
  </si>
  <si>
    <t xml:space="preserve">FABRAO E FABRAO LTDA</t>
  </si>
  <si>
    <t xml:space="preserve">AMAURI ROMERA MARTIM</t>
  </si>
  <si>
    <t xml:space="preserve">MERCADO MARTIM</t>
  </si>
  <si>
    <t xml:space="preserve">COMALI COMERCIO DE ALIMENTOS LTDA</t>
  </si>
  <si>
    <t xml:space="preserve">SABOR EN QUILO (ZAHRAN)</t>
  </si>
  <si>
    <t xml:space="preserve">VERANO SORVETES E LANCHES LTDA</t>
  </si>
  <si>
    <t xml:space="preserve">VERANO</t>
  </si>
  <si>
    <t xml:space="preserve">ANDRE RICARDO DOS SANTOS</t>
  </si>
  <si>
    <t xml:space="preserve">ACDENIA ACTION IND DE ESPORTE</t>
  </si>
  <si>
    <t xml:space="preserve">EMPORIO DAS FRUTAS COM DE ALIMENTOS LTDA</t>
  </si>
  <si>
    <t xml:space="preserve">DEVANIR MARQUES</t>
  </si>
  <si>
    <t xml:space="preserve">MINI MERCADO MARQUES</t>
  </si>
  <si>
    <t xml:space="preserve">SEVAZZI E SMANIOTTO ME</t>
  </si>
  <si>
    <t xml:space="preserve">SOELY POMPERMAIER</t>
  </si>
  <si>
    <t xml:space="preserve">VETERINARIA NOVA ALIANCA LTDA</t>
  </si>
  <si>
    <t xml:space="preserve">VETERINARIA ALIANCA</t>
  </si>
  <si>
    <t xml:space="preserve">L DE MENDONCA AFONSO CONVENIENCIA</t>
  </si>
  <si>
    <t xml:space="preserve">ALTEMATIVA CONV</t>
  </si>
  <si>
    <t xml:space="preserve">ROBERTO KIYOTA</t>
  </si>
  <si>
    <t xml:space="preserve">CASA DE CARNE DUPLO R</t>
  </si>
  <si>
    <t xml:space="preserve">JOAO PEREIRA DA SILVA</t>
  </si>
  <si>
    <t xml:space="preserve">J R R RAMALHO MERCEARIA</t>
  </si>
  <si>
    <t xml:space="preserve">MERCADINHO DO GUM</t>
  </si>
  <si>
    <t xml:space="preserve">FONSECA E PEREIRA LTDA</t>
  </si>
  <si>
    <t xml:space="preserve">PAO E CIA</t>
  </si>
  <si>
    <t xml:space="preserve">JURACY NUNES FERREIRA JUNIOR</t>
  </si>
  <si>
    <t xml:space="preserve">CAFE PONTA PORA</t>
  </si>
  <si>
    <t xml:space="preserve">RONALDO COMARELLA</t>
  </si>
  <si>
    <t xml:space="preserve">CLAUDIO DA SILVA NASCIMENTO ME</t>
  </si>
  <si>
    <t xml:space="preserve">CORBARI SUPERM</t>
  </si>
  <si>
    <t xml:space="preserve">DISTRIBUIDORA RIOS ALIMENTOS LTDA</t>
  </si>
  <si>
    <t xml:space="preserve">DISTRIBUIDORA RIOS</t>
  </si>
  <si>
    <t xml:space="preserve">VITTA COMERCIO DE ALIMENTOS LTDA</t>
  </si>
  <si>
    <t xml:space="preserve">MINI MERCADO VITTA</t>
  </si>
  <si>
    <t xml:space="preserve">PAULO ROBERTO DA ROCHA</t>
  </si>
  <si>
    <t xml:space="preserve">NOVO SABOR</t>
  </si>
  <si>
    <t xml:space="preserve">RC COMERCIAL LTDA</t>
  </si>
  <si>
    <t xml:space="preserve">PLATINAO</t>
  </si>
  <si>
    <t xml:space="preserve">IRENY DE FREITAS CARVALHO</t>
  </si>
  <si>
    <t xml:space="preserve">MINI MERCADO PIRTUBA</t>
  </si>
  <si>
    <t xml:space="preserve">MACHADO E AMARAL LTDA</t>
  </si>
  <si>
    <t xml:space="preserve">OREJANA E OREJANA LTDA</t>
  </si>
  <si>
    <t xml:space="preserve">CHIKO TINTAS</t>
  </si>
  <si>
    <t xml:space="preserve">G M AGUIAR DE OLIVEIRA</t>
  </si>
  <si>
    <t xml:space="preserve">EMPORIO GENTE DE CASA</t>
  </si>
  <si>
    <t xml:space="preserve">COMERCIO DE ALIMENTOS MARIETTO LTDA</t>
  </si>
  <si>
    <t xml:space="preserve">MERCADO XINHA</t>
  </si>
  <si>
    <t xml:space="preserve">WILLIAM COELHO ALVES E CIA LTDA</t>
  </si>
  <si>
    <t xml:space="preserve">SM NOVO MILENIO</t>
  </si>
  <si>
    <t xml:space="preserve">VIDROLUX INDUSTRIA E COM DE VIDROS LTDA </t>
  </si>
  <si>
    <t xml:space="preserve">PADARIA E CONF DOCE LIGACAO</t>
  </si>
  <si>
    <t xml:space="preserve">NACIONAL FARMA LTDA</t>
  </si>
  <si>
    <t xml:space="preserve">NACIONAL FARMA</t>
  </si>
  <si>
    <t xml:space="preserve">CANTINA ROMEU E JULIETA LTDA</t>
  </si>
  <si>
    <t xml:space="preserve">MARIA LUIZA GUERRERO GAMEZ</t>
  </si>
  <si>
    <t xml:space="preserve">DAVOINE MARQUES BALBINO</t>
  </si>
  <si>
    <t xml:space="preserve">CERVEJA</t>
  </si>
  <si>
    <t xml:space="preserve">MARIA ALZIRA DOS SANTOS</t>
  </si>
  <si>
    <t xml:space="preserve">EMPANADAS RAULITO LTDA</t>
  </si>
  <si>
    <t xml:space="preserve">EMPANADOS RAULIDO</t>
  </si>
  <si>
    <t xml:space="preserve">FABIO MARQUEZE VENTURIN</t>
  </si>
  <si>
    <t xml:space="preserve">COMERCIAL TRADICAO</t>
  </si>
  <si>
    <t xml:space="preserve">SHALOM COM MEDICAMENTOS PERFUMARIA LTDA </t>
  </si>
  <si>
    <t xml:space="preserve">DROGARIA SHALOM</t>
  </si>
  <si>
    <t xml:space="preserve">JAQUELINE ROSSI</t>
  </si>
  <si>
    <t xml:space="preserve">DIFERENTE CAFE</t>
  </si>
  <si>
    <t xml:space="preserve">HIGA E YAMAZAKI LTDA</t>
  </si>
  <si>
    <t xml:space="preserve">SOBARIA KYOODAI</t>
  </si>
  <si>
    <t xml:space="preserve">M R MELLO RESTAURANTE</t>
  </si>
  <si>
    <t xml:space="preserve">REST PRIMAVERA II</t>
  </si>
  <si>
    <t xml:space="preserve">FRANCISCO RIGHETTI</t>
  </si>
  <si>
    <t xml:space="preserve">ALLOY TRANSPORTADORA E CONVENIENCIA EIRE</t>
  </si>
  <si>
    <t xml:space="preserve">CONVENIENCIA SAO MARCOS</t>
  </si>
  <si>
    <t xml:space="preserve">XAVIER CONVENIENCIA LTDA</t>
  </si>
  <si>
    <t xml:space="preserve">PAO DE ACUCAR CONVENIENCIA</t>
  </si>
  <si>
    <t xml:space="preserve">ARAUJO FERNANDES LTDA ME</t>
  </si>
  <si>
    <t xml:space="preserve">AGROPECUARIA PANTANAL</t>
  </si>
  <si>
    <t xml:space="preserve">SUPERMERCADO ARCO IRIS LTDA</t>
  </si>
  <si>
    <t xml:space="preserve">REDEMS ARCO IRIS</t>
  </si>
  <si>
    <t xml:space="preserve">CARLOS COMERCIAL</t>
  </si>
  <si>
    <t xml:space="preserve">KARINA SUPERMERCADO</t>
  </si>
  <si>
    <t xml:space="preserve">SUPERMERCADO QUASE TUDO LTDA</t>
  </si>
  <si>
    <t xml:space="preserve">MERCADO NHU VERA</t>
  </si>
  <si>
    <t xml:space="preserve">PEDRO ALVES DOS ANJOS</t>
  </si>
  <si>
    <t xml:space="preserve">REDE BRASIL </t>
  </si>
  <si>
    <t xml:space="preserve">MARCELA MAGDA DE LIMA EIRELI</t>
  </si>
  <si>
    <t xml:space="preserve">MHTO PANIFICADORA LTDA</t>
  </si>
  <si>
    <t xml:space="preserve">PANIF MASCARENHAS</t>
  </si>
  <si>
    <t xml:space="preserve">CLEONICE TARGINA DA C MORASSUTI</t>
  </si>
  <si>
    <t xml:space="preserve">VANESSA GARCIA</t>
  </si>
  <si>
    <t xml:space="preserve">MERCADO AVENIDA LTDA EPP</t>
  </si>
  <si>
    <t xml:space="preserve">REGINATTO E REGINATTO LTDA</t>
  </si>
  <si>
    <t xml:space="preserve">JUMBO</t>
  </si>
  <si>
    <t xml:space="preserve">SAUDE ANIMAL CONSULTORIO VETERINARIO LTD</t>
  </si>
  <si>
    <t xml:space="preserve">SAUDE ANIMAL</t>
  </si>
  <si>
    <t xml:space="preserve">V A GIOLANDO</t>
  </si>
  <si>
    <t xml:space="preserve">RESTAURANTE PRIMAVERA II</t>
  </si>
  <si>
    <t xml:space="preserve">GONCALVES E QUEIROZ LTDA</t>
  </si>
  <si>
    <t xml:space="preserve">MARIO PINZETTA</t>
  </si>
  <si>
    <t xml:space="preserve">CHURRASCARIA RIO GRANDE DO SUL</t>
  </si>
  <si>
    <t xml:space="preserve">VETERINARIA BOI GORDO COM PROD AGRO LTDA</t>
  </si>
  <si>
    <t xml:space="preserve">ANTONIO FATIMO DOS SANTOS</t>
  </si>
  <si>
    <t xml:space="preserve">SERV FESTAS CARNAIBA BEBIDAS</t>
  </si>
  <si>
    <t xml:space="preserve">REINALDO V SOUZA</t>
  </si>
  <si>
    <t xml:space="preserve">CENTRAL COMERCIAL ALIMENTOS LTDA</t>
  </si>
  <si>
    <t xml:space="preserve">CENTRAL MERCADO</t>
  </si>
  <si>
    <t xml:space="preserve">SILVA E MURAOKA LTDA</t>
  </si>
  <si>
    <t xml:space="preserve">AGROAPA COMERCIAL LTDA</t>
  </si>
  <si>
    <t xml:space="preserve">AGRO APA COMERCIAL LTDA</t>
  </si>
  <si>
    <t xml:space="preserve">PANIFICADORA DA BARAO LTDA</t>
  </si>
  <si>
    <t xml:space="preserve">PANF DA BARAO</t>
  </si>
  <si>
    <t xml:space="preserve">JOSE SIQUEIRA DOS SANTOS</t>
  </si>
  <si>
    <t xml:space="preserve">VERA LUCIA M G DE BARROS</t>
  </si>
  <si>
    <t xml:space="preserve">PESQUE E PAGUE BOM LAZER</t>
  </si>
  <si>
    <t xml:space="preserve">P C R GUIMARAES</t>
  </si>
  <si>
    <t xml:space="preserve">COMERCIAL SUPER POP</t>
  </si>
  <si>
    <t xml:space="preserve">RODRIGUES DOMINGOS E CANDIDO PAIVA LTDA </t>
  </si>
  <si>
    <t xml:space="preserve">MERCADO FAVORITO II</t>
  </si>
  <si>
    <t xml:space="preserve">ELIZIER GERALDELLI - ME</t>
  </si>
  <si>
    <t xml:space="preserve">MERCADO GERALDELLI</t>
  </si>
  <si>
    <t xml:space="preserve">A C MARTINS E CIA LTDA</t>
  </si>
  <si>
    <t xml:space="preserve">RUPP E RUPP LTDA</t>
  </si>
  <si>
    <t xml:space="preserve">CENTER COF</t>
  </si>
  <si>
    <t xml:space="preserve">LUCIMAR APARECIDA DOS SANTOS SILVA</t>
  </si>
  <si>
    <t xml:space="preserve">A C DOS SANTOS CAFETERIA</t>
  </si>
  <si>
    <t xml:space="preserve">LETRAS DU CAFE</t>
  </si>
  <si>
    <t xml:space="preserve">LETRAS DO CAFE</t>
  </si>
  <si>
    <t xml:space="preserve">AUTO POSTO TAIAMA LTDA</t>
  </si>
  <si>
    <t xml:space="preserve">AUTO POSTO TAIAMA</t>
  </si>
  <si>
    <t xml:space="preserve">SM FLORES</t>
  </si>
  <si>
    <t xml:space="preserve">MERCADO E DISTRIBUIDORA NOVO HORIZONTE  </t>
  </si>
  <si>
    <t xml:space="preserve">MERCADO E DISTRIBUIDORA NOVO HORIZONTE</t>
  </si>
  <si>
    <t xml:space="preserve">JUMBO ALIMENTOS LTDA</t>
  </si>
  <si>
    <t xml:space="preserve">COMERCIAL JUMBO</t>
  </si>
  <si>
    <t xml:space="preserve">WALTER SUPPO PRADO VEIGA</t>
  </si>
  <si>
    <t xml:space="preserve">L N R DA SILVA</t>
  </si>
  <si>
    <t xml:space="preserve">J G SUPERMERCADO</t>
  </si>
  <si>
    <t xml:space="preserve">SUP TIAO</t>
  </si>
  <si>
    <t xml:space="preserve">RODRIGUES E BELINI LTDA</t>
  </si>
  <si>
    <t xml:space="preserve">MERCADO E CONV BELINI</t>
  </si>
  <si>
    <t xml:space="preserve">CENTRAL SUPERMERCADOS LTDA</t>
  </si>
  <si>
    <t xml:space="preserve">SUPERMERCADO CENTRAL</t>
  </si>
  <si>
    <t xml:space="preserve">CENTRAL SUPERMERCADOS LTDA-LJ02</t>
  </si>
  <si>
    <t xml:space="preserve">CENTRAL SUPER</t>
  </si>
  <si>
    <t xml:space="preserve">CENTRAL SUPERMECADOS LTDA</t>
  </si>
  <si>
    <t xml:space="preserve">AARAO PEDRO PIRES DE MEDEIROS JUNIOR</t>
  </si>
  <si>
    <t xml:space="preserve">MARQUES E GONCALVES LTDA</t>
  </si>
  <si>
    <t xml:space="preserve">CLAUDINEI PEIXE</t>
  </si>
  <si>
    <t xml:space="preserve">MATOS DROGARIAS</t>
  </si>
  <si>
    <t xml:space="preserve">BASSIL DISTRIBUIDORA DE ALIMENTOS LTDA  </t>
  </si>
  <si>
    <t xml:space="preserve">ATACADO UNIAO</t>
  </si>
  <si>
    <t xml:space="preserve">ALDANIRA DOS SANTOS BORGES</t>
  </si>
  <si>
    <t xml:space="preserve">CONV GENTIL</t>
  </si>
  <si>
    <t xml:space="preserve">ODETE D.PICK - EPP</t>
  </si>
  <si>
    <t xml:space="preserve">QUERENCIA</t>
  </si>
  <si>
    <t xml:space="preserve">SM ITAPUA</t>
  </si>
  <si>
    <t xml:space="preserve">DROGARIA GUSTAFAR LTDA</t>
  </si>
  <si>
    <t xml:space="preserve">DROGMAIS</t>
  </si>
  <si>
    <t xml:space="preserve">ALGEMIRO PORFIRIO LEANES</t>
  </si>
  <si>
    <t xml:space="preserve">LANCHONETE E MERCEARIA PANTANA</t>
  </si>
  <si>
    <t xml:space="preserve">PEDRO ROBERTO MARTINS EIRELLI</t>
  </si>
  <si>
    <t xml:space="preserve">FLAVIO SILVA DIAS LTDA</t>
  </si>
  <si>
    <t xml:space="preserve">ACADEMIA UNICA</t>
  </si>
  <si>
    <t xml:space="preserve">KEILA PEREIRA MATEUS</t>
  </si>
  <si>
    <t xml:space="preserve">PANF PETER PAO</t>
  </si>
  <si>
    <t xml:space="preserve">SUPERMERCADO PONTO BOM LTDA</t>
  </si>
  <si>
    <t xml:space="preserve">REDE PONTO BOM</t>
  </si>
  <si>
    <t xml:space="preserve">MERCADO PONTO BOM</t>
  </si>
  <si>
    <t xml:space="preserve">SUPERMERCADO PONTO BOM 3</t>
  </si>
  <si>
    <t xml:space="preserve">COMERCIAL PANTANEIRA DE ALIMENTOS LTDA  </t>
  </si>
  <si>
    <t xml:space="preserve">MERCEARIA KI-BARATO</t>
  </si>
  <si>
    <t xml:space="preserve">LENILDA DA SILVA BARROS</t>
  </si>
  <si>
    <t xml:space="preserve">MERCEARIA PIONEIRA LTDA</t>
  </si>
  <si>
    <t xml:space="preserve">MERCADO PIONEIRO</t>
  </si>
  <si>
    <t xml:space="preserve">RESTAURANTE DOCE SABOR LTDA</t>
  </si>
  <si>
    <t xml:space="preserve">M I BARBOSA CASTANHO CONVENIENCIAS</t>
  </si>
  <si>
    <t xml:space="preserve">CONV. CASTANHA</t>
  </si>
  <si>
    <t xml:space="preserve">CANDEIA CONVENIENCIAS LTDA</t>
  </si>
  <si>
    <t xml:space="preserve">CONV CANDEIA</t>
  </si>
  <si>
    <t xml:space="preserve">ANDERSON BERNARDINO DOS SANTOS</t>
  </si>
  <si>
    <t xml:space="preserve">MERCADO SUPER NOSSO</t>
  </si>
  <si>
    <t xml:space="preserve">AMERICANA COMERCIAL DE ALIMENTOS LTDA</t>
  </si>
  <si>
    <t xml:space="preserve">AMERICANA COMERCIAL</t>
  </si>
  <si>
    <t xml:space="preserve">MARLEIDE SOARES DA SILVA</t>
  </si>
  <si>
    <t xml:space="preserve">VANUSA DE LOSS DALO E CIA LTDA</t>
  </si>
  <si>
    <t xml:space="preserve">D OURO PAES E CONFEITADOS</t>
  </si>
  <si>
    <t xml:space="preserve">CAMILA GOMES DA SILVA EPP</t>
  </si>
  <si>
    <t xml:space="preserve">COUTINHO E OLIVEIRA LTDA</t>
  </si>
  <si>
    <t xml:space="preserve">WILMA CATARINA FROES</t>
  </si>
  <si>
    <t xml:space="preserve">E P ANACHE E CIA LTDA EPP</t>
  </si>
  <si>
    <t xml:space="preserve">EMPORIO MANSUR</t>
  </si>
  <si>
    <t xml:space="preserve">N F ALVES</t>
  </si>
  <si>
    <t xml:space="preserve">AGRO RURAL</t>
  </si>
  <si>
    <t xml:space="preserve">CASA DE CARNE BEEF CHIC EIRELI</t>
  </si>
  <si>
    <t xml:space="preserve">BEEF CHIC II</t>
  </si>
  <si>
    <t xml:space="preserve">L 2 SIQUEIRA SUPERMERCADOS LTDA</t>
  </si>
  <si>
    <t xml:space="preserve">SIQUEIRA SHOPING DAS COMPRAS</t>
  </si>
  <si>
    <t xml:space="preserve">PASSOS E CIA LTDA</t>
  </si>
  <si>
    <t xml:space="preserve">EMPORIO DA CERVEJA</t>
  </si>
  <si>
    <t xml:space="preserve">TEODORETO E GONCALVES LTDA</t>
  </si>
  <si>
    <t xml:space="preserve">L G MARUN GALLETERIA</t>
  </si>
  <si>
    <t xml:space="preserve">GALLETERIA</t>
  </si>
  <si>
    <t xml:space="preserve">DROGARIA GOMES LTDA</t>
  </si>
  <si>
    <t xml:space="preserve">SOUZA E AGOSTINELI LTDA</t>
  </si>
  <si>
    <t xml:space="preserve">IND E COM DE ALIM PORTOALEGRENSE LTDA</t>
  </si>
  <si>
    <t xml:space="preserve">MERCADO PROTOALEGRENSE II</t>
  </si>
  <si>
    <t xml:space="preserve">ISAURA FABIANI FONTES</t>
  </si>
  <si>
    <t xml:space="preserve">CONV NOVA UNIAO</t>
  </si>
  <si>
    <t xml:space="preserve">CARMELINDA COSTA DE CAMPOS</t>
  </si>
  <si>
    <t xml:space="preserve">CHURRASCARIA GAUCHA</t>
  </si>
  <si>
    <t xml:space="preserve">FARMACIA ORTIZ LTDA</t>
  </si>
  <si>
    <t xml:space="preserve">FARMACIA SANTO ANTONIO</t>
  </si>
  <si>
    <t xml:space="preserve">SUPERMERCADO RENAN LTDA -LJ02</t>
  </si>
  <si>
    <t xml:space="preserve">SM MISTER JUNIOR-LJ02</t>
  </si>
  <si>
    <t xml:space="preserve">MAIS SABOR ALIMENTOS LTDA</t>
  </si>
  <si>
    <t xml:space="preserve">MAIS SABOR RESTAURANTE</t>
  </si>
  <si>
    <t xml:space="preserve">SUPERMERCADO E TRANSPORTES GAROTO LTDA  </t>
  </si>
  <si>
    <t xml:space="preserve">SM GAROTO</t>
  </si>
  <si>
    <t xml:space="preserve">EUGENIA ESCOBAR ROMERO</t>
  </si>
  <si>
    <t xml:space="preserve">COMERCIAL CONTAC</t>
  </si>
  <si>
    <t xml:space="preserve">MACHINSKI E MACIEL LTDA</t>
  </si>
  <si>
    <t xml:space="preserve">CONVENIENCIA SANTA LUZIA</t>
  </si>
  <si>
    <t xml:space="preserve">I DOS SANTOS LTDA</t>
  </si>
  <si>
    <t xml:space="preserve">CASA DE CARNE IZAIAS</t>
  </si>
  <si>
    <t xml:space="preserve">L C DA SILVA ALIMENTOS</t>
  </si>
  <si>
    <t xml:space="preserve">J F MARINHO E CIA LTDA</t>
  </si>
  <si>
    <t xml:space="preserve">MERCADO PONTO MIX</t>
  </si>
  <si>
    <t xml:space="preserve">PENASSO E CORREA LTDA</t>
  </si>
  <si>
    <t xml:space="preserve">CASA DO CRIADOR PROD VETERINARIOS LTDA  </t>
  </si>
  <si>
    <t xml:space="preserve">MARIA IRENE LIMA INOUE E CIA LTDA</t>
  </si>
  <si>
    <t xml:space="preserve">MINI MERCADO DO BOY</t>
  </si>
  <si>
    <t xml:space="preserve">MARIA F DOS SANTOS</t>
  </si>
  <si>
    <t xml:space="preserve">F A DO OLIVAL ME</t>
  </si>
  <si>
    <t xml:space="preserve">SUPERMERCADO REZENDE LTDA EPP</t>
  </si>
  <si>
    <t xml:space="preserve">SM REZENDE I</t>
  </si>
  <si>
    <t xml:space="preserve">S F SILVA</t>
  </si>
  <si>
    <t xml:space="preserve">SUPERMERCADO JOIA</t>
  </si>
  <si>
    <t xml:space="preserve">CHRIS CAFES LTDA</t>
  </si>
  <si>
    <t xml:space="preserve">CHRIS CAFE</t>
  </si>
  <si>
    <t xml:space="preserve">A S A COMERCIAL ALIMENTOS LTDA</t>
  </si>
  <si>
    <t xml:space="preserve">MER E ACOUGUE ARAPUA</t>
  </si>
  <si>
    <t xml:space="preserve">DROGA LUCIA MEDICAMENTOS LTDA</t>
  </si>
  <si>
    <t xml:space="preserve">DROGA LUCIA</t>
  </si>
  <si>
    <t xml:space="preserve">FRANCISCO ERONIDES DE LIMA</t>
  </si>
  <si>
    <t xml:space="preserve">GAEDICKE E CIA LTDA</t>
  </si>
  <si>
    <t xml:space="preserve">REDEMS GAEDICKE </t>
  </si>
  <si>
    <t xml:space="preserve">SUPERMERCADO GAUCHO</t>
  </si>
  <si>
    <t xml:space="preserve">VIVIANE BATISTA DA SILVA</t>
  </si>
  <si>
    <t xml:space="preserve">MERCADO MR</t>
  </si>
  <si>
    <t xml:space="preserve">SUMIKO ISHY</t>
  </si>
  <si>
    <t xml:space="preserve">MINI MERCADO ORIENTAL</t>
  </si>
  <si>
    <t xml:space="preserve">MINI MERCADO ALVORADA</t>
  </si>
  <si>
    <t xml:space="preserve">FARMACIA HIPERPOPULAR EIRELI-ME</t>
  </si>
  <si>
    <t xml:space="preserve">DROGAMAR HIPERPOPULAR</t>
  </si>
  <si>
    <t xml:space="preserve">JOSE CARLOS DA SILVA VIANA</t>
  </si>
  <si>
    <t xml:space="preserve">SM SOL NASCENTE</t>
  </si>
  <si>
    <t xml:space="preserve">CONVENIENCIA PANTANAL LTDA</t>
  </si>
  <si>
    <t xml:space="preserve">CONV PANTANAL</t>
  </si>
  <si>
    <t xml:space="preserve">HONDA E HONDA LTDA</t>
  </si>
  <si>
    <t xml:space="preserve">CONVERNIENCIA ADEGA</t>
  </si>
  <si>
    <t xml:space="preserve">LOPES E CORREA LTDA</t>
  </si>
  <si>
    <t xml:space="preserve">CONVENIENCIA BRILHANTE</t>
  </si>
  <si>
    <t xml:space="preserve">ALEXANDRE VILALBA DE MELLO</t>
  </si>
  <si>
    <t xml:space="preserve">CONV ROUXINOL</t>
  </si>
  <si>
    <t xml:space="preserve">PINHEIRO E TARGINO LTDA</t>
  </si>
  <si>
    <t xml:space="preserve">COZINHA TEMPERO E SABOR</t>
  </si>
  <si>
    <t xml:space="preserve">EDSON DA ROSA MOREIRA</t>
  </si>
  <si>
    <t xml:space="preserve">COMERCIAL MOREIRA</t>
  </si>
  <si>
    <t xml:space="preserve">A MARTINS NUNES E CIA LTDA ME</t>
  </si>
  <si>
    <t xml:space="preserve">SKINAO DO BARRIGA</t>
  </si>
  <si>
    <t xml:space="preserve">REAL SUPERMERCADO LTDA</t>
  </si>
  <si>
    <t xml:space="preserve">REAL SUPERMERCADO</t>
  </si>
  <si>
    <t xml:space="preserve">ROSALINA MARTINS DA SILVA</t>
  </si>
  <si>
    <t xml:space="preserve">MINI MERCADO 3 J</t>
  </si>
  <si>
    <t xml:space="preserve">C I TAKAGI</t>
  </si>
  <si>
    <t xml:space="preserve">PROSA PAES E CONV</t>
  </si>
  <si>
    <t xml:space="preserve">MORAES E GUEDES CONVENIENCIAS LTDA</t>
  </si>
  <si>
    <t xml:space="preserve">AUTO POSTO AVENIDA</t>
  </si>
  <si>
    <t xml:space="preserve">DURAN E OLIVEIRA LTDA</t>
  </si>
  <si>
    <t xml:space="preserve">MATUTO HORTIFRUTIGRANJEIRO LTDA</t>
  </si>
  <si>
    <t xml:space="preserve">CONVENIENCIA MATUTO</t>
  </si>
  <si>
    <t xml:space="preserve">ELAINE COLLE E CIA LTDA  ME</t>
  </si>
  <si>
    <t xml:space="preserve">MERCADO ESTRELA GUIA II</t>
  </si>
  <si>
    <t xml:space="preserve">PINATI E GOMES LTDA</t>
  </si>
  <si>
    <t xml:space="preserve">SM BIG BOX</t>
  </si>
  <si>
    <t xml:space="preserve">FMF SILVA LANCHONETE</t>
  </si>
  <si>
    <t xml:space="preserve">LANCHONETE LUZITANO</t>
  </si>
  <si>
    <t xml:space="preserve">F M F SILVA</t>
  </si>
  <si>
    <t xml:space="preserve">JULIANA MARIA LAURINDO</t>
  </si>
  <si>
    <t xml:space="preserve">FARMACIA STA MARIA</t>
  </si>
  <si>
    <t xml:space="preserve">FLAVIA MARTINES DOS REIS</t>
  </si>
  <si>
    <t xml:space="preserve">JERONIMO ANTONIO CORREA NETO</t>
  </si>
  <si>
    <t xml:space="preserve">CONV E CASA DE CARNE JM</t>
  </si>
  <si>
    <t xml:space="preserve">NEIDE ELIAS GARCIA</t>
  </si>
  <si>
    <t xml:space="preserve">CASA DE CARNE MERC SORRISO</t>
  </si>
  <si>
    <t xml:space="preserve">UCHOA E CIA LTDA</t>
  </si>
  <si>
    <t xml:space="preserve">SUPERMERCADO UCHOA</t>
  </si>
  <si>
    <t xml:space="preserve">I S PRATES</t>
  </si>
  <si>
    <t xml:space="preserve">SUPER 10</t>
  </si>
  <si>
    <t xml:space="preserve">FABRICIO LUIZ SALES</t>
  </si>
  <si>
    <t xml:space="preserve">ROSANA PEDROSO FAVARO OLIVEIRA</t>
  </si>
  <si>
    <t xml:space="preserve">M DIAS BRANCO IND E COM DE ALIMENTOS</t>
  </si>
  <si>
    <t xml:space="preserve">SAO CAETANO DO SUL</t>
  </si>
  <si>
    <t xml:space="preserve">M DIAS BRANCO</t>
  </si>
  <si>
    <t xml:space="preserve">LENCOIS PAULISTA</t>
  </si>
  <si>
    <t xml:space="preserve">IND ADRIA - ZABET</t>
  </si>
  <si>
    <t xml:space="preserve">M DIAS BRANCO S A INDUS E COM DE ALIMENT</t>
  </si>
  <si>
    <t xml:space="preserve">M.DIAS BRANCO S.A IND E COM ALIMENTOS</t>
  </si>
  <si>
    <t xml:space="preserve">JABOATAO DOS GUARARAPES</t>
  </si>
  <si>
    <t xml:space="preserve">CASTILHO E CASTILHO LTDA ME</t>
  </si>
  <si>
    <t xml:space="preserve">MARACA MOTOS</t>
  </si>
  <si>
    <t xml:space="preserve">L L DOS SANTOS ALIMENTOS ME</t>
  </si>
  <si>
    <t xml:space="preserve">SUPERMERCADO BOM PAI</t>
  </si>
  <si>
    <t xml:space="preserve">CASA DE CARNES SANTA MADALENA LTDA</t>
  </si>
  <si>
    <t xml:space="preserve">CASA DE CARNE E CONV STA</t>
  </si>
  <si>
    <t xml:space="preserve">LUANA DINIZ DE MOURA</t>
  </si>
  <si>
    <t xml:space="preserve">DOCES &amp; ALIMENTOS</t>
  </si>
  <si>
    <t xml:space="preserve">CLINICA VETERINARIA VETMANIA LTDA</t>
  </si>
  <si>
    <t xml:space="preserve">VETMANIA</t>
  </si>
  <si>
    <t xml:space="preserve">M M KATSUYAMA</t>
  </si>
  <si>
    <t xml:space="preserve">MERCADO STO ANTONIO</t>
  </si>
  <si>
    <t xml:space="preserve">RICARDO LEONEL DA COSTA</t>
  </si>
  <si>
    <t xml:space="preserve">MERCADO PONTO ECONOMICO</t>
  </si>
  <si>
    <t xml:space="preserve">HOTEL CONCORD EIRELI</t>
  </si>
  <si>
    <t xml:space="preserve">HOTEL CONCORD</t>
  </si>
  <si>
    <t xml:space="preserve">CLAUDINEI PESSOA</t>
  </si>
  <si>
    <t xml:space="preserve">CONFIANCA  CENTRO AUTOMOTIVO LTDA</t>
  </si>
  <si>
    <t xml:space="preserve">CARRA E MAFFEI LTDA</t>
  </si>
  <si>
    <t xml:space="preserve">REFRIGEL</t>
  </si>
  <si>
    <t xml:space="preserve">SUPERMERCADO IPACARAI LTDA ME</t>
  </si>
  <si>
    <t xml:space="preserve">SUPERMERCADO IPACARAI</t>
  </si>
  <si>
    <t xml:space="preserve">GRAZIELI SOARES</t>
  </si>
  <si>
    <t xml:space="preserve">L G R PRIETO EIRELI</t>
  </si>
  <si>
    <t xml:space="preserve">RONALD</t>
  </si>
  <si>
    <t xml:space="preserve">J A CHAVES RIBEIRO</t>
  </si>
  <si>
    <t xml:space="preserve">AQUARUI'S REST LANC PIRACEMA</t>
  </si>
  <si>
    <t xml:space="preserve">TUCA COMIDA CASEIRA LTDA</t>
  </si>
  <si>
    <t xml:space="preserve">TUCA COMIDA CASEIRA</t>
  </si>
  <si>
    <t xml:space="preserve">TEREZA GONCALVES RIBEIRO</t>
  </si>
  <si>
    <t xml:space="preserve">SERV - LAR CONVENIENCIA</t>
  </si>
  <si>
    <t xml:space="preserve">CLEDI MARIA HAAS ANTON</t>
  </si>
  <si>
    <t xml:space="preserve">PANIF GAUCHA</t>
  </si>
  <si>
    <t xml:space="preserve">YEDA MARIA GIMENES</t>
  </si>
  <si>
    <t xml:space="preserve">SUELI CONVENIENCIA</t>
  </si>
  <si>
    <t xml:space="preserve">CARLOS CACERES ME</t>
  </si>
  <si>
    <t xml:space="preserve">POUSADA AGUA DOCE</t>
  </si>
  <si>
    <t xml:space="preserve">MARIA GONCALVES DA SILVA MATOS</t>
  </si>
  <si>
    <t xml:space="preserve">PANIFICADORA BOA VISTA LTDA</t>
  </si>
  <si>
    <t xml:space="preserve">PANIF BOA VISTA</t>
  </si>
  <si>
    <t xml:space="preserve">MERCADO TRES IRMAOS</t>
  </si>
  <si>
    <t xml:space="preserve">NOELI ROLIM DE MOURA BRANCO</t>
  </si>
  <si>
    <t xml:space="preserve">PANIF MAX PAO</t>
  </si>
  <si>
    <t xml:space="preserve">REDEMS ROSSANA LORENZO</t>
  </si>
  <si>
    <t xml:space="preserve">MERCADO BARBOZA</t>
  </si>
  <si>
    <t xml:space="preserve">SUPERMERCADO BARBOZA</t>
  </si>
  <si>
    <t xml:space="preserve">ESQUIBEL E QUADRO LTDA</t>
  </si>
  <si>
    <t xml:space="preserve">BUONA PIZZA</t>
  </si>
  <si>
    <t xml:space="preserve">MARIANA APARECIDA T PROENCA</t>
  </si>
  <si>
    <t xml:space="preserve">PAIM MERCADO E CONVENIENCIA</t>
  </si>
  <si>
    <t xml:space="preserve">M J DE ANDRADE INOUYE</t>
  </si>
  <si>
    <t xml:space="preserve">ADRIANA PATRICIA MENEZES PRESTES ME</t>
  </si>
  <si>
    <t xml:space="preserve">ALO TCHE</t>
  </si>
  <si>
    <t xml:space="preserve">MERCADO CARISMA LTDA</t>
  </si>
  <si>
    <t xml:space="preserve">MERC CARISMA</t>
  </si>
  <si>
    <t xml:space="preserve">JOAO CARLOS BOTTAN</t>
  </si>
  <si>
    <t xml:space="preserve">LANC E REST LA CA</t>
  </si>
  <si>
    <t xml:space="preserve">LOJA DE CONVENIENCIAS GUAICURUS LTDA</t>
  </si>
  <si>
    <t xml:space="preserve">POSTO GUAICURUS</t>
  </si>
  <si>
    <t xml:space="preserve">CASA DE CARNES R  N  LTDA</t>
  </si>
  <si>
    <t xml:space="preserve">CASA DE CARNE R.N</t>
  </si>
  <si>
    <t xml:space="preserve">RICHARDSON MAGNO BRAGA</t>
  </si>
  <si>
    <t xml:space="preserve">COMERCIAL BARATEIRO</t>
  </si>
  <si>
    <t xml:space="preserve">M J DE ARAUJO</t>
  </si>
  <si>
    <t xml:space="preserve">CAMERCIAL PARANA</t>
  </si>
  <si>
    <t xml:space="preserve">LUIZ CARLOS TEIXEIRA</t>
  </si>
  <si>
    <t xml:space="preserve">CHURRASC E LANCH LINHAO</t>
  </si>
  <si>
    <t xml:space="preserve">PANIFICADORA DE LOSS LTDA</t>
  </si>
  <si>
    <t xml:space="preserve">PANIF DOIS IRMAOS</t>
  </si>
  <si>
    <t xml:space="preserve">PAULO ROGERIO MIRANDA</t>
  </si>
  <si>
    <t xml:space="preserve">GAS E CONVENIENCIA</t>
  </si>
  <si>
    <t xml:space="preserve">CLEIDE PAULA DE ASSUNCAO</t>
  </si>
  <si>
    <t xml:space="preserve">R C MANIA</t>
  </si>
  <si>
    <t xml:space="preserve">PRADO E COSTA LTDA</t>
  </si>
  <si>
    <t xml:space="preserve">COMERCIAL SAO BENTO</t>
  </si>
  <si>
    <t xml:space="preserve">AVENIDA MINI MERCADO LTDA</t>
  </si>
  <si>
    <t xml:space="preserve">AVENIDA MINI MERCADO</t>
  </si>
  <si>
    <t xml:space="preserve">AUREA LUIZA F DE REZENDE</t>
  </si>
  <si>
    <t xml:space="preserve">PARADA JATOPA</t>
  </si>
  <si>
    <t xml:space="preserve">CHURRASCARIA E LANCHONETE ROTASUL LTDA  </t>
  </si>
  <si>
    <t xml:space="preserve">RESTAURANTE LANCH CAVOL LTDA</t>
  </si>
  <si>
    <t xml:space="preserve">SANTOS E KERMAUNAR LTDA</t>
  </si>
  <si>
    <t xml:space="preserve">DROGA NOVA</t>
  </si>
  <si>
    <t xml:space="preserve">FARMACIA STO ANDRE LTDA ME</t>
  </si>
  <si>
    <t xml:space="preserve">FARMACIAA STO ANDRE</t>
  </si>
  <si>
    <t xml:space="preserve">SIQUEIRA E MORITA LTDA</t>
  </si>
  <si>
    <t xml:space="preserve">DROGARIA M F LTDA</t>
  </si>
  <si>
    <t xml:space="preserve">NOSTRA FARMA</t>
  </si>
  <si>
    <t xml:space="preserve">C  KRUGMANN JUNIOR MINIMERCADO</t>
  </si>
  <si>
    <t xml:space="preserve">MERCADO SENANO</t>
  </si>
  <si>
    <t xml:space="preserve">AGRIPINA FRETEZ</t>
  </si>
  <si>
    <t xml:space="preserve">COMERCIAL ALIMENTOS THOMAS E THOMAS LTDA</t>
  </si>
  <si>
    <t xml:space="preserve">CASA DE CARNDE S MARCOS II</t>
  </si>
  <si>
    <t xml:space="preserve">EDNAILDO MARCIO QUEIROZ LEAL</t>
  </si>
  <si>
    <t xml:space="preserve">BAR E MERCEARIA BERNAMBUCO</t>
  </si>
  <si>
    <t xml:space="preserve">SUPERMERCADO NSRA DE FATIMA LTDA</t>
  </si>
  <si>
    <t xml:space="preserve">REDE CHAMA - N S DE FATIMA</t>
  </si>
  <si>
    <t xml:space="preserve">SUPERMERCADO NOSSA SENHORA DE FATIMA LTD</t>
  </si>
  <si>
    <t xml:space="preserve">SUPERMERCADOCHAMA 02</t>
  </si>
  <si>
    <t xml:space="preserve">SUPER CHAMA</t>
  </si>
  <si>
    <t xml:space="preserve">SOUZA E QUEIROZ ALIMENTOS LTDA</t>
  </si>
  <si>
    <t xml:space="preserve">CENTRAL MAX SUPERMERCADO</t>
  </si>
  <si>
    <t xml:space="preserve"> AUTO POSTO PORTAL DE MIRANDA LTDA</t>
  </si>
  <si>
    <t xml:space="preserve">POSTO PANTANAL</t>
  </si>
  <si>
    <t xml:space="preserve">SANTANA E BRIZZANTE LTDA</t>
  </si>
  <si>
    <t xml:space="preserve">BAR E LANCHONETE RODOVUARIA</t>
  </si>
  <si>
    <t xml:space="preserve">LUCIMEIRE DIAS DA SILVA</t>
  </si>
  <si>
    <t xml:space="preserve">COMERCIAL PAJE</t>
  </si>
  <si>
    <t xml:space="preserve">SUPERMERCADO GONCALVES E D VEDOVE</t>
  </si>
  <si>
    <t xml:space="preserve">SUPERMERCADO BUCALLON</t>
  </si>
  <si>
    <t xml:space="preserve">JORGE MANOEL RODRIGUES</t>
  </si>
  <si>
    <t xml:space="preserve">ATOS CONVENIENCIA</t>
  </si>
  <si>
    <t xml:space="preserve">AIR R MATTOSO</t>
  </si>
  <si>
    <t xml:space="preserve">MERCADO STOHUM</t>
  </si>
  <si>
    <t xml:space="preserve">LOPES E OLIVEIRA PAES LTDA</t>
  </si>
  <si>
    <t xml:space="preserve">DASCA</t>
  </si>
  <si>
    <t xml:space="preserve">CRISTIANE CASSEL</t>
  </si>
  <si>
    <t xml:space="preserve">PANIF TRIGU S</t>
  </si>
  <si>
    <t xml:space="preserve">SIMONI APARECIDA FALAVIGNA BARBOSA</t>
  </si>
  <si>
    <t xml:space="preserve">ROSILENE GIMENE</t>
  </si>
  <si>
    <t xml:space="preserve">MERCAD PORTA DA CASCATINHA</t>
  </si>
  <si>
    <t xml:space="preserve">FIGUEIREDO E GUEDES FARMACIA LTDA</t>
  </si>
  <si>
    <t xml:space="preserve">DROGARIA SAO PEDRO</t>
  </si>
  <si>
    <t xml:space="preserve">HELCK LENGASSENE SERJOANI</t>
  </si>
  <si>
    <t xml:space="preserve">M A DE CASTRO MERCADO</t>
  </si>
  <si>
    <t xml:space="preserve">F DE OLIVEIRA SILVA</t>
  </si>
  <si>
    <t xml:space="preserve">DIEGO VILALVA AMORIM</t>
  </si>
  <si>
    <t xml:space="preserve">SM SALOMAO</t>
  </si>
  <si>
    <t xml:space="preserve">DROGAMAR MEDICAMENTOS LTDA</t>
  </si>
  <si>
    <t xml:space="preserve">DROGAMAR</t>
  </si>
  <si>
    <t xml:space="preserve">MASTER FESTA CONVENIENCIA LTDA</t>
  </si>
  <si>
    <t xml:space="preserve">MV MENDONCA DOS SANTOS ME</t>
  </si>
  <si>
    <t xml:space="preserve">VIA FARMA</t>
  </si>
  <si>
    <t xml:space="preserve">ANIVALDO AMORIM</t>
  </si>
  <si>
    <t xml:space="preserve">MERCADO SAO SEBASTIAO</t>
  </si>
  <si>
    <t xml:space="preserve">PAULO C R DA SILVA</t>
  </si>
  <si>
    <t xml:space="preserve">KI TEM</t>
  </si>
  <si>
    <t xml:space="preserve">COMERCIO DE EMBALAGENS 2S LTDA</t>
  </si>
  <si>
    <t xml:space="preserve">COM DE EMBALAGENS 2S</t>
  </si>
  <si>
    <t xml:space="preserve">JOEMIR J DA SILVA</t>
  </si>
  <si>
    <t xml:space="preserve">CIRLEI ROMERO DINIZ</t>
  </si>
  <si>
    <t xml:space="preserve">PANIF E CONV 15 DE NOVEN</t>
  </si>
  <si>
    <t xml:space="preserve">ABA COMERCIO DE ALIMENTOS LTDA</t>
  </si>
  <si>
    <t xml:space="preserve">CASCAVEL</t>
  </si>
  <si>
    <t xml:space="preserve">ABA</t>
  </si>
  <si>
    <t xml:space="preserve">CAMBE</t>
  </si>
  <si>
    <t xml:space="preserve">EDIVALDO PIRES</t>
  </si>
  <si>
    <t xml:space="preserve">MERCADO FRONTEIRA</t>
  </si>
  <si>
    <t xml:space="preserve">RUBENS ROGERIO ALVES DA ROCHA</t>
  </si>
  <si>
    <t xml:space="preserve">MERCADO BARRA BONITA</t>
  </si>
  <si>
    <t xml:space="preserve">R M RESTAURANTE LTDA</t>
  </si>
  <si>
    <t xml:space="preserve">LALAI</t>
  </si>
  <si>
    <t xml:space="preserve">SANTANA E MOYA LTDA</t>
  </si>
  <si>
    <t xml:space="preserve">MERCADINHO AGUA CORRENTE</t>
  </si>
  <si>
    <t xml:space="preserve">E J CERVELATI MERCEARIA</t>
  </si>
  <si>
    <t xml:space="preserve">2F COMERCIO E CONVENIENCIA LTDA</t>
  </si>
  <si>
    <t xml:space="preserve">PLASTISUL</t>
  </si>
  <si>
    <t xml:space="preserve">FABIANO COM VAREJ DE GAS DE COZINHA LTDA</t>
  </si>
  <si>
    <t xml:space="preserve">FABIANO GAS</t>
  </si>
  <si>
    <t xml:space="preserve">MERCEARIA N.S APARECIDA</t>
  </si>
  <si>
    <t xml:space="preserve">RODRIGO PUGLIA DE MEDEIROS</t>
  </si>
  <si>
    <t xml:space="preserve">F A MARQUES</t>
  </si>
  <si>
    <t xml:space="preserve">RODA VIVAS ATACADO E VAREJO</t>
  </si>
  <si>
    <t xml:space="preserve">V FERNANDES OLIVEIRA</t>
  </si>
  <si>
    <t xml:space="preserve">P M CALDAS</t>
  </si>
  <si>
    <t xml:space="preserve">CONVENIENCIA PRA?A</t>
  </si>
  <si>
    <t xml:space="preserve">PADARIA E CONFEITARIA DOCE PAO LTDA</t>
  </si>
  <si>
    <t xml:space="preserve">JAQUELINE GOMES DOS SANTOS</t>
  </si>
  <si>
    <t xml:space="preserve">MERCADO CENTERAL</t>
  </si>
  <si>
    <t xml:space="preserve">CASA DE CARNE E CONVEN. REALEZA LTDA</t>
  </si>
  <si>
    <t xml:space="preserve">CASA DE CARNE E CONV REALEZA</t>
  </si>
  <si>
    <t xml:space="preserve">LUIZ GONCALVES FILHO MERCEARIA</t>
  </si>
  <si>
    <t xml:space="preserve">V E M COM DE PRODUTOS VETERINARIOS LTDA </t>
  </si>
  <si>
    <t xml:space="preserve">PET SHOP CAOSULTORIO</t>
  </si>
  <si>
    <t xml:space="preserve">N M LIMA</t>
  </si>
  <si>
    <t xml:space="preserve">DELICIAS DA GULA</t>
  </si>
  <si>
    <t xml:space="preserve">DOUGLAS SCHMIDT DE AZAMBUJA</t>
  </si>
  <si>
    <t xml:space="preserve">CASA DE CARNE RIO BRILHANTE</t>
  </si>
  <si>
    <t xml:space="preserve">RESTAURANTE CHAPADAO LTDA</t>
  </si>
  <si>
    <t xml:space="preserve">RESTAURANTE CHAPADAO</t>
  </si>
  <si>
    <t xml:space="preserve">MICHEL LUIZ BECKER</t>
  </si>
  <si>
    <t xml:space="preserve">PADARIA E CONV PARANA</t>
  </si>
  <si>
    <t xml:space="preserve">OREZI GRANEMANN MAINARDES</t>
  </si>
  <si>
    <t xml:space="preserve">CHURRASCARIA E LANCHONETE DO EDI LTDA</t>
  </si>
  <si>
    <t xml:space="preserve">CHURRASCARIA CURIO</t>
  </si>
  <si>
    <t xml:space="preserve">SUPERMERCADO RIO BRANCO LTDA</t>
  </si>
  <si>
    <t xml:space="preserve">CESAR BARBOSA DE OLIVEIRA</t>
  </si>
  <si>
    <t xml:space="preserve">G D C EMBALAGENS LTDA</t>
  </si>
  <si>
    <t xml:space="preserve">MERCADO PAULO CESAR GOMES</t>
  </si>
  <si>
    <t xml:space="preserve">M V COMERCIO DE BEBIDAS LTDA</t>
  </si>
  <si>
    <t xml:space="preserve">JOSIMARA M SOUZA SILVA</t>
  </si>
  <si>
    <t xml:space="preserve">MERCADO E ACOUGUE JP</t>
  </si>
  <si>
    <t xml:space="preserve">ROSSETTO E SILVA LTDA</t>
  </si>
  <si>
    <t xml:space="preserve">PADARIA TRIGO</t>
  </si>
  <si>
    <t xml:space="preserve">W O ZARSKE BARBOSA</t>
  </si>
  <si>
    <t xml:space="preserve">REST 1000</t>
  </si>
  <si>
    <t xml:space="preserve">EDIVALDO LIMA DO NASCIMENTO</t>
  </si>
  <si>
    <t xml:space="preserve">MERCADO PASSA TEMPO</t>
  </si>
  <si>
    <t xml:space="preserve">MATILDE DE OLIVEIRA FERREIRA MERCADO ME </t>
  </si>
  <si>
    <t xml:space="preserve">MARIA APARECIDA COSTA</t>
  </si>
  <si>
    <t xml:space="preserve">MERCEARIA HOSANA</t>
  </si>
  <si>
    <t xml:space="preserve">URI RENAN PEREIRA NOVAIS</t>
  </si>
  <si>
    <t xml:space="preserve">G WIRTI MERCADO</t>
  </si>
  <si>
    <t xml:space="preserve">MERCADO E ACOUGUE CENTRAL</t>
  </si>
  <si>
    <t xml:space="preserve">W S SOALLEIRO ADMINISTRACAO HOTELEIRA</t>
  </si>
  <si>
    <t xml:space="preserve">OSHIRO E SHIMABUCO LTDA</t>
  </si>
  <si>
    <t xml:space="preserve">SOBARIA DA ELIANE</t>
  </si>
  <si>
    <t xml:space="preserve">FUTURA INSUMOS AGRICOLAS LTDA</t>
  </si>
  <si>
    <t xml:space="preserve">FUTURA AGRICOLA</t>
  </si>
  <si>
    <t xml:space="preserve">MARILZA FERNANDES DA SILVA</t>
  </si>
  <si>
    <t xml:space="preserve">SM PINDORAMA</t>
  </si>
  <si>
    <t xml:space="preserve">J PAM CONVENIENCIAS LTDA</t>
  </si>
  <si>
    <t xml:space="preserve">CONVENIENCIA POSTO LOCATELLI</t>
  </si>
  <si>
    <t xml:space="preserve">AM PM NOSSO POSTO</t>
  </si>
  <si>
    <t xml:space="preserve">PREFEITURA MUNICIPAL DE ABAIARA</t>
  </si>
  <si>
    <t xml:space="preserve">ABAIARA</t>
  </si>
  <si>
    <t xml:space="preserve">SUPERMERCADO TRES ESTRELAS LTDA</t>
  </si>
  <si>
    <t xml:space="preserve">SM NOVA ESTRELA LJ 03</t>
  </si>
  <si>
    <t xml:space="preserve">VITOR GOMES DIAS</t>
  </si>
  <si>
    <t xml:space="preserve">ALVES GARCIA E CIA LTDA</t>
  </si>
  <si>
    <t xml:space="preserve">ILZA NIEDACK CARVALHO</t>
  </si>
  <si>
    <t xml:space="preserve">BIG POINT PANIFICADORA</t>
  </si>
  <si>
    <t xml:space="preserve">NERCI DO NASCIMENTO RODRIGUES</t>
  </si>
  <si>
    <t xml:space="preserve">PONTOMIXX PANIFICADORA LTDA</t>
  </si>
  <si>
    <t xml:space="preserve">PONTOMIXX PANIF</t>
  </si>
  <si>
    <t xml:space="preserve">EVT DE ARAUJO</t>
  </si>
  <si>
    <t xml:space="preserve">MERCADO SORRISO ME</t>
  </si>
  <si>
    <t xml:space="preserve">SALETE GOMES PEREIRA THIEL ME</t>
  </si>
  <si>
    <t xml:space="preserve">R R BATISTA</t>
  </si>
  <si>
    <t xml:space="preserve">MERCADO PRATEADO</t>
  </si>
  <si>
    <t xml:space="preserve">KELLY DE MATOS MARIANO</t>
  </si>
  <si>
    <t xml:space="preserve">LUCILEIA APARECIDA DE MOURA COSTA ME</t>
  </si>
  <si>
    <t xml:space="preserve">CANCUN SHOW DRINKS</t>
  </si>
  <si>
    <t xml:space="preserve">CRS MATSUDA ALIMENTOS LTDA</t>
  </si>
  <si>
    <t xml:space="preserve">SUPERMERCADO MATYSUDA</t>
  </si>
  <si>
    <t xml:space="preserve">MERCADO MTSUDA ALIMENTOS LTDA</t>
  </si>
  <si>
    <t xml:space="preserve">ROSILDA CANDIDA DA SILVA</t>
  </si>
  <si>
    <t xml:space="preserve">MARIA INES GEJAO DOS SANTOS</t>
  </si>
  <si>
    <t xml:space="preserve">CANTINA CENTRAL</t>
  </si>
  <si>
    <t xml:space="preserve">CARLOS HENRIQUE MARTINS</t>
  </si>
  <si>
    <t xml:space="preserve">ANTONIO DA SILVA E CIA LTDA</t>
  </si>
  <si>
    <t xml:space="preserve">LOURDES DAL AGNOL FASSINA</t>
  </si>
  <si>
    <t xml:space="preserve">ACOUGUE E SUPER GAUCHO</t>
  </si>
  <si>
    <t xml:space="preserve">VILLAGE ADMINISTRADORA DE HOTEIS LTDA</t>
  </si>
  <si>
    <t xml:space="preserve">VILLAGE ADM HOTEIS</t>
  </si>
  <si>
    <t xml:space="preserve">EUGENIO ALCINO DA COSTA ME</t>
  </si>
  <si>
    <t xml:space="preserve">MINEIRINHO CALCADOS</t>
  </si>
  <si>
    <t xml:space="preserve">ANTONIO SOARES TEIXEIRA</t>
  </si>
  <si>
    <t xml:space="preserve">PANIF PAO DE QUEIJO</t>
  </si>
  <si>
    <t xml:space="preserve">GENNESIS RESTAURANTE LTDA</t>
  </si>
  <si>
    <t xml:space="preserve">SABORE REST</t>
  </si>
  <si>
    <t xml:space="preserve">JAIME JOSE DE SOUZA</t>
  </si>
  <si>
    <t xml:space="preserve">SUPERMERCADO PAGUE POKO LTDA EPP</t>
  </si>
  <si>
    <t xml:space="preserve">REDE RUSSO</t>
  </si>
  <si>
    <t xml:space="preserve">SUPERMERCADO RUSSO</t>
  </si>
  <si>
    <t xml:space="preserve">ANA ALVES DE JESUS</t>
  </si>
  <si>
    <t xml:space="preserve">MERC E MATER DE CONSTRUCAO</t>
  </si>
  <si>
    <t xml:space="preserve">IVONE PEREIRA COMERCIO</t>
  </si>
  <si>
    <t xml:space="preserve">MERCADO BELA VISTA</t>
  </si>
  <si>
    <t xml:space="preserve">MEGA VIDEO LOCADORA E CONVENIENCIA LTDA </t>
  </si>
  <si>
    <t xml:space="preserve">MEGA VIDEO</t>
  </si>
  <si>
    <t xml:space="preserve">HOTEL E CHURRASCARIA SOLEDADE LTDA</t>
  </si>
  <si>
    <t xml:space="preserve">HOTEL E CHURR SOLEDADE</t>
  </si>
  <si>
    <t xml:space="preserve">DROGARIA VIEIRA LTDA ME</t>
  </si>
  <si>
    <t xml:space="preserve">DROGARIA UNIAO</t>
  </si>
  <si>
    <t xml:space="preserve">M  C  C  S  CHUVE</t>
  </si>
  <si>
    <t xml:space="preserve">GABI LANCHES</t>
  </si>
  <si>
    <t xml:space="preserve">JOAN ALIMENTOS LTDA</t>
  </si>
  <si>
    <t xml:space="preserve">JOAN ALEMENTOS LTDA</t>
  </si>
  <si>
    <t xml:space="preserve">JULCEMARA GOMES DE OLIVEIRA</t>
  </si>
  <si>
    <t xml:space="preserve">COMERCIAL DE ALIMENTOS COMPRE MAIS LTDA </t>
  </si>
  <si>
    <t xml:space="preserve">SM COMPRE MAIS</t>
  </si>
  <si>
    <t xml:space="preserve">ELIAS ROSA NETO ME</t>
  </si>
  <si>
    <t xml:space="preserve">JRE CONVENIENCIA</t>
  </si>
  <si>
    <t xml:space="preserve">MERCADO E CONVENIENCIA BOA VISTA LTDA</t>
  </si>
  <si>
    <t xml:space="preserve">POSTALL TRANSP E ARMAZENAGEM LTDA</t>
  </si>
  <si>
    <t xml:space="preserve">POSTALL LOGISTICA</t>
  </si>
  <si>
    <t xml:space="preserve">MERCEARIA E PADARIA SAO COSME DAMIAO</t>
  </si>
  <si>
    <t xml:space="preserve">I FERREIRA SILVA MINIMERCADO</t>
  </si>
  <si>
    <t xml:space="preserve">MINIMERCADO SAO JOAO</t>
  </si>
  <si>
    <t xml:space="preserve">LUIS AUGUSTO DE ALMEIDA</t>
  </si>
  <si>
    <t xml:space="preserve">MERCADO TAQUARUSSU</t>
  </si>
  <si>
    <t xml:space="preserve">C A VIEIRA</t>
  </si>
  <si>
    <t xml:space="preserve">MERCADO NOVO</t>
  </si>
  <si>
    <t xml:space="preserve">MARCIA CRISTINA GRANIERO DE FARIA</t>
  </si>
  <si>
    <t xml:space="preserve">BAR LANCH DO ALEMAO E RODOV</t>
  </si>
  <si>
    <t xml:space="preserve">FELIX E CUSTODIO LTDA</t>
  </si>
  <si>
    <t xml:space="preserve">DOCE FESTA PRODUTOS ALIM LTDA ME</t>
  </si>
  <si>
    <t xml:space="preserve">DOCE FESTA</t>
  </si>
  <si>
    <t xml:space="preserve">ALMEIDA E DUARTE LTDA</t>
  </si>
  <si>
    <t xml:space="preserve">L M JARA MERCEARIA</t>
  </si>
  <si>
    <t xml:space="preserve">L H PAGNONCELLI</t>
  </si>
  <si>
    <t xml:space="preserve">PAGNONCELLI FESTA</t>
  </si>
  <si>
    <t xml:space="preserve">PANIFICADORA PALADAR LTDA</t>
  </si>
  <si>
    <t xml:space="preserve">PAIVA E INACIO LTDA</t>
  </si>
  <si>
    <t xml:space="preserve">SM PARANAIBA</t>
  </si>
  <si>
    <t xml:space="preserve">LEMES E LEMES</t>
  </si>
  <si>
    <t xml:space="preserve">CASA DE CARNE LEMES E CONVENIE</t>
  </si>
  <si>
    <t xml:space="preserve">PACHECO GARCIA E CIA LTDA</t>
  </si>
  <si>
    <t xml:space="preserve">PANIF DOM BOSCO</t>
  </si>
  <si>
    <t xml:space="preserve">MERCADO PEQUENO TALISMA</t>
  </si>
  <si>
    <t xml:space="preserve">ANA LUCIA RODRIGUES DOS SANTOS</t>
  </si>
  <si>
    <t xml:space="preserve">NIVALDO TEIXEIRA DA CRUZ</t>
  </si>
  <si>
    <t xml:space="preserve">CONV PINHAO</t>
  </si>
  <si>
    <t xml:space="preserve">FARMA REAL MEDICAMENTOS LTDA</t>
  </si>
  <si>
    <t xml:space="preserve">FARMA REAL</t>
  </si>
  <si>
    <t xml:space="preserve">MARIA EDNEIA XAVIER RODRIGUES</t>
  </si>
  <si>
    <t xml:space="preserve">CASA DE CARNE BISTECAO</t>
  </si>
  <si>
    <t xml:space="preserve">MILENE K  LOCATELLI</t>
  </si>
  <si>
    <t xml:space="preserve">SILVIA AYKO TURUTA KOMURO</t>
  </si>
  <si>
    <t xml:space="preserve">PANIF MULTI PAES</t>
  </si>
  <si>
    <t xml:space="preserve">SIMONE MESQUITA RODOVALHO ME</t>
  </si>
  <si>
    <t xml:space="preserve">CANTINA TIMEL AZUL</t>
  </si>
  <si>
    <t xml:space="preserve">RODRIGUES DE SOUZA E CIA LTDA</t>
  </si>
  <si>
    <t xml:space="preserve">PAULA E GARCIA LTDA</t>
  </si>
  <si>
    <t xml:space="preserve">GSME COM VAR DE MEDICAMENTOS LTDA</t>
  </si>
  <si>
    <t xml:space="preserve">DUTS MARKETING ESPORTIVO LTDA</t>
  </si>
  <si>
    <t xml:space="preserve">DUT S SOCCER LTDA</t>
  </si>
  <si>
    <t xml:space="preserve">NEUDIR LARA BRANDAO</t>
  </si>
  <si>
    <t xml:space="preserve">DROGARIA SAO JORGE LTDA</t>
  </si>
  <si>
    <t xml:space="preserve">DROGARIA SAO JORGE</t>
  </si>
  <si>
    <t xml:space="preserve">SM BARATIERI</t>
  </si>
  <si>
    <t xml:space="preserve">E A V FERREIRA MERCADO POPULAR</t>
  </si>
  <si>
    <t xml:space="preserve">SEBASTIAO EUSTACHIO DE CARVALHO</t>
  </si>
  <si>
    <t xml:space="preserve">MINIMERCADO PONTO BEM</t>
  </si>
  <si>
    <t xml:space="preserve">ESPINDOLA E SANTANA COMERCIO DE GLP LTDA</t>
  </si>
  <si>
    <t xml:space="preserve">ADRIANO GAS</t>
  </si>
  <si>
    <t xml:space="preserve">OSMAR ALVES DE SOUZA</t>
  </si>
  <si>
    <t xml:space="preserve">MAXI CENTER</t>
  </si>
  <si>
    <t xml:space="preserve">R D LANCHES LTDA</t>
  </si>
  <si>
    <t xml:space="preserve">MABRUK DISTRIBUIDORA LTDA</t>
  </si>
  <si>
    <t xml:space="preserve">REDE LEGAL</t>
  </si>
  <si>
    <t xml:space="preserve">LEGAL SUPERMERCADO</t>
  </si>
  <si>
    <t xml:space="preserve">GILMAR SABINO DA SILVA</t>
  </si>
  <si>
    <t xml:space="preserve">ROCHA CARRENHO E CIA LTDA</t>
  </si>
  <si>
    <t xml:space="preserve">DELLAS CONVENIENCIA</t>
  </si>
  <si>
    <t xml:space="preserve">ANEZIA RODRIGUES MACHADO</t>
  </si>
  <si>
    <t xml:space="preserve">I F DA SILVA JUNIOR</t>
  </si>
  <si>
    <t xml:space="preserve">A APARECIDA DOS SANTOS</t>
  </si>
  <si>
    <t xml:space="preserve">S L ZANDONADI E CIA LTDA</t>
  </si>
  <si>
    <t xml:space="preserve">HOTEL ITATIAIA</t>
  </si>
  <si>
    <t xml:space="preserve">LUIZ FERNANDO CORREA CORSINI</t>
  </si>
  <si>
    <t xml:space="preserve">ARMAZEM</t>
  </si>
  <si>
    <t xml:space="preserve">P MAX COMERCIO DE ALIMENTOS LTDA EPP</t>
  </si>
  <si>
    <t xml:space="preserve">P MAX</t>
  </si>
  <si>
    <t xml:space="preserve">CLAUDIO ALVES PRETE</t>
  </si>
  <si>
    <t xml:space="preserve">MINE MERCADO PRETE</t>
  </si>
  <si>
    <t xml:space="preserve">M  M  A  V  RIBEIRO</t>
  </si>
  <si>
    <t xml:space="preserve">GS E AS LTDA</t>
  </si>
  <si>
    <t xml:space="preserve">MERCADO CARIOCA II</t>
  </si>
  <si>
    <t xml:space="preserve">TALTASSE E VENTURINI LTDA</t>
  </si>
  <si>
    <t xml:space="preserve">CREP'S PARIS</t>
  </si>
  <si>
    <t xml:space="preserve">CONVENIENCIA MATO GROSSO LTDA EPP</t>
  </si>
  <si>
    <t xml:space="preserve">CONVENIENCIA MATO GROSSO</t>
  </si>
  <si>
    <t xml:space="preserve">GLEDSON VIEIRA MACEDO</t>
  </si>
  <si>
    <t xml:space="preserve">SUPERMERCADO CAPIXABA LTDA</t>
  </si>
  <si>
    <t xml:space="preserve">SUP CAPIXABA</t>
  </si>
  <si>
    <t xml:space="preserve">MARIA LUIZA NERVIS BERTAN</t>
  </si>
  <si>
    <t xml:space="preserve">SUPERMERCADO DONA MARIA</t>
  </si>
  <si>
    <t xml:space="preserve">ADMIR LOPEZ</t>
  </si>
  <si>
    <t xml:space="preserve">SOL CONVENIENCIA DISTR DE BEBIDAS</t>
  </si>
  <si>
    <t xml:space="preserve">CONVENIENCIA BAHIA LTDA</t>
  </si>
  <si>
    <t xml:space="preserve">FRANCISCO VERISSIMO DE CARVALHO</t>
  </si>
  <si>
    <t xml:space="preserve">VITRO CONVENIENCIA</t>
  </si>
  <si>
    <t xml:space="preserve">DILMA RIBEIRO GONCALVES</t>
  </si>
  <si>
    <t xml:space="preserve">+Q PAO PANIFICADORA</t>
  </si>
  <si>
    <t xml:space="preserve">PATRICIA NETTO BRAGA</t>
  </si>
  <si>
    <t xml:space="preserve">ALTA TEMPERATURA CONV</t>
  </si>
  <si>
    <t xml:space="preserve">ROMILTON ALVES DE SOUZA</t>
  </si>
  <si>
    <t xml:space="preserve">CHAP DOCES E CIA</t>
  </si>
  <si>
    <t xml:space="preserve">COSTA GAVILAN E CIA LTDA</t>
  </si>
  <si>
    <t xml:space="preserve">VAGNER SOARES DA ROCHA</t>
  </si>
  <si>
    <t xml:space="preserve">CANT HODTELING INTERNACIONAL</t>
  </si>
  <si>
    <t xml:space="preserve">MARCIO SALVATICO</t>
  </si>
  <si>
    <t xml:space="preserve">SUPERMERCADO SALVATTI</t>
  </si>
  <si>
    <t xml:space="preserve">FRANCISCA BORGES VIEIRA</t>
  </si>
  <si>
    <t xml:space="preserve">MARULA COMERCIO PROD ALIMENTICIOS LTDA  </t>
  </si>
  <si>
    <t xml:space="preserve">LALAI GASTRONOMIA</t>
  </si>
  <si>
    <t xml:space="preserve">RF DA SILVA ME</t>
  </si>
  <si>
    <t xml:space="preserve">NUTRI GENETICA AGROPECUARIA ME</t>
  </si>
  <si>
    <t xml:space="preserve">CLARYANA ANGELIM FONTOURA</t>
  </si>
  <si>
    <t xml:space="preserve">SM REAL ECONOMICO</t>
  </si>
  <si>
    <t xml:space="preserve">ELBA MIRIAM OLIVEIRA GOMES SANABRIA</t>
  </si>
  <si>
    <t xml:space="preserve">MERCEARIA SANABRIA</t>
  </si>
  <si>
    <t xml:space="preserve">VIRGULINO PINTO BARBOSA</t>
  </si>
  <si>
    <t xml:space="preserve">PADARIA E CONFEITARIA MODERNA</t>
  </si>
  <si>
    <t xml:space="preserve">EMPRESA BRASILEIRA DE BEBIDAS E ALIM S/A</t>
  </si>
  <si>
    <t xml:space="preserve">ARAGUARI</t>
  </si>
  <si>
    <t xml:space="preserve">EBBA - DA FRUTA</t>
  </si>
  <si>
    <t xml:space="preserve">ANTENOR GOTTARDI</t>
  </si>
  <si>
    <t xml:space="preserve">RESTAURANTE E PEIXARIA</t>
  </si>
  <si>
    <t xml:space="preserve">DAIANA FRANCISCA ZANOVELLO</t>
  </si>
  <si>
    <t xml:space="preserve">MAZOLA FEST CONV</t>
  </si>
  <si>
    <t xml:space="preserve">MARIELEN RITA TOLDO E CIA LTDA</t>
  </si>
  <si>
    <t xml:space="preserve">REST E CHUR TAQ</t>
  </si>
  <si>
    <t xml:space="preserve">SILVA E MARCHINI LTDA</t>
  </si>
  <si>
    <t xml:space="preserve">JESUS APARECIDO MORO</t>
  </si>
  <si>
    <t xml:space="preserve">MINI MERCADO STA RITA</t>
  </si>
  <si>
    <t xml:space="preserve">COMERCIO DE ALIM SIQUEIRA E SANTOS LTDA </t>
  </si>
  <si>
    <t xml:space="preserve">REDEMS SIQUEIRA </t>
  </si>
  <si>
    <t xml:space="preserve">MERCADO CARIOCA</t>
  </si>
  <si>
    <t xml:space="preserve">LILIAN CRISTINA MONTANHINI</t>
  </si>
  <si>
    <t xml:space="preserve">MERCEARIA DA MONTANHA</t>
  </si>
  <si>
    <t xml:space="preserve">JAIR MARQUES BARBOZA</t>
  </si>
  <si>
    <t xml:space="preserve">CONV SERV JA</t>
  </si>
  <si>
    <t xml:space="preserve">ELZA BARAGAO LEITE</t>
  </si>
  <si>
    <t xml:space="preserve">KELLY CRISTIANE S CARVALHO COSMETICOS</t>
  </si>
  <si>
    <t xml:space="preserve">LUNA COSMETICOS</t>
  </si>
  <si>
    <t xml:space="preserve">A P RODRIGUES DA SILVA LANCHONETE</t>
  </si>
  <si>
    <t xml:space="preserve">PIZZARIA TRADICAO</t>
  </si>
  <si>
    <t xml:space="preserve">KEILA MEIRA NOGUEIRA</t>
  </si>
  <si>
    <t xml:space="preserve">PADARIA SANTA TEREZINHA</t>
  </si>
  <si>
    <t xml:space="preserve">CLAUDINEI PIRES</t>
  </si>
  <si>
    <t xml:space="preserve">CELEIRO CASA DE RACAO E AGRO</t>
  </si>
  <si>
    <t xml:space="preserve">COMERCIAL POTIGUAR LTDA</t>
  </si>
  <si>
    <t xml:space="preserve">PAF UTILIDADES E PRESENTES LTDA</t>
  </si>
  <si>
    <t xml:space="preserve">PLANETA</t>
  </si>
  <si>
    <t xml:space="preserve">GIGA</t>
  </si>
  <si>
    <t xml:space="preserve">PAF UTILIDADES E PRESENTES LTDA EPP</t>
  </si>
  <si>
    <t xml:space="preserve">LOJAS GIGA</t>
  </si>
  <si>
    <t xml:space="preserve">DROGARIA GARCIA E QUEIROZ LTDA</t>
  </si>
  <si>
    <t xml:space="preserve">LIDER DOIS</t>
  </si>
  <si>
    <t xml:space="preserve">DELICIAS DO PEIXE RESTAURANTE LTDA</t>
  </si>
  <si>
    <t xml:space="preserve">DELICIAS DO PEIXE</t>
  </si>
  <si>
    <t xml:space="preserve">SIELLI COMERCIO DE ALIMENTOS LTDA</t>
  </si>
  <si>
    <t xml:space="preserve">ATACADO SIELLI</t>
  </si>
  <si>
    <t xml:space="preserve">MERCADO MASCOLI LTDA</t>
  </si>
  <si>
    <t xml:space="preserve">MERCADO MASCOLI</t>
  </si>
  <si>
    <t xml:space="preserve">FRANCISCO COURA FILHO</t>
  </si>
  <si>
    <t xml:space="preserve">MERCADO RM LTDA</t>
  </si>
  <si>
    <t xml:space="preserve">RODRIGUES E XAVIER LTDA</t>
  </si>
  <si>
    <t xml:space="preserve">SUPERMERCADO MARIA</t>
  </si>
  <si>
    <t xml:space="preserve">SILVERIO E TOLEDO LTDA</t>
  </si>
  <si>
    <t xml:space="preserve"> LA TORRONE</t>
  </si>
  <si>
    <t xml:space="preserve">CICERA NARCISA DA SILVA</t>
  </si>
  <si>
    <t xml:space="preserve">CONVENIENCIA MARIO COVAS</t>
  </si>
  <si>
    <t xml:space="preserve">BORTOTI E LUCIETTO LTDA</t>
  </si>
  <si>
    <t xml:space="preserve">CHURRASCARIA TIO SAM</t>
  </si>
  <si>
    <t xml:space="preserve">ASG SUPERMERCADO LTDA</t>
  </si>
  <si>
    <t xml:space="preserve">MEDINA E RIQUELME LTDA</t>
  </si>
  <si>
    <t xml:space="preserve">PORTO PANIFICADORA E CONVENIEN</t>
  </si>
  <si>
    <t xml:space="preserve">YOKORO E KAMITANI LTDA</t>
  </si>
  <si>
    <t xml:space="preserve">CASA ORIENTAL</t>
  </si>
  <si>
    <t xml:space="preserve">WELLINGTON GONCALVES RODRIGUES</t>
  </si>
  <si>
    <t xml:space="preserve">AUTO POSTO E SERVICOS RIBAS LTDA</t>
  </si>
  <si>
    <t xml:space="preserve">AUTO POSTO RIBAS</t>
  </si>
  <si>
    <t xml:space="preserve">MERCADO BRUNEI EIRELI</t>
  </si>
  <si>
    <t xml:space="preserve">MERCADO BRUNEI</t>
  </si>
  <si>
    <t xml:space="preserve">JOSE RICARDO FALCAO</t>
  </si>
  <si>
    <t xml:space="preserve">CEREALISTA FALCAO</t>
  </si>
  <si>
    <t xml:space="preserve">RONNY BENITES</t>
  </si>
  <si>
    <t xml:space="preserve">FRUTARIA DO POVO</t>
  </si>
  <si>
    <t xml:space="preserve">ALINE PIRES DOMINGUES</t>
  </si>
  <si>
    <t xml:space="preserve">FARMACIA FLOR DE LIZ</t>
  </si>
  <si>
    <t xml:space="preserve">GALPAO COMERCIO E SERVICOS LTDA</t>
  </si>
  <si>
    <t xml:space="preserve">GALPAO COMERCIO E SERVICOS LTD</t>
  </si>
  <si>
    <t xml:space="preserve">COMERCIAL FHS DE GENEROS ALIMENT LTDA</t>
  </si>
  <si>
    <t xml:space="preserve">MERCADINHO GALIAO</t>
  </si>
  <si>
    <t xml:space="preserve">FELLER COMERCIO DE ALIMENTOS LTDA</t>
  </si>
  <si>
    <t xml:space="preserve">C M DO PRADO</t>
  </si>
  <si>
    <t xml:space="preserve">CASA BRASIL</t>
  </si>
  <si>
    <t xml:space="preserve">ELISABETH A D DA SILVA</t>
  </si>
  <si>
    <t xml:space="preserve">OLIVEIRA E ARRUDA LTDA  ME</t>
  </si>
  <si>
    <t xml:space="preserve">PAPELARIA PAPEL E CIA</t>
  </si>
  <si>
    <t xml:space="preserve">FERNANDA DE ALMEIDA CACAO</t>
  </si>
  <si>
    <t xml:space="preserve">LANCHONETE REST.CHIPA DE ROCHE</t>
  </si>
  <si>
    <t xml:space="preserve">ANATIDE GOMES MOTA</t>
  </si>
  <si>
    <t xml:space="preserve">RESTAURANTE COZINHA DA TIDE</t>
  </si>
  <si>
    <t xml:space="preserve">DM MEDINA</t>
  </si>
  <si>
    <t xml:space="preserve">CORREA MERC E COM VAREJISTA DE GAS LTDA </t>
  </si>
  <si>
    <t xml:space="preserve">CORREA MERCADO E COMERCIO</t>
  </si>
  <si>
    <t xml:space="preserve">C  F  DA SILVA</t>
  </si>
  <si>
    <t xml:space="preserve">SM ALFA</t>
  </si>
  <si>
    <t xml:space="preserve">EMPORIO PANTANEIRO CONVENIENCIA LTDA</t>
  </si>
  <si>
    <t xml:space="preserve">EMPORIO PANTANEIRO</t>
  </si>
  <si>
    <t xml:space="preserve">MARIANO E SILVA LTDA</t>
  </si>
  <si>
    <t xml:space="preserve">LIMA E MELLO LTDA</t>
  </si>
  <si>
    <t xml:space="preserve">RISALVA SOARES DE LACERDA</t>
  </si>
  <si>
    <t xml:space="preserve">MARCHI E CORREIA LTDA</t>
  </si>
  <si>
    <t xml:space="preserve">ZUMIOTI E ZUMIOTI LTDA</t>
  </si>
  <si>
    <t xml:space="preserve">PRISCILA DOS SANTOS NIQUITO DE SIQUEIRA </t>
  </si>
  <si>
    <t xml:space="preserve">CONV MANANCIAL</t>
  </si>
  <si>
    <t xml:space="preserve">BATISTA E SILVA LTDA</t>
  </si>
  <si>
    <t xml:space="preserve">MERCADO POTIGUAR</t>
  </si>
  <si>
    <t xml:space="preserve">EDUARDO DOS SANTOS SOARES</t>
  </si>
  <si>
    <t xml:space="preserve">CONVENIENCIA AMAZONAS</t>
  </si>
  <si>
    <t xml:space="preserve">SANTANA TINTAS LTDA</t>
  </si>
  <si>
    <t xml:space="preserve">SUPERMERCADO DONA JANDYRA</t>
  </si>
  <si>
    <t xml:space="preserve">FERREIRA E COELHO LTDA</t>
  </si>
  <si>
    <t xml:space="preserve">MERCADO SAO ROQUE</t>
  </si>
  <si>
    <t xml:space="preserve">LUZIA DE LURDES BISPO ME</t>
  </si>
  <si>
    <t xml:space="preserve">VALDOMIRO DA SILVA FURTUOSO</t>
  </si>
  <si>
    <t xml:space="preserve">SERV JA CONVENIENCIA</t>
  </si>
  <si>
    <t xml:space="preserve">DELTA LOGISTICA REPRES E COMERCIO LTDA  </t>
  </si>
  <si>
    <t xml:space="preserve">DELTA LOGISTICA</t>
  </si>
  <si>
    <t xml:space="preserve">PIRES E CIA LTDA</t>
  </si>
  <si>
    <t xml:space="preserve">PIRES E CIA CD</t>
  </si>
  <si>
    <t xml:space="preserve">IDEAL COMERCIO DE ALIMENTOS LTDA</t>
  </si>
  <si>
    <t xml:space="preserve">I M ADARIO</t>
  </si>
  <si>
    <t xml:space="preserve">SILVA E SILVA COM E REPRESENTACOES LTDA </t>
  </si>
  <si>
    <t xml:space="preserve">SUPERMERCADO PONTO CERTO</t>
  </si>
  <si>
    <t xml:space="preserve">DIPALMA COM DIST LOGIST PROD ALIM LTDA  </t>
  </si>
  <si>
    <t xml:space="preserve">DIPALMA</t>
  </si>
  <si>
    <t xml:space="preserve">MARLI APARECIDA DE ALENCAR</t>
  </si>
  <si>
    <t xml:space="preserve">CONVENIENCIA SALVADOR LTDA</t>
  </si>
  <si>
    <t xml:space="preserve">BARBOSA E COSTA</t>
  </si>
  <si>
    <t xml:space="preserve">IND  DE ALIM  RECANTO DOIS IRMAOS LTDA  </t>
  </si>
  <si>
    <t xml:space="preserve">PEQUE E PAGUE 2 IRMAOS</t>
  </si>
  <si>
    <t xml:space="preserve">CONTINENTAL COM PROD ALIMENTICIOS LTDA  </t>
  </si>
  <si>
    <t xml:space="preserve">MERCEARIA CONTINENTAL</t>
  </si>
  <si>
    <t xml:space="preserve">CHURRASCARIA E CONVENIENCIA GABRIELLY</t>
  </si>
  <si>
    <t xml:space="preserve">CHURRASCARIA LANCHONETE E LOJA</t>
  </si>
  <si>
    <t xml:space="preserve">COSMO APARECIDO DUTRA ME</t>
  </si>
  <si>
    <t xml:space="preserve">MERCADO CVK</t>
  </si>
  <si>
    <t xml:space="preserve">TAYNARA MONTEIRO DE OLIVEIRA</t>
  </si>
  <si>
    <t xml:space="preserve">MERCADO TAITHY</t>
  </si>
  <si>
    <t xml:space="preserve">L  C  M  A  LITO</t>
  </si>
  <si>
    <t xml:space="preserve">RESTAURANTE BAR RODEIO PANTANA</t>
  </si>
  <si>
    <t xml:space="preserve">MERCADO D E V LTDA</t>
  </si>
  <si>
    <t xml:space="preserve">MERCADO QUEIROZ U</t>
  </si>
  <si>
    <t xml:space="preserve">MORINIGO E MORINIGO LTDA</t>
  </si>
  <si>
    <t xml:space="preserve">C-45 EBS SUPERMERCADO LTDA</t>
  </si>
  <si>
    <t xml:space="preserve">SM COMPER-LJ045</t>
  </si>
  <si>
    <t xml:space="preserve">EBS SUPERMERCADOS LTDA-055</t>
  </si>
  <si>
    <t xml:space="preserve">SM COMPER-LJ055</t>
  </si>
  <si>
    <t xml:space="preserve">C-060 EBS SUPERMERCADO LTDA</t>
  </si>
  <si>
    <t xml:space="preserve">SM COMPER-LJ060</t>
  </si>
  <si>
    <t xml:space="preserve">C-064 EBS SUPERMERCADO LTDA</t>
  </si>
  <si>
    <t xml:space="preserve">SM COMPER-LJ064</t>
  </si>
  <si>
    <t xml:space="preserve">EBS SUPERMERCADOS LTDA-032</t>
  </si>
  <si>
    <t xml:space="preserve">SM COMPER-LJ032</t>
  </si>
  <si>
    <t xml:space="preserve">EBS SUPERMERCADOS LTDA-031</t>
  </si>
  <si>
    <t xml:space="preserve">SM COMPER-LJ031</t>
  </si>
  <si>
    <t xml:space="preserve">C-030 EBS SUPERMERCADO LTDA</t>
  </si>
  <si>
    <t xml:space="preserve">SM COMPER-LJ030</t>
  </si>
  <si>
    <t xml:space="preserve">C-034 EBS SUPERMERCADO LTDA</t>
  </si>
  <si>
    <t xml:space="preserve">SM COMPER-LJ034</t>
  </si>
  <si>
    <t xml:space="preserve">J Z COM  DE PRODUTOS ALIMENTICIOS LTDA  </t>
  </si>
  <si>
    <t xml:space="preserve">FRUTARIA DO ZE</t>
  </si>
  <si>
    <t xml:space="preserve">BEATRIZ B MARINHO SO CARNES</t>
  </si>
  <si>
    <t xml:space="preserve">SO CARNES</t>
  </si>
  <si>
    <t xml:space="preserve">BEATRIZ B MARINHO</t>
  </si>
  <si>
    <t xml:space="preserve">CASA DE CARNE E CONV SO CARNES</t>
  </si>
  <si>
    <t xml:space="preserve">AGOSTINHO DE AGUIAR BORBA E CIA LTDA</t>
  </si>
  <si>
    <t xml:space="preserve">AGOSTINHO DE A. BORBA E CIA LTDA</t>
  </si>
  <si>
    <t xml:space="preserve">HOTEL UNIAO</t>
  </si>
  <si>
    <t xml:space="preserve">2P E CIA LTDA</t>
  </si>
  <si>
    <t xml:space="preserve">PEIXARIA E MERCADO RIO MIRANDA</t>
  </si>
  <si>
    <t xml:space="preserve">COMERCIAL JR LTDA</t>
  </si>
  <si>
    <t xml:space="preserve">COMERCIAL JR</t>
  </si>
  <si>
    <t xml:space="preserve">REGES E CIA LTDA</t>
  </si>
  <si>
    <t xml:space="preserve">EDIMILSO MACEDO MENDES</t>
  </si>
  <si>
    <t xml:space="preserve">SUPERMERCADO MENDES</t>
  </si>
  <si>
    <t xml:space="preserve">CLEIDEMIR LINO PEREIRA</t>
  </si>
  <si>
    <t xml:space="preserve">J3M SILVA PANIFICADORA LTDA</t>
  </si>
  <si>
    <t xml:space="preserve">PANIFICADORA E CONV PAO CAIP.</t>
  </si>
  <si>
    <t xml:space="preserve">SUPERMERCADO ARIES LTDA ME</t>
  </si>
  <si>
    <t xml:space="preserve">MERCADO ARIES</t>
  </si>
  <si>
    <t xml:space="preserve">SUPERMERCADO ARIES LTDA -ME</t>
  </si>
  <si>
    <t xml:space="preserve">SUPERMERCADO ARIES II</t>
  </si>
  <si>
    <t xml:space="preserve">JV COMERCIO VAREJISTA LTDA</t>
  </si>
  <si>
    <t xml:space="preserve">MINI MERCADO JU</t>
  </si>
  <si>
    <t xml:space="preserve">SOARES E RESENDE LTDA</t>
  </si>
  <si>
    <t xml:space="preserve">PANIF.E MERC ESTRELA</t>
  </si>
  <si>
    <t xml:space="preserve">DELTA COMERCIO DE MEDICAMENTOS LTDA</t>
  </si>
  <si>
    <t xml:space="preserve">DELTA MEDICAMENTO</t>
  </si>
  <si>
    <t xml:space="preserve">POSTO DE SERVICOS MUTUM LTDA</t>
  </si>
  <si>
    <t xml:space="preserve">REST</t>
  </si>
  <si>
    <t xml:space="preserve">EUZA DE SOUZA COSTA</t>
  </si>
  <si>
    <t xml:space="preserve">PANIF YAMAGUTI</t>
  </si>
  <si>
    <t xml:space="preserve">CARLOS ROBERTO DOS SANTOS</t>
  </si>
  <si>
    <t xml:space="preserve">MINI MERCEARIA CENTRO OESTE</t>
  </si>
  <si>
    <t xml:space="preserve">MERCEARIA D L</t>
  </si>
  <si>
    <t xml:space="preserve">MERCADO SUPER SIMPLES LTDA</t>
  </si>
  <si>
    <t xml:space="preserve">FRUTARAI E CONC FRUTAL</t>
  </si>
  <si>
    <t xml:space="preserve">ROSA ANTONIA GARCIA CABRAL DE OLIVEIRA  </t>
  </si>
  <si>
    <t xml:space="preserve">LOJA EL CHADAI</t>
  </si>
  <si>
    <t xml:space="preserve">LAINE MARA OLIVEIRA COELHO PIVA</t>
  </si>
  <si>
    <t xml:space="preserve">EDILSON JUNIOR CACCIA</t>
  </si>
  <si>
    <t xml:space="preserve">MERCADO PANORAMICO</t>
  </si>
  <si>
    <t xml:space="preserve">PEDRO ROCHA BARBOSA ME</t>
  </si>
  <si>
    <t xml:space="preserve">CAMILA NANTES SILVEIRA</t>
  </si>
  <si>
    <t xml:space="preserve">NATES BUFFET</t>
  </si>
  <si>
    <t xml:space="preserve">MERCADO ECONOMICO LTDA</t>
  </si>
  <si>
    <t xml:space="preserve">MERC ECONOMICO</t>
  </si>
  <si>
    <t xml:space="preserve">ANDERSON YAMASHITA RIBEIRO SOUTO</t>
  </si>
  <si>
    <t xml:space="preserve">SAO MATHEUS MERCADO</t>
  </si>
  <si>
    <t xml:space="preserve">JOVENTINA DO CARMO DIAS</t>
  </si>
  <si>
    <t xml:space="preserve">MERCEARIA JOVENTINA</t>
  </si>
  <si>
    <t xml:space="preserve">DJALMA PEREIRA DA SILVA</t>
  </si>
  <si>
    <t xml:space="preserve">PANIF AVENIDA</t>
  </si>
  <si>
    <t xml:space="preserve">MERCADO CARAJAS</t>
  </si>
  <si>
    <t xml:space="preserve">LUNELLI E LUNELLI LTDA</t>
  </si>
  <si>
    <t xml:space="preserve">POSTO PEGORARO</t>
  </si>
  <si>
    <t xml:space="preserve">PANIF PAO DIVINO</t>
  </si>
  <si>
    <t xml:space="preserve">AERONILDES NAPOLITANO ME</t>
  </si>
  <si>
    <t xml:space="preserve">MERCADO NAPOLITANO</t>
  </si>
  <si>
    <t xml:space="preserve">JOSE ALVES RODRIGUES NAPOLITANO</t>
  </si>
  <si>
    <t xml:space="preserve">CONV NAPOLITANO</t>
  </si>
  <si>
    <t xml:space="preserve">VALDECI SMANIOTTO</t>
  </si>
  <si>
    <t xml:space="preserve">PANIF SMANIOTTO</t>
  </si>
  <si>
    <t xml:space="preserve">EDILBERTO RODRIGUES PEREIRA</t>
  </si>
  <si>
    <t xml:space="preserve">WOIPE CASA DE CARNE E CONVENI</t>
  </si>
  <si>
    <t xml:space="preserve">VALMIR LOSEKAN</t>
  </si>
  <si>
    <t xml:space="preserve">F E W COMERCIO DE MEDICAMENTOS LTDA</t>
  </si>
  <si>
    <t xml:space="preserve">DROGARIA FREIRE</t>
  </si>
  <si>
    <t xml:space="preserve">MIX CLEAN PRODUTOS DE LIMPEZA LTDA-EPP  </t>
  </si>
  <si>
    <t xml:space="preserve">MIX CLEAN</t>
  </si>
  <si>
    <t xml:space="preserve">J R CAMPOS</t>
  </si>
  <si>
    <t xml:space="preserve">MERCADO E ACOUGUE REAL</t>
  </si>
  <si>
    <t xml:space="preserve">HAAR ESTETICA LTDA</t>
  </si>
  <si>
    <t xml:space="preserve">HAAR</t>
  </si>
  <si>
    <t xml:space="preserve">PANCOTI LTDA</t>
  </si>
  <si>
    <t xml:space="preserve">PANIF E CONV DUAS IRMAS</t>
  </si>
  <si>
    <t xml:space="preserve">ANA OLIMPIA GOMES</t>
  </si>
  <si>
    <t xml:space="preserve">CHURRASCARIA ESPETO DE OURO</t>
  </si>
  <si>
    <t xml:space="preserve">ATAILA GRACIELE VALERIANO DA PAZ</t>
  </si>
  <si>
    <t xml:space="preserve">VILMAR CAMPOS DOS ANJOS ME</t>
  </si>
  <si>
    <t xml:space="preserve">NAZARE DO CARMO SILVA MINIMERCADO</t>
  </si>
  <si>
    <t xml:space="preserve">LJBS COM MAQUINAS E FERRAMENTAS LTDA</t>
  </si>
  <si>
    <t xml:space="preserve">MERCEARIA AYMORE II</t>
  </si>
  <si>
    <t xml:space="preserve">A A BEZERRA</t>
  </si>
  <si>
    <t xml:space="preserve">CONV MAIS VOCE</t>
  </si>
  <si>
    <t xml:space="preserve">VL COMERCIO E REPRESENTACOES LTDA ME</t>
  </si>
  <si>
    <t xml:space="preserve">VANDERSON REPRESENTACOES</t>
  </si>
  <si>
    <t xml:space="preserve">MARILENE PEREIRA GAMA</t>
  </si>
  <si>
    <t xml:space="preserve">PANIFICADORA ACOUGUE PALADAR</t>
  </si>
  <si>
    <t xml:space="preserve">MEYRE DE OLIVEIRA L  BARBOSA</t>
  </si>
  <si>
    <t xml:space="preserve">MERCADO WALUMAR LTDA</t>
  </si>
  <si>
    <t xml:space="preserve">JOAO HENRIQUE TEODORO BENTO</t>
  </si>
  <si>
    <t xml:space="preserve">FARMAVIDA</t>
  </si>
  <si>
    <t xml:space="preserve">J E E SUPERMERCADO FAVORITO LTDA</t>
  </si>
  <si>
    <t xml:space="preserve">SUPERMERCADO FAVORITO</t>
  </si>
  <si>
    <t xml:space="preserve">JOAO ANTUNES CHALEGA</t>
  </si>
  <si>
    <t xml:space="preserve">COMERCIAL BOM BIFE</t>
  </si>
  <si>
    <t xml:space="preserve">BRASFER COM MANGUEIRAS E SERVICOS LTDA  </t>
  </si>
  <si>
    <t xml:space="preserve">BRASFER</t>
  </si>
  <si>
    <t xml:space="preserve">EDUARDO VILHALVA</t>
  </si>
  <si>
    <t xml:space="preserve">COMERCIAL MARIANO</t>
  </si>
  <si>
    <t xml:space="preserve">E C GOES DOS SANTOS</t>
  </si>
  <si>
    <t xml:space="preserve">CASA DE CARNE E CONVENIENCIA</t>
  </si>
  <si>
    <t xml:space="preserve">ARCE DE OLIVEIRA SOUZA E SOUZA LTDA</t>
  </si>
  <si>
    <t xml:space="preserve">JUMA ROCA RESTAURANTES LTDA</t>
  </si>
  <si>
    <t xml:space="preserve">JUMA ROCA RESTAURANTES</t>
  </si>
  <si>
    <t xml:space="preserve">DANIELA DALLA MARTHA PAES</t>
  </si>
  <si>
    <t xml:space="preserve">LEONEL XIMENES</t>
  </si>
  <si>
    <t xml:space="preserve">FRUTARIA JULIANE</t>
  </si>
  <si>
    <t xml:space="preserve">EMILIA GRACIELA LEMES ARANDA</t>
  </si>
  <si>
    <t xml:space="preserve">BIG ATACADO COM PROD ALIMENTICIOS LTDA  </t>
  </si>
  <si>
    <t xml:space="preserve">BIG ATACADO BANDEIRANTES</t>
  </si>
  <si>
    <t xml:space="preserve">MERCADO RAMARI 21 LTDA</t>
  </si>
  <si>
    <t xml:space="preserve">MERCADO RAMARI 21</t>
  </si>
  <si>
    <t xml:space="preserve">A P DE SOUZA ALIMENTOS</t>
  </si>
  <si>
    <t xml:space="preserve">JULIANA DE MEDEIROS</t>
  </si>
  <si>
    <t xml:space="preserve">OLIVEIRA E CASTRO LTDA</t>
  </si>
  <si>
    <t xml:space="preserve">SUPERMERCADO J A</t>
  </si>
  <si>
    <t xml:space="preserve">SANDRA GOMES MELGAR</t>
  </si>
  <si>
    <t xml:space="preserve">SALTENHA DO NANINHO</t>
  </si>
  <si>
    <t xml:space="preserve">LAURO CESAR DE QUEIROZ CARDOSO</t>
  </si>
  <si>
    <t xml:space="preserve">MERCADO E ACOUGUE SOTER</t>
  </si>
  <si>
    <t xml:space="preserve">DUAILIBI COMERCIO DE MEDICAMENTOS LTDA  </t>
  </si>
  <si>
    <t xml:space="preserve">DROGARIA YOKOAHAMA</t>
  </si>
  <si>
    <t xml:space="preserve">J A B GOMES LTDA</t>
  </si>
  <si>
    <t xml:space="preserve">MAIS COPIAS</t>
  </si>
  <si>
    <t xml:space="preserve">SUPERMERCADO AVANT LTDA</t>
  </si>
  <si>
    <t xml:space="preserve">MERCADO CARNELANDIA</t>
  </si>
  <si>
    <t xml:space="preserve">ZULEIDE BEZERRA DA SILVA RODRIGUES</t>
  </si>
  <si>
    <t xml:space="preserve">MERCADO E CONVENIENCIA JR</t>
  </si>
  <si>
    <t xml:space="preserve">CLIMA BOM AR CONDICIONADO LTDA</t>
  </si>
  <si>
    <t xml:space="preserve">CLIMA BOM</t>
  </si>
  <si>
    <t xml:space="preserve">NATUPLAST IND.COM.DE EMBALAGENS LTDA</t>
  </si>
  <si>
    <t xml:space="preserve">NICK ALIMENTOS</t>
  </si>
  <si>
    <t xml:space="preserve">PANIFICADORA E CONFEIT PAES E FRIOS</t>
  </si>
  <si>
    <t xml:space="preserve">PANIF E CONF PAES E FRIOS</t>
  </si>
  <si>
    <t xml:space="preserve">CLAUDIO ALVES DE MELO</t>
  </si>
  <si>
    <t xml:space="preserve">MERCADO E DIST BEB MELO</t>
  </si>
  <si>
    <t xml:space="preserve">SUPERMERCADO SAO JUDAS TADEU LTDA</t>
  </si>
  <si>
    <t xml:space="preserve">COMERCIO DE PROD ALIMENTICIOS BH LTDA</t>
  </si>
  <si>
    <t xml:space="preserve">COMERCIAL BH</t>
  </si>
  <si>
    <t xml:space="preserve">LAURINDA ALMEIDA FERNANDES GOMES</t>
  </si>
  <si>
    <t xml:space="preserve">ANA MARTA CARDEAL DOS SANTOS ME</t>
  </si>
  <si>
    <t xml:space="preserve">MERCADO GUESSER</t>
  </si>
  <si>
    <t xml:space="preserve">AUTO POSTO MORIA LTDA</t>
  </si>
  <si>
    <t xml:space="preserve">AUTO POSTO MARIA</t>
  </si>
  <si>
    <t xml:space="preserve">LINO E SOUZA LTDA ME</t>
  </si>
  <si>
    <t xml:space="preserve">GERALDO PET SHOP</t>
  </si>
  <si>
    <t xml:space="preserve">LUCIMAR LUIZA VIEIRA</t>
  </si>
  <si>
    <t xml:space="preserve">MINI MERCADO KHADANN</t>
  </si>
  <si>
    <t xml:space="preserve">SOUZA ALVES E CIA LTDA-ME</t>
  </si>
  <si>
    <t xml:space="preserve">SOUZA E ALVES</t>
  </si>
  <si>
    <t xml:space="preserve">SONIA MARIA DE PAULA SAFFE DELMONDES</t>
  </si>
  <si>
    <t xml:space="preserve">MERCADO E ACOU KAROLINA</t>
  </si>
  <si>
    <t xml:space="preserve">VALDECIR LEITE BARBOSA</t>
  </si>
  <si>
    <t xml:space="preserve">MERCADINHO TUDO BEM</t>
  </si>
  <si>
    <t xml:space="preserve">VALTERLEI MAGALHAES PARDINE</t>
  </si>
  <si>
    <t xml:space="preserve">DI NAPOLI MASSAS E PIZZAS</t>
  </si>
  <si>
    <t xml:space="preserve">FREITAS &amp; ALAVARSE LTDE</t>
  </si>
  <si>
    <t xml:space="preserve">SANTO BUFFET</t>
  </si>
  <si>
    <t xml:space="preserve">TRANSMANO TRANSPORTE E LOCACAO DE M LTDA</t>
  </si>
  <si>
    <t xml:space="preserve">TRANSMANO</t>
  </si>
  <si>
    <t xml:space="preserve">POSSARI E ROSA LTDA</t>
  </si>
  <si>
    <t xml:space="preserve">POSTO UNIAO</t>
  </si>
  <si>
    <t xml:space="preserve">I J DE OLIVEIRA</t>
  </si>
  <si>
    <t xml:space="preserve">NARDY ELIZABHET AREVALO MEDINA</t>
  </si>
  <si>
    <t xml:space="preserve">MERCADINHO AVENIDA</t>
  </si>
  <si>
    <t xml:space="preserve">CARLA JULLIANY RAMOS SALMAZO</t>
  </si>
  <si>
    <t xml:space="preserve">FARMACIA FARMA FACIL</t>
  </si>
  <si>
    <t xml:space="preserve">AMARILDO INACIO DE OLIVEIRA</t>
  </si>
  <si>
    <t xml:space="preserve">COSELLI</t>
  </si>
  <si>
    <t xml:space="preserve">3 LAGOS SUPER ATACADO LJ I</t>
  </si>
  <si>
    <t xml:space="preserve">ATACADO E SUPER 3 LAGOAS</t>
  </si>
  <si>
    <t xml:space="preserve">RIMI SUPERMERCADOS LTDA</t>
  </si>
  <si>
    <t xml:space="preserve">SUPERMERCADO VEM Q TEM</t>
  </si>
  <si>
    <t xml:space="preserve">ESTANCIA MIMOSA ECOTURISMO LTDA</t>
  </si>
  <si>
    <t xml:space="preserve">JAPACANIM ECOTURISMO LTDA</t>
  </si>
  <si>
    <t xml:space="preserve">RECANTO ECOL RIO DA PRATA</t>
  </si>
  <si>
    <t xml:space="preserve">ALEXANDRE ALVES PERES</t>
  </si>
  <si>
    <t xml:space="preserve">CHUR &amp; LANH 1000</t>
  </si>
  <si>
    <t xml:space="preserve">A V BRAGA</t>
  </si>
  <si>
    <t xml:space="preserve">FRAMA COMERCIO DE ALIMENTOS LTDA-LJ08</t>
  </si>
  <si>
    <t xml:space="preserve">SM PIRES- LJ08</t>
  </si>
  <si>
    <t xml:space="preserve">ROCHA E NUNES LTDA</t>
  </si>
  <si>
    <t xml:space="preserve">AUTO POSTO BONANZA</t>
  </si>
  <si>
    <t xml:space="preserve">ANDREIA DE SOUZA MOREIRA DE ARAUJO</t>
  </si>
  <si>
    <t xml:space="preserve">MERCADO CRITO REI</t>
  </si>
  <si>
    <t xml:space="preserve">CRISTIANE CHAGAS TOMIAZZI</t>
  </si>
  <si>
    <t xml:space="preserve">PLUTAO CONVENIENCIA E SERVE FE</t>
  </si>
  <si>
    <t xml:space="preserve">JULIO JUNIOR JARA</t>
  </si>
  <si>
    <t xml:space="preserve">ADEGAZ</t>
  </si>
  <si>
    <t xml:space="preserve">JK ALIMENTOS EIRELI ME</t>
  </si>
  <si>
    <t xml:space="preserve"> JK DISTRIBUIDORA DE PRODUTOS ALIMENTICI</t>
  </si>
  <si>
    <t xml:space="preserve">ANGELICA MARGARETE PIRES</t>
  </si>
  <si>
    <t xml:space="preserve">DIEGO APARECIDO QUERINO</t>
  </si>
  <si>
    <t xml:space="preserve">ISCA VIVA BOA PESCA</t>
  </si>
  <si>
    <t xml:space="preserve">VIVIAN LIMA BACARJI</t>
  </si>
  <si>
    <t xml:space="preserve">SUPER ZEM</t>
  </si>
  <si>
    <t xml:space="preserve">R M S VIEIRA CONVENIENCIAS</t>
  </si>
  <si>
    <t xml:space="preserve">TIA ROSE CONVENIENCIA</t>
  </si>
  <si>
    <t xml:space="preserve">RESTAURANTE POSTO ANGICO LTDA</t>
  </si>
  <si>
    <t xml:space="preserve">RESTAURANTE ANGICO</t>
  </si>
  <si>
    <t xml:space="preserve">LUCILENE SOCORRO DE VERGILIO SUMAN</t>
  </si>
  <si>
    <t xml:space="preserve">SUPERMERCADO LARANJINHA</t>
  </si>
  <si>
    <t xml:space="preserve">ARTUR GOMES SILVA NETO</t>
  </si>
  <si>
    <t xml:space="preserve">FONTE NOVA</t>
  </si>
  <si>
    <t xml:space="preserve">HONORIA E SANTOS LTDA</t>
  </si>
  <si>
    <t xml:space="preserve">DISTRIBUIDORA E SANTOS LTDA</t>
  </si>
  <si>
    <t xml:space="preserve">M M DA COSTA NETO</t>
  </si>
  <si>
    <t xml:space="preserve">MERCEARIA E PADARIA</t>
  </si>
  <si>
    <t xml:space="preserve">SANTOS E SANTOS MEDICAMENTOS LTDA</t>
  </si>
  <si>
    <t xml:space="preserve">FARMACIA ORIENTE</t>
  </si>
  <si>
    <t xml:space="preserve">TAMOTSU MORI</t>
  </si>
  <si>
    <t xml:space="preserve">SOBARIA E ESPETINHO MORI</t>
  </si>
  <si>
    <t xml:space="preserve">SUPERMERCADO ATHENAS LTDA</t>
  </si>
  <si>
    <t xml:space="preserve">SUPERMERCADO ATHENAS</t>
  </si>
  <si>
    <t xml:space="preserve">MARLI GUERINO DE LIMA</t>
  </si>
  <si>
    <t xml:space="preserve">ISCA BEER II</t>
  </si>
  <si>
    <t xml:space="preserve">WERICH  VIANNEY DA SILVA</t>
  </si>
  <si>
    <t xml:space="preserve">MUNDO ANIMAL</t>
  </si>
  <si>
    <t xml:space="preserve">PAULO ROBERTO CHRISTOFOLI</t>
  </si>
  <si>
    <t xml:space="preserve">RESTAURANTE TERMINAL RODOVIARI</t>
  </si>
  <si>
    <t xml:space="preserve">COMERCIO DE ALIMENTOS MATOGROSSENSE LTDA</t>
  </si>
  <si>
    <t xml:space="preserve">ALEMAO CONV</t>
  </si>
  <si>
    <t xml:space="preserve">ANTONIO AUGUSTO RODRIGUES EPP</t>
  </si>
  <si>
    <t xml:space="preserve">MUNDO PETT</t>
  </si>
  <si>
    <t xml:space="preserve">JAMILA CRISTINA ORTEGA BARBOSA</t>
  </si>
  <si>
    <t xml:space="preserve">COML BIELMA DE PROD  ALIMENTICIOS LTDA  </t>
  </si>
  <si>
    <t xml:space="preserve">STHEFANI KAROLINE ZORRILHA GONCALVES</t>
  </si>
  <si>
    <t xml:space="preserve">SAO LUIZ TRANSPORTES LTDA</t>
  </si>
  <si>
    <t xml:space="preserve">PET SHOP LATE E MIA LTDA ME</t>
  </si>
  <si>
    <t xml:space="preserve">PET SHOP LATE E MIA</t>
  </si>
  <si>
    <t xml:space="preserve">COMERCIAL NUTRI LAR DE ALIMENTOS LTDA</t>
  </si>
  <si>
    <t xml:space="preserve">SONE E MARTINS LTDA</t>
  </si>
  <si>
    <t xml:space="preserve">BALALAIKA</t>
  </si>
  <si>
    <t xml:space="preserve">BEBELLI ALIMENTOS LTDA</t>
  </si>
  <si>
    <t xml:space="preserve">COM E DIST  DE ALIMENTOS PRUDENTE LTDA  </t>
  </si>
  <si>
    <t xml:space="preserve">COMERCIAL PRUDENTE</t>
  </si>
  <si>
    <t xml:space="preserve">EDLEIA ALONSO DE SOUZA</t>
  </si>
  <si>
    <t xml:space="preserve">MERC ESPERANCA</t>
  </si>
  <si>
    <t xml:space="preserve">RODRIGO SANTOS DE SOUZA EIRELI</t>
  </si>
  <si>
    <t xml:space="preserve">AGROCEREAIS ITAPORA LTDA</t>
  </si>
  <si>
    <t xml:space="preserve">AGROCEREAIS ITAPORA</t>
  </si>
  <si>
    <t xml:space="preserve">UNIVERSO COMERCIO DE BEBIDAS LTDA ME</t>
  </si>
  <si>
    <t xml:space="preserve">UNIVERSO VIP</t>
  </si>
  <si>
    <t xml:space="preserve">GOES E FREITAS COMERCIO DE BEBIDAS LTDA </t>
  </si>
  <si>
    <t xml:space="preserve">GP CONVENIENCIA</t>
  </si>
  <si>
    <t xml:space="preserve">JOSE RONALDO A ESTEVES EIRELI ME</t>
  </si>
  <si>
    <t xml:space="preserve">MINI MERCADO CONVEN MORANDO</t>
  </si>
  <si>
    <t xml:space="preserve">MINI MERCADO RONDON LTDA</t>
  </si>
  <si>
    <t xml:space="preserve">GLAUCO LEITE MASCARENHAS EPP</t>
  </si>
  <si>
    <t xml:space="preserve">SERV-JA COMERCIO VAREJISTA DE</t>
  </si>
  <si>
    <t xml:space="preserve">JOSE GONCALVES DOS SANTOS</t>
  </si>
  <si>
    <t xml:space="preserve">COMERCIAL SAO JOSE</t>
  </si>
  <si>
    <t xml:space="preserve">MARIA LUCIA DIAS</t>
  </si>
  <si>
    <t xml:space="preserve">AGROPET COOPHAVILA II LTDA</t>
  </si>
  <si>
    <t xml:space="preserve">AGROPET COOPHAVILA II</t>
  </si>
  <si>
    <t xml:space="preserve">THAIS MELO CARVALHO</t>
  </si>
  <si>
    <t xml:space="preserve">RESTAURANTE MAROCA'S</t>
  </si>
  <si>
    <t xml:space="preserve">BARBOSA E COLETTI LTDA ME</t>
  </si>
  <si>
    <t xml:space="preserve">COMERCIAL JM DE ALIMENTOS LTDA</t>
  </si>
  <si>
    <t xml:space="preserve">NEVES PINHEIRO E CIA LTDA</t>
  </si>
  <si>
    <t xml:space="preserve">CASA DE CARNES NEVES E PRINHEIRO</t>
  </si>
  <si>
    <t xml:space="preserve">NEVES E SILVA LTDA</t>
  </si>
  <si>
    <t xml:space="preserve">PEDRO LOPES DA SILVA</t>
  </si>
  <si>
    <t xml:space="preserve">MINI BOX DO PEDRAO</t>
  </si>
  <si>
    <t xml:space="preserve">LUCIMAR C DA SILVA DE BRITTO</t>
  </si>
  <si>
    <t xml:space="preserve">TRANSBORDE</t>
  </si>
  <si>
    <t xml:space="preserve">RITA DE CACIA RODRIGUES DA SILVA ME</t>
  </si>
  <si>
    <t xml:space="preserve">E L L DE CERQUEIRA</t>
  </si>
  <si>
    <t xml:space="preserve">M R CHAVES</t>
  </si>
  <si>
    <t xml:space="preserve">MERC E PANIF PEROLA</t>
  </si>
  <si>
    <t xml:space="preserve">EVA CRISTALDO PEREIRA</t>
  </si>
  <si>
    <t xml:space="preserve">EVA SALGADO</t>
  </si>
  <si>
    <t xml:space="preserve">CENTRO ESPIRITA AMIZADE</t>
  </si>
  <si>
    <t xml:space="preserve">BELLAANNA CONV ACOUGUE E TRANSP LTDA</t>
  </si>
  <si>
    <t xml:space="preserve">BELLAANNA CONV E ACOUGUE TRANS</t>
  </si>
  <si>
    <t xml:space="preserve">CASSIA ALEXANDRE PANCOTI</t>
  </si>
  <si>
    <t xml:space="preserve">PANIFICADORAS DUAS IRMAS</t>
  </si>
  <si>
    <t xml:space="preserve">LUIZ ELCIO COMARELLA</t>
  </si>
  <si>
    <t xml:space="preserve">REGINA SILMARA ROSSI</t>
  </si>
  <si>
    <t xml:space="preserve">MINI MERCADO SAO SEBASTIAO</t>
  </si>
  <si>
    <t xml:space="preserve">TASSO FLORES SOARES</t>
  </si>
  <si>
    <t xml:space="preserve">CONV CORUGINHA</t>
  </si>
  <si>
    <t xml:space="preserve">MERCADO PRINCIPAL LTDA</t>
  </si>
  <si>
    <t xml:space="preserve">MERCADO PRINCIPAL</t>
  </si>
  <si>
    <t xml:space="preserve">CMC VIDEO COMERCIO E SERVICOS LTDA</t>
  </si>
  <si>
    <t xml:space="preserve">100 VIDEO</t>
  </si>
  <si>
    <t xml:space="preserve">P GOMES FERREIRA</t>
  </si>
  <si>
    <t xml:space="preserve">MERCADO ARANTES</t>
  </si>
  <si>
    <t xml:space="preserve">ERIC MARCELO M. B. VIEIRA -ME</t>
  </si>
  <si>
    <t xml:space="preserve">DROGARIA ULTRAPOPULAR</t>
  </si>
  <si>
    <t xml:space="preserve">MARIELE NOGUEIRA DE OLIVEIRA</t>
  </si>
  <si>
    <t xml:space="preserve">KOFANOVSKI E ZAMPIERI LTDA</t>
  </si>
  <si>
    <t xml:space="preserve">PINGUIM CONVENIENCIA LTDA</t>
  </si>
  <si>
    <t xml:space="preserve">PINGUIN CONV</t>
  </si>
  <si>
    <t xml:space="preserve">BISTECAO CARNE E MERCEARIA</t>
  </si>
  <si>
    <t xml:space="preserve">ARTIGOZA E CIA LTDA</t>
  </si>
  <si>
    <t xml:space="preserve">MASSIMUS RESTAURANTE</t>
  </si>
  <si>
    <t xml:space="preserve">VIEIRA E MENEGHETTI LTDA</t>
  </si>
  <si>
    <t xml:space="preserve">HIPER FARNA</t>
  </si>
  <si>
    <t xml:space="preserve">NIEDACK E ALVES LTDA</t>
  </si>
  <si>
    <t xml:space="preserve">LOPES E CARVALHO LTDA</t>
  </si>
  <si>
    <t xml:space="preserve">EMPORIO GRILL CONV</t>
  </si>
  <si>
    <t xml:space="preserve">FERREIRA E OLIVEIRA COM GENER ALIM LTDA </t>
  </si>
  <si>
    <t xml:space="preserve">MERCEARIA LIMEIRA</t>
  </si>
  <si>
    <t xml:space="preserve">EDGARD DINIS DE OLIVEIRA</t>
  </si>
  <si>
    <t xml:space="preserve">MERCEARIA DINIS</t>
  </si>
  <si>
    <t xml:space="preserve">ABDO TEODORO DA SILVA JUNIOR</t>
  </si>
  <si>
    <t xml:space="preserve">RESTAURANTE DESTRA</t>
  </si>
  <si>
    <t xml:space="preserve">F M CARVALHO E CARVALHO LTDA</t>
  </si>
  <si>
    <t xml:space="preserve">ROSEMERI LODI ME</t>
  </si>
  <si>
    <t xml:space="preserve">ITALIA PETSHOP</t>
  </si>
  <si>
    <t xml:space="preserve">LOPES E FERREIRA PROD ALIMENTICIOS LTDA </t>
  </si>
  <si>
    <t xml:space="preserve">ESTER CONVENIENCIAS</t>
  </si>
  <si>
    <t xml:space="preserve">PANIFICADORA CONFEITARIA FRUTA PAO LTDA </t>
  </si>
  <si>
    <t xml:space="preserve">PANIF E CONF FRUTA PAO</t>
  </si>
  <si>
    <t xml:space="preserve">JAIR DA ROCHA MENDES</t>
  </si>
  <si>
    <t xml:space="preserve">PADARIA KI DELICIA</t>
  </si>
  <si>
    <t xml:space="preserve">SUPERMERCADO NOVA ERA LTDA</t>
  </si>
  <si>
    <t xml:space="preserve">SUPERMERCADO NOVA ERA</t>
  </si>
  <si>
    <t xml:space="preserve">PALADINI E FRANCA LTDA</t>
  </si>
  <si>
    <t xml:space="preserve">REDE MS DE SUPERMERCADO</t>
  </si>
  <si>
    <t xml:space="preserve">MARLENE FATIMA DA SILVA</t>
  </si>
  <si>
    <t xml:space="preserve">RESTAURANTE BOM PALADAR</t>
  </si>
  <si>
    <t xml:space="preserve">DURE E ALVARENGA LTDA</t>
  </si>
  <si>
    <t xml:space="preserve">SUPERMERCADO ECONOMICO LTDA</t>
  </si>
  <si>
    <t xml:space="preserve">COMERCIAL BRASIL</t>
  </si>
  <si>
    <t xml:space="preserve">P R TOGNINI</t>
  </si>
  <si>
    <t xml:space="preserve">FEST FESTA</t>
  </si>
  <si>
    <t xml:space="preserve">G J E SERPA</t>
  </si>
  <si>
    <t xml:space="preserve">MERCEARIA PRONACAO</t>
  </si>
  <si>
    <t xml:space="preserve">COMERCIAL DE ALIMENTOS RANCHO VERDE</t>
  </si>
  <si>
    <t xml:space="preserve">J R CAVALIERI PEREIRA</t>
  </si>
  <si>
    <t xml:space="preserve">SM JULIA</t>
  </si>
  <si>
    <t xml:space="preserve">L F CARVALHO E CIA LTDA</t>
  </si>
  <si>
    <t xml:space="preserve">RENATA ARAUJO LIMA CONCEICAO</t>
  </si>
  <si>
    <t xml:space="preserve">CONVENIENCIA NOVO SUL</t>
  </si>
  <si>
    <t xml:space="preserve">CARVALHO E IMADA LTDA</t>
  </si>
  <si>
    <t xml:space="preserve">BEBI FESTAS</t>
  </si>
  <si>
    <t xml:space="preserve">JAQUELINE CALDAS MAIOLINI</t>
  </si>
  <si>
    <t xml:space="preserve">CANTINHO DO CREPE</t>
  </si>
  <si>
    <t xml:space="preserve">TAJ HOTEL LTDA</t>
  </si>
  <si>
    <t xml:space="preserve">AZEVEDO E RIGHETTI LTDA</t>
  </si>
  <si>
    <t xml:space="preserve">CONVENIENCIA DO PARK</t>
  </si>
  <si>
    <t xml:space="preserve">JOAO JOSE</t>
  </si>
  <si>
    <t xml:space="preserve">JOVENITA FERREIRA FRANCELINO</t>
  </si>
  <si>
    <t xml:space="preserve">RESTAURANTE E HOTEL ELO DOUR.</t>
  </si>
  <si>
    <t xml:space="preserve">CARLINDO SOUZA LOPES</t>
  </si>
  <si>
    <t xml:space="preserve">EVELAINE TREIS</t>
  </si>
  <si>
    <t xml:space="preserve">PAULO SALOMAO CANDIDO FERREIRA LIMA ME  </t>
  </si>
  <si>
    <t xml:space="preserve">ELO ASSESSORIA EMPRESARIAL</t>
  </si>
  <si>
    <t xml:space="preserve">MARIANO E MARIANO LTDA</t>
  </si>
  <si>
    <t xml:space="preserve">MINI MERCADO BOM PRECO LTDA</t>
  </si>
  <si>
    <t xml:space="preserve">WS2 COM VAREJISTA DE GENERO ALIM LTDA</t>
  </si>
  <si>
    <t xml:space="preserve">CELIOMAR LUIS ECHER</t>
  </si>
  <si>
    <t xml:space="preserve">LANCHONETE CASTELINHO</t>
  </si>
  <si>
    <t xml:space="preserve">PATRICIA MURIEL GONCALVES ME</t>
  </si>
  <si>
    <t xml:space="preserve">CACAU PET SHOP</t>
  </si>
  <si>
    <t xml:space="preserve">MEYER E SILVA LTDA</t>
  </si>
  <si>
    <t xml:space="preserve">MERCADO MINI PRECO</t>
  </si>
  <si>
    <t xml:space="preserve">ENDOSCOPE CLINICA DE ENDOSC DIGESTIVA</t>
  </si>
  <si>
    <t xml:space="preserve">SCOPE</t>
  </si>
  <si>
    <t xml:space="preserve">ANA CLAUDIA DE PAULA E CIA LTDA</t>
  </si>
  <si>
    <t xml:space="preserve">ANA CLAUDIA CONVENIENCIA</t>
  </si>
  <si>
    <t xml:space="preserve">SUPERMERCADO CAMILA LTDA</t>
  </si>
  <si>
    <t xml:space="preserve">SM CAMILA LJ-02</t>
  </si>
  <si>
    <t xml:space="preserve">SUPERMERCADO CAMILA</t>
  </si>
  <si>
    <t xml:space="preserve">CLEVERTON LUIZ PAGANI PONTE</t>
  </si>
  <si>
    <t xml:space="preserve">JOSE ADEMIR GABARDO</t>
  </si>
  <si>
    <t xml:space="preserve">GABARDO</t>
  </si>
  <si>
    <t xml:space="preserve">MINIMERCADO MULTIMARCAS EIRELI</t>
  </si>
  <si>
    <t xml:space="preserve">MULTI MARCAS CONVENIENCIA</t>
  </si>
  <si>
    <t xml:space="preserve">NIZLES CONVENIENCIA LTDA</t>
  </si>
  <si>
    <t xml:space="preserve">HARENA CACHACARIA E CONV.</t>
  </si>
  <si>
    <t xml:space="preserve">ANDRE S COMERCIAL AGROPECUARIA LTDA</t>
  </si>
  <si>
    <t xml:space="preserve">ANDRE S COMERCIAL AGROPECUARIA</t>
  </si>
  <si>
    <t xml:space="preserve">PANIFICADORA CRAVO E CANELA LTDA ME</t>
  </si>
  <si>
    <t xml:space="preserve">IZIDORO FERNANDES E CIA LTDA</t>
  </si>
  <si>
    <t xml:space="preserve">PALACIO DA CARNE LTDA</t>
  </si>
  <si>
    <t xml:space="preserve">PALACIO DA CARNE</t>
  </si>
  <si>
    <t xml:space="preserve">B M R MEDICAMENTOS LTDA</t>
  </si>
  <si>
    <t xml:space="preserve">FAMARCIA NAJA III</t>
  </si>
  <si>
    <t xml:space="preserve">YVELISIS MARIA CASTELLI DE MACEDO</t>
  </si>
  <si>
    <t xml:space="preserve">TRILHA DOS DOCES</t>
  </si>
  <si>
    <t xml:space="preserve">RICARDO LUIZ RACHID</t>
  </si>
  <si>
    <t xml:space="preserve">N  C  MOTTI</t>
  </si>
  <si>
    <t xml:space="preserve">MERCADO GONCALVES LTDA</t>
  </si>
  <si>
    <t xml:space="preserve">ASSOCIACAO ATLETICA ACADEMICA MED UFMS  </t>
  </si>
  <si>
    <t xml:space="preserve">ASSOCIACAO ATLETICA ACADEMICA MEDICINA U</t>
  </si>
  <si>
    <t xml:space="preserve">CARLOS EDUARDO HATSUMURA BOIGUES</t>
  </si>
  <si>
    <t xml:space="preserve">DITRIBUIDORA KAYABI</t>
  </si>
  <si>
    <t xml:space="preserve">MERCADO DE ALIMENTOS J T  LTDA</t>
  </si>
  <si>
    <t xml:space="preserve">GLAUCIA AP ALEXANDRE GARCIA E CIA LTDA  </t>
  </si>
  <si>
    <t xml:space="preserve">MERCADO E ACOUGUE</t>
  </si>
  <si>
    <t xml:space="preserve">V.S.B COMERCIO DE ALIMENTOS LTDA</t>
  </si>
  <si>
    <t xml:space="preserve">VILMA MARTINS DE ALMEIDA</t>
  </si>
  <si>
    <t xml:space="preserve">PADARIA E PANIF BRASIL</t>
  </si>
  <si>
    <t xml:space="preserve">E. CUNHA BAR E RESTAURANTE LTDA.ME</t>
  </si>
  <si>
    <t xml:space="preserve">TAIYO BAR E RESTAURANTE</t>
  </si>
  <si>
    <t xml:space="preserve">FORTHE LUX COM E SERVICO LTDA ME</t>
  </si>
  <si>
    <t xml:space="preserve">CESTA BASICA FORTE LUZ</t>
  </si>
  <si>
    <t xml:space="preserve">SILVANO BISPO DA TRINDADE</t>
  </si>
  <si>
    <t xml:space="preserve">MERCADO TRINDADE</t>
  </si>
  <si>
    <t xml:space="preserve">LAURENTINA DIAS LINO</t>
  </si>
  <si>
    <t xml:space="preserve">PARIZOTTO E VIEIRA LTDA</t>
  </si>
  <si>
    <t xml:space="preserve">REST LANC HOTEL NATUREZA</t>
  </si>
  <si>
    <t xml:space="preserve">QUADRI COMERCIO DE ALIMENTOS LTDA</t>
  </si>
  <si>
    <t xml:space="preserve">SUPER QUADRI</t>
  </si>
  <si>
    <t xml:space="preserve">QUADRI COMERCIO DE ALIMENTOS EIRELI</t>
  </si>
  <si>
    <t xml:space="preserve">SUPERMERCADO QUADRI POP</t>
  </si>
  <si>
    <t xml:space="preserve">QUADRI SUPERMECADO CENTER</t>
  </si>
  <si>
    <t xml:space="preserve">ECONOMICO SUPERMECADO</t>
  </si>
  <si>
    <t xml:space="preserve">SABOR E PROSA ALIMENTOS LTDA</t>
  </si>
  <si>
    <t xml:space="preserve">VEGETALLIS REST AOVO LACTO VEG</t>
  </si>
  <si>
    <t xml:space="preserve">NOVAPAN COMERCIO DE ALIMENTOS LTDA</t>
  </si>
  <si>
    <t xml:space="preserve">NOVAPAN</t>
  </si>
  <si>
    <t xml:space="preserve">FARMAZULA COM MED E PERFUMARIAS LTDA</t>
  </si>
  <si>
    <t xml:space="preserve">SAO BENTO - F 80</t>
  </si>
  <si>
    <t xml:space="preserve">C K ALBINO</t>
  </si>
  <si>
    <t xml:space="preserve">E A DIAS</t>
  </si>
  <si>
    <t xml:space="preserve">RESTAURANTE E CHOPERIA MULHER</t>
  </si>
  <si>
    <t xml:space="preserve">E A DIAS EIRELI</t>
  </si>
  <si>
    <t xml:space="preserve">RESTAURANTE MULLER GRIL</t>
  </si>
  <si>
    <t xml:space="preserve">JAIR FERNANDO ALVES EIRELI</t>
  </si>
  <si>
    <t xml:space="preserve">DONDOCAS COSMETICOS E PERFUMARIA</t>
  </si>
  <si>
    <t xml:space="preserve">ROCHA E LARREA LTDA</t>
  </si>
  <si>
    <t xml:space="preserve">CONV NOVA ALIANCA</t>
  </si>
  <si>
    <t xml:space="preserve">ELEUZA GONCALVES DA SILVA</t>
  </si>
  <si>
    <t xml:space="preserve">MINIMERCADO AVENIDA</t>
  </si>
  <si>
    <t xml:space="preserve">EUZEBIO DOS SANTOS</t>
  </si>
  <si>
    <t xml:space="preserve">O BARATEIRO</t>
  </si>
  <si>
    <t xml:space="preserve">JHA CONVENIENCIA EIRELI</t>
  </si>
  <si>
    <t xml:space="preserve">MEGA FESTAS</t>
  </si>
  <si>
    <t xml:space="preserve">SIQUEIRA E CALADO LTDA - ME</t>
  </si>
  <si>
    <t xml:space="preserve">CEI - CENTRO ESPECIALIZADOS P IDOSOS</t>
  </si>
  <si>
    <t xml:space="preserve">BATISTA SANTANA E CIA LTDA</t>
  </si>
  <si>
    <t xml:space="preserve">DALLAS SUPERMERCADO</t>
  </si>
  <si>
    <t xml:space="preserve">FIGUEIREDO E SALES LTDA</t>
  </si>
  <si>
    <t xml:space="preserve">COMERCIAL MODELO</t>
  </si>
  <si>
    <t xml:space="preserve">MIX DEZ CONVENIENCIA EIRELI EPP</t>
  </si>
  <si>
    <t xml:space="preserve">MIX DEZ CONVENIENCIA</t>
  </si>
  <si>
    <t xml:space="preserve">CASA DE CARNE NOVA ERA LTDA</t>
  </si>
  <si>
    <t xml:space="preserve">CASA DE CARNE NOVA ERA</t>
  </si>
  <si>
    <t xml:space="preserve">R L  ALIMENTOS LTDA</t>
  </si>
  <si>
    <t xml:space="preserve">PEDAGGIO REFEICOES</t>
  </si>
  <si>
    <t xml:space="preserve">JOSE RODRIGUES DE OLIVEIRA</t>
  </si>
  <si>
    <t xml:space="preserve">MOREIRA E PONTE LTDA</t>
  </si>
  <si>
    <t xml:space="preserve">PANCOTI E CIA LTDA</t>
  </si>
  <si>
    <t xml:space="preserve">MERC TARUMA</t>
  </si>
  <si>
    <t xml:space="preserve">CONVENIENCIA PECORA LTDA</t>
  </si>
  <si>
    <t xml:space="preserve">CONVENIENCIA PECORA</t>
  </si>
  <si>
    <t xml:space="preserve">N NASCIMENTO DE FREITAS ME</t>
  </si>
  <si>
    <t xml:space="preserve">SED COMERCIO DE ALIMENTOS LTDA</t>
  </si>
  <si>
    <t xml:space="preserve">SED SUPERMERCADOS</t>
  </si>
  <si>
    <t xml:space="preserve">SM SED</t>
  </si>
  <si>
    <t xml:space="preserve">BENJAMIN ORELLANA CANO</t>
  </si>
  <si>
    <t xml:space="preserve">QUITANDA DA VALERIA</t>
  </si>
  <si>
    <t xml:space="preserve">OTACILIO AUGUSTO DE SOUZA</t>
  </si>
  <si>
    <t xml:space="preserve">AUGUSTUS REST E PEIXARIA</t>
  </si>
  <si>
    <t xml:space="preserve">DEBORA DE LIMA</t>
  </si>
  <si>
    <t xml:space="preserve">SILVEIRA E CIA LTDA</t>
  </si>
  <si>
    <t xml:space="preserve">CALISTO E CORREIA LTDA</t>
  </si>
  <si>
    <t xml:space="preserve">SM BIG STAR - LJ II</t>
  </si>
  <si>
    <t xml:space="preserve">ARLETE BEZERRA DA SILVA</t>
  </si>
  <si>
    <t xml:space="preserve">PORTAL CONVENIENCIA</t>
  </si>
  <si>
    <t xml:space="preserve">MERCADO ZAPE LTDA</t>
  </si>
  <si>
    <t xml:space="preserve">M  E  A  CASTRO</t>
  </si>
  <si>
    <t xml:space="preserve">VILLA GRILL</t>
  </si>
  <si>
    <t xml:space="preserve">FABIANE DA SILVEIRA OLEA EIRELI</t>
  </si>
  <si>
    <t xml:space="preserve">BONI MORI E CIA LTDA</t>
  </si>
  <si>
    <t xml:space="preserve">MERCADO MORI</t>
  </si>
  <si>
    <t xml:space="preserve">LUIS CARLOS DA ROCHA</t>
  </si>
  <si>
    <t xml:space="preserve">SANTO ANTONIO DIST DE ALIMENTOS LTDA</t>
  </si>
  <si>
    <t xml:space="preserve">SM LEGAL</t>
  </si>
  <si>
    <t xml:space="preserve">SANTO ANTONIO DISTRIBUIDORA DE ALIMENTOS</t>
  </si>
  <si>
    <t xml:space="preserve">SUP. LEGAL</t>
  </si>
  <si>
    <t xml:space="preserve">SAO JORGE DIST DE ALIMENTOS LTDA</t>
  </si>
  <si>
    <t xml:space="preserve">LEGAL SUPERMERCADOS</t>
  </si>
  <si>
    <t xml:space="preserve">FARMACIA POPULAR ITAMARACA EIRELI</t>
  </si>
  <si>
    <t xml:space="preserve">DROGA MAIS</t>
  </si>
  <si>
    <t xml:space="preserve">APARECIDA MACHADO NAGATANI</t>
  </si>
  <si>
    <t xml:space="preserve">COMERCIAL ESTRELA</t>
  </si>
  <si>
    <t xml:space="preserve">CRISTIANE DE SOUZA FERREIRA</t>
  </si>
  <si>
    <t xml:space="preserve">MILKRIS SORVETES</t>
  </si>
  <si>
    <t xml:space="preserve">WPG COMERCIO E DISTRIBUIDORA LTDA</t>
  </si>
  <si>
    <t xml:space="preserve">CESTA BASICA E MER</t>
  </si>
  <si>
    <t xml:space="preserve">ELIANE RAMOS GISELA DO NASCIMENTO ME</t>
  </si>
  <si>
    <t xml:space="preserve">BORA TOMA UMA</t>
  </si>
  <si>
    <t xml:space="preserve">VALMOR BILK</t>
  </si>
  <si>
    <t xml:space="preserve">MINI MERCADO BILK</t>
  </si>
  <si>
    <t xml:space="preserve">HUGO FUMAGALLI ME</t>
  </si>
  <si>
    <t xml:space="preserve">MERCADO BOM VIZINHO</t>
  </si>
  <si>
    <t xml:space="preserve">SOUZA E ALVES LTDA</t>
  </si>
  <si>
    <t xml:space="preserve">DIST. BEBIDAS ALTAS HORAS</t>
  </si>
  <si>
    <t xml:space="preserve">COMERCIAL PRADO DE ALIMENTOS LTDA-LJ03  </t>
  </si>
  <si>
    <t xml:space="preserve">SM PAG POKO-LJ03</t>
  </si>
  <si>
    <t xml:space="preserve">GABRIEL BATISTA</t>
  </si>
  <si>
    <t xml:space="preserve">CLODOALDO J LEGAL FILHO</t>
  </si>
  <si>
    <t xml:space="preserve">CLODOALDO VEICULOS</t>
  </si>
  <si>
    <t xml:space="preserve">RI DE SOUZA COM TINTAS E MAT CONST ME</t>
  </si>
  <si>
    <t xml:space="preserve">BELLA TINTAS</t>
  </si>
  <si>
    <t xml:space="preserve">COMERCIAL E LOJA BOND PRECO LTDA</t>
  </si>
  <si>
    <t xml:space="preserve">COMERCIAL E LOJA BOND PRECO</t>
  </si>
  <si>
    <t xml:space="preserve">ROBERTO RUBENS PIMENTEL</t>
  </si>
  <si>
    <t xml:space="preserve">PANF. E CONF. EMPORIO DOS PAES</t>
  </si>
  <si>
    <t xml:space="preserve">ANSELMO SOLIDADE DE LIMA</t>
  </si>
  <si>
    <t xml:space="preserve">CASA DE CARNE ALVES</t>
  </si>
  <si>
    <t xml:space="preserve">EDILSON CUBA MERCADO</t>
  </si>
  <si>
    <t xml:space="preserve">MERCADO CUBA</t>
  </si>
  <si>
    <t xml:space="preserve">COMERCIAL ED CARLOS DA SILVA LTDA ME</t>
  </si>
  <si>
    <t xml:space="preserve">COMERCIAL CELEIRO</t>
  </si>
  <si>
    <t xml:space="preserve">ALVES E GOMES LTDA</t>
  </si>
  <si>
    <t xml:space="preserve">MERC CASA DE CARNE BOI DE OURO</t>
  </si>
  <si>
    <t xml:space="preserve">M A DE PAULA</t>
  </si>
  <si>
    <t xml:space="preserve">OSLAINE COMERCIO VAREJ DE GENEROS LTDA  </t>
  </si>
  <si>
    <t xml:space="preserve">SUPERMERCADO N SRA APARECIDA</t>
  </si>
  <si>
    <t xml:space="preserve">RAQUEL BARBOSA COELHO</t>
  </si>
  <si>
    <t xml:space="preserve">PADARIA PAO E ALEGRIA</t>
  </si>
  <si>
    <t xml:space="preserve">GRAND PARK HOTEL LTDA</t>
  </si>
  <si>
    <t xml:space="preserve">ZAP CONVENIENCIAS LTDA</t>
  </si>
  <si>
    <t xml:space="preserve">ZAP CONVENIENCIA LTDA</t>
  </si>
  <si>
    <t xml:space="preserve">ANTONIO ANIZIO DE ALMEIDA ME</t>
  </si>
  <si>
    <t xml:space="preserve">PADARIA E CONF PAO NOBRE</t>
  </si>
  <si>
    <t xml:space="preserve">ANTONIA MARIA DE MELO E CIA LTDA</t>
  </si>
  <si>
    <t xml:space="preserve">CONVENIENCIA CAMARINHO</t>
  </si>
  <si>
    <t xml:space="preserve">ZAGAIA BAR E RESTAURANTE LTDA</t>
  </si>
  <si>
    <t xml:space="preserve">ZAGAIA BAR REST LTDA</t>
  </si>
  <si>
    <t xml:space="preserve">MERCADO JARDIM LTDA</t>
  </si>
  <si>
    <t xml:space="preserve">HOTEL REFUGIO LTDA LTDA</t>
  </si>
  <si>
    <t xml:space="preserve">HOTEL REFUGIO</t>
  </si>
  <si>
    <t xml:space="preserve">CAOPANHIA CLINICA VET E PETSHOP LTDA ME </t>
  </si>
  <si>
    <t xml:space="preserve">CAOPANHIA PET SHOP</t>
  </si>
  <si>
    <t xml:space="preserve">A E A SUPERMERCADO AVENIDA LTDA</t>
  </si>
  <si>
    <t xml:space="preserve">SUPERMERCADO AVENIDA</t>
  </si>
  <si>
    <t xml:space="preserve">MINI MERCADO RAVELLI</t>
  </si>
  <si>
    <t xml:space="preserve">VANDERLEI DA SILVA RAMOS</t>
  </si>
  <si>
    <t xml:space="preserve">MARQUETTI E GRITTI LTDA ME</t>
  </si>
  <si>
    <t xml:space="preserve">COMERCIAL DIAS DE ALIMENTOS LTDA</t>
  </si>
  <si>
    <t xml:space="preserve">SUPERMERCADO CRISTAL LTDA</t>
  </si>
  <si>
    <t xml:space="preserve">SM CRISTAL</t>
  </si>
  <si>
    <t xml:space="preserve">CONV E UTENS DOM BELTRAO LTDA</t>
  </si>
  <si>
    <t xml:space="preserve">CONV MAYCOM</t>
  </si>
  <si>
    <t xml:space="preserve">D J COMERCIAL DE ALIMENTOS LTDA</t>
  </si>
  <si>
    <t xml:space="preserve">MERCADO DONA JANDYRA</t>
  </si>
  <si>
    <t xml:space="preserve">JUSTINO XAVIER DOS SANTOS</t>
  </si>
  <si>
    <t xml:space="preserve">MICHELLE CABRERA</t>
  </si>
  <si>
    <t xml:space="preserve">MERCADO E ACOUGUE UNIAO</t>
  </si>
  <si>
    <t xml:space="preserve">SUPERMERCADO SCHIAVINI LTDA</t>
  </si>
  <si>
    <t xml:space="preserve">SM SCHIAVINI</t>
  </si>
  <si>
    <t xml:space="preserve">EIRA COSTA REIS - ME</t>
  </si>
  <si>
    <t xml:space="preserve">MERCADO MAROTO LTDA</t>
  </si>
  <si>
    <t xml:space="preserve">MERCADO MAROTO</t>
  </si>
  <si>
    <t xml:space="preserve">CASA DE CARNE E CONV DA FAMILIA LTDA</t>
  </si>
  <si>
    <t xml:space="preserve">CASA DE CARNE E CONV FAMILA</t>
  </si>
  <si>
    <t xml:space="preserve">JOSEFA MARIA DE OLIVEIRA</t>
  </si>
  <si>
    <t xml:space="preserve">MERCADO KI PRECO BOM</t>
  </si>
  <si>
    <t xml:space="preserve">E DOS SANTOS CONFECCOES</t>
  </si>
  <si>
    <t xml:space="preserve">SHOPPING GALERIA</t>
  </si>
  <si>
    <t xml:space="preserve">BACCIN PANIFICADORA LTDA</t>
  </si>
  <si>
    <t xml:space="preserve">PANIFICADRA PAO E PAO</t>
  </si>
  <si>
    <t xml:space="preserve">SUPERMERCADO DEODAPOLIS LTDA</t>
  </si>
  <si>
    <t xml:space="preserve">SUPER DEODAPOLIS</t>
  </si>
  <si>
    <t xml:space="preserve">DINA DE CASTRO SILVA</t>
  </si>
  <si>
    <t xml:space="preserve">SUPER E VERDURAO</t>
  </si>
  <si>
    <t xml:space="preserve">VAGNER BARBOSA RAMOS</t>
  </si>
  <si>
    <t xml:space="preserve">MERCADO LELECO</t>
  </si>
  <si>
    <t xml:space="preserve">SORVETERIA E PIZZARIA PASTORIZO</t>
  </si>
  <si>
    <t xml:space="preserve">CONVENIENCIA E SOVETERIA</t>
  </si>
  <si>
    <t xml:space="preserve">M T P SKROBOT</t>
  </si>
  <si>
    <t xml:space="preserve">DANIELLE CORREA</t>
  </si>
  <si>
    <t xml:space="preserve">BAMBU BRASIL FRIOS E LATICINIO</t>
  </si>
  <si>
    <t xml:space="preserve">DOUGLAS RIBEIRO</t>
  </si>
  <si>
    <t xml:space="preserve">PANIF E REST TRIGUS</t>
  </si>
  <si>
    <t xml:space="preserve">DROGARIA REAL LTDA</t>
  </si>
  <si>
    <t xml:space="preserve">DROGARIA REAL</t>
  </si>
  <si>
    <t xml:space="preserve">DROGARIA REAL LTDA EPP</t>
  </si>
  <si>
    <t xml:space="preserve">DROGARIA REAL 3</t>
  </si>
  <si>
    <t xml:space="preserve">DROGARIA SAO MATHEUS LTDA</t>
  </si>
  <si>
    <t xml:space="preserve">DROGARIA SAO MATHEUS</t>
  </si>
  <si>
    <t xml:space="preserve">CONVENIENCIA E FRUTARIA OLIVEIRA LTDA</t>
  </si>
  <si>
    <t xml:space="preserve">CONV E FRUTARIA OLIVEIRA</t>
  </si>
  <si>
    <t xml:space="preserve">MERCADO SANTINON LTDA</t>
  </si>
  <si>
    <t xml:space="preserve">MERCADO SANTINON</t>
  </si>
  <si>
    <t xml:space="preserve">COMERCIAL GRUDKA DE ALIMENTOS LTDA</t>
  </si>
  <si>
    <t xml:space="preserve">EXCELER SERVICOS DE ALIMENTACAO LTDA</t>
  </si>
  <si>
    <t xml:space="preserve">EXCELER SERVICOS DE ALIM</t>
  </si>
  <si>
    <t xml:space="preserve">RESTAURANTE HORA DO RANGO LTDA</t>
  </si>
  <si>
    <t xml:space="preserve">REST HORA DO RANGO</t>
  </si>
  <si>
    <t xml:space="preserve">VANILDE DOS SANTOS ANDRADE E SANTOS</t>
  </si>
  <si>
    <t xml:space="preserve">L ZAMBIASI</t>
  </si>
  <si>
    <t xml:space="preserve">CHURR E REST NOVA BRESI</t>
  </si>
  <si>
    <t xml:space="preserve">RAMAO MENDES</t>
  </si>
  <si>
    <t xml:space="preserve">PANIF EMANUEL</t>
  </si>
  <si>
    <t xml:space="preserve">RODRIGUES E MORETI LTDA</t>
  </si>
  <si>
    <t xml:space="preserve">APG VIUDES</t>
  </si>
  <si>
    <t xml:space="preserve">DROGA SOL</t>
  </si>
  <si>
    <t xml:space="preserve">SUPERMERCADO BEIRA RIO PANORAMA LTDA</t>
  </si>
  <si>
    <t xml:space="preserve">SUPERMERCADO BEIRA RIO PANORAM</t>
  </si>
  <si>
    <t xml:space="preserve">JEAN CARLOS DA SILVA LANCHONETE</t>
  </si>
  <si>
    <t xml:space="preserve">CAFE ROMA</t>
  </si>
  <si>
    <t xml:space="preserve">W C RODRIGUES</t>
  </si>
  <si>
    <t xml:space="preserve">LANCHONETE SKINAO</t>
  </si>
  <si>
    <t xml:space="preserve">LUIZ ROBERTO BELINI</t>
  </si>
  <si>
    <t xml:space="preserve">CONVENIENCIA CIDADE</t>
  </si>
  <si>
    <t xml:space="preserve">COMERCIAL TRANSPORTADORA STRAESSER LTDA </t>
  </si>
  <si>
    <t xml:space="preserve">STOP CONVENIENCIA</t>
  </si>
  <si>
    <t xml:space="preserve">CARLOS ALBERTO DA SILVA MINIMERCADO</t>
  </si>
  <si>
    <t xml:space="preserve">W B GOMES ME</t>
  </si>
  <si>
    <t xml:space="preserve">RACA PROD AGROPECUARIO</t>
  </si>
  <si>
    <t xml:space="preserve">CORREA E QUEIROZ LTDA</t>
  </si>
  <si>
    <t xml:space="preserve">TRIANGULO FRIOS E EMBALAGEM</t>
  </si>
  <si>
    <t xml:space="preserve">A DE OLIVEIRA SUPERMERCADO ME</t>
  </si>
  <si>
    <t xml:space="preserve">REDE REAL </t>
  </si>
  <si>
    <t xml:space="preserve">LIMP FACIL COM DE PROD DE LIMPEZA LTDA  </t>
  </si>
  <si>
    <t xml:space="preserve">LIMP FACIL</t>
  </si>
  <si>
    <t xml:space="preserve">OLIVEIRA E MOTA COM  REPRESENTACOES</t>
  </si>
  <si>
    <t xml:space="preserve">LAN HOUSE KILEGAL</t>
  </si>
  <si>
    <t xml:space="preserve">PAULO CANDIDO COSTA</t>
  </si>
  <si>
    <t xml:space="preserve">VIPS CONV</t>
  </si>
  <si>
    <t xml:space="preserve">LUCIANE JOSE DOS SANTOS SILVA</t>
  </si>
  <si>
    <t xml:space="preserve">LG CONVENIENCIAS</t>
  </si>
  <si>
    <t xml:space="preserve">IVANIRA PEREIRA COTA</t>
  </si>
  <si>
    <t xml:space="preserve">COTA CONVENIENCIA</t>
  </si>
  <si>
    <t xml:space="preserve">EMERSON A. GONCALVES</t>
  </si>
  <si>
    <t xml:space="preserve">RESTAURANTE BOA VIAGEM</t>
  </si>
  <si>
    <t xml:space="preserve">JOSOEL RODRIGUES FERREIRA</t>
  </si>
  <si>
    <t xml:space="preserve">BRANZAN E CARNEIRO LTDA</t>
  </si>
  <si>
    <t xml:space="preserve">GERSON NASCIMENTO DOS SANTOS E CIA LTDA </t>
  </si>
  <si>
    <t xml:space="preserve">SOCOLOSKI SUPERMERCADO EIRELI</t>
  </si>
  <si>
    <t xml:space="preserve">REDE SOCOLOSKI</t>
  </si>
  <si>
    <t xml:space="preserve">ACOUGUE E MERCEARIA CENTRAL</t>
  </si>
  <si>
    <t xml:space="preserve">SOCOLOSKI SUPERMERCADO EIRELI ME</t>
  </si>
  <si>
    <t xml:space="preserve">CAFE URBANO LTDA</t>
  </si>
  <si>
    <t xml:space="preserve">CAFE URBANO LTDA ME</t>
  </si>
  <si>
    <t xml:space="preserve">COMERCIO DE ALIMENTOS FERNANDES LTDA</t>
  </si>
  <si>
    <t xml:space="preserve">SUPER RURAL</t>
  </si>
  <si>
    <t xml:space="preserve">CG2 CONVENIENCIAS E GULOSEIMAS LTDA</t>
  </si>
  <si>
    <t xml:space="preserve">ANPM</t>
  </si>
  <si>
    <t xml:space="preserve">FD PRODUTOS DE HIGIENE E BELEZA LTDA</t>
  </si>
  <si>
    <t xml:space="preserve">BRILHO COSMETICOS</t>
  </si>
  <si>
    <t xml:space="preserve">BELISSIMA</t>
  </si>
  <si>
    <t xml:space="preserve">FAMA DISTRIBUIDORA</t>
  </si>
  <si>
    <t xml:space="preserve">CFA COMERCIO DE ALIMENTOS LTDA</t>
  </si>
  <si>
    <t xml:space="preserve">BEEF CLIC</t>
  </si>
  <si>
    <t xml:space="preserve">PANIZZON E SANTOS LTDA</t>
  </si>
  <si>
    <t xml:space="preserve">PANIFICADORA PAO DE OURO</t>
  </si>
  <si>
    <t xml:space="preserve">A F RIBEIRO</t>
  </si>
  <si>
    <t xml:space="preserve">ESPACO ANIMAL</t>
  </si>
  <si>
    <t xml:space="preserve">CASTELINHO COMERCIO DE FRIOS LTDA</t>
  </si>
  <si>
    <t xml:space="preserve">CASTELINHO FRIOS</t>
  </si>
  <si>
    <t xml:space="preserve">TRIGOS DE OURO PANIFICADORA LTDA</t>
  </si>
  <si>
    <t xml:space="preserve">PANIFICADORA TRIGO DE OURO</t>
  </si>
  <si>
    <t xml:space="preserve">ELIZANDREA DA SILVA BORGES OLIVEIRA</t>
  </si>
  <si>
    <t xml:space="preserve">ARCA DE NOE PET SHOP</t>
  </si>
  <si>
    <t xml:space="preserve">LIDER COMERCIO E IND DE ALIMENTOS EIRELI</t>
  </si>
  <si>
    <t xml:space="preserve">LIDER SUPERMERCADO</t>
  </si>
  <si>
    <t xml:space="preserve">LIDER COM E INDUSTRIA DE ALIMENTOS LTDA </t>
  </si>
  <si>
    <t xml:space="preserve">LIDER SUPERMERCADO - PIRATININGA</t>
  </si>
  <si>
    <t xml:space="preserve">LIDER SUPERMERCADO - PARQUE DO LAGO</t>
  </si>
  <si>
    <t xml:space="preserve">LIDER COMERCIO INDUSTRIA DE ALIMENTOS LT</t>
  </si>
  <si>
    <t xml:space="preserve">SUPER LIDER</t>
  </si>
  <si>
    <t xml:space="preserve">ARLEI FERREIRA DAVID</t>
  </si>
  <si>
    <t xml:space="preserve">HOTEL E REST NOVA GERACAO</t>
  </si>
  <si>
    <t xml:space="preserve">FRETES E CHARAO LTDA</t>
  </si>
  <si>
    <t xml:space="preserve">LANCH PINGO DE MEL</t>
  </si>
  <si>
    <t xml:space="preserve">MARLI PEREIRA DA SILVA</t>
  </si>
  <si>
    <t xml:space="preserve">LEOPOLDO ZANUNCIO</t>
  </si>
  <si>
    <t xml:space="preserve">SIRLENE RODRIGUES ROSSI DA SILVA</t>
  </si>
  <si>
    <t xml:space="preserve">SIRLENE R ROSSI DA SILVA E CIA LTDA</t>
  </si>
  <si>
    <t xml:space="preserve">WELTON SILVEIRA SANTANA</t>
  </si>
  <si>
    <t xml:space="preserve">ALAOR LEITE GUTIERREZ</t>
  </si>
  <si>
    <t xml:space="preserve">M  M  BIANO</t>
  </si>
  <si>
    <t xml:space="preserve">SABOR BRASIL REST. E LANCH.</t>
  </si>
  <si>
    <t xml:space="preserve">AUREA ASSUNCAO RAPOSEIRAS</t>
  </si>
  <si>
    <t xml:space="preserve">AFONSO 3007</t>
  </si>
  <si>
    <t xml:space="preserve">VALERIO APARECIDO BERLINI MORETTI</t>
  </si>
  <si>
    <t xml:space="preserve">PAZZARIA DI NAPOLI</t>
  </si>
  <si>
    <t xml:space="preserve">J L L  LANCHES E REFEICOES LTDA</t>
  </si>
  <si>
    <t xml:space="preserve">J L L LANCHES</t>
  </si>
  <si>
    <t xml:space="preserve">JOAO MARINHO ALVES DOS SANTOS</t>
  </si>
  <si>
    <t xml:space="preserve">MERCADO MARINHO</t>
  </si>
  <si>
    <t xml:space="preserve">MOREIRA E CIA LTDA ME</t>
  </si>
  <si>
    <t xml:space="preserve">CONVENIENCIA BONANZA</t>
  </si>
  <si>
    <t xml:space="preserve">RP COMERCIO DE FRIOS LTDA</t>
  </si>
  <si>
    <t xml:space="preserve">EMPORIO DOS FRIOS</t>
  </si>
  <si>
    <t xml:space="preserve">LUIZA MOREIRA DE MELO DE AZEVEDO</t>
  </si>
  <si>
    <t xml:space="preserve">PANIF SANTISTA</t>
  </si>
  <si>
    <t xml:space="preserve">CLEUZINHA DUARTE LEGAL</t>
  </si>
  <si>
    <t xml:space="preserve">BIG BOI E CONVENIENCIA</t>
  </si>
  <si>
    <t xml:space="preserve">CASA NOVA CHURRASCARIA E PIZZARIA LTDA  </t>
  </si>
  <si>
    <t xml:space="preserve">CASA NOVA CHURRASCARIA E PIZZA</t>
  </si>
  <si>
    <t xml:space="preserve">R  S  B  ABREU</t>
  </si>
  <si>
    <t xml:space="preserve">M AURELIANO ANDRADE</t>
  </si>
  <si>
    <t xml:space="preserve">MINI MERCADO E CONV BARATAO</t>
  </si>
  <si>
    <t xml:space="preserve">MERCADO TROPICAL LTDA</t>
  </si>
  <si>
    <t xml:space="preserve">MOYA E PAIAO LTDA</t>
  </si>
  <si>
    <t xml:space="preserve">PET VIDA</t>
  </si>
  <si>
    <t xml:space="preserve">MICHELE DEBORA DA SILVA</t>
  </si>
  <si>
    <t xml:space="preserve">L G CONVENIENCIA</t>
  </si>
  <si>
    <t xml:space="preserve">JL MEDICAMENTOS LTDA</t>
  </si>
  <si>
    <t xml:space="preserve">MEGA FARMA</t>
  </si>
  <si>
    <t xml:space="preserve">DISTRIBUIDORA DE ALIMENTOS NAVIRAI LTDA </t>
  </si>
  <si>
    <t xml:space="preserve">SUOERNERCADO NAVIRAI 2</t>
  </si>
  <si>
    <t xml:space="preserve">SUPERMERCADO NAVIRAI</t>
  </si>
  <si>
    <t xml:space="preserve">SUPERMERCADO NAVIRAI IV</t>
  </si>
  <si>
    <t xml:space="preserve">ISAURA DE OLIVEIRA ROCHA</t>
  </si>
  <si>
    <t xml:space="preserve">WILLIAN LOPES LEMOS</t>
  </si>
  <si>
    <t xml:space="preserve">FARMACIA BELA FARMA</t>
  </si>
  <si>
    <t xml:space="preserve">EDNIR PRESCENDO MARINO</t>
  </si>
  <si>
    <t xml:space="preserve">MAICON DE PAULA NASCIMENTO</t>
  </si>
  <si>
    <t xml:space="preserve">TANYS MERCADO</t>
  </si>
  <si>
    <t xml:space="preserve">A A FARIA</t>
  </si>
  <si>
    <t xml:space="preserve">HEALTH COM SUPLEMENTOS DE ALIMENT LTDA  </t>
  </si>
  <si>
    <t xml:space="preserve">FENIX CONVENIENCIA LTDA</t>
  </si>
  <si>
    <t xml:space="preserve">FENIX CONVENIENCIA</t>
  </si>
  <si>
    <t xml:space="preserve">I S SANTOS DA SILVA</t>
  </si>
  <si>
    <t xml:space="preserve">ZOIAO CONV</t>
  </si>
  <si>
    <t xml:space="preserve">LUIZ CHITOLINA</t>
  </si>
  <si>
    <t xml:space="preserve">COM E DISTRIBUIDORA DE BEBIDA CC</t>
  </si>
  <si>
    <t xml:space="preserve">COMERCIAL DE ALIMENTOS PIRES LTDA-LJ09  </t>
  </si>
  <si>
    <t xml:space="preserve">SM PIRES-LJ09</t>
  </si>
  <si>
    <t xml:space="preserve">JULIO HERIBERTO C. GOMES EIRELI</t>
  </si>
  <si>
    <t xml:space="preserve">MERCEARIA SALVE JORGE</t>
  </si>
  <si>
    <t xml:space="preserve">OLIVA FAEDO</t>
  </si>
  <si>
    <t xml:space="preserve">CONV FAEDO</t>
  </si>
  <si>
    <t xml:space="preserve">EVANDRO ALVES MARTINS ME</t>
  </si>
  <si>
    <t xml:space="preserve">VETCLIN</t>
  </si>
  <si>
    <t xml:space="preserve">EDISON LUIZ RAMALHO AMARAL</t>
  </si>
  <si>
    <t xml:space="preserve">TCHE CONVENIENCIA</t>
  </si>
  <si>
    <t xml:space="preserve">MERCADO MS LTDA</t>
  </si>
  <si>
    <t xml:space="preserve">CARAN E VIZCAINO LTDA</t>
  </si>
  <si>
    <t xml:space="preserve">CASA DO JOAO</t>
  </si>
  <si>
    <t xml:space="preserve">C P NISHIMURA</t>
  </si>
  <si>
    <t xml:space="preserve">PAIVA CESTA BASICA E MERCEARIA</t>
  </si>
  <si>
    <t xml:space="preserve">DIGITAL WEB SERVICOS EIRELI ME</t>
  </si>
  <si>
    <t xml:space="preserve">COVENIECIA MALIBU</t>
  </si>
  <si>
    <t xml:space="preserve">MILTONS CABELOS &amp; ESTETICA LTDA</t>
  </si>
  <si>
    <t xml:space="preserve">MILTONS CABELOS ESTETICA</t>
  </si>
  <si>
    <t xml:space="preserve">E R A  COMERCIO DE ALIMENTOS LTDA</t>
  </si>
  <si>
    <t xml:space="preserve">DEGUSTE BAGUETERIA E CAFETERIA</t>
  </si>
  <si>
    <t xml:space="preserve">JM DISTRIBUIDORA DE BEBIDAS LTDA</t>
  </si>
  <si>
    <t xml:space="preserve">MANOEL PEREIRA BARBOZA</t>
  </si>
  <si>
    <t xml:space="preserve">CLORO SUL PRODUTOS QUIMICOS</t>
  </si>
  <si>
    <t xml:space="preserve">ROSALINA N IMPERIANO RACOES</t>
  </si>
  <si>
    <t xml:space="preserve">O A DA SILVA</t>
  </si>
  <si>
    <t xml:space="preserve">SUPERMERCADO CACIQUE II</t>
  </si>
  <si>
    <t xml:space="preserve">JULY EVERSON BARBOSA FALCAO</t>
  </si>
  <si>
    <t xml:space="preserve">COMERCIAL DE ALIMENTOS BIANCA LTDA</t>
  </si>
  <si>
    <t xml:space="preserve">MERCEARIA BIANCA</t>
  </si>
  <si>
    <t xml:space="preserve">MERCEARIA MINORU LTDA</t>
  </si>
  <si>
    <t xml:space="preserve">MERCEARIA MINORU</t>
  </si>
  <si>
    <t xml:space="preserve">ANTONIO C ALVINO DA SILVA ME</t>
  </si>
  <si>
    <t xml:space="preserve">MERCEARIA ESTRELA DE OURO</t>
  </si>
  <si>
    <t xml:space="preserve">ROSSATTO E CIA LTDA</t>
  </si>
  <si>
    <t xml:space="preserve">CONV AVENIDA</t>
  </si>
  <si>
    <t xml:space="preserve">ANDRADE E BARROS LTDA</t>
  </si>
  <si>
    <t xml:space="preserve">DROGA BEM</t>
  </si>
  <si>
    <t xml:space="preserve">MARIA DE F DOS SANTOS</t>
  </si>
  <si>
    <t xml:space="preserve">PANIF NMODERNA</t>
  </si>
  <si>
    <t xml:space="preserve">ESTACIONAMENTO ALVES E SANTOS LTDA</t>
  </si>
  <si>
    <t xml:space="preserve">ROMA ESTACIONAMENTO</t>
  </si>
  <si>
    <t xml:space="preserve">LARA CAROLINA PIRES</t>
  </si>
  <si>
    <t xml:space="preserve">PANIFICADORA E CONVENENCIA FLO</t>
  </si>
  <si>
    <t xml:space="preserve">AMARILDO DA SILVA FERREIRA</t>
  </si>
  <si>
    <t xml:space="preserve">SUPERMERCADO PRUDENCIA LTDA</t>
  </si>
  <si>
    <t xml:space="preserve">SUPERMERCADO PRUDENCIA</t>
  </si>
  <si>
    <t xml:space="preserve">DELOSANGELA DE SOUZA CHAMORRO ME</t>
  </si>
  <si>
    <t xml:space="preserve">LORY EGGERS ALMEIDA</t>
  </si>
  <si>
    <t xml:space="preserve">NORTE SUL CONVENIENCIA LTDA</t>
  </si>
  <si>
    <t xml:space="preserve">CONVENIENCIA NORTE SUL - POSTO SHIRAISHI</t>
  </si>
  <si>
    <t xml:space="preserve">DIONISIO E DIONISIO  LTDA</t>
  </si>
  <si>
    <t xml:space="preserve">DROGAO DA SETE</t>
  </si>
  <si>
    <t xml:space="preserve">PETRUCIO E VILLALBA LTDA</t>
  </si>
  <si>
    <t xml:space="preserve">RESYAURANTE MARIZON</t>
  </si>
  <si>
    <t xml:space="preserve">C B GOMES CONVENIENCIA LTDA</t>
  </si>
  <si>
    <t xml:space="preserve">CONVENIENCIA SMALL</t>
  </si>
  <si>
    <t xml:space="preserve">LM DISTRIBUIDORA DE ALIMENTOS LTDA</t>
  </si>
  <si>
    <t xml:space="preserve">COSTA RICA CONVENIENCIA LTDA</t>
  </si>
  <si>
    <t xml:space="preserve">COSTA RICA CONVENIENCIA</t>
  </si>
  <si>
    <t xml:space="preserve">JUREMA DOS SANTOS</t>
  </si>
  <si>
    <t xml:space="preserve">FERNANDO NUNES DOS SANTOS</t>
  </si>
  <si>
    <t xml:space="preserve">PANIF SAO JOSE</t>
  </si>
  <si>
    <t xml:space="preserve">APARECIDA LOPES DOS REIS VIANA</t>
  </si>
  <si>
    <t xml:space="preserve">APARECIDA LOPES DOS REIS VIANA EPP</t>
  </si>
  <si>
    <t xml:space="preserve">KARYNE REIS SANTANA DO CARMO</t>
  </si>
  <si>
    <t xml:space="preserve">COMERCIAL SAM DIEGO</t>
  </si>
  <si>
    <t xml:space="preserve">RENATA CAVALLI PEREIRA</t>
  </si>
  <si>
    <t xml:space="preserve">DROGARIA FARMA LIFE</t>
  </si>
  <si>
    <t xml:space="preserve">NF COMERCIO DE MEDICAMENTOS LTDA</t>
  </si>
  <si>
    <t xml:space="preserve">QUIOSQUE DE CHOPP AFONSO PENA LTDA</t>
  </si>
  <si>
    <t xml:space="preserve">QUIOSQUE DE CHOPP AFONSO PENA</t>
  </si>
  <si>
    <t xml:space="preserve">SARAIVA SAMPAIO E CIA LTDA</t>
  </si>
  <si>
    <t xml:space="preserve">AGROPECUARIA JE</t>
  </si>
  <si>
    <t xml:space="preserve">RITA DE CASSIA CAMARGO</t>
  </si>
  <si>
    <t xml:space="preserve">SANTA RITA MERCADO</t>
  </si>
  <si>
    <t xml:space="preserve">J  SANTOS MERCEARIA</t>
  </si>
  <si>
    <t xml:space="preserve">MERCEARIA J SANTOS</t>
  </si>
  <si>
    <t xml:space="preserve">D R S DO CARMO - CONVENIENCIA</t>
  </si>
  <si>
    <t xml:space="preserve">PABLO HENRIQUE GASPARELLI SARTORI</t>
  </si>
  <si>
    <t xml:space="preserve">CAZZADO COMUNICACAO VISUAL</t>
  </si>
  <si>
    <t xml:space="preserve">MERCADO SAN TOME LTDA</t>
  </si>
  <si>
    <t xml:space="preserve">MERCADO SAN TOME</t>
  </si>
  <si>
    <t xml:space="preserve">BMF DISTRIBUIDORA LTDA</t>
  </si>
  <si>
    <t xml:space="preserve">BMF</t>
  </si>
  <si>
    <t xml:space="preserve">SOARES COMERCIO DE ALIMENTOS LTDA</t>
  </si>
  <si>
    <t xml:space="preserve">SM SOARES</t>
  </si>
  <si>
    <t xml:space="preserve">NEUZA BRASILINO DE CAMPOS</t>
  </si>
  <si>
    <t xml:space="preserve">MEGA SORVETERIA</t>
  </si>
  <si>
    <t xml:space="preserve">CARVALHO E HARST LTDA</t>
  </si>
  <si>
    <t xml:space="preserve">VITOR HUGO ROSSI</t>
  </si>
  <si>
    <t xml:space="preserve">M  V  BARBOSA DOS SANTOS</t>
  </si>
  <si>
    <t xml:space="preserve">WOLFF E CANDIDO LTDA</t>
  </si>
  <si>
    <t xml:space="preserve">CINTIA SOLIDADE ALVES</t>
  </si>
  <si>
    <t xml:space="preserve">MECEARIA ALVES</t>
  </si>
  <si>
    <t xml:space="preserve">M G DOS SANTOS BRUNO SUPERMERCADO</t>
  </si>
  <si>
    <t xml:space="preserve">R M L SUPERMERCADOS EIRELI</t>
  </si>
  <si>
    <t xml:space="preserve">SUPERMERCADO LUNARDI 2</t>
  </si>
  <si>
    <t xml:space="preserve">KAZU COMERCIO DE ISCAS LTDA</t>
  </si>
  <si>
    <t xml:space="preserve">KAZU ISCAS VIVAS</t>
  </si>
  <si>
    <t xml:space="preserve">HERCIONE ROCHA CARDOSO CHRISTIANINI</t>
  </si>
  <si>
    <t xml:space="preserve">RUBENS ALVES MERCEARIA</t>
  </si>
  <si>
    <t xml:space="preserve">CONVENIENCIA CANAA</t>
  </si>
  <si>
    <t xml:space="preserve">AGUA VIVA COM DISTR PROD AGROPEC LTDA</t>
  </si>
  <si>
    <t xml:space="preserve">PET SHOP AGUA VIVA</t>
  </si>
  <si>
    <t xml:space="preserve">TIBONI RESTAURANTE E BAR LTDA</t>
  </si>
  <si>
    <t xml:space="preserve">RESTAURANTE TIBONI</t>
  </si>
  <si>
    <t xml:space="preserve">WENDELL DOS REIS RODRIGUES</t>
  </si>
  <si>
    <t xml:space="preserve">PANIFICADORA BARCELONA</t>
  </si>
  <si>
    <t xml:space="preserve">LFWEBER PRODUTOS ODONTOLOGICOS HOSPITALA</t>
  </si>
  <si>
    <t xml:space="preserve">LFWEBER</t>
  </si>
  <si>
    <t xml:space="preserve">MANTOVANI E HARDER LTDA ME</t>
  </si>
  <si>
    <t xml:space="preserve">REINO ANIMAL</t>
  </si>
  <si>
    <t xml:space="preserve">DAKOTA TRANSPORTES E CONVENIENCIA LTDA  </t>
  </si>
  <si>
    <t xml:space="preserve">DAKOTA CONVENIENCIA</t>
  </si>
  <si>
    <t xml:space="preserve">GILSON CORREA DE MATOS</t>
  </si>
  <si>
    <t xml:space="preserve">SILVEIRA E GIMENES LTDA</t>
  </si>
  <si>
    <t xml:space="preserve">STRALIOTTO E STRALIOTTO LTDA</t>
  </si>
  <si>
    <t xml:space="preserve">REST RECANTO DOS AMIGOS</t>
  </si>
  <si>
    <t xml:space="preserve">CANISSO E CANISSO IMPORT EXPORTACAO LTDA</t>
  </si>
  <si>
    <t xml:space="preserve">KOKOTAS RESTAURANTE</t>
  </si>
  <si>
    <t xml:space="preserve">ALEXANDRE ALVES DEMAMANN</t>
  </si>
  <si>
    <t xml:space="preserve">BAHR TCHE</t>
  </si>
  <si>
    <t xml:space="preserve">LOPES DE OLIVEIRA E OLIVEIRA LTDA</t>
  </si>
  <si>
    <t xml:space="preserve">AB DE OLIVEIRA COM DE MEDICAMENTOS LTDA </t>
  </si>
  <si>
    <t xml:space="preserve">IONE MOREIRA DE ALMEIDA</t>
  </si>
  <si>
    <t xml:space="preserve">SUPERMERCADO WI</t>
  </si>
  <si>
    <t xml:space="preserve">FARMACIA NOVA MED LTDA</t>
  </si>
  <si>
    <t xml:space="preserve">FARMACIA NOVA MED</t>
  </si>
  <si>
    <t xml:space="preserve">MERCADO ESTRELA GUIA LTDA</t>
  </si>
  <si>
    <t xml:space="preserve">JR SUPERMERCADO LTDA</t>
  </si>
  <si>
    <t xml:space="preserve">ADRIANA COSTA TINOCO SANTOS</t>
  </si>
  <si>
    <t xml:space="preserve">REST BOM SABOR</t>
  </si>
  <si>
    <t xml:space="preserve">COMERCIO DE ALIMENTOS ZAHRAN LTDA</t>
  </si>
  <si>
    <t xml:space="preserve">PANIF PAO BENTO ZAHRAN</t>
  </si>
  <si>
    <t xml:space="preserve">JOSE MARIA GUIRADO</t>
  </si>
  <si>
    <t xml:space="preserve">TRINDADE E SOUZA LTDA ME</t>
  </si>
  <si>
    <t xml:space="preserve">FARMACIA MORIFARMA</t>
  </si>
  <si>
    <t xml:space="preserve">TORRE FORTE PRODUTOS ALIMENTIICOS LTDA  </t>
  </si>
  <si>
    <t xml:space="preserve">TORRE FORTE PRODUTOS ALIMENTIC</t>
  </si>
  <si>
    <t xml:space="preserve">LUCIANO ZAMAI</t>
  </si>
  <si>
    <t xml:space="preserve">CERV JA</t>
  </si>
  <si>
    <t xml:space="preserve">ALMEIDA E RAMOS LTDA-ME</t>
  </si>
  <si>
    <t xml:space="preserve">DROGA CENTER</t>
  </si>
  <si>
    <t xml:space="preserve">GERSON RODRIGUES SOARES E CIA LTDA</t>
  </si>
  <si>
    <t xml:space="preserve">SUPERMERCADO SOARES</t>
  </si>
  <si>
    <t xml:space="preserve">HOTEL ESPLANADA CASSILANDIA LTDA</t>
  </si>
  <si>
    <t xml:space="preserve">HOTEL ESPLAMADA</t>
  </si>
  <si>
    <t xml:space="preserve">CHANTILLY PAES E CONVENIENCIAS LTDA</t>
  </si>
  <si>
    <t xml:space="preserve">PANIF CHANTILLY</t>
  </si>
  <si>
    <t xml:space="preserve">MELO E MONTANA LTDA</t>
  </si>
  <si>
    <t xml:space="preserve">SUPERMERCADO CATARINENSE</t>
  </si>
  <si>
    <t xml:space="preserve">VILLAGE BEAUTY CENTRO BELEZA ESTET LTDA </t>
  </si>
  <si>
    <t xml:space="preserve">UNIKE ESPACO DA BELEZA</t>
  </si>
  <si>
    <t xml:space="preserve">CENTRAL MIX LTDA ME</t>
  </si>
  <si>
    <t xml:space="preserve">CENTRAL MIX</t>
  </si>
  <si>
    <t xml:space="preserve">SOUZA E FREITAS LTDA</t>
  </si>
  <si>
    <t xml:space="preserve">SM BRASIL</t>
  </si>
  <si>
    <t xml:space="preserve">SELLUZ IND COM DE POSTES LTDA</t>
  </si>
  <si>
    <t xml:space="preserve">SELLUZ</t>
  </si>
  <si>
    <t xml:space="preserve">VELTRIA MERIELLE GONCALVES CARMO SANTA  </t>
  </si>
  <si>
    <t xml:space="preserve">MERCADO ATENAS</t>
  </si>
  <si>
    <t xml:space="preserve">M S DE BASTOS VIEIRA</t>
  </si>
  <si>
    <t xml:space="preserve">MATOS E DIAS LTDA</t>
  </si>
  <si>
    <t xml:space="preserve">FARMACIA DROGA MATOS</t>
  </si>
  <si>
    <t xml:space="preserve">SHANGAI FRUTAS LTDA</t>
  </si>
  <si>
    <t xml:space="preserve">SHANGAI FRUTAS</t>
  </si>
  <si>
    <t xml:space="preserve">PANIFICADORA E CONFEIT ESTILUS EIRELI</t>
  </si>
  <si>
    <t xml:space="preserve">PANIFICADORA E CONFEITARIA ESTILUS</t>
  </si>
  <si>
    <t xml:space="preserve">BRAGA E AMARAL LTDA</t>
  </si>
  <si>
    <t xml:space="preserve">VIVENDA DO CAMARAO</t>
  </si>
  <si>
    <t xml:space="preserve">J DA SILVA COMERCIAL</t>
  </si>
  <si>
    <t xml:space="preserve">COMERCIAL WAGNER</t>
  </si>
  <si>
    <t xml:space="preserve">RENE PEREIRA DE SOUZA ME</t>
  </si>
  <si>
    <t xml:space="preserve">TEIXEIRA E SOUZA LTDA ME</t>
  </si>
  <si>
    <t xml:space="preserve">VICENTE LUIZ GUCIONE</t>
  </si>
  <si>
    <t xml:space="preserve">LAPA E RECALDE LTDA</t>
  </si>
  <si>
    <t xml:space="preserve">MERCEARIA GUANANDY</t>
  </si>
  <si>
    <t xml:space="preserve">COMERCIAL TOMADON DE ALIM E BEBIDAS LTDA</t>
  </si>
  <si>
    <t xml:space="preserve">CONV E CASA DE CARNE REDONDUS</t>
  </si>
  <si>
    <t xml:space="preserve">JOAO FELICIANO RODRIGUES DE ARAUJO</t>
  </si>
  <si>
    <t xml:space="preserve">CUSTODIO E TRAVAIN LTDA</t>
  </si>
  <si>
    <t xml:space="preserve">C E V LOPES</t>
  </si>
  <si>
    <t xml:space="preserve">FRICARNES</t>
  </si>
  <si>
    <t xml:space="preserve">DANIEL DE BARROS MARINHO</t>
  </si>
  <si>
    <t xml:space="preserve">PIZZARIA 10</t>
  </si>
  <si>
    <t xml:space="preserve">TANIA MARA VIEIRA LINO</t>
  </si>
  <si>
    <t xml:space="preserve">SM LIMO</t>
  </si>
  <si>
    <t xml:space="preserve">MIRTES ROSALVO L  DA CUNHA</t>
  </si>
  <si>
    <t xml:space="preserve">COMERCIAL ANA</t>
  </si>
  <si>
    <t xml:space="preserve">G.GOMES S L GOMES LTDA</t>
  </si>
  <si>
    <t xml:space="preserve">MAIRA GONCALVES COSTA</t>
  </si>
  <si>
    <t xml:space="preserve">J.A.M.C. EMPORIO</t>
  </si>
  <si>
    <t xml:space="preserve">VO ITO PIZZAS E LANCHES LTDA</t>
  </si>
  <si>
    <t xml:space="preserve">RESTAURANTE VO ITO</t>
  </si>
  <si>
    <t xml:space="preserve">RENATO MACIEL DIAS FERREIRA</t>
  </si>
  <si>
    <t xml:space="preserve">SAO BENTO CONVENIENCIA</t>
  </si>
  <si>
    <t xml:space="preserve">AUTO CONVENIENCIA LTDA</t>
  </si>
  <si>
    <t xml:space="preserve">AUTO CONVENIENCIA</t>
  </si>
  <si>
    <t xml:space="preserve">LESCANO E BARBOZA LTDA</t>
  </si>
  <si>
    <t xml:space="preserve">CASA DE CARNE LESCANO</t>
  </si>
  <si>
    <t xml:space="preserve">FIUSA E FIUSA LTDA</t>
  </si>
  <si>
    <t xml:space="preserve">VALDERI DE JESUS GONCALVES</t>
  </si>
  <si>
    <t xml:space="preserve">MINE M PONTO CERTO</t>
  </si>
  <si>
    <t xml:space="preserve">MARCOS DAMIAO NUNES COUTINHO</t>
  </si>
  <si>
    <t xml:space="preserve">MARQUINHOS CONVENIENCIA</t>
  </si>
  <si>
    <t xml:space="preserve">AVENIA E FABRI LTDA</t>
  </si>
  <si>
    <t xml:space="preserve">CONVENIENCIA MARINGA II</t>
  </si>
  <si>
    <t xml:space="preserve">MARIA NOVAIS LACERDA</t>
  </si>
  <si>
    <t xml:space="preserve">MINE MERCADO ACOUGUE B JESUS</t>
  </si>
  <si>
    <t xml:space="preserve">L E K COMERCIO DE ALIMENTOS LTDA</t>
  </si>
  <si>
    <t xml:space="preserve">AMERICA DISTRIB DE BEBIDAS E ALIM LTDA  </t>
  </si>
  <si>
    <t xml:space="preserve">PANOFF</t>
  </si>
  <si>
    <t xml:space="preserve">SUPERMERCADO PERES E GARCIA LTDA</t>
  </si>
  <si>
    <t xml:space="preserve">SUP GARCIA</t>
  </si>
  <si>
    <t xml:space="preserve">BRUNO RAFAEL DA SILVA TAVEIRA</t>
  </si>
  <si>
    <t xml:space="preserve">PARE E COMPRE CONVENIENCIA</t>
  </si>
  <si>
    <t xml:space="preserve">VALDUI GONCALVES</t>
  </si>
  <si>
    <t xml:space="preserve">MERCADO CRO E CRA</t>
  </si>
  <si>
    <t xml:space="preserve">ANDRE LUIZ MORAIS DE ALMEIDA</t>
  </si>
  <si>
    <t xml:space="preserve">NONATO E OLIVEIRA COM  DE ALIMENTOS</t>
  </si>
  <si>
    <t xml:space="preserve">BEM FICA CONVENIENCIA</t>
  </si>
  <si>
    <t xml:space="preserve">ADILSON PEREIRA ALVES EIRELI ME</t>
  </si>
  <si>
    <t xml:space="preserve">DROGARIA COLUMBIA</t>
  </si>
  <si>
    <t xml:space="preserve">COMERCIAL BELA VISTA LTDA</t>
  </si>
  <si>
    <t xml:space="preserve">COMERCIAL BELA VISTA</t>
  </si>
  <si>
    <t xml:space="preserve">COMERCIAL PINHEIRO DE ALIMENTOS LTDA</t>
  </si>
  <si>
    <t xml:space="preserve">BOM PRECO II</t>
  </si>
  <si>
    <t xml:space="preserve">MERC ACOUGUE SEM TROCO</t>
  </si>
  <si>
    <t xml:space="preserve">MERCADO JS LTDA</t>
  </si>
  <si>
    <t xml:space="preserve">MERCADINHO J S</t>
  </si>
  <si>
    <t xml:space="preserve">OLAIR SANCHES DA SILVA</t>
  </si>
  <si>
    <t xml:space="preserve">SUPERMERCADO ELIANE</t>
  </si>
  <si>
    <t xml:space="preserve">COMERCIO DE ALIMENTOS L E G LTDA</t>
  </si>
  <si>
    <t xml:space="preserve">MERCADO L &amp; G</t>
  </si>
  <si>
    <t xml:space="preserve">ELIANA FERNANDA CATALANO CARNAVAL</t>
  </si>
  <si>
    <t xml:space="preserve">MERCADO SOL NASCENTE LTDA</t>
  </si>
  <si>
    <t xml:space="preserve">MERC SOL NASCENTE</t>
  </si>
  <si>
    <t xml:space="preserve">E R DOS SANTOS MERCEARIA</t>
  </si>
  <si>
    <t xml:space="preserve">ATALIA EVENTOS PRODUCOES LTDA</t>
  </si>
  <si>
    <t xml:space="preserve">LORD PUB</t>
  </si>
  <si>
    <t xml:space="preserve">REDE ECONOMICA DE SUPERMERCADOS SA</t>
  </si>
  <si>
    <t xml:space="preserve">LOJAS SA</t>
  </si>
  <si>
    <t xml:space="preserve">AUTO POSTO NACOES INDIGENAS LTDA</t>
  </si>
  <si>
    <t xml:space="preserve">POSTO NACOES INDIGENAS</t>
  </si>
  <si>
    <t xml:space="preserve">LIANE E SISSI COMERCIO DE ALIMENTOS</t>
  </si>
  <si>
    <t xml:space="preserve">BISTROT LIBANES</t>
  </si>
  <si>
    <t xml:space="preserve">OLIVEIRA E MOTTI COM DE ALIMENTOS LTDA  </t>
  </si>
  <si>
    <t xml:space="preserve">MERCADO MOTTI</t>
  </si>
  <si>
    <t xml:space="preserve">MAYCON MARCOLINO MELO</t>
  </si>
  <si>
    <t xml:space="preserve">E A GONCALVES MERCEARIA</t>
  </si>
  <si>
    <t xml:space="preserve">MAQUINA DE ARROZ DO PARAIBA</t>
  </si>
  <si>
    <t xml:space="preserve">NEUSA RODRIGUES</t>
  </si>
  <si>
    <t xml:space="preserve">ITANHAGA PAES</t>
  </si>
  <si>
    <t xml:space="preserve">ALL LINE FOODS</t>
  </si>
  <si>
    <t xml:space="preserve">SABOR EM QUILO</t>
  </si>
  <si>
    <t xml:space="preserve">VARANDA CONVENIENCIAS EIRELI ME</t>
  </si>
  <si>
    <t xml:space="preserve">VARANDA CONVENIENCIAS</t>
  </si>
  <si>
    <t xml:space="preserve">GISELLE DE OLIVEIRA TENORIO</t>
  </si>
  <si>
    <t xml:space="preserve">CONV MGA TENORIO</t>
  </si>
  <si>
    <t xml:space="preserve">SOLANGE BERNADES DA COSTA PEREIRA E CIA </t>
  </si>
  <si>
    <t xml:space="preserve">UNIVERSO PET</t>
  </si>
  <si>
    <t xml:space="preserve">LORCA E PACHECO LTDA</t>
  </si>
  <si>
    <t xml:space="preserve">DA TERRA COM PROD AGRO PET LTDA</t>
  </si>
  <si>
    <t xml:space="preserve">DA TERRA AGRO PET</t>
  </si>
  <si>
    <t xml:space="preserve">CAFE BAMBU BAR LTDA</t>
  </si>
  <si>
    <t xml:space="preserve">CAFE - BAMBU</t>
  </si>
  <si>
    <t xml:space="preserve">SUPERMERCADO MONTE CASTELO LTDA</t>
  </si>
  <si>
    <t xml:space="preserve">MERCADO MONTE CASTELO</t>
  </si>
  <si>
    <t xml:space="preserve">COMERCIAL SILVA LTDA</t>
  </si>
  <si>
    <t xml:space="preserve">SUPERMERCADO SILVA</t>
  </si>
  <si>
    <t xml:space="preserve">AUTO POSTO 7 MARES LTDA - EPP</t>
  </si>
  <si>
    <t xml:space="preserve">POSTO H M</t>
  </si>
  <si>
    <t xml:space="preserve">SKALLA SILVA ALIMENTOS LTDA</t>
  </si>
  <si>
    <t xml:space="preserve">C J A COMERCIO E SERVICOS LTDA</t>
  </si>
  <si>
    <t xml:space="preserve">RESTAURANTE SANTOS DUMONT</t>
  </si>
  <si>
    <t xml:space="preserve">S A HAMIE SAHLI COMERCIO</t>
  </si>
  <si>
    <t xml:space="preserve">ZEN ALIMENTOS</t>
  </si>
  <si>
    <t xml:space="preserve">FRANCISCO ORTIZ NETO</t>
  </si>
  <si>
    <t xml:space="preserve">VITORIA GAS</t>
  </si>
  <si>
    <t xml:space="preserve">ADEMIR MARQUES ROSA</t>
  </si>
  <si>
    <t xml:space="preserve">HORTI FRUTI DO PRODUTOR</t>
  </si>
  <si>
    <t xml:space="preserve">RICARDO NOBOYUKI HIGASHI</t>
  </si>
  <si>
    <t xml:space="preserve">MERCADO HIGASHI</t>
  </si>
  <si>
    <t xml:space="preserve">PRADO E GOMES COM DE ALIMENTOS LTDA</t>
  </si>
  <si>
    <t xml:space="preserve">SECADOR PRODUTOS ALIMENTOS LTDA</t>
  </si>
  <si>
    <t xml:space="preserve">SECADOR MERCADO</t>
  </si>
  <si>
    <t xml:space="preserve">RICARDO GONCALVES LOURENCO</t>
  </si>
  <si>
    <t xml:space="preserve">CASA DE</t>
  </si>
  <si>
    <t xml:space="preserve">E V QUINTANA</t>
  </si>
  <si>
    <t xml:space="preserve">COMERCIAL DE ALIMENTOS JK LTDA ME</t>
  </si>
  <si>
    <t xml:space="preserve">SUPERMERCADO DO EDINHO MASTER</t>
  </si>
  <si>
    <t xml:space="preserve">C N MOREIRA MERCADO E ACOUGUE</t>
  </si>
  <si>
    <t xml:space="preserve">PRIMICIA COSMETICOS E PERFUMARIA LTDA</t>
  </si>
  <si>
    <t xml:space="preserve">PRIMICIA COSMETICOS</t>
  </si>
  <si>
    <t xml:space="preserve">PRIMICIA COSMETICOS E PERFUMARIA</t>
  </si>
  <si>
    <t xml:space="preserve">VIRACOPOS BOTEQUIM E PETISQUERIA LTDA</t>
  </si>
  <si>
    <t xml:space="preserve">VIRA COPOS BOTEQUIN</t>
  </si>
  <si>
    <t xml:space="preserve">C  S  MIRANDA</t>
  </si>
  <si>
    <t xml:space="preserve">FERREIRA DA SILVA E RODRIGUES LTDA</t>
  </si>
  <si>
    <t xml:space="preserve">SUPERMERCADO DO EDINHO</t>
  </si>
  <si>
    <t xml:space="preserve">SUPERMERCADO REAL BRASIL LTDA</t>
  </si>
  <si>
    <t xml:space="preserve">SM REAL BRASIL</t>
  </si>
  <si>
    <t xml:space="preserve">MORENO E LAPORTE LTDA</t>
  </si>
  <si>
    <t xml:space="preserve">ANTONIA CIMARA CAVALHEIRO MACHADO</t>
  </si>
  <si>
    <t xml:space="preserve">SM PEG PAG</t>
  </si>
  <si>
    <t xml:space="preserve">PADARIA SANTO PAO LTDA</t>
  </si>
  <si>
    <t xml:space="preserve">SANTO PAO</t>
  </si>
  <si>
    <t xml:space="preserve">CONQUISTA CONVENIENCIA E GAS LTDA</t>
  </si>
  <si>
    <t xml:space="preserve">CONQUISTA</t>
  </si>
  <si>
    <t xml:space="preserve">ALENCAR E FERREIRA LTDA</t>
  </si>
  <si>
    <t xml:space="preserve">MORENA SABOR</t>
  </si>
  <si>
    <t xml:space="preserve">MARIA JANETE OLIVEIRA</t>
  </si>
  <si>
    <t xml:space="preserve">JOYCE CHIMENEZ DA SILVA</t>
  </si>
  <si>
    <t xml:space="preserve">CANTINA DA NEUZA</t>
  </si>
  <si>
    <t xml:space="preserve">CONVENIENCIA CALIXTO GUIMARAES LTDA ME  </t>
  </si>
  <si>
    <t xml:space="preserve">COVENIENCIA DO CALIXTO</t>
  </si>
  <si>
    <t xml:space="preserve">DIFARMA PRODUTOS FARMACEUTICOS LTDA</t>
  </si>
  <si>
    <t xml:space="preserve">FARMACIA DIFARMA</t>
  </si>
  <si>
    <t xml:space="preserve">EDSON BESSAO E CIA LTDA</t>
  </si>
  <si>
    <t xml:space="preserve">SUPERMERCADO BESSAO</t>
  </si>
  <si>
    <t xml:space="preserve">KOPES E CAVALHEIRI LTDA</t>
  </si>
  <si>
    <t xml:space="preserve">CHURRASCARIA E LANC. MATA</t>
  </si>
  <si>
    <t xml:space="preserve">V V DE ALMEIDA</t>
  </si>
  <si>
    <t xml:space="preserve">CONVENIENCIA BOM D+</t>
  </si>
  <si>
    <t xml:space="preserve">OLIVAS ALIMENTOS LTDA</t>
  </si>
  <si>
    <t xml:space="preserve">OLIVAS ALIMENTOS</t>
  </si>
  <si>
    <t xml:space="preserve">ANGELA MARIA BARRIOS</t>
  </si>
  <si>
    <t xml:space="preserve">AUTO POSTO PAGLIOTTO II LTDA</t>
  </si>
  <si>
    <t xml:space="preserve">AUTO POSTO PAGLIOTTO</t>
  </si>
  <si>
    <t xml:space="preserve">TASSIA DE ALBUQUERQUE CAVALCANTE TEODORO</t>
  </si>
  <si>
    <t xml:space="preserve">NAJMI EXPORTADORA E IMPORTADORA LTDA</t>
  </si>
  <si>
    <t xml:space="preserve">NAJMI</t>
  </si>
  <si>
    <t xml:space="preserve">NEURIELE FERREIRA DA SILVA</t>
  </si>
  <si>
    <t xml:space="preserve">HOTEL E RESTAURANTE BISTECAO</t>
  </si>
  <si>
    <t xml:space="preserve">COMERCIAL CASA SILVA LTDA EPP</t>
  </si>
  <si>
    <t xml:space="preserve">SUPERMERCADOS REAL LTDA</t>
  </si>
  <si>
    <t xml:space="preserve">REDE REAL (BOLSAO)</t>
  </si>
  <si>
    <t xml:space="preserve">MINI MERCDO REAL 2</t>
  </si>
  <si>
    <t xml:space="preserve">GOLIN E ALMEIDA LTDA</t>
  </si>
  <si>
    <t xml:space="preserve">SHOPCAR PNEUS CENTRO AUTOMOTIVO LTDA</t>
  </si>
  <si>
    <t xml:space="preserve">SHOPCAR PNUES</t>
  </si>
  <si>
    <t xml:space="preserve">JOAO CARLOS SORRILHA</t>
  </si>
  <si>
    <t xml:space="preserve">COMERCIAL J L CINTRA GENERO ALIMENT LTDA</t>
  </si>
  <si>
    <t xml:space="preserve">MERCEARIA E CONV DOM AQUINO</t>
  </si>
  <si>
    <t xml:space="preserve">VANDERSON SAUCEDO LIMA</t>
  </si>
  <si>
    <t xml:space="preserve">LUIZ DA COSTA RONDON NETO ME</t>
  </si>
  <si>
    <t xml:space="preserve">N S A REFEICOES COLETIVAS</t>
  </si>
  <si>
    <t xml:space="preserve">ANA COSTA DA SILVA</t>
  </si>
  <si>
    <t xml:space="preserve">GONCALVES E GONCALVES SUPERMERCADO LTDA </t>
  </si>
  <si>
    <t xml:space="preserve">REDEMS SANTO ANTONIO</t>
  </si>
  <si>
    <t xml:space="preserve">SM SANTO ANTONIO LJ I</t>
  </si>
  <si>
    <t xml:space="preserve">RODRIGUES DOMINGUES E BORGES LTDA</t>
  </si>
  <si>
    <t xml:space="preserve">ANDRADE E MARTINS LTDA</t>
  </si>
  <si>
    <t xml:space="preserve">CASA DE CARNE E CONV 2 IRMAOS</t>
  </si>
  <si>
    <t xml:space="preserve">ER DE OLIVEIRA</t>
  </si>
  <si>
    <t xml:space="preserve">MERC. OLIVEIRA</t>
  </si>
  <si>
    <t xml:space="preserve">D  S  COELHO</t>
  </si>
  <si>
    <t xml:space="preserve">CONEVENIENCIA NOSSA SENHORA AP</t>
  </si>
  <si>
    <t xml:space="preserve">ERMES ORTIZ BARBOSA</t>
  </si>
  <si>
    <t xml:space="preserve">MERCEARIA ACOUGUE E CONVENIENC</t>
  </si>
  <si>
    <t xml:space="preserve">ALEXANDRO EDUARDO ZANKANOL VAZ-ME</t>
  </si>
  <si>
    <t xml:space="preserve">DUMEDI</t>
  </si>
  <si>
    <t xml:space="preserve">ARTEMIO AFONSO PONTELLO</t>
  </si>
  <si>
    <t xml:space="preserve">LANCH E CHURR RODOVIARIA S.GAB</t>
  </si>
  <si>
    <t xml:space="preserve">ODEVALDO JOSE FERNANDES LANCHES</t>
  </si>
  <si>
    <t xml:space="preserve">CASA SALGADO 3 MARIA</t>
  </si>
  <si>
    <t xml:space="preserve">WELTON LIMA DO PRADO</t>
  </si>
  <si>
    <t xml:space="preserve">COML ALIMENTOS CARVALHO E SILVA LTDA</t>
  </si>
  <si>
    <t xml:space="preserve">CAJADO COMERCIO DE CARNES E FRIOS LTDA  </t>
  </si>
  <si>
    <t xml:space="preserve">EMPORIO DA CARNE</t>
  </si>
  <si>
    <t xml:space="preserve">ANTONIO COSTA BUENO</t>
  </si>
  <si>
    <t xml:space="preserve">ADEVE COMERCIO E DISTRIBUICAO LTDA</t>
  </si>
  <si>
    <t xml:space="preserve">ASTURIO PEREIRA BICUDO</t>
  </si>
  <si>
    <t xml:space="preserve">SUP SANTA CLARA II</t>
  </si>
  <si>
    <t xml:space="preserve">QUALITA MERCADO E CONVENIENCIA LTDA ME  </t>
  </si>
  <si>
    <t xml:space="preserve">MERCADO E CONVENIENCIA JL</t>
  </si>
  <si>
    <t xml:space="preserve">FLORISMAR DE JESUS BRANDAO</t>
  </si>
  <si>
    <t xml:space="preserve">ALOCIN FERREIRA VICENTE</t>
  </si>
  <si>
    <t xml:space="preserve">PANIF FLOR DO TRIGO</t>
  </si>
  <si>
    <t xml:space="preserve">F  CRISTINA BARBOSA</t>
  </si>
  <si>
    <t xml:space="preserve">ESPETERIA E CONVENIENCIA GLORI</t>
  </si>
  <si>
    <t xml:space="preserve">MORENO E MORENO LTDA</t>
  </si>
  <si>
    <t xml:space="preserve">SUPERMERCADO PARANA</t>
  </si>
  <si>
    <t xml:space="preserve">W DE PAULA SILVA</t>
  </si>
  <si>
    <t xml:space="preserve">COMERCIAL P DA SILVA</t>
  </si>
  <si>
    <t xml:space="preserve">SANTOS E CERVANTES LTDA</t>
  </si>
  <si>
    <t xml:space="preserve">PANIFICADORA VENUS</t>
  </si>
  <si>
    <t xml:space="preserve">MESSIAS BARBOSA</t>
  </si>
  <si>
    <t xml:space="preserve">REST MEC LANCHES</t>
  </si>
  <si>
    <t xml:space="preserve">SOUZA FERNANDES E CIA LTDA</t>
  </si>
  <si>
    <t xml:space="preserve">S F CONVENIENCIA</t>
  </si>
  <si>
    <t xml:space="preserve">SIMONE RAIMUNDO SILVA</t>
  </si>
  <si>
    <t xml:space="preserve">PAPELARIA MIX</t>
  </si>
  <si>
    <t xml:space="preserve">DANZER E DANZER SUPERMERCADO LTDA</t>
  </si>
  <si>
    <t xml:space="preserve">SUPERMARCADO IDEAL</t>
  </si>
  <si>
    <t xml:space="preserve">CONVENIENCIA AVENIDA AFONSO PENA LTDA</t>
  </si>
  <si>
    <t xml:space="preserve">CONVENIENCIA AFONSO PENA</t>
  </si>
  <si>
    <t xml:space="preserve">WANDER ALVES MELEIRO</t>
  </si>
  <si>
    <t xml:space="preserve">KERBER E KERBER LTDA</t>
  </si>
  <si>
    <t xml:space="preserve">REST E CHURR CATARINENSE</t>
  </si>
  <si>
    <t xml:space="preserve">JOANA DARC SANTO CONCHE</t>
  </si>
  <si>
    <t xml:space="preserve">GRUTA GELADA</t>
  </si>
  <si>
    <t xml:space="preserve">REGINA ANA PAESANO</t>
  </si>
  <si>
    <t xml:space="preserve">PANIFICADORA E CONF PAO CROKANTE LTDA</t>
  </si>
  <si>
    <t xml:space="preserve">PANIF PAO CROKANTE</t>
  </si>
  <si>
    <t xml:space="preserve">FAVERO E FAVERO LTDA</t>
  </si>
  <si>
    <t xml:space="preserve">E S ZAGO E CIA LTDA</t>
  </si>
  <si>
    <t xml:space="preserve">REDE BOM VIZINHO</t>
  </si>
  <si>
    <t xml:space="preserve">SM SAO JOAO</t>
  </si>
  <si>
    <t xml:space="preserve">RODRIGUES E GALEGO LTDA</t>
  </si>
  <si>
    <t xml:space="preserve">OSCAR QUINTANA DA SILVA</t>
  </si>
  <si>
    <t xml:space="preserve">DIS DE ALIMENTOS SILVA</t>
  </si>
  <si>
    <t xml:space="preserve">MARK VALENTIN PEREIRA</t>
  </si>
  <si>
    <t xml:space="preserve">CONVENIENCIA GARAGEM</t>
  </si>
  <si>
    <t xml:space="preserve">J DOS SANTOS COSTA</t>
  </si>
  <si>
    <t xml:space="preserve">MERCADO SUPREMO</t>
  </si>
  <si>
    <t xml:space="preserve">IVONE PIRES CEZAR</t>
  </si>
  <si>
    <t xml:space="preserve">MERCADO PIRES</t>
  </si>
  <si>
    <t xml:space="preserve">NEILA CATARINA BORGES ME</t>
  </si>
  <si>
    <t xml:space="preserve">LEONARDO MUNARINI E CIA LTDA</t>
  </si>
  <si>
    <t xml:space="preserve">CHALANA GRILL &amp; CHOPPERIA</t>
  </si>
  <si>
    <t xml:space="preserve">MARIA AUXILIADORA FRANCA</t>
  </si>
  <si>
    <t xml:space="preserve">MERCADO FRANCA</t>
  </si>
  <si>
    <t xml:space="preserve">MERCEARIA SOUZA LTDA</t>
  </si>
  <si>
    <t xml:space="preserve">IRANIUSA MATIAS DE SOUZA</t>
  </si>
  <si>
    <t xml:space="preserve">LIVIA SUPERMERCADO</t>
  </si>
  <si>
    <t xml:space="preserve">LAR CENTER</t>
  </si>
  <si>
    <t xml:space="preserve">OMAR DIAS DA SILVA</t>
  </si>
  <si>
    <t xml:space="preserve">DOCULA PADARIA</t>
  </si>
  <si>
    <t xml:space="preserve">MARCOS PAULO SIVIERO PINTO</t>
  </si>
  <si>
    <t xml:space="preserve">AGRO PET</t>
  </si>
  <si>
    <t xml:space="preserve">JORGE CHARBEL BERTO NASRALLA</t>
  </si>
  <si>
    <t xml:space="preserve">RESTAURANTE E LANCHO VACARIA</t>
  </si>
  <si>
    <t xml:space="preserve">DROGA RAPIDA LTDA</t>
  </si>
  <si>
    <t xml:space="preserve">DROGA RAPIDA</t>
  </si>
  <si>
    <t xml:space="preserve">DOMINGUES E DOMINGUES COM DE ALIM LTDA  </t>
  </si>
  <si>
    <t xml:space="preserve">DOMINGOS E OLIVEIRA LTDA</t>
  </si>
  <si>
    <t xml:space="preserve">PONTO MIX PADARIA</t>
  </si>
  <si>
    <t xml:space="preserve">SUPERMERCADO FUTURISTA LTDA</t>
  </si>
  <si>
    <t xml:space="preserve">MERCADO FUTURISTA</t>
  </si>
  <si>
    <t xml:space="preserve">MARIA APARECIDA ALVES DIAS MARTINS</t>
  </si>
  <si>
    <t xml:space="preserve">MERCADO CASA GRANDE</t>
  </si>
  <si>
    <t xml:space="preserve">NILO GOMES PEREIRA</t>
  </si>
  <si>
    <t xml:space="preserve">DUCOCO PRODUTOS ALIMENTICIOS SA</t>
  </si>
  <si>
    <t xml:space="preserve">ITAPIPOCA</t>
  </si>
  <si>
    <t xml:space="preserve">DUCOCO</t>
  </si>
  <si>
    <t xml:space="preserve">DUCOCO PRODUTOS ALIMENTICIOS</t>
  </si>
  <si>
    <t xml:space="preserve">MORENA PHARMA LTDA</t>
  </si>
  <si>
    <t xml:space="preserve">MORENA PHARMA</t>
  </si>
  <si>
    <t xml:space="preserve">RONALDO CORONEL</t>
  </si>
  <si>
    <t xml:space="preserve">CASA NOVA SHOW BAR</t>
  </si>
  <si>
    <t xml:space="preserve">FARMACIA FARMAKO LTDA</t>
  </si>
  <si>
    <t xml:space="preserve">DROGA FARMAKO</t>
  </si>
  <si>
    <t xml:space="preserve">DANIEL DA SILVA HOLANDA</t>
  </si>
  <si>
    <t xml:space="preserve">CHURRASCARIA F LANCHONETE TAQU</t>
  </si>
  <si>
    <t xml:space="preserve">J N L DE SOUZA</t>
  </si>
  <si>
    <t xml:space="preserve">IGREJA PENTECOSTAL BRASAS VIVAS</t>
  </si>
  <si>
    <t xml:space="preserve">AGROPETMS COMERCIO DE RACOES EIRELLI ME </t>
  </si>
  <si>
    <t xml:space="preserve">AGRO PET MS</t>
  </si>
  <si>
    <t xml:space="preserve">DARIO MANOEL PEREIRA SARMENTO</t>
  </si>
  <si>
    <t xml:space="preserve">FERRAZ E FERRAZ LTDA ME</t>
  </si>
  <si>
    <t xml:space="preserve">PONTO ANIMAL</t>
  </si>
  <si>
    <t xml:space="preserve">LUCIANO BARBOSA</t>
  </si>
  <si>
    <t xml:space="preserve">ACOUGUE E CONV BOI DE OURO</t>
  </si>
  <si>
    <t xml:space="preserve">MAEDA NASCIMENTO COMERCIO DE FRALDAS LTD</t>
  </si>
  <si>
    <t xml:space="preserve">FRALDOLANDIA</t>
  </si>
  <si>
    <t xml:space="preserve">KAMILA MENDES CACERES</t>
  </si>
  <si>
    <t xml:space="preserve">MERC E CONV BOM JESUS</t>
  </si>
  <si>
    <t xml:space="preserve">ANDRADE E ARGUELHO LTDA</t>
  </si>
  <si>
    <t xml:space="preserve">MERCADO E PADARIA POPULAR</t>
  </si>
  <si>
    <t xml:space="preserve">APARICIO RAMAO SILVEIRA</t>
  </si>
  <si>
    <t xml:space="preserve">MERCADO SANTA CLARA II</t>
  </si>
  <si>
    <t xml:space="preserve">LUIZ CARLOS VICTOR DA SILVA</t>
  </si>
  <si>
    <t xml:space="preserve">CARFI E OLIVEIRA LTDA</t>
  </si>
  <si>
    <t xml:space="preserve">MERCEARIA E CONV OLIVEIRA</t>
  </si>
  <si>
    <t xml:space="preserve">IRMAOS BAGATINI LTDA</t>
  </si>
  <si>
    <t xml:space="preserve">CHURRAS</t>
  </si>
  <si>
    <t xml:space="preserve">SUPERMERCADO PARANA LTDA EPP</t>
  </si>
  <si>
    <t xml:space="preserve">CASA DE CARNE E MERCADO PARANA</t>
  </si>
  <si>
    <t xml:space="preserve">SUPERMERCADO BOM GOSTO</t>
  </si>
  <si>
    <t xml:space="preserve">MARINO S COSTA LTDA</t>
  </si>
  <si>
    <t xml:space="preserve">SUP COSTA L 4</t>
  </si>
  <si>
    <t xml:space="preserve">CASANOVA E SILVA LTDA</t>
  </si>
  <si>
    <t xml:space="preserve">N ROMERO DE SOUZA</t>
  </si>
  <si>
    <t xml:space="preserve">ATIVA CONVENIENCIA</t>
  </si>
  <si>
    <t xml:space="preserve">SDB COMERCIO DE ALIMENTOS LTDA-067</t>
  </si>
  <si>
    <t xml:space="preserve">SM COMPER-LJ067</t>
  </si>
  <si>
    <t xml:space="preserve">F-076 SDB COMERCIO LTDA</t>
  </si>
  <si>
    <t xml:space="preserve">REDE FORT ATACAD</t>
  </si>
  <si>
    <t xml:space="preserve">FORT ATACADISTA-LJ076</t>
  </si>
  <si>
    <t xml:space="preserve">F-077 SDB COMERCIO DE ALIMENTOS</t>
  </si>
  <si>
    <t xml:space="preserve">FORT ATACADISTA-LJ077</t>
  </si>
  <si>
    <t xml:space="preserve">F-078 SDB COMERCIO DE ALIMENTOS LTDA</t>
  </si>
  <si>
    <t xml:space="preserve">FORT ATACADISTA-LJ078</t>
  </si>
  <si>
    <t xml:space="preserve">C-067 SDB COMERCIO DE ALIMENTOS LTDA</t>
  </si>
  <si>
    <t xml:space="preserve">F-100 SDB COMERCIO DE ALIMENTOS LTDA</t>
  </si>
  <si>
    <t xml:space="preserve">FORT ATACADISTA-LJ100</t>
  </si>
  <si>
    <t xml:space="preserve">C-071 SDB COMERCIO DE ALIMENTOS LTDA</t>
  </si>
  <si>
    <t xml:space="preserve">SM COMPER-LJ071</t>
  </si>
  <si>
    <t xml:space="preserve">C-072 SDB COMERCIO DE ALIMENTOS LTDA</t>
  </si>
  <si>
    <t xml:space="preserve">SM COMPER-LJ072</t>
  </si>
  <si>
    <t xml:space="preserve">C-074 SDB COMERCIO DE ALIMENTOS LTDA</t>
  </si>
  <si>
    <t xml:space="preserve">SM COMPER-LJ074</t>
  </si>
  <si>
    <t xml:space="preserve">C-086 SDB COMERCIO DE ALIMENTOS LTDA</t>
  </si>
  <si>
    <t xml:space="preserve">COMPER LJ86</t>
  </si>
  <si>
    <t xml:space="preserve">CD- SDB COMERCIO DE ALIMENTOS LTDA</t>
  </si>
  <si>
    <t xml:space="preserve">SDB COMERCIO DE ALIMENTOS LTDA- CD</t>
  </si>
  <si>
    <t xml:space="preserve">F-089 SDB COMERCIO DE ALIMENTOS</t>
  </si>
  <si>
    <t xml:space="preserve">FORT ATACADISTA - LJ089</t>
  </si>
  <si>
    <t xml:space="preserve">F-180 SDB COMERCIO DE ALIMENTOS</t>
  </si>
  <si>
    <t xml:space="preserve">FORT ATACADISTA LOJA 180</t>
  </si>
  <si>
    <t xml:space="preserve">F-170 SDB COMERCIO DE ALIMENTOS LTDA</t>
  </si>
  <si>
    <t xml:space="preserve">FORT ATACADISTA LOJA 170</t>
  </si>
  <si>
    <t xml:space="preserve">C-099 SDB COMERCIO DE ALIMENTOS LTDA</t>
  </si>
  <si>
    <t xml:space="preserve">SUPERMERCADOS COMPER LJ99</t>
  </si>
  <si>
    <t xml:space="preserve">C-330 SDB COMERCIO DE ALIMENTOS LTDA</t>
  </si>
  <si>
    <t xml:space="preserve">SM COMPER-LJ330</t>
  </si>
  <si>
    <t xml:space="preserve">C-642 SDB COMERCIO DE ALIMENTOS LTDA</t>
  </si>
  <si>
    <t xml:space="preserve">SM COMPER LJ 642</t>
  </si>
  <si>
    <t xml:space="preserve">C-134 SDB COMERCIO DE ALIMENTOS LTDA</t>
  </si>
  <si>
    <t xml:space="preserve">SM COMPER LJ 134</t>
  </si>
  <si>
    <t xml:space="preserve">F-470 SDB COMERCIO DE ALIMENTOS LTDA</t>
  </si>
  <si>
    <t xml:space="preserve">FORT LOJA -470 CAFEZAIS</t>
  </si>
  <si>
    <t xml:space="preserve">C-060 SDB COMERCIO DE ALIMENTOS LTDA</t>
  </si>
  <si>
    <t xml:space="preserve">SM COMPER 060</t>
  </si>
  <si>
    <t xml:space="preserve">C-045 SDB COMERCIO DE ALIMENTOS LTDA</t>
  </si>
  <si>
    <t xml:space="preserve">SM COMPER 045</t>
  </si>
  <si>
    <t xml:space="preserve">C-102 SDB COMERCIO DE ALIMENTOS LTDA</t>
  </si>
  <si>
    <t xml:space="preserve">SM COMPER LJ-102</t>
  </si>
  <si>
    <t xml:space="preserve">F-315 SDB COMERCIO DE ALIMENTOS</t>
  </si>
  <si>
    <t xml:space="preserve">FORT ATACADISTA LJ 315-UNIAO</t>
  </si>
  <si>
    <t xml:space="preserve">F-320 SDB COMERCIO DE ALIMENTOS LTDA</t>
  </si>
  <si>
    <t xml:space="preserve">FORT ATACADISTA LOJA 320</t>
  </si>
  <si>
    <t xml:space="preserve">C-144 SDB COMERCIO DE ALIMENTOS LTDA</t>
  </si>
  <si>
    <t xml:space="preserve">COMPER LJ-144</t>
  </si>
  <si>
    <t xml:space="preserve">F-535 SDB COMERCIO DE ALIMENTOS LTDA</t>
  </si>
  <si>
    <t xml:space="preserve">F-535 FORT</t>
  </si>
  <si>
    <t xml:space="preserve">MERCADO REBUA LTDA</t>
  </si>
  <si>
    <t xml:space="preserve">FERRATO E CIA LTDA</t>
  </si>
  <si>
    <t xml:space="preserve">BR MANIA DECK CONVENIENCIAS</t>
  </si>
  <si>
    <t xml:space="preserve">SL COMERCIO E REPRESENTACOES LTDA</t>
  </si>
  <si>
    <t xml:space="preserve">ALEXANDRE GUTEMBERG SILVEIRA</t>
  </si>
  <si>
    <t xml:space="preserve">SUPERMERCADO OURO BRANCO</t>
  </si>
  <si>
    <t xml:space="preserve">A A CORREIA</t>
  </si>
  <si>
    <t xml:space="preserve">TALITA D  RESS</t>
  </si>
  <si>
    <t xml:space="preserve">CONVENIENCIA CRISTO REI III</t>
  </si>
  <si>
    <t xml:space="preserve">SANDRA ELIZABETH CABRERA</t>
  </si>
  <si>
    <t xml:space="preserve">CONVENIENCIA ZERO HORA</t>
  </si>
  <si>
    <t xml:space="preserve">FAVARO E OLIVEIRA LTDA</t>
  </si>
  <si>
    <t xml:space="preserve">MARINA DE MATOS MARIANO MERCADO</t>
  </si>
  <si>
    <t xml:space="preserve">BRANDAO E SARTORI LTDA</t>
  </si>
  <si>
    <t xml:space="preserve">WEVERTON ANTONIO DA SILVA RAMOS</t>
  </si>
  <si>
    <t xml:space="preserve">SUPERMERCADO MARLY</t>
  </si>
  <si>
    <t xml:space="preserve">CAVALLI E PEREIRA LTDA</t>
  </si>
  <si>
    <t xml:space="preserve">FREIRE E FILHOS MEDICAMENTO PERFUM LTDA </t>
  </si>
  <si>
    <t xml:space="preserve">FREIRE E FREIRE MEDIC E PERFUMARIA LTDA </t>
  </si>
  <si>
    <t xml:space="preserve">YPE COMERCIO GENEROS ALIMENTICIOS LTDA  </t>
  </si>
  <si>
    <t xml:space="preserve">PEREIRA E GAZOLLA PROD ALIMENTICIO LTDA </t>
  </si>
  <si>
    <t xml:space="preserve">MERCADO GADAO</t>
  </si>
  <si>
    <t xml:space="preserve">BRITO E ALVES E CIA LTDA-ME</t>
  </si>
  <si>
    <t xml:space="preserve">FERNANDA ALEIXO DA SILVA</t>
  </si>
  <si>
    <t xml:space="preserve">CASA VERDE AGROPECUARIA</t>
  </si>
  <si>
    <t xml:space="preserve">P E P CESTA BASICA LTDA</t>
  </si>
  <si>
    <t xml:space="preserve">P E P CESTA BASICA</t>
  </si>
  <si>
    <t xml:space="preserve">EMERSON DO NASCIMENTO MALHEIROS</t>
  </si>
  <si>
    <t xml:space="preserve">MINI MERCADO TABOADO LTDA</t>
  </si>
  <si>
    <t xml:space="preserve">PANHOTI E CIA LTDA</t>
  </si>
  <si>
    <t xml:space="preserve">MERCADINHO PROGRESSO</t>
  </si>
  <si>
    <t xml:space="preserve">MUNIZ MARCARINI LTDA ME</t>
  </si>
  <si>
    <t xml:space="preserve">PETDANI</t>
  </si>
  <si>
    <t xml:space="preserve">GONCALVES E GONCALVES LTDA</t>
  </si>
  <si>
    <t xml:space="preserve">LUCIANI DE PAULA ALVIZI</t>
  </si>
  <si>
    <t xml:space="preserve">CLINICA FARA FINO</t>
  </si>
  <si>
    <t xml:space="preserve">LOOK MERCADO LTDA</t>
  </si>
  <si>
    <t xml:space="preserve">LOOK MERCADO</t>
  </si>
  <si>
    <t xml:space="preserve">ROSANGELA PAULA CARVALHO DE OLIVEIRA EIR</t>
  </si>
  <si>
    <t xml:space="preserve">MINIMERCADO REAL</t>
  </si>
  <si>
    <t xml:space="preserve">MERCEARIA SANTA CARMELIA</t>
  </si>
  <si>
    <t xml:space="preserve">KAZUKO GRAUTH E ARRUDA LTDA</t>
  </si>
  <si>
    <t xml:space="preserve">MERCEARIA NIPOM</t>
  </si>
  <si>
    <t xml:space="preserve">SUPERMERCADO NUNES</t>
  </si>
  <si>
    <t xml:space="preserve">MAIS NUNES</t>
  </si>
  <si>
    <t xml:space="preserve">HM COMERCIO DE COMBUSTIVEIS E DERIVADOS </t>
  </si>
  <si>
    <t xml:space="preserve">POSTO TIGRAO I</t>
  </si>
  <si>
    <t xml:space="preserve">MENEZ DA SILVA E PAULA LTDA</t>
  </si>
  <si>
    <t xml:space="preserve">SUPERMERCADO 3 IRMAOS</t>
  </si>
  <si>
    <t xml:space="preserve">NATUFLORA COM MED PERF LTDA</t>
  </si>
  <si>
    <t xml:space="preserve">FARMACIA SOTER</t>
  </si>
  <si>
    <t xml:space="preserve">SUPERMERCADO SAO LUIZ EIRELI</t>
  </si>
  <si>
    <t xml:space="preserve">CLEITON ANDRADE THEODORO ME</t>
  </si>
  <si>
    <t xml:space="preserve">LEANDRO MONEGAT</t>
  </si>
  <si>
    <t xml:space="preserve">RESTAURANTE RIO VERDE</t>
  </si>
  <si>
    <t xml:space="preserve">NOVA AMERCIA AGRICOLA CAARAPO LTDA</t>
  </si>
  <si>
    <t xml:space="preserve">NOVA AMERICA</t>
  </si>
  <si>
    <t xml:space="preserve">AUTO POSTO IRMAOS ANTONINI LTDA</t>
  </si>
  <si>
    <t xml:space="preserve">AUTO POSTO NTONINI</t>
  </si>
  <si>
    <t xml:space="preserve">FORNARI E DREYER LTDA</t>
  </si>
  <si>
    <t xml:space="preserve">GALETERIA ZANOTO</t>
  </si>
  <si>
    <t xml:space="preserve">REDE NUTRI SHOPPING </t>
  </si>
  <si>
    <t xml:space="preserve">NUTRI SHOPPING</t>
  </si>
  <si>
    <t xml:space="preserve">BENTAO ATACADO</t>
  </si>
  <si>
    <t xml:space="preserve">SILVA DUARTE &amp; FERRAZ LTDA</t>
  </si>
  <si>
    <t xml:space="preserve">SM SABIA</t>
  </si>
  <si>
    <t xml:space="preserve">M S LIMA</t>
  </si>
  <si>
    <t xml:space="preserve">CONVENIENCIA TODO SANTO FIS</t>
  </si>
  <si>
    <t xml:space="preserve">MERCADO E ACOUGUE NEVES E SILVA LTDA</t>
  </si>
  <si>
    <t xml:space="preserve">SALLES E LINO LTDA</t>
  </si>
  <si>
    <t xml:space="preserve">RACOES E CIA</t>
  </si>
  <si>
    <t xml:space="preserve">MARIELI VIEIRA TERENCIO</t>
  </si>
  <si>
    <t xml:space="preserve">DROGARIA SAO ROQUE</t>
  </si>
  <si>
    <t xml:space="preserve">BENITO CARNIATTO ME</t>
  </si>
  <si>
    <t xml:space="preserve">FARMATOTAL</t>
  </si>
  <si>
    <t xml:space="preserve">ROSANGELA FUNES TAIRA</t>
  </si>
  <si>
    <t xml:space="preserve">FRUTARIA E CONVENIENCIA</t>
  </si>
  <si>
    <t xml:space="preserve">M C N MACHADO FERREIRA</t>
  </si>
  <si>
    <t xml:space="preserve">DROGARIA COMPRE CERTO APARECIDA DO TABOA</t>
  </si>
  <si>
    <t xml:space="preserve">DROGARIA COMPRE CERTO</t>
  </si>
  <si>
    <t xml:space="preserve">COMERCIAL DE ALIMENTOS CASSILANDIA LTDA </t>
  </si>
  <si>
    <t xml:space="preserve">CONVENIENCIA LC LTDA</t>
  </si>
  <si>
    <t xml:space="preserve">CONV LC</t>
  </si>
  <si>
    <t xml:space="preserve">VANDERLEI SANCHES</t>
  </si>
  <si>
    <t xml:space="preserve">MERCADO SANCHES</t>
  </si>
  <si>
    <t xml:space="preserve">POR DEUS E FARIAS LTDA</t>
  </si>
  <si>
    <t xml:space="preserve">MERCADO DELICIA</t>
  </si>
  <si>
    <t xml:space="preserve">J GUIMARAES COSTA</t>
  </si>
  <si>
    <t xml:space="preserve">H P DOS SANTOS ME</t>
  </si>
  <si>
    <t xml:space="preserve">MERCADO VILA NOVA 2</t>
  </si>
  <si>
    <t xml:space="preserve">COMERCIO VAREJ RAVAGNANI E IKEDA LTDA ME</t>
  </si>
  <si>
    <t xml:space="preserve">MERVADO TERRA RICA</t>
  </si>
  <si>
    <t xml:space="preserve">MARCELLO A F DA SILVA PORTOCARRERO</t>
  </si>
  <si>
    <t xml:space="preserve">PANIF PONTO DO PAO</t>
  </si>
  <si>
    <t xml:space="preserve">COMERCIAL OLIVEIRA E SILVA LTDA - ME</t>
  </si>
  <si>
    <t xml:space="preserve">COMERCIAL BOM PRECO</t>
  </si>
  <si>
    <t xml:space="preserve">ANTONIO MANOEL DA SILVA</t>
  </si>
  <si>
    <t xml:space="preserve">IVI SERVE SUPERMERCADO</t>
  </si>
  <si>
    <t xml:space="preserve">JODIEL DE LIMA MARQUES</t>
  </si>
  <si>
    <t xml:space="preserve">COVENIENCIA MAXIMOS</t>
  </si>
  <si>
    <t xml:space="preserve">M M COM DE MEDICAMENTOS PERFUMARIA LTDA </t>
  </si>
  <si>
    <t xml:space="preserve">FARMA E FARMA</t>
  </si>
  <si>
    <t xml:space="preserve">MM COM DE MEDICAMENTOS E PERFUMERIA LTDA</t>
  </si>
  <si>
    <t xml:space="preserve">FAMALAR</t>
  </si>
  <si>
    <t xml:space="preserve">M M COMERCIO DE MEDICAMENTOS E PERFUMARI</t>
  </si>
  <si>
    <t xml:space="preserve">ULTRA POPULAR COOPHAVILA II</t>
  </si>
  <si>
    <t xml:space="preserve">PRIGOL MORAZ LTDA</t>
  </si>
  <si>
    <t xml:space="preserve">IRENES CONFEITARIA</t>
  </si>
  <si>
    <t xml:space="preserve">WILSON HIDEKI KUROGI</t>
  </si>
  <si>
    <t xml:space="preserve">AURELIANO BONFIM LIMA</t>
  </si>
  <si>
    <t xml:space="preserve">LOJA PAULISTAO</t>
  </si>
  <si>
    <t xml:space="preserve">PORTES E CONCEICAO LTDA</t>
  </si>
  <si>
    <t xml:space="preserve">SUPERMERCADO BIG MIX</t>
  </si>
  <si>
    <t xml:space="preserve">MARTINS E MAZZETTI LTDA</t>
  </si>
  <si>
    <t xml:space="preserve">LOJA STAR PLUS LTDA</t>
  </si>
  <si>
    <t xml:space="preserve">ESPERANDIO E ESPERANDIO SUPERMERC LTDA  </t>
  </si>
  <si>
    <t xml:space="preserve">SM ESPERANDIO</t>
  </si>
  <si>
    <t xml:space="preserve">C C CHAVES DE FREITAS</t>
  </si>
  <si>
    <t xml:space="preserve">GARCIA CASA DE RACAO</t>
  </si>
  <si>
    <t xml:space="preserve">ROSALINA GOMES DA SILVA</t>
  </si>
  <si>
    <t xml:space="preserve">MERCADO CAMPOS</t>
  </si>
  <si>
    <t xml:space="preserve">F A TLAES EIRELI</t>
  </si>
  <si>
    <t xml:space="preserve">PET MANIA</t>
  </si>
  <si>
    <t xml:space="preserve">DIOGO CAPITANI</t>
  </si>
  <si>
    <t xml:space="preserve">CANTINHO DO CREPE &amp; CIA</t>
  </si>
  <si>
    <t xml:space="preserve">O S FROIS</t>
  </si>
  <si>
    <t xml:space="preserve">CASA DE CARNE COMITIVA</t>
  </si>
  <si>
    <t xml:space="preserve">PANIFICADORA E CONFEITARIA GAUNA EIRELI </t>
  </si>
  <si>
    <t xml:space="preserve">PADARIA REQUINTE</t>
  </si>
  <si>
    <t xml:space="preserve">FABIO COMAR</t>
  </si>
  <si>
    <t xml:space="preserve">LANCHONETE UNIAO</t>
  </si>
  <si>
    <t xml:space="preserve">MERCEARIA E CONVENIENCIA RM LTDA</t>
  </si>
  <si>
    <t xml:space="preserve">CONVENIENCIA GEOVANA</t>
  </si>
  <si>
    <t xml:space="preserve">TIAGO REZENDE ACOSTA</t>
  </si>
  <si>
    <t xml:space="preserve">MICA BAR E RESTAURANTE LTDA</t>
  </si>
  <si>
    <t xml:space="preserve">MICA</t>
  </si>
  <si>
    <t xml:space="preserve">ADAIR S DA SILVA</t>
  </si>
  <si>
    <t xml:space="preserve">POSTO SUDOESTE</t>
  </si>
  <si>
    <t xml:space="preserve">COMERCIAL BESP DE GENEROS ALIMENT LTDA  </t>
  </si>
  <si>
    <t xml:space="preserve">ELVIS TAKASHI UMEMURA</t>
  </si>
  <si>
    <t xml:space="preserve">ACOUGUE PRODUTOR</t>
  </si>
  <si>
    <t xml:space="preserve">S B FIGUEIREDO</t>
  </si>
  <si>
    <t xml:space="preserve">MERCADO BEIRA RIO LTDA</t>
  </si>
  <si>
    <t xml:space="preserve">CARLOS ROBERTO DE ALMEIDA</t>
  </si>
  <si>
    <t xml:space="preserve">AZULAO CONVENIENCIA</t>
  </si>
  <si>
    <t xml:space="preserve">FLORINDA E V RIBEIRO</t>
  </si>
  <si>
    <t xml:space="preserve">PADARIA RITA</t>
  </si>
  <si>
    <t xml:space="preserve">L A PALAGANO</t>
  </si>
  <si>
    <t xml:space="preserve">AMIGAO ALIMENTOS</t>
  </si>
  <si>
    <t xml:space="preserve">SANTANA DE LIMA E CIA LTDA</t>
  </si>
  <si>
    <t xml:space="preserve">SANTANA E LIMA E CIA LTDA EPP</t>
  </si>
  <si>
    <t xml:space="preserve">ITACIR LUIZ KOPROWSKI</t>
  </si>
  <si>
    <t xml:space="preserve">COMERCIAL JJK</t>
  </si>
  <si>
    <t xml:space="preserve">3M MEDEIROS ALIMENTOS LTDA</t>
  </si>
  <si>
    <t xml:space="preserve">ARGEU DA SILVA LEITE JUNIOR</t>
  </si>
  <si>
    <t xml:space="preserve">MERCADO KARANGUEJO</t>
  </si>
  <si>
    <t xml:space="preserve">D AURIA E TEIXEIRA LTDA  ME</t>
  </si>
  <si>
    <t xml:space="preserve">WS MODAS AVIAMENTOS E PRESENTE</t>
  </si>
  <si>
    <t xml:space="preserve">F I COMERCIO DE RACOES LTDA</t>
  </si>
  <si>
    <t xml:space="preserve">NUTRICAO</t>
  </si>
  <si>
    <t xml:space="preserve">NUTRIAGRO PROD AGROPECUARIOS LTDA</t>
  </si>
  <si>
    <t xml:space="preserve">BEZERRO</t>
  </si>
  <si>
    <t xml:space="preserve">BERGO E DOMINGUES LTDA</t>
  </si>
  <si>
    <t xml:space="preserve">SILVEIRA E OLIVEIRA LTDA</t>
  </si>
  <si>
    <t xml:space="preserve">ACOUGUE DO GAUCHO LTDA ME 536652</t>
  </si>
  <si>
    <t xml:space="preserve">ACOUGUE DO GAUCHO</t>
  </si>
  <si>
    <t xml:space="preserve">ROGERIO BIGATAO MENDES</t>
  </si>
  <si>
    <t xml:space="preserve">SJ PRODUTOS AGROPECUARIOS LTDA ME</t>
  </si>
  <si>
    <t xml:space="preserve">NILZA MARIA PAVANI NOGUEIRA</t>
  </si>
  <si>
    <t xml:space="preserve">VALERIA MARTINS CORDEIRO</t>
  </si>
  <si>
    <t xml:space="preserve">MERCADO E CONV PAGUE POUCO</t>
  </si>
  <si>
    <t xml:space="preserve">DENISE CRISTINA DOS SANTOS GUALDI</t>
  </si>
  <si>
    <t xml:space="preserve">CHOCOPLAST</t>
  </si>
  <si>
    <t xml:space="preserve">FERNANDO CAMPOS JUNIOR E CIA ME</t>
  </si>
  <si>
    <t xml:space="preserve">MUNDO SAUDAVEL</t>
  </si>
  <si>
    <t xml:space="preserve">GLEIDSON MAGNO ANDRADE</t>
  </si>
  <si>
    <t xml:space="preserve">JOVANIA ALVES</t>
  </si>
  <si>
    <t xml:space="preserve">CASA DE SHOW PANTANAL</t>
  </si>
  <si>
    <t xml:space="preserve">SUPERMERCADO LUISA</t>
  </si>
  <si>
    <t xml:space="preserve">MERCADINHO JCM LTDA</t>
  </si>
  <si>
    <t xml:space="preserve">MERCADINHO JCM</t>
  </si>
  <si>
    <t xml:space="preserve">MARQUES E LINHARES LTDA</t>
  </si>
  <si>
    <t xml:space="preserve">SUPERMERCADO MAX</t>
  </si>
  <si>
    <t xml:space="preserve">SIGNARIO LEITE PORTO ME</t>
  </si>
  <si>
    <t xml:space="preserve">FLAVIO VILALBA ROHOD</t>
  </si>
  <si>
    <t xml:space="preserve">SIMEAO DA SILVA SUPERMERCADO EIRELI ME  </t>
  </si>
  <si>
    <t xml:space="preserve">ANA CLAUDIA MARQUES IMOLENE</t>
  </si>
  <si>
    <t xml:space="preserve">SHOW DOG</t>
  </si>
  <si>
    <t xml:space="preserve">SUPERMERCADO PLATERO LTDA</t>
  </si>
  <si>
    <t xml:space="preserve">CASA DO CRIADOR NIOAQUE LTDA</t>
  </si>
  <si>
    <t xml:space="preserve">ALVES E CIA LTDA</t>
  </si>
  <si>
    <t xml:space="preserve">VANIA MARIA CAVALI MONDINI</t>
  </si>
  <si>
    <t xml:space="preserve">MERCADO INDEPENDENCIA</t>
  </si>
  <si>
    <t xml:space="preserve">FRANCINE SALGUEIRO ME</t>
  </si>
  <si>
    <t xml:space="preserve">CAFE FIRENZE</t>
  </si>
  <si>
    <t xml:space="preserve">JEFFERSON FERREIRA</t>
  </si>
  <si>
    <t xml:space="preserve">COMERCIAL SAO PAULO</t>
  </si>
  <si>
    <t xml:space="preserve">OLIVEIRA E ESPINOSA LTDA</t>
  </si>
  <si>
    <t xml:space="preserve">D'POPA CONVENIENCIA E TUDO +</t>
  </si>
  <si>
    <t xml:space="preserve">FABRUNO JOVELINO JOAO RODRIGUES</t>
  </si>
  <si>
    <t xml:space="preserve">BARBOSA ALVES E PEREIRA LTDA</t>
  </si>
  <si>
    <t xml:space="preserve">DROGARIA SAO JOSE</t>
  </si>
  <si>
    <t xml:space="preserve">ANA CLAUDIA ARGUELHO FUKISHIMA</t>
  </si>
  <si>
    <t xml:space="preserve">CORDIAL CONVENIENCIA</t>
  </si>
  <si>
    <t xml:space="preserve">GT COMERCIAL DE ALIMENTOS LTDA</t>
  </si>
  <si>
    <t xml:space="preserve">SM SANTO ANTONIO LJ II</t>
  </si>
  <si>
    <t xml:space="preserve">GT COMERCIAL DE ALIMENTOS LTDA LJ III</t>
  </si>
  <si>
    <t xml:space="preserve">GT COMERCIAL DE ALIMENTOS</t>
  </si>
  <si>
    <t xml:space="preserve">L L BORDAO</t>
  </si>
  <si>
    <t xml:space="preserve">HOTEL PRAIA PARQUE LTDA</t>
  </si>
  <si>
    <t xml:space="preserve">HOTEL PRAIA PARQUE</t>
  </si>
  <si>
    <t xml:space="preserve">EDSON DELGADO ESTIGARRIBIA</t>
  </si>
  <si>
    <t xml:space="preserve">MERCEARIA ROMEIRO</t>
  </si>
  <si>
    <t xml:space="preserve">PEREIRA E ZAVAREZE LTDA</t>
  </si>
  <si>
    <t xml:space="preserve">E S PANDOLFO EIRELI</t>
  </si>
  <si>
    <t xml:space="preserve">MERCEARIA PANDOLFO</t>
  </si>
  <si>
    <t xml:space="preserve">SAEKI E SILVA COMERCIO DE ALIMENTOS LTDA</t>
  </si>
  <si>
    <t xml:space="preserve">SM TERRA NOSSA</t>
  </si>
  <si>
    <t xml:space="preserve">ADELINA ZANETTIN DE LIMA</t>
  </si>
  <si>
    <t xml:space="preserve">LOJA BRASILEIRINHA</t>
  </si>
  <si>
    <t xml:space="preserve">MERCADO NIL</t>
  </si>
  <si>
    <t xml:space="preserve">SOLLARYUM GELLATERIA LTDA</t>
  </si>
  <si>
    <t xml:space="preserve">SOLLALYUM GELLATERIA</t>
  </si>
  <si>
    <t xml:space="preserve">GR TRADE REPRESENTACOES LTDA ME</t>
  </si>
  <si>
    <t xml:space="preserve">TRADE REPRESENTACOES</t>
  </si>
  <si>
    <t xml:space="preserve">KOCHI E RIBEIRO COM DE ALIMENTOS LTDA</t>
  </si>
  <si>
    <t xml:space="preserve">KOCHI MERCADO</t>
  </si>
  <si>
    <t xml:space="preserve">SEBASTIAO MARTINS NANTES</t>
  </si>
  <si>
    <t xml:space="preserve">AGUAPE TURISMO</t>
  </si>
  <si>
    <t xml:space="preserve">SUPERMERCADO BESSAO E CIA LTDA</t>
  </si>
  <si>
    <t xml:space="preserve">SM BESSAO - LJ II</t>
  </si>
  <si>
    <t xml:space="preserve">EDUARDO RAFAEL BAI</t>
  </si>
  <si>
    <t xml:space="preserve">ART FRUT SORVETERIA</t>
  </si>
  <si>
    <t xml:space="preserve">F C WEIRICH E CIA LTDA</t>
  </si>
  <si>
    <t xml:space="preserve">CRISFARMA</t>
  </si>
  <si>
    <t xml:space="preserve">LEILA MARTA DIAS</t>
  </si>
  <si>
    <t xml:space="preserve">VL E SILVA MEDICAMENTOS LTDA</t>
  </si>
  <si>
    <t xml:space="preserve">DROGARIA POPULAR</t>
  </si>
  <si>
    <t xml:space="preserve">POSTO MANDALA LTDA</t>
  </si>
  <si>
    <t xml:space="preserve">POSTO MANDALA</t>
  </si>
  <si>
    <t xml:space="preserve">LUIZ CLAUDIO RIBEIRO MELO</t>
  </si>
  <si>
    <t xml:space="preserve">GP EMBALAGENS EIRELI EPP</t>
  </si>
  <si>
    <t xml:space="preserve">GP EMBALAGENS</t>
  </si>
  <si>
    <t xml:space="preserve">ARTE TELECOM</t>
  </si>
  <si>
    <t xml:space="preserve">SAMSUNG STORE</t>
  </si>
  <si>
    <t xml:space="preserve">SANTANA E SANTOS LTDA - ME</t>
  </si>
  <si>
    <t xml:space="preserve">BRANDAO E ARGUELHO LTDA</t>
  </si>
  <si>
    <t xml:space="preserve">MERCADO MAXI BOM</t>
  </si>
  <si>
    <t xml:space="preserve">J  D  MARCIANO</t>
  </si>
  <si>
    <t xml:space="preserve">VERA ALICE RODRIGUES GOUVEA DOMINGUES</t>
  </si>
  <si>
    <t xml:space="preserve">MERCADO GOUVEA</t>
  </si>
  <si>
    <t xml:space="preserve">SANTOS SILVA E OLIVEIRA ARAUJO LTDA</t>
  </si>
  <si>
    <t xml:space="preserve">MERCADO JANDO</t>
  </si>
  <si>
    <t xml:space="preserve">PAULO DOS REIS CAVALCANTE</t>
  </si>
  <si>
    <t xml:space="preserve">MERC E ACOU NOSSA SENHORA</t>
  </si>
  <si>
    <t xml:space="preserve">BAYLAO E SOARES LTDA</t>
  </si>
  <si>
    <t xml:space="preserve">BAYLAO &amp; SOARES LTDA</t>
  </si>
  <si>
    <t xml:space="preserve">SUPERMERCADO CARDOSO LTDA</t>
  </si>
  <si>
    <t xml:space="preserve">P R VALOTA</t>
  </si>
  <si>
    <t xml:space="preserve">MUNO ANIMAL</t>
  </si>
  <si>
    <t xml:space="preserve">P R VALOTA ME</t>
  </si>
  <si>
    <t xml:space="preserve">LUIS OTAVIO FASSINI</t>
  </si>
  <si>
    <t xml:space="preserve">MERCEARIA FASSINI</t>
  </si>
  <si>
    <t xml:space="preserve">J N VARANIS COMERCIAL Q PRECO</t>
  </si>
  <si>
    <t xml:space="preserve">COMERCIAL Q PRECO</t>
  </si>
  <si>
    <t xml:space="preserve">DROGANEWS MEDICAMENTOS LTDA</t>
  </si>
  <si>
    <t xml:space="preserve">DROGA NEWS</t>
  </si>
  <si>
    <t xml:space="preserve">PINHEIRO E GUIMARAES LTDA</t>
  </si>
  <si>
    <t xml:space="preserve">VIEIRA E SILVA SUPERMERCADO</t>
  </si>
  <si>
    <t xml:space="preserve">JUSTO E JUSTO LTDA</t>
  </si>
  <si>
    <t xml:space="preserve">SUPERMERCADO ELDORADO</t>
  </si>
  <si>
    <t xml:space="preserve">MARLY MARTINES CORREA COML DE ALIMENTOS </t>
  </si>
  <si>
    <t xml:space="preserve">THOR DISTRIBUIDORA E CONVENIENCIA LTDA  </t>
  </si>
  <si>
    <t xml:space="preserve">C N M LANCHONETE EIRELI</t>
  </si>
  <si>
    <t xml:space="preserve">GRILL TO BURGUER</t>
  </si>
  <si>
    <t xml:space="preserve">ALPHAVILLE COMERCIO DE COMBUSTIVEIS LTDA</t>
  </si>
  <si>
    <t xml:space="preserve">CONVENIENCIA TROCAR 2</t>
  </si>
  <si>
    <t xml:space="preserve">MATSUSHITA E BUENO LTDA</t>
  </si>
  <si>
    <t xml:space="preserve">MERCADO E ACOUGUE NASCENTE</t>
  </si>
  <si>
    <t xml:space="preserve">MARTA MARTINS CARRIJO</t>
  </si>
  <si>
    <t xml:space="preserve">GABY SUPERMERCADOS LTDA</t>
  </si>
  <si>
    <t xml:space="preserve">GABY SUPERMERCADOS</t>
  </si>
  <si>
    <t xml:space="preserve">GABY</t>
  </si>
  <si>
    <t xml:space="preserve">GABY SUPERMERCADO</t>
  </si>
  <si>
    <t xml:space="preserve">GABY SUPERMERCADOS LTDA - EM RECUPERACAO</t>
  </si>
  <si>
    <t xml:space="preserve">JRS FERREIRA</t>
  </si>
  <si>
    <t xml:space="preserve">1001 ULTILIDADES</t>
  </si>
  <si>
    <t xml:space="preserve">GRILL CONVENIENCIA EIRELI</t>
  </si>
  <si>
    <t xml:space="preserve">GRILL CONVENIENCIA</t>
  </si>
  <si>
    <t xml:space="preserve">MARCELO DE PAULA BARBOSA</t>
  </si>
  <si>
    <t xml:space="preserve">SUPERMERCADO PARANAIBA</t>
  </si>
  <si>
    <t xml:space="preserve">C A BATISTA</t>
  </si>
  <si>
    <t xml:space="preserve">MERCEARIA BOM FIM</t>
  </si>
  <si>
    <t xml:space="preserve">A DURAN</t>
  </si>
  <si>
    <t xml:space="preserve">COMERCIAL DURAN</t>
  </si>
  <si>
    <t xml:space="preserve">FOCO HOTELARIA E ASSESSORIA LTDA ME</t>
  </si>
  <si>
    <t xml:space="preserve">FOCO</t>
  </si>
  <si>
    <t xml:space="preserve">SERENA E SERENA LTDA</t>
  </si>
  <si>
    <t xml:space="preserve">SUPERMERCADO SAO JORGE</t>
  </si>
  <si>
    <t xml:space="preserve">COMERCIAL BONANZA LTDA</t>
  </si>
  <si>
    <t xml:space="preserve">V A NEVES</t>
  </si>
  <si>
    <t xml:space="preserve">CASA DE CARNE E PEIXARIA LADAR</t>
  </si>
  <si>
    <t xml:space="preserve">DO CAMPO PROD VETERINARIOS LTDA ME</t>
  </si>
  <si>
    <t xml:space="preserve">HOSPITAL VT</t>
  </si>
  <si>
    <t xml:space="preserve">MERCADO SERV BEM LTDA</t>
  </si>
  <si>
    <t xml:space="preserve">FRANCISCO OLIVEIRA HILARIO LTDA</t>
  </si>
  <si>
    <t xml:space="preserve">LANCHONETE DO CHICO 38</t>
  </si>
  <si>
    <t xml:space="preserve">DROGARIA BEM ESTAR LTDA ME</t>
  </si>
  <si>
    <t xml:space="preserve">DROGARIA BEM ESTAR</t>
  </si>
  <si>
    <t xml:space="preserve">JOSE IRINEU MARCONDES PEREIRA</t>
  </si>
  <si>
    <t xml:space="preserve">FRUTARIA GOIABA</t>
  </si>
  <si>
    <t xml:space="preserve">EDINAILDE LEANDRO DA SILVA MICHALSKI</t>
  </si>
  <si>
    <t xml:space="preserve">SUPERMERCADO MICHALSKI</t>
  </si>
  <si>
    <t xml:space="preserve">AGROLACO PRODUTOS AGROPECUARIOS LTDA</t>
  </si>
  <si>
    <t xml:space="preserve">AGROLACO PET SHOP</t>
  </si>
  <si>
    <t xml:space="preserve">REGIVALDO ROCHA ARRUDA ORTEGA</t>
  </si>
  <si>
    <t xml:space="preserve">MINI MERCADO ORTEGA</t>
  </si>
  <si>
    <t xml:space="preserve">SOELENE SANTOS AZAMBUJA</t>
  </si>
  <si>
    <t xml:space="preserve">SOELENE SANTOS</t>
  </si>
  <si>
    <t xml:space="preserve">EIGUIMAR FERREIRA DE CARVALHO</t>
  </si>
  <si>
    <t xml:space="preserve">RESTAURANTE PIQUINES</t>
  </si>
  <si>
    <t xml:space="preserve">MAYFA SUPERMERCADO LTDA</t>
  </si>
  <si>
    <t xml:space="preserve">REDE MAYFA</t>
  </si>
  <si>
    <t xml:space="preserve">MAYFA SUPERMERCADO</t>
  </si>
  <si>
    <t xml:space="preserve">MAYFA SUPERMERCADO LTDA EPP</t>
  </si>
  <si>
    <t xml:space="preserve">MAYFA NOVA ESPERANCA</t>
  </si>
  <si>
    <t xml:space="preserve">JEAN WAGNER MARTINS DA FONSECA</t>
  </si>
  <si>
    <t xml:space="preserve">ANDRE LUIZ COSTA DA SILVA</t>
  </si>
  <si>
    <t xml:space="preserve">MERCADO ACOUGUE SILVA</t>
  </si>
  <si>
    <t xml:space="preserve">BRAUNER E LIMA LTDA</t>
  </si>
  <si>
    <t xml:space="preserve">SUPERMERCADO NACAGAMI AQUIDAUANA LTDA</t>
  </si>
  <si>
    <t xml:space="preserve">SUPERMERCADO NACAGAMI AQUIDAUANA</t>
  </si>
  <si>
    <t xml:space="preserve">J M ABDALA</t>
  </si>
  <si>
    <t xml:space="preserve">GALERIA DO PAO</t>
  </si>
  <si>
    <t xml:space="preserve">RACA FORT PRODUTOS AGROPECUARIA LTDA</t>
  </si>
  <si>
    <t xml:space="preserve">RACA FORT AGROPECUARIA</t>
  </si>
  <si>
    <t xml:space="preserve">COMERCIAL BR</t>
  </si>
  <si>
    <t xml:space="preserve">CASA DE CARNES E CONVENIENCIA IVY LTDA  </t>
  </si>
  <si>
    <t xml:space="preserve">CASA DE CARNE CORTE FINO</t>
  </si>
  <si>
    <t xml:space="preserve">MERCEARIA E SACOLAO ESPERANCA</t>
  </si>
  <si>
    <t xml:space="preserve">A C G ANACHE</t>
  </si>
  <si>
    <t xml:space="preserve">PARADA DO PESCADOR</t>
  </si>
  <si>
    <t xml:space="preserve">HENRIQUE CESAR DO NASCIMENTO</t>
  </si>
  <si>
    <t xml:space="preserve">MERCADO TENDI TUDO</t>
  </si>
  <si>
    <t xml:space="preserve">COLEGIO LES DEUX LTDA - EPP</t>
  </si>
  <si>
    <t xml:space="preserve">NOVA ESCOLA</t>
  </si>
  <si>
    <t xml:space="preserve">RODRIGUES E SOUZA LTDA</t>
  </si>
  <si>
    <t xml:space="preserve">TRIGUS PADARIA E CONFEITARIA</t>
  </si>
  <si>
    <t xml:space="preserve">ROSEMEYRE KAYOKO YAMAUCHI KOHATSU</t>
  </si>
  <si>
    <t xml:space="preserve">CLINICA SANTO AMARO</t>
  </si>
  <si>
    <t xml:space="preserve">MARIA LUCIA CABULAO</t>
  </si>
  <si>
    <t xml:space="preserve">NUNES E SARACHO LTDA</t>
  </si>
  <si>
    <t xml:space="preserve">MORAES E SANDRI LTDA</t>
  </si>
  <si>
    <t xml:space="preserve">CASA DA CERVEJA</t>
  </si>
  <si>
    <t xml:space="preserve">PAULO HENRIQUE SANTOS COSTA</t>
  </si>
  <si>
    <t xml:space="preserve">FARMACIA DO GRAMADO</t>
  </si>
  <si>
    <t xml:space="preserve">MINI MERCADO PEG PAG FAVORITO LTDA</t>
  </si>
  <si>
    <t xml:space="preserve">MINI MERCADO PEG PAG FAVORITO</t>
  </si>
  <si>
    <t xml:space="preserve">FARMACIA PANTAFARMA LTDA</t>
  </si>
  <si>
    <t xml:space="preserve">FARMACIA PANTAFARMA</t>
  </si>
  <si>
    <t xml:space="preserve">TEREZINHA DE JESUS MONTEIRO</t>
  </si>
  <si>
    <t xml:space="preserve">RESTAURANTE E LANCHONETE BOM PALADAR</t>
  </si>
  <si>
    <t xml:space="preserve">D DA S ZACARIAS</t>
  </si>
  <si>
    <t xml:space="preserve">COMERCIAL BARATAO</t>
  </si>
  <si>
    <t xml:space="preserve">GONCALVES E GUTIERRE LTDA -LJ01</t>
  </si>
  <si>
    <t xml:space="preserve">SM SERVE SEMPRE-LJ01</t>
  </si>
  <si>
    <t xml:space="preserve">GONCALVES E GUTIERRE LTDA</t>
  </si>
  <si>
    <t xml:space="preserve">SUPERMERCADO SERVE SEMPRE</t>
  </si>
  <si>
    <t xml:space="preserve">BRAGA E FORTI LTDA</t>
  </si>
  <si>
    <t xml:space="preserve">FRIOS E ALGO MAIS LTDA</t>
  </si>
  <si>
    <t xml:space="preserve">SILVA E LEITE LTDA</t>
  </si>
  <si>
    <t xml:space="preserve">BEM PRA CACHORRO</t>
  </si>
  <si>
    <t xml:space="preserve">MERCADO COMERCIAL E SERVICOS LTDA</t>
  </si>
  <si>
    <t xml:space="preserve">MERCADO COMERCIAL E SERVICOS L</t>
  </si>
  <si>
    <t xml:space="preserve">SANTOS E XAVIER LTDA</t>
  </si>
  <si>
    <t xml:space="preserve">MERCEARIA J K</t>
  </si>
  <si>
    <t xml:space="preserve">SUPERMERCADO KAIO</t>
  </si>
  <si>
    <t xml:space="preserve">OSVALDINA MODESTA LIMA</t>
  </si>
  <si>
    <t xml:space="preserve">PANIFICADORA SERRADINHO</t>
  </si>
  <si>
    <t xml:space="preserve">CAMARGO E LIMA LTDA</t>
  </si>
  <si>
    <t xml:space="preserve">LUIGI PIZZARIA LTDA</t>
  </si>
  <si>
    <t xml:space="preserve">LUIGI PIZZARIA</t>
  </si>
  <si>
    <t xml:space="preserve">ALCINDO DE SOUZA ME</t>
  </si>
  <si>
    <t xml:space="preserve">MERCEARIA E PANIFICADORA FARTU</t>
  </si>
  <si>
    <t xml:space="preserve">ZITAO RIO BRILHANTE LTDA</t>
  </si>
  <si>
    <t xml:space="preserve">ZITAO CHURRASCARIA</t>
  </si>
  <si>
    <t xml:space="preserve">ALDA L DE ALBUQUERQUE ZAVALA</t>
  </si>
  <si>
    <t xml:space="preserve">MERCADO CASA CARNE SERVE BEM</t>
  </si>
  <si>
    <t xml:space="preserve">JATOBA EVENTOS LTDA - ME</t>
  </si>
  <si>
    <t xml:space="preserve">BARTHOLOMEU</t>
  </si>
  <si>
    <t xml:space="preserve">CASA DE CARNES NOVILHA DE OURO LTDA</t>
  </si>
  <si>
    <t xml:space="preserve">NOVILHA DE OURO</t>
  </si>
  <si>
    <t xml:space="preserve">S C BOLLER</t>
  </si>
  <si>
    <t xml:space="preserve">MERCADO M S</t>
  </si>
  <si>
    <t xml:space="preserve">GUIMARAES E PRADO LTDA</t>
  </si>
  <si>
    <t xml:space="preserve">DROGARIA FRENTTINI</t>
  </si>
  <si>
    <t xml:space="preserve">SHALON PANIFICADORA LTDA ME</t>
  </si>
  <si>
    <t xml:space="preserve">SHALON PANIFICADORA</t>
  </si>
  <si>
    <t xml:space="preserve">MERCADO M E M LTDA</t>
  </si>
  <si>
    <t xml:space="preserve">MERCADO FRAN?A</t>
  </si>
  <si>
    <t xml:space="preserve">BIBI ISCA VIVA E CONVENIENCIA LTDA</t>
  </si>
  <si>
    <t xml:space="preserve">MARIZA APARECIDA DE QUEIROZ NEZIO</t>
  </si>
  <si>
    <t xml:space="preserve">SASSI E RODRIGUES LTDA - ME</t>
  </si>
  <si>
    <t xml:space="preserve">MARCO ANTONIO BATISTA DE SOUZA</t>
  </si>
  <si>
    <t xml:space="preserve">MERCADO CELESTE</t>
  </si>
  <si>
    <t xml:space="preserve">MARCELO HIPOLITO RODRIGUES</t>
  </si>
  <si>
    <t xml:space="preserve">COMERCIO DE BEBIDAS KI FESTAS LTDA</t>
  </si>
  <si>
    <t xml:space="preserve">AUTO POSTO LADARIO LTDA</t>
  </si>
  <si>
    <t xml:space="preserve">AUTO POSTO LADARIO</t>
  </si>
  <si>
    <t xml:space="preserve">REGIA COMERCIAL DE ALIMENTOS LTDA</t>
  </si>
  <si>
    <t xml:space="preserve">PEPA COMERCIAL DE ALIMENTOS LTDA</t>
  </si>
  <si>
    <t xml:space="preserve">RAFAEL BONADIMAN</t>
  </si>
  <si>
    <t xml:space="preserve">PARREIRA E CESAR LTDA</t>
  </si>
  <si>
    <t xml:space="preserve">CD BONANCA</t>
  </si>
  <si>
    <t xml:space="preserve">TIRADENTES COM DE ALIMENTOS LTDA-LJ12</t>
  </si>
  <si>
    <t xml:space="preserve">SM PIRES- LJ12</t>
  </si>
  <si>
    <t xml:space="preserve">DISPERATI E REIS LTDA</t>
  </si>
  <si>
    <t xml:space="preserve">SM 10</t>
  </si>
  <si>
    <t xml:space="preserve">YOLANDA APARECIDA ALVES ME</t>
  </si>
  <si>
    <t xml:space="preserve">MERCADINHO NUNES</t>
  </si>
  <si>
    <t xml:space="preserve">VICTOR F.S.NEVES</t>
  </si>
  <si>
    <t xml:space="preserve">FARM. NOSSA SRA DOS REMEDIOS</t>
  </si>
  <si>
    <t xml:space="preserve">ALVES FERREIRA E CIA LTDA</t>
  </si>
  <si>
    <t xml:space="preserve">MINI MERCADO ML</t>
  </si>
  <si>
    <t xml:space="preserve">ROBSON GUERRA ME</t>
  </si>
  <si>
    <t xml:space="preserve">NOSSO BUTEKO CONVENIENCIA</t>
  </si>
  <si>
    <t xml:space="preserve">FRANCIELLI D DOS REIS PET SHOP ME</t>
  </si>
  <si>
    <t xml:space="preserve">FRANCIELLI D DOS REIS PET SHOP</t>
  </si>
  <si>
    <t xml:space="preserve">G M ZANDONADI</t>
  </si>
  <si>
    <t xml:space="preserve">KIBACANA</t>
  </si>
  <si>
    <t xml:space="preserve">JOSE ANTONIO PEREIRA DOS SANTOS HOTEL</t>
  </si>
  <si>
    <t xml:space="preserve">HOTEL IPE</t>
  </si>
  <si>
    <t xml:space="preserve">M AGUIAR DA SILVA MERCADO</t>
  </si>
  <si>
    <t xml:space="preserve">GENIVAL BORGES DOS SANTOS</t>
  </si>
  <si>
    <t xml:space="preserve">MERCEARIA GENIVAL</t>
  </si>
  <si>
    <t xml:space="preserve">APOLO PET SHOP LTDA</t>
  </si>
  <si>
    <t xml:space="preserve">APOLO</t>
  </si>
  <si>
    <t xml:space="preserve">DELI DE JESUS SANTOS CONVENIENCIA EPP</t>
  </si>
  <si>
    <t xml:space="preserve">CONVENIENCIA DO BAIANO</t>
  </si>
  <si>
    <t xml:space="preserve">LMPCG ADMINISTRADORA DE HOTEIS LTDA</t>
  </si>
  <si>
    <t xml:space="preserve">HARBOR HOTEIS</t>
  </si>
  <si>
    <t xml:space="preserve">DAUZACKER E DAUZACKER LTDA</t>
  </si>
  <si>
    <t xml:space="preserve">SILVANO BARBI DA SILVA ME</t>
  </si>
  <si>
    <t xml:space="preserve">CATIORO</t>
  </si>
  <si>
    <t xml:space="preserve">CASA DOS DOCES POLETTO LTDA</t>
  </si>
  <si>
    <t xml:space="preserve">CALARGE COMERCIO DE ALIMENTOS LTDA</t>
  </si>
  <si>
    <t xml:space="preserve">PASSBERG E SANTOS LTDA</t>
  </si>
  <si>
    <t xml:space="preserve">CONV CARANDA</t>
  </si>
  <si>
    <t xml:space="preserve">JUNAIR FREITAS DE OLIVEIRA EIRELI</t>
  </si>
  <si>
    <t xml:space="preserve">ELEGANCE VARIEDADES</t>
  </si>
  <si>
    <t xml:space="preserve">NUNES E BESEM LTDA</t>
  </si>
  <si>
    <t xml:space="preserve">PIT BULL RACOES</t>
  </si>
  <si>
    <t xml:space="preserve">ZOOVET PROD AGROP E PET SHOP LTDA</t>
  </si>
  <si>
    <t xml:space="preserve">ZOOVET</t>
  </si>
  <si>
    <t xml:space="preserve">R  A  G  KUNIYOSHI</t>
  </si>
  <si>
    <t xml:space="preserve">SM L D</t>
  </si>
  <si>
    <t xml:space="preserve">CONVENIENCIA BANCEIRANTES</t>
  </si>
  <si>
    <t xml:space="preserve">AGRO VETERINARIA SAO FRANCISCO LTDA ME  </t>
  </si>
  <si>
    <t xml:space="preserve">PES SHOP</t>
  </si>
  <si>
    <t xml:space="preserve">ERIBELTON VALERIO DE FREITAS</t>
  </si>
  <si>
    <t xml:space="preserve">PET SHOP DOG</t>
  </si>
  <si>
    <t xml:space="preserve">CONVENIENCIA E PANIFICAD PRUDENTE LTDA  </t>
  </si>
  <si>
    <t xml:space="preserve">CONVENIENCIA E PANIFICAD PRUDENTE</t>
  </si>
  <si>
    <t xml:space="preserve">INOVA LOGISTICA LTDA</t>
  </si>
  <si>
    <t xml:space="preserve">CHEP</t>
  </si>
  <si>
    <t xml:space="preserve">INOVALOG</t>
  </si>
  <si>
    <t xml:space="preserve">EMPORIO DOS COSMETICOS LTDA</t>
  </si>
  <si>
    <t xml:space="preserve">COM VAREJISTA DE COMESTICOS</t>
  </si>
  <si>
    <t xml:space="preserve">MERCADO JACAREI LTDA</t>
  </si>
  <si>
    <t xml:space="preserve">MERCADO JACAREI</t>
  </si>
  <si>
    <t xml:space="preserve">CARLOS ANDRIN E CIA LTDA</t>
  </si>
  <si>
    <t xml:space="preserve">SORV BOM</t>
  </si>
  <si>
    <t xml:space="preserve">MERCADO E CONV TAMARA ME</t>
  </si>
  <si>
    <t xml:space="preserve">SUPERMERCADO TAMARA</t>
  </si>
  <si>
    <t xml:space="preserve">MERCADO TAMANHO LTDA</t>
  </si>
  <si>
    <t xml:space="preserve">ALTAIR DE MEDEIROS CHARAO - EIRELI</t>
  </si>
  <si>
    <t xml:space="preserve">ALDICIO FERREIRA DOS SANTOS</t>
  </si>
  <si>
    <t xml:space="preserve">MORGANTINI COM VAREJ PROD SERV VET LTDA </t>
  </si>
  <si>
    <t xml:space="preserve">REINO PET</t>
  </si>
  <si>
    <t xml:space="preserve">IZABEL CRISTINA JARDIM PEREIRA</t>
  </si>
  <si>
    <t xml:space="preserve">PET VILLE</t>
  </si>
  <si>
    <t xml:space="preserve">ELOY GONCALVES</t>
  </si>
  <si>
    <t xml:space="preserve">ADEMIR MANFRE</t>
  </si>
  <si>
    <t xml:space="preserve">CENVENIENCIA DO ADEMIR</t>
  </si>
  <si>
    <t xml:space="preserve">M D PRODUTOS ALIMENTICIOS LTDA</t>
  </si>
  <si>
    <t xml:space="preserve">MERCADO MATHEUS</t>
  </si>
  <si>
    <t xml:space="preserve">MERCADO MILANI</t>
  </si>
  <si>
    <t xml:space="preserve">NOVA ESPERANCA COM COMBUSTIVEIS LTDA</t>
  </si>
  <si>
    <t xml:space="preserve">NELSON CARDOSO ME</t>
  </si>
  <si>
    <t xml:space="preserve">MERCADO DO NELSON</t>
  </si>
  <si>
    <t xml:space="preserve">SUELEN FRANCO REZENDE</t>
  </si>
  <si>
    <t xml:space="preserve">PANIF PONTO ENCONTRO</t>
  </si>
  <si>
    <t xml:space="preserve">COMERCIO DE ALIMENTOS ANHANDUI LTDA</t>
  </si>
  <si>
    <t xml:space="preserve">REDE ALEMAO </t>
  </si>
  <si>
    <t xml:space="preserve">ALEMAO CONVENIENCIA</t>
  </si>
  <si>
    <t xml:space="preserve">SOUZA E MATOS LTDA</t>
  </si>
  <si>
    <t xml:space="preserve">MERCADO MICHELY</t>
  </si>
  <si>
    <t xml:space="preserve">C  C  B  P  GARCIA</t>
  </si>
  <si>
    <t xml:space="preserve">PLANETA ESPORTES</t>
  </si>
  <si>
    <t xml:space="preserve">VALERIA APARECIDA MORTENE</t>
  </si>
  <si>
    <t xml:space="preserve">ARLENE LOPES ALVES</t>
  </si>
  <si>
    <t xml:space="preserve">RESTAURANTE CASA BRANCA</t>
  </si>
  <si>
    <t xml:space="preserve">MARTINS E TELES LTDA</t>
  </si>
  <si>
    <t xml:space="preserve">PANIFICADORA E RESTAURANTE LTD</t>
  </si>
  <si>
    <t xml:space="preserve">TIGRE EXPRESS CONVENIENCIA EIRELI ME</t>
  </si>
  <si>
    <t xml:space="preserve">TIGRE EXPRESS</t>
  </si>
  <si>
    <t xml:space="preserve">LUCAS E SILVA LTDA</t>
  </si>
  <si>
    <t xml:space="preserve">PANIFICADORA ELYON</t>
  </si>
  <si>
    <t xml:space="preserve">LORECI ROQUE ZANARO</t>
  </si>
  <si>
    <t xml:space="preserve">MERCEARIA ZANARO</t>
  </si>
  <si>
    <t xml:space="preserve">DIAS E GUNDIN LTDA</t>
  </si>
  <si>
    <t xml:space="preserve">KAMBARU X CONVENIENCIA</t>
  </si>
  <si>
    <t xml:space="preserve">HOSPITAL SANTA MARINA LTDA ME</t>
  </si>
  <si>
    <t xml:space="preserve">HOSPITAL SANTA MARINA</t>
  </si>
  <si>
    <t xml:space="preserve">WALDEMAR GALDINO DE OLIVEIRA MEI</t>
  </si>
  <si>
    <t xml:space="preserve">MERCADO WS</t>
  </si>
  <si>
    <t xml:space="preserve">VITORINA CRISTALDO DE SOUZA - PANIFICAD </t>
  </si>
  <si>
    <t xml:space="preserve">PANIFICADORA BANAN</t>
  </si>
  <si>
    <t xml:space="preserve">R  C  DE SOUZA RESENDE</t>
  </si>
  <si>
    <t xml:space="preserve">PANIFICADORA COLINOS LTDA</t>
  </si>
  <si>
    <t xml:space="preserve">PANIFICADORA COLINOS</t>
  </si>
  <si>
    <t xml:space="preserve">ERGENE DAHM</t>
  </si>
  <si>
    <t xml:space="preserve">CONVENIENCIA TIJUCA ERGENE</t>
  </si>
  <si>
    <t xml:space="preserve">LUCIANA POIANI ALVES</t>
  </si>
  <si>
    <t xml:space="preserve">FRIOS PAULISTA</t>
  </si>
  <si>
    <t xml:space="preserve">CLEIDEMIR LINO PEREIRA E CIA LTDA</t>
  </si>
  <si>
    <t xml:space="preserve">MARIA MARTINS GARCIA</t>
  </si>
  <si>
    <t xml:space="preserve">AGRO VETERINARIA DOURADOS</t>
  </si>
  <si>
    <t xml:space="preserve">LINDOMAR SOUZA DE OLIVEIRA</t>
  </si>
  <si>
    <t xml:space="preserve">MERCEARIA L A</t>
  </si>
  <si>
    <t xml:space="preserve">EDILSON LIMIRO DUARTE E CIA LTDA 02</t>
  </si>
  <si>
    <t xml:space="preserve">SM DUARTE 02</t>
  </si>
  <si>
    <t xml:space="preserve">JANE MARILEI GUND</t>
  </si>
  <si>
    <t xml:space="preserve">GIMENEZ E LOPES LTDA</t>
  </si>
  <si>
    <t xml:space="preserve">GRAMADINHO</t>
  </si>
  <si>
    <t xml:space="preserve">R S MARTINEZ</t>
  </si>
  <si>
    <t xml:space="preserve">MERCADO LUZ</t>
  </si>
  <si>
    <t xml:space="preserve">EDNA DE MEDEIROS</t>
  </si>
  <si>
    <t xml:space="preserve">EDNA MEDEIROS</t>
  </si>
  <si>
    <t xml:space="preserve">AILTON DE ARAUJO SILVA</t>
  </si>
  <si>
    <t xml:space="preserve"> REAL GAS</t>
  </si>
  <si>
    <t xml:space="preserve">LACERDA E SILVA BUFFET LTDA</t>
  </si>
  <si>
    <t xml:space="preserve">NIURA BUFFET</t>
  </si>
  <si>
    <t xml:space="preserve">DISTRIBUIDORA DE ALIMENTOS CALIN LTDA</t>
  </si>
  <si>
    <t xml:space="preserve">MERCADO CALIN</t>
  </si>
  <si>
    <t xml:space="preserve">COM  MIRANDA DE PROD ALIMENTICIOS LTDA  </t>
  </si>
  <si>
    <t xml:space="preserve">COMERCIAL DE ALIMENTOS THIS LTDA</t>
  </si>
  <si>
    <t xml:space="preserve">SUPERMERCADO SAO MARCOS</t>
  </si>
  <si>
    <t xml:space="preserve">LUCIMARA RODRIGUES</t>
  </si>
  <si>
    <t xml:space="preserve">RESTAURANTE E LANCHONETE N SRA APARECIDA</t>
  </si>
  <si>
    <t xml:space="preserve">SUPERMERCADO VINICIUS LTDA ME</t>
  </si>
  <si>
    <t xml:space="preserve">LILIO MARCIO ZENTENO</t>
  </si>
  <si>
    <t xml:space="preserve">CONVENIENCIA DO CHUCHU</t>
  </si>
  <si>
    <t xml:space="preserve">SAMPAIO E SAMPAIO FABR ECOM PAES LTDA</t>
  </si>
  <si>
    <t xml:space="preserve">FILOMENA BOUTIQUE DE PAES</t>
  </si>
  <si>
    <t xml:space="preserve">HELENA APARECIDA GUERREIRO DIAS</t>
  </si>
  <si>
    <t xml:space="preserve">GHENIAL MERCADO E PAPELARIA</t>
  </si>
  <si>
    <t xml:space="preserve">LUCIMAR RIQUELME PIRES</t>
  </si>
  <si>
    <t xml:space="preserve">WANDERSON DE SOUZA PEREIRA ME</t>
  </si>
  <si>
    <t xml:space="preserve">PET AGRO</t>
  </si>
  <si>
    <t xml:space="preserve">ANDRIELI LEITE</t>
  </si>
  <si>
    <t xml:space="preserve">RESTAURANTE E LANCHONETE ZE LEITE</t>
  </si>
  <si>
    <t xml:space="preserve">DROGARIA E ACESSORIOS NATI LTDA ME</t>
  </si>
  <si>
    <t xml:space="preserve">DROGARIA E ACESSORIOS NATI</t>
  </si>
  <si>
    <t xml:space="preserve">CONVENIENCIA SILVA E FERRARI</t>
  </si>
  <si>
    <t xml:space="preserve">P  S  DE OLIVEIRA</t>
  </si>
  <si>
    <t xml:space="preserve">PS DE OLIVEIRA</t>
  </si>
  <si>
    <t xml:space="preserve">F A SILVA</t>
  </si>
  <si>
    <t xml:space="preserve">DOG HOUSE PET SHOP</t>
  </si>
  <si>
    <t xml:space="preserve">SUPERMERCADO PARAISO LTDA ME</t>
  </si>
  <si>
    <t xml:space="preserve">PARAISO ALIMENTOS LTDA</t>
  </si>
  <si>
    <t xml:space="preserve">GETULIO VILALBA FALCO ME</t>
  </si>
  <si>
    <t xml:space="preserve">VILA ROMANA PARK HOTEL</t>
  </si>
  <si>
    <t xml:space="preserve">LYGIA VILALBA FALCO EPP</t>
  </si>
  <si>
    <t xml:space="preserve">MEDITERRANEO</t>
  </si>
  <si>
    <t xml:space="preserve">SUELI ANTONIA BATISTA DE OLIVEIRA</t>
  </si>
  <si>
    <t xml:space="preserve">VAREJAO 199</t>
  </si>
  <si>
    <t xml:space="preserve">R  C  N  DE MELO</t>
  </si>
  <si>
    <t xml:space="preserve">MERCANTIL NOGUEIRA</t>
  </si>
  <si>
    <t xml:space="preserve">L O GALIZA ME</t>
  </si>
  <si>
    <t xml:space="preserve">TRES POR TRES COM DE ALIMENTOS LTDA</t>
  </si>
  <si>
    <t xml:space="preserve">FEST BEER</t>
  </si>
  <si>
    <t xml:space="preserve">CASA DO FAZENDEIRO LTDA</t>
  </si>
  <si>
    <t xml:space="preserve">CASA DO FAZENDEIRO</t>
  </si>
  <si>
    <t xml:space="preserve">POSTO FIGUEIRA RUI BARBOSA LTDA</t>
  </si>
  <si>
    <t xml:space="preserve">POSTO FIGUEIRA II</t>
  </si>
  <si>
    <t xml:space="preserve">MATHEUS E SILVA COM DE ALIMENTOS LTDA</t>
  </si>
  <si>
    <t xml:space="preserve">SOUZA E PICADA LTDA</t>
  </si>
  <si>
    <t xml:space="preserve">SUPERMERCADO VICTOR</t>
  </si>
  <si>
    <t xml:space="preserve">ROBSON DE SOUZA COSTA</t>
  </si>
  <si>
    <t xml:space="preserve">MERCADO RK</t>
  </si>
  <si>
    <t xml:space="preserve">OSVALDO JOSE MARTINS</t>
  </si>
  <si>
    <t xml:space="preserve">DISTRIBUIDORA DE BEBIDAS BRASIL</t>
  </si>
  <si>
    <t xml:space="preserve">DUDAS E MAIA LTDA</t>
  </si>
  <si>
    <t xml:space="preserve">BAKURI RESTAURANTE</t>
  </si>
  <si>
    <t xml:space="preserve">MIX CONVENIENCIA LTDA</t>
  </si>
  <si>
    <t xml:space="preserve">MIX CONVENIENCIA</t>
  </si>
  <si>
    <t xml:space="preserve">CUNHA E SAOVESSO LTDA</t>
  </si>
  <si>
    <t xml:space="preserve">VIGATO E JANCZESKI MERCADO LTDA</t>
  </si>
  <si>
    <t xml:space="preserve">MERCADO TODO DIA</t>
  </si>
  <si>
    <t xml:space="preserve">J S ROMERO</t>
  </si>
  <si>
    <t xml:space="preserve">SM BOMD COMPRA SUPERMERCADOS</t>
  </si>
  <si>
    <t xml:space="preserve">COMERCIAL DE ALIMENTOS DENDENA LTDA</t>
  </si>
  <si>
    <t xml:space="preserve">SUPERMERCADO TRADICAO</t>
  </si>
  <si>
    <t xml:space="preserve">A C BORDAO</t>
  </si>
  <si>
    <t xml:space="preserve">DANI DISTRIBUIDORA</t>
  </si>
  <si>
    <t xml:space="preserve">L GONCALVES DOS SANTOS E CIA LTDA</t>
  </si>
  <si>
    <t xml:space="preserve">COMERCIAL DE ALIMENTOS SUPER RITA LTDA  </t>
  </si>
  <si>
    <t xml:space="preserve">SUPERMERCADO DO KEZIO</t>
  </si>
  <si>
    <t xml:space="preserve">SUPERMERCADO SUPER RITA</t>
  </si>
  <si>
    <t xml:space="preserve">CHURRASCARIA CARRETEIRO LTDA</t>
  </si>
  <si>
    <t xml:space="preserve">CHURRACARIA CARRETEIRO</t>
  </si>
  <si>
    <t xml:space="preserve">J BOBADILHA</t>
  </si>
  <si>
    <t xml:space="preserve">PADARIA PANOFICADORA GIOVANA</t>
  </si>
  <si>
    <t xml:space="preserve">AUTO POSTO LIMEIRA LTDA</t>
  </si>
  <si>
    <t xml:space="preserve">POSTO LIMEIRA</t>
  </si>
  <si>
    <t xml:space="preserve">L G CARDOSO - PANIFICADORA</t>
  </si>
  <si>
    <t xml:space="preserve">SABINO E FEITOSA LTDA</t>
  </si>
  <si>
    <t xml:space="preserve">CONVENIENCI CAFEZAIS</t>
  </si>
  <si>
    <t xml:space="preserve">LENIR TAKACO NAKAZATO</t>
  </si>
  <si>
    <t xml:space="preserve">O PONTO DO PASTEL</t>
  </si>
  <si>
    <t xml:space="preserve">FATIMA RICHELI DA CRUZ ME</t>
  </si>
  <si>
    <t xml:space="preserve">CONVENIENCIA PAGUE MENOS</t>
  </si>
  <si>
    <t xml:space="preserve">GUSTAVO CONVENIENCIAS LTDA</t>
  </si>
  <si>
    <t xml:space="preserve">PAULO CAVANIA</t>
  </si>
  <si>
    <t xml:space="preserve">MERCADO E ACOUGUE BOM JESUS</t>
  </si>
  <si>
    <t xml:space="preserve">HERMINIA ALVES DE ALMEIDA</t>
  </si>
  <si>
    <t xml:space="preserve">SUPERMERCADO FRAM LTDA</t>
  </si>
  <si>
    <t xml:space="preserve">FRAM SULPERMERCADO</t>
  </si>
  <si>
    <t xml:space="preserve">ELAINE PEREIRA GARCIA</t>
  </si>
  <si>
    <t xml:space="preserve">ADILSON LEMOS DA SILVA</t>
  </si>
  <si>
    <t xml:space="preserve">CONVENIENCIA DA PRACA</t>
  </si>
  <si>
    <t xml:space="preserve">PAULO ROBERTO BRITTO</t>
  </si>
  <si>
    <t xml:space="preserve">SUPERMERCADO BLUMENAL II</t>
  </si>
  <si>
    <t xml:space="preserve">OLIVEIRA GAS E MERCEARIA</t>
  </si>
  <si>
    <t xml:space="preserve">ROBERTO CORONEL</t>
  </si>
  <si>
    <t xml:space="preserve">MERCEARIA BIG BOM</t>
  </si>
  <si>
    <t xml:space="preserve">C L S MIRANDA E FILHA LTDA</t>
  </si>
  <si>
    <t xml:space="preserve">CONVENIENCIA PAO E CIA</t>
  </si>
  <si>
    <t xml:space="preserve">TIAGO IBANHES GONCALVES</t>
  </si>
  <si>
    <t xml:space="preserve">K L BELMONTE</t>
  </si>
  <si>
    <t xml:space="preserve">JOSE LINO CEZARI E CIA LTDA</t>
  </si>
  <si>
    <t xml:space="preserve">AUTO POSTO MANAAIN LTDA</t>
  </si>
  <si>
    <t xml:space="preserve">AUTO POSTO MANAAIN</t>
  </si>
  <si>
    <t xml:space="preserve">J PEREIRA LACERDA</t>
  </si>
  <si>
    <t xml:space="preserve">J P CONVENIENCIA</t>
  </si>
  <si>
    <t xml:space="preserve">JOSE SALUSTIANO MEDEIROS</t>
  </si>
  <si>
    <t xml:space="preserve">PET VET CLINICA VET E PET SHOP LTDA</t>
  </si>
  <si>
    <t xml:space="preserve">PET</t>
  </si>
  <si>
    <t xml:space="preserve">MINI MERCADO MENINAO LTDA</t>
  </si>
  <si>
    <t xml:space="preserve">MARCADO MENINAO</t>
  </si>
  <si>
    <t xml:space="preserve">DISTR DE BEBIDAS CENTRO SUL MSLTDA ME</t>
  </si>
  <si>
    <t xml:space="preserve">DISTRIBUIDORA DE BEBIDAS CENTRO SUL</t>
  </si>
  <si>
    <t xml:space="preserve">MAHAL EMPREEND E PARTICIPACOES S A</t>
  </si>
  <si>
    <t xml:space="preserve">G P DA PENHA CARNES FRIOS CONVEN LTDA</t>
  </si>
  <si>
    <t xml:space="preserve">CENTRAL CARNES</t>
  </si>
  <si>
    <t xml:space="preserve">SILVA E CRUZ COM DE PROD ALIMENT LTDA</t>
  </si>
  <si>
    <t xml:space="preserve">PRATICA CONVENIENCIA</t>
  </si>
  <si>
    <t xml:space="preserve">J  E  BERGAMINI</t>
  </si>
  <si>
    <t xml:space="preserve">SUPERMERCADO BERGAMINI</t>
  </si>
  <si>
    <t xml:space="preserve">GABRIELA BARBOSA DA VEIGA RICHENA ME</t>
  </si>
  <si>
    <t xml:space="preserve">MINI MERCADO M C</t>
  </si>
  <si>
    <t xml:space="preserve">AMELIA DE OLIVEIRA SANTOS</t>
  </si>
  <si>
    <t xml:space="preserve">BAR AMELIA</t>
  </si>
  <si>
    <t xml:space="preserve">PAVAO E MARINHO LTDA</t>
  </si>
  <si>
    <t xml:space="preserve">PAVAO E MARINHO LTDA ME</t>
  </si>
  <si>
    <t xml:space="preserve">PAVAO E MARINHO</t>
  </si>
  <si>
    <t xml:space="preserve">CERESINI E CIA LTDA</t>
  </si>
  <si>
    <t xml:space="preserve">GNANN E JORGE LTDA ME</t>
  </si>
  <si>
    <t xml:space="preserve">DROGARIA BELLA FARMA</t>
  </si>
  <si>
    <t xml:space="preserve">PANIFI MONTEIRO</t>
  </si>
  <si>
    <t xml:space="preserve">NEEMIAS QUEIROZ MONTEIRO EIRELI</t>
  </si>
  <si>
    <t xml:space="preserve">PANIFICADORA MONTEIRO</t>
  </si>
  <si>
    <t xml:space="preserve">SEVERO E FLORIAN LTDA</t>
  </si>
  <si>
    <t xml:space="preserve">MAX SUPERMERCADO</t>
  </si>
  <si>
    <t xml:space="preserve">GISLAINE RITA DE BONA SARTOR</t>
  </si>
  <si>
    <t xml:space="preserve">LOUBET E BARBOSA LTDA</t>
  </si>
  <si>
    <t xml:space="preserve">SM NOSSO SUPERMERCADO</t>
  </si>
  <si>
    <t xml:space="preserve">MONALIZA TICIANEL NOVAES</t>
  </si>
  <si>
    <t xml:space="preserve">CHOPERIA TODA HORA</t>
  </si>
  <si>
    <t xml:space="preserve">RICARDO VICENTIN</t>
  </si>
  <si>
    <t xml:space="preserve">OCAMPO E SILVA LTDA</t>
  </si>
  <si>
    <t xml:space="preserve">GASTAO E FILHOS LTDA</t>
  </si>
  <si>
    <t xml:space="preserve">CHURRASCARIA GAUCHO GASTAO</t>
  </si>
  <si>
    <t xml:space="preserve">JOVELINA MARIA PIPERAS</t>
  </si>
  <si>
    <t xml:space="preserve">ARMAZEM DO PRODUTOR</t>
  </si>
  <si>
    <t xml:space="preserve">DROGARIA IACAL LTDA EPP</t>
  </si>
  <si>
    <t xml:space="preserve">DROGARIA IACAL</t>
  </si>
  <si>
    <t xml:space="preserve">FORTES COMERCIO E SERVICO EIRELI</t>
  </si>
  <si>
    <t xml:space="preserve">FORT MALIMENTOS</t>
  </si>
  <si>
    <t xml:space="preserve">ALZIRA PEREIRA DA SILVA</t>
  </si>
  <si>
    <t xml:space="preserve">MERCEARIA E ACOUGUE BOA VISTA</t>
  </si>
  <si>
    <t xml:space="preserve">GHM FERNANDES-ME</t>
  </si>
  <si>
    <t xml:space="preserve">ILHA DO ACAI</t>
  </si>
  <si>
    <t xml:space="preserve">G H M FERNANDES ME</t>
  </si>
  <si>
    <t xml:space="preserve">JEFERSON RIBEIRO DOS SANTOS</t>
  </si>
  <si>
    <t xml:space="preserve">DISCOL</t>
  </si>
  <si>
    <t xml:space="preserve">CARDOSO PET SHOP LTDA</t>
  </si>
  <si>
    <t xml:space="preserve">CAO Q LATE</t>
  </si>
  <si>
    <t xml:space="preserve">SERGIO OLEGARIO MARQUES</t>
  </si>
  <si>
    <t xml:space="preserve">CONVENIENCIA DA FAMILIA</t>
  </si>
  <si>
    <t xml:space="preserve">MANA COMERCIO DE ALIMENTOS LTDA</t>
  </si>
  <si>
    <t xml:space="preserve">ALIMENTO SAUDAVEL MANA</t>
  </si>
  <si>
    <t xml:space="preserve">BIG BEEF DIS LOGISTICA PRODS ALIM LTDA  </t>
  </si>
  <si>
    <t xml:space="preserve">BIG BEEF DIST LOG PROD ALIMENTICIOS LTDA</t>
  </si>
  <si>
    <t xml:space="preserve">CORREA E CIA LTDA</t>
  </si>
  <si>
    <t xml:space="preserve">PANIFICADORA SAO SEBATIAO</t>
  </si>
  <si>
    <t xml:space="preserve">COMERCIAL PLANALTO LTDA</t>
  </si>
  <si>
    <t xml:space="preserve">PLANALTO CONVENIENCIA</t>
  </si>
  <si>
    <t xml:space="preserve">J E F MERCEARIA E CONVENIENCIA LTDA</t>
  </si>
  <si>
    <t xml:space="preserve">JF MERCEARIA E CONVENIENCIA</t>
  </si>
  <si>
    <t xml:space="preserve">MERCADO LAR LTDA</t>
  </si>
  <si>
    <t xml:space="preserve">MERCADO LAR</t>
  </si>
  <si>
    <t xml:space="preserve">AUTO POSTO SAN CRISTOVAO</t>
  </si>
  <si>
    <t xml:space="preserve">SUPERMERCADO SAO SEBASTIAO</t>
  </si>
  <si>
    <t xml:space="preserve">GALLO DISTRIBUIDORA DE ALIMENTOS LTDA ME</t>
  </si>
  <si>
    <t xml:space="preserve">GALLO DISTRIBUIDORA</t>
  </si>
  <si>
    <t xml:space="preserve">MARCELO NOGUEIRA DE OLIVEIRA</t>
  </si>
  <si>
    <t xml:space="preserve">MERCADOA SAMPAIO</t>
  </si>
  <si>
    <t xml:space="preserve">JAIR BENITES RODRIGUES</t>
  </si>
  <si>
    <t xml:space="preserve">SILVA E CABRERA LTDA</t>
  </si>
  <si>
    <t xml:space="preserve">MEDINA  SOUZA E SILVA LTDA</t>
  </si>
  <si>
    <t xml:space="preserve">R ALCANTRA TAMARU</t>
  </si>
  <si>
    <t xml:space="preserve">PROVET</t>
  </si>
  <si>
    <t xml:space="preserve">VANDERLEI CLIMA</t>
  </si>
  <si>
    <t xml:space="preserve">CONVENIENCIA CLIMA</t>
  </si>
  <si>
    <t xml:space="preserve">MATIUSSO E GALDINO LTDA</t>
  </si>
  <si>
    <t xml:space="preserve">DROGARIA MAIS SAUDE</t>
  </si>
  <si>
    <t xml:space="preserve">CARLA FABIANE DE CASTRO</t>
  </si>
  <si>
    <t xml:space="preserve">SUPERMERCADO SOUZAREAL LTDA</t>
  </si>
  <si>
    <t xml:space="preserve">PET SHOP CAO DE ELITE LTDA</t>
  </si>
  <si>
    <t xml:space="preserve">PET SHOP CAO DE ELITE</t>
  </si>
  <si>
    <t xml:space="preserve">SIRLEY VIEIRA TEODORO</t>
  </si>
  <si>
    <t xml:space="preserve">PANIFICADORA PAO CROKANTE</t>
  </si>
  <si>
    <t xml:space="preserve">OASIS CONVENIENCIAS LTDA</t>
  </si>
  <si>
    <t xml:space="preserve">POSTO EMANUELI</t>
  </si>
  <si>
    <t xml:space="preserve">FERNANDA RIBEIRO DA SILVA</t>
  </si>
  <si>
    <t xml:space="preserve">MERCADO EURO</t>
  </si>
  <si>
    <t xml:space="preserve">COMERCIAL GEN ALIMENTCIOS ITAMARATI LTDA</t>
  </si>
  <si>
    <t xml:space="preserve">MERCADO COPAIS</t>
  </si>
  <si>
    <t xml:space="preserve">ELIANA FERREIRA DA SILVA</t>
  </si>
  <si>
    <t xml:space="preserve">FERNANDA OSEKO DE ARAUJO</t>
  </si>
  <si>
    <t xml:space="preserve">CARLOS ROBERTO LIMA DE SOUZA</t>
  </si>
  <si>
    <t xml:space="preserve">K K VARIEDADES</t>
  </si>
  <si>
    <t xml:space="preserve">SUPERBOX DISTRIBUICAO LTDA</t>
  </si>
  <si>
    <t xml:space="preserve">SUPERMERCADO DE CASA</t>
  </si>
  <si>
    <t xml:space="preserve">FORNELLI RESTAURANTE E LANCHONETE LTDA M</t>
  </si>
  <si>
    <t xml:space="preserve">BELA CRETA</t>
  </si>
  <si>
    <t xml:space="preserve">MARCOS ANTONIO LARA GONCALVES</t>
  </si>
  <si>
    <t xml:space="preserve">PE DE MOLEQUE</t>
  </si>
  <si>
    <t xml:space="preserve">VALTER ANTONIO SANTOS MINIMERCADO</t>
  </si>
  <si>
    <t xml:space="preserve">MINI MERCADO YPE</t>
  </si>
  <si>
    <t xml:space="preserve">CONV E PANIFICADORA NUNES E RIOS LTDA</t>
  </si>
  <si>
    <t xml:space="preserve">PANIFICADORA NUNES</t>
  </si>
  <si>
    <t xml:space="preserve">HEYN E DELEVATTI LTDA</t>
  </si>
  <si>
    <t xml:space="preserve">CLAUDINEI LOURENCO RODRIGUES ME</t>
  </si>
  <si>
    <t xml:space="preserve">EDER DE ARRUDA GODOY</t>
  </si>
  <si>
    <t xml:space="preserve">NEY GOMES ARISTIMUNHO ME</t>
  </si>
  <si>
    <t xml:space="preserve">MR DOG PET SHOP</t>
  </si>
  <si>
    <t xml:space="preserve">DARCI ROMEIRO</t>
  </si>
  <si>
    <t xml:space="preserve">C Z VIEIRA  ME</t>
  </si>
  <si>
    <t xml:space="preserve">PET E CIA</t>
  </si>
  <si>
    <t xml:space="preserve">NAVESA MERCANTIL DE VEICULOS LTDA</t>
  </si>
  <si>
    <t xml:space="preserve">NAVESA</t>
  </si>
  <si>
    <t xml:space="preserve">PANIFICADORA RR MANIA LTDA</t>
  </si>
  <si>
    <t xml:space="preserve">PANIFICADORA RR MANIA</t>
  </si>
  <si>
    <t xml:space="preserve">REDEMS JUSTINO COMERCIO </t>
  </si>
  <si>
    <t xml:space="preserve">FELIPE MATHEUS R LOPES E CIA LTDA</t>
  </si>
  <si>
    <t xml:space="preserve">A?OUGUE E MERCADO REOBOTE</t>
  </si>
  <si>
    <t xml:space="preserve">CRISTALDO E COSTA LTDA</t>
  </si>
  <si>
    <t xml:space="preserve">FRANCISMAR ALBUQUERQUE CAVALCANTE</t>
  </si>
  <si>
    <t xml:space="preserve">COMERCIAL ANGELICA</t>
  </si>
  <si>
    <t xml:space="preserve">SUPERMERCADO SONORA LTDA</t>
  </si>
  <si>
    <t xml:space="preserve">SUPERMERCADO SONORA</t>
  </si>
  <si>
    <t xml:space="preserve">CABRERA E OLIVEIRA LTDA</t>
  </si>
  <si>
    <t xml:space="preserve">CONVENIENCIA AVENIDA</t>
  </si>
  <si>
    <t xml:space="preserve">MARTA GOMES NANTES ME</t>
  </si>
  <si>
    <t xml:space="preserve">BELA PHARMA 2 MATRIZ</t>
  </si>
  <si>
    <t xml:space="preserve">FARMCIA</t>
  </si>
  <si>
    <t xml:space="preserve">MARIA JUSTINA BENITEZ SANCHEZ</t>
  </si>
  <si>
    <t xml:space="preserve">CASA DE CARNE VITRINE</t>
  </si>
  <si>
    <t xml:space="preserve">THOMAZ LANCHES LTDA</t>
  </si>
  <si>
    <t xml:space="preserve">CERES PRODUTOS AGROPECUARIOS LTDA</t>
  </si>
  <si>
    <t xml:space="preserve">CERES</t>
  </si>
  <si>
    <t xml:space="preserve">MERCADO BOAS NOVAS LTDA</t>
  </si>
  <si>
    <t xml:space="preserve">MERCADO BOAS NOVAS</t>
  </si>
  <si>
    <t xml:space="preserve">OYADOMARI E CIA LTDA</t>
  </si>
  <si>
    <t xml:space="preserve">CASA DO PEIXE</t>
  </si>
  <si>
    <t xml:space="preserve">MARLI COSIM DE OLIVEIRA</t>
  </si>
  <si>
    <t xml:space="preserve">SUPERMERCADO TIO PATINHAS</t>
  </si>
  <si>
    <t xml:space="preserve">CASA DOCE LTDA</t>
  </si>
  <si>
    <t xml:space="preserve">CASA DOCE</t>
  </si>
  <si>
    <t xml:space="preserve">SANDRO DE LARA LANGARO</t>
  </si>
  <si>
    <t xml:space="preserve">CONVENIENCIA TAMANDARE</t>
  </si>
  <si>
    <t xml:space="preserve">SEBASTIAO SOUZA DA SILVA MERCADO</t>
  </si>
  <si>
    <t xml:space="preserve">D M MARTINS</t>
  </si>
  <si>
    <t xml:space="preserve">ATACADO MARTINS</t>
  </si>
  <si>
    <t xml:space="preserve">SUPERMERCADO SOUZA EIRELI</t>
  </si>
  <si>
    <t xml:space="preserve">DISTRIBUIDORA E GAS E MERCEARIA</t>
  </si>
  <si>
    <t xml:space="preserve">JD COMERCIO DE ALIMENTOS LTDA</t>
  </si>
  <si>
    <t xml:space="preserve">LUNNA FARMA DROGARIA LTDA</t>
  </si>
  <si>
    <t xml:space="preserve">LUNNA FARMA</t>
  </si>
  <si>
    <t xml:space="preserve">GUAICURUS ARTIGOS MILITARES LTDA</t>
  </si>
  <si>
    <t xml:space="preserve">GUAICURUS ARTIGOS MILITARES</t>
  </si>
  <si>
    <t xml:space="preserve">REINALDO PELICAO CEREALISTA ME</t>
  </si>
  <si>
    <t xml:space="preserve">CEREALISTA PELICAO</t>
  </si>
  <si>
    <t xml:space="preserve">FENER E CIA LTDA</t>
  </si>
  <si>
    <t xml:space="preserve">POSTO POSITIVO</t>
  </si>
  <si>
    <t xml:space="preserve">I.A.J.GONCALVES</t>
  </si>
  <si>
    <t xml:space="preserve">MERCADO PANTANAL.</t>
  </si>
  <si>
    <t xml:space="preserve">GMF RESTAURANTES LTDA</t>
  </si>
  <si>
    <t xml:space="preserve">REST LAGOA DA PRATA</t>
  </si>
  <si>
    <t xml:space="preserve">JOAO RICARDO CASSAVARA</t>
  </si>
  <si>
    <t xml:space="preserve">MERCADO IPANEMA</t>
  </si>
  <si>
    <t xml:space="preserve">JRR DROGARIA LTDA</t>
  </si>
  <si>
    <t xml:space="preserve">LOJA DE CONVENIENCIA E LANCHONETE CAMPO </t>
  </si>
  <si>
    <t xml:space="preserve">T E T PANIFICADORA LTDA</t>
  </si>
  <si>
    <t xml:space="preserve">MERCADO PAES E SOUZA LTDA</t>
  </si>
  <si>
    <t xml:space="preserve">J M ALVES DA COSTA</t>
  </si>
  <si>
    <t xml:space="preserve">GILSON BARBOSA MATOS</t>
  </si>
  <si>
    <t xml:space="preserve">A C GONCALVES</t>
  </si>
  <si>
    <t xml:space="preserve">NUTRI ANIMAL</t>
  </si>
  <si>
    <t xml:space="preserve">SO FRUTA ALIMENTOS LTDA</t>
  </si>
  <si>
    <t xml:space="preserve">GUAIRA</t>
  </si>
  <si>
    <t xml:space="preserve">ADAUTO CANDIDO DE ALMEIDA</t>
  </si>
  <si>
    <t xml:space="preserve">EMPORIO OITI</t>
  </si>
  <si>
    <t xml:space="preserve">COMERCIAL TOMODATI LTDA</t>
  </si>
  <si>
    <t xml:space="preserve">TOMODATI</t>
  </si>
  <si>
    <t xml:space="preserve">BIOVET CLINICA VETERINARIA LTDA</t>
  </si>
  <si>
    <t xml:space="preserve">BIOVET CLINICA VETERINARIA</t>
  </si>
  <si>
    <t xml:space="preserve">G B TREVISAN COMERCIO LTDA</t>
  </si>
  <si>
    <t xml:space="preserve">ELLA PERFUMARIA</t>
  </si>
  <si>
    <t xml:space="preserve">COMERCIAL BRANSKOL DE ALIMENTOS LTDA</t>
  </si>
  <si>
    <t xml:space="preserve">COMERCIAL BRANSKOL</t>
  </si>
  <si>
    <t xml:space="preserve">MENDONCA E FILHO LTDA</t>
  </si>
  <si>
    <t xml:space="preserve">CHOCODOCES</t>
  </si>
  <si>
    <t xml:space="preserve">CLAUDIA DA CUNHA GOES HERREIRA</t>
  </si>
  <si>
    <t xml:space="preserve">DROGARIA DROGAVITTA</t>
  </si>
  <si>
    <t xml:space="preserve">CONVENIENCIA RESTAURANTE PIONEIRO EIRELI</t>
  </si>
  <si>
    <t xml:space="preserve">RESTAURANTE E LANCHONETE PINHEIRO</t>
  </si>
  <si>
    <t xml:space="preserve">EDINEI MAZUY MAIDANA</t>
  </si>
  <si>
    <t xml:space="preserve">SUPERMERCADO VALE VERDE II</t>
  </si>
  <si>
    <t xml:space="preserve">F FERREIRA DE SOUZA</t>
  </si>
  <si>
    <t xml:space="preserve">PORTAL MERCADO</t>
  </si>
  <si>
    <t xml:space="preserve">GUIMARAES DIAS E REIS LTDA</t>
  </si>
  <si>
    <t xml:space="preserve">SUPERMERCADO WR</t>
  </si>
  <si>
    <t xml:space="preserve">L L MENDES DE MORAIS</t>
  </si>
  <si>
    <t xml:space="preserve">FARMACIA IGUATEMI</t>
  </si>
  <si>
    <t xml:space="preserve">COMERCIAL JERE DE ALIMENTOS LTDA</t>
  </si>
  <si>
    <t xml:space="preserve">COMERCIAL JERE</t>
  </si>
  <si>
    <t xml:space="preserve">MARGARETH ALMEIDA DE DEUS</t>
  </si>
  <si>
    <t xml:space="preserve">LUCIANA DA SILVA DOS ANJOS</t>
  </si>
  <si>
    <t xml:space="preserve">IZAURA MARIA DO NASCIMENTO SOUZA</t>
  </si>
  <si>
    <t xml:space="preserve">CONVENIENCIA AQUI TEM</t>
  </si>
  <si>
    <t xml:space="preserve">CFS TRANSPORTES LTDA</t>
  </si>
  <si>
    <t xml:space="preserve">XER E FREITAS LTDA</t>
  </si>
  <si>
    <t xml:space="preserve">MERCEARIA GARIBALDI 2</t>
  </si>
  <si>
    <t xml:space="preserve">MERCEARIA PRATA E OURO LTDA</t>
  </si>
  <si>
    <t xml:space="preserve">CEVET CENTRO VET IMAG E DIAGNOSTICOS LTD</t>
  </si>
  <si>
    <t xml:space="preserve">PRONTO DOG E CAT</t>
  </si>
  <si>
    <t xml:space="preserve">CATARINO SEBASTIAO TAVEIRA</t>
  </si>
  <si>
    <t xml:space="preserve">MERCADO TAVEIRA</t>
  </si>
  <si>
    <t xml:space="preserve">SOUZA E MAIDANA LTDA</t>
  </si>
  <si>
    <t xml:space="preserve">MINI MERCADO NOVO HORIZONTE</t>
  </si>
  <si>
    <t xml:space="preserve">B E W TRANSPORTES DE CARGAS LTDA</t>
  </si>
  <si>
    <t xml:space="preserve">B E W TRANSPORTES</t>
  </si>
  <si>
    <t xml:space="preserve">MINI MERCADO ALANA LTDA</t>
  </si>
  <si>
    <t xml:space="preserve">MINI MERCADO ALANA</t>
  </si>
  <si>
    <t xml:space="preserve">ELLEN MARICIA LOPES SANTOS ME</t>
  </si>
  <si>
    <t xml:space="preserve">ELI CRISTIANO BENTO ME</t>
  </si>
  <si>
    <t xml:space="preserve">ODONTHICS  ODONTOLOGIA ESTETICA EIRELI  </t>
  </si>
  <si>
    <t xml:space="preserve">ODONTHICS</t>
  </si>
  <si>
    <t xml:space="preserve">MARIA LIDIA SOUZA DA SILVA</t>
  </si>
  <si>
    <t xml:space="preserve">AGRO CULTURAS</t>
  </si>
  <si>
    <t xml:space="preserve">JULIO CESAR BOSIO</t>
  </si>
  <si>
    <t xml:space="preserve">VENUS COSMETICOS</t>
  </si>
  <si>
    <t xml:space="preserve">ANGELITA A  DUTRA DOS SANTOS</t>
  </si>
  <si>
    <t xml:space="preserve">HIPERMERCADO</t>
  </si>
  <si>
    <t xml:space="preserve">CAVACINI E GOMES LTDA ME</t>
  </si>
  <si>
    <t xml:space="preserve">SABOR DE FRIOS</t>
  </si>
  <si>
    <t xml:space="preserve">JOSE LUIZ SAMPAIO DE OLIVEIRA</t>
  </si>
  <si>
    <t xml:space="preserve">DROGA Z</t>
  </si>
  <si>
    <t xml:space="preserve">JUMA FELIX MORAIS</t>
  </si>
  <si>
    <t xml:space="preserve">MBP COMERCIO DE ALIMENTOS LTDA</t>
  </si>
  <si>
    <t xml:space="preserve">BRUNO ROQUE DE VASCONCELOS</t>
  </si>
  <si>
    <t xml:space="preserve">MERCADO ABC</t>
  </si>
  <si>
    <t xml:space="preserve">KAIANE CONVENIENCIA LTDA</t>
  </si>
  <si>
    <t xml:space="preserve">KAIANE CONVENIENCIA</t>
  </si>
  <si>
    <t xml:space="preserve">CENTRAL COM BEBIDAS E CONVENIENCIA LTDA </t>
  </si>
  <si>
    <t xml:space="preserve">CENTRAL CONVENIENCIA</t>
  </si>
  <si>
    <t xml:space="preserve">KELLEN OLIVIA TEODORA DIAS ROSA</t>
  </si>
  <si>
    <t xml:space="preserve">LUCIENE REGINA CORA ME</t>
  </si>
  <si>
    <t xml:space="preserve">MERCADO MILA LTDA</t>
  </si>
  <si>
    <t xml:space="preserve">SR SUPERMERCADOS LTDA</t>
  </si>
  <si>
    <t xml:space="preserve">BOND COMPRA SUPERMERCADOS</t>
  </si>
  <si>
    <t xml:space="preserve">HORTIFRUTI O BIG MAIS EIRELI</t>
  </si>
  <si>
    <t xml:space="preserve">HORTIFRUTI O BARATEIRO</t>
  </si>
  <si>
    <t xml:space="preserve">EDER LIBERATO DE LIMA</t>
  </si>
  <si>
    <t xml:space="preserve">SANDY H B NANTES DA COSTA</t>
  </si>
  <si>
    <t xml:space="preserve">CONVENIENCIA GELA GUELA</t>
  </si>
  <si>
    <t xml:space="preserve">J E J CONVENIENCIAS LTDA</t>
  </si>
  <si>
    <t xml:space="preserve">POSTO PLATINAO</t>
  </si>
  <si>
    <t xml:space="preserve">RADEKE DISTRIB DE PROD ALIMENTICIOS LTDA</t>
  </si>
  <si>
    <t xml:space="preserve">ESPACO ANIMAL EIRELI</t>
  </si>
  <si>
    <t xml:space="preserve">NOBREGA E JOBIM MERCEARIA LTDA</t>
  </si>
  <si>
    <t xml:space="preserve">ANTONIO ROBERTO M NASCIMENTO E CIA LTDA </t>
  </si>
  <si>
    <t xml:space="preserve">MERCADO MARINGA</t>
  </si>
  <si>
    <t xml:space="preserve">R C C BARBOSA - VARIEDADES LTDA</t>
  </si>
  <si>
    <t xml:space="preserve">BETEL VARIEDADES</t>
  </si>
  <si>
    <t xml:space="preserve">TEREZINHA MARIA BENATTI SHINKAWA</t>
  </si>
  <si>
    <t xml:space="preserve">ART E SABOR</t>
  </si>
  <si>
    <t xml:space="preserve">COMERCIAL LUNARDI DE ALIMENTOS LTDA</t>
  </si>
  <si>
    <t xml:space="preserve">REDE LUNARDI</t>
  </si>
  <si>
    <t xml:space="preserve">SM LUNARDI LJ-01</t>
  </si>
  <si>
    <t xml:space="preserve">EMPORIO LUNARDI</t>
  </si>
  <si>
    <t xml:space="preserve">COMERCIAL LUNARD DE ALIMENTOS LTDA</t>
  </si>
  <si>
    <t xml:space="preserve">LUNARD</t>
  </si>
  <si>
    <t xml:space="preserve">COMERCIO VAREJISTA DE MARCADOR</t>
  </si>
  <si>
    <t xml:space="preserve">ROSMARI ORSATTO</t>
  </si>
  <si>
    <t xml:space="preserve">ELCIO LONGO</t>
  </si>
  <si>
    <t xml:space="preserve">SUPERMERCADO MARIANA</t>
  </si>
  <si>
    <t xml:space="preserve">BILIBIO E BILIBIO PANIFICADORA LTDA</t>
  </si>
  <si>
    <t xml:space="preserve">D M ALVES</t>
  </si>
  <si>
    <t xml:space="preserve">ANDRE LIMA DE OLIVEIRA</t>
  </si>
  <si>
    <t xml:space="preserve">CERV MAIS</t>
  </si>
  <si>
    <t xml:space="preserve">ANA LU CONVENIENCIA LTDA</t>
  </si>
  <si>
    <t xml:space="preserve">ANA LU CONVENIENCIA</t>
  </si>
  <si>
    <t xml:space="preserve">ARINALDO FELINTO DA CRUZ JUNIOR</t>
  </si>
  <si>
    <t xml:space="preserve">DROGARIA SOLOAGA</t>
  </si>
  <si>
    <t xml:space="preserve">CONVENIENCIA FJ HIRATSUKA LTDA</t>
  </si>
  <si>
    <t xml:space="preserve">JRC FRIOS</t>
  </si>
  <si>
    <t xml:space="preserve">JUCEMAR TRINDADE FURTADO E CIA LTDA</t>
  </si>
  <si>
    <t xml:space="preserve">MERCADO PONTO FACIL</t>
  </si>
  <si>
    <t xml:space="preserve">ALINE SANTOS FLORENCA MONACO</t>
  </si>
  <si>
    <t xml:space="preserve">MERCADO PATINHAS</t>
  </si>
  <si>
    <t xml:space="preserve">WILSON JESUS GUTIERRES CORREIA</t>
  </si>
  <si>
    <t xml:space="preserve">RAULINO PET SHOP EIRELI</t>
  </si>
  <si>
    <t xml:space="preserve">PET SPIPE</t>
  </si>
  <si>
    <t xml:space="preserve">FERNANDA S PERETTO</t>
  </si>
  <si>
    <t xml:space="preserve">SILVA E MEDINA LTDA</t>
  </si>
  <si>
    <t xml:space="preserve">FERREIRA E FARIAS LTDA</t>
  </si>
  <si>
    <t xml:space="preserve">ATACADO CENTRAL</t>
  </si>
  <si>
    <t xml:space="preserve">R R BOEIRA ME</t>
  </si>
  <si>
    <t xml:space="preserve">MERCADO 2 R</t>
  </si>
  <si>
    <t xml:space="preserve">PARADA LEGAL CONVENIENCIAS LTDA</t>
  </si>
  <si>
    <t xml:space="preserve">PARADA LEGAL</t>
  </si>
  <si>
    <t xml:space="preserve">CONVENIENCIA REAL LTDA</t>
  </si>
  <si>
    <t xml:space="preserve">CONVENIENCIA REAL</t>
  </si>
  <si>
    <t xml:space="preserve">EDIO MORAES VALENTE ME</t>
  </si>
  <si>
    <t xml:space="preserve">MERCADO LEGAL</t>
  </si>
  <si>
    <t xml:space="preserve">ACCECON ATACADO E DIST DE ALIMENTOS LTDA</t>
  </si>
  <si>
    <t xml:space="preserve">ACCECON ATACADO</t>
  </si>
  <si>
    <t xml:space="preserve">CHAMA ATACADISTA</t>
  </si>
  <si>
    <t xml:space="preserve">SUPERMERCADO GUIMARAES LTDA</t>
  </si>
  <si>
    <t xml:space="preserve">WILLIAM PEREIRA DOMINGOS EIRELI ME</t>
  </si>
  <si>
    <t xml:space="preserve">PARAISO BAR</t>
  </si>
  <si>
    <t xml:space="preserve">GRZESIUK E SILVA LTDA</t>
  </si>
  <si>
    <t xml:space="preserve">REDE MINAS FARMA</t>
  </si>
  <si>
    <t xml:space="preserve">GILSON NUNES COUTINHO</t>
  </si>
  <si>
    <t xml:space="preserve">GILSON CONVENIENCIA</t>
  </si>
  <si>
    <t xml:space="preserve">VILLANOVA E VILLANOVA LTDA-ME</t>
  </si>
  <si>
    <t xml:space="preserve">SORVETERIA E MERCEARIA VARANDA</t>
  </si>
  <si>
    <t xml:space="preserve">DK CONVENIENCIA LTDA</t>
  </si>
  <si>
    <t xml:space="preserve">DK CONVENIENCIA</t>
  </si>
  <si>
    <t xml:space="preserve">JULIANO ROGLING</t>
  </si>
  <si>
    <t xml:space="preserve">SUZANE PEREIRA PRADO</t>
  </si>
  <si>
    <t xml:space="preserve">PANIFICADORA COOPHAVILA</t>
  </si>
  <si>
    <t xml:space="preserve">LEONARDO CESCARI DE SOUZA E CIA LTDA ME </t>
  </si>
  <si>
    <t xml:space="preserve">MERCADO DA VILA</t>
  </si>
  <si>
    <t xml:space="preserve">MERCEARIA ARAUJO EIRELI ME</t>
  </si>
  <si>
    <t xml:space="preserve">MERCEARIA E CONV BRASIL</t>
  </si>
  <si>
    <t xml:space="preserve">GLEIDSON APARECIDO DE SOUZA OLIVEIRA</t>
  </si>
  <si>
    <t xml:space="preserve">CASA DA CARNE</t>
  </si>
  <si>
    <t xml:space="preserve">E V MACHADO</t>
  </si>
  <si>
    <t xml:space="preserve">M  N  DA CRUZ</t>
  </si>
  <si>
    <t xml:space="preserve">ALFA VILLE SUPERMERCADOS</t>
  </si>
  <si>
    <t xml:space="preserve">ISOPLAN MANUTECAO E MONTAGEM INDUSTRIAL </t>
  </si>
  <si>
    <t xml:space="preserve">ATIBAIA MANUTENCAO E MONTAGEM</t>
  </si>
  <si>
    <t xml:space="preserve">DIONISIO M LEITE ME</t>
  </si>
  <si>
    <t xml:space="preserve">LIDER PECAS E ACESSORIOS</t>
  </si>
  <si>
    <t xml:space="preserve">RONIVALDI SOUZA DE OLIVEIRA</t>
  </si>
  <si>
    <t xml:space="preserve">G A DUO PET SHOP LTDA</t>
  </si>
  <si>
    <t xml:space="preserve">PET CLUB CLUB</t>
  </si>
  <si>
    <t xml:space="preserve">ELI PEREIRA DA SILVA</t>
  </si>
  <si>
    <t xml:space="preserve">PANIFICADORA E SUPERMERCADO JK</t>
  </si>
  <si>
    <t xml:space="preserve">MAX PALERMO COPPO E CIA LTDA</t>
  </si>
  <si>
    <t xml:space="preserve">LEANDRO ARAUJO ALBUQUERQUE ME</t>
  </si>
  <si>
    <t xml:space="preserve">RONALDO JOSE DOS SANTOS</t>
  </si>
  <si>
    <t xml:space="preserve">MERCADO GOIANOS</t>
  </si>
  <si>
    <t xml:space="preserve">RODRIGUES E FERREIRA LTDA</t>
  </si>
  <si>
    <t xml:space="preserve">ORG FRATERNIDADE SEM FRONTEIRAS</t>
  </si>
  <si>
    <t xml:space="preserve">ORGANIZACAO FRATERNIDADE SEM FRONTEIRAS </t>
  </si>
  <si>
    <t xml:space="preserve">COMERCIAL LANDIVA LTDA</t>
  </si>
  <si>
    <t xml:space="preserve">COMERCIAL LANDIVA</t>
  </si>
  <si>
    <t xml:space="preserve">LEMOS PEREIRA MERCEARIA LTDA ME</t>
  </si>
  <si>
    <t xml:space="preserve">NOVO BOX</t>
  </si>
  <si>
    <t xml:space="preserve">ADENIR LEAL DA FONSECA</t>
  </si>
  <si>
    <t xml:space="preserve">MERCADO IPACARAI</t>
  </si>
  <si>
    <t xml:space="preserve">SARA CRISTINA WEBER DA SILVA</t>
  </si>
  <si>
    <t xml:space="preserve">GRANDE SUPERMERCADO</t>
  </si>
  <si>
    <t xml:space="preserve">MERCADO E CONVENIENCIA B G</t>
  </si>
  <si>
    <t xml:space="preserve">ROSANE SOARES DE ARAUJO</t>
  </si>
  <si>
    <t xml:space="preserve">LACERDA E MARTINS LTDA</t>
  </si>
  <si>
    <t xml:space="preserve">MERCEARIA DOURADENSE</t>
  </si>
  <si>
    <t xml:space="preserve">J D ECONOMICO SUPERMERCADO</t>
  </si>
  <si>
    <t xml:space="preserve">MERCEARIA E CONVENIENCIA SAO PAULO LTDA </t>
  </si>
  <si>
    <t xml:space="preserve">MERCERIA E CONV SAO PAULO</t>
  </si>
  <si>
    <t xml:space="preserve">AUTO POSTO PARANA LTDA</t>
  </si>
  <si>
    <t xml:space="preserve">PIZZARIA E RESTAURANTE YRUAMA LTDA</t>
  </si>
  <si>
    <t xml:space="preserve">PIZZARIA AGUA NA BOCA</t>
  </si>
  <si>
    <t xml:space="preserve">WESLEY H DE MATOS SILVA</t>
  </si>
  <si>
    <t xml:space="preserve">SUPERMERCADO DO JAIME</t>
  </si>
  <si>
    <t xml:space="preserve">LOURIVAL CARBONARO SALLES</t>
  </si>
  <si>
    <t xml:space="preserve">CONVENIENCIA E CHOPERIA CARBO</t>
  </si>
  <si>
    <t xml:space="preserve">VERMELHO GRILL CARNES E CORTES EIRELI EP</t>
  </si>
  <si>
    <t xml:space="preserve">VERMELHO GRILL</t>
  </si>
  <si>
    <t xml:space="preserve">HERMOGENES APARECIDO MENDES FILHO</t>
  </si>
  <si>
    <t xml:space="preserve">CASA DE CARNES E CONV MENDES</t>
  </si>
  <si>
    <t xml:space="preserve">OSMAR GARCIA DE FREITAS</t>
  </si>
  <si>
    <t xml:space="preserve">MANOEL MARCELINO DE ANDRADE</t>
  </si>
  <si>
    <t xml:space="preserve">MERCADO PRECO BOM</t>
  </si>
  <si>
    <t xml:space="preserve">JESSIKA MOREIRA DOS SANTOS</t>
  </si>
  <si>
    <t xml:space="preserve">PANIFICADORA VITORIA</t>
  </si>
  <si>
    <t xml:space="preserve">CARRA SORVETERIA LTDA</t>
  </si>
  <si>
    <t xml:space="preserve">GSI GALETTI</t>
  </si>
  <si>
    <t xml:space="preserve">DROGARIA MMS MEDICAMENTOS LTDA EPP</t>
  </si>
  <si>
    <t xml:space="preserve">FARMANOSSA</t>
  </si>
  <si>
    <t xml:space="preserve">APARICIO RAMAO SILVEIRA E CIA LTDA</t>
  </si>
  <si>
    <t xml:space="preserve">R R SILVA MEDICAMENTOS</t>
  </si>
  <si>
    <t xml:space="preserve">SAUDE FARMA</t>
  </si>
  <si>
    <t xml:space="preserve">SM PRODUTOS NATURAIS LTDA</t>
  </si>
  <si>
    <t xml:space="preserve">MUNDO VERDE</t>
  </si>
  <si>
    <t xml:space="preserve">AMORIM E VILALVA LTDA</t>
  </si>
  <si>
    <t xml:space="preserve">SUPERMERCADO OLIVEIRA</t>
  </si>
  <si>
    <t xml:space="preserve">MSJ COMERCIO DE MEDICAMENTOS LTDA</t>
  </si>
  <si>
    <t xml:space="preserve">DELTA MEDICAMENTOS</t>
  </si>
  <si>
    <t xml:space="preserve">MED VET CARE CLINICA VETERINARIA LTDA</t>
  </si>
  <si>
    <t xml:space="preserve">MED VET CARE</t>
  </si>
  <si>
    <t xml:space="preserve">L C COMERCIO DE MEDICAMENTOS LTDA ME</t>
  </si>
  <si>
    <t xml:space="preserve">MORENO E MORENO COM  DE ALIMENTOS LTDA  </t>
  </si>
  <si>
    <t xml:space="preserve">SUPERMERCADO SAO JOAO</t>
  </si>
  <si>
    <t xml:space="preserve">CARVALHO E HILGERT LTDA</t>
  </si>
  <si>
    <t xml:space="preserve">DROGA CRUZ</t>
  </si>
  <si>
    <t xml:space="preserve">MINIMERCADO MORENINHA</t>
  </si>
  <si>
    <t xml:space="preserve">MOTA E COSTA LTDA</t>
  </si>
  <si>
    <t xml:space="preserve">SUPERMERCADO FAMILIAR LTDA</t>
  </si>
  <si>
    <t xml:space="preserve">SM FAMILIAR</t>
  </si>
  <si>
    <t xml:space="preserve">BIG FRIOS DISTRIBUIDORA</t>
  </si>
  <si>
    <t xml:space="preserve">BIG FRIOS</t>
  </si>
  <si>
    <t xml:space="preserve">SUPERMERCADO VERDAO LTDA</t>
  </si>
  <si>
    <t xml:space="preserve">FATIMA MARTINES</t>
  </si>
  <si>
    <t xml:space="preserve">MERCEARIA NS SENHORA DE FATIMA</t>
  </si>
  <si>
    <t xml:space="preserve">LUIZ MONTEIRO DA SILVA</t>
  </si>
  <si>
    <t xml:space="preserve">LAPORTE COMERCIO DE ALIMENTOS LTDA</t>
  </si>
  <si>
    <t xml:space="preserve">SUPERMERCADO PRIMAVERA</t>
  </si>
  <si>
    <t xml:space="preserve">PAULO RENATO SOARES DO CARMO</t>
  </si>
  <si>
    <t xml:space="preserve">MERCEARIA LILICOS</t>
  </si>
  <si>
    <t xml:space="preserve">S J COMERCIO DE MEDICAMENTOS LTDA</t>
  </si>
  <si>
    <t xml:space="preserve">GEE GESTAO EFIC DE EMBALAGENS LTDA</t>
  </si>
  <si>
    <t xml:space="preserve">GEE GESTAO EFIC DE EMBALAGENS</t>
  </si>
  <si>
    <t xml:space="preserve">C M DO PRADO MARCONDES</t>
  </si>
  <si>
    <t xml:space="preserve">COMERCIAL REAL</t>
  </si>
  <si>
    <t xml:space="preserve">J  M  V  BAIRROS</t>
  </si>
  <si>
    <t xml:space="preserve">MERC E ACOUGUE RESIDENCIAL 1</t>
  </si>
  <si>
    <t xml:space="preserve">A N M DOS SANTOS JUNIOR</t>
  </si>
  <si>
    <t xml:space="preserve">JANINE RIVAROLA SAITO</t>
  </si>
  <si>
    <t xml:space="preserve">ALESSANDRA PEREIRA CHAVES</t>
  </si>
  <si>
    <t xml:space="preserve">MIX MERCADO CACHOEIRINHA</t>
  </si>
  <si>
    <t xml:space="preserve">MERCADO CONVENIENCIA DO PERNINHA ME</t>
  </si>
  <si>
    <t xml:space="preserve">MERCADO CONVENIENCIA DO PERNIN</t>
  </si>
  <si>
    <t xml:space="preserve">SM COMERCIO DE MEDICAMENTOS LTDA</t>
  </si>
  <si>
    <t xml:space="preserve">JAIRO DE SOUZA TORQUETTI</t>
  </si>
  <si>
    <t xml:space="preserve">MERCADO E ACOUGUE TORQUETTI</t>
  </si>
  <si>
    <t xml:space="preserve">NUTRE BEM RIBEIRAO LTDA</t>
  </si>
  <si>
    <t xml:space="preserve">NUTRE BEM</t>
  </si>
  <si>
    <t xml:space="preserve">PARADA CAFE</t>
  </si>
  <si>
    <t xml:space="preserve">ANIBAL VILHALBA</t>
  </si>
  <si>
    <t xml:space="preserve">MERCEARIA DOIS DE MAIO</t>
  </si>
  <si>
    <t xml:space="preserve">MAIS LUANA SUPERMERCADO LTDA</t>
  </si>
  <si>
    <t xml:space="preserve">L  I  R  DE AZEVEDO</t>
  </si>
  <si>
    <t xml:space="preserve">COMERCIAL AZEVEDO LTDA</t>
  </si>
  <si>
    <t xml:space="preserve">FRANCISCA ALVES DA SILVA</t>
  </si>
  <si>
    <t xml:space="preserve">FRIORAMA ATACADO E VAREJO DE ALIMENTOS  </t>
  </si>
  <si>
    <t xml:space="preserve">FRIORAMA ATACADO E VAREJO</t>
  </si>
  <si>
    <t xml:space="preserve">A S DA SILVA MERCADO</t>
  </si>
  <si>
    <t xml:space="preserve">SERVILHA E SERVILLA LTDA ME</t>
  </si>
  <si>
    <t xml:space="preserve">SERVILHA E SERVILLA</t>
  </si>
  <si>
    <t xml:space="preserve">TAVEIRA E BRUM LTDA</t>
  </si>
  <si>
    <t xml:space="preserve">MERCADO ESPERANCA LTDA</t>
  </si>
  <si>
    <t xml:space="preserve">RUTHYANE PITCHENIN ME</t>
  </si>
  <si>
    <t xml:space="preserve">MINI MERCADO E PANIFICADORA J.</t>
  </si>
  <si>
    <t xml:space="preserve">GILCELIA RIBEIRO QUEIROZ KOTTVITZ</t>
  </si>
  <si>
    <t xml:space="preserve">MERCADO MARCA</t>
  </si>
  <si>
    <t xml:space="preserve">ANDRESA ESPINDOLA CENTURION MEI</t>
  </si>
  <si>
    <t xml:space="preserve">CONVENIENCIA VOLOBUEFF</t>
  </si>
  <si>
    <t xml:space="preserve">MERCEARIA SUYANO</t>
  </si>
  <si>
    <t xml:space="preserve">PET SHOP NIKO LTDA</t>
  </si>
  <si>
    <t xml:space="preserve">PET SHOP NIKO</t>
  </si>
  <si>
    <t xml:space="preserve">BARZINHO</t>
  </si>
  <si>
    <t xml:space="preserve">SANDRA JACKELINE VILALBA 41568826168</t>
  </si>
  <si>
    <t xml:space="preserve">JULLY PET SHOP</t>
  </si>
  <si>
    <t xml:space="preserve">OLIMPIA VENINA DE ARAUJO MEI</t>
  </si>
  <si>
    <t xml:space="preserve">DISTRIBUIDORA DE DOCES DJ</t>
  </si>
  <si>
    <t xml:space="preserve">VAGNEL NUNES DA SILVA ME</t>
  </si>
  <si>
    <t xml:space="preserve">CONVENIENCIA DA AMIZADE</t>
  </si>
  <si>
    <t xml:space="preserve">NEIDE APARECIDA RODRIGUES ALENCAR  MEI  </t>
  </si>
  <si>
    <t xml:space="preserve">VAGNER LULU DOS SANTOS 01642230103</t>
  </si>
  <si>
    <t xml:space="preserve">MERCEARIA E CONV</t>
  </si>
  <si>
    <t xml:space="preserve">FERNANDES E SANTOS LTDA</t>
  </si>
  <si>
    <t xml:space="preserve">JOAO CARLOS FAJARDO MANOEL</t>
  </si>
  <si>
    <t xml:space="preserve">JL CONVENIENCIA</t>
  </si>
  <si>
    <t xml:space="preserve">CELOI VEGA DA SILVA</t>
  </si>
  <si>
    <t xml:space="preserve">CRIS BELA COSMETICOS</t>
  </si>
  <si>
    <t xml:space="preserve">MANOEL CORREA LEITE</t>
  </si>
  <si>
    <t xml:space="preserve">MERCEARIA MENEZES</t>
  </si>
  <si>
    <t xml:space="preserve">MATOS E FERREIRA COM DE ALIM. LTDA ME</t>
  </si>
  <si>
    <t xml:space="preserve">MERCADO NANTES</t>
  </si>
  <si>
    <t xml:space="preserve">THAMARA DA SILVA RAMIRES 01038523109</t>
  </si>
  <si>
    <t xml:space="preserve">THAMARA DA SILVA RAMIRES</t>
  </si>
  <si>
    <t xml:space="preserve">DIST DE CARNES E SUP VACA BRANCA LTDA</t>
  </si>
  <si>
    <t xml:space="preserve">DISTRIB DE CARNES E SUPERMERCADO VACA BR</t>
  </si>
  <si>
    <t xml:space="preserve">JOSE HOLOSBACH E CIA LTDA - ME</t>
  </si>
  <si>
    <t xml:space="preserve">MERCADO JH</t>
  </si>
  <si>
    <t xml:space="preserve">IVOLETE PEREIRA DA ROSA</t>
  </si>
  <si>
    <t xml:space="preserve">KI TEMPERO RESTAURANTE</t>
  </si>
  <si>
    <t xml:space="preserve">RENATO HAMADA</t>
  </si>
  <si>
    <t xml:space="preserve">COMERCIAL WV DE ALIMENTOS LTDA</t>
  </si>
  <si>
    <t xml:space="preserve">SUPERMERCADO MODELO 2</t>
  </si>
  <si>
    <t xml:space="preserve">COMERCIAL DE ALIMENTOS NUTRIMAIS LTDA</t>
  </si>
  <si>
    <t xml:space="preserve">NUTIMAIS CESTA BASICA</t>
  </si>
  <si>
    <t xml:space="preserve">M E ANDRADE DE ARAUJO</t>
  </si>
  <si>
    <t xml:space="preserve">MARY CRISTINA DOS SANTOS  MEI</t>
  </si>
  <si>
    <t xml:space="preserve">MERCEARIA DA MARY</t>
  </si>
  <si>
    <t xml:space="preserve">BENEDITO GONCALVES DA SILVA</t>
  </si>
  <si>
    <t xml:space="preserve">MINI MERCADO BENE</t>
  </si>
  <si>
    <t xml:space="preserve">LUCIMARA LEMES MEI</t>
  </si>
  <si>
    <t xml:space="preserve">JORGE VELASCO LOUREIRO</t>
  </si>
  <si>
    <t xml:space="preserve"> CONVENIENCIA JL</t>
  </si>
  <si>
    <t xml:space="preserve">MAKINO E SANTOS LTDA</t>
  </si>
  <si>
    <t xml:space="preserve">MERCADO MAKINO</t>
  </si>
  <si>
    <t xml:space="preserve">APARECIDA VELASQUES DE GOES</t>
  </si>
  <si>
    <t xml:space="preserve">MERCADO TERTO</t>
  </si>
  <si>
    <t xml:space="preserve">ROBERTO C DE LIMA</t>
  </si>
  <si>
    <t xml:space="preserve">ISABEL CRISTINA ALVES CALCAS</t>
  </si>
  <si>
    <t xml:space="preserve">GIOVANNA DOS SANTOS RAMALHO  MEI</t>
  </si>
  <si>
    <t xml:space="preserve">PATRIC ALVES MEIRA</t>
  </si>
  <si>
    <t xml:space="preserve">DISTRIBUIDORA BEBIDAS SAO JOSE</t>
  </si>
  <si>
    <t xml:space="preserve">FAGUNDES E OLIVEIRA LTDA</t>
  </si>
  <si>
    <t xml:space="preserve">OSVALDO RODRIGUES VALENTE</t>
  </si>
  <si>
    <t xml:space="preserve">PANIFICADORA PRES VARGAS</t>
  </si>
  <si>
    <t xml:space="preserve">TATIANE FUNES TAIRA</t>
  </si>
  <si>
    <t xml:space="preserve">MARIO LUIS ROSA MARQUES</t>
  </si>
  <si>
    <t xml:space="preserve">MERCADO E ACOUGUE DO TO</t>
  </si>
  <si>
    <t xml:space="preserve">JOSIMARA BRANDINI</t>
  </si>
  <si>
    <t xml:space="preserve">MERCEARIA DA JOSI</t>
  </si>
  <si>
    <t xml:space="preserve">CLOVIS FILIPIN</t>
  </si>
  <si>
    <t xml:space="preserve">REST E LANCHONETE DRAGAO</t>
  </si>
  <si>
    <t xml:space="preserve">BENI ALVES FERREIRA</t>
  </si>
  <si>
    <t xml:space="preserve">CUXIXA S BIER</t>
  </si>
  <si>
    <t xml:space="preserve">JULIO CESAR MATHEUS RUIZ</t>
  </si>
  <si>
    <t xml:space="preserve">MERC.PAGUE MENOS</t>
  </si>
  <si>
    <t xml:space="preserve">LIMPEQX DISTRIB DE PROD DE LIMPEZA LTDA </t>
  </si>
  <si>
    <t xml:space="preserve">LIMPEQX</t>
  </si>
  <si>
    <t xml:space="preserve">ANTONIO ALBERTO CARDOSO DA SILVA</t>
  </si>
  <si>
    <t xml:space="preserve">FRANGO NA BRASA CAPIBARIBE</t>
  </si>
  <si>
    <t xml:space="preserve">MARJOTTO COMERCIO DE MEDICAMENTOS LTDA  </t>
  </si>
  <si>
    <t xml:space="preserve">PONTO VET COM E SERV DE PET SHOP LTDA</t>
  </si>
  <si>
    <t xml:space="preserve">PONTO VET</t>
  </si>
  <si>
    <t xml:space="preserve">TANIA G FERREIRA SOLIS</t>
  </si>
  <si>
    <t xml:space="preserve">LUIZ GONCALVES</t>
  </si>
  <si>
    <t xml:space="preserve">FRUTAL PADARIA E LANCHONETE</t>
  </si>
  <si>
    <t xml:space="preserve">MYCON NEDER DOS SANTOS SILVA</t>
  </si>
  <si>
    <t xml:space="preserve">WENDERSON JUNIOR DA SILVA ALVES</t>
  </si>
  <si>
    <t xml:space="preserve">CASA DE CARNE OURO VERDE</t>
  </si>
  <si>
    <t xml:space="preserve">MERCADO KI LEGAL LTDA</t>
  </si>
  <si>
    <t xml:space="preserve">C C M FERNANDES</t>
  </si>
  <si>
    <t xml:space="preserve">MERCADO MANAH</t>
  </si>
  <si>
    <t xml:space="preserve">CARLOS ALBERTO DOS SANTOS</t>
  </si>
  <si>
    <t xml:space="preserve">MERCADO GANHA POUCO</t>
  </si>
  <si>
    <t xml:space="preserve">MERCADO AGUIA LTDA ME</t>
  </si>
  <si>
    <t xml:space="preserve">ANA PAULA SAQUETE DA SILVA MEI</t>
  </si>
  <si>
    <t xml:space="preserve">ALDEM</t>
  </si>
  <si>
    <t xml:space="preserve">LUCIANA FEITOSA TEIXEIRA</t>
  </si>
  <si>
    <t xml:space="preserve">FABIO SARAVY GUIMARAES</t>
  </si>
  <si>
    <t xml:space="preserve">CONVENIENCIA YOKOAMA</t>
  </si>
  <si>
    <t xml:space="preserve">EDI DE REZENDE DUTRA SALOMAO</t>
  </si>
  <si>
    <t xml:space="preserve">EDI VARIEDADES</t>
  </si>
  <si>
    <t xml:space="preserve">LUCIANA DOS SANTOS SILVA</t>
  </si>
  <si>
    <t xml:space="preserve">BOTEGA E ALMEIDA LTDA</t>
  </si>
  <si>
    <t xml:space="preserve">SUPERMERCADO N S APARECIDA</t>
  </si>
  <si>
    <t xml:space="preserve">RUBENS DELMONDES DA SILVA</t>
  </si>
  <si>
    <t xml:space="preserve">MERC DELMONDS</t>
  </si>
  <si>
    <t xml:space="preserve">VALERIA GIMENEZ PEREIRA</t>
  </si>
  <si>
    <t xml:space="preserve">NADIR DE SOUZA GONCALVES  MEI</t>
  </si>
  <si>
    <t xml:space="preserve">MERCEARIA THATI</t>
  </si>
  <si>
    <t xml:space="preserve">AGRO MILHO COM DE CERAIS E PRODUTOS LTDA</t>
  </si>
  <si>
    <t xml:space="preserve">AGRO MILHO</t>
  </si>
  <si>
    <t xml:space="preserve">LUZIA LUISA MENDONCA</t>
  </si>
  <si>
    <t xml:space="preserve">MINIMERCADO ZAMIO</t>
  </si>
  <si>
    <t xml:space="preserve">VALDEIR DA CRUZ COSTA</t>
  </si>
  <si>
    <t xml:space="preserve">ROCHA E ROCHA ALIMENTOS LTDA</t>
  </si>
  <si>
    <t xml:space="preserve">J D ALIMENTOS</t>
  </si>
  <si>
    <t xml:space="preserve">MARCOS ALVES RODRIGUES</t>
  </si>
  <si>
    <t xml:space="preserve">MERCADO KITANDA</t>
  </si>
  <si>
    <t xml:space="preserve">FARMACIA ECONOMICA LTDA</t>
  </si>
  <si>
    <t xml:space="preserve">FARMACIA ECONOMICA</t>
  </si>
  <si>
    <t xml:space="preserve">S O S PHARMA LTDA ME</t>
  </si>
  <si>
    <t xml:space="preserve">S O S PHARMA</t>
  </si>
  <si>
    <t xml:space="preserve">MORAES E PERES LTDA</t>
  </si>
  <si>
    <t xml:space="preserve">SUPERMERCADO PERES</t>
  </si>
  <si>
    <t xml:space="preserve">J  B  S  JUNIOR</t>
  </si>
  <si>
    <t xml:space="preserve">EVA FRANCISCA DE ARAUJO</t>
  </si>
  <si>
    <t xml:space="preserve">ROSANA BITENCOURT PEREIRA</t>
  </si>
  <si>
    <t xml:space="preserve">E.ROCHA PADARIA</t>
  </si>
  <si>
    <t xml:space="preserve">PANIFICADORA PAES E CIA</t>
  </si>
  <si>
    <t xml:space="preserve">R.L. TRANSPORTE</t>
  </si>
  <si>
    <t xml:space="preserve">DANIELLE DE OLIVEIRA - MEI</t>
  </si>
  <si>
    <t xml:space="preserve">DANIELLE DE OLIVEIRA</t>
  </si>
  <si>
    <t xml:space="preserve">J B PITALUGA</t>
  </si>
  <si>
    <t xml:space="preserve">CASA DAS CESTAS</t>
  </si>
  <si>
    <t xml:space="preserve">VALDIR SILVA JUNIOR</t>
  </si>
  <si>
    <t xml:space="preserve">LONI MARA BARBOZA COUTO  ME</t>
  </si>
  <si>
    <t xml:space="preserve">SORVETERIA E CIA</t>
  </si>
  <si>
    <t xml:space="preserve">COMERCIAL DE ALIMENTOS L E E LTDA</t>
  </si>
  <si>
    <t xml:space="preserve">COMERCIAL DE ALIMENTOS L E LTDA</t>
  </si>
  <si>
    <t xml:space="preserve">MARIA APARECIDA PEREIRA LOPES</t>
  </si>
  <si>
    <t xml:space="preserve">SACOLAO ECONOMICO</t>
  </si>
  <si>
    <t xml:space="preserve">PAULO SERGIO MONTEIRO</t>
  </si>
  <si>
    <t xml:space="preserve">ROSEMAR DIEMES DE OLIVEIRA</t>
  </si>
  <si>
    <t xml:space="preserve">ALMEIDA E FRANCO LTDA</t>
  </si>
  <si>
    <t xml:space="preserve">FARMADROG</t>
  </si>
  <si>
    <t xml:space="preserve">ROGERIO DE OLIVEIRA DO AMARAL</t>
  </si>
  <si>
    <t xml:space="preserve">FLORESTAR</t>
  </si>
  <si>
    <t xml:space="preserve">LUCIMAR CAETANO DA SILVA BAZAN  MEI</t>
  </si>
  <si>
    <t xml:space="preserve">MERCADO BASAN</t>
  </si>
  <si>
    <t xml:space="preserve">ROSICLER VIANNA DA SILVA</t>
  </si>
  <si>
    <t xml:space="preserve">RESTAURANTE PANELA DE BARRO</t>
  </si>
  <si>
    <t xml:space="preserve">M R DE B OLIVEIRA MINIMERCADO</t>
  </si>
  <si>
    <t xml:space="preserve">ROCHA E SOUZA LTDA ME</t>
  </si>
  <si>
    <t xml:space="preserve">RECANTO DO CRIADOR</t>
  </si>
  <si>
    <t xml:space="preserve">AROLDO SEREN MARTINS CIA LTDA</t>
  </si>
  <si>
    <t xml:space="preserve">DROGARIA CRISTO REDENTOR</t>
  </si>
  <si>
    <t xml:space="preserve">EURIDICE TEIXEIRA REZENDE MEI</t>
  </si>
  <si>
    <t xml:space="preserve">GABRIELLY VARIEDADES</t>
  </si>
  <si>
    <t xml:space="preserve">SUELEN FERNANDES DOMINGUES DUARTE</t>
  </si>
  <si>
    <t xml:space="preserve">RONALDO RIBAS MEI</t>
  </si>
  <si>
    <t xml:space="preserve">CATALINO ACUNHA ME</t>
  </si>
  <si>
    <t xml:space="preserve">JESUS JOSE FILHO -ME</t>
  </si>
  <si>
    <t xml:space="preserve">MERCEARIA DO ZUIZAO</t>
  </si>
  <si>
    <t xml:space="preserve">MERCADO DO CAIO</t>
  </si>
  <si>
    <t xml:space="preserve">LUIZ FRANCISCO DE BRITO JUNIOR</t>
  </si>
  <si>
    <t xml:space="preserve">TRATOS NUTRICAO ANIMAL LTDA</t>
  </si>
  <si>
    <t xml:space="preserve">TRATOS NUTRICAO ANIMAL</t>
  </si>
  <si>
    <t xml:space="preserve">CASSIO TADEU BETIOL CERBASI</t>
  </si>
  <si>
    <t xml:space="preserve">TRANSPORTADORA</t>
  </si>
  <si>
    <t xml:space="preserve">ELVERCIO RODNEY B FROES</t>
  </si>
  <si>
    <t xml:space="preserve">CONVENIENCIA CINTIA</t>
  </si>
  <si>
    <t xml:space="preserve">HEMERSON SOCRATES PIRES RIBAS</t>
  </si>
  <si>
    <t xml:space="preserve">COMERCIAL RH</t>
  </si>
  <si>
    <t xml:space="preserve">KANASHIRO COMERCIO DE ALIMENTOS LTDA</t>
  </si>
  <si>
    <t xml:space="preserve">ELI VEST LTDA</t>
  </si>
  <si>
    <t xml:space="preserve">IBIZA</t>
  </si>
  <si>
    <t xml:space="preserve">ALLOY CONVENIENCIA LTDA</t>
  </si>
  <si>
    <t xml:space="preserve">CONVENCIENCIA ALLOY</t>
  </si>
  <si>
    <t xml:space="preserve">MERCEARIA QUINTILIANO</t>
  </si>
  <si>
    <t xml:space="preserve">LIFE COMERCIAL DE ALIMENTOS LTDA</t>
  </si>
  <si>
    <t xml:space="preserve">O CASBE</t>
  </si>
  <si>
    <t xml:space="preserve">HELLEN FERNANDA DIAS DOS SANTOS ME</t>
  </si>
  <si>
    <t xml:space="preserve">JHJ COMERCIO DE ALIMENTOS</t>
  </si>
  <si>
    <t xml:space="preserve">ARMAZEM DA VILLA COM DE ALIMENTOS LTDA  </t>
  </si>
  <si>
    <t xml:space="preserve">ARMAZEM DA VILLA</t>
  </si>
  <si>
    <t xml:space="preserve">ALMEIDA E GUIMARAES LTDA</t>
  </si>
  <si>
    <t xml:space="preserve">COMERCIO DE ALIMENTOS CASTRO LTDA</t>
  </si>
  <si>
    <t xml:space="preserve">SUPERMERCADO CASTRO</t>
  </si>
  <si>
    <t xml:space="preserve">PAULO CESAR</t>
  </si>
  <si>
    <t xml:space="preserve">MERCADO GANHA POUCO LTDA ME</t>
  </si>
  <si>
    <t xml:space="preserve">MERCADO GANHO POUCO</t>
  </si>
  <si>
    <t xml:space="preserve">TARCIS B  V  DA SILVA MERCADO</t>
  </si>
  <si>
    <t xml:space="preserve">MERCADO VIERI</t>
  </si>
  <si>
    <t xml:space="preserve">LIONEL MARTINS ROSSI ME</t>
  </si>
  <si>
    <t xml:space="preserve">ILOIVO BOCK</t>
  </si>
  <si>
    <t xml:space="preserve">VIA BRASIL PREST SERVICOS</t>
  </si>
  <si>
    <t xml:space="preserve">TATIANA FAGNA DE JESUS DE ANDRADE</t>
  </si>
  <si>
    <t xml:space="preserve">IMPERIO RURAL</t>
  </si>
  <si>
    <t xml:space="preserve">RAQUEL DE ARAUJO MOURA</t>
  </si>
  <si>
    <t xml:space="preserve">CONVENIENCIA DO GIL</t>
  </si>
  <si>
    <t xml:space="preserve">IVATE COMERCIO DE ALIMENTOS LTDA</t>
  </si>
  <si>
    <t xml:space="preserve">EDILENE GONCALVES DE LIRA ALBERTINI</t>
  </si>
  <si>
    <t xml:space="preserve">SUPERMERCADO DOURADINA</t>
  </si>
  <si>
    <t xml:space="preserve">ANA PAULA DALLSOTO MEI</t>
  </si>
  <si>
    <t xml:space="preserve">MERCEARIA ANA</t>
  </si>
  <si>
    <t xml:space="preserve">ATILIO MARTINS PANIAGO</t>
  </si>
  <si>
    <t xml:space="preserve">CONVENIENCIA PANIAGO</t>
  </si>
  <si>
    <t xml:space="preserve">MINI MERCADO PIMENTA</t>
  </si>
  <si>
    <t xml:space="preserve">ANDERSON GOMES</t>
  </si>
  <si>
    <t xml:space="preserve">MERCADO DENNYS</t>
  </si>
  <si>
    <t xml:space="preserve">ADRIANO SILVA SHAUSST ME</t>
  </si>
  <si>
    <t xml:space="preserve">CASA DO PECUARISTA</t>
  </si>
  <si>
    <t xml:space="preserve">GEISA S. OLIVEIRA E CIA LTDA</t>
  </si>
  <si>
    <t xml:space="preserve">MER. SAO FRANCISCO 2</t>
  </si>
  <si>
    <t xml:space="preserve">D S VAREJISTA DE BEBIDAS LTDA</t>
  </si>
  <si>
    <t xml:space="preserve">TRIBUS CONVENIE.COMVENIENCIA.</t>
  </si>
  <si>
    <t xml:space="preserve">MERCEARIA BIG HOUSE</t>
  </si>
  <si>
    <t xml:space="preserve">SIMONE B  DE MORAES</t>
  </si>
  <si>
    <t xml:space="preserve">MERCEARIA E CASA CARNE VER</t>
  </si>
  <si>
    <t xml:space="preserve">ALVARO LUIZ DAL RI</t>
  </si>
  <si>
    <t xml:space="preserve">MARIA B DE BARROS LIMA</t>
  </si>
  <si>
    <t xml:space="preserve">MARCOS NETTO GOMES</t>
  </si>
  <si>
    <t xml:space="preserve">DAYANE SANTOS DE OLIVEIRA ME</t>
  </si>
  <si>
    <t xml:space="preserve">MERCADO DA RACAO</t>
  </si>
  <si>
    <t xml:space="preserve">SAO LEOPOLDO POSTOS DE SERVICOS LTDA</t>
  </si>
  <si>
    <t xml:space="preserve">POSTO SAO LEOPOLDO</t>
  </si>
  <si>
    <t xml:space="preserve">VALTER CACIANO DAS NEVES</t>
  </si>
  <si>
    <t xml:space="preserve">SABOR DE MEL</t>
  </si>
  <si>
    <t xml:space="preserve">R2 COMERCIO E SERVICO LTDA</t>
  </si>
  <si>
    <t xml:space="preserve">S M  BATISTA</t>
  </si>
  <si>
    <t xml:space="preserve">CONVENIENCIA E CASA DE CARNE</t>
  </si>
  <si>
    <t xml:space="preserve">RAMOS DA SILVA E FRANCO LTDA</t>
  </si>
  <si>
    <t xml:space="preserve">DROGARIA DOS AMIGOS</t>
  </si>
  <si>
    <t xml:space="preserve">FARMACIA SANTA RITA LTDA</t>
  </si>
  <si>
    <t xml:space="preserve">FARMACIA SANTA RITA</t>
  </si>
  <si>
    <t xml:space="preserve">ALESSANDRO EDUARDO ZANCANARO</t>
  </si>
  <si>
    <t xml:space="preserve">PARAISO ANIMAL</t>
  </si>
  <si>
    <t xml:space="preserve">R C VERRES LTDA</t>
  </si>
  <si>
    <t xml:space="preserve">MERCADO E CONVENIENCIA BOM GOSTO</t>
  </si>
  <si>
    <t xml:space="preserve">ROSILENE DA COSTA ME</t>
  </si>
  <si>
    <t xml:space="preserve">EDSON JORGE DOS SANTOS MINIMERCADO</t>
  </si>
  <si>
    <t xml:space="preserve">SUPERMERCADO TIEPPO LTDA</t>
  </si>
  <si>
    <t xml:space="preserve">SUPERMERCADO TIEPPO</t>
  </si>
  <si>
    <t xml:space="preserve">PAULO ALMEIDA DA SILVA E CIA LTDA</t>
  </si>
  <si>
    <t xml:space="preserve">FRANCISMARIO LOPES TEIXEIRA LTDA</t>
  </si>
  <si>
    <t xml:space="preserve">VAREJAO GLOBO VERDE</t>
  </si>
  <si>
    <t xml:space="preserve">ISAC LOPES PEREIRA MEI</t>
  </si>
  <si>
    <t xml:space="preserve">MWCQ SUPERMERCADO LTDA</t>
  </si>
  <si>
    <t xml:space="preserve">MERCADO LUNARV</t>
  </si>
  <si>
    <t xml:space="preserve">J P LOPES - ME</t>
  </si>
  <si>
    <t xml:space="preserve">BELON E BELON LTDA</t>
  </si>
  <si>
    <t xml:space="preserve">FARMACIA MEGA POPULAR LTDA</t>
  </si>
  <si>
    <t xml:space="preserve">FARMACIA MEGA POPULAR</t>
  </si>
  <si>
    <t xml:space="preserve">SUPERMERCADO GIANINI LTDA</t>
  </si>
  <si>
    <t xml:space="preserve">SUPERMERCADO GIANINI</t>
  </si>
  <si>
    <t xml:space="preserve">HERMINIA ARECO DAVALOS  MEI</t>
  </si>
  <si>
    <t xml:space="preserve">MERCADO 7 COPA</t>
  </si>
  <si>
    <t xml:space="preserve">A CRISTINA DE OLIVEIRA ME</t>
  </si>
  <si>
    <t xml:space="preserve">FARMACITY</t>
  </si>
  <si>
    <t xml:space="preserve">CIRCO GOMES RODRIGUES</t>
  </si>
  <si>
    <t xml:space="preserve">GERACOES CONVENIENCIA LTDA</t>
  </si>
  <si>
    <t xml:space="preserve">GERACOES CONVENIECIA</t>
  </si>
  <si>
    <t xml:space="preserve">SAFARI ALIMENTOS LTDA</t>
  </si>
  <si>
    <t xml:space="preserve">SAFARI BURGUES</t>
  </si>
  <si>
    <t xml:space="preserve">MARINA EMETERIA OJEDA</t>
  </si>
  <si>
    <t xml:space="preserve">M J CONVENIENCIA</t>
  </si>
  <si>
    <t xml:space="preserve">GUILHERME BARBOSA SOARES</t>
  </si>
  <si>
    <t xml:space="preserve">COMERCIAL PLANALTO</t>
  </si>
  <si>
    <t xml:space="preserve">YUNES YAKIB YASIN</t>
  </si>
  <si>
    <t xml:space="preserve">MERCADO DO VIZINHO</t>
  </si>
  <si>
    <t xml:space="preserve">MERCADO ATALAIA LTDA</t>
  </si>
  <si>
    <t xml:space="preserve">J P CONVENIENCIA LTDA</t>
  </si>
  <si>
    <t xml:space="preserve">JOSE GUEDES DA SILVA</t>
  </si>
  <si>
    <t xml:space="preserve">MC DE SOUZA MERCADO</t>
  </si>
  <si>
    <t xml:space="preserve">WILSON ALVES TAVEIRA JUNIOR</t>
  </si>
  <si>
    <t xml:space="preserve">BAR DO TAVEIRA</t>
  </si>
  <si>
    <t xml:space="preserve">SUPERMERCADO LINGUA PRETA</t>
  </si>
  <si>
    <t xml:space="preserve">REIS E VASCONCELOS LTDA</t>
  </si>
  <si>
    <t xml:space="preserve">MERCADO VASCONCELOS</t>
  </si>
  <si>
    <t xml:space="preserve">LJ-38 S PIRES COMERCIO DE ALIMENTOS LTDA</t>
  </si>
  <si>
    <t xml:space="preserve">FRAMA</t>
  </si>
  <si>
    <t xml:space="preserve">LJ-39 S PIRES COMERCIO DE ALIMENTOS LTDA</t>
  </si>
  <si>
    <t xml:space="preserve">SUPERMERCADO FRAMA</t>
  </si>
  <si>
    <t xml:space="preserve">ESPIGA MERCEARIA E CONVENIENCI</t>
  </si>
  <si>
    <t xml:space="preserve">MARCIELE MALDONADO DOS SANTOS</t>
  </si>
  <si>
    <t xml:space="preserve">CLARITA MAIDANA ARAUJO</t>
  </si>
  <si>
    <t xml:space="preserve">RESTAURANTE E LANCHONETE AMARE</t>
  </si>
  <si>
    <t xml:space="preserve">CONCEICAO E NASCIMENTO LTDA ME</t>
  </si>
  <si>
    <t xml:space="preserve">VIVA MAIS</t>
  </si>
  <si>
    <t xml:space="preserve">GILVAN MANGUEIRA DO NASCIMENTO  MEI</t>
  </si>
  <si>
    <t xml:space="preserve">RAMES CONVENIENCIA</t>
  </si>
  <si>
    <t xml:space="preserve">SALUTI PIZZARIA LTDA ME</t>
  </si>
  <si>
    <t xml:space="preserve">SALUTI PIZZARIA</t>
  </si>
  <si>
    <t xml:space="preserve">MERCADO SARAIVA LTDA</t>
  </si>
  <si>
    <t xml:space="preserve">MERCADO SARAIVA</t>
  </si>
  <si>
    <t xml:space="preserve">FERNANDO RODRIGO DIAS COELHO</t>
  </si>
  <si>
    <t xml:space="preserve">PANIFICADORA CAFE PALLADIUN</t>
  </si>
  <si>
    <t xml:space="preserve">MARIA JOSE FERREIRA DO ROSARIO ME</t>
  </si>
  <si>
    <t xml:space="preserve">GISLAINE APARECIDA LOPES DE SOUZA</t>
  </si>
  <si>
    <t xml:space="preserve">CONVENIENCIA MARQUINHOS</t>
  </si>
  <si>
    <t xml:space="preserve">ARAFAT ABDEL JALIL</t>
  </si>
  <si>
    <t xml:space="preserve">CICERO GOMES DO NASCIMENTO MEI</t>
  </si>
  <si>
    <t xml:space="preserve">COMERCIAL ITAQUIRAI</t>
  </si>
  <si>
    <t xml:space="preserve">CONVENIENCIA YAMASHITA</t>
  </si>
  <si>
    <t xml:space="preserve">F A MERCADO LTDA</t>
  </si>
  <si>
    <t xml:space="preserve">MILTO FELIPE DE SOUZA EIRELI EPP</t>
  </si>
  <si>
    <t xml:space="preserve">MERCADO ESQUINA DE OURO LTDA</t>
  </si>
  <si>
    <t xml:space="preserve">MERCEARIA PRESIDENTE VARGAS</t>
  </si>
  <si>
    <t xml:space="preserve">WALTER LOUREIRO GRANCE  MEI</t>
  </si>
  <si>
    <t xml:space="preserve">OLIVEIRA E PERON LTDA</t>
  </si>
  <si>
    <t xml:space="preserve">GILSON FERREIRA DA SILVA MERCEARIA</t>
  </si>
  <si>
    <t xml:space="preserve">ZILDA FERREIRA DA SILVA  MEI</t>
  </si>
  <si>
    <t xml:space="preserve">ADRIANO MASSAROTTO</t>
  </si>
  <si>
    <t xml:space="preserve">PAULO HENRIQUE SHIMABUCO</t>
  </si>
  <si>
    <t xml:space="preserve">MERCEARIA PAULO</t>
  </si>
  <si>
    <t xml:space="preserve">ANTONIO INACIO DE CARVALHO</t>
  </si>
  <si>
    <t xml:space="preserve">ULISSES MEDEIROS JUNIOR</t>
  </si>
  <si>
    <t xml:space="preserve">APOIO RURAL</t>
  </si>
  <si>
    <t xml:space="preserve">LEONICE DA SILVA RODRIGUES  MEI</t>
  </si>
  <si>
    <t xml:space="preserve">MINI MERCADO BANDEIRA</t>
  </si>
  <si>
    <t xml:space="preserve">A J FREITAS CIA LTDA</t>
  </si>
  <si>
    <t xml:space="preserve">MERCEARIA HERMES</t>
  </si>
  <si>
    <t xml:space="preserve">ROSANE ANDRIN TOZZO</t>
  </si>
  <si>
    <t xml:space="preserve">LANCHONETE TOZZO</t>
  </si>
  <si>
    <t xml:space="preserve">LAUDEGARIO ERMENEGILDO DE SA MEI</t>
  </si>
  <si>
    <t xml:space="preserve">MERCADINHO TIA HELENA</t>
  </si>
  <si>
    <t xml:space="preserve">SOUZA E LIMA LTDA</t>
  </si>
  <si>
    <t xml:space="preserve">LUNA E FREITAS LTDA</t>
  </si>
  <si>
    <t xml:space="preserve">MERCADO UM</t>
  </si>
  <si>
    <t xml:space="preserve">MARIA DA CONCEICAO DE A BENICIO</t>
  </si>
  <si>
    <t xml:space="preserve">MINI MERCADO MARIA DA CONCEICAO</t>
  </si>
  <si>
    <t xml:space="preserve">MERCEARIA E CONVENIENCIA PELULIVE LTDA  </t>
  </si>
  <si>
    <t xml:space="preserve">CONVENIENCIA SAO PEDRO</t>
  </si>
  <si>
    <t xml:space="preserve">NORTE SUL PARAFUSOS E EPIS LTDA ME</t>
  </si>
  <si>
    <t xml:space="preserve">NORTE SUL PARAFUSOS E EPIS</t>
  </si>
  <si>
    <t xml:space="preserve">MARGARETE FATIMA DE LIMA</t>
  </si>
  <si>
    <t xml:space="preserve">MERCADO PEG PAG FLAMBOYANT LTDA</t>
  </si>
  <si>
    <t xml:space="preserve">BRUNO E DOMINGUES BAR E RESTAURANTE LTDA</t>
  </si>
  <si>
    <t xml:space="preserve">TABUA BAR</t>
  </si>
  <si>
    <t xml:space="preserve">JESSICA ARAUJO GONCALVES</t>
  </si>
  <si>
    <t xml:space="preserve">G E A ALIMENTOS</t>
  </si>
  <si>
    <t xml:space="preserve">MARCIA APARECIDA DOS SANTOS ESTEVES-MEI </t>
  </si>
  <si>
    <t xml:space="preserve">PET SHOP NUTRI PET</t>
  </si>
  <si>
    <t xml:space="preserve">FRANCIRENE FRANCISCA SANTOS DE OLIVEIRA </t>
  </si>
  <si>
    <t xml:space="preserve">NEUZA ROSA BERNANRDES 20046561153</t>
  </si>
  <si>
    <t xml:space="preserve">MERCEARIA PALESTINA</t>
  </si>
  <si>
    <t xml:space="preserve">DANIELA VALENCIANO</t>
  </si>
  <si>
    <t xml:space="preserve">MERCADO VALENCIANO</t>
  </si>
  <si>
    <t xml:space="preserve">BENEVENUTO E DIAS COMERCIO DE MEDIC LTDA</t>
  </si>
  <si>
    <t xml:space="preserve">FARMACIA SANTA MONICA</t>
  </si>
  <si>
    <t xml:space="preserve">CLAUDIO ROBERTA MARQUES ME</t>
  </si>
  <si>
    <t xml:space="preserve">MERCADINHO DO CLAUDINHO</t>
  </si>
  <si>
    <t xml:space="preserve">JOAO SARTORIO FILHO ME</t>
  </si>
  <si>
    <t xml:space="preserve">VALE TAQUARI</t>
  </si>
  <si>
    <t xml:space="preserve">LUCIMARA DE ALMEIDA FLORES</t>
  </si>
  <si>
    <t xml:space="preserve">RL E FILHO</t>
  </si>
  <si>
    <t xml:space="preserve">RODRIGO BALTA INSFRAN</t>
  </si>
  <si>
    <t xml:space="preserve">NON-STOP DANCETERIA</t>
  </si>
  <si>
    <t xml:space="preserve">CERINEU ROSA</t>
  </si>
  <si>
    <t xml:space="preserve">LUXSHOES</t>
  </si>
  <si>
    <t xml:space="preserve">CORBARI E NASCIMENTO SUPERMERCADO LTDA  </t>
  </si>
  <si>
    <t xml:space="preserve">SUPERMERCADO CORBARI</t>
  </si>
  <si>
    <t xml:space="preserve">TECLA INFORMATICA LTDA ME</t>
  </si>
  <si>
    <t xml:space="preserve">PIPOCA DOCE PRESENTES</t>
  </si>
  <si>
    <t xml:space="preserve">COMERCIAL CITROSUL LTDA</t>
  </si>
  <si>
    <t xml:space="preserve">CITROSUL</t>
  </si>
  <si>
    <t xml:space="preserve">MARCOS DA SILVA PAULA</t>
  </si>
  <si>
    <t xml:space="preserve">PANIFICADORA VIPAO</t>
  </si>
  <si>
    <t xml:space="preserve">FARMACIA BOM PRECO LTDA ME</t>
  </si>
  <si>
    <t xml:space="preserve">FARMACIA BOM PRECO</t>
  </si>
  <si>
    <t xml:space="preserve">ELIETE ALVES PEREIRA DE OLIVEIRA</t>
  </si>
  <si>
    <t xml:space="preserve">LANCHONETE E RESTAURANTE BOM APETITE</t>
  </si>
  <si>
    <t xml:space="preserve">IDOLINDA MEDINA RAMIRES SAVERIO ME</t>
  </si>
  <si>
    <t xml:space="preserve">ASAS PET SHOP</t>
  </si>
  <si>
    <t xml:space="preserve">MIYAZATO COMERCIO DE HORTIFRUTI LTDA</t>
  </si>
  <si>
    <t xml:space="preserve">MIYAZATO COMERCIO DE HORTIFRUT</t>
  </si>
  <si>
    <t xml:space="preserve">SILVA E AMARAL LTDA</t>
  </si>
  <si>
    <t xml:space="preserve">AGROVETERINARIA TORQUATO 2 LTDA</t>
  </si>
  <si>
    <t xml:space="preserve">AGROVETERINARIA TORQUATO 2</t>
  </si>
  <si>
    <t xml:space="preserve">SUPERMERCADO ROCHEDO LTDA</t>
  </si>
  <si>
    <t xml:space="preserve">SUPERMERCADO ROCHEDO LTDA EPP</t>
  </si>
  <si>
    <t xml:space="preserve">SUPERMERCADO ELIANE LOJA II</t>
  </si>
  <si>
    <t xml:space="preserve">VALDEMIR DA SILVA  MEI</t>
  </si>
  <si>
    <t xml:space="preserve">MERCEARIA BOM VIVER</t>
  </si>
  <si>
    <t xml:space="preserve">LUCINEIDE ARAUJO DA SILVA MEI</t>
  </si>
  <si>
    <t xml:space="preserve">ICHIO E FIGUEIREDO LTDA ME</t>
  </si>
  <si>
    <t xml:space="preserve">FOX RACOES</t>
  </si>
  <si>
    <t xml:space="preserve">MINIMERCADO YAMAGUTI LTDA</t>
  </si>
  <si>
    <t xml:space="preserve">MERCADO YAMAGUTI</t>
  </si>
  <si>
    <t xml:space="preserve">FARMACIA SAO BRAS LTDA</t>
  </si>
  <si>
    <t xml:space="preserve">FARMACIA SAO BRAS</t>
  </si>
  <si>
    <t xml:space="preserve">ANNESLEY MARQUES LIMA ME</t>
  </si>
  <si>
    <t xml:space="preserve">MARIO MARCIO DE SOUZA MELLO-ME</t>
  </si>
  <si>
    <t xml:space="preserve">CASA DE CARNE E MERCEARIA CACULA</t>
  </si>
  <si>
    <t xml:space="preserve">MERCADO TOTA LTDA</t>
  </si>
  <si>
    <t xml:space="preserve">VANDA MARIA DOS SANTOS FURTADO  MEI</t>
  </si>
  <si>
    <t xml:space="preserve">VALDIR VIEIRA GONCALVES</t>
  </si>
  <si>
    <t xml:space="preserve">LOJA TOP UTILIDADES EM GERAL</t>
  </si>
  <si>
    <t xml:space="preserve">VIVIANI MARA PEREIRA BUTINHOL LUIZ</t>
  </si>
  <si>
    <t xml:space="preserve">NEUSA ALMEIDA DOS SANTOS WALTER</t>
  </si>
  <si>
    <t xml:space="preserve">PANIFICADORA ART PAO</t>
  </si>
  <si>
    <t xml:space="preserve">DORINEL FIGUEIREDO OCHIO</t>
  </si>
  <si>
    <t xml:space="preserve">EDITHE APARECIDA MARQUES VON GROLL MEI  </t>
  </si>
  <si>
    <t xml:space="preserve">MERCEARIA LUCAS</t>
  </si>
  <si>
    <t xml:space="preserve">ACOUGUE E MERCEARIA SANTA CRUZ LTDA</t>
  </si>
  <si>
    <t xml:space="preserve">MERCEARIA SANTA CRUZ</t>
  </si>
  <si>
    <t xml:space="preserve">JESUALDO JUSTINO DA SILVA ME</t>
  </si>
  <si>
    <t xml:space="preserve">ST TEREZINHA</t>
  </si>
  <si>
    <t xml:space="preserve">PRO ANIMAL VETERINARIA LTDA</t>
  </si>
  <si>
    <t xml:space="preserve">PRO ANIMAL</t>
  </si>
  <si>
    <t xml:space="preserve">SOUZA E BUENO LTDA</t>
  </si>
  <si>
    <t xml:space="preserve">CONVENIENCIA SOUZA E BUENO</t>
  </si>
  <si>
    <t xml:space="preserve">ROSA CLAUDIA DE CASTRO MEI</t>
  </si>
  <si>
    <t xml:space="preserve">MERCEARIA SANTA AMELIA</t>
  </si>
  <si>
    <t xml:space="preserve">QUALIMENTA COM DE PROD ALIMENTICIOS LTDA</t>
  </si>
  <si>
    <t xml:space="preserve">QUALIMENTO</t>
  </si>
  <si>
    <t xml:space="preserve">R A A S SOUZA</t>
  </si>
  <si>
    <t xml:space="preserve">QUALITY PHARMA LTDA ME</t>
  </si>
  <si>
    <t xml:space="preserve">FARMACIA REAL</t>
  </si>
  <si>
    <t xml:space="preserve">EVA PINHEIRO HATAKEYAMA SANTOS</t>
  </si>
  <si>
    <t xml:space="preserve">MERCADO CARANDA</t>
  </si>
  <si>
    <t xml:space="preserve">PANTALEAO HENRIQUE IHAN XAVIER</t>
  </si>
  <si>
    <t xml:space="preserve">MERCARIA E ACOUGUE KLS XAVIER</t>
  </si>
  <si>
    <t xml:space="preserve">OLIVEIRA E SANTOS COM V DE G ALIMEN LTDA</t>
  </si>
  <si>
    <t xml:space="preserve">ELIZANDRA DOS SANTOS SARDINHA AMBROSIO  </t>
  </si>
  <si>
    <t xml:space="preserve">MERCEARIA ANBROSIO</t>
  </si>
  <si>
    <t xml:space="preserve">A C DE SOUZA</t>
  </si>
  <si>
    <t xml:space="preserve">LIMP HOUSE PRODUTOS DE LIMPEZA</t>
  </si>
  <si>
    <t xml:space="preserve">REGINA CLEIA DE OLIVEIRA</t>
  </si>
  <si>
    <t xml:space="preserve">V J P CONVENIENCIA</t>
  </si>
  <si>
    <t xml:space="preserve">JORDAO E CORREA LTDA</t>
  </si>
  <si>
    <t xml:space="preserve">MARESIA PESCADOR E EMPORIO</t>
  </si>
  <si>
    <t xml:space="preserve">REBELO COMERCIO DE PRODUTOS ALIMENTICIOS</t>
  </si>
  <si>
    <t xml:space="preserve">CONVENIENCIA SANTO PAO</t>
  </si>
  <si>
    <t xml:space="preserve">DAY COMERCIO DE FRUTAS LTDA</t>
  </si>
  <si>
    <t xml:space="preserve">FLAPAM PANIFICADORA E CONVENIENCIA LTDA </t>
  </si>
  <si>
    <t xml:space="preserve">EDUARDO CANDIDO COXEV</t>
  </si>
  <si>
    <t xml:space="preserve">ALFA CONVENIENCIA</t>
  </si>
  <si>
    <t xml:space="preserve">MERCADO AGUA CLARA LTDA</t>
  </si>
  <si>
    <t xml:space="preserve">D D M COM COSM PERFUM E DESCART LTDA</t>
  </si>
  <si>
    <t xml:space="preserve">TOK COMESTICOS</t>
  </si>
  <si>
    <t xml:space="preserve">PATRICIA CARDOSO ZOTTI</t>
  </si>
  <si>
    <t xml:space="preserve">MERCADO BARBOSA LTDA</t>
  </si>
  <si>
    <t xml:space="preserve">A.M.DAL BELLO ME</t>
  </si>
  <si>
    <t xml:space="preserve">PRADENSE SUPERMERCADO</t>
  </si>
  <si>
    <t xml:space="preserve">FARMACIA BOM PASTOR LTDA ME</t>
  </si>
  <si>
    <t xml:space="preserve">EUNICE DONIZETTI DIAS</t>
  </si>
  <si>
    <t xml:space="preserve">DISTRIBUIDORA DE ALIMENTOS DIAS</t>
  </si>
  <si>
    <t xml:space="preserve">MERCADO VINTE E UM</t>
  </si>
  <si>
    <t xml:space="preserve">SANTANA E DELMONDES LTDA</t>
  </si>
  <si>
    <t xml:space="preserve">ARCELINA MOSCOSO BASTOS ME</t>
  </si>
  <si>
    <t xml:space="preserve">MERCADINHO FENIX</t>
  </si>
  <si>
    <t xml:space="preserve">AMAURY MUZILI OLIVEIRA  LIMA</t>
  </si>
  <si>
    <t xml:space="preserve">AGRO MUZILI</t>
  </si>
  <si>
    <t xml:space="preserve">TADIOTO COMERCIO DE ALIMENTOS LTDA</t>
  </si>
  <si>
    <t xml:space="preserve">MERCADO DO TCHE</t>
  </si>
  <si>
    <t xml:space="preserve">HELDER ZOZ99713330153  MEI</t>
  </si>
  <si>
    <t xml:space="preserve">MERCADO ZOZ</t>
  </si>
  <si>
    <t xml:space="preserve">PARAGDA E BRIGONI LTDA ME</t>
  </si>
  <si>
    <t xml:space="preserve">S  A  BORGES PERALTA</t>
  </si>
  <si>
    <t xml:space="preserve">MAIS VOCE CONVENIENCIA</t>
  </si>
  <si>
    <t xml:space="preserve">MERCADO KI PRECO LTDA</t>
  </si>
  <si>
    <t xml:space="preserve">SORVETERIA DO SEU JEITO LTDA</t>
  </si>
  <si>
    <t xml:space="preserve">SORVETERIA DO SEU JEITO</t>
  </si>
  <si>
    <t xml:space="preserve">CONVENIENCIA E MERCEARIA SANTISTA LTDA  </t>
  </si>
  <si>
    <t xml:space="preserve">CONVENIENCIA E MERCEARIA</t>
  </si>
  <si>
    <t xml:space="preserve">SOUZA E BERTEMES LTDA</t>
  </si>
  <si>
    <t xml:space="preserve">MERCADO SOBERANO LTDA</t>
  </si>
  <si>
    <t xml:space="preserve">MERCADO SOBERADO</t>
  </si>
  <si>
    <t xml:space="preserve">ANIR ARAUJO MARTINS MEI</t>
  </si>
  <si>
    <t xml:space="preserve">CULAU E CIA LTDA</t>
  </si>
  <si>
    <t xml:space="preserve">DOLCE CAFE</t>
  </si>
  <si>
    <t xml:space="preserve">PUGA SUPERMERCADO LTDA</t>
  </si>
  <si>
    <t xml:space="preserve">SUPERMERCADO PUGA</t>
  </si>
  <si>
    <t xml:space="preserve">ADALUSE C A SOUZA</t>
  </si>
  <si>
    <t xml:space="preserve">MERCADO ADALUSE</t>
  </si>
  <si>
    <t xml:space="preserve">RUDINEI RIGO</t>
  </si>
  <si>
    <t xml:space="preserve">SUPERMERCADO RIGO</t>
  </si>
  <si>
    <t xml:space="preserve">VINCENZI E TERRA  LTDA</t>
  </si>
  <si>
    <t xml:space="preserve">MANIA DE GATO</t>
  </si>
  <si>
    <t xml:space="preserve">BRILHANTE CLINICA VET E PET SHOP LTDA ME</t>
  </si>
  <si>
    <t xml:space="preserve">BRILHANTE E AGROP E PET SHOP</t>
  </si>
  <si>
    <t xml:space="preserve">ONGARATTO E GROTA LTDA</t>
  </si>
  <si>
    <t xml:space="preserve">MERCEARIA CASA SILVA LTDA ME</t>
  </si>
  <si>
    <t xml:space="preserve">EUZEBIO E GOMES COMERCIAL LTDA</t>
  </si>
  <si>
    <t xml:space="preserve">LENNON SUPERMERCADO</t>
  </si>
  <si>
    <t xml:space="preserve">AZPT MEDICAMENTOS PERFUMARIA LTDA</t>
  </si>
  <si>
    <t xml:space="preserve">AZPT MEDICAMENTOS E PERFUMARIA LTDA</t>
  </si>
  <si>
    <t xml:space="preserve">DROGARIAS FREIRE</t>
  </si>
  <si>
    <t xml:space="preserve">GRIMAR CAMARGO DE SOUZA ME</t>
  </si>
  <si>
    <t xml:space="preserve">EMPORIO BOM PRECO</t>
  </si>
  <si>
    <t xml:space="preserve">DROGARIA CAMPO GRANDE LTDA</t>
  </si>
  <si>
    <t xml:space="preserve">DROGARIA CAMPO GRANDE LTDA EPP</t>
  </si>
  <si>
    <t xml:space="preserve">GRUPO MAIS</t>
  </si>
  <si>
    <t xml:space="preserve">COMERON E CRUZ LTDA</t>
  </si>
  <si>
    <t xml:space="preserve">SUPER E MERCEARIA SAO MARCOS</t>
  </si>
  <si>
    <t xml:space="preserve">MERCADO CAETANO LTDA</t>
  </si>
  <si>
    <t xml:space="preserve">MERCADO CAETANO</t>
  </si>
  <si>
    <t xml:space="preserve">MAXI POP DOURADOS COM MEDICAMENTOS LTDA </t>
  </si>
  <si>
    <t xml:space="preserve">OSVALDO HENRIQUE SIQUEIRA DE SOUZA - MEI</t>
  </si>
  <si>
    <t xml:space="preserve">ITANHANGA CONVENIENCIAS LTDA</t>
  </si>
  <si>
    <t xml:space="preserve">ITANHANGA CONVENIENCIAS</t>
  </si>
  <si>
    <t xml:space="preserve">NOVA MIX DISTRIB DE BEBIDAS LTDA</t>
  </si>
  <si>
    <t xml:space="preserve">NOVA MIX DISTRIBUIDORA DE BEBI</t>
  </si>
  <si>
    <t xml:space="preserve">SILVANA BARATELLA E CIA LTDA</t>
  </si>
  <si>
    <t xml:space="preserve">FARMACIA POPULAR MAIS</t>
  </si>
  <si>
    <t xml:space="preserve">CARLOS EDUARDO LEITE</t>
  </si>
  <si>
    <t xml:space="preserve">VET DA VILA</t>
  </si>
  <si>
    <t xml:space="preserve">JUSCENI DOMICIANO CAMPOS</t>
  </si>
  <si>
    <t xml:space="preserve">CONVENIENCIA KIN</t>
  </si>
  <si>
    <t xml:space="preserve">JULIO CESAR SOARES DOS SANTOS MEI</t>
  </si>
  <si>
    <t xml:space="preserve">PADARIA KI SABOR</t>
  </si>
  <si>
    <t xml:space="preserve">JR DE MELLO LOMBA MERCADO ME</t>
  </si>
  <si>
    <t xml:space="preserve">MERCADO NOSSA SENHORA APARECIDA</t>
  </si>
  <si>
    <t xml:space="preserve">MARIA RITA DA SILVA FREITAS DE AZEVEDO M</t>
  </si>
  <si>
    <t xml:space="preserve">MAIS QUE FRIOS</t>
  </si>
  <si>
    <t xml:space="preserve">CONV. E MERCEARIA SOARES</t>
  </si>
  <si>
    <t xml:space="preserve">CASA BRANCA PANIFICADORA E CONV  LTDA</t>
  </si>
  <si>
    <t xml:space="preserve">CASA BRANCA PANIFICADORA E CON</t>
  </si>
  <si>
    <t xml:space="preserve">R P MARTINS ME</t>
  </si>
  <si>
    <t xml:space="preserve">DISTRIBUIDORA PINGO DE OURO</t>
  </si>
  <si>
    <t xml:space="preserve">ALESSANDRA SALLES THOMANN</t>
  </si>
  <si>
    <t xml:space="preserve">MS ARABIAN FOOD IND E COM DE ALIM LTDA  </t>
  </si>
  <si>
    <t xml:space="preserve">HABIB S</t>
  </si>
  <si>
    <t xml:space="preserve">COMERCIAL DELFINO LTDA</t>
  </si>
  <si>
    <t xml:space="preserve">CANTADORI E CANTADORI LTDA</t>
  </si>
  <si>
    <t xml:space="preserve">INES FIGUEIREDO DA SILVA</t>
  </si>
  <si>
    <t xml:space="preserve">ELISSANDRA LOURENCO DE O MONTEIRO</t>
  </si>
  <si>
    <t xml:space="preserve">SORVETERIA DAYNNE</t>
  </si>
  <si>
    <t xml:space="preserve">S A ANTEZANA AYALA EIRELI ME</t>
  </si>
  <si>
    <t xml:space="preserve">ZAFIRA</t>
  </si>
  <si>
    <t xml:space="preserve">GARCIA E GARCIA UTILID DOMESTICAS LTDA  </t>
  </si>
  <si>
    <t xml:space="preserve">AKN A APARTIR DE 199</t>
  </si>
  <si>
    <t xml:space="preserve">PANIFICADORA E DOCERIA VITORIA</t>
  </si>
  <si>
    <t xml:space="preserve">MARIA APARECIDA DOS SANTOS HELENO MEI</t>
  </si>
  <si>
    <t xml:space="preserve">A J L DOS SANTOS E CIA LTDA</t>
  </si>
  <si>
    <t xml:space="preserve">A J S CASA DE CARNE E CONVENIENCIA</t>
  </si>
  <si>
    <t xml:space="preserve">LUIZ F DE FIGUEIREDO</t>
  </si>
  <si>
    <t xml:space="preserve">PET SHOP DOIS IRMAOS LTDE ME</t>
  </si>
  <si>
    <t xml:space="preserve">PET SHOP DOIS IRMAOS</t>
  </si>
  <si>
    <t xml:space="preserve">SILVIA DUARTE DE OLIVEIRA  ME</t>
  </si>
  <si>
    <t xml:space="preserve">MERCADADO DUARTE</t>
  </si>
  <si>
    <t xml:space="preserve">CICERA EVILANA DA SILVA</t>
  </si>
  <si>
    <t xml:space="preserve">CONVENIENCIA ARAUJO</t>
  </si>
  <si>
    <t xml:space="preserve">LISANDRA ALVES DA SILVA EIRELI</t>
  </si>
  <si>
    <t xml:space="preserve">PET MIX RACOES</t>
  </si>
  <si>
    <t xml:space="preserve">GILMAR GALVAN</t>
  </si>
  <si>
    <t xml:space="preserve">SUPER VALE</t>
  </si>
  <si>
    <t xml:space="preserve">NAYLA DA SILVA SOUZA CLINICA VET -ME</t>
  </si>
  <si>
    <t xml:space="preserve">COMPANHIA DOS BICHOS</t>
  </si>
  <si>
    <t xml:space="preserve">E M DA SILVA</t>
  </si>
  <si>
    <t xml:space="preserve">SUPERMERCADO BIG BOX</t>
  </si>
  <si>
    <t xml:space="preserve">MARCOS HENRIQUE DE SOUZA</t>
  </si>
  <si>
    <t xml:space="preserve">SEVERO E FRANCO IMPORTACAO LTDA</t>
  </si>
  <si>
    <t xml:space="preserve">SEVERO E FRANCO</t>
  </si>
  <si>
    <t xml:space="preserve">GILBERTO DE ALMEIDA SILVA JUNIOR</t>
  </si>
  <si>
    <t xml:space="preserve">MERCADO DO JUNIOR</t>
  </si>
  <si>
    <t xml:space="preserve">JONIVALDO FERNANDES DA SILVA  MEI</t>
  </si>
  <si>
    <t xml:space="preserve">CASA DE CARNE E MERC ESTRELA</t>
  </si>
  <si>
    <t xml:space="preserve">SERGIO NUNES ARECO</t>
  </si>
  <si>
    <t xml:space="preserve">CONVENIENCIA E MERCEARIA CURUJ</t>
  </si>
  <si>
    <t xml:space="preserve">MATHEUS ALVES CORREA LTDA</t>
  </si>
  <si>
    <t xml:space="preserve">SACOLAO AQUI TEM</t>
  </si>
  <si>
    <t xml:space="preserve">IZELDA PRESTES DORNELLES  MEI</t>
  </si>
  <si>
    <t xml:space="preserve">MERCEARIA DORNELLES</t>
  </si>
  <si>
    <t xml:space="preserve">MERCADO E ACOUGUE CARIOCA</t>
  </si>
  <si>
    <t xml:space="preserve">VAGNER PEREIRA MEI</t>
  </si>
  <si>
    <t xml:space="preserve">DENIS GOMES PEREIRA BEZERRA</t>
  </si>
  <si>
    <t xml:space="preserve">MINE MERCADO E CONVENIENCIA EM</t>
  </si>
  <si>
    <t xml:space="preserve">RONALD DE LIRA ME</t>
  </si>
  <si>
    <t xml:space="preserve">MERCADO QUERUBIM</t>
  </si>
  <si>
    <t xml:space="preserve">ALEX DA SILVA PEREIRA E CIA LTDA</t>
  </si>
  <si>
    <t xml:space="preserve">AN MERCEARIA E CONVENIENCIA</t>
  </si>
  <si>
    <t xml:space="preserve">MARIA DE FATIMA DE SOUZA</t>
  </si>
  <si>
    <t xml:space="preserve">MERCEARIA CHANTILLY</t>
  </si>
  <si>
    <t xml:space="preserve">IZIDRO PEREIRA DE OLIVEIRA - MEI</t>
  </si>
  <si>
    <t xml:space="preserve">TIZIO MERCEARIA E CONVENIENCIA</t>
  </si>
  <si>
    <t xml:space="preserve">ANGELA DA SILVA ME</t>
  </si>
  <si>
    <t xml:space="preserve">CLAUDINEI FREIRE DOS SANTOS ME</t>
  </si>
  <si>
    <t xml:space="preserve">AGRO AVES</t>
  </si>
  <si>
    <t xml:space="preserve">JOSE ANTONIO DE SALES</t>
  </si>
  <si>
    <t xml:space="preserve">JOSE ANTONIO MERCEARIA</t>
  </si>
  <si>
    <t xml:space="preserve">MARGARETE SIVEIRA MACHADO</t>
  </si>
  <si>
    <t xml:space="preserve">CONVENIENCIA DO ZULU</t>
  </si>
  <si>
    <t xml:space="preserve">MARCOS DE LIMA RONCALIA</t>
  </si>
  <si>
    <t xml:space="preserve">MERCEARIA SANTA TERRA</t>
  </si>
  <si>
    <t xml:space="preserve">R F PERES</t>
  </si>
  <si>
    <t xml:space="preserve">BONIFACIO E COSTA LTDA</t>
  </si>
  <si>
    <t xml:space="preserve">MERCADO SANTA VITORIA</t>
  </si>
  <si>
    <t xml:space="preserve">REGINALDO GUILHERME DE MORAIS MARQUES ME</t>
  </si>
  <si>
    <t xml:space="preserve">DISTRIBUIDORA ACQUA SALUTE</t>
  </si>
  <si>
    <t xml:space="preserve">CARLOS JOBERTO SANCHES PAES</t>
  </si>
  <si>
    <t xml:space="preserve">EMPORIO PAES PET AGROPECUARIA</t>
  </si>
  <si>
    <t xml:space="preserve">MARIA DE FATIMA DA SILVA RIBEIRO</t>
  </si>
  <si>
    <t xml:space="preserve">ROSANGELA DOS SANTOS MENDES NASCIMENTO  </t>
  </si>
  <si>
    <t xml:space="preserve">PERFIL CONVENIENCIA</t>
  </si>
  <si>
    <t xml:space="preserve">VILMAR AROLDI ME</t>
  </si>
  <si>
    <t xml:space="preserve">SUPERMERCADO ROCHA</t>
  </si>
  <si>
    <t xml:space="preserve">MERCEARIA BOM JARDIM</t>
  </si>
  <si>
    <t xml:space="preserve">ADELHA APARECIDA  PIMENTEL</t>
  </si>
  <si>
    <t xml:space="preserve">PANIFICADORA SHOPPING</t>
  </si>
  <si>
    <t xml:space="preserve">TIAGO BENITES COM PRODUTOS ALIMEN EIRELI</t>
  </si>
  <si>
    <t xml:space="preserve">MERCADO MASTER</t>
  </si>
  <si>
    <t xml:space="preserve">GEANE DA SILVA MENDES</t>
  </si>
  <si>
    <t xml:space="preserve">MERCADO ALEGRIA</t>
  </si>
  <si>
    <t xml:space="preserve">EDER QUINTANA</t>
  </si>
  <si>
    <t xml:space="preserve">QUALIFARMA MEDICAMENTOS LTDA</t>
  </si>
  <si>
    <t xml:space="preserve">QUALIFARMA</t>
  </si>
  <si>
    <t xml:space="preserve">JOAO BARBOSA  MEI</t>
  </si>
  <si>
    <t xml:space="preserve">COMERCIAL SANTANA DE ALIMENTOS LTDA</t>
  </si>
  <si>
    <t xml:space="preserve">REDE SANTANA</t>
  </si>
  <si>
    <t xml:space="preserve">PET SHOP PATAS E PELOS LTDA</t>
  </si>
  <si>
    <t xml:space="preserve">PATAS</t>
  </si>
  <si>
    <t xml:space="preserve">J B SALES DE LIMA</t>
  </si>
  <si>
    <t xml:space="preserve">CASA DE CARNE VAREJO IMADA</t>
  </si>
  <si>
    <t xml:space="preserve">PEDRO TEIXEIRA DA COSTA</t>
  </si>
  <si>
    <t xml:space="preserve">DIRCE SALETE CIPRIANI DALLA ROSA M</t>
  </si>
  <si>
    <t xml:space="preserve">MENDONCA E REZENDE LTDA</t>
  </si>
  <si>
    <t xml:space="preserve">BRAZ CHIQUITO</t>
  </si>
  <si>
    <t xml:space="preserve">GERALDO FRANCISCO DA SILVA</t>
  </si>
  <si>
    <t xml:space="preserve">COOPERAFA COOP CONSUMO ASSOCIADOS AO AFA</t>
  </si>
  <si>
    <t xml:space="preserve">COOPERATIVA AFA</t>
  </si>
  <si>
    <t xml:space="preserve">NOVA ESTRELA COMERCIO DE ALIMENTOS LTDA </t>
  </si>
  <si>
    <t xml:space="preserve">ANDRADINA</t>
  </si>
  <si>
    <t xml:space="preserve">ALECIO DE MIRANDA FREITAS MEI</t>
  </si>
  <si>
    <t xml:space="preserve">MERCEARIA TRADICAO</t>
  </si>
  <si>
    <t xml:space="preserve">GEOVANA CARDOSO ROLAO MEI</t>
  </si>
  <si>
    <t xml:space="preserve">MERCEARIA CRISTO REI</t>
  </si>
  <si>
    <t xml:space="preserve">MARILENE DE OLIVEIRA DA SILVA MEI</t>
  </si>
  <si>
    <t xml:space="preserve">MERCEARIA CONVENIENCIA SARA</t>
  </si>
  <si>
    <t xml:space="preserve">CONVENIENCIA CORONEL LTDA ME</t>
  </si>
  <si>
    <t xml:space="preserve">ROZEANE APARECIDA DA SILVA MEI</t>
  </si>
  <si>
    <t xml:space="preserve">CONVENIENCIA E MERCEARIA BORGE</t>
  </si>
  <si>
    <t xml:space="preserve">YOSHIMITSU OGAWA E CIA LTDA</t>
  </si>
  <si>
    <t xml:space="preserve">ESPERANCA COM DE ALIMENTOS</t>
  </si>
  <si>
    <t xml:space="preserve">AGNALDO JAIRO LISBOA MEI</t>
  </si>
  <si>
    <t xml:space="preserve">DEGGUSTS CONVENIENCIA E RESTAU</t>
  </si>
  <si>
    <t xml:space="preserve">MEU PASTEL</t>
  </si>
  <si>
    <t xml:space="preserve">JANETE PEREIRA NEVES DE OLIVEIRA - ME</t>
  </si>
  <si>
    <t xml:space="preserve">CASA SUCO CORAGE</t>
  </si>
  <si>
    <t xml:space="preserve">JOSE CARLOS DE FREITAS CHAGAS</t>
  </si>
  <si>
    <t xml:space="preserve">CRISPINIANO SUPERMERCADO LTDA</t>
  </si>
  <si>
    <t xml:space="preserve">CRISPINIANO E FILHOS LTDA</t>
  </si>
  <si>
    <t xml:space="preserve">LUCIRLENE BALBUENA GOMES MEI</t>
  </si>
  <si>
    <t xml:space="preserve">DROGARIA FRENTTINI LTDA</t>
  </si>
  <si>
    <t xml:space="preserve">DROGARIA FRENTTINI - ME - 09</t>
  </si>
  <si>
    <t xml:space="preserve">CARLOS NUNES ZUQUE NETO</t>
  </si>
  <si>
    <t xml:space="preserve">SAO CARLOS UTILIDADES</t>
  </si>
  <si>
    <t xml:space="preserve">NUNES E NASCIMENTO LTDA</t>
  </si>
  <si>
    <t xml:space="preserve">CONVENIENCIA NUNES</t>
  </si>
  <si>
    <t xml:space="preserve">BARBOSA E ORTIZ LTDA</t>
  </si>
  <si>
    <t xml:space="preserve">JOELMA SARAIVA DE ALMEIDA</t>
  </si>
  <si>
    <t xml:space="preserve">CONVE DA JOELMA</t>
  </si>
  <si>
    <t xml:space="preserve">IVETE DOS SANTOS PERES</t>
  </si>
  <si>
    <t xml:space="preserve">MERCADO PERES</t>
  </si>
  <si>
    <t xml:space="preserve">LANS MEDICAMENTOS LTDA</t>
  </si>
  <si>
    <t xml:space="preserve">FARMALABE</t>
  </si>
  <si>
    <t xml:space="preserve">LUCIMARA ASSIS FERNANDES 02135285170</t>
  </si>
  <si>
    <t xml:space="preserve">J L COMERCIAL</t>
  </si>
  <si>
    <t xml:space="preserve">TANIA DOS SANTOS MORRONE</t>
  </si>
  <si>
    <t xml:space="preserve">ZILMAR REZENDE TIAGO</t>
  </si>
  <si>
    <t xml:space="preserve">BOM JESUS</t>
  </si>
  <si>
    <t xml:space="preserve">ELLISON TADEU VALENTIM NEVES EIRELI</t>
  </si>
  <si>
    <t xml:space="preserve">VIDA PET</t>
  </si>
  <si>
    <t xml:space="preserve">RAMAO ALVES BATISTA MEI</t>
  </si>
  <si>
    <t xml:space="preserve">LANCHONETE E PIZZARIA GALEGO</t>
  </si>
  <si>
    <t xml:space="preserve">VIVIANE INES DE ASSIS ARAUJO</t>
  </si>
  <si>
    <t xml:space="preserve">SERRAO E SERRAO LTDA</t>
  </si>
  <si>
    <t xml:space="preserve">ARTHUR P L DA SILVA E CIA LTDA</t>
  </si>
  <si>
    <t xml:space="preserve">AGROPET AGROPECUARIA E PET SH0P</t>
  </si>
  <si>
    <t xml:space="preserve">AGROPET</t>
  </si>
  <si>
    <t xml:space="preserve">PAZ E LEAL LTDA</t>
  </si>
  <si>
    <t xml:space="preserve">NATALIA MARINI FREIRE MEI</t>
  </si>
  <si>
    <t xml:space="preserve">PET SHOP PEGADAS</t>
  </si>
  <si>
    <t xml:space="preserve">JOSE ANTONIO ALEXANDRE</t>
  </si>
  <si>
    <t xml:space="preserve">MERCADINHO 2 IRMAOS</t>
  </si>
  <si>
    <t xml:space="preserve">POLATTO E CARMINATI LTDA</t>
  </si>
  <si>
    <t xml:space="preserve">POLATTO E CARMINATI</t>
  </si>
  <si>
    <t xml:space="preserve">SILVANIA DO AMARAL</t>
  </si>
  <si>
    <t xml:space="preserve">NOVOPERARIO FUTEBOL CLUBE NOFC</t>
  </si>
  <si>
    <t xml:space="preserve">NOVOPERARIO FC</t>
  </si>
  <si>
    <t xml:space="preserve">J  A  SANTANA E NASCIMENTO LTDA</t>
  </si>
  <si>
    <t xml:space="preserve">HIPER MERCADO BIG MAX</t>
  </si>
  <si>
    <t xml:space="preserve">ANTONIO NILSON PONTIM</t>
  </si>
  <si>
    <t xml:space="preserve">IRMAS RODRIGUES OLIVEIRA LTDA</t>
  </si>
  <si>
    <t xml:space="preserve">MERCADO DANAT</t>
  </si>
  <si>
    <t xml:space="preserve">SUPERMERCADO DAROLI</t>
  </si>
  <si>
    <t xml:space="preserve">VIVIANE CRISTINA MICHELOTTO SILVA</t>
  </si>
  <si>
    <t xml:space="preserve">MASSAS MICHELOTTO</t>
  </si>
  <si>
    <t xml:space="preserve">1</t>
  </si>
  <si>
    <t xml:space="preserve">D S LOURENCO COM DE ALIMENTOS</t>
  </si>
  <si>
    <t xml:space="preserve">BIG MARCAS</t>
  </si>
  <si>
    <t xml:space="preserve">APARECIDO ROBERTO NUNES ME</t>
  </si>
  <si>
    <t xml:space="preserve">ROSE MERY RUELAS AGUILAR</t>
  </si>
  <si>
    <t xml:space="preserve">MERCEARIA MERY</t>
  </si>
  <si>
    <t xml:space="preserve">CJR COMERCIO GENEROS ALIMENTICIOS LTDA  </t>
  </si>
  <si>
    <t xml:space="preserve">FERREIRA E VIEIRA LTDA</t>
  </si>
  <si>
    <t xml:space="preserve">DROGARIA VIEIRA</t>
  </si>
  <si>
    <t xml:space="preserve">MURILO PERES DE MATOS</t>
  </si>
  <si>
    <t xml:space="preserve">CICERO SALES DA SILVA ME</t>
  </si>
  <si>
    <t xml:space="preserve">MEGA VARIEDADES</t>
  </si>
  <si>
    <t xml:space="preserve">DAVI SANTEIRO DA SILVA</t>
  </si>
  <si>
    <t xml:space="preserve">KASA DA RACAO</t>
  </si>
  <si>
    <t xml:space="preserve">SILVERIO E ARAGAO LTDA</t>
  </si>
  <si>
    <t xml:space="preserve">SUPERMERCADO ARAGAO</t>
  </si>
  <si>
    <t xml:space="preserve">JOSEFA BATISTA FERREIRA MEI</t>
  </si>
  <si>
    <t xml:space="preserve">EDILEUZA DJANIRA CHALEGA</t>
  </si>
  <si>
    <t xml:space="preserve">MITSUKO HASHIMOTO</t>
  </si>
  <si>
    <t xml:space="preserve">EDSON SANTOS MERCEARIA</t>
  </si>
  <si>
    <t xml:space="preserve">SUPEERMERCADO SANTOS</t>
  </si>
  <si>
    <t xml:space="preserve">FERREIRA E PENHA LTDA</t>
  </si>
  <si>
    <t xml:space="preserve">MINI MERCADO PENHA</t>
  </si>
  <si>
    <t xml:space="preserve">TIAGO LADEIA GIROTO</t>
  </si>
  <si>
    <t xml:space="preserve">O FEIRAO</t>
  </si>
  <si>
    <t xml:space="preserve">ANA PAULA RUFINO FEITOSA</t>
  </si>
  <si>
    <t xml:space="preserve">PANIFICADORA MIL DELICIAS</t>
  </si>
  <si>
    <t xml:space="preserve">CASA DA EMPADA LTDA</t>
  </si>
  <si>
    <t xml:space="preserve">EMPADA E CIA</t>
  </si>
  <si>
    <t xml:space="preserve">MARIA AURILENE DA SILVA</t>
  </si>
  <si>
    <t xml:space="preserve"> MERCEARIA SILVA SANTOS</t>
  </si>
  <si>
    <t xml:space="preserve">DENISON DOS SANTOS CRISTIANO ME</t>
  </si>
  <si>
    <t xml:space="preserve">JS SANTOS JARDINAGENS</t>
  </si>
  <si>
    <t xml:space="preserve">F A DE LIMA SILVA</t>
  </si>
  <si>
    <t xml:space="preserve">DROGARIA AMERICA</t>
  </si>
  <si>
    <t xml:space="preserve">MEIRE MORAES BATISTA</t>
  </si>
  <si>
    <t xml:space="preserve">PANIFICADORA E LANCHONETE JUJU</t>
  </si>
  <si>
    <t xml:space="preserve">CLAUDINEI GOMES DA SILVA-ME</t>
  </si>
  <si>
    <t xml:space="preserve">TIAGO CEZAR FERREIRA LTDA</t>
  </si>
  <si>
    <t xml:space="preserve">GRANJINHA MERCADO</t>
  </si>
  <si>
    <t xml:space="preserve">SUPERMERCADO IDEAL LTDA</t>
  </si>
  <si>
    <t xml:space="preserve">DELMIRA MIRANDA XAVIER DOS SANTOS</t>
  </si>
  <si>
    <t xml:space="preserve">ANDRE CORDEIRO ALVES</t>
  </si>
  <si>
    <t xml:space="preserve">CONVENIECIA ALVES</t>
  </si>
  <si>
    <t xml:space="preserve">SERGIO ANTONIO NUNES PEREIRA MEI</t>
  </si>
  <si>
    <t xml:space="preserve">COMERCIAL KS KS</t>
  </si>
  <si>
    <t xml:space="preserve">FAUSTINO BRIZOLA LTDA ME</t>
  </si>
  <si>
    <t xml:space="preserve">DOURAVET</t>
  </si>
  <si>
    <t xml:space="preserve">EDER PAULO DE MENEZ</t>
  </si>
  <si>
    <t xml:space="preserve">SUP TRES IRMAOS</t>
  </si>
  <si>
    <t xml:space="preserve">EDINEI DE OLIVEIRA ROCHA EIRELI</t>
  </si>
  <si>
    <t xml:space="preserve">ROZANI MARISE MARTINS STEFANELO</t>
  </si>
  <si>
    <t xml:space="preserve">RESTAURANTE E LANCHONETE PEGUI</t>
  </si>
  <si>
    <t xml:space="preserve">E P NARDON ME</t>
  </si>
  <si>
    <t xml:space="preserve">MANO AUTO POSTO LTDA</t>
  </si>
  <si>
    <t xml:space="preserve">MANO AUTO POSTO</t>
  </si>
  <si>
    <t xml:space="preserve">POSTO SENNA</t>
  </si>
  <si>
    <t xml:space="preserve">MARLENE SETSUO TAKATORI DE ARRUDA</t>
  </si>
  <si>
    <t xml:space="preserve">MERCADO TAKATORI</t>
  </si>
  <si>
    <t xml:space="preserve">MADSON PEREIRA</t>
  </si>
  <si>
    <t xml:space="preserve">CONVENIENCIA E MERCEARIA MAZINHO</t>
  </si>
  <si>
    <t xml:space="preserve">MAURO PAULINO OLIVEIRA  ME</t>
  </si>
  <si>
    <t xml:space="preserve">BANHO E TOSA ESPACO PET</t>
  </si>
  <si>
    <t xml:space="preserve">KIBEEF CASA DE CARNE E CONVENIENCIA LTDA</t>
  </si>
  <si>
    <t xml:space="preserve">CASA DE CARNE KI BEEF</t>
  </si>
  <si>
    <t xml:space="preserve">FRUTAS RORO</t>
  </si>
  <si>
    <t xml:space="preserve">LEANDRO GRACINI DA SILVA</t>
  </si>
  <si>
    <t xml:space="preserve">MERCADO E COMVENIENCIA GRACINI</t>
  </si>
  <si>
    <t xml:space="preserve">JOAO MARQUES AMARAL</t>
  </si>
  <si>
    <t xml:space="preserve">KARANDA CONVENIENCIA</t>
  </si>
  <si>
    <t xml:space="preserve">PRISCILA DE SOUZA PIAZZALUNGA</t>
  </si>
  <si>
    <t xml:space="preserve">FABIANA NUNES GONCALVES ME</t>
  </si>
  <si>
    <t xml:space="preserve">PET SHOP BICHO MEU</t>
  </si>
  <si>
    <t xml:space="preserve">DM DE SOUZA SUPERMERCADO</t>
  </si>
  <si>
    <t xml:space="preserve">TRES T COMERCIO DE ALIMENTOS LTDA</t>
  </si>
  <si>
    <t xml:space="preserve">SUPERMERCADO BIG RIO</t>
  </si>
  <si>
    <t xml:space="preserve">S Y SUZUKI ALIMENTOS</t>
  </si>
  <si>
    <t xml:space="preserve">MERCADO MERCASUL</t>
  </si>
  <si>
    <t xml:space="preserve">SHANGAI COMERCIO FRUTAS E VERDURAS LTDA </t>
  </si>
  <si>
    <t xml:space="preserve">W GONCALVES BEZERRA PROD ALIMENTICIOS EI</t>
  </si>
  <si>
    <t xml:space="preserve">W GONCALVES BEZERRA</t>
  </si>
  <si>
    <t xml:space="preserve">ELENIRA VEIGA BENITES  ME</t>
  </si>
  <si>
    <t xml:space="preserve">VITORIA PET</t>
  </si>
  <si>
    <t xml:space="preserve">ZILDA DE SOUZA COELHO</t>
  </si>
  <si>
    <t xml:space="preserve">FRUTARIA DA ZILDA</t>
  </si>
  <si>
    <t xml:space="preserve">ROZIVALDO ALEM AMARANTE MEI</t>
  </si>
  <si>
    <t xml:space="preserve">MERCEARIA LOJA R Z</t>
  </si>
  <si>
    <t xml:space="preserve">SINAI DE SOUZA</t>
  </si>
  <si>
    <t xml:space="preserve">MERCADO ACOUGUE MONTE SINAI</t>
  </si>
  <si>
    <t xml:space="preserve">HELENO LOPES DOS SANTOS</t>
  </si>
  <si>
    <t xml:space="preserve">PAN.CRIATIVA</t>
  </si>
  <si>
    <t xml:space="preserve">VINICIUS REFEICOES LTDA</t>
  </si>
  <si>
    <t xml:space="preserve">DIVINO FOGAO</t>
  </si>
  <si>
    <t xml:space="preserve">SALOME SANTOS HUANCA</t>
  </si>
  <si>
    <t xml:space="preserve">DANIELI FLORES DE SOUZA</t>
  </si>
  <si>
    <t xml:space="preserve">CLEONILDA GRACA BISPO DOS SANTOS</t>
  </si>
  <si>
    <t xml:space="preserve">CLEONILDA GRACA BISPO DOS SANT</t>
  </si>
  <si>
    <t xml:space="preserve">M C CENTURION CONVENIENCIAS</t>
  </si>
  <si>
    <t xml:space="preserve">H F CONVENIENCIA</t>
  </si>
  <si>
    <t xml:space="preserve">CHAPADAO COM DE PROD ALIMENTICIOS LTDA  </t>
  </si>
  <si>
    <t xml:space="preserve">CONVENIENCIA PINHEIRO</t>
  </si>
  <si>
    <t xml:space="preserve">DASDORES DE MIRANDA PEIXOTO - ME</t>
  </si>
  <si>
    <t xml:space="preserve">POUSADA PANTANEIRA</t>
  </si>
  <si>
    <t xml:space="preserve">SUPERMERCADO GUAICURUS LTDA</t>
  </si>
  <si>
    <t xml:space="preserve">SUPERMERCADO GUAICURUS</t>
  </si>
  <si>
    <t xml:space="preserve">SUPERMERCADO GUAICURUS LTDA EPP</t>
  </si>
  <si>
    <t xml:space="preserve">REDE GUAICURUS</t>
  </si>
  <si>
    <t xml:space="preserve">MERCADO GUAICURUS</t>
  </si>
  <si>
    <t xml:space="preserve">ADEGAS COM. DE B. E CONVENIENCIA LTDA</t>
  </si>
  <si>
    <t xml:space="preserve">CONVENIENCIA ADEGAS</t>
  </si>
  <si>
    <t xml:space="preserve">MARISANGELA DOS SANTOS</t>
  </si>
  <si>
    <t xml:space="preserve">MERCEARIA E PAPELARIA UNIAO</t>
  </si>
  <si>
    <t xml:space="preserve">ARTHUR HENRIQUE SCHULTZ</t>
  </si>
  <si>
    <t xml:space="preserve">MERCADO ALEMAO</t>
  </si>
  <si>
    <t xml:space="preserve">THIAGO MUSSI DA SILVA ME</t>
  </si>
  <si>
    <t xml:space="preserve">AMARO ROCHA LTDA</t>
  </si>
  <si>
    <t xml:space="preserve">RS CONVENIENCIA</t>
  </si>
  <si>
    <t xml:space="preserve">MACHADO E RAMOS LTDA</t>
  </si>
  <si>
    <t xml:space="preserve">MERCADO DO GERALDO</t>
  </si>
  <si>
    <t xml:space="preserve">PEDRO J0SE DE GOES</t>
  </si>
  <si>
    <t xml:space="preserve">MERCEARIA DO CHIQUINHO</t>
  </si>
  <si>
    <t xml:space="preserve">ISAIAS SILVA MENDES</t>
  </si>
  <si>
    <t xml:space="preserve">CONVENIENCIA MENDES</t>
  </si>
  <si>
    <t xml:space="preserve">SIMONE PEREIRA LUNA</t>
  </si>
  <si>
    <t xml:space="preserve">JULIANE COELHO DE SOUZA E CIA LTDA ME</t>
  </si>
  <si>
    <t xml:space="preserve">FARMACIA AGUA BOA</t>
  </si>
  <si>
    <t xml:space="preserve">ELVIRA HAHMANN SPRICIGO MEI</t>
  </si>
  <si>
    <t xml:space="preserve">CHURRASCARIA FRONTEIRA</t>
  </si>
  <si>
    <t xml:space="preserve">PANTANAL AGROCON LTDA</t>
  </si>
  <si>
    <t xml:space="preserve">AILTON BERNARDINO DE LIMA</t>
  </si>
  <si>
    <t xml:space="preserve">ARAUJO FRIOS E PROD ALIMENTICIOS LTDA</t>
  </si>
  <si>
    <t xml:space="preserve">MS FRIOS</t>
  </si>
  <si>
    <t xml:space="preserve">CLAUDEMIR JOSE SIQUEIRA MEI</t>
  </si>
  <si>
    <t xml:space="preserve">MERCADINHO DO MI</t>
  </si>
  <si>
    <t xml:space="preserve">VALDECI FRANCA DE SOUZA MEI</t>
  </si>
  <si>
    <t xml:space="preserve">AFONSO ROCHA TEIXEIRA</t>
  </si>
  <si>
    <t xml:space="preserve">IVONE MARQUES MARTINS DO NASCIMENTO</t>
  </si>
  <si>
    <t xml:space="preserve">RESTAURANTE E LANC FLOR DA SERRA</t>
  </si>
  <si>
    <t xml:space="preserve">VOLTANI E VOLTANI LTDA</t>
  </si>
  <si>
    <t xml:space="preserve">SVJ CONVENIENCIA</t>
  </si>
  <si>
    <t xml:space="preserve">MERCADO E ACOUGUE BIG FRUTAS LTDA</t>
  </si>
  <si>
    <t xml:space="preserve">MERCADO BIG FRUTAS</t>
  </si>
  <si>
    <t xml:space="preserve">DROGARIA NANTES LTDA</t>
  </si>
  <si>
    <t xml:space="preserve">BELA FARMA</t>
  </si>
  <si>
    <t xml:space="preserve">ROBERTO FRANCISCO DOS SANTOS MEI</t>
  </si>
  <si>
    <t xml:space="preserve">LORETO INSAURRALDE NETO</t>
  </si>
  <si>
    <t xml:space="preserve">DROGARIA ITAMARATI</t>
  </si>
  <si>
    <t xml:space="preserve">ADILSON JOSE PUCENO</t>
  </si>
  <si>
    <t xml:space="preserve">CONVENIENCIA REGO</t>
  </si>
  <si>
    <t xml:space="preserve">L O DA CRUZ PRODUTOS VETERINARIOS LTDA  </t>
  </si>
  <si>
    <t xml:space="preserve">AGROFORTE E PET SHOP</t>
  </si>
  <si>
    <t xml:space="preserve">SOARES E SILVA TERRAPLANAGEM LTDA</t>
  </si>
  <si>
    <t xml:space="preserve">MERCEARIA E PANIFICADORA</t>
  </si>
  <si>
    <t xml:space="preserve">JOAO RIBEIRO FERNANDES</t>
  </si>
  <si>
    <t xml:space="preserve">A BARATEIRA MERCEARIA E MATERIAS</t>
  </si>
  <si>
    <t xml:space="preserve">MUNARIN PANIFICADORA LTDA ME</t>
  </si>
  <si>
    <t xml:space="preserve">PANFICADORA PAO DA VILA</t>
  </si>
  <si>
    <t xml:space="preserve">ANTONINHA LURDES SERENA EPP</t>
  </si>
  <si>
    <t xml:space="preserve">PHARMABELA DROGARIA</t>
  </si>
  <si>
    <t xml:space="preserve">O M COMERCIO DE GEN ALIMENTICIOS LTDA</t>
  </si>
  <si>
    <t xml:space="preserve">DIAS COMERCIO DE PRODUTOS ALIMENTICIOS L</t>
  </si>
  <si>
    <t xml:space="preserve">MARDEGAN E SANTOS LTDA</t>
  </si>
  <si>
    <t xml:space="preserve">REDE MARDEGAN </t>
  </si>
  <si>
    <t xml:space="preserve">BIM CONVENIENCIA</t>
  </si>
  <si>
    <t xml:space="preserve">BIM MERCADO E CONVENIENCIA</t>
  </si>
  <si>
    <t xml:space="preserve">ZACARIAS FERNANDES DE OLIVEIRA ME</t>
  </si>
  <si>
    <t xml:space="preserve">PANIF.MENINO JESUS</t>
  </si>
  <si>
    <t xml:space="preserve">ROSA DIAS DA SILVA MEI</t>
  </si>
  <si>
    <t xml:space="preserve">CASA DAS FRALDAS</t>
  </si>
  <si>
    <t xml:space="preserve">SUELI MORENO PERES GAMBA</t>
  </si>
  <si>
    <t xml:space="preserve">BON AMI PET SHOP</t>
  </si>
  <si>
    <t xml:space="preserve">FARMACIA E DROGARIA SANTA TERESA LTDA</t>
  </si>
  <si>
    <t xml:space="preserve">FARMACIA SANTA TERESA</t>
  </si>
  <si>
    <t xml:space="preserve">PET WORLD COMERCIO DE ALIMENTOS EIRELI  </t>
  </si>
  <si>
    <t xml:space="preserve">PET WORLD</t>
  </si>
  <si>
    <t xml:space="preserve">ANA ALARCON DE CAZON</t>
  </si>
  <si>
    <t xml:space="preserve">BARRACA DA DONA ANA</t>
  </si>
  <si>
    <t xml:space="preserve">MARIA APARECIDA ALEIXO</t>
  </si>
  <si>
    <t xml:space="preserve">DAPHINE CONVENIENCIA LTDA</t>
  </si>
  <si>
    <t xml:space="preserve">CONVENIENCIA DAPHINE</t>
  </si>
  <si>
    <t xml:space="preserve">ILSENE TORRACA - ME</t>
  </si>
  <si>
    <t xml:space="preserve">MERCADO AGUIAR LTDA</t>
  </si>
  <si>
    <t xml:space="preserve">F DE SOUZA REZENDE</t>
  </si>
  <si>
    <t xml:space="preserve">MERCADO PRECIOSO</t>
  </si>
  <si>
    <t xml:space="preserve">CRISTINA GONCALVES SILVA MEI</t>
  </si>
  <si>
    <t xml:space="preserve">CARLOS ARMINDO ALVES DE SOUZA ME</t>
  </si>
  <si>
    <t xml:space="preserve">MERCADO MUTUM</t>
  </si>
  <si>
    <t xml:space="preserve">R HELLER</t>
  </si>
  <si>
    <t xml:space="preserve">DROGARIA FARMA CENTER</t>
  </si>
  <si>
    <t xml:space="preserve">MERCADO CACAU</t>
  </si>
  <si>
    <t xml:space="preserve">CASA DAS RACOES EIRELI</t>
  </si>
  <si>
    <t xml:space="preserve">MICHELLE PEREIRA MATRICARDI FERREIRA</t>
  </si>
  <si>
    <t xml:space="preserve">LAURO MARCAL FABRAO - MEI</t>
  </si>
  <si>
    <t xml:space="preserve">MERCEARIA E CONVENIENCIA BOM DEMAIS</t>
  </si>
  <si>
    <t xml:space="preserve">BALAN E CASAROTTO LTDA</t>
  </si>
  <si>
    <t xml:space="preserve">CELIA DE SOUZA ROMANO</t>
  </si>
  <si>
    <t xml:space="preserve">MERCADO ROMANO</t>
  </si>
  <si>
    <t xml:space="preserve">KELLY DA CRUZ DE SOUZA ME</t>
  </si>
  <si>
    <t xml:space="preserve">MERCADO ANDRADE</t>
  </si>
  <si>
    <t xml:space="preserve">ORLEI CAMPOS JUNIOR  ME</t>
  </si>
  <si>
    <t xml:space="preserve">CASA DE CARNE E MERCEARIA VITO</t>
  </si>
  <si>
    <t xml:space="preserve">ROBERTO CARLOS ANTUNES</t>
  </si>
  <si>
    <t xml:space="preserve">FELTRIN CONVENIENCIA</t>
  </si>
  <si>
    <t xml:space="preserve">RODRIGUES E BARRETO LTDA</t>
  </si>
  <si>
    <t xml:space="preserve">MARTINELI E PELUCIO LTDA EPP</t>
  </si>
  <si>
    <t xml:space="preserve">BELLA PHARMA</t>
  </si>
  <si>
    <t xml:space="preserve">TANIA F. CORREA PANIFICADORA - EIRELI ME</t>
  </si>
  <si>
    <t xml:space="preserve">TRIGOS DE OURO PANIFICADORA</t>
  </si>
  <si>
    <t xml:space="preserve">H F RIBAS</t>
  </si>
  <si>
    <t xml:space="preserve">DISTRIBUIDORA YANI</t>
  </si>
  <si>
    <t xml:space="preserve">ANDRE LUIZ FERNANDES</t>
  </si>
  <si>
    <t xml:space="preserve">DROGARIA FAMILIA</t>
  </si>
  <si>
    <t xml:space="preserve">CLEIDES GHIZONI BECKER</t>
  </si>
  <si>
    <t xml:space="preserve">PONTO DA CARNE II</t>
  </si>
  <si>
    <t xml:space="preserve">CACHOEIRA COMERCIO DE BEBIDAS LTDA</t>
  </si>
  <si>
    <t xml:space="preserve">CONVENIENCIA CACHOEIRA</t>
  </si>
  <si>
    <t xml:space="preserve">ANDREA BARROS LEMES - MEI</t>
  </si>
  <si>
    <t xml:space="preserve">WILLIANS DA COSTA ROCHA</t>
  </si>
  <si>
    <t xml:space="preserve">ZOOPET</t>
  </si>
  <si>
    <t xml:space="preserve">RONDON NANTES E CIA LTDA</t>
  </si>
  <si>
    <t xml:space="preserve">REAL PANIFICADORA E CONFEITARI</t>
  </si>
  <si>
    <t xml:space="preserve">S G AGUILERA ME</t>
  </si>
  <si>
    <t xml:space="preserve">ARMAZEM BRASIL</t>
  </si>
  <si>
    <t xml:space="preserve">EDER DA SILVA PEREIRA LTDA</t>
  </si>
  <si>
    <t xml:space="preserve">DOG E GATO</t>
  </si>
  <si>
    <t xml:space="preserve">POZZI E ASSIS E SILVA LTDA</t>
  </si>
  <si>
    <t xml:space="preserve">COMPLAST</t>
  </si>
  <si>
    <t xml:space="preserve">ARIOVALDO DOS SANTOS</t>
  </si>
  <si>
    <t xml:space="preserve">ARIOVALDO DOS SANTOS - MERCEAR</t>
  </si>
  <si>
    <t xml:space="preserve">JERUZA COENE LEITE</t>
  </si>
  <si>
    <t xml:space="preserve">MERCEARIA J.C.L.</t>
  </si>
  <si>
    <t xml:space="preserve">FERREIRA E CONCEICAO LTDA</t>
  </si>
  <si>
    <t xml:space="preserve">SUPERMERCADO FERREIRA</t>
  </si>
  <si>
    <t xml:space="preserve">WILSON GONCALVES CRUZ</t>
  </si>
  <si>
    <t xml:space="preserve">LIDER FARMA LTDA</t>
  </si>
  <si>
    <t xml:space="preserve">FARMA LIDER</t>
  </si>
  <si>
    <t xml:space="preserve">R A CIRILO LTDA</t>
  </si>
  <si>
    <t xml:space="preserve">MERCADO CIRILO</t>
  </si>
  <si>
    <t xml:space="preserve">AUSTRALIAN PET SHOP LTDA</t>
  </si>
  <si>
    <t xml:space="preserve">AUSTRALIAN PET SHOP</t>
  </si>
  <si>
    <t xml:space="preserve">APARECIDA CONCEICAO SANTANA TERENCIANI  </t>
  </si>
  <si>
    <t xml:space="preserve">MERCADO NOVO MUNDO</t>
  </si>
  <si>
    <t xml:space="preserve">CENTRAL MARACAJU COM BEBIDAS ALIM LTDA  </t>
  </si>
  <si>
    <t xml:space="preserve">SIQUEIRA E MENEZES LTDA</t>
  </si>
  <si>
    <t xml:space="preserve">ROSA MARIA JESUS -MEI</t>
  </si>
  <si>
    <t xml:space="preserve">ARMAZEM SE TU UMA BENCAO</t>
  </si>
  <si>
    <t xml:space="preserve">SEALTIEL HEBRON SILVA M OKUMOTO</t>
  </si>
  <si>
    <t xml:space="preserve">CONVENIENCIA SAPPORO</t>
  </si>
  <si>
    <t xml:space="preserve">MERCADO SOLEDADE</t>
  </si>
  <si>
    <t xml:space="preserve">BEATRIZ DE ARUDA</t>
  </si>
  <si>
    <t xml:space="preserve">UNICA VOLO ARMAZENAGEM E LOGISTICA LTDA </t>
  </si>
  <si>
    <t xml:space="preserve">UNICA VOLO ARMAZENAGEM</t>
  </si>
  <si>
    <t xml:space="preserve">GERSON SOUZA CUNHA</t>
  </si>
  <si>
    <t xml:space="preserve">SATURNINO GIMENEZ SILVA MEI</t>
  </si>
  <si>
    <t xml:space="preserve">MERCADO H S</t>
  </si>
  <si>
    <t xml:space="preserve">ANGELA XIMENES ORTEGA LTDA</t>
  </si>
  <si>
    <t xml:space="preserve">D B PET SHOP LTDA  ME</t>
  </si>
  <si>
    <t xml:space="preserve">PET CLUB</t>
  </si>
  <si>
    <t xml:space="preserve">EDGAR MARCAL ME</t>
  </si>
  <si>
    <t xml:space="preserve">MERCADO MARCAL</t>
  </si>
  <si>
    <t xml:space="preserve">L D P FALCHIONE ME</t>
  </si>
  <si>
    <t xml:space="preserve">SIDNEI JOSE DAHMER</t>
  </si>
  <si>
    <t xml:space="preserve">CAMPA E CIDADE</t>
  </si>
  <si>
    <t xml:space="preserve">MERCADO E ACOUGUE WILSON LTDA</t>
  </si>
  <si>
    <t xml:space="preserve">MERCADO E ACOUGUE WILSON</t>
  </si>
  <si>
    <t xml:space="preserve">M DE LIMA BARBOSA SUPERMERCADO EPP</t>
  </si>
  <si>
    <t xml:space="preserve">OSCAR DOS SANTOS</t>
  </si>
  <si>
    <t xml:space="preserve">VALDIR SOCOLOSKI CONVENIENCIA</t>
  </si>
  <si>
    <t xml:space="preserve">FLAVIA SANTOS DA SILVA</t>
  </si>
  <si>
    <t xml:space="preserve">T DA S MELO</t>
  </si>
  <si>
    <t xml:space="preserve">MINE MERCADO MELO</t>
  </si>
  <si>
    <t xml:space="preserve">DERLI TOBIAS DE OLIVEIRA ME</t>
  </si>
  <si>
    <t xml:space="preserve">X 7 TECNOLOGIAS</t>
  </si>
  <si>
    <t xml:space="preserve">GLAUCIA PEREIRA MONTEIRO DE OLIVEIRA</t>
  </si>
  <si>
    <t xml:space="preserve">PADARIA DO LIMAO</t>
  </si>
  <si>
    <t xml:space="preserve">M S DE OLIVEIRA NASCIMENTO</t>
  </si>
  <si>
    <t xml:space="preserve">PANIF E CONV CASA DO PAO</t>
  </si>
  <si>
    <t xml:space="preserve">PRISCILA LOZANGELA DA SILVA MEI</t>
  </si>
  <si>
    <t xml:space="preserve">MERCADO MORUMBI</t>
  </si>
  <si>
    <t xml:space="preserve">ELIANE FERREIRA DOS SANTOS</t>
  </si>
  <si>
    <t xml:space="preserve">S R CONVENIENCIA</t>
  </si>
  <si>
    <t xml:space="preserve">LEITE E MARANHO LTDA</t>
  </si>
  <si>
    <t xml:space="preserve">FERNANDES E AIZAWA LTDA</t>
  </si>
  <si>
    <t xml:space="preserve">MERCADO E CONVENIENCIA H2</t>
  </si>
  <si>
    <t xml:space="preserve">FALKIEVICZ E NIEHUES LTDA</t>
  </si>
  <si>
    <t xml:space="preserve">REDE POSTO CONFIAN‡A</t>
  </si>
  <si>
    <t xml:space="preserve">POSTO CONFIANCA II</t>
  </si>
  <si>
    <t xml:space="preserve">PATRICIA CLARO BARBIER  ME</t>
  </si>
  <si>
    <t xml:space="preserve">FIEL CRED</t>
  </si>
  <si>
    <t xml:space="preserve">ANA FAUSTINA CANDIDA ALMEIDA 54535824134</t>
  </si>
  <si>
    <t xml:space="preserve">GEOVANNA BIJUTERIAS E VARIEDADES</t>
  </si>
  <si>
    <t xml:space="preserve">CLINEU RIBEIRO FELIX</t>
  </si>
  <si>
    <t xml:space="preserve">LAIS CRISTINA DE CARVALHO QUIRINO</t>
  </si>
  <si>
    <t xml:space="preserve">COMERCIAL ESPERANCA</t>
  </si>
  <si>
    <t xml:space="preserve">LUCINEIA SOARES VIEIRA</t>
  </si>
  <si>
    <t xml:space="preserve">MERCADO KALAFRIO</t>
  </si>
  <si>
    <t xml:space="preserve">R Z VASCONCELLOS</t>
  </si>
  <si>
    <t xml:space="preserve">CASA DE CARNE URUCUM</t>
  </si>
  <si>
    <t xml:space="preserve">REGINALDO FERREIRA JUNIOR MEI</t>
  </si>
  <si>
    <t xml:space="preserve">RONILDA FATIMA ALVES</t>
  </si>
  <si>
    <t xml:space="preserve">RANGO DO BICHO</t>
  </si>
  <si>
    <t xml:space="preserve">C E A RETAURANTE E PIZZARIA LTDA</t>
  </si>
  <si>
    <t xml:space="preserve">RESTAURANTE LANCHONETE E PIZZARIA 10</t>
  </si>
  <si>
    <t xml:space="preserve">CRISTIAN MARIA SOUZA MARQUES MEI</t>
  </si>
  <si>
    <t xml:space="preserve">SUP SHEKINAH</t>
  </si>
  <si>
    <t xml:space="preserve">BELLOVET CLINICA VETERINARIA EIRELI</t>
  </si>
  <si>
    <t xml:space="preserve">BELLOVET CLINICA VETERINARIA</t>
  </si>
  <si>
    <t xml:space="preserve">ANTONIO WANDERLEY ANTUNES</t>
  </si>
  <si>
    <t xml:space="preserve">MERCEARIA ANTUNES</t>
  </si>
  <si>
    <t xml:space="preserve">POROROCA AUTO POSTO LTDA</t>
  </si>
  <si>
    <t xml:space="preserve">ROZILENE ARAUJO DE OLIVEIRA</t>
  </si>
  <si>
    <t xml:space="preserve">ZI MODAS</t>
  </si>
  <si>
    <t xml:space="preserve">O M PRODUTOS ALIMENTICIOS LTDA</t>
  </si>
  <si>
    <t xml:space="preserve">PARAISO SUPERMERCADOS</t>
  </si>
  <si>
    <t xml:space="preserve">ADILSON GONCALVES DE OLIVEIRA EIRELI</t>
  </si>
  <si>
    <t xml:space="preserve">REDE OLIVEIRA </t>
  </si>
  <si>
    <t xml:space="preserve">OLIVEIRA HIPER CENTER</t>
  </si>
  <si>
    <t xml:space="preserve">ADILSON GONCALVES DE OLIVEIRA LTDA</t>
  </si>
  <si>
    <t xml:space="preserve">HIPER CENTER OLIVEIRA</t>
  </si>
  <si>
    <t xml:space="preserve">EDILSON FELIPE DE ARAUJO</t>
  </si>
  <si>
    <t xml:space="preserve">EDILSON FELIPE</t>
  </si>
  <si>
    <t xml:space="preserve">ANA BARBARA BORGMANN</t>
  </si>
  <si>
    <t xml:space="preserve">MERCADO TALUSA LTDA</t>
  </si>
  <si>
    <t xml:space="preserve">MERCADO LEAO CENTER</t>
  </si>
  <si>
    <t xml:space="preserve">NICANOR RODRIGUES DOS SANTOS</t>
  </si>
  <si>
    <t xml:space="preserve">MERCADO THAYNIKA</t>
  </si>
  <si>
    <t xml:space="preserve">MARTINS E FIOR LTDA</t>
  </si>
  <si>
    <t xml:space="preserve">MERCEARIA ESTRELA DALVA</t>
  </si>
  <si>
    <t xml:space="preserve">ROSA DALVA WALTER BERTAN ME</t>
  </si>
  <si>
    <t xml:space="preserve">S M OTTA EPP</t>
  </si>
  <si>
    <t xml:space="preserve">DNA NATURAL</t>
  </si>
  <si>
    <t xml:space="preserve">ROSANGELA RAYMUNDA BRANZAN HERNANDES</t>
  </si>
  <si>
    <t xml:space="preserve">ALESSANDRO PICININ CHAMBO EPP</t>
  </si>
  <si>
    <t xml:space="preserve">MERCADO E ACOUGUE CHAMBO</t>
  </si>
  <si>
    <t xml:space="preserve">AGUIMAR MARTINS DA FONSECA</t>
  </si>
  <si>
    <t xml:space="preserve">EC SUPERMERCADO LTDA</t>
  </si>
  <si>
    <t xml:space="preserve">SUPERMERCADO REAL BRASIL</t>
  </si>
  <si>
    <t xml:space="preserve">ELAINE DOS SANTOS QUEIROZ</t>
  </si>
  <si>
    <t xml:space="preserve">SUPERMERCADO QUEIROZ III</t>
  </si>
  <si>
    <t xml:space="preserve">JONIS MONOEL FERREIRA MEI</t>
  </si>
  <si>
    <t xml:space="preserve">MARCELO ALEXANDRE DA SILVA</t>
  </si>
  <si>
    <t xml:space="preserve">SUELI EVANGELISTA DOS SANTOS MEI</t>
  </si>
  <si>
    <t xml:space="preserve">CESTAO TUPPY</t>
  </si>
  <si>
    <t xml:space="preserve">LLI COM DE MEDIC E PERFUMARIAS LTDA</t>
  </si>
  <si>
    <t xml:space="preserve">DROGARIA ULTRA POPUPLAR</t>
  </si>
  <si>
    <t xml:space="preserve">LLI COMERCIO DE MED E PERFUMARIA LTDA</t>
  </si>
  <si>
    <t xml:space="preserve">JR COMERCIO DE SERVICOS LTDA ME</t>
  </si>
  <si>
    <t xml:space="preserve">VALE DO MIRANDO</t>
  </si>
  <si>
    <t xml:space="preserve">TRIUNFANTE BRASIL DIST DE ALIM LTDA</t>
  </si>
  <si>
    <t xml:space="preserve">TRIUNFANTE BRASIL</t>
  </si>
  <si>
    <t xml:space="preserve">CICERO SANDES RIBEIRO</t>
  </si>
  <si>
    <t xml:space="preserve">MERCERIA MINI PRECO</t>
  </si>
  <si>
    <t xml:space="preserve">M X A REPRES COML COM E SERV L</t>
  </si>
  <si>
    <t xml:space="preserve">MJ MEDICAMENTOS LTDA</t>
  </si>
  <si>
    <t xml:space="preserve">DROGARIA BIA FARMA</t>
  </si>
  <si>
    <t xml:space="preserve">BYANKA DANYELLA TAROCO DOS SANTOS</t>
  </si>
  <si>
    <t xml:space="preserve">MS LIMP PRODUTOS DE LIMPEZA</t>
  </si>
  <si>
    <t xml:space="preserve">MIRIAN BARBOSA DE OLIVEIRA</t>
  </si>
  <si>
    <t xml:space="preserve">SANTA FESTA MERCADO E CONVENIENCIA LTDA </t>
  </si>
  <si>
    <t xml:space="preserve">SANTA FESTA</t>
  </si>
  <si>
    <t xml:space="preserve">MARCELO ADRIANO MORAES LTDA</t>
  </si>
  <si>
    <t xml:space="preserve">LANCHONETE TIGRAO</t>
  </si>
  <si>
    <t xml:space="preserve">GLEISSON RODRIGO ALVES BARCE  MEI</t>
  </si>
  <si>
    <t xml:space="preserve">MERCEARIA SUL</t>
  </si>
  <si>
    <t xml:space="preserve">G R MINAS ME</t>
  </si>
  <si>
    <t xml:space="preserve">TOTAL FARMA</t>
  </si>
  <si>
    <t xml:space="preserve">ITAMANDARE JOSE SANTANA ME</t>
  </si>
  <si>
    <t xml:space="preserve">PONTO MIX ATACADO E VAREJO</t>
  </si>
  <si>
    <t xml:space="preserve">DINACLEIA CARVALHO PEREIRA DE SOUZA 0196</t>
  </si>
  <si>
    <t xml:space="preserve">GENIVALDO GERMANO DE CARVALHO</t>
  </si>
  <si>
    <t xml:space="preserve">MERCEARIA PIAUI</t>
  </si>
  <si>
    <t xml:space="preserve">KLEBER DA SILVA GARCIA</t>
  </si>
  <si>
    <t xml:space="preserve">MERCADO RESIDENCIAL</t>
  </si>
  <si>
    <t xml:space="preserve">FLAVIA ROSIMAR CHIARIONI</t>
  </si>
  <si>
    <t xml:space="preserve">NELY EBERHARDT BENETTI</t>
  </si>
  <si>
    <t xml:space="preserve">M F SUPERMERCADOS LTDA</t>
  </si>
  <si>
    <t xml:space="preserve">ESSENCIAL ATACADO E DISTRIBUICAO</t>
  </si>
  <si>
    <t xml:space="preserve">FERNANDA SHIFELBEN MEI</t>
  </si>
  <si>
    <t xml:space="preserve">LOLATO E CIA LTDA</t>
  </si>
  <si>
    <t xml:space="preserve">CLAUDIO JOSE DA SILVA - ME</t>
  </si>
  <si>
    <t xml:space="preserve">CLAUDIO JOSE</t>
  </si>
  <si>
    <t xml:space="preserve">JN SUPERMERCADO LTDA</t>
  </si>
  <si>
    <t xml:space="preserve">MARCILENI MARIA GUAITOLINI PEREIRA</t>
  </si>
  <si>
    <t xml:space="preserve">MERCADO MARILUZ</t>
  </si>
  <si>
    <t xml:space="preserve">R B GIMENES</t>
  </si>
  <si>
    <t xml:space="preserve">WALKSON LEITE CHAMORRO MEI</t>
  </si>
  <si>
    <t xml:space="preserve">MERCEARIA MILLUS</t>
  </si>
  <si>
    <t xml:space="preserve">ADEMIR TEIXEIRA RAMOS 84098708191</t>
  </si>
  <si>
    <t xml:space="preserve">MINI MERCADO RAMOS</t>
  </si>
  <si>
    <t xml:space="preserve">VALDINETE DOS SANTOS VIANA</t>
  </si>
  <si>
    <t xml:space="preserve">PANIFICADORA VIANA</t>
  </si>
  <si>
    <t xml:space="preserve">MERCADO BIG MAX LTDA</t>
  </si>
  <si>
    <t xml:space="preserve">BIG MAX</t>
  </si>
  <si>
    <t xml:space="preserve">A FLORES MERCEARIA</t>
  </si>
  <si>
    <t xml:space="preserve">FLORES MERCEARIA</t>
  </si>
  <si>
    <t xml:space="preserve">LETICIA GRACIENE COENE GOES CLARO ME</t>
  </si>
  <si>
    <t xml:space="preserve">CASA DE CARNE CLARO</t>
  </si>
  <si>
    <t xml:space="preserve">ADRIANA CAIRES MAIA</t>
  </si>
  <si>
    <t xml:space="preserve">MECEARIA MENEZES</t>
  </si>
  <si>
    <t xml:space="preserve">IVONE GONCALVES SOARES</t>
  </si>
  <si>
    <t xml:space="preserve">SAFIRA COSMETICOS PRESENTES</t>
  </si>
  <si>
    <t xml:space="preserve">ELIZANGELA VOGADO DO NASCIMENTO</t>
  </si>
  <si>
    <t xml:space="preserve">SUPERMERCADO PONTO CERTO EIRELI</t>
  </si>
  <si>
    <t xml:space="preserve">ELIZABETE FERREIRA NOBRE DOS SANTOS ME  </t>
  </si>
  <si>
    <t xml:space="preserve">AGROPECUARIA CAMPO VERDE</t>
  </si>
  <si>
    <t xml:space="preserve">ACV AGROPECUARIA</t>
  </si>
  <si>
    <t xml:space="preserve">DIVINO PET SHOP LTDA ME</t>
  </si>
  <si>
    <t xml:space="preserve">DIVINO PET SHOP</t>
  </si>
  <si>
    <t xml:space="preserve">MERCEARIA BANDEIRANTES LTDA</t>
  </si>
  <si>
    <t xml:space="preserve">MERCEARIA BANDEIRANTES</t>
  </si>
  <si>
    <t xml:space="preserve">FARMACIA E DROGARIA FARMAMEL LTDA</t>
  </si>
  <si>
    <t xml:space="preserve">DROGARIA FARMAMEL</t>
  </si>
  <si>
    <t xml:space="preserve">JOSIANA RODRIGUES ME</t>
  </si>
  <si>
    <t xml:space="preserve">SERGIO DA SILVA SARAIVA</t>
  </si>
  <si>
    <t xml:space="preserve">MERCEARIA SARAIVA</t>
  </si>
  <si>
    <t xml:space="preserve">CLEITON VIEIRA CARNEIRO</t>
  </si>
  <si>
    <t xml:space="preserve">PANIFICADORA E CONVENIENCIA SANTOS LTDA </t>
  </si>
  <si>
    <t xml:space="preserve">PANIFICADORA E CONV SANTOS</t>
  </si>
  <si>
    <t xml:space="preserve">MERCADO SILVA LTDA</t>
  </si>
  <si>
    <t xml:space="preserve">SUPERMERCADO SUPER DICA LTDA</t>
  </si>
  <si>
    <t xml:space="preserve">SUPERMERCADO SHOW</t>
  </si>
  <si>
    <t xml:space="preserve">SEVERINO RAMOS DE SIQUEIRA NETTO</t>
  </si>
  <si>
    <t xml:space="preserve">BAR DO VELHO BINO</t>
  </si>
  <si>
    <t xml:space="preserve">RODRIGO GARCIA CALISTO</t>
  </si>
  <si>
    <t xml:space="preserve">CALISTO CONVENIENCIA</t>
  </si>
  <si>
    <t xml:space="preserve">CALISTO CONVENIENCIA LTDA</t>
  </si>
  <si>
    <t xml:space="preserve">E DE ARAUJO BRAGA</t>
  </si>
  <si>
    <t xml:space="preserve">ESPACO PET</t>
  </si>
  <si>
    <t xml:space="preserve">BACKHAUS E CIA LTDA</t>
  </si>
  <si>
    <t xml:space="preserve">RESTAURANTE O CAIPIRAO</t>
  </si>
  <si>
    <t xml:space="preserve">AGROVET PRODUTOS AGROPECUARIOS E PET SHO</t>
  </si>
  <si>
    <t xml:space="preserve">AGROVET AGRO</t>
  </si>
  <si>
    <t xml:space="preserve">VICENTE RODRIGUES FERNANDES</t>
  </si>
  <si>
    <t xml:space="preserve">CAMERINA NATIVIDADE DA SILVA</t>
  </si>
  <si>
    <t xml:space="preserve">NATI RESTAURANTE</t>
  </si>
  <si>
    <t xml:space="preserve">KNAUER E MARCONDES LTDA ME</t>
  </si>
  <si>
    <t xml:space="preserve">VET MANIA PET SHOP</t>
  </si>
  <si>
    <t xml:space="preserve">CF CONFECCOES E COMERCIO LTDA ME</t>
  </si>
  <si>
    <t xml:space="preserve">SHOP CAPAS E AMP BRINDES</t>
  </si>
  <si>
    <t xml:space="preserve">MORAIS E GONCALVES LTDA</t>
  </si>
  <si>
    <t xml:space="preserve">MINI MERCADO DOIS IRMAO</t>
  </si>
  <si>
    <t xml:space="preserve">ZIGOMAR GOMES RODRIGUES</t>
  </si>
  <si>
    <t xml:space="preserve">FARMACIA PHARMAKLIN</t>
  </si>
  <si>
    <t xml:space="preserve">DONIZETE VICTOR DA SILVA ME</t>
  </si>
  <si>
    <t xml:space="preserve">CASA DE CARNE REI DO BOI</t>
  </si>
  <si>
    <t xml:space="preserve">MERCADO OURO VERDE LTDA ME</t>
  </si>
  <si>
    <t xml:space="preserve">DS PET SHOP LTDA ME</t>
  </si>
  <si>
    <t xml:space="preserve">RACA AGRO VET</t>
  </si>
  <si>
    <t xml:space="preserve">E V LUNGUINHO CONVENIENCIA ME</t>
  </si>
  <si>
    <t xml:space="preserve">CONVENIENCIA DOS AMIGOS</t>
  </si>
  <si>
    <t xml:space="preserve">DANIEL ALVES DA SILVA</t>
  </si>
  <si>
    <t xml:space="preserve">RMR MERCEARIA E COMERCIO DE GAS LTDA</t>
  </si>
  <si>
    <t xml:space="preserve">NEGUINHO GAS</t>
  </si>
  <si>
    <t xml:space="preserve">G A NUNES</t>
  </si>
  <si>
    <t xml:space="preserve">NILVO DE PAULA E SILVA COMERCIAL</t>
  </si>
  <si>
    <t xml:space="preserve">COMERCIAL SANTO EUSTAQUIO</t>
  </si>
  <si>
    <t xml:space="preserve">M A DA SILVA PRODUTOS ALIMENTICIOS</t>
  </si>
  <si>
    <t xml:space="preserve">ROSANGELA MARIA JOVER MADUREIRA MEI</t>
  </si>
  <si>
    <t xml:space="preserve">CESTAO MADUREIRA</t>
  </si>
  <si>
    <t xml:space="preserve">FARMACIA FARMA 1000</t>
  </si>
  <si>
    <t xml:space="preserve">ELTON A CANEPA EIRELI</t>
  </si>
  <si>
    <t xml:space="preserve">REDE CHIQUINHO PET</t>
  </si>
  <si>
    <t xml:space="preserve">CHIQUINHO AGROPET</t>
  </si>
  <si>
    <t xml:space="preserve">LENIRA APARECIDA DOS SANTOS CABREIRA MEI</t>
  </si>
  <si>
    <t xml:space="preserve">CRISTINA APARECIDA MEDEIROS OLIVEIRA</t>
  </si>
  <si>
    <t xml:space="preserve">WILLIAM JUN I KAMIMURA KOGAWA</t>
  </si>
  <si>
    <t xml:space="preserve">PET SHOP KAMIURA</t>
  </si>
  <si>
    <t xml:space="preserve">FRANCISCO NIVALDO DE SOUZA</t>
  </si>
  <si>
    <t xml:space="preserve">BRINQUELAR</t>
  </si>
  <si>
    <t xml:space="preserve">JOSE MARIA FAGUNDES DOS SANTOS</t>
  </si>
  <si>
    <t xml:space="preserve">MERCADO PADARIA E CONVENIENCIA DO GAUCHO</t>
  </si>
  <si>
    <t xml:space="preserve">MORALECO E BARBOSA LTDA</t>
  </si>
  <si>
    <t xml:space="preserve">AGROPET HOUSE</t>
  </si>
  <si>
    <t xml:space="preserve">PEREIRA E MOURA LTDA</t>
  </si>
  <si>
    <t xml:space="preserve">CAROLINA TUR E CONVENIENCIA</t>
  </si>
  <si>
    <t xml:space="preserve">ROBERTO RODRIGUES DA SILVA</t>
  </si>
  <si>
    <t xml:space="preserve">BIG BARATEIRO COVENIENVCIA</t>
  </si>
  <si>
    <t xml:space="preserve">RAFAEL RAMOS ESPINDOLA</t>
  </si>
  <si>
    <t xml:space="preserve">PADRAO PROB LIMPEZA</t>
  </si>
  <si>
    <t xml:space="preserve">CLAUDINEIA MOREIRA PESSOA EIRELI</t>
  </si>
  <si>
    <t xml:space="preserve">STOP BEER</t>
  </si>
  <si>
    <t xml:space="preserve">ROSANGELA GUBERT BARRETO</t>
  </si>
  <si>
    <t xml:space="preserve">MERCEARIA TEJIM</t>
  </si>
  <si>
    <t xml:space="preserve">NILTON PEREIRA PRADO  MEI</t>
  </si>
  <si>
    <t xml:space="preserve">CONVENIENCIA MARTINS</t>
  </si>
  <si>
    <t xml:space="preserve">ALIMENTOS CANDELORIO LTDA</t>
  </si>
  <si>
    <t xml:space="preserve">VALDOMIRO FRANCISCO DOS REIS ME</t>
  </si>
  <si>
    <t xml:space="preserve">MERCEARIA R B</t>
  </si>
  <si>
    <t xml:space="preserve">RUDNEY DE SOUZA</t>
  </si>
  <si>
    <t xml:space="preserve">CASA DE CARNE BOM DIA</t>
  </si>
  <si>
    <t xml:space="preserve">SALVADOR E VITORASSO CLINICA MED VETERIN</t>
  </si>
  <si>
    <t xml:space="preserve">PETSCAO</t>
  </si>
  <si>
    <t xml:space="preserve">EDINA T.B. DE QUEIROZ</t>
  </si>
  <si>
    <t xml:space="preserve">SIDROQUIMICA</t>
  </si>
  <si>
    <t xml:space="preserve">CLAUDIO JOSE DE FREITAS</t>
  </si>
  <si>
    <t xml:space="preserve">RAFAEL AURELIANO ROSA</t>
  </si>
  <si>
    <t xml:space="preserve">FLORICULTURA MARROCOS</t>
  </si>
  <si>
    <t xml:space="preserve">MERCADO BINGA</t>
  </si>
  <si>
    <t xml:space="preserve">DROGARIA ALENCAR E PULEO LTDA ME</t>
  </si>
  <si>
    <t xml:space="preserve">DROGARIA SAO LOURENCO</t>
  </si>
  <si>
    <t xml:space="preserve">FRANCIELLY BUZINHANI FERREIRA</t>
  </si>
  <si>
    <t xml:space="preserve">COMERCIO VAREJISTA DE BEBIDAS</t>
  </si>
  <si>
    <t xml:space="preserve">NADDIA DE OLIVEIRA VICENTE</t>
  </si>
  <si>
    <t xml:space="preserve">MERCADO E FRUTARIA MANA</t>
  </si>
  <si>
    <t xml:space="preserve">MAIS VOCE SUPERMERCADO LTDA EPP</t>
  </si>
  <si>
    <t xml:space="preserve">MAIS VOCE SUPERMERCADO</t>
  </si>
  <si>
    <t xml:space="preserve">A A GODOI DROGARIA</t>
  </si>
  <si>
    <t xml:space="preserve">FARMALINE</t>
  </si>
  <si>
    <t xml:space="preserve">ESTANISLENE MACHADO ANTUNES FREITAS</t>
  </si>
  <si>
    <t xml:space="preserve">ESPACO 10</t>
  </si>
  <si>
    <t xml:space="preserve">SERENA E GOTTARDO LTDA</t>
  </si>
  <si>
    <t xml:space="preserve">LUIZ CARLOS DOS SANTOS</t>
  </si>
  <si>
    <t xml:space="preserve">MERCADO SAO MARC0S</t>
  </si>
  <si>
    <t xml:space="preserve">QUEIROZ E QUADROS LTDA</t>
  </si>
  <si>
    <t xml:space="preserve">NILDA APARECIDA REZENDE</t>
  </si>
  <si>
    <t xml:space="preserve">NIL VARIEDADES</t>
  </si>
  <si>
    <t xml:space="preserve">FABRICIO BORGES GONCALVES</t>
  </si>
  <si>
    <t xml:space="preserve">SUPERMERCADO BORGES</t>
  </si>
  <si>
    <t xml:space="preserve">ADRIANO DA SILVA MEDEIROS</t>
  </si>
  <si>
    <t xml:space="preserve">ADRIANO CONVENIENCIA</t>
  </si>
  <si>
    <t xml:space="preserve">OSMAR ARAUJO DA SILVA - ME</t>
  </si>
  <si>
    <t xml:space="preserve">OJF CONVENIENCIA</t>
  </si>
  <si>
    <t xml:space="preserve">CARLOS HADDAD NESRALA EPP</t>
  </si>
  <si>
    <t xml:space="preserve">FRANCISCO FABIANO DA SILVA</t>
  </si>
  <si>
    <t xml:space="preserve">CONVENIENCIA DO GAUCHAO</t>
  </si>
  <si>
    <t xml:space="preserve">BONFIM E YAMA LTDA</t>
  </si>
  <si>
    <t xml:space="preserve">SUPER 13</t>
  </si>
  <si>
    <t xml:space="preserve">MAX WILLIAN VIEIRA DE LIMA SOUZA</t>
  </si>
  <si>
    <t xml:space="preserve">RAFAEL DUTRA MUNHOZ</t>
  </si>
  <si>
    <t xml:space="preserve">MERCADO MUNHOZ</t>
  </si>
  <si>
    <t xml:space="preserve">DIST DE ALIMENTOS VILA NOVA LTDA</t>
  </si>
  <si>
    <t xml:space="preserve">MARIA INES GIMENEZ</t>
  </si>
  <si>
    <t xml:space="preserve">SUPERMERCADO CAMPEAO 2</t>
  </si>
  <si>
    <t xml:space="preserve">CLYNTON ROB ESPINDOLA LEITE ME</t>
  </si>
  <si>
    <t xml:space="preserve">ROBSON DO NASCIMENTO COSTA</t>
  </si>
  <si>
    <t xml:space="preserve">TERESA MARIA B PEIXOTO</t>
  </si>
  <si>
    <t xml:space="preserve">SUPERMERCADO NORDESTE</t>
  </si>
  <si>
    <t xml:space="preserve">SILVIA EVELINA LEON BEJARANO</t>
  </si>
  <si>
    <t xml:space="preserve">MERCEARIA LEON</t>
  </si>
  <si>
    <t xml:space="preserve">EVERSON LIMA MAIA</t>
  </si>
  <si>
    <t xml:space="preserve">VET MASTER</t>
  </si>
  <si>
    <t xml:space="preserve">FOLTZ SUPERMERCADO LTDA</t>
  </si>
  <si>
    <t xml:space="preserve">SUPERMERCADO RM COSTA</t>
  </si>
  <si>
    <t xml:space="preserve">ELIANE CALVES RODRIGUES</t>
  </si>
  <si>
    <t xml:space="preserve">C V S PINHEIRO ME</t>
  </si>
  <si>
    <t xml:space="preserve">HOTEL</t>
  </si>
  <si>
    <t xml:space="preserve">MERCADINHO BOM DIA</t>
  </si>
  <si>
    <t xml:space="preserve">DHIONES KENEDYS ULISSES DIAS EIRELI</t>
  </si>
  <si>
    <t xml:space="preserve">DAVID BISPO VIEIRA</t>
  </si>
  <si>
    <t xml:space="preserve">CONVENIENCIA E MERCEARIA AVENIDA</t>
  </si>
  <si>
    <t xml:space="preserve">JACSON MARQUES REITER</t>
  </si>
  <si>
    <t xml:space="preserve">MERCADO BOM DE MAIS</t>
  </si>
  <si>
    <t xml:space="preserve">FABIOLA CAPA VILLCA</t>
  </si>
  <si>
    <t xml:space="preserve">MERCEARIA MARY</t>
  </si>
  <si>
    <t xml:space="preserve">LUIZ CARLOS MARCATTO ALVES MEIRA</t>
  </si>
  <si>
    <t xml:space="preserve">DAURIA E DAURIA LTDA</t>
  </si>
  <si>
    <t xml:space="preserve">CONVENIENCIA IMPERIAL</t>
  </si>
  <si>
    <t xml:space="preserve">SERGIO LAGOA</t>
  </si>
  <si>
    <t xml:space="preserve">MARCO ANDRE FERREIRA ME</t>
  </si>
  <si>
    <t xml:space="preserve">ELIANE HULTGREM PARADZINSKI</t>
  </si>
  <si>
    <t xml:space="preserve">CARLOS E PADOVAN PEREIRA</t>
  </si>
  <si>
    <t xml:space="preserve">TOP SERV</t>
  </si>
  <si>
    <t xml:space="preserve">MERCEARIA TRES PODERES</t>
  </si>
  <si>
    <t xml:space="preserve">SUPERMERCADO COLOMBI LTDA</t>
  </si>
  <si>
    <t xml:space="preserve">SUPERMERCADO COLOMBI</t>
  </si>
  <si>
    <t xml:space="preserve">FABIANA GIMENEZ FIGUEIREDO</t>
  </si>
  <si>
    <t xml:space="preserve">JOSE BRAGA DE OLIVEIRA - ME</t>
  </si>
  <si>
    <t xml:space="preserve">JC SEGURANCA ELETRONICA LTDA</t>
  </si>
  <si>
    <t xml:space="preserve">JC SEGURANCA ELETRONICA LTDA-M</t>
  </si>
  <si>
    <t xml:space="preserve">SIDIVAL CENTURIAO PEREIRA ME</t>
  </si>
  <si>
    <t xml:space="preserve">MERCEARIA MS</t>
  </si>
  <si>
    <t xml:space="preserve">MERCADO E ACOUGUE MS</t>
  </si>
  <si>
    <t xml:space="preserve">ALVES E ARAUJO LTDA</t>
  </si>
  <si>
    <t xml:space="preserve">MERCADO SOL NAS</t>
  </si>
  <si>
    <t xml:space="preserve">ELZA DOS SANTOS MEI</t>
  </si>
  <si>
    <t xml:space="preserve">MER VITORIA</t>
  </si>
  <si>
    <t xml:space="preserve">LILIAN DIAS DE JESUS</t>
  </si>
  <si>
    <t xml:space="preserve">CONVENIENCIA LG</t>
  </si>
  <si>
    <t xml:space="preserve">HERMA AAFKE SUIJKERBUIJK</t>
  </si>
  <si>
    <t xml:space="preserve">PET SHOP ONLINE</t>
  </si>
  <si>
    <t xml:space="preserve">JANER BARBOSA PAVAO PET SHOP ME</t>
  </si>
  <si>
    <t xml:space="preserve">PAVAO PET SHOP</t>
  </si>
  <si>
    <t xml:space="preserve">FABIO ALVES OLMEDO</t>
  </si>
  <si>
    <t xml:space="preserve">MARCELO WANDERSON CARDOSO DO NASCIMENTO </t>
  </si>
  <si>
    <t xml:space="preserve">MINI MERCADO MONALISA</t>
  </si>
  <si>
    <t xml:space="preserve">JORGE VILELA BORGES MERCADO</t>
  </si>
  <si>
    <t xml:space="preserve">MERCADO E ACOUGUE TROPICAL</t>
  </si>
  <si>
    <t xml:space="preserve">FERNANDO BUENO DUARTE</t>
  </si>
  <si>
    <t xml:space="preserve">MINI MERCADO BUENO</t>
  </si>
  <si>
    <t xml:space="preserve">D A C COMERCIO DE ALIMENTOS LTDA</t>
  </si>
  <si>
    <t xml:space="preserve">MERCADO DOURADENSE</t>
  </si>
  <si>
    <t xml:space="preserve">LUCIANO BARCELOS AMARAL</t>
  </si>
  <si>
    <t xml:space="preserve">OLIVEIRA COM DE ALIMENTOS E VIDROS LTDA </t>
  </si>
  <si>
    <t xml:space="preserve">REAL SUPERMERCADOS</t>
  </si>
  <si>
    <t xml:space="preserve">REBECA CAPOVILLA MEI</t>
  </si>
  <si>
    <t xml:space="preserve">RANCHO ANIMAL</t>
  </si>
  <si>
    <t xml:space="preserve">PORTO E CASTELARI LTDA</t>
  </si>
  <si>
    <t xml:space="preserve">MERC E PANIFICADORA IMPERIO</t>
  </si>
  <si>
    <t xml:space="preserve">COMERCIAL PRECO ANTIGO LTDA</t>
  </si>
  <si>
    <t xml:space="preserve">C R CHAPARRO</t>
  </si>
  <si>
    <t xml:space="preserve">BELL FRIOS</t>
  </si>
  <si>
    <t xml:space="preserve">ARLEY FERREIRA ROCHA</t>
  </si>
  <si>
    <t xml:space="preserve">AILTON SOARES DE OLIVEIRA</t>
  </si>
  <si>
    <t xml:space="preserve">ESFIHA E CIA</t>
  </si>
  <si>
    <t xml:space="preserve">THAMIRIS CITRO</t>
  </si>
  <si>
    <t xml:space="preserve">CITRO DOG</t>
  </si>
  <si>
    <t xml:space="preserve">JOSE HENRIQUE PAULINO VILARINS EIRELI</t>
  </si>
  <si>
    <t xml:space="preserve">BIG PET CG</t>
  </si>
  <si>
    <t xml:space="preserve">CARLOS EDUARDO AZEVEDO RODRIGUES</t>
  </si>
  <si>
    <t xml:space="preserve">O ARMAZEM</t>
  </si>
  <si>
    <t xml:space="preserve">GABRIELA FERNANDA MARTINS MILANI</t>
  </si>
  <si>
    <t xml:space="preserve">PAULO DE ALMEIDA LEITE 77220153872</t>
  </si>
  <si>
    <t xml:space="preserve">VASCONCELOS SANTOS E CIA LTDA</t>
  </si>
  <si>
    <t xml:space="preserve">REDEMS VASCONCELOS SANTOS E CI</t>
  </si>
  <si>
    <t xml:space="preserve">RED HORSE COM BEBIDAS</t>
  </si>
  <si>
    <t xml:space="preserve">PAO NOSSO PANIF E CONFEITARIA LTDA ME</t>
  </si>
  <si>
    <t xml:space="preserve">PAO CHIC</t>
  </si>
  <si>
    <t xml:space="preserve">CAMPO VERDE COMERCIO DE COMBUSTIVEIS LTD</t>
  </si>
  <si>
    <t xml:space="preserve">CAMPO VERDE CONVENIENCIA</t>
  </si>
  <si>
    <t xml:space="preserve">RICARDO JOSE DA SILVA</t>
  </si>
  <si>
    <t xml:space="preserve">DROGARIA CORUMBAENSE</t>
  </si>
  <si>
    <t xml:space="preserve">IDALECIO APARECIDO PEDRO</t>
  </si>
  <si>
    <t xml:space="preserve">LINOS CONVENIENCIA</t>
  </si>
  <si>
    <t xml:space="preserve">JOICY TEIXEIRA  DE OLIVEIRA</t>
  </si>
  <si>
    <t xml:space="preserve">PET CENTER CAFEZAIS</t>
  </si>
  <si>
    <t xml:space="preserve">ADAO DOMINGOS SOLER</t>
  </si>
  <si>
    <t xml:space="preserve">LUCIO FLAVIO FERREIRA DE SOUZA</t>
  </si>
  <si>
    <t xml:space="preserve">CASA DE CARNE E CONVENIENCIA RODR E LTDA</t>
  </si>
  <si>
    <t xml:space="preserve">R COELHO COMERCIAL</t>
  </si>
  <si>
    <t xml:space="preserve">MERARIA DO ZEZINHO</t>
  </si>
  <si>
    <t xml:space="preserve">ALINE RODRIGUES DOS SANTOS MEI</t>
  </si>
  <si>
    <t xml:space="preserve">ALINE RODRIGUES DOS SANTOS</t>
  </si>
  <si>
    <t xml:space="preserve">ZIMERMAN E ZIMERMAN</t>
  </si>
  <si>
    <t xml:space="preserve">PANIFICADORA E MERCADO SANTA CLARA</t>
  </si>
  <si>
    <t xml:space="preserve">CLEUFE MARIA DAHM BERTOZZI</t>
  </si>
  <si>
    <t xml:space="preserve">ILMA GIRONDE OLIVEIRA -MEI</t>
  </si>
  <si>
    <t xml:space="preserve">DIANE RAMOS PEIXOTO  MEI</t>
  </si>
  <si>
    <t xml:space="preserve">PADARIA E MERCEARIA PEIXOTO</t>
  </si>
  <si>
    <t xml:space="preserve">ELIANE GOMES</t>
  </si>
  <si>
    <t xml:space="preserve">APACHE BAR GASTRONOMICO LTDA</t>
  </si>
  <si>
    <t xml:space="preserve">APACHE BAR</t>
  </si>
  <si>
    <t xml:space="preserve">DENIS CARLOS VACCARO ME</t>
  </si>
  <si>
    <t xml:space="preserve">PET SHOWW</t>
  </si>
  <si>
    <t xml:space="preserve">ELIANE LEMES MERCADO</t>
  </si>
  <si>
    <t xml:space="preserve">VALLEY BAR EIRELI</t>
  </si>
  <si>
    <t xml:space="preserve">VALLEY</t>
  </si>
  <si>
    <t xml:space="preserve">MERCADO SANTA RITA EIRELI</t>
  </si>
  <si>
    <t xml:space="preserve">ELISEU FRANCISCO DA SILVA ME</t>
  </si>
  <si>
    <t xml:space="preserve">EVOLUTION NETO CAR</t>
  </si>
  <si>
    <t xml:space="preserve">FLAVIO RICARDO ARTIR</t>
  </si>
  <si>
    <t xml:space="preserve">CONVENIENCIA ESQUINAO</t>
  </si>
  <si>
    <t xml:space="preserve">IRENE CARDOSO PONCE  ME</t>
  </si>
  <si>
    <t xml:space="preserve">AGROPECUARIA DO CARIOCA - ME</t>
  </si>
  <si>
    <t xml:space="preserve">SILVIA DIAS TIMOTEO MEI</t>
  </si>
  <si>
    <t xml:space="preserve">MERCEARIA DO GINO</t>
  </si>
  <si>
    <t xml:space="preserve">BRENO BLANCH BERGOLI</t>
  </si>
  <si>
    <t xml:space="preserve">VANESSA NUNES DA SILVA</t>
  </si>
  <si>
    <t xml:space="preserve">IEDA PAIVA ME</t>
  </si>
  <si>
    <t xml:space="preserve">CASA DAS RACOES E FARINHA</t>
  </si>
  <si>
    <t xml:space="preserve">SANTOS E NUNES LTDA</t>
  </si>
  <si>
    <t xml:space="preserve">MERCADO DONA LOURDES</t>
  </si>
  <si>
    <t xml:space="preserve">LELAINE DIAS DE OLIVEIRA MEI</t>
  </si>
  <si>
    <t xml:space="preserve">MINI MERCADO BUENOS AIRES</t>
  </si>
  <si>
    <t xml:space="preserve">TERIK SIMOES BAZZO</t>
  </si>
  <si>
    <t xml:space="preserve">CONVENIENCIA GASPERIN</t>
  </si>
  <si>
    <t xml:space="preserve">JCN DE SOUZA</t>
  </si>
  <si>
    <t xml:space="preserve">FARMACIA BOM JESUS</t>
  </si>
  <si>
    <t xml:space="preserve">CARLOS ALEXANDRE MARQUES FLORES MEI</t>
  </si>
  <si>
    <t xml:space="preserve">JESSICA DE MELO PEREIRA ME</t>
  </si>
  <si>
    <t xml:space="preserve">MERKADIM</t>
  </si>
  <si>
    <t xml:space="preserve">D C PRODUTOS ALIMENTICIOS EIRELI</t>
  </si>
  <si>
    <t xml:space="preserve">MERCADO COSTA 3</t>
  </si>
  <si>
    <t xml:space="preserve">D C PRODUTO ALIMENTICIOS EIRELI</t>
  </si>
  <si>
    <t xml:space="preserve">CHIMARRAO ATACADISTA</t>
  </si>
  <si>
    <t xml:space="preserve">D C PRODUTOS ALIMENTICIOS LTDA</t>
  </si>
  <si>
    <t xml:space="preserve">COMERCIAL E DISTRIBUIDORA KI CARNES LTDA</t>
  </si>
  <si>
    <t xml:space="preserve">KI CARNES</t>
  </si>
  <si>
    <t xml:space="preserve">USINAS ITAMARATI SA</t>
  </si>
  <si>
    <t xml:space="preserve">USINAS ITAMARATI</t>
  </si>
  <si>
    <t xml:space="preserve">ENIO DO NASCIMENTO MEI</t>
  </si>
  <si>
    <t xml:space="preserve">SABOR DE FRIOS LTDA - ME</t>
  </si>
  <si>
    <t xml:space="preserve">SANPHIL FARMAS LTDA</t>
  </si>
  <si>
    <t xml:space="preserve">P DE CAMPOS SILVA</t>
  </si>
  <si>
    <t xml:space="preserve">ROSANGELA MEDINA</t>
  </si>
  <si>
    <t xml:space="preserve">MACAUBA FRUTARIA</t>
  </si>
  <si>
    <t xml:space="preserve">MONTEIRO E NASCIMENTO LTDA ME</t>
  </si>
  <si>
    <t xml:space="preserve">PANIFICADORA PAO DA VIDA</t>
  </si>
  <si>
    <t xml:space="preserve">ROMERO INACIO DE SOUZA EIRELI</t>
  </si>
  <si>
    <t xml:space="preserve">SANTOS E VILHARVA LTDA ME</t>
  </si>
  <si>
    <t xml:space="preserve">VALERIA CANDIDO COXEV</t>
  </si>
  <si>
    <t xml:space="preserve">ZOLA E FIORAVANTE LOGISTICA LTDA</t>
  </si>
  <si>
    <t xml:space="preserve">ZOLA E FIORAVANTE LOGISTICA</t>
  </si>
  <si>
    <t xml:space="preserve">SERGIO VIEIRA DE ALMEIDA</t>
  </si>
  <si>
    <t xml:space="preserve">ODAIR APARECIDO PEREIRA NETO</t>
  </si>
  <si>
    <t xml:space="preserve">TEIXEIRA PIRES E CIA LTDA 605344</t>
  </si>
  <si>
    <t xml:space="preserve">HIPER LOJA</t>
  </si>
  <si>
    <t xml:space="preserve">SOLANGE TEREZINHA ROSA DA SILVA</t>
  </si>
  <si>
    <t xml:space="preserve">IVANILDO ALVES DE LIMA</t>
  </si>
  <si>
    <t xml:space="preserve">MERCADO MICRO PRECOS</t>
  </si>
  <si>
    <t xml:space="preserve">SUPERMERCADO ROPECA LTDA ME</t>
  </si>
  <si>
    <t xml:space="preserve">SUPERMERCADO ROPECA</t>
  </si>
  <si>
    <t xml:space="preserve">FLORIZA ALVES MARTINS</t>
  </si>
  <si>
    <t xml:space="preserve">HOTEL LANCHONETE ESTORIL</t>
  </si>
  <si>
    <t xml:space="preserve">ESPETO DA ORLA LTDA</t>
  </si>
  <si>
    <t xml:space="preserve">ESPETO DA ORLA</t>
  </si>
  <si>
    <t xml:space="preserve">LUCILA COSTA SALINAS</t>
  </si>
  <si>
    <t xml:space="preserve">MERCEARIA MEIRA</t>
  </si>
  <si>
    <t xml:space="preserve">J XIMENES PEREIRA LTDA</t>
  </si>
  <si>
    <t xml:space="preserve">ROYAL DISTRIBUIDORA</t>
  </si>
  <si>
    <t xml:space="preserve">J.MACEDO ALIMENTOS LTDA</t>
  </si>
  <si>
    <t xml:space="preserve">J.MACEDO ALIMENTOS S.A UDN ITAJAI</t>
  </si>
  <si>
    <t xml:space="preserve">OSNEI FERREIRA NUNES - EIRELI</t>
  </si>
  <si>
    <t xml:space="preserve">MONICA SERPA GONCALVES - MEI</t>
  </si>
  <si>
    <t xml:space="preserve">MONICA SERPA GONCALVES</t>
  </si>
  <si>
    <t xml:space="preserve">ISABEL BENITES</t>
  </si>
  <si>
    <t xml:space="preserve">PAULO MIGUEL DA SILVA</t>
  </si>
  <si>
    <t xml:space="preserve">CONVENIENCIA NOVA OPCAO</t>
  </si>
  <si>
    <t xml:space="preserve">ADAO ANTONIO POLONI</t>
  </si>
  <si>
    <t xml:space="preserve">MARIA APARECIDA AMARILHA</t>
  </si>
  <si>
    <t xml:space="preserve">CASA DE CARNE E CONVENIENCIA DA BARAO</t>
  </si>
  <si>
    <t xml:space="preserve">CACIO BALBUENA MEI</t>
  </si>
  <si>
    <t xml:space="preserve">SKOL CONVENIENCIA</t>
  </si>
  <si>
    <t xml:space="preserve">PERES E OLIVEIRA COMERCIO E REPRESENTACO</t>
  </si>
  <si>
    <t xml:space="preserve">FINO CORTE CARNES E CONVENIENCIA LTDA</t>
  </si>
  <si>
    <t xml:space="preserve">FINO CORTE</t>
  </si>
  <si>
    <t xml:space="preserve">SUPERMERCADOS MATOS LTDA</t>
  </si>
  <si>
    <t xml:space="preserve">T E S ALIMENTOS LTDA</t>
  </si>
  <si>
    <t xml:space="preserve">SUPERMERCADO PEREIRA</t>
  </si>
  <si>
    <t xml:space="preserve">PAULO CESAR DA SILVA</t>
  </si>
  <si>
    <t xml:space="preserve">PADARIA SANTO ANDRE</t>
  </si>
  <si>
    <t xml:space="preserve">GONZAGA AREQUIPA MEJIA</t>
  </si>
  <si>
    <t xml:space="preserve">GONZAGA MEJIA</t>
  </si>
  <si>
    <t xml:space="preserve">JOAO AYRES JACINTO DA SILVA 55821456134 </t>
  </si>
  <si>
    <t xml:space="preserve">LINDOMAR AP DIAS DA SILVA</t>
  </si>
  <si>
    <t xml:space="preserve">CASA DE RACAO TRES IRMAOS</t>
  </si>
  <si>
    <t xml:space="preserve">P O AMORIM</t>
  </si>
  <si>
    <t xml:space="preserve">VALTER ALVES FERREIRA RESTAURANTE</t>
  </si>
  <si>
    <t xml:space="preserve">PIONEIRO RESTAURANTE</t>
  </si>
  <si>
    <t xml:space="preserve">CELINA VILALBA MEI</t>
  </si>
  <si>
    <t xml:space="preserve">EDIMAR GIMENES GOMES</t>
  </si>
  <si>
    <t xml:space="preserve">SUPERMERCADO HIPOLITO</t>
  </si>
  <si>
    <t xml:space="preserve">EUCLIDES JOSE DELAVETTI ME</t>
  </si>
  <si>
    <t xml:space="preserve">REAL CHURRASCARIA</t>
  </si>
  <si>
    <t xml:space="preserve">J A LEMOS</t>
  </si>
  <si>
    <t xml:space="preserve">PORI FRUT</t>
  </si>
  <si>
    <t xml:space="preserve">LOPES E LINO LTDA  ME</t>
  </si>
  <si>
    <t xml:space="preserve">DROGARIA POUPE MAIS</t>
  </si>
  <si>
    <t xml:space="preserve">CRISTINA ALBRECHT NASCIMENTO</t>
  </si>
  <si>
    <t xml:space="preserve">ESSENCIA DROGARIA E MANIPULACAO</t>
  </si>
  <si>
    <t xml:space="preserve">BRANT E BRANT LTDA ME</t>
  </si>
  <si>
    <t xml:space="preserve">PAO DO REI</t>
  </si>
  <si>
    <t xml:space="preserve">CERVANTE E VIEIRA COM MEDICAMENTOS LTDA </t>
  </si>
  <si>
    <t xml:space="preserve">FARMACIA STA TEREZINHA</t>
  </si>
  <si>
    <t xml:space="preserve">MANOEL RIBEIRO</t>
  </si>
  <si>
    <t xml:space="preserve">MERCEARIA DO MANOLO</t>
  </si>
  <si>
    <t xml:space="preserve">GENESIO MARIO DA SILVA</t>
  </si>
  <si>
    <t xml:space="preserve">JOANA DE ALMEIDA RODRIGUES</t>
  </si>
  <si>
    <t xml:space="preserve">PADARIA AMETISTA</t>
  </si>
  <si>
    <t xml:space="preserve">DROGARIA ARAUJO E ARAUJO LTDA</t>
  </si>
  <si>
    <t xml:space="preserve">DROGARIA ARAUJO</t>
  </si>
  <si>
    <t xml:space="preserve">RAMAO CANTERO 17538556168</t>
  </si>
  <si>
    <t xml:space="preserve">PINHEIRO E SILVA LTDA</t>
  </si>
  <si>
    <t xml:space="preserve">ARMAZEM SILVA</t>
  </si>
  <si>
    <t xml:space="preserve">SOUZA E SILVA COMERCIO VAREJISTA LTDA</t>
  </si>
  <si>
    <t xml:space="preserve">CLAIR FALEIROS LOPES</t>
  </si>
  <si>
    <t xml:space="preserve">MF CONVENIENCIA</t>
  </si>
  <si>
    <t xml:space="preserve">E M S S SUPERMERCADO EIRELI</t>
  </si>
  <si>
    <t xml:space="preserve">CONVENIENCIA GAROTO</t>
  </si>
  <si>
    <t xml:space="preserve">ADRIANO NUNES GOUVEIA - 02432441184</t>
  </si>
  <si>
    <t xml:space="preserve">R A M PEGORARO LTDA</t>
  </si>
  <si>
    <t xml:space="preserve">LANCHONETE E RESTAURANTE PEGORARO</t>
  </si>
  <si>
    <t xml:space="preserve">T.C.B. FERREIRA</t>
  </si>
  <si>
    <t xml:space="preserve">MINI MERCADO REALEZA</t>
  </si>
  <si>
    <t xml:space="preserve">PAULA THAIS M AZAMBUJA</t>
  </si>
  <si>
    <t xml:space="preserve">CASA DE CARNES E COV MAXIMUS</t>
  </si>
  <si>
    <t xml:space="preserve">PEDRO GREGORIO DA SILVA ME</t>
  </si>
  <si>
    <t xml:space="preserve">MERCEARIA E HORTA SAO PEDRO</t>
  </si>
  <si>
    <t xml:space="preserve">MORAIS E ORTIZ LTDA</t>
  </si>
  <si>
    <t xml:space="preserve">DIRCEU PEREIRA DE OLIVEIRA E CIA LTDA</t>
  </si>
  <si>
    <t xml:space="preserve">DROGARIA ESTORIL</t>
  </si>
  <si>
    <t xml:space="preserve">GILBERTO DE ARRUDA</t>
  </si>
  <si>
    <t xml:space="preserve">MERCADO GILBERTO</t>
  </si>
  <si>
    <t xml:space="preserve">L F DE REZENDE COM DE ALIM E SERV EIRELI</t>
  </si>
  <si>
    <t xml:space="preserve">CARRARO E FALCAO</t>
  </si>
  <si>
    <t xml:space="preserve">MERCADO CARDOSO EIRELI</t>
  </si>
  <si>
    <t xml:space="preserve">B A MARQUES ME</t>
  </si>
  <si>
    <t xml:space="preserve">RODA VIVA ATACADO E VAREJO</t>
  </si>
  <si>
    <t xml:space="preserve">CORREIA PRODUTOS FARMACEUTICOS LTDA</t>
  </si>
  <si>
    <t xml:space="preserve">VALLEY PUB EIRELI</t>
  </si>
  <si>
    <t xml:space="preserve">VALLEY PUB</t>
  </si>
  <si>
    <t xml:space="preserve">RAMONA AREVALO SILVA</t>
  </si>
  <si>
    <t xml:space="preserve">SUPERMERCADO ECONOMIX</t>
  </si>
  <si>
    <t xml:space="preserve">Q B RIBEIRO MINIMERCADO ME</t>
  </si>
  <si>
    <t xml:space="preserve">MERCADO CIDADE NOVA</t>
  </si>
  <si>
    <t xml:space="preserve">M OLIVEIRA DA COSTA E CIA LTDA</t>
  </si>
  <si>
    <t xml:space="preserve">APARECIDA DE SOUZA MOREIRA ROLIM</t>
  </si>
  <si>
    <t xml:space="preserve">RICARDO APARECIDO MENDES DE OLIVEIRA</t>
  </si>
  <si>
    <t xml:space="preserve">LOCSPACE COMERCIO E SERVICO</t>
  </si>
  <si>
    <t xml:space="preserve">LUZIA MADELENA DA SILVA</t>
  </si>
  <si>
    <t xml:space="preserve">GILBERTO ABE DA SILVA</t>
  </si>
  <si>
    <t xml:space="preserve">GP CONVENIENCIA JULIO DE CASTILHO</t>
  </si>
  <si>
    <t xml:space="preserve">IZOLDA MARTINS COSSETIM MEI</t>
  </si>
  <si>
    <t xml:space="preserve">QUITUTES DA ZOZO</t>
  </si>
  <si>
    <t xml:space="preserve">DROGARIA SAO LEOPOLDO LTDA</t>
  </si>
  <si>
    <t xml:space="preserve">CASA DE CARNE BENITES E XAVIER LTDA</t>
  </si>
  <si>
    <t xml:space="preserve">LUIS HENRIQUE MOLINA SOARES</t>
  </si>
  <si>
    <t xml:space="preserve">MS MERCADO</t>
  </si>
  <si>
    <t xml:space="preserve">DANIELI ELOY IBANHES TODA MEI</t>
  </si>
  <si>
    <t xml:space="preserve">DANNY COSMETICO</t>
  </si>
  <si>
    <t xml:space="preserve">MARCIO DOS SANTOS</t>
  </si>
  <si>
    <t xml:space="preserve">TAMO JUNTO</t>
  </si>
  <si>
    <t xml:space="preserve">EDSON LUIZ ORTIZ MEI</t>
  </si>
  <si>
    <t xml:space="preserve">ROBERTO FERREIRA GARCIA</t>
  </si>
  <si>
    <t xml:space="preserve">ODILON COSTA DA CHAGAS</t>
  </si>
  <si>
    <t xml:space="preserve">GUILHERME CICERO DA SILVA MEI</t>
  </si>
  <si>
    <t xml:space="preserve">AMAURY GALDINO DE DEUS ME</t>
  </si>
  <si>
    <t xml:space="preserve">REY DAS PZZAS</t>
  </si>
  <si>
    <t xml:space="preserve">ALVES E BALBUENO COMERCIO DE ALM LTDA</t>
  </si>
  <si>
    <t xml:space="preserve">EDSON DOMINGOS DOS SANTOS MEI</t>
  </si>
  <si>
    <t xml:space="preserve">GONCALVES E BRITEZ LTDA ME</t>
  </si>
  <si>
    <t xml:space="preserve">MERCADO BRAZ</t>
  </si>
  <si>
    <t xml:space="preserve">ANDREA REIS DA CRUZ</t>
  </si>
  <si>
    <t xml:space="preserve">LOJA DE CONVENIENCIA RUI BARBOSA LTDA</t>
  </si>
  <si>
    <t xml:space="preserve">CONVENIENCIA RUI BARBOSA</t>
  </si>
  <si>
    <t xml:space="preserve">VALMIR ALVES RAMOS</t>
  </si>
  <si>
    <t xml:space="preserve">AURORA SAVALA FLEITAS</t>
  </si>
  <si>
    <t xml:space="preserve">MERCEARIA FLEITAS</t>
  </si>
  <si>
    <t xml:space="preserve">AUTO POSTO PX LTDA</t>
  </si>
  <si>
    <t xml:space="preserve">AUTO POSTO PX</t>
  </si>
  <si>
    <t xml:space="preserve">JOSE CARLOS SILVA COM BEBIDAS</t>
  </si>
  <si>
    <t xml:space="preserve">BAR E MERCEARIA SILVA</t>
  </si>
  <si>
    <t xml:space="preserve">ANTONIO RAHAL SOBRINHO</t>
  </si>
  <si>
    <t xml:space="preserve">MINI MERCADO RAHAL</t>
  </si>
  <si>
    <t xml:space="preserve">SUPERMERCADO PEG PAG BARATAO LTDA</t>
  </si>
  <si>
    <t xml:space="preserve">PAULO HENRIQUE PARO GIMENEZ</t>
  </si>
  <si>
    <t xml:space="preserve">COMERCIAL GIMENEZ</t>
  </si>
  <si>
    <t xml:space="preserve">PANIFICADORA KI PAO LTDA</t>
  </si>
  <si>
    <t xml:space="preserve">KI-PAO</t>
  </si>
  <si>
    <t xml:space="preserve">BEE E SILVA COSMETICOS LTDA</t>
  </si>
  <si>
    <t xml:space="preserve">KARINA COSMETICOS</t>
  </si>
  <si>
    <t xml:space="preserve">EDUARDO BRAZ DA SILVA</t>
  </si>
  <si>
    <t xml:space="preserve">MERCAD0 CENTRAL</t>
  </si>
  <si>
    <t xml:space="preserve">JUCELIA MANGELOT ME</t>
  </si>
  <si>
    <t xml:space="preserve">FARMACIA NOVO HORIZONTE</t>
  </si>
  <si>
    <t xml:space="preserve">POSTO SERVICO IDEAL LTDA</t>
  </si>
  <si>
    <t xml:space="preserve">POSTO DE SERVICO IDEAL LTDA</t>
  </si>
  <si>
    <t xml:space="preserve">MARIA COSTA NOGUEIRA</t>
  </si>
  <si>
    <t xml:space="preserve">POUSADA DO RIO VERDE</t>
  </si>
  <si>
    <t xml:space="preserve">ALVORADA MATERIAIS CONSTRUCAO LTDA</t>
  </si>
  <si>
    <t xml:space="preserve">F G DA COSTA</t>
  </si>
  <si>
    <t xml:space="preserve">A FRUTOLANDIA</t>
  </si>
  <si>
    <t xml:space="preserve">ISAO TOKURA</t>
  </si>
  <si>
    <t xml:space="preserve">MERCEARIA ESTRELA DO SUL</t>
  </si>
  <si>
    <t xml:space="preserve">J VICTOR ROSA</t>
  </si>
  <si>
    <t xml:space="preserve">MERCEARIA SANTO ANTONIO LTDA</t>
  </si>
  <si>
    <t xml:space="preserve">MINI MERCADO B HORIZONTE</t>
  </si>
  <si>
    <t xml:space="preserve">GERALDO CLEMENTE ANDRADE</t>
  </si>
  <si>
    <t xml:space="preserve">CASA DE CARNE NEIGER</t>
  </si>
  <si>
    <t xml:space="preserve">CICERO FRANCISCO LIMA</t>
  </si>
  <si>
    <t xml:space="preserve">VILMAR BITENCOURT</t>
  </si>
  <si>
    <t xml:space="preserve">DOCE E CIA</t>
  </si>
  <si>
    <t xml:space="preserve">JOSEFA VILMA LIMA ALMEIDA</t>
  </si>
  <si>
    <t xml:space="preserve">R B DIAS E CIA LTDA</t>
  </si>
  <si>
    <t xml:space="preserve">POSTO BARBOSAO</t>
  </si>
  <si>
    <t xml:space="preserve">SUPERMERCADOS ZAVA LTDA</t>
  </si>
  <si>
    <t xml:space="preserve">SUPERMERCADO ZAVA</t>
  </si>
  <si>
    <t xml:space="preserve">MARGARETH CRISTINA SILVA</t>
  </si>
  <si>
    <t xml:space="preserve">MARGARETH PRESENTE</t>
  </si>
  <si>
    <t xml:space="preserve">CLENIR CRISTALDO FERREIRA EIRELLI</t>
  </si>
  <si>
    <t xml:space="preserve">BIG MERCEARIA 2</t>
  </si>
  <si>
    <t xml:space="preserve">SANTI E SANTI LTDA</t>
  </si>
  <si>
    <t xml:space="preserve">SM SIDROLANDIA</t>
  </si>
  <si>
    <t xml:space="preserve">COMERCIO DE BEBIDAS GRAN DOURADOS LTDA  </t>
  </si>
  <si>
    <t xml:space="preserve">SKOL</t>
  </si>
  <si>
    <t xml:space="preserve">MERCEARIA E PANIF AVENIDA LTDA ME</t>
  </si>
  <si>
    <t xml:space="preserve">DISTRIBUIDORA CALIN</t>
  </si>
  <si>
    <t xml:space="preserve">LUZMILA CABERO PEREZ</t>
  </si>
  <si>
    <t xml:space="preserve">FARMACIA INTERNACIONAL</t>
  </si>
  <si>
    <t xml:space="preserve">MANTOVANI E CIA LTDA</t>
  </si>
  <si>
    <t xml:space="preserve">HOTEL SOLEDADE</t>
  </si>
  <si>
    <t xml:space="preserve">ARMAZEN NOGUEIRA LTDA ME</t>
  </si>
  <si>
    <t xml:space="preserve">ALFREDO GOULART</t>
  </si>
  <si>
    <t xml:space="preserve">JOAO MINORU ARAKAKI</t>
  </si>
  <si>
    <t xml:space="preserve">BAR E MERCEARIA MINORU</t>
  </si>
  <si>
    <t xml:space="preserve">AIDA CAROLINA MARTINS</t>
  </si>
  <si>
    <t xml:space="preserve">MERCEARIA CAROL</t>
  </si>
  <si>
    <t xml:space="preserve">JOSE SILVA CURTO</t>
  </si>
  <si>
    <t xml:space="preserve">BAR PORTUGAL</t>
  </si>
  <si>
    <t xml:space="preserve">LIMPEC COMERCIO DISTRIBUIDORA LTDA</t>
  </si>
  <si>
    <t xml:space="preserve">J SILVA LEITE</t>
  </si>
  <si>
    <t xml:space="preserve">MERCEARIA SILVA LEITE</t>
  </si>
  <si>
    <t xml:space="preserve">ANDRADE E BORGES SUPERMERCADO LTDA</t>
  </si>
  <si>
    <t xml:space="preserve">SUPERMERCADO PORTOBELLO</t>
  </si>
  <si>
    <t xml:space="preserve">SAO BENTO COM DE MED E PERF LTDA</t>
  </si>
  <si>
    <t xml:space="preserve">REDE SAO BENTO</t>
  </si>
  <si>
    <t xml:space="preserve">FARMACIA SAO BENTO</t>
  </si>
  <si>
    <t xml:space="preserve">SAO BENTO FL 02</t>
  </si>
  <si>
    <t xml:space="preserve">SAO BENTO FL 03</t>
  </si>
  <si>
    <t xml:space="preserve">SAO BENTO FL 05</t>
  </si>
  <si>
    <t xml:space="preserve">SAO BENTO FL 09</t>
  </si>
  <si>
    <t xml:space="preserve">SAO BENTO FL 11</t>
  </si>
  <si>
    <t xml:space="preserve">SAO BENTO FL 12</t>
  </si>
  <si>
    <t xml:space="preserve">SAO BENTO FL 13</t>
  </si>
  <si>
    <t xml:space="preserve">SAO BENTO FL 15</t>
  </si>
  <si>
    <t xml:space="preserve">SAO BENTO FL 16</t>
  </si>
  <si>
    <t xml:space="preserve">SAO BENTO COM DE MEDIC E PERFUMARIA LTDA</t>
  </si>
  <si>
    <t xml:space="preserve">SAO BENTO FL 18</t>
  </si>
  <si>
    <t xml:space="preserve">SAO BENTO FL 19</t>
  </si>
  <si>
    <t xml:space="preserve">SAO BENTO FL 20</t>
  </si>
  <si>
    <t xml:space="preserve">SAO BENTO FL 25</t>
  </si>
  <si>
    <t xml:space="preserve">SAO BENTO FL 27</t>
  </si>
  <si>
    <t xml:space="preserve">SAO BENTO FL 28</t>
  </si>
  <si>
    <t xml:space="preserve">SAO BENTO FL 29</t>
  </si>
  <si>
    <t xml:space="preserve">SAO BENTO FL 30</t>
  </si>
  <si>
    <t xml:space="preserve">SAO BENTO FL 38</t>
  </si>
  <si>
    <t xml:space="preserve">SAO BENTO FL 44</t>
  </si>
  <si>
    <t xml:space="preserve">SAO BENTO COMERCIO DE MEDICAMENTOS E PER</t>
  </si>
  <si>
    <t xml:space="preserve">DROGARIA SAO BENTO</t>
  </si>
  <si>
    <t xml:space="preserve">SAO BENTO FL 52</t>
  </si>
  <si>
    <t xml:space="preserve">SAO BENTO FL 53</t>
  </si>
  <si>
    <t xml:space="preserve">SAO BENTO FL 55</t>
  </si>
  <si>
    <t xml:space="preserve">SAO BENTO FL 59</t>
  </si>
  <si>
    <t xml:space="preserve">SAO BENTO COM DE MED E PERFUMARIA LTDA  </t>
  </si>
  <si>
    <t xml:space="preserve">SAO BENTO FL 71</t>
  </si>
  <si>
    <t xml:space="preserve">SAO BENTO FL 40</t>
  </si>
  <si>
    <t xml:space="preserve">SAO BENTO FL26</t>
  </si>
  <si>
    <t xml:space="preserve">SAO BENTO COM DE MEDIC PERFUMARIA LTDA  </t>
  </si>
  <si>
    <t xml:space="preserve">SAO BENTO FL 63</t>
  </si>
  <si>
    <t xml:space="preserve">SAO BENTO FL 49</t>
  </si>
  <si>
    <t xml:space="preserve">SAO BENTO FL 50</t>
  </si>
  <si>
    <t xml:space="preserve">SAO BENTO FL 67</t>
  </si>
  <si>
    <t xml:space="preserve">SAO BENTO FL 73</t>
  </si>
  <si>
    <t xml:space="preserve">SAO BENTO FL 74</t>
  </si>
  <si>
    <t xml:space="preserve">SAO BENTO COM DE MED E PERFUMARIA</t>
  </si>
  <si>
    <t xml:space="preserve">SAO BENTO FL 75</t>
  </si>
  <si>
    <t xml:space="preserve">SAO BENTO FL 76</t>
  </si>
  <si>
    <t xml:space="preserve">SAO BENTO FL77</t>
  </si>
  <si>
    <t xml:space="preserve">SAO BENTO FL 79</t>
  </si>
  <si>
    <t xml:space="preserve">SAO BENTO FL 80</t>
  </si>
  <si>
    <t xml:space="preserve">SAO BENTO FL 82</t>
  </si>
  <si>
    <t xml:space="preserve">SAO BENTO COM DE MEDICAMENTOS E PERFUM  </t>
  </si>
  <si>
    <t xml:space="preserve">SAO BENTO FL 85</t>
  </si>
  <si>
    <t xml:space="preserve">SAO BENTO FL 86</t>
  </si>
  <si>
    <t xml:space="preserve">SAO BENTO COM MEDICAMENTOS E PERFUMARIA </t>
  </si>
  <si>
    <t xml:space="preserve">SAO BENTO COM DE PERFUMARIA LTDA</t>
  </si>
  <si>
    <t xml:space="preserve">SAO BENTO FL 89</t>
  </si>
  <si>
    <t xml:space="preserve">SAO BENTO COM MED E PERFUMARIA LTDA</t>
  </si>
  <si>
    <t xml:space="preserve">SAO BENTO FL 90</t>
  </si>
  <si>
    <t xml:space="preserve">SAO BENTO FL 93</t>
  </si>
  <si>
    <t xml:space="preserve">SAO BENTO COM DE MED PERFUMARIA LTDA</t>
  </si>
  <si>
    <t xml:space="preserve">SAI BENTO</t>
  </si>
  <si>
    <t xml:space="preserve">SAO BENTO FL 96</t>
  </si>
  <si>
    <t xml:space="preserve">SAO BENTO FL 97</t>
  </si>
  <si>
    <t xml:space="preserve">AMILTON CARINHANHA ROCHA</t>
  </si>
  <si>
    <t xml:space="preserve">MERCADINHO J. ROCHA</t>
  </si>
  <si>
    <t xml:space="preserve">DELFO JAIR SILVA</t>
  </si>
  <si>
    <t xml:space="preserve">ROMA BAR</t>
  </si>
  <si>
    <t xml:space="preserve">JAMILTON SARAIVA SAMPAIO</t>
  </si>
  <si>
    <t xml:space="preserve">GIBINHA CONVENIENCIA</t>
  </si>
  <si>
    <t xml:space="preserve">COOPERTAXI COOP COND AUT VEI ROD T CGMS </t>
  </si>
  <si>
    <t xml:space="preserve">COOPERTAXI</t>
  </si>
  <si>
    <t xml:space="preserve">MERCADO DANY LTDA ME</t>
  </si>
  <si>
    <t xml:space="preserve">MERCADO DANY</t>
  </si>
  <si>
    <t xml:space="preserve">MERCADO FLORES LTDA</t>
  </si>
  <si>
    <t xml:space="preserve">MANFROI E CIA LTDA</t>
  </si>
  <si>
    <t xml:space="preserve">MERCADO MANFROI</t>
  </si>
  <si>
    <t xml:space="preserve">MOTEL CHEGA MAIS LTDA</t>
  </si>
  <si>
    <t xml:space="preserve">URIAS JUVENAL HORACIO</t>
  </si>
  <si>
    <t xml:space="preserve">MERCEARIA PERNANBUCANA</t>
  </si>
  <si>
    <t xml:space="preserve">MESQUITA E CIA LTDA</t>
  </si>
  <si>
    <t xml:space="preserve">VALTER MARQUES</t>
  </si>
  <si>
    <t xml:space="preserve">PEREIRA DA ROSA E CIA LTDA</t>
  </si>
  <si>
    <t xml:space="preserve">SM SANTA CATARINA</t>
  </si>
  <si>
    <t xml:space="preserve">VIEIRA E ARRUDA LTDA</t>
  </si>
  <si>
    <t xml:space="preserve">COMERCIAL ESTACAO BOLICHO</t>
  </si>
  <si>
    <t xml:space="preserve">DROGARIA CENTRALFARMA LTDA</t>
  </si>
  <si>
    <t xml:space="preserve">DROGARIA CENTRALFARMA</t>
  </si>
  <si>
    <t xml:space="preserve">CONFEITARIA ARABE LTDA</t>
  </si>
  <si>
    <t xml:space="preserve">CONFEITARIA ARABE</t>
  </si>
  <si>
    <t xml:space="preserve">COMERCIAL ARALVESTE LTDA</t>
  </si>
  <si>
    <t xml:space="preserve">DIONE ANDRADE DE SA</t>
  </si>
  <si>
    <t xml:space="preserve">SEBASTIAO CLAUDIO SILVA</t>
  </si>
  <si>
    <t xml:space="preserve">TAKAE MARUYAMA</t>
  </si>
  <si>
    <t xml:space="preserve">MERCEARIA MARUYAMA</t>
  </si>
  <si>
    <t xml:space="preserve">COOP.PROD.CANA ACUCAR NAV.LTDA</t>
  </si>
  <si>
    <t xml:space="preserve">COOPERCOUTRY</t>
  </si>
  <si>
    <t xml:space="preserve">JUVIANO MEDEIROS E FILHO LTDA</t>
  </si>
  <si>
    <t xml:space="preserve">CASA NOVA</t>
  </si>
  <si>
    <t xml:space="preserve">COMERCIAL ALIMENTOS 2 ESTADOS LTDA</t>
  </si>
  <si>
    <t xml:space="preserve">COMERCIAL SILVA</t>
  </si>
  <si>
    <t xml:space="preserve">BORDIGNON E FERREIRA LTDA</t>
  </si>
  <si>
    <t xml:space="preserve">COLEGIO ALEXANDRE FLEMING</t>
  </si>
  <si>
    <t xml:space="preserve">ELOY REGIS NETO</t>
  </si>
  <si>
    <t xml:space="preserve">MERCADO CAPAO SECO</t>
  </si>
  <si>
    <t xml:space="preserve">FLORISBELA FERREIRA SANTOS</t>
  </si>
  <si>
    <t xml:space="preserve">WELANELLE COSMETICOS</t>
  </si>
  <si>
    <t xml:space="preserve">NEUZA BALBUENA NUNES</t>
  </si>
  <si>
    <t xml:space="preserve">POUSADA ISCA VIVAS</t>
  </si>
  <si>
    <t xml:space="preserve">RIBEIRO E INSAURALDE LTDA</t>
  </si>
  <si>
    <t xml:space="preserve">MURAKA MERCADO</t>
  </si>
  <si>
    <t xml:space="preserve">AUTO POSTO PARAISO LTDA</t>
  </si>
  <si>
    <t xml:space="preserve">LACH E REST AUTO PARAISO</t>
  </si>
  <si>
    <t xml:space="preserve">JOELCIO ANTONIO DA SILVA ME</t>
  </si>
  <si>
    <t xml:space="preserve">PANIFICADORA CONFEITARIA BAIRRO ALTO</t>
  </si>
  <si>
    <t xml:space="preserve">COML DE REFRIGERACAO PANAN OESTE LTDA</t>
  </si>
  <si>
    <t xml:space="preserve">PANAN</t>
  </si>
  <si>
    <t xml:space="preserve">ROCHA E BEZERRA LTDA</t>
  </si>
  <si>
    <t xml:space="preserve">PANIFICADORA MONICA</t>
  </si>
  <si>
    <t xml:space="preserve">VILSON FERNANDES GUIMARAES</t>
  </si>
  <si>
    <t xml:space="preserve">CASA OLIVEIRA</t>
  </si>
  <si>
    <t xml:space="preserve">HOSPITAL E MATERNIDADE SANTA ROSA LTDA  </t>
  </si>
  <si>
    <t xml:space="preserve">HOSP.E MATERNIDADE SANTA ROSA</t>
  </si>
  <si>
    <t xml:space="preserve">AGRO BOI FORTE PROD AGROP E VET LTDA EPP</t>
  </si>
  <si>
    <t xml:space="preserve">AGRO BOI FORTE</t>
  </si>
  <si>
    <t xml:space="preserve">FRANCISCO EVALDO MACEDO</t>
  </si>
  <si>
    <t xml:space="preserve">CASA CARNE MERC SAO FRANCISCO</t>
  </si>
  <si>
    <t xml:space="preserve">COMERCIAL DE ALIMENTOS PJ LTDA</t>
  </si>
  <si>
    <t xml:space="preserve">SERGIO CAVALHEIRI</t>
  </si>
  <si>
    <t xml:space="preserve">LANCHONETE 007</t>
  </si>
  <si>
    <t xml:space="preserve">OLIVEIRA SILVA E CIA LTDA</t>
  </si>
  <si>
    <t xml:space="preserve">DROGALUCIA</t>
  </si>
  <si>
    <t xml:space="preserve">BENEDITO NOGUEIRA SANTANA</t>
  </si>
  <si>
    <t xml:space="preserve">AUTO POSTO BERLITZ LTDA</t>
  </si>
  <si>
    <t xml:space="preserve">AUTO POSTO BERLITZ</t>
  </si>
  <si>
    <t xml:space="preserve">SERTAO COMERCIAL DE EQUIPAMENTOS LTDA</t>
  </si>
  <si>
    <t xml:space="preserve">MATRIZ</t>
  </si>
  <si>
    <t xml:space="preserve">FILIAL CORONEL ANTONINO</t>
  </si>
  <si>
    <t xml:space="preserve">FILIAL JULIO DE CASTILHO</t>
  </si>
  <si>
    <t xml:space="preserve">FILIAL DOURADOS</t>
  </si>
  <si>
    <t xml:space="preserve">FILIAL RIBAS DO RIO PARDO</t>
  </si>
  <si>
    <t xml:space="preserve">SERTAO COMERCIAL DE EQUIPAMENTO LTDA</t>
  </si>
  <si>
    <t xml:space="preserve">FILIAL CD</t>
  </si>
  <si>
    <t xml:space="preserve">FILIAL NOVA ANDRADINA</t>
  </si>
  <si>
    <t xml:space="preserve">FILIAL PARANAIBA</t>
  </si>
  <si>
    <t xml:space="preserve">SERTAO COML EQUIPAMENTOS LTDA</t>
  </si>
  <si>
    <t xml:space="preserve">FILIAL AQUIDAUANA</t>
  </si>
  <si>
    <t xml:space="preserve">FILIAL YPE</t>
  </si>
  <si>
    <t xml:space="preserve">FILIAL SUPER PRO</t>
  </si>
  <si>
    <t xml:space="preserve">SERTAO</t>
  </si>
  <si>
    <t xml:space="preserve">BAR E RESTAURANTE AGUA RICA LTDA</t>
  </si>
  <si>
    <t xml:space="preserve">BAR E RESTAURANTE AGUA RICA</t>
  </si>
  <si>
    <t xml:space="preserve">JOAO ARAUJO FEITOSA</t>
  </si>
  <si>
    <t xml:space="preserve">MERCADO ALIVANE</t>
  </si>
  <si>
    <t xml:space="preserve">AUTO MECANICA CASCAVEL LTDA</t>
  </si>
  <si>
    <t xml:space="preserve">ASSOC DOS SERV DA ASSEMBLEIA LEGISLATIVA</t>
  </si>
  <si>
    <t xml:space="preserve">REST ASSOMASUL</t>
  </si>
  <si>
    <t xml:space="preserve">FUNDACAO UNIV FED DE MATOGROSSO DO SUL  </t>
  </si>
  <si>
    <t xml:space="preserve">FUNDACAO UNIV FED DE MATOGROSSO DO SUL</t>
  </si>
  <si>
    <t xml:space="preserve">JOSE FELIX</t>
  </si>
  <si>
    <t xml:space="preserve">MERCEARIA MINE PRECO FELIX</t>
  </si>
  <si>
    <t xml:space="preserve">TECNOLOGIA DE CONSTRUCAO LTDA</t>
  </si>
  <si>
    <t xml:space="preserve">PROJECT</t>
  </si>
  <si>
    <t xml:space="preserve">YOLANDA PEREIRA ALVES</t>
  </si>
  <si>
    <t xml:space="preserve">GRANDE HOTEL CAMAPUA</t>
  </si>
  <si>
    <t xml:space="preserve">SUPERMERCADOS ALVORADA DO SUL LTDA</t>
  </si>
  <si>
    <t xml:space="preserve">SM ALVORADA DO SUL</t>
  </si>
  <si>
    <t xml:space="preserve">DROGARIA ADAO LTDA</t>
  </si>
  <si>
    <t xml:space="preserve">FARMACIA DO ADAO</t>
  </si>
  <si>
    <t xml:space="preserve">MASSAYUKI MATSUDA</t>
  </si>
  <si>
    <t xml:space="preserve">COMERCIAL MATSUDA</t>
  </si>
  <si>
    <t xml:space="preserve">FERNANDES E CRUZ LTDA</t>
  </si>
  <si>
    <t xml:space="preserve">CENTER FRIOS</t>
  </si>
  <si>
    <t xml:space="preserve">VALDOMIRA FIRMINO DA SILVA</t>
  </si>
  <si>
    <t xml:space="preserve">G B FERNANDES E CIA LTDA</t>
  </si>
  <si>
    <t xml:space="preserve">LANCHONETE TOPOGIGIO</t>
  </si>
  <si>
    <t xml:space="preserve">IARA GOMES DOS SANTOS-MEI</t>
  </si>
  <si>
    <t xml:space="preserve">SACOLAO ARAUJO 2</t>
  </si>
  <si>
    <t xml:space="preserve">JOAO MARTINS ALMEIDA</t>
  </si>
  <si>
    <t xml:space="preserve">CASA MARTINS</t>
  </si>
  <si>
    <t xml:space="preserve">NAYARA CACHEFFO WOETH MEDINA</t>
  </si>
  <si>
    <t xml:space="preserve">GOLD MERCADO E ACOUGUE</t>
  </si>
  <si>
    <t xml:space="preserve">JOSE CARLOS RODRIGUES SANCHEZ</t>
  </si>
  <si>
    <t xml:space="preserve">COMERCIAL ALVORADA</t>
  </si>
  <si>
    <t xml:space="preserve">MOISES DOMINGUES DIAS</t>
  </si>
  <si>
    <t xml:space="preserve">MERCADO SANTA IZABEL</t>
  </si>
  <si>
    <t xml:space="preserve">CLOVIS GOMES SANTANA</t>
  </si>
  <si>
    <t xml:space="preserve">VAREJAO JERUSALEM</t>
  </si>
  <si>
    <t xml:space="preserve">PAX NACIONAL SERVICOS POSTUMOS LTDA</t>
  </si>
  <si>
    <t xml:space="preserve">PAX NACIONAL</t>
  </si>
  <si>
    <t xml:space="preserve">LOURDES TEREZINHA ZART</t>
  </si>
  <si>
    <t xml:space="preserve">BAR E MERCEARIA SAO JOSE</t>
  </si>
  <si>
    <t xml:space="preserve">AUTO POSTO NAVI JATO LTDA</t>
  </si>
  <si>
    <t xml:space="preserve">POSTO NAVI JATO</t>
  </si>
  <si>
    <t xml:space="preserve">PANIFICADORA ANA TEREZA LTDA</t>
  </si>
  <si>
    <t xml:space="preserve">IGREJA EVAN. NEOTESTAMENTARIA</t>
  </si>
  <si>
    <t xml:space="preserve">ASSOCIACAO SUL MATO GROSSENSE DE SUPER  </t>
  </si>
  <si>
    <t xml:space="preserve">AMAS</t>
  </si>
  <si>
    <t xml:space="preserve">CHURRASCARIA VIVIANE LTDA</t>
  </si>
  <si>
    <t xml:space="preserve">CHURRASCARIA VIVIANE</t>
  </si>
  <si>
    <t xml:space="preserve">PAULA RICCIO BARBOSA EIRELI</t>
  </si>
  <si>
    <t xml:space="preserve">CHURRASCARIA E RESTAURANTE GUAPORE LTDA </t>
  </si>
  <si>
    <t xml:space="preserve">CHURRASCARIA E REST. GUAPARE</t>
  </si>
  <si>
    <t xml:space="preserve">NELSON HIROMITSU INOUE</t>
  </si>
  <si>
    <t xml:space="preserve">MERCADINHO SAO JOAO LTDA</t>
  </si>
  <si>
    <t xml:space="preserve">MERCADINHO SAO JOAO</t>
  </si>
  <si>
    <t xml:space="preserve">COMLUB COMBUSTIVEIS E LUBRIFICANTES LTDA</t>
  </si>
  <si>
    <t xml:space="preserve">POSTO PIONEIRO</t>
  </si>
  <si>
    <t xml:space="preserve">ALINI GOMES SORRILHA - MEI</t>
  </si>
  <si>
    <t xml:space="preserve">CRISTIANE GISELLE DE OLIVEIRA</t>
  </si>
  <si>
    <t xml:space="preserve">SUPERMERCADO SURIEL</t>
  </si>
  <si>
    <t xml:space="preserve">KAROLINE BENITES OJEDA</t>
  </si>
  <si>
    <t xml:space="preserve">COMERCIAL OJEDA - EPP</t>
  </si>
  <si>
    <t xml:space="preserve">CENTRO MEDICO PONTA PORA LTDA</t>
  </si>
  <si>
    <t xml:space="preserve">CENTRO MEDICO</t>
  </si>
  <si>
    <t xml:space="preserve">HIPERMERCADO BOM GOSTO LTDA</t>
  </si>
  <si>
    <t xml:space="preserve">SUPERMERCADO BOM GOSTO LTDA</t>
  </si>
  <si>
    <t xml:space="preserve">ARMAZEM FORTES</t>
  </si>
  <si>
    <t xml:space="preserve">EDUINO DE ALMEIDA</t>
  </si>
  <si>
    <t xml:space="preserve">EDU CONVENIENCIA</t>
  </si>
  <si>
    <t xml:space="preserve">PRIMAVERA PALACE HOTEL LTDA</t>
  </si>
  <si>
    <t xml:space="preserve">PALACE HOTEL</t>
  </si>
  <si>
    <t xml:space="preserve">BAR PADARIA PRIMAVERA LTDA</t>
  </si>
  <si>
    <t xml:space="preserve">PADARIA PRIMAVERA</t>
  </si>
  <si>
    <t xml:space="preserve">MERCEARIA MONTE CASTELO LTDA</t>
  </si>
  <si>
    <t xml:space="preserve">MERCEARIA N.SENHORA APARECIDA</t>
  </si>
  <si>
    <t xml:space="preserve">JOAO MARTINS TAVEIRA</t>
  </si>
  <si>
    <t xml:space="preserve">ZILIOTTO COMERCIO REPRESENTACOES LTDA</t>
  </si>
  <si>
    <t xml:space="preserve">ZORNIMAT</t>
  </si>
  <si>
    <t xml:space="preserve">A F FERREIRA LIMA</t>
  </si>
  <si>
    <t xml:space="preserve">BOX DO GORDINHO</t>
  </si>
  <si>
    <t xml:space="preserve">POSTO DOURADOS LTDA</t>
  </si>
  <si>
    <t xml:space="preserve">POSTO DOURADOS</t>
  </si>
  <si>
    <t xml:space="preserve">ERMELINDO JOSE LUPATINI</t>
  </si>
  <si>
    <t xml:space="preserve">PADARIA SHALOON</t>
  </si>
  <si>
    <t xml:space="preserve">CAMPO VERDE CONVENIENCIENCIA LTDA</t>
  </si>
  <si>
    <t xml:space="preserve">YASSUDA E CIA LTDA</t>
  </si>
  <si>
    <t xml:space="preserve">ELETRONICA 13 DE MAIO</t>
  </si>
  <si>
    <t xml:space="preserve">MIRACI GOMES RIBEIRO</t>
  </si>
  <si>
    <t xml:space="preserve">PANIFICADORA KI PAO</t>
  </si>
  <si>
    <t xml:space="preserve">ZENILTON VIEIRA BRITO</t>
  </si>
  <si>
    <t xml:space="preserve">CONQUISTA DIST.PROD.ALIMENTICI</t>
  </si>
  <si>
    <t xml:space="preserve">FRANCISCA SOUZA SANCHES</t>
  </si>
  <si>
    <t xml:space="preserve">REDE JULIFRAN </t>
  </si>
  <si>
    <t xml:space="preserve">MERCADO JULIFRAM</t>
  </si>
  <si>
    <t xml:space="preserve">FUNDACAO COWTONS DE EDUCACAO E CULTURA  </t>
  </si>
  <si>
    <t xml:space="preserve">IESF</t>
  </si>
  <si>
    <t xml:space="preserve">ASSOCIACAO DE MORADORES AMVIPI</t>
  </si>
  <si>
    <t xml:space="preserve">AMVIPI</t>
  </si>
  <si>
    <t xml:space="preserve">A MACHADO GENEROS ALIMENTICIOS</t>
  </si>
  <si>
    <t xml:space="preserve">CASA INTERIOR</t>
  </si>
  <si>
    <t xml:space="preserve">CELZO PEREIRA PITZSCHK</t>
  </si>
  <si>
    <t xml:space="preserve">ASTEZIO PEREIRA</t>
  </si>
  <si>
    <t xml:space="preserve">EMPORIO SANTA CATARINA</t>
  </si>
  <si>
    <t xml:space="preserve">CLAUDIA CRISTINA FERREIRA SILVA</t>
  </si>
  <si>
    <t xml:space="preserve">DAVOLI E AGUERO LTDA</t>
  </si>
  <si>
    <t xml:space="preserve">POSTO PESCADOR</t>
  </si>
  <si>
    <t xml:space="preserve">PEDRO F NETO</t>
  </si>
  <si>
    <t xml:space="preserve">SUPERMERCADO MANINHO LTDA</t>
  </si>
  <si>
    <t xml:space="preserve">SM MANINHO</t>
  </si>
  <si>
    <t xml:space="preserve">BIGOLIN MATERIAIS DE CONSTRUCAO LTDA</t>
  </si>
  <si>
    <t xml:space="preserve">BIGOLIN</t>
  </si>
  <si>
    <t xml:space="preserve">FRANCISCA MEDINA</t>
  </si>
  <si>
    <t xml:space="preserve">COMERCIAL SAO FRANCISCO</t>
  </si>
  <si>
    <t xml:space="preserve">COOP AGROINDUSTRIAL VALE IVINHEMA</t>
  </si>
  <si>
    <t xml:space="preserve">COOPAVIL</t>
  </si>
  <si>
    <t xml:space="preserve">COOPAVIL COOP AGROIND DO VALE IVINHEMA  </t>
  </si>
  <si>
    <t xml:space="preserve">SKPORA COM DISTR E SERVICOS LTDA</t>
  </si>
  <si>
    <t xml:space="preserve">SKPORA</t>
  </si>
  <si>
    <t xml:space="preserve">BAPTISTA E ASSAD LTDA</t>
  </si>
  <si>
    <t xml:space="preserve">PANIF JACY</t>
  </si>
  <si>
    <t xml:space="preserve">ANIVALDO VILELA SOUZA</t>
  </si>
  <si>
    <t xml:space="preserve">PANIFICADORA APARECIDA</t>
  </si>
  <si>
    <t xml:space="preserve">BORELLA E BORELLA LTDA</t>
  </si>
  <si>
    <t xml:space="preserve">PANIFICAODRA E CONF. DOURAPAO</t>
  </si>
  <si>
    <t xml:space="preserve">CICERO MENDES</t>
  </si>
  <si>
    <t xml:space="preserve">MARTIM COZER</t>
  </si>
  <si>
    <t xml:space="preserve">RAUL BRITES</t>
  </si>
  <si>
    <t xml:space="preserve">PANIFICADORA PAO E LEITE</t>
  </si>
  <si>
    <t xml:space="preserve">LEONTINO FERNANDES DA SILVA 00637784162 </t>
  </si>
  <si>
    <t xml:space="preserve">GARDEN E LAR</t>
  </si>
  <si>
    <t xml:space="preserve">AUGUSTO BARNI</t>
  </si>
  <si>
    <t xml:space="preserve">LANCHONETE E PADARIA CAPITAL</t>
  </si>
  <si>
    <t xml:space="preserve">MOREIRA COTRIM E CIA LTDA</t>
  </si>
  <si>
    <t xml:space="preserve">AUTO POSTO SAO PAULO</t>
  </si>
  <si>
    <t xml:space="preserve">MARIO TOSHIAKI MOROTO</t>
  </si>
  <si>
    <t xml:space="preserve">BAR E MERCEARIA MOROTO</t>
  </si>
  <si>
    <t xml:space="preserve">PASSOS E PASSOS LTDA</t>
  </si>
  <si>
    <t xml:space="preserve">PANF PROGRESSO</t>
  </si>
  <si>
    <t xml:space="preserve">DROGARIA CARANDA LTDA</t>
  </si>
  <si>
    <t xml:space="preserve">MERCADO MISTER ANCHIETA LTDA</t>
  </si>
  <si>
    <t xml:space="preserve">SM MISTER ANCHIETA</t>
  </si>
  <si>
    <t xml:space="preserve">LEVENSON RENNER DE OLIVEIRA BARBOSA</t>
  </si>
  <si>
    <t xml:space="preserve">PEDRO JORGE ROESE</t>
  </si>
  <si>
    <t xml:space="preserve">PEDAGGIO</t>
  </si>
  <si>
    <t xml:space="preserve">ANIMAL PET SHOP EIRELI ME</t>
  </si>
  <si>
    <t xml:space="preserve">ANIMAL PET SHOP</t>
  </si>
  <si>
    <t xml:space="preserve">AUTO POSTO GUARUJA LTDA</t>
  </si>
  <si>
    <t xml:space="preserve">SOUZA BRUM LTDA</t>
  </si>
  <si>
    <t xml:space="preserve">COMBUSTIVEIS LILLIAN E LOJA CONVEN LTDA </t>
  </si>
  <si>
    <t xml:space="preserve">POSTO LILIAN</t>
  </si>
  <si>
    <t xml:space="preserve">JOSUE DE OLIVEIRA SERRA</t>
  </si>
  <si>
    <t xml:space="preserve">POSTO DAS VILAS LTDA</t>
  </si>
  <si>
    <t xml:space="preserve">POSTO DAS VILAS</t>
  </si>
  <si>
    <t xml:space="preserve">ELETRICA ZAN LTDA</t>
  </si>
  <si>
    <t xml:space="preserve">ELETRICA ZAN</t>
  </si>
  <si>
    <t xml:space="preserve">ELDORADO COMERCIO DE MADEIRAS LTDA</t>
  </si>
  <si>
    <t xml:space="preserve">MERCEARIA ROCHA LTDA</t>
  </si>
  <si>
    <t xml:space="preserve">UTILIDADES E PRESENTES DA 13 LTDA</t>
  </si>
  <si>
    <t xml:space="preserve">MEGA</t>
  </si>
  <si>
    <t xml:space="preserve">FABIO FRANCO EIRELI</t>
  </si>
  <si>
    <t xml:space="preserve">CASA DE CARNE BOI DE OURO</t>
  </si>
  <si>
    <t xml:space="preserve">PANIFICADORA CAMPO GRANDE LTDA</t>
  </si>
  <si>
    <t xml:space="preserve">MERCEARIA FLOR DE TRIGO LTDA</t>
  </si>
  <si>
    <t xml:space="preserve">MERC.FLOR DE TRIGO</t>
  </si>
  <si>
    <t xml:space="preserve">MOACYR BIAVA</t>
  </si>
  <si>
    <t xml:space="preserve">PADARIA RAINHA</t>
  </si>
  <si>
    <t xml:space="preserve">SAMARA COMERCIO PROD ALIMENTICIOS LTDA  </t>
  </si>
  <si>
    <t xml:space="preserve">SAMARA COM DE PROD ALIMENTOS</t>
  </si>
  <si>
    <t xml:space="preserve">AZEVEDO E DOMINGOS LTDA ME</t>
  </si>
  <si>
    <t xml:space="preserve">F RUBENS DIAS E CIA LTDA</t>
  </si>
  <si>
    <t xml:space="preserve">SUPERMERCADO ORIENTE</t>
  </si>
  <si>
    <t xml:space="preserve">J A VENTURINI</t>
  </si>
  <si>
    <t xml:space="preserve">PASSO DO LONTRA PARQUE HOTEL</t>
  </si>
  <si>
    <t xml:space="preserve">MASAO IWAHATA</t>
  </si>
  <si>
    <t xml:space="preserve">MERCEARIA IWAHATA</t>
  </si>
  <si>
    <t xml:space="preserve">MERCADO PAG POKO LTDA-LJ01</t>
  </si>
  <si>
    <t xml:space="preserve">REDEMS PAG POKO </t>
  </si>
  <si>
    <t xml:space="preserve">SM PAG POKO-LJ01</t>
  </si>
  <si>
    <t xml:space="preserve">MERCADO PAG POKO LTDA-LJ02</t>
  </si>
  <si>
    <t xml:space="preserve">SM PAG POKO-LJ02</t>
  </si>
  <si>
    <t xml:space="preserve">MERCADO PAG POKO LTDA</t>
  </si>
  <si>
    <t xml:space="preserve">MERCADO PAG POKO</t>
  </si>
  <si>
    <t xml:space="preserve">MERCADO PAG POKO LTDA ATAC</t>
  </si>
  <si>
    <t xml:space="preserve">MERCEARIA SIQUEIRA LTDA</t>
  </si>
  <si>
    <t xml:space="preserve">SAO LUIZ ENCOMENDAS E CARGAS LTDA</t>
  </si>
  <si>
    <t xml:space="preserve">FARMACIA GALENO LTDA</t>
  </si>
  <si>
    <t xml:space="preserve">FARMACIA GALENO</t>
  </si>
  <si>
    <t xml:space="preserve">ATILIA NICOLLOTI RALDI</t>
  </si>
  <si>
    <t xml:space="preserve">MARCAL E OLIVEIRA LTDA</t>
  </si>
  <si>
    <t xml:space="preserve">CHURR.E REST</t>
  </si>
  <si>
    <t xml:space="preserve">CASA DE CARNES PGM SILVA LTDA</t>
  </si>
  <si>
    <t xml:space="preserve">CASA DE CARNE PGM</t>
  </si>
  <si>
    <t xml:space="preserve">ANTONIO LEVINO DOS SANTOS</t>
  </si>
  <si>
    <t xml:space="preserve">F J DAMASCENO E CIA LTDA</t>
  </si>
  <si>
    <t xml:space="preserve">SUPERMERCADO SAO FRANCISCO</t>
  </si>
  <si>
    <t xml:space="preserve">EDUARDOS PANIFICADORA E CONFEITARIA LTDA</t>
  </si>
  <si>
    <t xml:space="preserve">EDUARDO'S PANIFICADORA E CONF.</t>
  </si>
  <si>
    <t xml:space="preserve">EDGARD MARTINS PAIVA</t>
  </si>
  <si>
    <t xml:space="preserve">MERCADO PAIVA</t>
  </si>
  <si>
    <t xml:space="preserve">MARIA ABADIA BERNARDO EZEQUIEL MEI</t>
  </si>
  <si>
    <t xml:space="preserve">IMPERIO FRIOS</t>
  </si>
  <si>
    <t xml:space="preserve">GENECI ALVES</t>
  </si>
  <si>
    <t xml:space="preserve">CHURRASCARIA PANTANAL</t>
  </si>
  <si>
    <t xml:space="preserve">HOTEL E RESTAURANTE 1000 LTDA</t>
  </si>
  <si>
    <t xml:space="preserve">HOTEL E RESTALRANTE 1000</t>
  </si>
  <si>
    <t xml:space="preserve">POSTO PENA BRANCA LTDA</t>
  </si>
  <si>
    <t xml:space="preserve">POSTO PENA BRANCA</t>
  </si>
  <si>
    <t xml:space="preserve">LIBERATO E LIBERATO LTDA ME</t>
  </si>
  <si>
    <t xml:space="preserve">FARMACIA FARMANOVA</t>
  </si>
  <si>
    <t xml:space="preserve">ROGERIO BARBOSA ME MS</t>
  </si>
  <si>
    <t xml:space="preserve">MERCEARIA CATARINENCE</t>
  </si>
  <si>
    <t xml:space="preserve">SAUNA E REPOUSO IPACARAI LTDA</t>
  </si>
  <si>
    <t xml:space="preserve">SAUNA E REPOUSO IPACARAI</t>
  </si>
  <si>
    <t xml:space="preserve">SUPERMERCADO ESTRELAO LTDA</t>
  </si>
  <si>
    <t xml:space="preserve">ELSINI CRISTINA DA SILVA E SILVA</t>
  </si>
  <si>
    <t xml:space="preserve">PANIFICADORA PANIFIC</t>
  </si>
  <si>
    <t xml:space="preserve">SARACENI E RIBEIRO LTDA</t>
  </si>
  <si>
    <t xml:space="preserve">MERCADO DA GRACA</t>
  </si>
  <si>
    <t xml:space="preserve">BARBOSA E SANTOS LTDA</t>
  </si>
  <si>
    <t xml:space="preserve">ADGMAR ALVES BATISTA</t>
  </si>
  <si>
    <t xml:space="preserve">HOTEL ESPLANADA</t>
  </si>
  <si>
    <t xml:space="preserve">ROSALANDIA COMERCIO DE PLANTAS LTDA</t>
  </si>
  <si>
    <t xml:space="preserve">ROSELANDIA FLORICULTURA</t>
  </si>
  <si>
    <t xml:space="preserve">MARIA AP SCHIAVINATO BORTOLETTO</t>
  </si>
  <si>
    <t xml:space="preserve">LANCHONETE PANELA VELHA</t>
  </si>
  <si>
    <t xml:space="preserve">A XAVIER</t>
  </si>
  <si>
    <t xml:space="preserve">REST E CHUR CARRETEIRO</t>
  </si>
  <si>
    <t xml:space="preserve">RESTAURANTE CARRETEIRO II</t>
  </si>
  <si>
    <t xml:space="preserve">JOSE DE SOUZA EMPORIO ME</t>
  </si>
  <si>
    <t xml:space="preserve">MERCEARIA 07 COPAS</t>
  </si>
  <si>
    <t xml:space="preserve">NUTRILANDIA COM PROD AGROPECUARIOS LTDA </t>
  </si>
  <si>
    <t xml:space="preserve">SM NUTRILANDIA</t>
  </si>
  <si>
    <t xml:space="preserve">RONALDO MARTINS DE SOUZA E CIA LTDA</t>
  </si>
  <si>
    <t xml:space="preserve">MINI MERCADO MARTINS</t>
  </si>
  <si>
    <t xml:space="preserve">HIROMI SEI ODACURA</t>
  </si>
  <si>
    <t xml:space="preserve">CASA JAPONEZA</t>
  </si>
  <si>
    <t xml:space="preserve">J D SMANIOTTO E CIA LTDA</t>
  </si>
  <si>
    <t xml:space="preserve">IGREJA BATISTA MEMORIAL DE CAMPO GRANDE </t>
  </si>
  <si>
    <t xml:space="preserve">IGREJA BATISTA</t>
  </si>
  <si>
    <t xml:space="preserve">ASSOC PROD LEITE GL DOURADOS E REGIAO</t>
  </si>
  <si>
    <t xml:space="preserve">APROLEITE</t>
  </si>
  <si>
    <t xml:space="preserve">CLINICA SAO BERNARDO LTDA</t>
  </si>
  <si>
    <t xml:space="preserve">LABORATORIO SAO BERNARDO</t>
  </si>
  <si>
    <t xml:space="preserve">CARLOS ROBERTO SILVA ROSA</t>
  </si>
  <si>
    <t xml:space="preserve">MARIA AUXILIADORA RODRIGUES</t>
  </si>
  <si>
    <t xml:space="preserve">MERK BAR VERAO</t>
  </si>
  <si>
    <t xml:space="preserve">SEBASTIAO DO PARTO SOARES VALADAO</t>
  </si>
  <si>
    <t xml:space="preserve">SM VALADAO</t>
  </si>
  <si>
    <t xml:space="preserve">PADARIA NORDESTINA LTDA</t>
  </si>
  <si>
    <t xml:space="preserve">PANIFICADORA NORDESTINA</t>
  </si>
  <si>
    <t xml:space="preserve">PANIFICADORA NORTISTA</t>
  </si>
  <si>
    <t xml:space="preserve">PANIFICADORA PAO QUENTE LTDA</t>
  </si>
  <si>
    <t xml:space="preserve">MERCEARIA ACOUGUE SANTA FE LTDA</t>
  </si>
  <si>
    <t xml:space="preserve">SM SANTA FE</t>
  </si>
  <si>
    <t xml:space="preserve">J.SANTOS MERCEARIA</t>
  </si>
  <si>
    <t xml:space="preserve">ERMESTO CRENETE FERRAZ</t>
  </si>
  <si>
    <t xml:space="preserve">MERCEARIA SANTO ANDRE</t>
  </si>
  <si>
    <t xml:space="preserve">JOSE FERNANDES GOMES DOS SANTOS - EPP</t>
  </si>
  <si>
    <t xml:space="preserve">FARMACIA KATAYAMA</t>
  </si>
  <si>
    <t xml:space="preserve">OSMAR E OSMAR LTDA</t>
  </si>
  <si>
    <t xml:space="preserve">POSTO PORTAO DE FERRO</t>
  </si>
  <si>
    <t xml:space="preserve">IVAR ANTONIO BRAGAGNOLO</t>
  </si>
  <si>
    <t xml:space="preserve">MERCEARIA N.S.APARECIDA</t>
  </si>
  <si>
    <t xml:space="preserve">SALMODOS SANTOS SILVA</t>
  </si>
  <si>
    <t xml:space="preserve">JUVENICE RODRIGUES DOS SANTOS</t>
  </si>
  <si>
    <t xml:space="preserve">IVANILDO RAMOS PEREIRA</t>
  </si>
  <si>
    <t xml:space="preserve">MERCADINHO BETANIA</t>
  </si>
  <si>
    <t xml:space="preserve">HEITOR MARTINEZ</t>
  </si>
  <si>
    <t xml:space="preserve">NINI MERCADO SANTA MARIA</t>
  </si>
  <si>
    <t xml:space="preserve">DOMINO INDUSTRIA E COMERCIO LTDA</t>
  </si>
  <si>
    <t xml:space="preserve">WEIMAR MOURA DE JESUS</t>
  </si>
  <si>
    <t xml:space="preserve">WM CASA DE CARNE E CONVENIENCIA</t>
  </si>
  <si>
    <t xml:space="preserve">ABELAR RODRIGUES XAVIER</t>
  </si>
  <si>
    <t xml:space="preserve">MERCADO KI PRE?O</t>
  </si>
  <si>
    <t xml:space="preserve">DAVI MOREIRA DE MELO</t>
  </si>
  <si>
    <t xml:space="preserve">PANIFICADORA MOREIRA</t>
  </si>
  <si>
    <t xml:space="preserve">CONVENIENCIA AVENIDA LTDA</t>
  </si>
  <si>
    <t xml:space="preserve">KISAKO HASHIMOTO UMADA E FILHOS LTDA</t>
  </si>
  <si>
    <t xml:space="preserve">MITSUKO OYADOMARI</t>
  </si>
  <si>
    <t xml:space="preserve">REST CASA DO PEIXE</t>
  </si>
  <si>
    <t xml:space="preserve">MERCEARIA BRILHANTE LTDA</t>
  </si>
  <si>
    <t xml:space="preserve">MERCEARIA BRILHANTE</t>
  </si>
  <si>
    <t xml:space="preserve">ADALCI DE MORAIS ANTUNES</t>
  </si>
  <si>
    <t xml:space="preserve">PRATIKA UTILIDADES</t>
  </si>
  <si>
    <t xml:space="preserve">COOPERATIVA AGRICOLA DE CAMPO GRANDE</t>
  </si>
  <si>
    <t xml:space="preserve">COOPERATIVA CGE</t>
  </si>
  <si>
    <t xml:space="preserve">COOPERATIVA AGRICOLA CAMPO GRANDE</t>
  </si>
  <si>
    <t xml:space="preserve">HORTI FRUTI GRANJEIRO</t>
  </si>
  <si>
    <t xml:space="preserve">COOPERATIVA AGRICOLA CAMPO GRANDE LTDA  </t>
  </si>
  <si>
    <t xml:space="preserve">MERCADO DO PRODUTOR II</t>
  </si>
  <si>
    <t xml:space="preserve">SUPERMERCADO 2 IRMAOS LTDA ME</t>
  </si>
  <si>
    <t xml:space="preserve">RUBENS ANTONIO PERETTO</t>
  </si>
  <si>
    <t xml:space="preserve">COMERCIAL SAO SEBASTIAO</t>
  </si>
  <si>
    <t xml:space="preserve">GILSONER ROVERI</t>
  </si>
  <si>
    <t xml:space="preserve">MERCA TUDO</t>
  </si>
  <si>
    <t xml:space="preserve">ERIVAN FLOR ARAUJO</t>
  </si>
  <si>
    <t xml:space="preserve">TRES AMERICAS TRANSPORTES LTDA</t>
  </si>
  <si>
    <t xml:space="preserve">TRES AMERICAS</t>
  </si>
  <si>
    <t xml:space="preserve">TRES AMERICAS TRANSPORTE LTDA</t>
  </si>
  <si>
    <t xml:space="preserve">ADELINO SAMPAIO MACHADO</t>
  </si>
  <si>
    <t xml:space="preserve">PEG PAG JARDIM</t>
  </si>
  <si>
    <t xml:space="preserve">JOSE HOLANDA CAVALCANTE</t>
  </si>
  <si>
    <t xml:space="preserve">REST NOVO HORIZONTE</t>
  </si>
  <si>
    <t xml:space="preserve">ADAIR SOARES BARBAI</t>
  </si>
  <si>
    <t xml:space="preserve">SKIOBA SORVETES</t>
  </si>
  <si>
    <t xml:space="preserve">APARECIDO LEONEL CARMO</t>
  </si>
  <si>
    <t xml:space="preserve">CHURRASCARIA PALOMA</t>
  </si>
  <si>
    <t xml:space="preserve">MARIA ISABEL ARAGAO</t>
  </si>
  <si>
    <t xml:space="preserve">BAR LANCHES TEM</t>
  </si>
  <si>
    <t xml:space="preserve">GILBERTO MAGRO</t>
  </si>
  <si>
    <t xml:space="preserve">ANTONIO C DE OLIVEIRA</t>
  </si>
  <si>
    <t xml:space="preserve">ASSOC PAES E MESTRE DA EE ERNESTO RODRIG</t>
  </si>
  <si>
    <t xml:space="preserve">ADME E ERNESTO RODRIGUES</t>
  </si>
  <si>
    <t xml:space="preserve">DARCI ANTONIO PASA</t>
  </si>
  <si>
    <t xml:space="preserve">SUPERMERCADO PASA</t>
  </si>
  <si>
    <t xml:space="preserve">CELSO IWASHITA MEI</t>
  </si>
  <si>
    <t xml:space="preserve">LOURENCO E BARROS LTDA ME</t>
  </si>
  <si>
    <t xml:space="preserve">A M MARCAS</t>
  </si>
  <si>
    <t xml:space="preserve">CARMEN DOURADOS LEITE</t>
  </si>
  <si>
    <t xml:space="preserve">BRALAR COMERCIO DA ALIMENTOS LTDA</t>
  </si>
  <si>
    <t xml:space="preserve">CARLOS ALVES DE OLIVEIRA</t>
  </si>
  <si>
    <t xml:space="preserve">SUPERMERCADO CESTAO LTDA</t>
  </si>
  <si>
    <t xml:space="preserve">SUPERMERCADO CESTAO</t>
  </si>
  <si>
    <t xml:space="preserve">MARCIO SUGANO</t>
  </si>
  <si>
    <t xml:space="preserve">FRUTELLI</t>
  </si>
  <si>
    <t xml:space="preserve">FOX MINIMERCADO LTDA ME</t>
  </si>
  <si>
    <t xml:space="preserve">FOX MINIMERCADO</t>
  </si>
  <si>
    <t xml:space="preserve">SIDNEY ARAUJO COSTA MEI</t>
  </si>
  <si>
    <t xml:space="preserve">AS CLIN</t>
  </si>
  <si>
    <t xml:space="preserve">SILVANA RODRIGUES TINOCO</t>
  </si>
  <si>
    <t xml:space="preserve">MINI MERCADO RIO DA PRATA</t>
  </si>
  <si>
    <t xml:space="preserve">AJ FARMACIA E PERFUMARIA LTDA ME</t>
  </si>
  <si>
    <t xml:space="preserve">ELZA MARGARIDA ESPINOSA MEI</t>
  </si>
  <si>
    <t xml:space="preserve">MARLENE FERREIRA MARTINS</t>
  </si>
  <si>
    <t xml:space="preserve">BARBOSA E BRANDAO</t>
  </si>
  <si>
    <t xml:space="preserve">SUPERMERCADO CAMPEAO MS</t>
  </si>
  <si>
    <t xml:space="preserve">CONVENIENCIA E PADARIA ELDORADO LTDA</t>
  </si>
  <si>
    <t xml:space="preserve">CONVENIENCIA E PADARIA ELDORADO</t>
  </si>
  <si>
    <t xml:space="preserve">OTAVIANO JOSE ALVES DOS SANTOS</t>
  </si>
  <si>
    <t xml:space="preserve">MERCEARIA E CASA DE CARNE GERBERA</t>
  </si>
  <si>
    <t xml:space="preserve">CASTRO E FERNANDES LTDA</t>
  </si>
  <si>
    <t xml:space="preserve">MERCEARIA FRUT FRUTAS</t>
  </si>
  <si>
    <t xml:space="preserve">EDISON PEREIRA GARCIA ME</t>
  </si>
  <si>
    <t xml:space="preserve">MANSOU COMERCIAL  DE ALIMENTOS  LTDA</t>
  </si>
  <si>
    <t xml:space="preserve">MERCADO MANSOU</t>
  </si>
  <si>
    <t xml:space="preserve">CLAYTON LEMES CANO</t>
  </si>
  <si>
    <t xml:space="preserve">REINALDO MACHADO DA SILVA</t>
  </si>
  <si>
    <t xml:space="preserve">LANCHONETE REI</t>
  </si>
  <si>
    <t xml:space="preserve">CLAYTON OLIVEIRA BITTENCOURT MEI</t>
  </si>
  <si>
    <t xml:space="preserve">CAETANO E BITTENCOURT DISTRIBUIDORA</t>
  </si>
  <si>
    <t xml:space="preserve">PAULA ALVES DE ALBRES ME</t>
  </si>
  <si>
    <t xml:space="preserve">IPE FARMA</t>
  </si>
  <si>
    <t xml:space="preserve">ABEL FERRREIRA MOREIRA</t>
  </si>
  <si>
    <t xml:space="preserve">MERCADO J.A.</t>
  </si>
  <si>
    <t xml:space="preserve">EDUARDO APARECIDO ANGELICA MENDES</t>
  </si>
  <si>
    <t xml:space="preserve">SELMA DE SOUZA CRUZ</t>
  </si>
  <si>
    <t xml:space="preserve">SELDA GARCIA 33799652191 - MEI</t>
  </si>
  <si>
    <t xml:space="preserve">FARMACIA MIX ECONOMICA LTDA</t>
  </si>
  <si>
    <t xml:space="preserve">FARMACIA MIX ECONOMICA</t>
  </si>
  <si>
    <t xml:space="preserve">ERONILDE DO CARMO COELHO - EPP</t>
  </si>
  <si>
    <t xml:space="preserve">BICHO GULOSO</t>
  </si>
  <si>
    <t xml:space="preserve">SUPERMERCADO MARAN LTDA</t>
  </si>
  <si>
    <t xml:space="preserve">MARAN SUPERMERCADO</t>
  </si>
  <si>
    <t xml:space="preserve">ELIANA FRITAS AQUINO DE MORAIS</t>
  </si>
  <si>
    <t xml:space="preserve">V R F MELGAREJO</t>
  </si>
  <si>
    <t xml:space="preserve">COMERCIAL APOLO</t>
  </si>
  <si>
    <t xml:space="preserve">THIAGO GRANDE SOUTO ME</t>
  </si>
  <si>
    <t xml:space="preserve">MUITIVET</t>
  </si>
  <si>
    <t xml:space="preserve">AGROFER FERRAM.E AGROPEGUARIO</t>
  </si>
  <si>
    <t xml:space="preserve">AGROFER</t>
  </si>
  <si>
    <t xml:space="preserve">PERONDI E MASCARELLO LTDA</t>
  </si>
  <si>
    <t xml:space="preserve">DISTRIBUIDIRA PERONDI</t>
  </si>
  <si>
    <t xml:space="preserve">SUPERMERCADO RAMOS E JABBAR LTDA</t>
  </si>
  <si>
    <t xml:space="preserve">SUPERMERCADO ALIANCA</t>
  </si>
  <si>
    <t xml:space="preserve">ODARA COMERCIAL DE ALIMENTOS LTDA</t>
  </si>
  <si>
    <t xml:space="preserve">IONE SOUZA SILVA</t>
  </si>
  <si>
    <t xml:space="preserve">SS COMERCIO DE VARIEDADES</t>
  </si>
  <si>
    <t xml:space="preserve">ADAO SOUZA DE OLIVEIRA</t>
  </si>
  <si>
    <t xml:space="preserve">MERCEARIA AL</t>
  </si>
  <si>
    <t xml:space="preserve">AIRTON PEREIRA DE OLIVEIRA</t>
  </si>
  <si>
    <t xml:space="preserve">PADARIA SKINAO</t>
  </si>
  <si>
    <t xml:space="preserve">ANDRE GOMES DE OLIVEIRA</t>
  </si>
  <si>
    <t xml:space="preserve">QUITANDA BONITO</t>
  </si>
  <si>
    <t xml:space="preserve">COSTA E ZANATA LTDA</t>
  </si>
  <si>
    <t xml:space="preserve">AGUSTINA SANGUINA VALDEZ</t>
  </si>
  <si>
    <t xml:space="preserve">SERGIO CAVALHEIRI JUNIOR</t>
  </si>
  <si>
    <t xml:space="preserve">APOENA AGRO COMPACT COM FERRAMENTAS LTDA</t>
  </si>
  <si>
    <t xml:space="preserve">APOENA AGRO COMPACT</t>
  </si>
  <si>
    <t xml:space="preserve">GABRIELA DOS REIS SANTOS ME</t>
  </si>
  <si>
    <t xml:space="preserve">MERCADO CONVENIENCIA CAMPO GRA</t>
  </si>
  <si>
    <t xml:space="preserve">MARILETH YAHN GAUNA EIRELI ME</t>
  </si>
  <si>
    <t xml:space="preserve">FORTES VERDURAS</t>
  </si>
  <si>
    <t xml:space="preserve">DROGARIA AVENIDA DE CASSILANDIA LTDA</t>
  </si>
  <si>
    <t xml:space="preserve">R A DO E SANTO</t>
  </si>
  <si>
    <t xml:space="preserve">CARNEIRO E COSTA LTDA</t>
  </si>
  <si>
    <t xml:space="preserve"> SACOLAO ECONOMICO</t>
  </si>
  <si>
    <t xml:space="preserve">HEDMAR ALBUQUERQUE MUNHOZ LTDA</t>
  </si>
  <si>
    <t xml:space="preserve">CASA DE CARNE E CONVENIENCIA BOM GOSTO</t>
  </si>
  <si>
    <t xml:space="preserve">RES E CHURRASCARIA LACO DE OURO LTDA</t>
  </si>
  <si>
    <t xml:space="preserve">REST E CHURRASCARIA LACO DE OURO</t>
  </si>
  <si>
    <t xml:space="preserve">SANDIM E SANDIM LTDA</t>
  </si>
  <si>
    <t xml:space="preserve">CASA DE CARNE E CONVENIENCIA SADIM</t>
  </si>
  <si>
    <t xml:space="preserve">HAMANDA ALVES DA ROCHA ME</t>
  </si>
  <si>
    <t xml:space="preserve">CASA DE CARNE PARANA</t>
  </si>
  <si>
    <t xml:space="preserve">ANTONIO LUIZ ARAUJO</t>
  </si>
  <si>
    <t xml:space="preserve">MAX BOM CONVENIENCIA</t>
  </si>
  <si>
    <t xml:space="preserve"> ANVILU COMERCIO DE MEDICAMENTOS LTDA</t>
  </si>
  <si>
    <t xml:space="preserve">FERRO  ACO COMERCIO DE ALIMENTOS LTDA ME</t>
  </si>
  <si>
    <t xml:space="preserve">FERRO E ACO</t>
  </si>
  <si>
    <t xml:space="preserve">SM CEREAL JESUS</t>
  </si>
  <si>
    <t xml:space="preserve">HENRIQUE KOJI ISHII</t>
  </si>
  <si>
    <t xml:space="preserve">BATATA LANCHES</t>
  </si>
  <si>
    <t xml:space="preserve">VICENTIN E VICENTIN LTDA</t>
  </si>
  <si>
    <t xml:space="preserve">VALDECI ANGELO DOS SANTOS</t>
  </si>
  <si>
    <t xml:space="preserve">ASSOS DOS EMPREGADOS DO SEBRAE - MS</t>
  </si>
  <si>
    <t xml:space="preserve">ASSES - MS</t>
  </si>
  <si>
    <t xml:space="preserve">GERALDA MATIAS LOPES</t>
  </si>
  <si>
    <t xml:space="preserve">PEIXARIA PEIXE VIVO</t>
  </si>
  <si>
    <t xml:space="preserve">MANOEL GOMES DO PRADO FILHO</t>
  </si>
  <si>
    <t xml:space="preserve">MERCADO MANOEL</t>
  </si>
  <si>
    <t xml:space="preserve">SUPERMERCADO PARANA LTDA</t>
  </si>
  <si>
    <t xml:space="preserve">MARIO NORIO KAWAMINAMI</t>
  </si>
  <si>
    <t xml:space="preserve">MERCEARIA PATRICIA</t>
  </si>
  <si>
    <t xml:space="preserve">FARMACIA SANRIVAL LTDA</t>
  </si>
  <si>
    <t xml:space="preserve">FARMACIA SANRIVAL</t>
  </si>
  <si>
    <t xml:space="preserve">SUPERMERCADO SANTOS LTDA</t>
  </si>
  <si>
    <t xml:space="preserve">DOCE VICIO LANCHES LTDA</t>
  </si>
  <si>
    <t xml:space="preserve">DOCE VICIO</t>
  </si>
  <si>
    <t xml:space="preserve">ARIALBA DE ARAUJO LEMOS E CIA LTDA</t>
  </si>
  <si>
    <t xml:space="preserve">DOCE DOCURA</t>
  </si>
  <si>
    <t xml:space="preserve">G SALES DE OLIVEIRA ME</t>
  </si>
  <si>
    <t xml:space="preserve">PANF PAO E CIA LTDA</t>
  </si>
  <si>
    <t xml:space="preserve">G M DE OLIVEIRA</t>
  </si>
  <si>
    <t xml:space="preserve">PEGORARO E SOARES LTDA</t>
  </si>
  <si>
    <t xml:space="preserve">PEGORARO SUPERMERCADO</t>
  </si>
  <si>
    <t xml:space="preserve">PLANALTO TRANSPORTE RODOVIARIO LTDA</t>
  </si>
  <si>
    <t xml:space="preserve">PLANALTO</t>
  </si>
  <si>
    <t xml:space="preserve">GILBERTO DE ALMEIDA SILVA</t>
  </si>
  <si>
    <t xml:space="preserve">MERCEARIA PAG MENOS</t>
  </si>
  <si>
    <t xml:space="preserve">MERCADO E ACOUGUE JS FERREIRA LTDA</t>
  </si>
  <si>
    <t xml:space="preserve">MERCADO JS FERREIRA</t>
  </si>
  <si>
    <t xml:space="preserve">JOAO LIBERATO SANTOS</t>
  </si>
  <si>
    <t xml:space="preserve">MERCADINHO POVAO</t>
  </si>
  <si>
    <t xml:space="preserve">LANC DO ZE</t>
  </si>
  <si>
    <t xml:space="preserve">SUPERMERCADO MARAMBAIA LTDA EPP</t>
  </si>
  <si>
    <t xml:space="preserve">MERCADO MARAMBAI</t>
  </si>
  <si>
    <t xml:space="preserve">M S MONTAGUEN LTDA</t>
  </si>
  <si>
    <t xml:space="preserve">M M MONTAGUEN</t>
  </si>
  <si>
    <t xml:space="preserve">RESTAURANTE BEM ME QUER LTDA</t>
  </si>
  <si>
    <t xml:space="preserve">REST BEM-ME-QUER</t>
  </si>
  <si>
    <t xml:space="preserve">DORVALINO ANTUNES PINTO</t>
  </si>
  <si>
    <t xml:space="preserve">ERVA MATE SANGA PUITA</t>
  </si>
  <si>
    <t xml:space="preserve">SUPERMERCADO MEG VENCEDOR LTDA</t>
  </si>
  <si>
    <t xml:space="preserve">MERCADO DUTRA</t>
  </si>
  <si>
    <t xml:space="preserve">MARIO DIAS STRUCKEL</t>
  </si>
  <si>
    <t xml:space="preserve">JORGE JOAO MOURA</t>
  </si>
  <si>
    <t xml:space="preserve">SAMUEL DE ARRUDA FARIAS</t>
  </si>
  <si>
    <t xml:space="preserve">FARIAS PANIF</t>
  </si>
  <si>
    <t xml:space="preserve">JOSE REGINALDO SANTOS</t>
  </si>
  <si>
    <t xml:space="preserve">CASA SAO JOSE LTDA</t>
  </si>
  <si>
    <t xml:space="preserve">HOTEL POUSADA DA SERRA LTDA</t>
  </si>
  <si>
    <t xml:space="preserve">HOTEL POUSADA DA SERRA</t>
  </si>
  <si>
    <t xml:space="preserve">DROGARIA ORIENTE LTDA</t>
  </si>
  <si>
    <t xml:space="preserve">DROGARIA E FARMACIA</t>
  </si>
  <si>
    <t xml:space="preserve">CARLOS CESAR ALGOZINE ANDRADE</t>
  </si>
  <si>
    <t xml:space="preserve">SUPERMERCADO SER-BEM</t>
  </si>
  <si>
    <t xml:space="preserve">FREIRE MEDICAMENTOS E PERFUMARIA LTDA</t>
  </si>
  <si>
    <t xml:space="preserve">JOEL VASQUES DA SILVA</t>
  </si>
  <si>
    <t xml:space="preserve">PAPELARIA SAO MARCOS</t>
  </si>
  <si>
    <t xml:space="preserve">JOAO P DA COSTA</t>
  </si>
  <si>
    <t xml:space="preserve">QUITANDA SAO JOAO</t>
  </si>
  <si>
    <t xml:space="preserve">LEONILDO OLIVEIRA LOPES</t>
  </si>
  <si>
    <t xml:space="preserve">SUPERMERCADO SOUZA MARTINS LTDA</t>
  </si>
  <si>
    <t xml:space="preserve">MB VIDEO LTDA</t>
  </si>
  <si>
    <t xml:space="preserve">MB VIDEO</t>
  </si>
  <si>
    <t xml:space="preserve">PIRAMIDE ARTE ESPORTES IND E COM LTDA</t>
  </si>
  <si>
    <t xml:space="preserve">PIRAMIDE IND E CONFECCOES</t>
  </si>
  <si>
    <t xml:space="preserve">J N MARGARIDO E CIA LTDA</t>
  </si>
  <si>
    <t xml:space="preserve">CASA CAMPINEIRA</t>
  </si>
  <si>
    <t xml:space="preserve">JOSE AUGUSTO REGIS</t>
  </si>
  <si>
    <t xml:space="preserve">LIA DENISE BELLO</t>
  </si>
  <si>
    <t xml:space="preserve">ANSELMO GOMORETTO GALL</t>
  </si>
  <si>
    <t xml:space="preserve">CASA DE CARNE GALL</t>
  </si>
  <si>
    <t xml:space="preserve">POSTO CASTELO LTDA</t>
  </si>
  <si>
    <t xml:space="preserve">POSTO CASTELO</t>
  </si>
  <si>
    <t xml:space="preserve">GENIVAL JOSE SILVA</t>
  </si>
  <si>
    <t xml:space="preserve">MERCADO E ACOUGUE DO POVO</t>
  </si>
  <si>
    <t xml:space="preserve">FERREIRA E BONEMANN LTDA</t>
  </si>
  <si>
    <t xml:space="preserve">REST CHAMINE BATTON</t>
  </si>
  <si>
    <t xml:space="preserve">DROGARIA BELA VISTA LTDA</t>
  </si>
  <si>
    <t xml:space="preserve">DROGARIA BELA VISTA</t>
  </si>
  <si>
    <t xml:space="preserve">SM DENZO</t>
  </si>
  <si>
    <t xml:space="preserve">COMERCIAL COUTINHO DE GEN ALIM LTDA</t>
  </si>
  <si>
    <t xml:space="preserve">COMERCIAL COUTINHO</t>
  </si>
  <si>
    <t xml:space="preserve">ORIVAL MARTINS E CIA LTDA</t>
  </si>
  <si>
    <t xml:space="preserve">RESTAURANTE E LANCH.RODOVIARIA</t>
  </si>
  <si>
    <t xml:space="preserve">RESTAURANTE HORA DO ALMOCO LTDA</t>
  </si>
  <si>
    <t xml:space="preserve">REST HORA DO ALMOCO</t>
  </si>
  <si>
    <t xml:space="preserve">LANCHONETE GALLETO'S LTDA</t>
  </si>
  <si>
    <t xml:space="preserve">COMERCIO DE ALIMENTOS CERIOLI LTDA</t>
  </si>
  <si>
    <t xml:space="preserve">DIRCEU RUIZ GUERREIRO</t>
  </si>
  <si>
    <t xml:space="preserve">CARMELINDA WEBER</t>
  </si>
  <si>
    <t xml:space="preserve">MERCADINHO NATAL</t>
  </si>
  <si>
    <t xml:space="preserve">EXPEDITO NASCIMENTO DOS SANTOS</t>
  </si>
  <si>
    <t xml:space="preserve">ODILSE MIRANDA SILVA</t>
  </si>
  <si>
    <t xml:space="preserve">NILTON NUNES DUARTE ME</t>
  </si>
  <si>
    <t xml:space="preserve">MERCEARIA DO PRETO</t>
  </si>
  <si>
    <t xml:space="preserve">FRANCISCO FRANCINALDO LEITE</t>
  </si>
  <si>
    <t xml:space="preserve">BAR E LANCHONETE LAGARTIXA</t>
  </si>
  <si>
    <t xml:space="preserve">FLORIANO KOVALSKI</t>
  </si>
  <si>
    <t xml:space="preserve">MERCADO KOVALSKI</t>
  </si>
  <si>
    <t xml:space="preserve">RESTAURANTE LANCHONETE PLATO SERRA LTDA </t>
  </si>
  <si>
    <t xml:space="preserve">REST LANCH PLATO DA SERRA</t>
  </si>
  <si>
    <t xml:space="preserve">NUNES E VILALBA LTDA</t>
  </si>
  <si>
    <t xml:space="preserve">RESTAURANTE PE DE CEDRO</t>
  </si>
  <si>
    <t xml:space="preserve">FRANCISCA FERRAZ SILVA</t>
  </si>
  <si>
    <t xml:space="preserve">MINI MERCADO FLORIDA</t>
  </si>
  <si>
    <t xml:space="preserve">JOSE BERNARDES SOUZA ME/MS</t>
  </si>
  <si>
    <t xml:space="preserve">PANIFICADORA ALGODAO DOCE</t>
  </si>
  <si>
    <t xml:space="preserve">ALFREDO B DE SOUZA FILHO</t>
  </si>
  <si>
    <t xml:space="preserve">RESTAURANTE VIVA A VIDA</t>
  </si>
  <si>
    <t xml:space="preserve">DAMO E FRAIDA LTDA</t>
  </si>
  <si>
    <t xml:space="preserve">FARMACIA FRAIDA</t>
  </si>
  <si>
    <t xml:space="preserve">EUNICE SCATOLAO CANZIANI</t>
  </si>
  <si>
    <t xml:space="preserve">FLORES MIL</t>
  </si>
  <si>
    <t xml:space="preserve">SILVA E OZELAME LTDA</t>
  </si>
  <si>
    <t xml:space="preserve">CHALE APART HOTEL-ME</t>
  </si>
  <si>
    <t xml:space="preserve">UILSON ELIAS GARCIA</t>
  </si>
  <si>
    <t xml:space="preserve">NOVO A?OUGUE</t>
  </si>
  <si>
    <t xml:space="preserve">SELMYWLLY DESP LANC FOTOCOPIA LTDA</t>
  </si>
  <si>
    <t xml:space="preserve">SELMA E YULLY LANCHONETE</t>
  </si>
  <si>
    <t xml:space="preserve">IVALDO DE ALBUQUERQUE CAVALCANTI</t>
  </si>
  <si>
    <t xml:space="preserve">SM PAPRI</t>
  </si>
  <si>
    <t xml:space="preserve">RAFAEL SIVIERO</t>
  </si>
  <si>
    <t xml:space="preserve">RANCHO S</t>
  </si>
  <si>
    <t xml:space="preserve">CONCORDIA MATERIAIS PARA CONSTRUCAO LTDA</t>
  </si>
  <si>
    <t xml:space="preserve">CONCORDIA HOME CENTER</t>
  </si>
  <si>
    <t xml:space="preserve">CONCORDIA MAT PARA CONSTRUCAO LTDA</t>
  </si>
  <si>
    <t xml:space="preserve">CONCORDIA</t>
  </si>
  <si>
    <t xml:space="preserve">CONCORDIA MATERIAIS PARA CONST</t>
  </si>
  <si>
    <t xml:space="preserve">ANTONIO APARECIDO LOPES</t>
  </si>
  <si>
    <t xml:space="preserve">DOCES BELA VISTA</t>
  </si>
  <si>
    <t xml:space="preserve">MERCADINHO DO POVO LTDA</t>
  </si>
  <si>
    <t xml:space="preserve">AUTO POSTO MANCOES LTDA</t>
  </si>
  <si>
    <t xml:space="preserve">TONIAZZO E TONIAZZO LTDA EPP</t>
  </si>
  <si>
    <t xml:space="preserve">MERCADO INTERGRACAO</t>
  </si>
  <si>
    <t xml:space="preserve">A C CAMARGOS</t>
  </si>
  <si>
    <t xml:space="preserve">LANCH CAMARGOS</t>
  </si>
  <si>
    <t xml:space="preserve">SUPERMERCADO SETE QUEDAS LTDA EPP</t>
  </si>
  <si>
    <t xml:space="preserve">SUPERMERCADO SETE QUEDAS</t>
  </si>
  <si>
    <t xml:space="preserve">INTERCOLA TRANSP TERRAP CONSTRUCOES LTDA</t>
  </si>
  <si>
    <t xml:space="preserve">INTERCOLA</t>
  </si>
  <si>
    <t xml:space="preserve">COMERCIO ALIMENT ALPESTRE DO SUL LTDA</t>
  </si>
  <si>
    <t xml:space="preserve">SM SULINA</t>
  </si>
  <si>
    <t xml:space="preserve">RIBEIRO DE MENDONCA BASTON E CIA LTDA</t>
  </si>
  <si>
    <t xml:space="preserve">POSTO TERERE</t>
  </si>
  <si>
    <t xml:space="preserve">CLARICE PRETTO COLAGIOVANNI</t>
  </si>
  <si>
    <t xml:space="preserve">GUIACURUS HOTEL</t>
  </si>
  <si>
    <t xml:space="preserve">DIAS E CARVALHO LTDA</t>
  </si>
  <si>
    <t xml:space="preserve">MEUPET</t>
  </si>
  <si>
    <t xml:space="preserve">GLENDA CAMILA BARBOSA BARBERI</t>
  </si>
  <si>
    <t xml:space="preserve">MERCEARIA BARBERI</t>
  </si>
  <si>
    <t xml:space="preserve">GILBERTO FLAVIO MACEDO MEI</t>
  </si>
  <si>
    <t xml:space="preserve">MERCADO CARINHOSO</t>
  </si>
  <si>
    <t xml:space="preserve">MATO GROSSO COMERCIO VAREJISTA LTDA</t>
  </si>
  <si>
    <t xml:space="preserve">FARMACIA DO TRABALHADOR</t>
  </si>
  <si>
    <t xml:space="preserve">MATO GROSSO COMERCO VAREJISTA LTDA</t>
  </si>
  <si>
    <t xml:space="preserve">BOLO CHIQUE COM DE ALIM LTDA ME</t>
  </si>
  <si>
    <t xml:space="preserve">BOLO CHIQUE</t>
  </si>
  <si>
    <t xml:space="preserve">VETFERTIL PRODUTOS VETERINARIO LTDA</t>
  </si>
  <si>
    <t xml:space="preserve">VETFERTIL</t>
  </si>
  <si>
    <t xml:space="preserve">RODRIGUES E RESENDE LTDA ME</t>
  </si>
  <si>
    <t xml:space="preserve">PARAISO</t>
  </si>
  <si>
    <t xml:space="preserve">FABRIFARMA</t>
  </si>
  <si>
    <t xml:space="preserve">COMERCIO RIO MINAS LTDA</t>
  </si>
  <si>
    <t xml:space="preserve">SUPERMERCADO RIO MINAS</t>
  </si>
  <si>
    <t xml:space="preserve">NIZEA DA SILVA SANTOS ME</t>
  </si>
  <si>
    <t xml:space="preserve">MERCADINHO E CASA DE CARNES BR</t>
  </si>
  <si>
    <t xml:space="preserve">MAURICIO DIOGO DE OLIVEIRA EIRELI</t>
  </si>
  <si>
    <t xml:space="preserve">RONILDO CORREA DA ROCHA EPP</t>
  </si>
  <si>
    <t xml:space="preserve">NELSON XAVIER DOS SANTOS EIRELI</t>
  </si>
  <si>
    <t xml:space="preserve">NELSON XAVIER DOS SANTOS LTDA</t>
  </si>
  <si>
    <t xml:space="preserve">WALKIRIO SOUZA DA SILVA MEI</t>
  </si>
  <si>
    <t xml:space="preserve">LUCIANE ANGELICA AMORIM</t>
  </si>
  <si>
    <t xml:space="preserve">JP SILVA</t>
  </si>
  <si>
    <t xml:space="preserve">COMERCIAL DI CASA</t>
  </si>
  <si>
    <t xml:space="preserve">E M DOS SANTOS NOGUEIRA EIRELI ME</t>
  </si>
  <si>
    <t xml:space="preserve">MERCADO TAQUARA</t>
  </si>
  <si>
    <t xml:space="preserve">PANIFICADORA REI DO TRIGO LTDA</t>
  </si>
  <si>
    <t xml:space="preserve">PANIFICADORA REI DO TRIGO</t>
  </si>
  <si>
    <t xml:space="preserve">SARA CRISTINA DUARTE TORRES - MEI</t>
  </si>
  <si>
    <t xml:space="preserve">SARA ESTRELA</t>
  </si>
  <si>
    <t xml:space="preserve">SUPERMERCADO SUPER AURORA LTDA</t>
  </si>
  <si>
    <t xml:space="preserve">SUPER AURORA</t>
  </si>
  <si>
    <t xml:space="preserve">BRAUNER E SANTOS LTDA</t>
  </si>
  <si>
    <t xml:space="preserve">MERC.DOIS IRMAOS</t>
  </si>
  <si>
    <t xml:space="preserve">MERCADO LURDES</t>
  </si>
  <si>
    <t xml:space="preserve">CLAUDETE APARECIDA SOARES DOS REIS EPP  </t>
  </si>
  <si>
    <t xml:space="preserve">CONVENIENCIA REIS</t>
  </si>
  <si>
    <t xml:space="preserve">ROSENEI BRITES LARREIA CAMARGO-MEI</t>
  </si>
  <si>
    <t xml:space="preserve">MERCEARIA PRIMAVEIRA</t>
  </si>
  <si>
    <t xml:space="preserve">LUGLI E LUGLI LTDA</t>
  </si>
  <si>
    <t xml:space="preserve">SUPERMERCADO IMIGRANTES</t>
  </si>
  <si>
    <t xml:space="preserve">HOTEL ESTORIL LTDA</t>
  </si>
  <si>
    <t xml:space="preserve">HOTEL ESTORIL</t>
  </si>
  <si>
    <t xml:space="preserve">LM PIRES ME</t>
  </si>
  <si>
    <t xml:space="preserve">MERCADO AKI TEM</t>
  </si>
  <si>
    <t xml:space="preserve">RG MOYA MERCEARIA</t>
  </si>
  <si>
    <t xml:space="preserve">CEREALISTA ITAPORA LTDA</t>
  </si>
  <si>
    <t xml:space="preserve">SAO MARCOS</t>
  </si>
  <si>
    <t xml:space="preserve">SANTOS COMERCIO DE CARNES LTDA</t>
  </si>
  <si>
    <t xml:space="preserve">CARNES E PARRILLA</t>
  </si>
  <si>
    <t xml:space="preserve">DUENHA COMERCIO ALIMENTICIOS EIRELI ME  </t>
  </si>
  <si>
    <t xml:space="preserve">IPE MERCADO</t>
  </si>
  <si>
    <t xml:space="preserve">JOSE GERALDO SALDANHA DE LIMA ME</t>
  </si>
  <si>
    <t xml:space="preserve">DIONEIA MONTEIRO MAIDANA</t>
  </si>
  <si>
    <t xml:space="preserve">M SEGOVIA  FERNANDES</t>
  </si>
  <si>
    <t xml:space="preserve">BIG ATACADO</t>
  </si>
  <si>
    <t xml:space="preserve">IGREJA BATISTA PENTECOSTAL NOVO TEMPO</t>
  </si>
  <si>
    <t xml:space="preserve">BOM VIZINHO MERCEARIA EIRELI</t>
  </si>
  <si>
    <t xml:space="preserve">BOM VIZINHO SUPERMERCADO</t>
  </si>
  <si>
    <t xml:space="preserve">JACQUELINE SCHWENGBER</t>
  </si>
  <si>
    <t xml:space="preserve">CONVENIENCIA ENTRE RIOS</t>
  </si>
  <si>
    <t xml:space="preserve">A F ALVES</t>
  </si>
  <si>
    <t xml:space="preserve">DGG SUPERMERCADO LTDA</t>
  </si>
  <si>
    <t xml:space="preserve">SUPERMERCADO FREY</t>
  </si>
  <si>
    <t xml:space="preserve">SUPERMERCADO FERNANDES MS PROD ALIM LTDA</t>
  </si>
  <si>
    <t xml:space="preserve">BOA VISTA COMERCIO DE ALIMENTOS LTDA</t>
  </si>
  <si>
    <t xml:space="preserve">CASA CARNE BOA VISTA</t>
  </si>
  <si>
    <t xml:space="preserve">FARMA PEREIRA COM MED PERF LTDA</t>
  </si>
  <si>
    <t xml:space="preserve">FARMATOTAL - 44</t>
  </si>
  <si>
    <t xml:space="preserve">DALVA ALVES CAVALCANTI</t>
  </si>
  <si>
    <t xml:space="preserve">MERCEARIA DA DALVA</t>
  </si>
  <si>
    <t xml:space="preserve">JOAO MARIA DE SOUZA</t>
  </si>
  <si>
    <t xml:space="preserve">MERCIARIA SOUZA</t>
  </si>
  <si>
    <t xml:space="preserve">FANELLA GATTI DE OLIVEIRA</t>
  </si>
  <si>
    <t xml:space="preserve">JACKSON DOUGLAS PEREIRA SERRANO LTDA</t>
  </si>
  <si>
    <t xml:space="preserve">JOBAS CONVENIENCIA E MERCEARIA</t>
  </si>
  <si>
    <t xml:space="preserve">ANA CRISTINA ALVES DE ARAUJO</t>
  </si>
  <si>
    <t xml:space="preserve">CAIO BRITO MACHADO RUGGIANO</t>
  </si>
  <si>
    <t xml:space="preserve">NUTRI RACOES</t>
  </si>
  <si>
    <t xml:space="preserve">IDERSON ALVES REITMANN EIRELLE</t>
  </si>
  <si>
    <t xml:space="preserve">DISTRIBUIDORA DE BOM BEEF</t>
  </si>
  <si>
    <t xml:space="preserve">NEDI TEREZINHA LOPES</t>
  </si>
  <si>
    <t xml:space="preserve">MERCADO PAREDES</t>
  </si>
  <si>
    <t xml:space="preserve">ABIGAIL ZERNA CUELLAR</t>
  </si>
  <si>
    <t xml:space="preserve"> MERCEARIA AEROPORTO</t>
  </si>
  <si>
    <t xml:space="preserve">SILVA E FARIA LTDA</t>
  </si>
  <si>
    <t xml:space="preserve">MERCADO VICENZO</t>
  </si>
  <si>
    <t xml:space="preserve">GREICIAMARA DO CARMOS BORGES PEREIRA ME </t>
  </si>
  <si>
    <t xml:space="preserve">BANCA DA GLEICE</t>
  </si>
  <si>
    <t xml:space="preserve">ROSELAINE ADRIANA LOTTERMANN</t>
  </si>
  <si>
    <t xml:space="preserve">CONV TCHE</t>
  </si>
  <si>
    <t xml:space="preserve">RODRIGO LACERDA CINTRA ME</t>
  </si>
  <si>
    <t xml:space="preserve">ELENICE LIMA DE SOUZA MEI</t>
  </si>
  <si>
    <t xml:space="preserve">IMPERIO DOS FRIOS</t>
  </si>
  <si>
    <t xml:space="preserve">JULIO XIMENES GOMES</t>
  </si>
  <si>
    <t xml:space="preserve">MERCADINHO DO JULINHO</t>
  </si>
  <si>
    <t xml:space="preserve">ADRIANA DOS SANTOS FREITAS</t>
  </si>
  <si>
    <t xml:space="preserve">MERCADO STOOKS</t>
  </si>
  <si>
    <t xml:space="preserve">MILTON MILHOMEM SANTOS FILHO</t>
  </si>
  <si>
    <t xml:space="preserve">PADARIA E PIZZARIA MILHOMEM</t>
  </si>
  <si>
    <t xml:space="preserve">ROSENILDA ANTERO DE SOUZA</t>
  </si>
  <si>
    <t xml:space="preserve">LUZIMAR LINA DE JESUS VARONI</t>
  </si>
  <si>
    <t xml:space="preserve">ANJOS DE QUATRO PATAS</t>
  </si>
  <si>
    <t xml:space="preserve">ELISMAR VILAS FERREIRA</t>
  </si>
  <si>
    <t xml:space="preserve"> PET RACOES</t>
  </si>
  <si>
    <t xml:space="preserve">PEDRO GRACIANO F CALONGA 50605518149</t>
  </si>
  <si>
    <t xml:space="preserve">SANDIM E RODRIGUES LTDA ME</t>
  </si>
  <si>
    <t xml:space="preserve">CONVENIENCIA DOIS AMIGOS</t>
  </si>
  <si>
    <t xml:space="preserve">VALDEMAR DONIZETE DA SILVA LTDA</t>
  </si>
  <si>
    <t xml:space="preserve">J V HORTI FRUTI</t>
  </si>
  <si>
    <t xml:space="preserve">LUCIANA DA ROCHA AMORIM ARAUJO</t>
  </si>
  <si>
    <t xml:space="preserve">LOLO PET</t>
  </si>
  <si>
    <t xml:space="preserve">EMBUTIDOS CHAPADAO LTDA</t>
  </si>
  <si>
    <t xml:space="preserve">EMBUTIDOS CHAPADAO</t>
  </si>
  <si>
    <t xml:space="preserve">RV COMERCIO DE MEDICAMENTOS LTDA ME</t>
  </si>
  <si>
    <t xml:space="preserve">DROGARIA BOM PASTOR</t>
  </si>
  <si>
    <t xml:space="preserve">SUELI ROSA COSTA - MEI</t>
  </si>
  <si>
    <t xml:space="preserve">MARCELO DE ARAUJO GOMES</t>
  </si>
  <si>
    <t xml:space="preserve">MK AGRO PET</t>
  </si>
  <si>
    <t xml:space="preserve">NOSSO SUPERMERCADO LTDA ME</t>
  </si>
  <si>
    <t xml:space="preserve">NOSSO SUPERMERCADO</t>
  </si>
  <si>
    <t xml:space="preserve">DAIANY PEREIRA BRAGA ME</t>
  </si>
  <si>
    <t xml:space="preserve">JOSEFA MOREIRA DE BRITO RUBIANO</t>
  </si>
  <si>
    <t xml:space="preserve">LS RACOES</t>
  </si>
  <si>
    <t xml:space="preserve">COMERCIAL SAO JOSE DE ALIMENTOS LTDA</t>
  </si>
  <si>
    <t xml:space="preserve">CLEYTON FRETAS MARTINS MEI</t>
  </si>
  <si>
    <t xml:space="preserve">SONIA APARECIDA BRAGA DOS SANTOS</t>
  </si>
  <si>
    <t xml:space="preserve">MERCEARIA FLOR DE TRIGO</t>
  </si>
  <si>
    <t xml:space="preserve">LYA CASSIA DE JESUS MARQUES-MEI</t>
  </si>
  <si>
    <t xml:space="preserve">JOAO A V DE LIMA NETO</t>
  </si>
  <si>
    <t xml:space="preserve">RESTAURANTE SAN MARTIN</t>
  </si>
  <si>
    <t xml:space="preserve">MARIA JOSE DA SILVA MINIMERCADO ME</t>
  </si>
  <si>
    <t xml:space="preserve">MINI MERCADO SAO CRISTOVAO</t>
  </si>
  <si>
    <t xml:space="preserve">JOICYLAINNE ACUNHA OLIVEIRA</t>
  </si>
  <si>
    <t xml:space="preserve">PANIFICADORA ALBUQUERQUE LTDA ME</t>
  </si>
  <si>
    <t xml:space="preserve">PADARIA ALBUQUERQUE</t>
  </si>
  <si>
    <t xml:space="preserve">EDER RODRIGUES DE FREITAS E CIA LTDA</t>
  </si>
  <si>
    <t xml:space="preserve">FAVORITOS SUPERMERCADO</t>
  </si>
  <si>
    <t xml:space="preserve">RAMOS E LEANDRO LTDA</t>
  </si>
  <si>
    <t xml:space="preserve">RAMOS E LEANDRO</t>
  </si>
  <si>
    <t xml:space="preserve">ROGERIO DE SOUZA ANDRADE</t>
  </si>
  <si>
    <t xml:space="preserve">RM IMPORTACAO</t>
  </si>
  <si>
    <t xml:space="preserve">IVAN APARECIDO CARDOSO COSTA ME</t>
  </si>
  <si>
    <t xml:space="preserve">MERCADO ACOUGUE E PARADA COSTA</t>
  </si>
  <si>
    <t xml:space="preserve">JULIANO TON AGUIAR</t>
  </si>
  <si>
    <t xml:space="preserve">MERCEARIA NOSSA SENHORA DE APA</t>
  </si>
  <si>
    <t xml:space="preserve">PJ DA SILVA MINI MERCADO</t>
  </si>
  <si>
    <t xml:space="preserve">MERC. SAO JOAO</t>
  </si>
  <si>
    <t xml:space="preserve">J X DOS SANTOS ME</t>
  </si>
  <si>
    <t xml:space="preserve">COMERCIAL DE ALIMENTOS GSR EIRELI ME</t>
  </si>
  <si>
    <t xml:space="preserve">GERALDO AREVALO</t>
  </si>
  <si>
    <t xml:space="preserve">COMERCIAL GC</t>
  </si>
  <si>
    <t xml:space="preserve">H C ANDRADE</t>
  </si>
  <si>
    <t xml:space="preserve">ELIANE CASTAGNAZZI DA FONSECA ME</t>
  </si>
  <si>
    <t xml:space="preserve">LOHAYNNE CAROLINE TEODORO DA SILVA - ME </t>
  </si>
  <si>
    <t xml:space="preserve">C J DE LIMA BARROS</t>
  </si>
  <si>
    <t xml:space="preserve">MERCEARIA GAUCHA</t>
  </si>
  <si>
    <t xml:space="preserve">CASA E CAMPO AGROCOMERCIAL</t>
  </si>
  <si>
    <t xml:space="preserve">PET 9</t>
  </si>
  <si>
    <t xml:space="preserve">CASA E CAMPO AGROCOMERCIAL LTDA</t>
  </si>
  <si>
    <t xml:space="preserve">CASA E CAMPO</t>
  </si>
  <si>
    <t xml:space="preserve">W. MARTINS BAR E RESTAURANTE</t>
  </si>
  <si>
    <t xml:space="preserve">JAPA RESTAURANTE</t>
  </si>
  <si>
    <t xml:space="preserve">ADEMAR PULCHEIRO MEI</t>
  </si>
  <si>
    <t xml:space="preserve">MERCEARIA PONTO ALTO</t>
  </si>
  <si>
    <t xml:space="preserve">JOCIMARA BENITES MARTINEZ</t>
  </si>
  <si>
    <t xml:space="preserve">SABOR D COXINHA</t>
  </si>
  <si>
    <t xml:space="preserve">RITA CAMPOZANO DA SILVA MEI</t>
  </si>
  <si>
    <t xml:space="preserve">JCV COMERCIAL IMP E EXP LTDA</t>
  </si>
  <si>
    <t xml:space="preserve">JOTACEVE COMERCIAL</t>
  </si>
  <si>
    <t xml:space="preserve">ANA PAULA LACERDA RAPOZO SILVA EIRELI</t>
  </si>
  <si>
    <t xml:space="preserve">LEANDRO ALVES FRANCO ME</t>
  </si>
  <si>
    <t xml:space="preserve">FARMA FRANCO</t>
  </si>
  <si>
    <t xml:space="preserve">CEMY PEREIRA BARBOZA</t>
  </si>
  <si>
    <t xml:space="preserve">G CARLOS SILVA</t>
  </si>
  <si>
    <t xml:space="preserve">FR COMERCIO DE ALIMENTOS LTDA</t>
  </si>
  <si>
    <t xml:space="preserve">SUPERMERCADO KAIROS</t>
  </si>
  <si>
    <t xml:space="preserve">P M DA ROSA</t>
  </si>
  <si>
    <t xml:space="preserve">MERCEARIA E CONVENIENCIA OLIVE</t>
  </si>
  <si>
    <t xml:space="preserve">ELIZEU PEREIRA SALVADOR MEI</t>
  </si>
  <si>
    <t xml:space="preserve">.</t>
  </si>
  <si>
    <t xml:space="preserve">QUASE TUDO COM DE UTIL DOMEST LTDA</t>
  </si>
  <si>
    <t xml:space="preserve">ULTRABEER PIZZARIA E MERCEARIA LTDA</t>
  </si>
  <si>
    <t xml:space="preserve">ULTRA BEER</t>
  </si>
  <si>
    <t xml:space="preserve">EDMILSON PEREIRA BASTOS</t>
  </si>
  <si>
    <t xml:space="preserve">MERCEARIA ALEGRETE</t>
  </si>
  <si>
    <t xml:space="preserve">ALYNE M B GOMES EIRELI ME</t>
  </si>
  <si>
    <t xml:space="preserve">OI TOTO PET SHOP</t>
  </si>
  <si>
    <t xml:space="preserve">UJOHNY SANTOS QUEIROS</t>
  </si>
  <si>
    <t xml:space="preserve">APARECIDO ALVES DA SILVA MERCADO ME</t>
  </si>
  <si>
    <t xml:space="preserve">MERCADO E ACOUGUE OURO BRANCO</t>
  </si>
  <si>
    <t xml:space="preserve">ARCAS E AMARAL LTDA</t>
  </si>
  <si>
    <t xml:space="preserve">DJALMA VIEIRA JUNIOR EIRELI</t>
  </si>
  <si>
    <t xml:space="preserve">BARCELONA CONVENIENCIA</t>
  </si>
  <si>
    <t xml:space="preserve">DROGARIA MAIS SAUDE EIRELI</t>
  </si>
  <si>
    <t xml:space="preserve">ANTONIA DE FATIMA BENEVIDES</t>
  </si>
  <si>
    <t xml:space="preserve">PET CHIC PETSHOP</t>
  </si>
  <si>
    <t xml:space="preserve">EDER DE ANUNCIACAO SANTANA ME</t>
  </si>
  <si>
    <t xml:space="preserve">CLINICAO</t>
  </si>
  <si>
    <t xml:space="preserve">SEMPRE FAVORITO COM ALIMENTOS LTDA</t>
  </si>
  <si>
    <t xml:space="preserve">JOYCE APARECIDA DA SILVA ROCHA</t>
  </si>
  <si>
    <t xml:space="preserve">MERCEARIA VEM QUE TEM</t>
  </si>
  <si>
    <t xml:space="preserve">RIBAROLA E SILVA LTDA</t>
  </si>
  <si>
    <t xml:space="preserve">DENISE SOARES DE OLIVEIRA</t>
  </si>
  <si>
    <t xml:space="preserve">E O BICHO</t>
  </si>
  <si>
    <t xml:space="preserve">ASSOCIACAO COMUNITARIA DA FAMILIA TERENA</t>
  </si>
  <si>
    <t xml:space="preserve">ALD ASSOC COM FAMILIA TERENA</t>
  </si>
  <si>
    <t xml:space="preserve">VALMIR DE ARRUDA</t>
  </si>
  <si>
    <t xml:space="preserve">FRUTARIA GUANANDY</t>
  </si>
  <si>
    <t xml:space="preserve">MARCOS CESAR RODRIGUES SUZUKI</t>
  </si>
  <si>
    <t xml:space="preserve">AH CARNES E CONVENIENCIA LTDA</t>
  </si>
  <si>
    <t xml:space="preserve">CHURRASCO E CIA</t>
  </si>
  <si>
    <t xml:space="preserve">ANA MARIA PEREIRA DAS CANDEIAS EIRELLI  </t>
  </si>
  <si>
    <t xml:space="preserve">MERCADO E ACOUGUE DA ANA</t>
  </si>
  <si>
    <t xml:space="preserve">REAL PADARIA E CONFEITARIA EIRELI</t>
  </si>
  <si>
    <t xml:space="preserve">REAL PADARIA E CONFEITARIA</t>
  </si>
  <si>
    <t xml:space="preserve">MACHINSKY E RIZZO LTDA</t>
  </si>
  <si>
    <t xml:space="preserve">KACHINSCKY E RIZO</t>
  </si>
  <si>
    <t xml:space="preserve">PANIFICADORA PAO CASEIRO LTDA</t>
  </si>
  <si>
    <t xml:space="preserve">MERCADO SUPREMO LTDA</t>
  </si>
  <si>
    <t xml:space="preserve">EVERALDO DE OLIVEIRA SILVA</t>
  </si>
  <si>
    <t xml:space="preserve">MERCADO FREIRE</t>
  </si>
  <si>
    <t xml:space="preserve">VALDINETE LEVINO DA COSTA</t>
  </si>
  <si>
    <t xml:space="preserve">MERCEARIA DO JUCA</t>
  </si>
  <si>
    <t xml:space="preserve">MAGNO SILVA DE SOUZA</t>
  </si>
  <si>
    <t xml:space="preserve">PANIFICADORA DELICIA DA MANHA</t>
  </si>
  <si>
    <t xml:space="preserve">G F BERNARDO MINIMERCADO</t>
  </si>
  <si>
    <t xml:space="preserve">MERC. SOL NASCENTE</t>
  </si>
  <si>
    <t xml:space="preserve">ISAC LUIZ GOMES MEI</t>
  </si>
  <si>
    <t xml:space="preserve">MERCEARIA RAMOS 2</t>
  </si>
  <si>
    <t xml:space="preserve">JOYCI CARVALHO NAKAMURA EPP</t>
  </si>
  <si>
    <t xml:space="preserve">TEODORA COSMETICOS</t>
  </si>
  <si>
    <t xml:space="preserve">PIRES E BORDIM COM DE MEDICAMENTOS LTDA </t>
  </si>
  <si>
    <t xml:space="preserve">FARMACIA DINIZ</t>
  </si>
  <si>
    <t xml:space="preserve">DIEGO DELLA RIVA</t>
  </si>
  <si>
    <t xml:space="preserve">FORTE FARMA 1</t>
  </si>
  <si>
    <t xml:space="preserve">ALFA COMERCIO E SERVICO EIRELI ME</t>
  </si>
  <si>
    <t xml:space="preserve">GALLOMANN</t>
  </si>
  <si>
    <t xml:space="preserve">JM SUPERMERCADO LTDA</t>
  </si>
  <si>
    <t xml:space="preserve">SUP EDINHO III</t>
  </si>
  <si>
    <t xml:space="preserve">CASA DE CARNE CONVEN CHURRASCAO EIRELI  </t>
  </si>
  <si>
    <t xml:space="preserve">CASA DE CARNE CONVEN CHURRASCAO</t>
  </si>
  <si>
    <t xml:space="preserve">IRMAOS MARQUES SUPERMERCADOS LTDA</t>
  </si>
  <si>
    <t xml:space="preserve">SUPERMERCADO BRASIL</t>
  </si>
  <si>
    <t xml:space="preserve">U C DA SILVA ME</t>
  </si>
  <si>
    <t xml:space="preserve">UR PAES E CONVENIENCIAS</t>
  </si>
  <si>
    <t xml:space="preserve">AUTO POSTO DAKOTA DOURADOS LTDA</t>
  </si>
  <si>
    <t xml:space="preserve"> AUTO POSTO DAKOTA</t>
  </si>
  <si>
    <t xml:space="preserve">LUZIA MOREIRA DE ALMEIDA</t>
  </si>
  <si>
    <t xml:space="preserve">MERCADO WI</t>
  </si>
  <si>
    <t xml:space="preserve">SUPERMERCADO BOM PAI LTDA</t>
  </si>
  <si>
    <t xml:space="preserve">COMERCIAL DE ALIMENTOS BOM SUCESSO LTDA </t>
  </si>
  <si>
    <t xml:space="preserve">NELO PAULINO DO PRADO</t>
  </si>
  <si>
    <t xml:space="preserve">JAIRO CARLOS PEREIRA E CIA LTDA</t>
  </si>
  <si>
    <t xml:space="preserve">MINI MERCADO MANA</t>
  </si>
  <si>
    <t xml:space="preserve">NILSON MAIA DE LIMA</t>
  </si>
  <si>
    <t xml:space="preserve">MERC.INDUSTRIAL</t>
  </si>
  <si>
    <t xml:space="preserve">NATALICIO DOS SANTOS MEI</t>
  </si>
  <si>
    <t xml:space="preserve">MERCADO NOSSA S APARECIDA</t>
  </si>
  <si>
    <t xml:space="preserve">CARVALHO E PEREIRA LTDA</t>
  </si>
  <si>
    <t xml:space="preserve">MERCADO BONANCA</t>
  </si>
  <si>
    <t xml:space="preserve">MARISA O SANTOS CONVENIENCIA GUAICURUS  </t>
  </si>
  <si>
    <t xml:space="preserve">GUAICURUS CONVENIENCIA</t>
  </si>
  <si>
    <t xml:space="preserve">ILENE THERESINHA BOLLER ME</t>
  </si>
  <si>
    <t xml:space="preserve">BRUNO COFFACCI DA SILVEIRA ME</t>
  </si>
  <si>
    <t xml:space="preserve">OUTBACK STEAKHOUSE</t>
  </si>
  <si>
    <t xml:space="preserve">OUTBACK</t>
  </si>
  <si>
    <t xml:space="preserve">CLEITON BRUNO COUTINHO ME</t>
  </si>
  <si>
    <t xml:space="preserve">MERCADO NOVA CONQUISTA</t>
  </si>
  <si>
    <t xml:space="preserve">SANTANA E AMANCIO LTDA</t>
  </si>
  <si>
    <t xml:space="preserve">DIEGO ANDREW CARNEIRO EIRELI</t>
  </si>
  <si>
    <t xml:space="preserve">MARINEZ BENEDETTI</t>
  </si>
  <si>
    <t xml:space="preserve">AMO PET</t>
  </si>
  <si>
    <t xml:space="preserve">GOTTHILF E CIA LTDA</t>
  </si>
  <si>
    <t xml:space="preserve">OZIEL MIRANDA XAVIER</t>
  </si>
  <si>
    <t xml:space="preserve">FRIO ZERO</t>
  </si>
  <si>
    <t xml:space="preserve">CASSIA SCHIAVE</t>
  </si>
  <si>
    <t xml:space="preserve">JBS MERCEARIA PAJE LTDA</t>
  </si>
  <si>
    <t xml:space="preserve">VALDINEI ALVES DA SILVA MEI</t>
  </si>
  <si>
    <t xml:space="preserve">MERCEARIA PITONLENE</t>
  </si>
  <si>
    <t xml:space="preserve">CRISTIANE MARQUES MEIRELES</t>
  </si>
  <si>
    <t xml:space="preserve">CONVENIENCIA MURILO</t>
  </si>
  <si>
    <t xml:space="preserve">WSA COMERCIO DE BEBIDAS E SERVICOS EIREL</t>
  </si>
  <si>
    <t xml:space="preserve">LEVE MAIS BEBIDAS</t>
  </si>
  <si>
    <t xml:space="preserve">JULIANA DA ROCHA SILVA</t>
  </si>
  <si>
    <t xml:space="preserve">E H C QUIRINO</t>
  </si>
  <si>
    <t xml:space="preserve">INDEPENDENCIA LOGISTICA LTDA</t>
  </si>
  <si>
    <t xml:space="preserve">INDEPENDENCIA LOGISTICA</t>
  </si>
  <si>
    <t xml:space="preserve">ANDERSON CALDEIRAO TEIXEIRA</t>
  </si>
  <si>
    <t xml:space="preserve">MERCADO DO PORTUGA</t>
  </si>
  <si>
    <t xml:space="preserve">ROMILDO ZIRONDI</t>
  </si>
  <si>
    <t xml:space="preserve">MERCEARIA ZIRONDI</t>
  </si>
  <si>
    <t xml:space="preserve">BRAZ LOPES - MEI</t>
  </si>
  <si>
    <t xml:space="preserve">SILO A P DE ALMEIDA EIRELI</t>
  </si>
  <si>
    <t xml:space="preserve">SILO CONVENIENCIA</t>
  </si>
  <si>
    <t xml:space="preserve">KATIA OLIVEIRA RICARDO DA SILVA - MEI</t>
  </si>
  <si>
    <t xml:space="preserve">KATIAS CONVENIENCIAS</t>
  </si>
  <si>
    <t xml:space="preserve">ARA QUADROS DOS SANTOS</t>
  </si>
  <si>
    <t xml:space="preserve">MS LTDA</t>
  </si>
  <si>
    <t xml:space="preserve">FABIO CAVALHEIRO</t>
  </si>
  <si>
    <t xml:space="preserve">PANIFICADORA CAVALHEIRO</t>
  </si>
  <si>
    <t xml:space="preserve">FABIANA JESUS DSE BRITO EIRELI ME</t>
  </si>
  <si>
    <t xml:space="preserve">MERCADO ALMIRES</t>
  </si>
  <si>
    <t xml:space="preserve">GARRIGO E FILHOS COM DE MED LTDA ME</t>
  </si>
  <si>
    <t xml:space="preserve">DROGARIA TREVOFARMA</t>
  </si>
  <si>
    <t xml:space="preserve">TALLYTA ANANDA DA SILVA MAEDA - MEI</t>
  </si>
  <si>
    <t xml:space="preserve">MANA LANCHES</t>
  </si>
  <si>
    <t xml:space="preserve">PANTANEIRO COMERCIO DE ALIMENTOS LTDA</t>
  </si>
  <si>
    <t xml:space="preserve">ANDRE RODRIGUES ALENCAR</t>
  </si>
  <si>
    <t xml:space="preserve">SUPERMERCADO MONTE SIAO</t>
  </si>
  <si>
    <t xml:space="preserve">COMELLI E COMELLI LTDA</t>
  </si>
  <si>
    <t xml:space="preserve">IDEAL PHARMA</t>
  </si>
  <si>
    <t xml:space="preserve">CELIO SANTOS DE OLIVEIRA-MEI</t>
  </si>
  <si>
    <t xml:space="preserve">MERC. JF</t>
  </si>
  <si>
    <t xml:space="preserve">B M MORAGA</t>
  </si>
  <si>
    <t xml:space="preserve">BORGES E ARAUJO LTDA</t>
  </si>
  <si>
    <t xml:space="preserve">FARMACIA DO POVO LTDA</t>
  </si>
  <si>
    <t xml:space="preserve">JAIME RIBEIRO DA SILVA</t>
  </si>
  <si>
    <t xml:space="preserve">PADARIA SANTA TERRA</t>
  </si>
  <si>
    <t xml:space="preserve">MARIA DO SOCORRO P MAGALHAES BRILHANTE  </t>
  </si>
  <si>
    <t xml:space="preserve">MERCEARIA SOCORRO</t>
  </si>
  <si>
    <t xml:space="preserve">MINI MERCADO MORUMBI LTDA</t>
  </si>
  <si>
    <t xml:space="preserve">MINI MERCADO MORUMBI</t>
  </si>
  <si>
    <t xml:space="preserve">IZABEL REIS FERREIRA MERCEARIA EIRELI</t>
  </si>
  <si>
    <t xml:space="preserve">DAMIANA FLOR AQUINO BEZERRA</t>
  </si>
  <si>
    <t xml:space="preserve">MERCEARIA DO VALDOMIRO</t>
  </si>
  <si>
    <t xml:space="preserve">ARMANDO MARTINS TAVARES</t>
  </si>
  <si>
    <t xml:space="preserve">COMERCIAL NOVA ESPERANCA</t>
  </si>
  <si>
    <t xml:space="preserve">AVILA E DOMINATO LTDA ME</t>
  </si>
  <si>
    <t xml:space="preserve">EMPORIO PRESIDENTE</t>
  </si>
  <si>
    <t xml:space="preserve">RAQUEL ARTEMAN MARQUES</t>
  </si>
  <si>
    <t xml:space="preserve">MERCADO TEND TUDO</t>
  </si>
  <si>
    <t xml:space="preserve">LOURDES CORDOBA ALVES MEI</t>
  </si>
  <si>
    <t xml:space="preserve">AGENOR FERREIRA E CIA LTDA</t>
  </si>
  <si>
    <t xml:space="preserve">SUPERMERCADO NOVO GONFFER</t>
  </si>
  <si>
    <t xml:space="preserve">CELIO CARDOSO DA SILVA</t>
  </si>
  <si>
    <t xml:space="preserve">MERCEARIA E ACOUGUE GABI</t>
  </si>
  <si>
    <t xml:space="preserve">VANDO RIBEIRO DA SILVA</t>
  </si>
  <si>
    <t xml:space="preserve">SALOON HAMBURGUERIA</t>
  </si>
  <si>
    <t xml:space="preserve">FAVERO COMERCIO DE ALIM LTDA ME</t>
  </si>
  <si>
    <t xml:space="preserve">DIST.DE BEBIDAS E CONV.SONORA LTDA</t>
  </si>
  <si>
    <t xml:space="preserve">CONV.A PRACA E NOSSA LTDA</t>
  </si>
  <si>
    <t xml:space="preserve">A DE ABREU OLIVEIRA ME</t>
  </si>
  <si>
    <t xml:space="preserve">PANIFICADORA E CONFEITARIA IMPERIAL LTDA</t>
  </si>
  <si>
    <t xml:space="preserve">CONFEITARIA IMPERIAL</t>
  </si>
  <si>
    <t xml:space="preserve">DEBORA CRISTINA VALVERDE RABELO ME</t>
  </si>
  <si>
    <t xml:space="preserve">CASA DE RACAO VIRA LATA</t>
  </si>
  <si>
    <t xml:space="preserve">AGRO CHAVES LTDA</t>
  </si>
  <si>
    <t xml:space="preserve">AGRO CHAVES</t>
  </si>
  <si>
    <t xml:space="preserve">WANESSA ALVES RAMOS</t>
  </si>
  <si>
    <t xml:space="preserve">PADARIA COFFE</t>
  </si>
  <si>
    <t xml:space="preserve">A G CAMARA LTDA</t>
  </si>
  <si>
    <t xml:space="preserve">FARMACIA POPULAR SANTA LUZIA COMPER</t>
  </si>
  <si>
    <t xml:space="preserve">PANDOLFO MINIMERCADO LTDA</t>
  </si>
  <si>
    <t xml:space="preserve">MERCADINHO PANDOLFO</t>
  </si>
  <si>
    <t xml:space="preserve">E B FERREIRA - ALIMENTOS</t>
  </si>
  <si>
    <t xml:space="preserve">DIST.CENTRO NORTE</t>
  </si>
  <si>
    <t xml:space="preserve">R C DE OLIVEIRA</t>
  </si>
  <si>
    <t xml:space="preserve">ITALIAN COFFEE</t>
  </si>
  <si>
    <t xml:space="preserve">CONVENIENCIA FIGUEIRA - EIRELI</t>
  </si>
  <si>
    <t xml:space="preserve">CONVENIENCIA FIGUEIRA</t>
  </si>
  <si>
    <t xml:space="preserve">TEREZA FAUSTINO DA SILVA</t>
  </si>
  <si>
    <t xml:space="preserve">ELINETH MACHADO BARBOSA ME</t>
  </si>
  <si>
    <t xml:space="preserve">BAR MERCEARIA BETAO</t>
  </si>
  <si>
    <t xml:space="preserve">MERCADO VILA NOVA LTDA - EPP</t>
  </si>
  <si>
    <t xml:space="preserve">MERCADO VILA NOVA II</t>
  </si>
  <si>
    <t xml:space="preserve">SANDRO TISO ME</t>
  </si>
  <si>
    <t xml:space="preserve">FRUTARIA SAN MATHEUS</t>
  </si>
  <si>
    <t xml:space="preserve">SUPERMERCADO ZE PAULO EIRELI</t>
  </si>
  <si>
    <t xml:space="preserve">SUPERMERCADO ZE PAULO</t>
  </si>
  <si>
    <t xml:space="preserve">CONVENIENCIA MARECO</t>
  </si>
  <si>
    <t xml:space="preserve">GERSON GALDINO E CIA LTDA ME</t>
  </si>
  <si>
    <t xml:space="preserve">DROGARIA POPULAR NOVA</t>
  </si>
  <si>
    <t xml:space="preserve">RODRIGUES E LOPES MERCDO LTDA ME</t>
  </si>
  <si>
    <t xml:space="preserve">MERCADO LOPES TAQUARUSSU</t>
  </si>
  <si>
    <t xml:space="preserve">EDIVETE DA SILVA PESSOA ME</t>
  </si>
  <si>
    <t xml:space="preserve">CARLINHOS CONVENIENCIA</t>
  </si>
  <si>
    <t xml:space="preserve">DAIANE ALVES RIBEIRO MEI</t>
  </si>
  <si>
    <t xml:space="preserve">ADAO RODINEY GARCIA RODRIGUES</t>
  </si>
  <si>
    <t xml:space="preserve">MERCADAO SANTO ANTONIO</t>
  </si>
  <si>
    <t xml:space="preserve">VALDIR GONCALVES DE AZEVEDO</t>
  </si>
  <si>
    <t xml:space="preserve">VALDIR CASA DE CARNES E CONVEN</t>
  </si>
  <si>
    <t xml:space="preserve">PAZ E CIA LTDA ME</t>
  </si>
  <si>
    <t xml:space="preserve">TEX PUB</t>
  </si>
  <si>
    <t xml:space="preserve">G S PAMBIL MERCADO ME</t>
  </si>
  <si>
    <t xml:space="preserve">JUSSARA SALOMAO MEI</t>
  </si>
  <si>
    <t xml:space="preserve">DERCIO A S VENANCIO CONTABILIDADE ME</t>
  </si>
  <si>
    <t xml:space="preserve">EQUIVALENCIA PATRIMONIAL CONTA</t>
  </si>
  <si>
    <t xml:space="preserve">SUPER LIDER DISTRIBUIDORA DE CARNES LTDA</t>
  </si>
  <si>
    <t xml:space="preserve">RITHIERE OSTANTENCO DA SILVA</t>
  </si>
  <si>
    <t xml:space="preserve">GILBERTO SANTOS DA SILVA</t>
  </si>
  <si>
    <t xml:space="preserve">MERCEARIA LIBERDADE</t>
  </si>
  <si>
    <t xml:space="preserve">MARILEIDE DA SILVA BRANDAO DOS SANTOS</t>
  </si>
  <si>
    <t xml:space="preserve">PET FOOD CA DOG</t>
  </si>
  <si>
    <t xml:space="preserve">MERCADO E CONV SANTA FE</t>
  </si>
  <si>
    <t xml:space="preserve">BOTTAN E UCHOA LTDA ME</t>
  </si>
  <si>
    <t xml:space="preserve">MB SUPERMERCADO</t>
  </si>
  <si>
    <t xml:space="preserve">CASTRO E NASCIMENTO PET SHOP LTDA</t>
  </si>
  <si>
    <t xml:space="preserve">PET SHOP CIA DO BICHO</t>
  </si>
  <si>
    <t xml:space="preserve">MERCADO SHEBA LTDA ME</t>
  </si>
  <si>
    <t xml:space="preserve">MERCADO SHEBA</t>
  </si>
  <si>
    <t xml:space="preserve">WALDIR CARDOSO IWATA</t>
  </si>
  <si>
    <t xml:space="preserve">PET SHOP BICHOS E CAPRICHO</t>
  </si>
  <si>
    <t xml:space="preserve">ERIKA BENITES ROMEIRO MEI</t>
  </si>
  <si>
    <t xml:space="preserve">MERCEARIA LARA</t>
  </si>
  <si>
    <t xml:space="preserve">TONYS COMERCIO DE CONFECCOES LTDA ME</t>
  </si>
  <si>
    <t xml:space="preserve">TONYS CONFECCOES</t>
  </si>
  <si>
    <t xml:space="preserve">EVERTON LUIZ FALAVIGNA</t>
  </si>
  <si>
    <t xml:space="preserve">PET SHOPP</t>
  </si>
  <si>
    <t xml:space="preserve">CREUSA GONCALVES</t>
  </si>
  <si>
    <t xml:space="preserve">FRANCISCO DE MELO FILHO MEI</t>
  </si>
  <si>
    <t xml:space="preserve">MERC.PAULISTA</t>
  </si>
  <si>
    <t xml:space="preserve">AC VILA NOVA MERCEARIA E CONVENIENCIA ME</t>
  </si>
  <si>
    <t xml:space="preserve">MERCEARIA E CONVENIENCIA VILA</t>
  </si>
  <si>
    <t xml:space="preserve">PANIFICADORA KARICIA EIRELE</t>
  </si>
  <si>
    <t xml:space="preserve">PANIFICADORA KARICIA</t>
  </si>
  <si>
    <t xml:space="preserve">ROBERTO JOSE DE MATOS FLORENCIANO</t>
  </si>
  <si>
    <t xml:space="preserve">MERCADO E ACOUGUE 2IRMAOS</t>
  </si>
  <si>
    <t xml:space="preserve">M E T DROGARIA LTDA</t>
  </si>
  <si>
    <t xml:space="preserve">M E T DROGARIA</t>
  </si>
  <si>
    <t xml:space="preserve">ANDREIA ALVES DOS SANTOS CUNHA</t>
  </si>
  <si>
    <t xml:space="preserve">CARLOS NETO E NAZARIA LTDA ME</t>
  </si>
  <si>
    <t xml:space="preserve">EL SHADDAI FRUTAS</t>
  </si>
  <si>
    <t xml:space="preserve">RUTE FERNANDES GONCALVES ALVES</t>
  </si>
  <si>
    <t xml:space="preserve">MERCEDES ARCE ORTEGA MEI</t>
  </si>
  <si>
    <t xml:space="preserve">MERCEARIA MERCEDES</t>
  </si>
  <si>
    <t xml:space="preserve">CLAUDIVA PIRES DE OLIVEIRA ME</t>
  </si>
  <si>
    <t xml:space="preserve">MERCEARIA ALTERNATIVA</t>
  </si>
  <si>
    <t xml:space="preserve">DIOGO DE OLIVEIRA SENE ME</t>
  </si>
  <si>
    <t xml:space="preserve">MERCADO SENE</t>
  </si>
  <si>
    <t xml:space="preserve">CLEONILDA GREGORIO MARIANI MEI</t>
  </si>
  <si>
    <t xml:space="preserve">PASTELARIA GIGANTE</t>
  </si>
  <si>
    <t xml:space="preserve">AMANDA DA SILVA VIEIRA</t>
  </si>
  <si>
    <t xml:space="preserve">TERERENET COMERCIO DE ALIMENTOS LTDA</t>
  </si>
  <si>
    <t xml:space="preserve">RODRIGO AZAMBUJA GABINO ME</t>
  </si>
  <si>
    <t xml:space="preserve">ROFARMA</t>
  </si>
  <si>
    <t xml:space="preserve">SUPERMERCADO FALCO E MENEGHELLO LTDA</t>
  </si>
  <si>
    <t xml:space="preserve">SUP.NOSSO</t>
  </si>
  <si>
    <t xml:space="preserve">LUCAS S S VITTI LIMA EIRELI EPP</t>
  </si>
  <si>
    <t xml:space="preserve">SUPERMERCADO SUPREMO</t>
  </si>
  <si>
    <t xml:space="preserve">VALDIVINO CARDOSO DOS SANTOS</t>
  </si>
  <si>
    <t xml:space="preserve">GICELI LUIZA DIAS LTDA</t>
  </si>
  <si>
    <t xml:space="preserve">DELICIAS DA GIGI</t>
  </si>
  <si>
    <t xml:space="preserve">SANCHES E CARVALHO LTDA</t>
  </si>
  <si>
    <t xml:space="preserve">MERCADO NJ</t>
  </si>
  <si>
    <t xml:space="preserve">4 F COMERCIO DE MEDICAMENTOS LTDA ME</t>
  </si>
  <si>
    <t xml:space="preserve">CLEIDE DE MACEDO ME</t>
  </si>
  <si>
    <t xml:space="preserve">LOVE DOG</t>
  </si>
  <si>
    <t xml:space="preserve">DIEGO LOURENCO DE ALBUQUERQUE</t>
  </si>
  <si>
    <t xml:space="preserve">JOSE DE SOUZA AGUIAR E CIA LTDA</t>
  </si>
  <si>
    <t xml:space="preserve">AGUIAR MATERIAIS P CONSTRUCAO</t>
  </si>
  <si>
    <t xml:space="preserve">M.C. DO NASCIMENTO SILVA</t>
  </si>
  <si>
    <t xml:space="preserve">VAREJAO TOMODASHI</t>
  </si>
  <si>
    <t xml:space="preserve">RUI CESAR GUIZARDI</t>
  </si>
  <si>
    <t xml:space="preserve">NOVO MERCADO</t>
  </si>
  <si>
    <t xml:space="preserve">VANDERLEI OLIVEIRA DOMINGOS</t>
  </si>
  <si>
    <t xml:space="preserve">SONIA M.A. DOS SANTOS</t>
  </si>
  <si>
    <t xml:space="preserve">MERC.CONV.SENHOR DIVINO</t>
  </si>
  <si>
    <t xml:space="preserve">SU UTILIDADES</t>
  </si>
  <si>
    <t xml:space="preserve">HUGO MACHADO ROCHA 25236350115</t>
  </si>
  <si>
    <t xml:space="preserve">ACOUGUE COLUMBIA</t>
  </si>
  <si>
    <t xml:space="preserve">LOPES CARVALHO E CIA LTDA ME</t>
  </si>
  <si>
    <t xml:space="preserve">CENTRO OESTE</t>
  </si>
  <si>
    <t xml:space="preserve">ILDA FERREIRA LOPES LTDA</t>
  </si>
  <si>
    <t xml:space="preserve">FL ALIMENTOS</t>
  </si>
  <si>
    <t xml:space="preserve">CHIQ DOG ESTETICA ANIMAL EIRELI ME</t>
  </si>
  <si>
    <t xml:space="preserve">CHIQ DOG ESTETICA ANIMAL</t>
  </si>
  <si>
    <t xml:space="preserve">MERCADO NOVA ESTACAO LTDA ME</t>
  </si>
  <si>
    <t xml:space="preserve">MERCADO NOVA ESTACAO</t>
  </si>
  <si>
    <t xml:space="preserve">CONVENIENCIA CAMARGO EIRELI</t>
  </si>
  <si>
    <t xml:space="preserve">MERCADO E ACOUGUE CAMARGO</t>
  </si>
  <si>
    <t xml:space="preserve">FABIANO VICENTE DIAS</t>
  </si>
  <si>
    <t xml:space="preserve">MERCADO RURAL</t>
  </si>
  <si>
    <t xml:space="preserve">JOEL DA SILVA SANTOS</t>
  </si>
  <si>
    <t xml:space="preserve">GERALDO  BARBOSA</t>
  </si>
  <si>
    <t xml:space="preserve">SERGIO ROCHA DE SOUZA ME</t>
  </si>
  <si>
    <t xml:space="preserve">SERGIO ROCHA DE SOUZA</t>
  </si>
  <si>
    <t xml:space="preserve">NANTES E COELHO LTDA</t>
  </si>
  <si>
    <t xml:space="preserve">AW2 PNEUS LTDA ME</t>
  </si>
  <si>
    <t xml:space="preserve">AW2</t>
  </si>
  <si>
    <t xml:space="preserve">FRANCISCO DA SILVA FLORENTINO</t>
  </si>
  <si>
    <t xml:space="preserve">SEBASTIANA APARECIDA ASSIS DE MENEZES</t>
  </si>
  <si>
    <t xml:space="preserve">PET SHOP FIEL AMIGO</t>
  </si>
  <si>
    <t xml:space="preserve">VITORIA DOS SANTOS REIS</t>
  </si>
  <si>
    <t xml:space="preserve">MERCEARIA NSRA DE FATIMA</t>
  </si>
  <si>
    <t xml:space="preserve">MERCADO MESQUITA</t>
  </si>
  <si>
    <t xml:space="preserve">FHV LOPEZ</t>
  </si>
  <si>
    <t xml:space="preserve">FRICARNES ACOUGUE E</t>
  </si>
  <si>
    <t xml:space="preserve">SARAIVA E NASCIMENTO LTDA</t>
  </si>
  <si>
    <t xml:space="preserve">DROGARIA MIRANFARMA</t>
  </si>
  <si>
    <t xml:space="preserve">CONVENIENCIA LOCATELLI LTDA</t>
  </si>
  <si>
    <t xml:space="preserve">CONVENIENCIA LOCATELLI</t>
  </si>
  <si>
    <t xml:space="preserve">NILCEIA PADOVANI DE LIMA BALEEIRO ME</t>
  </si>
  <si>
    <t xml:space="preserve">MERCADO E CASA DE CARNE PRELIL</t>
  </si>
  <si>
    <t xml:space="preserve">LM ALVES</t>
  </si>
  <si>
    <t xml:space="preserve">MACHADO VARGAS E CIA LTDA</t>
  </si>
  <si>
    <t xml:space="preserve">AMIGO PET</t>
  </si>
  <si>
    <t xml:space="preserve">LUCELIA  SANTOS DA CONCEICAO</t>
  </si>
  <si>
    <t xml:space="preserve">ARIADNE RAISSA REGIS DE SOUZA ME</t>
  </si>
  <si>
    <t xml:space="preserve">CONVENIENCIA E MERCEARIA LIDER</t>
  </si>
  <si>
    <t xml:space="preserve">JORGE DAURI DE OLIVEIRA FERNANDES</t>
  </si>
  <si>
    <t xml:space="preserve">MERCEARIA E CONVENIENCIA DO CARECA</t>
  </si>
  <si>
    <t xml:space="preserve">ROCHA E BARRETOS LTDA</t>
  </si>
  <si>
    <t xml:space="preserve">FARMA NOSSA</t>
  </si>
  <si>
    <t xml:space="preserve">ROCHA E BARRETOS LTDA ME</t>
  </si>
  <si>
    <t xml:space="preserve">DROGARIAS LEVI</t>
  </si>
  <si>
    <t xml:space="preserve">REDE CARIOCA</t>
  </si>
  <si>
    <t xml:space="preserve">ROCHA BARRETOS LTDA</t>
  </si>
  <si>
    <t xml:space="preserve">GRUPO MAIS FARMACIA</t>
  </si>
  <si>
    <t xml:space="preserve">CASARI E CLEMENTE LTDA ME</t>
  </si>
  <si>
    <t xml:space="preserve">FARMACEUTICA FARMACIA E PERFUM</t>
  </si>
  <si>
    <t xml:space="preserve">LUCIANA NONATO XAVIER</t>
  </si>
  <si>
    <t xml:space="preserve">CONVENIENCIA XAVIER</t>
  </si>
  <si>
    <t xml:space="preserve">MARTINS E CARRILHO LTDA</t>
  </si>
  <si>
    <t xml:space="preserve">DROGARIA AQUIDAUANA</t>
  </si>
  <si>
    <t xml:space="preserve">RENATA GARCETE MAROLA</t>
  </si>
  <si>
    <t xml:space="preserve">NILTON LOPES MORAES</t>
  </si>
  <si>
    <t xml:space="preserve">MINI MERCADO SAO JORGE</t>
  </si>
  <si>
    <t xml:space="preserve">GRACILENE PEIXOTO DA SILVA</t>
  </si>
  <si>
    <t xml:space="preserve">EDER DE SOUZA JARA</t>
  </si>
  <si>
    <t xml:space="preserve">IONE DE SV MIRANDA</t>
  </si>
  <si>
    <t xml:space="preserve">PANIFICADORA GALERIA DOS PAES</t>
  </si>
  <si>
    <t xml:space="preserve">JOSELI APARECIDA RODRIGUES SALES ME</t>
  </si>
  <si>
    <t xml:space="preserve">DROGARIA DROGAMED 3</t>
  </si>
  <si>
    <t xml:space="preserve">JOAO TEODORO DE SOUZA MEI</t>
  </si>
  <si>
    <t xml:space="preserve">MERCEARIA E CONV TJ</t>
  </si>
  <si>
    <t xml:space="preserve">ADNAN ALVES BARBOSA TRANSPORTES</t>
  </si>
  <si>
    <t xml:space="preserve">JEADRI TRANSPORTE</t>
  </si>
  <si>
    <t xml:space="preserve">TANIA BARAGAO MIRANDA A ASAKAWA</t>
  </si>
  <si>
    <t xml:space="preserve">CONVENIENCIA ASAKAWA</t>
  </si>
  <si>
    <t xml:space="preserve">GILMAR SILVA DOS SANTOS</t>
  </si>
  <si>
    <t xml:space="preserve">BAR DO GILMAR</t>
  </si>
  <si>
    <t xml:space="preserve">MOREIRA S MESQUITA DROGARIA LTDA</t>
  </si>
  <si>
    <t xml:space="preserve">DROGARIA STA LUZIA</t>
  </si>
  <si>
    <t xml:space="preserve">DEISE PILTZ ME</t>
  </si>
  <si>
    <t xml:space="preserve">B G DE SOUZA-MERCADO</t>
  </si>
  <si>
    <t xml:space="preserve">MERCADO EBER</t>
  </si>
  <si>
    <t xml:space="preserve">JUECY CARNEIRO FILGUEIRAS</t>
  </si>
  <si>
    <t xml:space="preserve">CONVENIENCIA JONICA</t>
  </si>
  <si>
    <t xml:space="preserve">ANTONIA APARECIDA PEIXOTO MACHADO</t>
  </si>
  <si>
    <t xml:space="preserve">MERCADO RENATA LTDA</t>
  </si>
  <si>
    <t xml:space="preserve">DENILSON ALVES DE OLIVEIRA</t>
  </si>
  <si>
    <t xml:space="preserve">COMERCIAL PRIMO</t>
  </si>
  <si>
    <t xml:space="preserve">H M M PEDRO EIRELI</t>
  </si>
  <si>
    <t xml:space="preserve">AGROPECUARIA REAL</t>
  </si>
  <si>
    <t xml:space="preserve">AUGUSTINA MENDOZA LUNA</t>
  </si>
  <si>
    <t xml:space="preserve">VP EMBALAGENS LTDA</t>
  </si>
  <si>
    <t xml:space="preserve">OFICINA VERDE JARDINAGEM LDTA ME</t>
  </si>
  <si>
    <t xml:space="preserve">CENTER FLORES</t>
  </si>
  <si>
    <t xml:space="preserve">JARDIM ALVORADA SUPERMERCADO LTDA</t>
  </si>
  <si>
    <t xml:space="preserve">JARDIM ALVORADA SUP.</t>
  </si>
  <si>
    <t xml:space="preserve">MARIA APARECIDA BORGES E CIA LTDA</t>
  </si>
  <si>
    <t xml:space="preserve">MERC SAO SEBASTIAO</t>
  </si>
  <si>
    <t xml:space="preserve">GISLAINE APARECIDA DOS SANTOS</t>
  </si>
  <si>
    <t xml:space="preserve">SUPERMERCADOS SATOS</t>
  </si>
  <si>
    <t xml:space="preserve">NANDI CARDOSO E GRISON</t>
  </si>
  <si>
    <t xml:space="preserve">SUP CONQUISTA</t>
  </si>
  <si>
    <t xml:space="preserve">BRUNO CESAR BORGES</t>
  </si>
  <si>
    <t xml:space="preserve">SUSANA MARQUES</t>
  </si>
  <si>
    <t xml:space="preserve">P.F.G.F.J COMERCIO DE BEBIDAS EIRELI</t>
  </si>
  <si>
    <t xml:space="preserve">RONIE VON JUNQUEIRA DE FREITAS ME</t>
  </si>
  <si>
    <t xml:space="preserve">CASA DE RACAO R.S</t>
  </si>
  <si>
    <t xml:space="preserve">CASSIANO DOS SANTOS AUGUSTINHO</t>
  </si>
  <si>
    <t xml:space="preserve">LUCIA CAZUZA DA ROCHA</t>
  </si>
  <si>
    <t xml:space="preserve">CLODIS JOSE DA COSTA</t>
  </si>
  <si>
    <t xml:space="preserve">LANCHONETE ITALIA</t>
  </si>
  <si>
    <t xml:space="preserve">EDUIN CERRUDO CRUZ</t>
  </si>
  <si>
    <t xml:space="preserve">MARIA DAS GRACAS SILVA</t>
  </si>
  <si>
    <t xml:space="preserve">EVA DE SOUZA EURIPES</t>
  </si>
  <si>
    <t xml:space="preserve">LANCHONETE DA EVA</t>
  </si>
  <si>
    <t xml:space="preserve">ODACIR ANTONIO DACROCE</t>
  </si>
  <si>
    <t xml:space="preserve">CONVENIENCIA E MERCEARIA DACROSE</t>
  </si>
  <si>
    <t xml:space="preserve">APARECIDO FRANCO MENDES</t>
  </si>
  <si>
    <t xml:space="preserve">CONVENIENCIA ESPETO DA VILA</t>
  </si>
  <si>
    <t xml:space="preserve">ESPOSITO E ESPOSITO LTDA</t>
  </si>
  <si>
    <t xml:space="preserve">FRUTARIA</t>
  </si>
  <si>
    <t xml:space="preserve">BONACOLSE FRIOS E CONVENIENCIA LTDA</t>
  </si>
  <si>
    <t xml:space="preserve">BONACOLSI FRIOS E CONVENIENCIA</t>
  </si>
  <si>
    <t xml:space="preserve">ELIZABETH NASCIMENTO SILVA ME</t>
  </si>
  <si>
    <t xml:space="preserve">PADARIA E MERCEARIA SILVA</t>
  </si>
  <si>
    <t xml:space="preserve">CLAUDEMIR GAUNA PINTO</t>
  </si>
  <si>
    <t xml:space="preserve">MERCADO DA HORTA</t>
  </si>
  <si>
    <t xml:space="preserve">TODO DIA MERCADO LTDA-ME</t>
  </si>
  <si>
    <t xml:space="preserve">MISSBELLA COSMETICOS E PERFUMARIA EIRELI</t>
  </si>
  <si>
    <t xml:space="preserve">MISS BELLA</t>
  </si>
  <si>
    <t xml:space="preserve">SUPERMERCADO RURAL LTDA</t>
  </si>
  <si>
    <t xml:space="preserve">CLEUSA MOREIRA DA SILVA</t>
  </si>
  <si>
    <t xml:space="preserve">MERCEARIA ADONAI</t>
  </si>
  <si>
    <t xml:space="preserve">PET SHOP POPULAR</t>
  </si>
  <si>
    <t xml:space="preserve">EUROPET</t>
  </si>
  <si>
    <t xml:space="preserve">SCHNEIDER E CARVALHO SCHNEIDER LTDA</t>
  </si>
  <si>
    <t xml:space="preserve">SCHNEIDER E CARVALHO SCNEIDER LTDA ME</t>
  </si>
  <si>
    <t xml:space="preserve">SCHNEIDER E CARVALHO SCHNEIDER LTDA ME  </t>
  </si>
  <si>
    <t xml:space="preserve">MARTA BRANDINO DA SILVA</t>
  </si>
  <si>
    <t xml:space="preserve">MERCADO DE PAULA</t>
  </si>
  <si>
    <t xml:space="preserve">DISPERATI E DISPERATI LTDA</t>
  </si>
  <si>
    <t xml:space="preserve">MERCADO CAMPEAO</t>
  </si>
  <si>
    <t xml:space="preserve">CASA DE CARNES SAO JOSE LTDA</t>
  </si>
  <si>
    <t xml:space="preserve">CASA DE CARNES SAO JOSE</t>
  </si>
  <si>
    <t xml:space="preserve">HID COSTA DO NASCIMENTO MEI</t>
  </si>
  <si>
    <t xml:space="preserve">HID COSTA DO NASCIMENTO ME</t>
  </si>
  <si>
    <t xml:space="preserve">MERCADO GASPARZINHO</t>
  </si>
  <si>
    <t xml:space="preserve">M N MORAIS CONVENIENCIA</t>
  </si>
  <si>
    <t xml:space="preserve">CONVENIENCIA MOHAMED</t>
  </si>
  <si>
    <t xml:space="preserve">SAULO LIMA MACIEL ME</t>
  </si>
  <si>
    <t xml:space="preserve">VILLA PET</t>
  </si>
  <si>
    <t xml:space="preserve">FRANCISCO LIMACHI AQUINO</t>
  </si>
  <si>
    <t xml:space="preserve">MERCEARIA LIMACHI</t>
  </si>
  <si>
    <t xml:space="preserve">MORENO E LEAL LTDA</t>
  </si>
  <si>
    <t xml:space="preserve">RR COM DE ALIM E BEBIDAS LTDA ME</t>
  </si>
  <si>
    <t xml:space="preserve">RR COM DE ALIM E BEBIDAS</t>
  </si>
  <si>
    <t xml:space="preserve">DOUFER VARIEDADES E UTILIDADES</t>
  </si>
  <si>
    <t xml:space="preserve">CUSTODIO E COLLODETO LTDA - ME</t>
  </si>
  <si>
    <t xml:space="preserve">HOTEL DUBAI</t>
  </si>
  <si>
    <t xml:space="preserve">W DE OLIVEIRA LUIZ</t>
  </si>
  <si>
    <t xml:space="preserve">WALL CONVENIENCIA</t>
  </si>
  <si>
    <t xml:space="preserve"> LUCIZANO E BERMM COM.MED.PERFUMARIA LTD</t>
  </si>
  <si>
    <t xml:space="preserve">FARMACIA REZENFARMA</t>
  </si>
  <si>
    <t xml:space="preserve">MERCADO COMPRE MAIS EIRELI</t>
  </si>
  <si>
    <t xml:space="preserve">JULIETA FLORES SANCHEZ</t>
  </si>
  <si>
    <t xml:space="preserve">MERCEARIA SANCHEZ</t>
  </si>
  <si>
    <t xml:space="preserve">EDSON THEODORO TOSTA MEI</t>
  </si>
  <si>
    <t xml:space="preserve">MERCEARIA DO EDSON</t>
  </si>
  <si>
    <t xml:space="preserve">RUBENS BIGARAN DA SILVA</t>
  </si>
  <si>
    <t xml:space="preserve">NUNES E SILVA LTDA</t>
  </si>
  <si>
    <t xml:space="preserve">MERCADO ALVES E ARAUJO LTDA</t>
  </si>
  <si>
    <t xml:space="preserve">AUTO POSTO DUAS NACOES</t>
  </si>
  <si>
    <t xml:space="preserve">MARIO SERGIO MALHEIROS ME</t>
  </si>
  <si>
    <t xml:space="preserve">AVICOLA PITANGUA</t>
  </si>
  <si>
    <t xml:space="preserve">AUTO POSTO BARRIGA VERDE LTDA EPP</t>
  </si>
  <si>
    <t xml:space="preserve">AUTO POSTO BARRIGA VERDE</t>
  </si>
  <si>
    <t xml:space="preserve">TANIA APARECIDA DOS SANTOS OZAKO - MEI  </t>
  </si>
  <si>
    <t xml:space="preserve">TANIA APARECIDA</t>
  </si>
  <si>
    <t xml:space="preserve">MARIA REGINA GALVES ME</t>
  </si>
  <si>
    <t xml:space="preserve">EMPORIO DO RECANTO</t>
  </si>
  <si>
    <t xml:space="preserve">MERC. E CONV. N S APARECIDA</t>
  </si>
  <si>
    <t xml:space="preserve">VALDOMIRO ALVES FAGUNDES - MEI</t>
  </si>
  <si>
    <t xml:space="preserve">POINT BEER</t>
  </si>
  <si>
    <t xml:space="preserve">ELENICE FERREIRA</t>
  </si>
  <si>
    <t xml:space="preserve">CONSTRUGIL EMPREENDIMENTOS</t>
  </si>
  <si>
    <t xml:space="preserve">C L R COMERCIAL LTDA EPP</t>
  </si>
  <si>
    <t xml:space="preserve">CLR COMERCIAL</t>
  </si>
  <si>
    <t xml:space="preserve">J A DIAS EIRELI</t>
  </si>
  <si>
    <t xml:space="preserve">PET MIX</t>
  </si>
  <si>
    <t xml:space="preserve">FSB MEDICAMENTOS LTDA</t>
  </si>
  <si>
    <t xml:space="preserve">CENTER PHARMA</t>
  </si>
  <si>
    <t xml:space="preserve">VANDERLEI LIDORO DE SANTANA MEI</t>
  </si>
  <si>
    <t xml:space="preserve">MERCADO MADRI</t>
  </si>
  <si>
    <t xml:space="preserve">BEATRIZ DE SOUZA SANCHES EIRELI ME</t>
  </si>
  <si>
    <t xml:space="preserve">SUPERMERCADO SUPER 10</t>
  </si>
  <si>
    <t xml:space="preserve">LOURDES MARIA GODOY EIRELI</t>
  </si>
  <si>
    <t xml:space="preserve">MERCEARIA CRUZEIRO EIRELLI</t>
  </si>
  <si>
    <t xml:space="preserve">ROSALINA FATIMA COENE</t>
  </si>
  <si>
    <t xml:space="preserve">MARCOS MANZANEDA CANAZA ME</t>
  </si>
  <si>
    <t xml:space="preserve">MERCEARIA DOM AQUINO</t>
  </si>
  <si>
    <t xml:space="preserve">CONVENIENCIA AMAMBAI LTDA ME</t>
  </si>
  <si>
    <t xml:space="preserve">CONVENIENCIA AMAMBAI</t>
  </si>
  <si>
    <t xml:space="preserve">ELIANDRA PEREIRA COUTINHO</t>
  </si>
  <si>
    <t xml:space="preserve">LAURA FERREIRA DIAS EIRELI ME</t>
  </si>
  <si>
    <t xml:space="preserve">CONVENIENCIA SEM LIMITES</t>
  </si>
  <si>
    <t xml:space="preserve">JOBER TONET</t>
  </si>
  <si>
    <t xml:space="preserve">DILCEIA VILA MAIOR DA SILVA</t>
  </si>
  <si>
    <t xml:space="preserve">MERCADO CAMISAO</t>
  </si>
  <si>
    <t xml:space="preserve">LERIANA DA SILVEIRA MARTINS</t>
  </si>
  <si>
    <t xml:space="preserve">COISAS DE BICHO</t>
  </si>
  <si>
    <t xml:space="preserve">COMERCIO DE ALIMENTOS JN LTDA</t>
  </si>
  <si>
    <t xml:space="preserve">CARNES ALFA</t>
  </si>
  <si>
    <t xml:space="preserve">CLAUSS E CHAMORRO LTDA ME</t>
  </si>
  <si>
    <t xml:space="preserve">MERCADO E PANIFICADORA VITORIA</t>
  </si>
  <si>
    <t xml:space="preserve">BARBIERO CIA LTDA ME</t>
  </si>
  <si>
    <t xml:space="preserve">MULTIDROGAS</t>
  </si>
  <si>
    <t xml:space="preserve">DENILSE MATOS IBARRA</t>
  </si>
  <si>
    <t xml:space="preserve">MERCEARIA TAROBA</t>
  </si>
  <si>
    <t xml:space="preserve">F.S. BEZERRA</t>
  </si>
  <si>
    <t xml:space="preserve">COMERCIAL BEZERRA</t>
  </si>
  <si>
    <t xml:space="preserve">CONVENIENCIA ISABELA  LTDA</t>
  </si>
  <si>
    <t xml:space="preserve">BELA CONVENIENCIA</t>
  </si>
  <si>
    <t xml:space="preserve">MERCEARIA ORIENTAL COMERCIO VAREJISTA DE</t>
  </si>
  <si>
    <t xml:space="preserve">MERCEARIA ORIENTAL</t>
  </si>
  <si>
    <t xml:space="preserve">SEBASTIAO GARCIA DE ALMEIDA</t>
  </si>
  <si>
    <t xml:space="preserve">CONVENIENCIA 3J</t>
  </si>
  <si>
    <t xml:space="preserve">DINO CEZAR CANATTO COIMBRA</t>
  </si>
  <si>
    <t xml:space="preserve">MERCEARIA E CONVENIENCIA COIMB</t>
  </si>
  <si>
    <t xml:space="preserve">JOELITO ARAUJO DE SOUZA . EIRELI ME</t>
  </si>
  <si>
    <t xml:space="preserve">MERKADIN</t>
  </si>
  <si>
    <t xml:space="preserve">HOFFMANN PRODUTOS ALIMENTICIOS EIRELLI  </t>
  </si>
  <si>
    <t xml:space="preserve">HOFFMANN PRODUTOS ALIMENTICIOS</t>
  </si>
  <si>
    <t xml:space="preserve">MERCADO SABOR DE MEL LTDA - ME</t>
  </si>
  <si>
    <t xml:space="preserve">MERCADO SABOR DE MEL</t>
  </si>
  <si>
    <t xml:space="preserve">POSTO DE SERVICOS GUIA LOPES LTDA</t>
  </si>
  <si>
    <t xml:space="preserve">POSTO ARARAS</t>
  </si>
  <si>
    <t xml:space="preserve">ADRIANA SOUZA DA SILVA</t>
  </si>
  <si>
    <t xml:space="preserve">SACOLAO E MERCEARIA 2 IRMAOS</t>
  </si>
  <si>
    <t xml:space="preserve">CARLOS EDUARDO VIEIRA ME</t>
  </si>
  <si>
    <t xml:space="preserve">ACOUGUE MODELO</t>
  </si>
  <si>
    <t xml:space="preserve">ERICK NILSON FERREIRA SOUZA</t>
  </si>
  <si>
    <t xml:space="preserve">CARVALHO E VITAL  LTDA</t>
  </si>
  <si>
    <t xml:space="preserve">MERKADORES COMERCIO DE PRODUTOS ALIMENTI</t>
  </si>
  <si>
    <t xml:space="preserve">MERKADORES</t>
  </si>
  <si>
    <t xml:space="preserve">ROSIMAR C SILVEIRA TUNELLERO E CIA LTDA </t>
  </si>
  <si>
    <t xml:space="preserve">MINIMERCADO PRIMAVERA LTDA</t>
  </si>
  <si>
    <t xml:space="preserve">MINI MERCADO PRIMAVERA</t>
  </si>
  <si>
    <t xml:space="preserve">MARCELINO E ANDRADE LTDA ME</t>
  </si>
  <si>
    <t xml:space="preserve">MANOEL FELIX PINHEIRO E CIA LTDA</t>
  </si>
  <si>
    <t xml:space="preserve">C E QUISPE ESCOBRAR</t>
  </si>
  <si>
    <t xml:space="preserve">MERCEARIA ESCOBAR</t>
  </si>
  <si>
    <t xml:space="preserve">PET REIS</t>
  </si>
  <si>
    <t xml:space="preserve">VIEIRA E NETTZ LTDA</t>
  </si>
  <si>
    <t xml:space="preserve">PANFICADORA E CONV DELICIAS DO</t>
  </si>
  <si>
    <t xml:space="preserve">HENRIQUE MOREIRA LEMOS BERALDO</t>
  </si>
  <si>
    <t xml:space="preserve">DELLA RIVA E CIA LTDA</t>
  </si>
  <si>
    <t xml:space="preserve">FARMACIA HIPER POPULAR</t>
  </si>
  <si>
    <t xml:space="preserve">MARCIO MORAIS CHARAO</t>
  </si>
  <si>
    <t xml:space="preserve">TNI INFORMATICA E MERCADORIA</t>
  </si>
  <si>
    <t xml:space="preserve">MILENE ANSELMO CAMARGO</t>
  </si>
  <si>
    <t xml:space="preserve">SILVIA MARIA ROBERTO DA SILVA</t>
  </si>
  <si>
    <t xml:space="preserve">BIG LAR VARIEDADES</t>
  </si>
  <si>
    <t xml:space="preserve">FARMACIA POPULAR TIJUCA LTDA</t>
  </si>
  <si>
    <t xml:space="preserve">FARMACIA POPULAR TIJUCA</t>
  </si>
  <si>
    <t xml:space="preserve">ACM DA SILVA SUPERMERCADO ME</t>
  </si>
  <si>
    <t xml:space="preserve">BEM MAIS BARATO SUPERMERCADO</t>
  </si>
  <si>
    <t xml:space="preserve">J.BATISTA CAVALCANTE</t>
  </si>
  <si>
    <t xml:space="preserve">DISTRIBUIDORA MASTER</t>
  </si>
  <si>
    <t xml:space="preserve">DEREK MELGAR DA SILVA</t>
  </si>
  <si>
    <t xml:space="preserve">PET SHOP CAMPO GRANDE</t>
  </si>
  <si>
    <t xml:space="preserve">ADRIANA DE SOUZA MENDONCA</t>
  </si>
  <si>
    <t xml:space="preserve">AMARELINHO CONVENIENCIA</t>
  </si>
  <si>
    <t xml:space="preserve">LAUANA FONSECA AGUIAR</t>
  </si>
  <si>
    <t xml:space="preserve">DROGA MIX POPULAR</t>
  </si>
  <si>
    <t xml:space="preserve">PAULO ROGERIO RODRIGUES DA SILVA</t>
  </si>
  <si>
    <t xml:space="preserve">SUPER MINI MERCADO</t>
  </si>
  <si>
    <t xml:space="preserve">FLAVIO RAMAO JARSON MEI</t>
  </si>
  <si>
    <t xml:space="preserve">BENJAMIM BERNARDI EPP</t>
  </si>
  <si>
    <t xml:space="preserve">PET SHOP CAOTEINER</t>
  </si>
  <si>
    <t xml:space="preserve">HELENA LIMA DO PRADO</t>
  </si>
  <si>
    <t xml:space="preserve">MERCEARIA PRADO</t>
  </si>
  <si>
    <t xml:space="preserve">VONEY DIAS DOS ANJOS</t>
  </si>
  <si>
    <t xml:space="preserve">OSHIRO PET SHOP LTDA ME</t>
  </si>
  <si>
    <t xml:space="preserve">ANDRES CORRALES MENACHO MEI</t>
  </si>
  <si>
    <t xml:space="preserve">COMERCIAL CORRALES</t>
  </si>
  <si>
    <t xml:space="preserve">GOMES E LUIZARI LTDA</t>
  </si>
  <si>
    <t xml:space="preserve">SUPERMERCADO ECONOMICO BAIRRO</t>
  </si>
  <si>
    <t xml:space="preserve">FERRARI E FERRARI LTDA ME</t>
  </si>
  <si>
    <t xml:space="preserve">LOJA DO NOVENTA</t>
  </si>
  <si>
    <t xml:space="preserve">TRILHOS COVENIENCIA</t>
  </si>
  <si>
    <t xml:space="preserve">TMB SUPERMERCADOS LTDA</t>
  </si>
  <si>
    <t xml:space="preserve">TMB SUPERMERCADOS</t>
  </si>
  <si>
    <t xml:space="preserve">TMB SUPERMERCADOS LTDA - EPP</t>
  </si>
  <si>
    <t xml:space="preserve">SANDRA APARECIDA BAGOLIM</t>
  </si>
  <si>
    <t xml:space="preserve">CUBA CONVENIENCIA</t>
  </si>
  <si>
    <t xml:space="preserve">TASSINARI E SOUZA LTDA</t>
  </si>
  <si>
    <t xml:space="preserve">EMPORIO BEER CONVENIENCIA</t>
  </si>
  <si>
    <t xml:space="preserve">KALYENNY DA COSTA RABENHORST</t>
  </si>
  <si>
    <t xml:space="preserve">PET LOVER CG</t>
  </si>
  <si>
    <t xml:space="preserve">TSS TRANSP COMER IMPOR E EXPO LTDA</t>
  </si>
  <si>
    <t xml:space="preserve">TSS TRANSP COMER IMPOR E EXPO</t>
  </si>
  <si>
    <t xml:space="preserve">MUNIZ E SENTOMA LTDA ME</t>
  </si>
  <si>
    <t xml:space="preserve">CASA DA MANDIOCA E MERCADO O M</t>
  </si>
  <si>
    <t xml:space="preserve">MARCOS TRINDADE LEITE - MEI</t>
  </si>
  <si>
    <t xml:space="preserve">BAR E CONVENIENCIA DO PECORA</t>
  </si>
  <si>
    <t xml:space="preserve">JULHIANE ALISSA PINHEIRO GOMES ARAUJO</t>
  </si>
  <si>
    <t xml:space="preserve">EVANGELA NETTO ACOSTA MEI</t>
  </si>
  <si>
    <t xml:space="preserve">CESTA BASICA AURORA</t>
  </si>
  <si>
    <t xml:space="preserve">SANTA HELENA SUPERMERCADO LTDA</t>
  </si>
  <si>
    <t xml:space="preserve">SANTA HELENA SUPERMERCADO</t>
  </si>
  <si>
    <t xml:space="preserve">MINIMERCADO AUGUSTO QUEIROZ EIRELI</t>
  </si>
  <si>
    <t xml:space="preserve">SILVANA DA SILVA O ASANUMA ME</t>
  </si>
  <si>
    <t xml:space="preserve">MERCEARIA EUROPA</t>
  </si>
  <si>
    <t xml:space="preserve">RITA HORTENCIA TABORGA DE HURTADO</t>
  </si>
  <si>
    <t xml:space="preserve">SEIS IRMAOS</t>
  </si>
  <si>
    <t xml:space="preserve">ARMINDA CHURA BAUTISTA</t>
  </si>
  <si>
    <t xml:space="preserve">COMERCIAL CHURA</t>
  </si>
  <si>
    <t xml:space="preserve">CONVENIENCIA RIO BRANCO LTDA</t>
  </si>
  <si>
    <t xml:space="preserve">JORGE ROBERTO DE OLIVEIRA</t>
  </si>
  <si>
    <t xml:space="preserve">MERCADO DO ALHO</t>
  </si>
  <si>
    <t xml:space="preserve">MUNIQUE GABRIELLY AQUINO</t>
  </si>
  <si>
    <t xml:space="preserve">ALIANCA FRIOS E LATIC</t>
  </si>
  <si>
    <t xml:space="preserve">CLEBER MARTIN SALAZAR DO NASCIMENTO</t>
  </si>
  <si>
    <t xml:space="preserve">CONVENIENCIA DA 10</t>
  </si>
  <si>
    <t xml:space="preserve">ESF COMERCIO E REPRESENTACOES EIRELI</t>
  </si>
  <si>
    <t xml:space="preserve">AGROPET CENTER</t>
  </si>
  <si>
    <t xml:space="preserve">JACK FOODS COMERCIO ALIMENTICIOS LTDA ME</t>
  </si>
  <si>
    <t xml:space="preserve">DELICIAS NA BRASA</t>
  </si>
  <si>
    <t xml:space="preserve">GEROTTI E HERNANDES LTDA-EPP</t>
  </si>
  <si>
    <t xml:space="preserve">CASA LIMPA SOLUCOES EM LIMPEZA</t>
  </si>
  <si>
    <t xml:space="preserve">MERCADO NOVO BOX LTDA</t>
  </si>
  <si>
    <t xml:space="preserve">MERCADO NOVO BOX</t>
  </si>
  <si>
    <t xml:space="preserve">RUBENS GUIMARAES</t>
  </si>
  <si>
    <t xml:space="preserve">BAR E MERCEARIA VASCO DA GAMA</t>
  </si>
  <si>
    <t xml:space="preserve">J R  PORTO MENEGUELLO E CIA LTDA</t>
  </si>
  <si>
    <t xml:space="preserve">MERCADO JOTALI II</t>
  </si>
  <si>
    <t xml:space="preserve">MATHEUS HENRIQUE DOS SANTOS NARDINE</t>
  </si>
  <si>
    <t xml:space="preserve">PET SHOP STOP DOG</t>
  </si>
  <si>
    <t xml:space="preserve">LOPES E FALEIROS LTDA</t>
  </si>
  <si>
    <t xml:space="preserve">MMK SHIRAISHI CONVENIENCIA LTDA</t>
  </si>
  <si>
    <t xml:space="preserve">CONVENIENCIA SHIRAISHI 5</t>
  </si>
  <si>
    <t xml:space="preserve">KATIANA APARECIDA MOURA CRISTALDO</t>
  </si>
  <si>
    <t xml:space="preserve">BOM DE MAIS</t>
  </si>
  <si>
    <t xml:space="preserve">DIVINA GONCALVES DA SILVA</t>
  </si>
  <si>
    <t xml:space="preserve">VIVA REDE FARMA</t>
  </si>
  <si>
    <t xml:space="preserve">MARIA JOSE RONCON VICENTE</t>
  </si>
  <si>
    <t xml:space="preserve">EVANIA CUSTODIO LOPES</t>
  </si>
  <si>
    <t xml:space="preserve">MERCEARIA GENESIS</t>
  </si>
  <si>
    <t xml:space="preserve">PORTAL FESTAS COM DE EMB DOCES E CHOC LT</t>
  </si>
  <si>
    <t xml:space="preserve">PORTAL FESTAS DE EMBALAGENS</t>
  </si>
  <si>
    <t xml:space="preserve">MAYSA DIAS CARDOSO BARBUIO</t>
  </si>
  <si>
    <t xml:space="preserve">SUP FUTURA</t>
  </si>
  <si>
    <t xml:space="preserve">ANGELA MAGALHAES CARVALHO</t>
  </si>
  <si>
    <t xml:space="preserve">EVERTON MENDONCA DE MORAES EIRELI</t>
  </si>
  <si>
    <t xml:space="preserve">CONVENIENCIA E DISTRIBUIDORA ERA DO GELO</t>
  </si>
  <si>
    <t xml:space="preserve">IDIUMAR MARIANO RIBEIRO</t>
  </si>
  <si>
    <t xml:space="preserve">MERCADO E CONVENIENCIA LL</t>
  </si>
  <si>
    <t xml:space="preserve">NN COMERCIO DE MEDICAMENTOS LTDA</t>
  </si>
  <si>
    <t xml:space="preserve">G TOLEDO GOMES</t>
  </si>
  <si>
    <t xml:space="preserve">LAN HOUSE E COMERCIAL PL</t>
  </si>
  <si>
    <t xml:space="preserve">MARIA ROSIMAR DA MOTA VIANA DA CRUZ</t>
  </si>
  <si>
    <t xml:space="preserve">MARIA ROSIMAR</t>
  </si>
  <si>
    <t xml:space="preserve">JENUARIO BRAZ FERREIRA MEI</t>
  </si>
  <si>
    <t xml:space="preserve">MERC E CONV NOSSA S APARECIDA</t>
  </si>
  <si>
    <t xml:space="preserve">JEAN AMORIM RIBEIRO COSTA</t>
  </si>
  <si>
    <t xml:space="preserve">ON LINE PET SHOP MS</t>
  </si>
  <si>
    <t xml:space="preserve">ILTO BITENCOOR DA SILVA ME</t>
  </si>
  <si>
    <t xml:space="preserve">MERCADO YAHVEH</t>
  </si>
  <si>
    <t xml:space="preserve">G MACHADO COMERCIO DE FRIOS EIRELI</t>
  </si>
  <si>
    <t xml:space="preserve">HIPERFRIOS</t>
  </si>
  <si>
    <t xml:space="preserve">EZENILDA DE OLIVEIRA CLARO CHAVES</t>
  </si>
  <si>
    <t xml:space="preserve">ROTAS BEER</t>
  </si>
  <si>
    <t xml:space="preserve">VALDINEI FERREIRA DA SILVA</t>
  </si>
  <si>
    <t xml:space="preserve">CONVENIENCIA E MERCADO J T</t>
  </si>
  <si>
    <t xml:space="preserve">ZANOTTO E CASTRO LTDA</t>
  </si>
  <si>
    <t xml:space="preserve">MINI MERCADO TEIXEIRA EIRELI ME</t>
  </si>
  <si>
    <t xml:space="preserve">MINI MERCADO TEIXEIRA</t>
  </si>
  <si>
    <t xml:space="preserve">MINI MERCADO TEIXEIRA EIRELI</t>
  </si>
  <si>
    <t xml:space="preserve">MERCADO TEIXEIRA</t>
  </si>
  <si>
    <t xml:space="preserve">ELIZABETE DIAS DA SILVA</t>
  </si>
  <si>
    <t xml:space="preserve">CONVENIENCIA E MERCEARIA 080</t>
  </si>
  <si>
    <t xml:space="preserve">MERCEARIA CAROLINA</t>
  </si>
  <si>
    <t xml:space="preserve">VET CENTRAL CLINC VET EIRELLE ME</t>
  </si>
  <si>
    <t xml:space="preserve">VET CENTRAL CLINC VET EIRELLE</t>
  </si>
  <si>
    <t xml:space="preserve">CONVENIENCIA TRES FIGUEIRAS EIRELI ME</t>
  </si>
  <si>
    <t xml:space="preserve">CONVENIENCIA TRES FIGUEIRAS</t>
  </si>
  <si>
    <t xml:space="preserve">SUPERMERCADO JULIANE LTDA</t>
  </si>
  <si>
    <t xml:space="preserve">SUPERMERCADO JULIANE</t>
  </si>
  <si>
    <t xml:space="preserve">MARIO MARCIO PEREIRA LOPES</t>
  </si>
  <si>
    <t xml:space="preserve">CARDOSO E MEIRELES COM. E SERV. LTDA</t>
  </si>
  <si>
    <t xml:space="preserve">MELHOR PARADA</t>
  </si>
  <si>
    <t xml:space="preserve">ANDERSON ESCOBAR RAMOS EIRELI ME</t>
  </si>
  <si>
    <t xml:space="preserve">DRAGARIA VITAL FARMA</t>
  </si>
  <si>
    <t xml:space="preserve">COMERCIAL DE ALIMENTOS GP MAIS LTDA</t>
  </si>
  <si>
    <t xml:space="preserve">REDEMS GP MAIS</t>
  </si>
  <si>
    <t xml:space="preserve">GP MAIS SUPERMERCADO</t>
  </si>
  <si>
    <t xml:space="preserve">ALINE BRITO DE SANTANA</t>
  </si>
  <si>
    <t xml:space="preserve">PRECO BOM DA RACAO</t>
  </si>
  <si>
    <t xml:space="preserve">MARIA ANUNCIADA DE SOUZA FERNANDES</t>
  </si>
  <si>
    <t xml:space="preserve">LOJA MUNDIAL</t>
  </si>
  <si>
    <t xml:space="preserve">JANECEIA FERNANDES PRATES DE LIMA</t>
  </si>
  <si>
    <t xml:space="preserve">COMERCIO COMBUSTIVEL TRES LAGOAS EIRELI </t>
  </si>
  <si>
    <t xml:space="preserve">POSTO AMERICA</t>
  </si>
  <si>
    <t xml:space="preserve">MARSON JOSE PAVAO</t>
  </si>
  <si>
    <t xml:space="preserve">PAVAO CESTA BASICA</t>
  </si>
  <si>
    <t xml:space="preserve">SUPERMERCADO EURO SUPER ALIMENTOS LTDA M</t>
  </si>
  <si>
    <t xml:space="preserve">SUPER MERCADO EURO SUPER</t>
  </si>
  <si>
    <t xml:space="preserve">GRANDE PARADA DE CAMPO GRANDE COMERCIO D</t>
  </si>
  <si>
    <t xml:space="preserve">GRANDE PARADA DE CG DE MS</t>
  </si>
  <si>
    <t xml:space="preserve">YPE SUPERMERCAD0</t>
  </si>
  <si>
    <t xml:space="preserve">DAYENE GARCIA DE OLIVEIRA</t>
  </si>
  <si>
    <t xml:space="preserve">MERCADO E ACOUGUE OLIVEIRA</t>
  </si>
  <si>
    <t xml:space="preserve">SILVANA ALVES GOES</t>
  </si>
  <si>
    <t xml:space="preserve">MERCEARIA E DISK GAS MORIA</t>
  </si>
  <si>
    <t xml:space="preserve">TIAGO PEREIRA DE SOUZA</t>
  </si>
  <si>
    <t xml:space="preserve">PARA MERCADO E CONVENIENCIA</t>
  </si>
  <si>
    <t xml:space="preserve">W MIRANDA NETO</t>
  </si>
  <si>
    <t xml:space="preserve">COMERCIO VAREJISTA DE CARNE</t>
  </si>
  <si>
    <t xml:space="preserve">CELSO GARCIA LOPES</t>
  </si>
  <si>
    <t xml:space="preserve">COMERCIAL LOPES REPRESENTACOES</t>
  </si>
  <si>
    <t xml:space="preserve">COMERCIAL TOMAZI</t>
  </si>
  <si>
    <t xml:space="preserve">TOMAZI GOLFETI LTDA</t>
  </si>
  <si>
    <t xml:space="preserve">PICINIM E HENKE LTDA</t>
  </si>
  <si>
    <t xml:space="preserve">MERCADO FONTES</t>
  </si>
  <si>
    <t xml:space="preserve">POROROCA AUTO POSTO III LTDA</t>
  </si>
  <si>
    <t xml:space="preserve">AUTO POSTO III POROROCA</t>
  </si>
  <si>
    <t xml:space="preserve">KATIAN CARDOSO DE OLIVEIRA EIRELI</t>
  </si>
  <si>
    <t xml:space="preserve">AGRO PET PATAS E PELOS</t>
  </si>
  <si>
    <t xml:space="preserve">MARCOS TADAHISA TODAKA</t>
  </si>
  <si>
    <t xml:space="preserve">HORTA DO MARCOS</t>
  </si>
  <si>
    <t xml:space="preserve">B R H MENDIETA</t>
  </si>
  <si>
    <t xml:space="preserve">COMERCIAL SALOME</t>
  </si>
  <si>
    <t xml:space="preserve">MARCIA ALINE MELO COSTA</t>
  </si>
  <si>
    <t xml:space="preserve">RR CONVENIENCIA</t>
  </si>
  <si>
    <t xml:space="preserve">ROSILENE ALVES DA SILVA SOUZA ME</t>
  </si>
  <si>
    <t xml:space="preserve">COMERCIAL ELISA ERIVELTON</t>
  </si>
  <si>
    <t xml:space="preserve">REGIANE D CARMEM PUCI ALVES</t>
  </si>
  <si>
    <t xml:space="preserve">NANCI TEODORO DE SOUZA</t>
  </si>
  <si>
    <t xml:space="preserve">NANCI ACESSORIOS</t>
  </si>
  <si>
    <t xml:space="preserve">LESSIO DOS SANTOS</t>
  </si>
  <si>
    <t xml:space="preserve">MECADO E ACOUGUE BOIADEIRO</t>
  </si>
  <si>
    <t xml:space="preserve">ROSANGELA FERREIRA VALDEZ</t>
  </si>
  <si>
    <t xml:space="preserve">MERCEARIA INDUSTRIAL</t>
  </si>
  <si>
    <t xml:space="preserve">VET PROTEGE CLINICA VETERINARIA LTDA</t>
  </si>
  <si>
    <t xml:space="preserve">VET PROTEGE</t>
  </si>
  <si>
    <t xml:space="preserve">JOSE JUSTINO XAVIER ME</t>
  </si>
  <si>
    <t xml:space="preserve"> MERCADO XAVIER</t>
  </si>
  <si>
    <t xml:space="preserve">VANOR MOLINA DA SILVA ME</t>
  </si>
  <si>
    <t xml:space="preserve">MERCADO MOLINA</t>
  </si>
  <si>
    <t xml:space="preserve">AGNALDO MATSUO YOSHIDA LTDA</t>
  </si>
  <si>
    <t xml:space="preserve">SUPERMERCADO YOSHIDA</t>
  </si>
  <si>
    <t xml:space="preserve">JOAO D ARC FERREIRA DOS SANTOS</t>
  </si>
  <si>
    <t xml:space="preserve">TATIANA RIEGER VIEIRA ME</t>
  </si>
  <si>
    <t xml:space="preserve">CAT DOG PET SHOP</t>
  </si>
  <si>
    <t xml:space="preserve">VIDA E LEMOS LTDA</t>
  </si>
  <si>
    <t xml:space="preserve">SUPERMERCADO MARQUES LTDA</t>
  </si>
  <si>
    <t xml:space="preserve">SUPERMERCADO DO PRODUTOR</t>
  </si>
  <si>
    <t xml:space="preserve">IVOLIN KAPPELER FLORES</t>
  </si>
  <si>
    <t xml:space="preserve">HOLSBACK E ALMEIDA LTDA</t>
  </si>
  <si>
    <t xml:space="preserve">0PCAO MINI MERCADO</t>
  </si>
  <si>
    <t xml:space="preserve">WILMA LOPES DA SILVA DE LIMA ME</t>
  </si>
  <si>
    <t xml:space="preserve">CASA DE CARNE E SACOLAO</t>
  </si>
  <si>
    <t xml:space="preserve">MARIELE SERVIN LEITE MEI</t>
  </si>
  <si>
    <t xml:space="preserve">Q BELEZA CONVENIENCIA</t>
  </si>
  <si>
    <t xml:space="preserve">PABLO PATARO</t>
  </si>
  <si>
    <t xml:space="preserve">GUSTAVO MATANA AGUIAR EIRELI EPP</t>
  </si>
  <si>
    <t xml:space="preserve">AM PM</t>
  </si>
  <si>
    <t xml:space="preserve">G J COLEVATE EIRELI ME</t>
  </si>
  <si>
    <t xml:space="preserve">G J COLEVATE</t>
  </si>
  <si>
    <t xml:space="preserve">ADRIANA FLORES MERCEARIA</t>
  </si>
  <si>
    <t xml:space="preserve">DINIZ E SOARES LTDA</t>
  </si>
  <si>
    <t xml:space="preserve">COMERCIAL VIP</t>
  </si>
  <si>
    <t xml:space="preserve">ANTONIO GUALBERTO DA SILVA E CIA LTDA</t>
  </si>
  <si>
    <t xml:space="preserve">R V DOS SANTOS ALIMENTOS</t>
  </si>
  <si>
    <t xml:space="preserve">NUCILEY MARTINS SILVEIRA ME</t>
  </si>
  <si>
    <t xml:space="preserve">ERVA SUL</t>
  </si>
  <si>
    <t xml:space="preserve">FLAVIO DA SILVA CONVENIENCIA ME</t>
  </si>
  <si>
    <t xml:space="preserve">MAX CONVENIENCIA</t>
  </si>
  <si>
    <t xml:space="preserve">SANDRA RUBIA MACEDO SAMPAIO</t>
  </si>
  <si>
    <t xml:space="preserve">N S APARECIDA</t>
  </si>
  <si>
    <t xml:space="preserve">CORREA E FERREIRA LTDA</t>
  </si>
  <si>
    <t xml:space="preserve">CORREA E FERREIRA</t>
  </si>
  <si>
    <t xml:space="preserve">ARLEM GONCALVES MICHELS</t>
  </si>
  <si>
    <t xml:space="preserve">CENTRAL DA RACAO LTDA ME</t>
  </si>
  <si>
    <t xml:space="preserve">CENTRAL DA RACAO</t>
  </si>
  <si>
    <t xml:space="preserve">CONVENIENCIA E MERCEARIA JUCA DA W 10 LT</t>
  </si>
  <si>
    <t xml:space="preserve">CONVENIENCIA JUCA DA 10</t>
  </si>
  <si>
    <t xml:space="preserve">JULIANA DA COSTA PIRES</t>
  </si>
  <si>
    <t xml:space="preserve">JM RACOES</t>
  </si>
  <si>
    <t xml:space="preserve">SENILDA APARECIDA DA SILVA</t>
  </si>
  <si>
    <t xml:space="preserve">M MERCEARIA VAGALUMI</t>
  </si>
  <si>
    <t xml:space="preserve">C R BRITES ME</t>
  </si>
  <si>
    <t xml:space="preserve">OLA BRITES</t>
  </si>
  <si>
    <t xml:space="preserve">ANDREA ROSA SILVA</t>
  </si>
  <si>
    <t xml:space="preserve">BAKANAS CONVENIENCIA</t>
  </si>
  <si>
    <t xml:space="preserve">EVELIN GOUVEA DE SOUZA AFONSO</t>
  </si>
  <si>
    <t xml:space="preserve">POUSADA BEM ESTAR</t>
  </si>
  <si>
    <t xml:space="preserve">LL ROSA CLINICA VETERINARIA ME</t>
  </si>
  <si>
    <t xml:space="preserve">MARCELA AURELIA QUISPE CACHI</t>
  </si>
  <si>
    <t xml:space="preserve">COMERCIAL CACHI</t>
  </si>
  <si>
    <t xml:space="preserve">EVA RANGEL DUARTE</t>
  </si>
  <si>
    <t xml:space="preserve">MERCEARIA MARACAJU</t>
  </si>
  <si>
    <t xml:space="preserve">MERCADO LIRA</t>
  </si>
  <si>
    <t xml:space="preserve">UBIRATAN MOREIRA SERRA</t>
  </si>
  <si>
    <t xml:space="preserve">COMERCIAL DO BIRA</t>
  </si>
  <si>
    <t xml:space="preserve">RJ PROD AGROPECUARIOS LTDA</t>
  </si>
  <si>
    <t xml:space="preserve">EMPORIO PET SHOP</t>
  </si>
  <si>
    <t xml:space="preserve">ALCINDO CARVALHO ME</t>
  </si>
  <si>
    <t xml:space="preserve">CARLOS ROMAO SORRILHA ME</t>
  </si>
  <si>
    <t xml:space="preserve">PET DOG INBOX LTDA EPP</t>
  </si>
  <si>
    <t xml:space="preserve">REDE DOG IMBOX</t>
  </si>
  <si>
    <t xml:space="preserve">DOG IMBOX PET</t>
  </si>
  <si>
    <t xml:space="preserve">PET DOG INBOX LTDA</t>
  </si>
  <si>
    <t xml:space="preserve">PET DOG INBOX</t>
  </si>
  <si>
    <t xml:space="preserve">PET DOG IN BOX</t>
  </si>
  <si>
    <t xml:space="preserve">PET DOG INBOX DELIVERY</t>
  </si>
  <si>
    <t xml:space="preserve">DOG IN BOZ DELIVERY</t>
  </si>
  <si>
    <t xml:space="preserve">PET DOG INBOX S.A</t>
  </si>
  <si>
    <t xml:space="preserve">APARECIDA HATSUE MISUTSU DE FREITAS ME  </t>
  </si>
  <si>
    <t xml:space="preserve">CONVENIENCIA ITIBAN</t>
  </si>
  <si>
    <t xml:space="preserve">FERNANDA SPESSATTO</t>
  </si>
  <si>
    <t xml:space="preserve">POSTO HORIZONTE BR MANIA</t>
  </si>
  <si>
    <t xml:space="preserve">ERIC GONCALVES DINIZ</t>
  </si>
  <si>
    <t xml:space="preserve">RACOES E ACESSORIOS MONTE ALEG</t>
  </si>
  <si>
    <t xml:space="preserve">EDUARDO DE JESUS SANTOS</t>
  </si>
  <si>
    <t xml:space="preserve">AUGUSTO XAVIER CABANAS GARCETE ME</t>
  </si>
  <si>
    <t xml:space="preserve">MERCADO E ACOUGUE MB</t>
  </si>
  <si>
    <t xml:space="preserve">CARMELITA XAVIER DE MORAIS</t>
  </si>
  <si>
    <t xml:space="preserve">MERCADO DO MIRO</t>
  </si>
  <si>
    <t xml:space="preserve">COMERCIAL DE CARNES COMARELLA EIRELI</t>
  </si>
  <si>
    <t xml:space="preserve">MARIETE MACHADO GONCALVES</t>
  </si>
  <si>
    <t xml:space="preserve">MERCADO CONTINENTAL LTDA</t>
  </si>
  <si>
    <t xml:space="preserve">PUBLILIO JOSE DA SILVA ANDRADE</t>
  </si>
  <si>
    <t xml:space="preserve">SOL PRESENTES E UTILIDADES</t>
  </si>
  <si>
    <t xml:space="preserve">MERCADO VR LTDA</t>
  </si>
  <si>
    <t xml:space="preserve"> MAX CARNE</t>
  </si>
  <si>
    <t xml:space="preserve">ERA DO GELO</t>
  </si>
  <si>
    <t xml:space="preserve">ROSANA VICENTE DOS SANTOS ME</t>
  </si>
  <si>
    <t xml:space="preserve">PANIFICADORA E CONFEITERIA ANJ</t>
  </si>
  <si>
    <t xml:space="preserve">NATHALIA PATEZ RODRIGUES EIRELI</t>
  </si>
  <si>
    <t xml:space="preserve">BIG MIX CONVENIENCIA</t>
  </si>
  <si>
    <t xml:space="preserve">VALQUIRIA DE LIMA QUEIROZ ME</t>
  </si>
  <si>
    <t xml:space="preserve">MERCEARIA GABI</t>
  </si>
  <si>
    <t xml:space="preserve">VR GONZALEZ ABBATE FILHO</t>
  </si>
  <si>
    <t xml:space="preserve">REDE BOM PRECO</t>
  </si>
  <si>
    <t xml:space="preserve">COMERCIAL BOM PRECO 2</t>
  </si>
  <si>
    <t xml:space="preserve">MARTA MARTINS</t>
  </si>
  <si>
    <t xml:space="preserve">PAULO FERREIRA GIMENES - MEI</t>
  </si>
  <si>
    <t xml:space="preserve">CONVENIENCIA ECOLOGICO LTDA</t>
  </si>
  <si>
    <t xml:space="preserve">CONVENIENCIA AM PM ECOLOGICO</t>
  </si>
  <si>
    <t xml:space="preserve">SUPERMERCADO IMIGRANTES LTDA</t>
  </si>
  <si>
    <t xml:space="preserve">JOSE CLAUDIO DA SILVA CONVENIENCIA LTDA </t>
  </si>
  <si>
    <t xml:space="preserve">CONVENIENCIA IPANEMA</t>
  </si>
  <si>
    <t xml:space="preserve">J J FRIA EIRELI</t>
  </si>
  <si>
    <t xml:space="preserve">MERCADO PRIMEIRO DE MAIO</t>
  </si>
  <si>
    <t xml:space="preserve">GERMANO PEREZ CONVENIENCIA</t>
  </si>
  <si>
    <t xml:space="preserve">MARIO CARDOSO MENEZES MERCADO EIRELI</t>
  </si>
  <si>
    <t xml:space="preserve">MERCADO EIRELI</t>
  </si>
  <si>
    <t xml:space="preserve">FRANCIELE FERNANDA SALUSTRIANO 886090061</t>
  </si>
  <si>
    <t xml:space="preserve">MERCADO E CONVENCIA INDAIA</t>
  </si>
  <si>
    <t xml:space="preserve">AGRICOLA LEDUR LTDA ME</t>
  </si>
  <si>
    <t xml:space="preserve">AGRICOLA LEDUR</t>
  </si>
  <si>
    <t xml:space="preserve">ADEMIR HAMMER</t>
  </si>
  <si>
    <t xml:space="preserve">MERCADO HAMMER</t>
  </si>
  <si>
    <t xml:space="preserve">COMERCIAL DE CARNES BISTEKAO LTDA</t>
  </si>
  <si>
    <t xml:space="preserve">CECILIA CACHI MAMANI</t>
  </si>
  <si>
    <t xml:space="preserve">COMERCIAL MAMANI</t>
  </si>
  <si>
    <t xml:space="preserve">SANT ANA PRODUTOS AGROPECUARIOS LTDA</t>
  </si>
  <si>
    <t xml:space="preserve">3 IRMAOS AGROPECUARIA</t>
  </si>
  <si>
    <t xml:space="preserve">MARCINETE CARDOSO RONDON ME</t>
  </si>
  <si>
    <t xml:space="preserve">CONV.AMARELO</t>
  </si>
  <si>
    <t xml:space="preserve">BRINQUEDOTECA AMARAL LTDA</t>
  </si>
  <si>
    <t xml:space="preserve">BRINQUEDOTECA PIRLIMPIMPIM</t>
  </si>
  <si>
    <t xml:space="preserve">NEO DISTRIBUICAO IMPORTACAO E EXPORTA</t>
  </si>
  <si>
    <t xml:space="preserve">NEO - DISTRIBUIDORA</t>
  </si>
  <si>
    <t xml:space="preserve">MARIA CRITOVAO DA SILVA</t>
  </si>
  <si>
    <t xml:space="preserve">MCA GRAFICA</t>
  </si>
  <si>
    <t xml:space="preserve">WALLISSON DE BRITO QEQUETO</t>
  </si>
  <si>
    <t xml:space="preserve">SUPERMERCADO BOM PASTOR</t>
  </si>
  <si>
    <t xml:space="preserve">MERCEARIA E CONVENIENCIA MENDES LTDA</t>
  </si>
  <si>
    <t xml:space="preserve">MARCOS RIBEIRO - MEI</t>
  </si>
  <si>
    <t xml:space="preserve">JOSE PEDRO DA SILVA</t>
  </si>
  <si>
    <t xml:space="preserve">ALESSANDRA CORREIA DA SILVA</t>
  </si>
  <si>
    <t xml:space="preserve">ROSINEIA DE JESUS PEREIRA MEI</t>
  </si>
  <si>
    <t xml:space="preserve">BETEL 2 LOJA DE VARIEDADES</t>
  </si>
  <si>
    <t xml:space="preserve">WAGNER MONTEIRO BARBOSA</t>
  </si>
  <si>
    <t xml:space="preserve">MERCEARIA FEITOSA</t>
  </si>
  <si>
    <t xml:space="preserve">ANA PAULA UNO FUGIMOTO</t>
  </si>
  <si>
    <t xml:space="preserve">MERCEARIA FUGIMOTO</t>
  </si>
  <si>
    <t xml:space="preserve">SUZANA DE OLIVEIRA COSTA</t>
  </si>
  <si>
    <t xml:space="preserve">CASA DE CARNE E MERCEARIA UNIAO</t>
  </si>
  <si>
    <t xml:space="preserve">PAULA LETICIA RODRIGUES DE SOUZA</t>
  </si>
  <si>
    <t xml:space="preserve">CONVENIENCIA BEBO MESMO</t>
  </si>
  <si>
    <t xml:space="preserve">NATANAEL CORREA BARBOSA DOS SANTOS</t>
  </si>
  <si>
    <t xml:space="preserve">NCBS ESQUADRIAS DE ALUMINO</t>
  </si>
  <si>
    <t xml:space="preserve">CARAVINA E MENDONCA LTDA</t>
  </si>
  <si>
    <t xml:space="preserve">DR VET PETSHOP</t>
  </si>
  <si>
    <t xml:space="preserve">SUPERMERCADO ECONOMICO COM ALIMENTO EIRE</t>
  </si>
  <si>
    <t xml:space="preserve">BRUNA DA SILVA REBELATTO</t>
  </si>
  <si>
    <t xml:space="preserve">MERCEARIA RIO QUENTE</t>
  </si>
  <si>
    <t xml:space="preserve">VALDINETE BARRETO DA SILVA</t>
  </si>
  <si>
    <t xml:space="preserve">CHEFS DA CARNE</t>
  </si>
  <si>
    <t xml:space="preserve">CHEFES DA CARNE</t>
  </si>
  <si>
    <t xml:space="preserve">PONCIO E VIEIRA LTDA</t>
  </si>
  <si>
    <t xml:space="preserve">FARMACIA SANTA LAURA</t>
  </si>
  <si>
    <t xml:space="preserve">G MAMANI</t>
  </si>
  <si>
    <t xml:space="preserve">COMERCIAL MOLINA</t>
  </si>
  <si>
    <t xml:space="preserve">CLEMENTINO DAVALO 15640809191</t>
  </si>
  <si>
    <t xml:space="preserve">MERCADINHO BELA VISTA</t>
  </si>
  <si>
    <t xml:space="preserve">LINA FRANCISCA DE SOUZA SILVEIRA MEI</t>
  </si>
  <si>
    <t xml:space="preserve">MERCEARIA DA FAMILIA</t>
  </si>
  <si>
    <t xml:space="preserve">CONVENIENCIA  HORA EXTRA LTDA</t>
  </si>
  <si>
    <t xml:space="preserve">REGIANE R REIS E THOMAS G DA COSTA LTDA </t>
  </si>
  <si>
    <t xml:space="preserve">MERCADO LEVE MAIS</t>
  </si>
  <si>
    <t xml:space="preserve">OLIVEIRA E OLIVEIRA PROD ALIMENT LTDA</t>
  </si>
  <si>
    <t xml:space="preserve">DOCE GULA</t>
  </si>
  <si>
    <t xml:space="preserve">VALDIR DA SILVA ME</t>
  </si>
  <si>
    <t xml:space="preserve">BRUNO ANIBAL LOPES</t>
  </si>
  <si>
    <t xml:space="preserve">DOCE VILA</t>
  </si>
  <si>
    <t xml:space="preserve">VARGAS E ALFREDO LTDA</t>
  </si>
  <si>
    <t xml:space="preserve">MERCADO VARANDA II</t>
  </si>
  <si>
    <t xml:space="preserve">MARCOS ANTONIO NUNES EIRELI</t>
  </si>
  <si>
    <t xml:space="preserve">MERCADO BONANZA</t>
  </si>
  <si>
    <t xml:space="preserve">CASSIANO E FRANCA DROG E PERFUMARIA</t>
  </si>
  <si>
    <t xml:space="preserve">DROG FAR MAIS</t>
  </si>
  <si>
    <t xml:space="preserve">LUCINEIA PRATO TRINDADE MEI</t>
  </si>
  <si>
    <t xml:space="preserve">MERCEARIA E LANCHONETE RL</t>
  </si>
  <si>
    <t xml:space="preserve">COMERCIAL CAETANO MORASSUTI LTDA - EPP  </t>
  </si>
  <si>
    <t xml:space="preserve">NOVA CONVENIENCIA</t>
  </si>
  <si>
    <t xml:space="preserve">COMERCIAL ALIM RURAL MART EIRELI</t>
  </si>
  <si>
    <t xml:space="preserve">RURAL-MART</t>
  </si>
  <si>
    <t xml:space="preserve">CASA DE CARNES CALIFORNIA LTDA</t>
  </si>
  <si>
    <t xml:space="preserve">SUPERMERCADO CALIFORNIA</t>
  </si>
  <si>
    <t xml:space="preserve">MARIO ANTONIO RUBIO JUNIOR EIRELI</t>
  </si>
  <si>
    <t xml:space="preserve">AMIGO BICHO PET SHOP E RACOES</t>
  </si>
  <si>
    <t xml:space="preserve">SERGIO MORAES PALACIO - ME</t>
  </si>
  <si>
    <t xml:space="preserve">ARCO IRIS CAPAS E ACESSORIOS</t>
  </si>
  <si>
    <t xml:space="preserve">ILARIA CAROLINA DA S LEAL LTDA</t>
  </si>
  <si>
    <t xml:space="preserve">CASA DA RACAO AGRO E VET</t>
  </si>
  <si>
    <t xml:space="preserve">SAMUEL DE LIMA LEITE ME</t>
  </si>
  <si>
    <t xml:space="preserve">CASA DE CARNE LIMA</t>
  </si>
  <si>
    <t xml:space="preserve">LUANA PEREIRA DUTRA</t>
  </si>
  <si>
    <t xml:space="preserve">JANAINA PEREIRA DO CARMO ME</t>
  </si>
  <si>
    <t xml:space="preserve">JM MERCEARIA E CONVENIENCIA</t>
  </si>
  <si>
    <t xml:space="preserve">YARA CRISTINA CALCAS ZAURIZIO ME</t>
  </si>
  <si>
    <t xml:space="preserve">MERCADO IMPERIO LTDA</t>
  </si>
  <si>
    <t xml:space="preserve">ERICA DE OLIVEIRA LOPES ME</t>
  </si>
  <si>
    <t xml:space="preserve">BIG MASTER</t>
  </si>
  <si>
    <t xml:space="preserve">EDSON JOSE DEL PRETO JUNIOR ME</t>
  </si>
  <si>
    <t xml:space="preserve">CDA COMERCIO ATACADISTA DE ALIMENTOS EIR</t>
  </si>
  <si>
    <t xml:space="preserve">COMERCIO CDA</t>
  </si>
  <si>
    <t xml:space="preserve">JOSE CARLOS DA FONSECA E MORAES</t>
  </si>
  <si>
    <t xml:space="preserve">MERCADO SENHOR DIVINO.</t>
  </si>
  <si>
    <t xml:space="preserve">JOSE CARLOS DA FONSECA E MORAIS</t>
  </si>
  <si>
    <t xml:space="preserve">MERCADO E CONV.</t>
  </si>
  <si>
    <t xml:space="preserve">OSMENDA FAUSTINA ALVES</t>
  </si>
  <si>
    <t xml:space="preserve">OSMENDA FAUSTINA ALVES LTDA</t>
  </si>
  <si>
    <t xml:space="preserve">RAMONA RIBEIRO DE ARRUDA P RODRIGUES</t>
  </si>
  <si>
    <t xml:space="preserve">ROBSON XAVES DE MATOS</t>
  </si>
  <si>
    <t xml:space="preserve">BAR MATOS</t>
  </si>
  <si>
    <t xml:space="preserve">SUPERMERCADO CERRADO LTDA</t>
  </si>
  <si>
    <t xml:space="preserve">MERCADO CERRADO</t>
  </si>
  <si>
    <t xml:space="preserve">GLAUDISON ARAUJO LEITE ME</t>
  </si>
  <si>
    <t xml:space="preserve">MERCEARIA E CONVENIENCIA BOLICHUS</t>
  </si>
  <si>
    <t xml:space="preserve">R M MAZZARO LTDA</t>
  </si>
  <si>
    <t xml:space="preserve">MARIA LUISA FERMINO CARLOS</t>
  </si>
  <si>
    <t xml:space="preserve">POSTO DA BARAO</t>
  </si>
  <si>
    <t xml:space="preserve">S PEDROSO DO AMARAL</t>
  </si>
  <si>
    <t xml:space="preserve">DINAPOLI SORVETES E PASTEIS EIRELI ME</t>
  </si>
  <si>
    <t xml:space="preserve">DINAPOLI SORVETES E PASTEIS</t>
  </si>
  <si>
    <t xml:space="preserve">SANDRA MARIA NUNES</t>
  </si>
  <si>
    <t xml:space="preserve">MERCADO TOCA DO COELHO</t>
  </si>
  <si>
    <t xml:space="preserve">CLAUDIO FERNANDO PAREDES FARINHA</t>
  </si>
  <si>
    <t xml:space="preserve">MERCADO JULIA</t>
  </si>
  <si>
    <t xml:space="preserve">CARLOS ADRIANO LIRA ALBERTINI</t>
  </si>
  <si>
    <t xml:space="preserve">LIDER MERCADO</t>
  </si>
  <si>
    <t xml:space="preserve">SUPER LIDER COMERCIO DE ALIMENTOS LTDA  </t>
  </si>
  <si>
    <t xml:space="preserve">CONVENIENCIA BOM SUCESSO LTDA ME</t>
  </si>
  <si>
    <t xml:space="preserve">CONVENIENCIA BOM SUCESSO</t>
  </si>
  <si>
    <t xml:space="preserve">YINA MARIBEL CHUQUIMIA MENDOZA</t>
  </si>
  <si>
    <t xml:space="preserve">CASA RURAL MULLER E OHNO LTDA</t>
  </si>
  <si>
    <t xml:space="preserve">CASA RURAL MULLER E OHNO</t>
  </si>
  <si>
    <t xml:space="preserve">MARIA INIDIA GOMES ROJA</t>
  </si>
  <si>
    <t xml:space="preserve">J C S DE AMORIM LTDA</t>
  </si>
  <si>
    <t xml:space="preserve">MERCADO DA VALE II</t>
  </si>
  <si>
    <t xml:space="preserve">IZABEL FERREIRA SILVA</t>
  </si>
  <si>
    <t xml:space="preserve">LIFE MODA INTIMA</t>
  </si>
  <si>
    <t xml:space="preserve">ZULEIDE NASCIMENTO MAIA MEI</t>
  </si>
  <si>
    <t xml:space="preserve">CASA DE CARNE E PANIFICADORA D</t>
  </si>
  <si>
    <t xml:space="preserve">S V DE SOUZA</t>
  </si>
  <si>
    <t xml:space="preserve">CASA DE CARNE KIBOI</t>
  </si>
  <si>
    <t xml:space="preserve">MERCADO PAULISTANO</t>
  </si>
  <si>
    <t xml:space="preserve">ELIANE LANDER BORGES EIRELI</t>
  </si>
  <si>
    <t xml:space="preserve">JUNIO CESAR MARTINS DE FREITAS</t>
  </si>
  <si>
    <t xml:space="preserve">PAIOL</t>
  </si>
  <si>
    <t xml:space="preserve">PACHECO S CONVENIENCIA</t>
  </si>
  <si>
    <t xml:space="preserve">L.N.SUGAI KANAWA</t>
  </si>
  <si>
    <t xml:space="preserve">DROGARIA BEM VIVER</t>
  </si>
  <si>
    <t xml:space="preserve">CONVENIENCIA E PEIXARIA LADARIO LTDA</t>
  </si>
  <si>
    <t xml:space="preserve">CONVENIENCIA E PEIXARIA LADARIO</t>
  </si>
  <si>
    <t xml:space="preserve">ITAMAR BUENO DOS SANTOS ME</t>
  </si>
  <si>
    <t xml:space="preserve">BICHO AMIGO</t>
  </si>
  <si>
    <t xml:space="preserve">COMERCIO PRIMAVERA LTDA-ME</t>
  </si>
  <si>
    <t xml:space="preserve">COMERCIAL MUNDIAL</t>
  </si>
  <si>
    <t xml:space="preserve">D3 AGROVETERINARIA LTDA</t>
  </si>
  <si>
    <t xml:space="preserve">PRO RACA</t>
  </si>
  <si>
    <t xml:space="preserve">LF REP DE PRODUTOS AGROPECUARIOS LTDA ME</t>
  </si>
  <si>
    <t xml:space="preserve">ROSINA PINTO DA SILVA</t>
  </si>
  <si>
    <t xml:space="preserve">GIGI UTILIDADES DOMESTICAS</t>
  </si>
  <si>
    <t xml:space="preserve">PATRICIA VILLCA MAMANI</t>
  </si>
  <si>
    <t xml:space="preserve">COMERCIAL PATRICIA</t>
  </si>
  <si>
    <t xml:space="preserve">F SOUZA DA CRUZ EIRELI</t>
  </si>
  <si>
    <t xml:space="preserve">SUPERMERCADO GOUVEIA</t>
  </si>
  <si>
    <t xml:space="preserve">VERA LUCIA JULIAO DA SILVA 54291194153  </t>
  </si>
  <si>
    <t xml:space="preserve">BETO CONVENIENCIA</t>
  </si>
  <si>
    <t xml:space="preserve">E D S COM DE MEDICAM E PERFUMARIAS LTDA </t>
  </si>
  <si>
    <t xml:space="preserve">JUANA FELIPEZ CHOQUE</t>
  </si>
  <si>
    <t xml:space="preserve">COMERCIAL JUANA</t>
  </si>
  <si>
    <t xml:space="preserve">JULIANDRO LUCAS GARCIA MOREIRA</t>
  </si>
  <si>
    <t xml:space="preserve">CRIADOR RACOES E PET SHOP</t>
  </si>
  <si>
    <t xml:space="preserve">FERNANDO DIEGO ALEGRE LEHM ME</t>
  </si>
  <si>
    <t xml:space="preserve">ANI MAIS PET SHOP</t>
  </si>
  <si>
    <t xml:space="preserve">QUEIROZ E FIEDLER LTDA</t>
  </si>
  <si>
    <t xml:space="preserve">DROGARIA CIDADE MORENA</t>
  </si>
  <si>
    <t xml:space="preserve">GRAO E GRAO EMPORIO LIGTH LTDA ME</t>
  </si>
  <si>
    <t xml:space="preserve">GRAO E GRAO EMPORIO LIGRH</t>
  </si>
  <si>
    <t xml:space="preserve">CONVENIENCIA POSTO GAUCHO 03 EIRELI</t>
  </si>
  <si>
    <t xml:space="preserve">CONVENIENCIA POSTO GAUCHO 03</t>
  </si>
  <si>
    <t xml:space="preserve">SOUZA E MARCHI ALIMENTOS LTDA</t>
  </si>
  <si>
    <t xml:space="preserve">SEMPER SUPERMERCADO</t>
  </si>
  <si>
    <t xml:space="preserve">CABANAS COM DE BEBIDAS E ALIMENTOS LTDA </t>
  </si>
  <si>
    <t xml:space="preserve">CABANAS CONVENIENCIA</t>
  </si>
  <si>
    <t xml:space="preserve">M R DA SILVA MAGALHAES ME</t>
  </si>
  <si>
    <t xml:space="preserve">FARMA TOP</t>
  </si>
  <si>
    <t xml:space="preserve">CEREAIS SOUZA LTDA ME</t>
  </si>
  <si>
    <t xml:space="preserve">PISTACHE EMPORIO</t>
  </si>
  <si>
    <t xml:space="preserve">CEREAIS SOUZA LTDA</t>
  </si>
  <si>
    <t xml:space="preserve">PISTACHE EMPORIO LTDA</t>
  </si>
  <si>
    <t xml:space="preserve">PABLO JOSE CANAVARRO VELOSO ME</t>
  </si>
  <si>
    <t xml:space="preserve">MILLENA A DE OLIVEIRA ME</t>
  </si>
  <si>
    <t xml:space="preserve">LIMPEL MATERIAIS DE LIMPEZA</t>
  </si>
  <si>
    <t xml:space="preserve">MERCADO SAO JOSE LTDA</t>
  </si>
  <si>
    <t xml:space="preserve">FAGNER GABRIEL FORTUNATO DA SILVA</t>
  </si>
  <si>
    <t xml:space="preserve">LEONARDO SALGADO SOLDATI</t>
  </si>
  <si>
    <t xml:space="preserve">COPO DO PIAH</t>
  </si>
  <si>
    <t xml:space="preserve">DANILO BRAGA GONCALVES</t>
  </si>
  <si>
    <t xml:space="preserve">3D CONVENIENCIA</t>
  </si>
  <si>
    <t xml:space="preserve">RODRIGO FARINA ANDRADE PERES</t>
  </si>
  <si>
    <t xml:space="preserve">POSITIVO CONVENIENCIA</t>
  </si>
  <si>
    <t xml:space="preserve">SERGIO MOURA LEAL ME</t>
  </si>
  <si>
    <t xml:space="preserve">MERCEARIA ANA PAULA</t>
  </si>
  <si>
    <t xml:space="preserve">ROSANGELA VIEIRA -MEI</t>
  </si>
  <si>
    <t xml:space="preserve">AIZAWA E SANTOS LTDA</t>
  </si>
  <si>
    <t xml:space="preserve">MERCADO E CONVENIENCIA H 2</t>
  </si>
  <si>
    <t xml:space="preserve">FERNANDO GONCALVES EIRELI ME</t>
  </si>
  <si>
    <t xml:space="preserve">CAICARA BEER CONVENIENCIA</t>
  </si>
  <si>
    <t xml:space="preserve">R FIGUEREDO ME</t>
  </si>
  <si>
    <t xml:space="preserve">MERCEARIA NOSSA SENHORA APARECIDA</t>
  </si>
  <si>
    <t xml:space="preserve">SILVIO AIRTON MENDONCA</t>
  </si>
  <si>
    <t xml:space="preserve">DROGARIA SAO FRANCISCO</t>
  </si>
  <si>
    <t xml:space="preserve">JEAN LUCAS BARBOSA DE SOUZA CIA LTDA</t>
  </si>
  <si>
    <t xml:space="preserve">MERCADO BANDEIRANTES</t>
  </si>
  <si>
    <t xml:space="preserve">VALDIRENE BENICHIO DA SILVA</t>
  </si>
  <si>
    <t xml:space="preserve">MINI MERCADO PANTANAL</t>
  </si>
  <si>
    <t xml:space="preserve">FLORENCIO RIQUELMA LARREA ME</t>
  </si>
  <si>
    <t xml:space="preserve">CASA DE CARNE NELORE LTDA</t>
  </si>
  <si>
    <t xml:space="preserve">CASA DE CARNE NELORE</t>
  </si>
  <si>
    <t xml:space="preserve">MERCADO BIG MAIS</t>
  </si>
  <si>
    <t xml:space="preserve">ROGER ALBUQUERQUE DA SILVA</t>
  </si>
  <si>
    <t xml:space="preserve">K M DA SILVA RODRIGUES DROGARIA ME</t>
  </si>
  <si>
    <t xml:space="preserve">DROGA LUZ</t>
  </si>
  <si>
    <t xml:space="preserve">SUPERMERCADO PAO E CIA LTDA EPP</t>
  </si>
  <si>
    <t xml:space="preserve">C0NVENIENCIA PAO E CIA</t>
  </si>
  <si>
    <t xml:space="preserve">PINHO COM DE PRODUTOS ALIMENTICIOS LTDA </t>
  </si>
  <si>
    <t xml:space="preserve">DROGARIA POPULAR FARMA LTDA</t>
  </si>
  <si>
    <t xml:space="preserve">DROGARIA POPULAR FARMA</t>
  </si>
  <si>
    <t xml:space="preserve">MAGISLAINE DOS SANTOS SOUZA ME</t>
  </si>
  <si>
    <t xml:space="preserve">MERCEARIA JL</t>
  </si>
  <si>
    <t xml:space="preserve">DURVAL CANDIDO ALMEIDA JUNIOR</t>
  </si>
  <si>
    <t xml:space="preserve">PET SHOP MEDICAO</t>
  </si>
  <si>
    <t xml:space="preserve">R I DA SILVA CONVENIENCIA ME</t>
  </si>
  <si>
    <t xml:space="preserve">PARADA OBRIGATORIA CONVENIENCIA</t>
  </si>
  <si>
    <t xml:space="preserve">MAURO SGARAVATTI LTDA</t>
  </si>
  <si>
    <t xml:space="preserve">PADARIA DELICIA</t>
  </si>
  <si>
    <t xml:space="preserve">CLINEU FUZARO MEI</t>
  </si>
  <si>
    <t xml:space="preserve">NOVA CANAA</t>
  </si>
  <si>
    <t xml:space="preserve">ADAIR FARIAS DO PRADO EIRELE ME</t>
  </si>
  <si>
    <t xml:space="preserve">DROGARIA FARMAIS FL6</t>
  </si>
  <si>
    <t xml:space="preserve">PEDRO APARARECIDO ORTIZ</t>
  </si>
  <si>
    <t xml:space="preserve">PET SHOP STILLO ANIMAL</t>
  </si>
  <si>
    <t xml:space="preserve">P C MARTINI E CIA LTDA</t>
  </si>
  <si>
    <t xml:space="preserve">PAULO P DA SILVA ME</t>
  </si>
  <si>
    <t xml:space="preserve">VOLTAIR DOMINGOS DA CUNHA</t>
  </si>
  <si>
    <t xml:space="preserve">CONVENIENCIA NIPOBRAS LTDA</t>
  </si>
  <si>
    <t xml:space="preserve">NIPOBRAS</t>
  </si>
  <si>
    <t xml:space="preserve">DANIEL COSTA MACHADO</t>
  </si>
  <si>
    <t xml:space="preserve">RECICLAGEM MACHADO</t>
  </si>
  <si>
    <t xml:space="preserve">J A COM DE PRODUTOS ALIMENTICIOS LTDA ME</t>
  </si>
  <si>
    <t xml:space="preserve">GIVANILDO PIRES DE OLIVEIRA</t>
  </si>
  <si>
    <t xml:space="preserve">MERCEARIA GO</t>
  </si>
  <si>
    <t xml:space="preserve">HILDA FRANCO DO PRADO EIRELE. ME</t>
  </si>
  <si>
    <t xml:space="preserve">DROGARIA FARMAIS FL07</t>
  </si>
  <si>
    <t xml:space="preserve">DAIANE DE OLIVIEIRA ROSA PICORELLI</t>
  </si>
  <si>
    <t xml:space="preserve">APARECIDA BARBOSA DE SOUZA</t>
  </si>
  <si>
    <t xml:space="preserve">TIAGO DEFENDI</t>
  </si>
  <si>
    <t xml:space="preserve">MERCEARIA E CONV TODA HORA</t>
  </si>
  <si>
    <t xml:space="preserve">MARCIA APARECIDA GOMES DE CARVALHO LIMA </t>
  </si>
  <si>
    <t xml:space="preserve">JESSICA ALDA PEREIRA DA ROCHA EIRELI ME </t>
  </si>
  <si>
    <t xml:space="preserve">HOTEL FELIZ IDADE</t>
  </si>
  <si>
    <t xml:space="preserve">CUBILHA E PINHEIRO LTDA</t>
  </si>
  <si>
    <t xml:space="preserve">ACOUGUE E MERCEARIA SANTA PURA</t>
  </si>
  <si>
    <t xml:space="preserve">MIRIAN ANASTACIO MACEDO</t>
  </si>
  <si>
    <t xml:space="preserve">H V VERDUM</t>
  </si>
  <si>
    <t xml:space="preserve">MERCEARIA VERDUM</t>
  </si>
  <si>
    <t xml:space="preserve">GREEN SOUK MERCADO NATURAL EIRELI</t>
  </si>
  <si>
    <t xml:space="preserve">GREEN SOUK MERCADO</t>
  </si>
  <si>
    <t xml:space="preserve">VANDERLI DA SILVA PURCINO</t>
  </si>
  <si>
    <t xml:space="preserve">LUCAS GILVAN MACIEL CORREA ME</t>
  </si>
  <si>
    <t xml:space="preserve">MERCADO TCHE</t>
  </si>
  <si>
    <t xml:space="preserve">LUZIA DE JESUS ALVES ME</t>
  </si>
  <si>
    <t xml:space="preserve">MERCEARIA E CONV BOM JESUS</t>
  </si>
  <si>
    <t xml:space="preserve">FARMA VIP MEDICAMENTOS EIRELLI</t>
  </si>
  <si>
    <t xml:space="preserve">FARMA VIP</t>
  </si>
  <si>
    <t xml:space="preserve">MATHEUS FORGIARINI DA SILVA</t>
  </si>
  <si>
    <t xml:space="preserve">MERCEARIA MONTE ALEGRE</t>
  </si>
  <si>
    <t xml:space="preserve">ROSANA MASCARENHAS MONTEIRO</t>
  </si>
  <si>
    <t xml:space="preserve">PANIFICADORA EMANUEL</t>
  </si>
  <si>
    <t xml:space="preserve">LUIZ CARLOS GOMES DA SILVA</t>
  </si>
  <si>
    <t xml:space="preserve">EMPORIO CASA DE CARNE E CONVEN</t>
  </si>
  <si>
    <t xml:space="preserve">FRANCISCA SILVA DOS SANTOS</t>
  </si>
  <si>
    <t xml:space="preserve">EDUARDO SANTOS HOLANDA</t>
  </si>
  <si>
    <t xml:space="preserve">BAR MERC E LANCHONETE DO DUDU</t>
  </si>
  <si>
    <t xml:space="preserve">VALDEIR CAETANO DOS SANTOS ME</t>
  </si>
  <si>
    <t xml:space="preserve">KAETANUS PANIFICADORA</t>
  </si>
  <si>
    <t xml:space="preserve">TITO HARNET DOS SANTOS</t>
  </si>
  <si>
    <t xml:space="preserve">JOSE R R FARIA CONVENIENCIA</t>
  </si>
  <si>
    <t xml:space="preserve">JM CONVENIENCIA</t>
  </si>
  <si>
    <t xml:space="preserve">JOAO CARLOS DA CRUZ MACHADO</t>
  </si>
  <si>
    <t xml:space="preserve">DROGARIA ULTRA POPULAR DE DOURADOS LTDA </t>
  </si>
  <si>
    <t xml:space="preserve"> DROGARIA ULTRA POPULAR</t>
  </si>
  <si>
    <t xml:space="preserve">ALISSON COPPETI WOLSCHICK</t>
  </si>
  <si>
    <t xml:space="preserve">SUPERMERCADOS COPPETI</t>
  </si>
  <si>
    <t xml:space="preserve">LEONARDO NAVARRO GREGGIO ME</t>
  </si>
  <si>
    <t xml:space="preserve">PADARIA CONVENIENCIA GP</t>
  </si>
  <si>
    <t xml:space="preserve">CRISTIANE ESTEVAM LEMOS MEI</t>
  </si>
  <si>
    <t xml:space="preserve">CRIS CONFEITARIA</t>
  </si>
  <si>
    <t xml:space="preserve">FOGLIA COMERCIAL DE ALIMENTOS EIRELI</t>
  </si>
  <si>
    <t xml:space="preserve">KI FRUTAS</t>
  </si>
  <si>
    <t xml:space="preserve">ALTA SOLUCOES CONSTRUTIVAS LTDA ME</t>
  </si>
  <si>
    <t xml:space="preserve">ALTA SOLUCOES CONSTRUTIVAS</t>
  </si>
  <si>
    <t xml:space="preserve">F.A.DO NASIMENTO E MOREIRA</t>
  </si>
  <si>
    <t xml:space="preserve">JESSICA CARDOSO DA SILVA-MEI</t>
  </si>
  <si>
    <t xml:space="preserve">CASA DE CARNE E MERCEARIA RIO</t>
  </si>
  <si>
    <t xml:space="preserve">GENILSON FERREIRA COUTINHO ME</t>
  </si>
  <si>
    <t xml:space="preserve">R DO NASCIMENTO BALASSO</t>
  </si>
  <si>
    <t xml:space="preserve">MINIMERCADO BALASSO</t>
  </si>
  <si>
    <t xml:space="preserve">ROGENA ROSA DE FREITAS</t>
  </si>
  <si>
    <t xml:space="preserve">CIA DO BIFE</t>
  </si>
  <si>
    <t xml:space="preserve">LUIZ EDUARDO ROSSINO NETO ME</t>
  </si>
  <si>
    <t xml:space="preserve">DROGA FARMA</t>
  </si>
  <si>
    <t xml:space="preserve">CONVENIENCIA SAO LEOPOLDO EIRELI</t>
  </si>
  <si>
    <t xml:space="preserve">CONVENIENCIA SAO LEPOLDO</t>
  </si>
  <si>
    <t xml:space="preserve">PACK LIMP COMERCIAL EIRELI</t>
  </si>
  <si>
    <t xml:space="preserve">PACK LIMP</t>
  </si>
  <si>
    <t xml:space="preserve">DROGARIA NASSER EIRELI</t>
  </si>
  <si>
    <t xml:space="preserve">DROGARIA NASSER</t>
  </si>
  <si>
    <t xml:space="preserve">HELOISA HELENA DE FREITAS</t>
  </si>
  <si>
    <t xml:space="preserve">SUP CRISTO REI</t>
  </si>
  <si>
    <t xml:space="preserve">CONVENIENCIA DA LEYDE</t>
  </si>
  <si>
    <t xml:space="preserve">SIMONE CONCEICAO SILVA</t>
  </si>
  <si>
    <t xml:space="preserve">BIROS CASA DE CARNE E MERCEARIA</t>
  </si>
  <si>
    <t xml:space="preserve">TAYNA DOS SANTOS E CIA LTDA</t>
  </si>
  <si>
    <t xml:space="preserve">CONVENIENCIA MULT MARCAA</t>
  </si>
  <si>
    <t xml:space="preserve">JJ SUPERMERCADO LTDA</t>
  </si>
  <si>
    <t xml:space="preserve">JJ SUPERMERCADO</t>
  </si>
  <si>
    <t xml:space="preserve">ROSANGELA MOREIRA</t>
  </si>
  <si>
    <t xml:space="preserve">MERCEARIA DO LEO</t>
  </si>
  <si>
    <t xml:space="preserve">COMERCIAL BOM PRECO EIRELI</t>
  </si>
  <si>
    <t xml:space="preserve">COMERCIAL BOM PRECO EIRELI EPP</t>
  </si>
  <si>
    <t xml:space="preserve">CASA DE CARNE AQUARIOS LTDA</t>
  </si>
  <si>
    <t xml:space="preserve">CASA DE CARNE AQUARIOS</t>
  </si>
  <si>
    <t xml:space="preserve">CARANDA COM V RAC AC PEQ ANIMAIS EIRELI </t>
  </si>
  <si>
    <t xml:space="preserve">MUNDO COM PATAS</t>
  </si>
  <si>
    <t xml:space="preserve">ALESSANDRA MATOS DA SILVA MEI</t>
  </si>
  <si>
    <t xml:space="preserve">MATTFER COM E REPRESENCOES</t>
  </si>
  <si>
    <t xml:space="preserve">CUNHA E FERREIRA LTDA</t>
  </si>
  <si>
    <t xml:space="preserve">MERCADO E ACOUGUE AQUIDABAN</t>
  </si>
  <si>
    <t xml:space="preserve">CHINZARIAN FOODS LTDA ME</t>
  </si>
  <si>
    <t xml:space="preserve">EXPRESSO BUEGUES</t>
  </si>
  <si>
    <t xml:space="preserve">JOAO RIBEIRO FARMACIA E DROGARIA</t>
  </si>
  <si>
    <t xml:space="preserve">FARMACIA MARACAJU FARMA</t>
  </si>
  <si>
    <t xml:space="preserve">PIT STOP CONVENIENCIA LTDA</t>
  </si>
  <si>
    <t xml:space="preserve">COPACABANA CONVENIENCIA EIRELI</t>
  </si>
  <si>
    <t xml:space="preserve">COPACABANA SUPERMERCADO LTDA</t>
  </si>
  <si>
    <t xml:space="preserve">PAULO DOS SANTOS BEZERRA</t>
  </si>
  <si>
    <t xml:space="preserve">MERCADO PAULO</t>
  </si>
  <si>
    <t xml:space="preserve">CONV TOP GIGIO</t>
  </si>
  <si>
    <t xml:space="preserve">E O DOS SANTOS CARVALHO ME</t>
  </si>
  <si>
    <t xml:space="preserve">MERCADO A R</t>
  </si>
  <si>
    <t xml:space="preserve">ZOOCENTER BATAGUASSU LTDA</t>
  </si>
  <si>
    <t xml:space="preserve">ZOOCENTER</t>
  </si>
  <si>
    <t xml:space="preserve">SEREN E MARTINS LTDA ME</t>
  </si>
  <si>
    <t xml:space="preserve">DROGARIA RIO BRANCO</t>
  </si>
  <si>
    <t xml:space="preserve">INPRA COM DE ALIMENTOS LTDA</t>
  </si>
  <si>
    <t xml:space="preserve">IMPORIO YPE</t>
  </si>
  <si>
    <t xml:space="preserve">NIVALDO MACEDO RODRIGUES</t>
  </si>
  <si>
    <t xml:space="preserve">EDNA APARECIDA R . L GOMES ME</t>
  </si>
  <si>
    <t xml:space="preserve">MINI MERCADO LIPE</t>
  </si>
  <si>
    <t xml:space="preserve">MERCADO IANE LTDA ME</t>
  </si>
  <si>
    <t xml:space="preserve">MERCADO IANE</t>
  </si>
  <si>
    <t xml:space="preserve">SABOR E AROMA DE ALIMENTOS E TEMPEROS LT</t>
  </si>
  <si>
    <t xml:space="preserve">ARMAZEM DA 7</t>
  </si>
  <si>
    <t xml:space="preserve">FRUTIMIX COMERCIO DE ALIMENTOS LTDA -EPP</t>
  </si>
  <si>
    <t xml:space="preserve"> FRUTIMIX</t>
  </si>
  <si>
    <t xml:space="preserve">ANTONIA EXPEDITA DE ANDRADE</t>
  </si>
  <si>
    <t xml:space="preserve">MERCAERIA E CONV ANDRADE</t>
  </si>
  <si>
    <t xml:space="preserve">TOZI E TICIANEL LTDA ME</t>
  </si>
  <si>
    <t xml:space="preserve">FRANCIDALIA LOPES DE OLIVEIRA</t>
  </si>
  <si>
    <t xml:space="preserve">BRUNO ZENO FRATUCHELLI MEI</t>
  </si>
  <si>
    <t xml:space="preserve">DISTRIBUIDORA DE ISCAS VIVAS ALVORADA LT</t>
  </si>
  <si>
    <t xml:space="preserve">CONVENIENCIA ISCA VIVA</t>
  </si>
  <si>
    <t xml:space="preserve">DISTRIBUIDORA DE ISCA VIVASALVORADA LTDA</t>
  </si>
  <si>
    <t xml:space="preserve">CONVENIENCIA ALVORADA2</t>
  </si>
  <si>
    <t xml:space="preserve">ALEXANDRE HENRIQUE ALVES BORGES</t>
  </si>
  <si>
    <t xml:space="preserve">CASA IMPERIAL</t>
  </si>
  <si>
    <t xml:space="preserve">N A DE OLIVEIRA</t>
  </si>
  <si>
    <t xml:space="preserve">SUPERCAD0 BIG ESTRELA</t>
  </si>
  <si>
    <t xml:space="preserve">JJ EMBUTIDOS</t>
  </si>
  <si>
    <t xml:space="preserve">RACHEL PREVIDELLI DA SILVA PAGIORO</t>
  </si>
  <si>
    <t xml:space="preserve">DEMAO ESMALTERIA E COSMETICOS</t>
  </si>
  <si>
    <t xml:space="preserve">DORALICE CORONEL</t>
  </si>
  <si>
    <t xml:space="preserve">DORALICE MERCEARIA</t>
  </si>
  <si>
    <t xml:space="preserve">FN TREVO LTDA</t>
  </si>
  <si>
    <t xml:space="preserve">POSTO TREVO</t>
  </si>
  <si>
    <t xml:space="preserve">DULCEMAR FESTUGATTO</t>
  </si>
  <si>
    <t xml:space="preserve">LIAMAR DEFANTE</t>
  </si>
  <si>
    <t xml:space="preserve">ATLANTA CONVENIENCIA EIRELI ME</t>
  </si>
  <si>
    <t xml:space="preserve">ATLANTA CONVENIENCIA</t>
  </si>
  <si>
    <t xml:space="preserve">DUARTS INDUSTRIA E COM.DE ALIMENTOS LTDA</t>
  </si>
  <si>
    <t xml:space="preserve">TRE FIORI</t>
  </si>
  <si>
    <t xml:space="preserve">MARILEIDE MARIANO PEREIRA</t>
  </si>
  <si>
    <t xml:space="preserve">M HAIR</t>
  </si>
  <si>
    <t xml:space="preserve">DIVINO ADELMO DIAS ROQUE EIRELI</t>
  </si>
  <si>
    <t xml:space="preserve">DIVINO CONVENIENCIA</t>
  </si>
  <si>
    <t xml:space="preserve">S CANTEIRO</t>
  </si>
  <si>
    <t xml:space="preserve">CONVENIENCIA CANTEIRO</t>
  </si>
  <si>
    <t xml:space="preserve">GOLFETO E FONTES LTDA ME</t>
  </si>
  <si>
    <t xml:space="preserve">ESPACO FARMACIA SAUDE</t>
  </si>
  <si>
    <t xml:space="preserve">MARCOS DE OLIVEIRA GOMES ME</t>
  </si>
  <si>
    <t xml:space="preserve">CASA E CAMPO AGROPECUARIA</t>
  </si>
  <si>
    <t xml:space="preserve">DAIANE DE SOUSA COXEO</t>
  </si>
  <si>
    <t xml:space="preserve">MOREIRA E PEREIRA LTDA</t>
  </si>
  <si>
    <t xml:space="preserve">FN MERCADO AUTONOMO LTDA</t>
  </si>
  <si>
    <t xml:space="preserve">MERCADO AUTONOMO</t>
  </si>
  <si>
    <t xml:space="preserve">CLEUZA MARQUES DUTRA MASSENA ME</t>
  </si>
  <si>
    <t xml:space="preserve">RB IMP E COMERCIO DE FERRAMENTAS</t>
  </si>
  <si>
    <t xml:space="preserve">RB IMPORTADOS E NACIONAIS</t>
  </si>
  <si>
    <t xml:space="preserve">CLEISON ALESSANDRO ALVES ARAUJO</t>
  </si>
  <si>
    <t xml:space="preserve">NARDO PUB</t>
  </si>
  <si>
    <t xml:space="preserve">NATALIA LEITE MACEDO 00129919101</t>
  </si>
  <si>
    <t xml:space="preserve">CRISTIANI PAULA SOUZA ME</t>
  </si>
  <si>
    <t xml:space="preserve">VIRA LUXO PET SHOP EIRELI ME</t>
  </si>
  <si>
    <t xml:space="preserve">VIRA LUXO PET SHOP</t>
  </si>
  <si>
    <t xml:space="preserve">CLERIO OVELAR ROMERO</t>
  </si>
  <si>
    <t xml:space="preserve">SOLANGE APARECIDA DA COSTA</t>
  </si>
  <si>
    <t xml:space="preserve">EMPORIO COSTA FERREIRA</t>
  </si>
  <si>
    <t xml:space="preserve">IVANI MARTINS DE SOUZA 95856897153</t>
  </si>
  <si>
    <t xml:space="preserve">AGRO LIDER PET SHOP</t>
  </si>
  <si>
    <t xml:space="preserve">CONVENIENCIA CHAPADAO LTDA</t>
  </si>
  <si>
    <t xml:space="preserve">CONVENIENCIA CHAPADAO</t>
  </si>
  <si>
    <t xml:space="preserve">ROBERTO ALVES DE SOUZA</t>
  </si>
  <si>
    <t xml:space="preserve">MINI MERCADO DANIEL 5</t>
  </si>
  <si>
    <t xml:space="preserve">SANDRA MARA LIMA DE SOUZA</t>
  </si>
  <si>
    <t xml:space="preserve">SOUZA E SOUZA</t>
  </si>
  <si>
    <t xml:space="preserve">ANGELA MARQUES GOMES MEI</t>
  </si>
  <si>
    <t xml:space="preserve">MERCEARIA A S</t>
  </si>
  <si>
    <t xml:space="preserve">CONVENIENCIA PILOTO LTDA</t>
  </si>
  <si>
    <t xml:space="preserve">CONVENIENCIA PILOTO</t>
  </si>
  <si>
    <t xml:space="preserve">HARIBO BRASIL IND E COM DE PROD ALIMENT </t>
  </si>
  <si>
    <t xml:space="preserve">JUNDIAI</t>
  </si>
  <si>
    <t xml:space="preserve">HARIBO BRASIL</t>
  </si>
  <si>
    <t xml:space="preserve">BENEDICTO PEREIRA FILHO CIA LTDA ME</t>
  </si>
  <si>
    <t xml:space="preserve">PADARIA GABRIELA</t>
  </si>
  <si>
    <t xml:space="preserve">ADRIANA LOPES BARBOSA</t>
  </si>
  <si>
    <t xml:space="preserve">CONVENIENCIA BARBOSA</t>
  </si>
  <si>
    <t xml:space="preserve">MIGUEL CAMARGOS DA SILVA</t>
  </si>
  <si>
    <t xml:space="preserve">SOSSOLOTI E PRICINATO LTDA</t>
  </si>
  <si>
    <t xml:space="preserve">LUIZ ARTHUR SANTOS DUARTE ME</t>
  </si>
  <si>
    <t xml:space="preserve">DROGARIA CANINDE</t>
  </si>
  <si>
    <t xml:space="preserve">LUCIANO LUIZ FERREIRA ME</t>
  </si>
  <si>
    <t xml:space="preserve">JO PERFUMARIA E COSMETICO</t>
  </si>
  <si>
    <t xml:space="preserve">ARNALDO GIL R DE SOUZA</t>
  </si>
  <si>
    <t xml:space="preserve">ERICKA JOSIANE LEITE DA SILVA</t>
  </si>
  <si>
    <t xml:space="preserve">UTILIDADES FORTALEZA</t>
  </si>
  <si>
    <t xml:space="preserve">PALBOCH SUPERMERCADO</t>
  </si>
  <si>
    <t xml:space="preserve">P G DA SILVA BARROS</t>
  </si>
  <si>
    <t xml:space="preserve">BUTEKO FESTAS E CONVENIENCIA</t>
  </si>
  <si>
    <t xml:space="preserve">SHIRAISHI CENTRO CONVENIENCIA LTDA-ME</t>
  </si>
  <si>
    <t xml:space="preserve">POSTO SHIRAISHI CENTRO</t>
  </si>
  <si>
    <t xml:space="preserve">MINI MERCADO ALTAS HORAS</t>
  </si>
  <si>
    <t xml:space="preserve">S E T BAR LTDA</t>
  </si>
  <si>
    <t xml:space="preserve">BLUES BAR</t>
  </si>
  <si>
    <t xml:space="preserve">PATRICIA DO CARMO LOPES</t>
  </si>
  <si>
    <t xml:space="preserve">MERCEARIA E SACOLAO J P</t>
  </si>
  <si>
    <t xml:space="preserve">NETO ALVARENGA LTDA  ME</t>
  </si>
  <si>
    <t xml:space="preserve">SHOPPING DAS UTILIDADES</t>
  </si>
  <si>
    <t xml:space="preserve">HELP FESTAS  CONVENIENCIA  LTDA.</t>
  </si>
  <si>
    <t xml:space="preserve">HELP FESTAS CONVENIENCIA</t>
  </si>
  <si>
    <t xml:space="preserve">GISLAYNE PELENGHY ABRAO EIRELI ME</t>
  </si>
  <si>
    <t xml:space="preserve">FARMASSIST</t>
  </si>
  <si>
    <t xml:space="preserve">ELVERCIO RODNEY BRIZUELA</t>
  </si>
  <si>
    <t xml:space="preserve">MERCADO PIONEIRO II</t>
  </si>
  <si>
    <t xml:space="preserve">NORBERTO VIEIRA QUINTILIANO EIRELI</t>
  </si>
  <si>
    <t xml:space="preserve">STOCK MINIMERCADO E CONVENIENCIA</t>
  </si>
  <si>
    <t xml:space="preserve">R M TUR SOLUCOES EM SERVICOS EIRELI EPP </t>
  </si>
  <si>
    <t xml:space="preserve">CASA DE CARNE DO POVO</t>
  </si>
  <si>
    <t xml:space="preserve">3R COMERCIO DE ALIMENTOS EIRELI EPP</t>
  </si>
  <si>
    <t xml:space="preserve">3R COMERCIO DE ALIM</t>
  </si>
  <si>
    <t xml:space="preserve">W L MENDONCA</t>
  </si>
  <si>
    <t xml:space="preserve">PET SHOP DOCE FERINHA</t>
  </si>
  <si>
    <t xml:space="preserve">E DA SILVA CASA DE CARNES MS</t>
  </si>
  <si>
    <t xml:space="preserve">CASA DE CARNE CONVENIENCIA ES</t>
  </si>
  <si>
    <t xml:space="preserve">MARCELO FERREIRA GOMES 90637488172</t>
  </si>
  <si>
    <t xml:space="preserve">HORTENSE VENTURINI LTDA ME</t>
  </si>
  <si>
    <t xml:space="preserve">HORTENSE VENTURINI</t>
  </si>
  <si>
    <t xml:space="preserve">SERGIO LOPES DE SOUZA</t>
  </si>
  <si>
    <t xml:space="preserve">PORTAL DOS BICHOS</t>
  </si>
  <si>
    <t xml:space="preserve">MERCEARIA DITO</t>
  </si>
  <si>
    <t xml:space="preserve">INTIHUATANA ROSA MOREIRA ME</t>
  </si>
  <si>
    <t xml:space="preserve">LANCHONETE SAN MARTIN</t>
  </si>
  <si>
    <t xml:space="preserve">CARRIJO E CERRILHO LTDA ME</t>
  </si>
  <si>
    <t xml:space="preserve">CLINICA SAO BERNARDO</t>
  </si>
  <si>
    <t xml:space="preserve">MERCADO IMPERIAL LTDA ME</t>
  </si>
  <si>
    <t xml:space="preserve">MERCADO IMPERIAL LTDA</t>
  </si>
  <si>
    <t xml:space="preserve">ANDERSON SAMANIEGO BRAGA-ME</t>
  </si>
  <si>
    <t xml:space="preserve">ELIETE DO NASCIMENTO COSTA</t>
  </si>
  <si>
    <t xml:space="preserve">A F A PINTO MINIMERCADO ME</t>
  </si>
  <si>
    <t xml:space="preserve">MINIMERCADO SAO FRANCISCO</t>
  </si>
  <si>
    <t xml:space="preserve">SANDRA PIGOSSO DE OLIVEIRA SOUZA</t>
  </si>
  <si>
    <t xml:space="preserve">GISLAINE LAZARI ME</t>
  </si>
  <si>
    <t xml:space="preserve">FRAMACIA CONFIANCA</t>
  </si>
  <si>
    <t xml:space="preserve">FATIMA DO CARMO PAIVA ASSIS EIRELI ME</t>
  </si>
  <si>
    <t xml:space="preserve">NOVA TRIUNFO COMERCIO DE ALIMENTOS LTDA </t>
  </si>
  <si>
    <t xml:space="preserve">NOVA TRIUNFO</t>
  </si>
  <si>
    <t xml:space="preserve">ELIZANGELA GONZAGA DE SOUZA</t>
  </si>
  <si>
    <t xml:space="preserve">MERCEARIA QUINOS</t>
  </si>
  <si>
    <t xml:space="preserve">PAULA MONTEIRO VALADAO ME</t>
  </si>
  <si>
    <t xml:space="preserve">ARTIGO E UTENSILIOS DOMESTICOS</t>
  </si>
  <si>
    <t xml:space="preserve">MERCADO SAO RAFAEL EIRELI EPP</t>
  </si>
  <si>
    <t xml:space="preserve">MERCADO SAO RAFAEL</t>
  </si>
  <si>
    <t xml:space="preserve">REI DOS FRIOS E EMBALAGENS LTDA ME</t>
  </si>
  <si>
    <t xml:space="preserve">REI DOS FRIOS E EMBALAGENS</t>
  </si>
  <si>
    <t xml:space="preserve">KERONLAY DE OLIVEIRA TEIXEIRA</t>
  </si>
  <si>
    <t xml:space="preserve">ARC REPRESENTACOES</t>
  </si>
  <si>
    <t xml:space="preserve">F A DA SILVA ME</t>
  </si>
  <si>
    <t xml:space="preserve">LEANDRO MENEZES SANTOS</t>
  </si>
  <si>
    <t xml:space="preserve">ZOO PET CENTER</t>
  </si>
  <si>
    <t xml:space="preserve">APARECIDO ROBERTO NUNES JUNIOR</t>
  </si>
  <si>
    <t xml:space="preserve">R G GOMES MAIDANA</t>
  </si>
  <si>
    <t xml:space="preserve">DISTRISTRUICAO</t>
  </si>
  <si>
    <t xml:space="preserve">ALFA ESCOLA DE AVIACAO CIVIL LTDA</t>
  </si>
  <si>
    <t xml:space="preserve">ALFA</t>
  </si>
  <si>
    <t xml:space="preserve">CRISTIANE AUGUSTO SANTOS ME</t>
  </si>
  <si>
    <t xml:space="preserve">LEO E MAYLA</t>
  </si>
  <si>
    <t xml:space="preserve">ANA PAULA DA SILVA SOUZA ME</t>
  </si>
  <si>
    <t xml:space="preserve">ALIMENTOS ESPERANCA</t>
  </si>
  <si>
    <t xml:space="preserve">BRASAO BEEF SHOP EIRELI</t>
  </si>
  <si>
    <t xml:space="preserve">JLV KONCARNES PROD. E COMERCIO LTDA ME  </t>
  </si>
  <si>
    <t xml:space="preserve">KONCARNES</t>
  </si>
  <si>
    <t xml:space="preserve">JOSE RICARDO NASCIMENTO</t>
  </si>
  <si>
    <t xml:space="preserve">PET SHOP CATDOG</t>
  </si>
  <si>
    <t xml:space="preserve">MARIA MIGUELINA SERVIM</t>
  </si>
  <si>
    <t xml:space="preserve">MERCADO Q.BELEZA</t>
  </si>
  <si>
    <t xml:space="preserve">G S</t>
  </si>
  <si>
    <t xml:space="preserve">RONIER ANTONIO MATEUS DA COSTA -ME</t>
  </si>
  <si>
    <t xml:space="preserve">RONE MOTO</t>
  </si>
  <si>
    <t xml:space="preserve">WESLEI RODRIGUES BANDEIRA</t>
  </si>
  <si>
    <t xml:space="preserve">CONVENIENCIA E DISTRIBUIDORA V</t>
  </si>
  <si>
    <t xml:space="preserve">SUCOS E TAL CONVENIENCIA LTDA ME</t>
  </si>
  <si>
    <t xml:space="preserve">FABIANA RANGEL REIS ME</t>
  </si>
  <si>
    <t xml:space="preserve">VET</t>
  </si>
  <si>
    <t xml:space="preserve">CAFERRO COMERCIO E SERVICOS LTDA EPP</t>
  </si>
  <si>
    <t xml:space="preserve">LOJAS CAFERRO</t>
  </si>
  <si>
    <t xml:space="preserve">PRISCILA BRESSA ZANDONADI PEDROSO</t>
  </si>
  <si>
    <t xml:space="preserve">PET SHOP ANIMAIS E CIA</t>
  </si>
  <si>
    <t xml:space="preserve">GUILHERME CAZAROTTO FERREIRA - ME</t>
  </si>
  <si>
    <t xml:space="preserve">BICHOS E MIMOS</t>
  </si>
  <si>
    <t xml:space="preserve">MARCELO SILVA DIAS E CIA ME</t>
  </si>
  <si>
    <t xml:space="preserve">CONVENIENCIA LEIDY</t>
  </si>
  <si>
    <t xml:space="preserve">SILVIA ANITA DOS SANTOS</t>
  </si>
  <si>
    <t xml:space="preserve">MARISE LEITE DA SILVA</t>
  </si>
  <si>
    <t xml:space="preserve">MERCEARIA NOVA ALIANCA</t>
  </si>
  <si>
    <t xml:space="preserve">VITALINO FERREIRA MEI</t>
  </si>
  <si>
    <t xml:space="preserve">JOSUE GABRIEL DA SILVA MEI</t>
  </si>
  <si>
    <t xml:space="preserve">SILVANA MEIRE MARQUES BRAGA MEI</t>
  </si>
  <si>
    <t xml:space="preserve">QUERUBIM UTILIDADE</t>
  </si>
  <si>
    <t xml:space="preserve">JOSIANE CAMPOS DIAS</t>
  </si>
  <si>
    <t xml:space="preserve">HORTIFRUTI ITAMBE</t>
  </si>
  <si>
    <t xml:space="preserve">BERALDOS CLINICA VETERINARIA LTDA ME</t>
  </si>
  <si>
    <t xml:space="preserve">PATAS E PELO</t>
  </si>
  <si>
    <t xml:space="preserve">THAUANE GOMES DA COSTA</t>
  </si>
  <si>
    <t xml:space="preserve">BETEL CONVENIENCIA</t>
  </si>
  <si>
    <t xml:space="preserve">HELLEN LAIS ROSA MARTINS</t>
  </si>
  <si>
    <t xml:space="preserve">DENIS BRAGA GONCALVES MEI</t>
  </si>
  <si>
    <t xml:space="preserve">EMPORIO DK CONVENIENCIA E MERC</t>
  </si>
  <si>
    <t xml:space="preserve">MARIA DILVA ALVES DA SILVA</t>
  </si>
  <si>
    <t xml:space="preserve">MAYANE MARQUES ANDREU-ME</t>
  </si>
  <si>
    <t xml:space="preserve">ANA MEIRE SOUZA ALVES</t>
  </si>
  <si>
    <t xml:space="preserve">JUCIARA MALDONADO ALVES ME</t>
  </si>
  <si>
    <t xml:space="preserve"> COMERCIAL DELTA</t>
  </si>
  <si>
    <t xml:space="preserve">ATANACIA APAZA CANAZA</t>
  </si>
  <si>
    <t xml:space="preserve">COMERCIAL SILVIA</t>
  </si>
  <si>
    <t xml:space="preserve">R DA COSTA _ME</t>
  </si>
  <si>
    <t xml:space="preserve">CONVENIENCIA PONTO CERTO</t>
  </si>
  <si>
    <t xml:space="preserve">R DA S COSTA -ME</t>
  </si>
  <si>
    <t xml:space="preserve">GEVANILSON JOSE DE SOUZA ME</t>
  </si>
  <si>
    <t xml:space="preserve">FARMACIA SAUDE</t>
  </si>
  <si>
    <t xml:space="preserve">WALDEMIR ALMEIDA ADORNA 95627332115</t>
  </si>
  <si>
    <t xml:space="preserve">MERCEARIA RONDON</t>
  </si>
  <si>
    <t xml:space="preserve">EDER VARGAS BOGARIM JUNIOR</t>
  </si>
  <si>
    <t xml:space="preserve">BOB PET SHOP</t>
  </si>
  <si>
    <t xml:space="preserve">ARNOLDO BARCELLOS DE SA</t>
  </si>
  <si>
    <t xml:space="preserve">ELIETE LOPES APARECIDO</t>
  </si>
  <si>
    <t xml:space="preserve">LD MONJUREN</t>
  </si>
  <si>
    <t xml:space="preserve">MAVERIK CONVENIENCIAS EIRELI ME</t>
  </si>
  <si>
    <t xml:space="preserve">MAVERIK CONVENIENCIAS</t>
  </si>
  <si>
    <t xml:space="preserve">MAIDANA E SILVA LTDA ME</t>
  </si>
  <si>
    <t xml:space="preserve">CENTRAL DE NEGOCIOS PIRES LTDA - EPP</t>
  </si>
  <si>
    <t xml:space="preserve">CENTRAL DE NEGOCIOS PIRES</t>
  </si>
  <si>
    <t xml:space="preserve">GUARANI COMERCIO DE ALIMENTOS EIRELI ME </t>
  </si>
  <si>
    <t xml:space="preserve">ROOSTEL MERCADO</t>
  </si>
  <si>
    <t xml:space="preserve">MERCADAO ANIMAL COM PROD VETERINARIOS LT</t>
  </si>
  <si>
    <t xml:space="preserve">MERCADAO ANIMAL</t>
  </si>
  <si>
    <t xml:space="preserve">EDUARDO HENRIQUE ZANAO</t>
  </si>
  <si>
    <t xml:space="preserve">MERCEARIA ZANAO</t>
  </si>
  <si>
    <t xml:space="preserve">MERCAFRIOS PRATICO COM DE ALIM EIRELI ME</t>
  </si>
  <si>
    <t xml:space="preserve">MERCAFRIOS 2</t>
  </si>
  <si>
    <t xml:space="preserve">MERCADO E CONV ESPACO X EIRELI EPP</t>
  </si>
  <si>
    <t xml:space="preserve">ESPACO X</t>
  </si>
  <si>
    <t xml:space="preserve">MARIA RENATA TAVARES ME</t>
  </si>
  <si>
    <t xml:space="preserve">JORGE DA SILVA MEI</t>
  </si>
  <si>
    <t xml:space="preserve">JLV MERCEARIA</t>
  </si>
  <si>
    <t xml:space="preserve">MARCELO EIJI GUENKA</t>
  </si>
  <si>
    <t xml:space="preserve">ROSANGELA FERREIRA DOS SANTOS</t>
  </si>
  <si>
    <t xml:space="preserve">PAGMENOS</t>
  </si>
  <si>
    <t xml:space="preserve">ANTONIO CARLOS FRANCA DE MELO MEI</t>
  </si>
  <si>
    <t xml:space="preserve">MELO COMERCIO</t>
  </si>
  <si>
    <t xml:space="preserve">MERCADO BAKANA S LTDA ME</t>
  </si>
  <si>
    <t xml:space="preserve">MERCADO BAKANA S</t>
  </si>
  <si>
    <t xml:space="preserve">ANDERSON ANTONIO ALVES DE OLIVEIRA</t>
  </si>
  <si>
    <t xml:space="preserve">MIL DELICIA</t>
  </si>
  <si>
    <t xml:space="preserve">ZONEIDE GONCALVES</t>
  </si>
  <si>
    <t xml:space="preserve">MERCADO RZ</t>
  </si>
  <si>
    <t xml:space="preserve">LUCENA E LANZARINI LTDA EPP</t>
  </si>
  <si>
    <t xml:space="preserve">ANIMA DOUX</t>
  </si>
  <si>
    <t xml:space="preserve">EDIVALDO CONCEICAO DA SILVA ME</t>
  </si>
  <si>
    <t xml:space="preserve">MERCADO SENHOR DIVINO</t>
  </si>
  <si>
    <t xml:space="preserve">BENITES CONVENIENCIA LTDA</t>
  </si>
  <si>
    <t xml:space="preserve">FOCAS BEER CONVENIENCIA</t>
  </si>
  <si>
    <t xml:space="preserve">MAIS VC CONVENIENCIA E ACOUGUE</t>
  </si>
  <si>
    <t xml:space="preserve">MARLONKARNES COM VAREJ DE MERCADORIAS EI</t>
  </si>
  <si>
    <t xml:space="preserve">MARLONKARNES</t>
  </si>
  <si>
    <t xml:space="preserve">JOSE HUMBERTO NUNES DE  SOUZA ME</t>
  </si>
  <si>
    <t xml:space="preserve">QUINTAL RACOES</t>
  </si>
  <si>
    <t xml:space="preserve">CLINICA VETERINARIA HJM LTDA</t>
  </si>
  <si>
    <t xml:space="preserve">ANIMALLE PET SHOP</t>
  </si>
  <si>
    <t xml:space="preserve">T DE M PRATES ME</t>
  </si>
  <si>
    <t xml:space="preserve">FARMACIA ULTRA POPOLAR</t>
  </si>
  <si>
    <t xml:space="preserve">JANETE APARECIDA COSTA</t>
  </si>
  <si>
    <t xml:space="preserve">GAETA E SERAFIM CONVENIENCIA LTDA ME</t>
  </si>
  <si>
    <t xml:space="preserve">GAETA CONVENIENCIA</t>
  </si>
  <si>
    <t xml:space="preserve">FERNANDA FROZA BONATTO ME</t>
  </si>
  <si>
    <t xml:space="preserve">MARCA PET SHOP</t>
  </si>
  <si>
    <t xml:space="preserve">KAROLAYNE DIAS DE SOUZA</t>
  </si>
  <si>
    <t xml:space="preserve">MERCADO CAMAPUA</t>
  </si>
  <si>
    <t xml:space="preserve">MATOS E MARTINEZ LTDA ME</t>
  </si>
  <si>
    <t xml:space="preserve">LAGRO VET</t>
  </si>
  <si>
    <t xml:space="preserve">JESSIKA SUELLEM DA SILVA MATOS MEI</t>
  </si>
  <si>
    <t xml:space="preserve">SUPERMERCADO MARQUEZ</t>
  </si>
  <si>
    <t xml:space="preserve">ELENICE VIEIRA DOS SANTOS</t>
  </si>
  <si>
    <t xml:space="preserve">DR TOSA</t>
  </si>
  <si>
    <t xml:space="preserve">MARLUCE MEDEIROS DE OLIVEIRA</t>
  </si>
  <si>
    <t xml:space="preserve">TO EM CASA CONVENIENCIA</t>
  </si>
  <si>
    <t xml:space="preserve">KELLE CARVALHO P BONFIM ME</t>
  </si>
  <si>
    <t xml:space="preserve">DROGARIA BONFIM</t>
  </si>
  <si>
    <t xml:space="preserve">JOCILENE DAS DORES SILVA</t>
  </si>
  <si>
    <t xml:space="preserve">LOJA E SORVETERIA LIDER</t>
  </si>
  <si>
    <t xml:space="preserve">RJ COMERCIO DE RACOES LTDA</t>
  </si>
  <si>
    <t xml:space="preserve">VIRA LATA</t>
  </si>
  <si>
    <t xml:space="preserve">AG ALIMENTOS LTDA</t>
  </si>
  <si>
    <t xml:space="preserve">FOLHA VERDE</t>
  </si>
  <si>
    <t xml:space="preserve">MERCADO SCHWINN</t>
  </si>
  <si>
    <t xml:space="preserve">PAULO HENRIQUE DE SOUZA FERREIRA ME</t>
  </si>
  <si>
    <t xml:space="preserve">NICE VARIEDADES</t>
  </si>
  <si>
    <t xml:space="preserve">ROSIMARA APARECIDA LUCIA DE LIMA ME</t>
  </si>
  <si>
    <t xml:space="preserve">JJL COM VAR DE HORTIFRUTIG LTDA ME</t>
  </si>
  <si>
    <t xml:space="preserve">FRUTARIA E MERCEARIA JJL</t>
  </si>
  <si>
    <t xml:space="preserve">SACOLAO DO MAGAL</t>
  </si>
  <si>
    <t xml:space="preserve">FABIO LANES SIRANGELO ME</t>
  </si>
  <si>
    <t xml:space="preserve">CONV MULTI MARCAS</t>
  </si>
  <si>
    <t xml:space="preserve">JAILSO DA MOTA RODRIGUES</t>
  </si>
  <si>
    <t xml:space="preserve">COMERCIO DE ALIMENTO J3</t>
  </si>
  <si>
    <t xml:space="preserve">MARIA APARECIDA DE LIMA</t>
  </si>
  <si>
    <t xml:space="preserve">MERCADO CANTA GALO</t>
  </si>
  <si>
    <t xml:space="preserve">MALIBU BARTENDERS FESTAS E EVENTOS LTDA </t>
  </si>
  <si>
    <t xml:space="preserve">MALIBU BARTENDERS</t>
  </si>
  <si>
    <t xml:space="preserve">GRAFOX COMERCIO LTDA ME</t>
  </si>
  <si>
    <t xml:space="preserve">GRAFOX</t>
  </si>
  <si>
    <t xml:space="preserve">CAFE SILVA EIRELI ME</t>
  </si>
  <si>
    <t xml:space="preserve">UEDER SILVA FEITOSA EIRELI</t>
  </si>
  <si>
    <t xml:space="preserve">USF COMERCIO E SERVICOS</t>
  </si>
  <si>
    <t xml:space="preserve">CLAUDINEIA DE LIMA</t>
  </si>
  <si>
    <t xml:space="preserve">MAGIA EM BARBANTES</t>
  </si>
  <si>
    <t xml:space="preserve">LUCICLEINE BISPO DE OLIVEIRA</t>
  </si>
  <si>
    <t xml:space="preserve">MINI MERCADO ELDORADO</t>
  </si>
  <si>
    <t xml:space="preserve">IVONE MARIA GOTTARDI CORREI MEI</t>
  </si>
  <si>
    <t xml:space="preserve">BONI LIMP</t>
  </si>
  <si>
    <t xml:space="preserve">PEPERONE MASSAS LTDA ME</t>
  </si>
  <si>
    <t xml:space="preserve">PEPPERONE</t>
  </si>
  <si>
    <t xml:space="preserve">FREDDY LIBERATO SOLIZ VILLCA MEI</t>
  </si>
  <si>
    <t xml:space="preserve">COMERCIAL JOHANN</t>
  </si>
  <si>
    <t xml:space="preserve">CAMILA PEREIRA FERNANDES MEI</t>
  </si>
  <si>
    <t xml:space="preserve">MERCADO CAZUO</t>
  </si>
  <si>
    <t xml:space="preserve">JOBMAR PEREIRA DAMASCENO</t>
  </si>
  <si>
    <t xml:space="preserve">O REDAO</t>
  </si>
  <si>
    <t xml:space="preserve">NELLY</t>
  </si>
  <si>
    <t xml:space="preserve">THIAGO ORTIZ DONEDA ME</t>
  </si>
  <si>
    <t xml:space="preserve">A BANCA</t>
  </si>
  <si>
    <t xml:space="preserve">ROSELY COSTA DA SILVA</t>
  </si>
  <si>
    <t xml:space="preserve">PATRICIA SOUZA CORREIA</t>
  </si>
  <si>
    <t xml:space="preserve">PATRICIA BIJU</t>
  </si>
  <si>
    <t xml:space="preserve">NELSON ANTONIO TEIXEIRA ME</t>
  </si>
  <si>
    <t xml:space="preserve">CASA DE CARNE E CONVENIENCIA I</t>
  </si>
  <si>
    <t xml:space="preserve">ELIAN NESIAQUE CARNEIRO DA SILVA</t>
  </si>
  <si>
    <t xml:space="preserve">MINAS SUL</t>
  </si>
  <si>
    <t xml:space="preserve">ZERO GRAU DISTRIBUIDORA EIRELI ME</t>
  </si>
  <si>
    <t xml:space="preserve">ZERO GRAU DISTRIBUIDORA</t>
  </si>
  <si>
    <t xml:space="preserve">ALEXSANDRO MARCOS DE FARIA ME</t>
  </si>
  <si>
    <t xml:space="preserve">CONVENIENCIA DA ANINHA</t>
  </si>
  <si>
    <t xml:space="preserve">IZEQUIEL DA S. DOS SANTOS E CIA LTDA ME </t>
  </si>
  <si>
    <t xml:space="preserve">MERCADO NOVO MAX</t>
  </si>
  <si>
    <t xml:space="preserve">GEOVANI CESAR CARVALHO ALFONSO MEI</t>
  </si>
  <si>
    <t xml:space="preserve">MERCEARIA GRACIELI</t>
  </si>
  <si>
    <t xml:space="preserve">ATACADO E VAREJO RODRIGUES EIRELI EPP</t>
  </si>
  <si>
    <t xml:space="preserve">ATACADO E VAREJO RODRIGUES</t>
  </si>
  <si>
    <t xml:space="preserve">JOSIEL FLOR DE ARAUJO</t>
  </si>
  <si>
    <t xml:space="preserve">MANOEL ADRIANO FELIZARDO ME</t>
  </si>
  <si>
    <t xml:space="preserve">PANIFICADO FELIZAR</t>
  </si>
  <si>
    <t xml:space="preserve">CONCEICAO BAZILIO DE PAULA ME</t>
  </si>
  <si>
    <t xml:space="preserve">MOZART VANDERLEI RIBEIRO</t>
  </si>
  <si>
    <t xml:space="preserve">DO BRUTO</t>
  </si>
  <si>
    <t xml:space="preserve">NEVES E AZEVEDO LTDA ME</t>
  </si>
  <si>
    <t xml:space="preserve">EMBARE IND ALIMENTICIOS S.A</t>
  </si>
  <si>
    <t xml:space="preserve">EMBARE</t>
  </si>
  <si>
    <t xml:space="preserve">DROGARIA DROGAGIL DE MARACAJU EIRELI</t>
  </si>
  <si>
    <t xml:space="preserve">DROGARIA DROGAGIL</t>
  </si>
  <si>
    <t xml:space="preserve">CELSO E SILVA MACHADO</t>
  </si>
  <si>
    <t xml:space="preserve">SUPER DONATTOS EIRELI EPP</t>
  </si>
  <si>
    <t xml:space="preserve">SUPER DONATTOS</t>
  </si>
  <si>
    <t xml:space="preserve">VANUZA MARTINS MEDEIROS</t>
  </si>
  <si>
    <t xml:space="preserve">AUTO POSTO AMERICA LTDA</t>
  </si>
  <si>
    <t xml:space="preserve">ISMAEL DA SILVA MERCADO - ME</t>
  </si>
  <si>
    <t xml:space="preserve"> MERCADO NUTRI MAIS</t>
  </si>
  <si>
    <t xml:space="preserve">ELLOS CONVENIENCIAS LTDA ME</t>
  </si>
  <si>
    <t xml:space="preserve">ELLOS CONVENIENCIA</t>
  </si>
  <si>
    <t xml:space="preserve">REAL PANIFICADORA LTDA ME</t>
  </si>
  <si>
    <t xml:space="preserve">REAL PANIFICADORA</t>
  </si>
  <si>
    <t xml:space="preserve">DIEGO CAMPANHA EIRELI ME</t>
  </si>
  <si>
    <t xml:space="preserve">RIVALDO DO AMARAL OLIVEIRA</t>
  </si>
  <si>
    <t xml:space="preserve">SUPERMERCADO MASTER</t>
  </si>
  <si>
    <t xml:space="preserve">SUPERMERCADO MASTER 02</t>
  </si>
  <si>
    <t xml:space="preserve">AUTO POSTO MODELO LTDA</t>
  </si>
  <si>
    <t xml:space="preserve">MARILEIDE RODRIGUES DE SOUZA</t>
  </si>
  <si>
    <t xml:space="preserve">CONVENIENCIA DA MARI</t>
  </si>
  <si>
    <t xml:space="preserve">WESLLEY ENDERSON LISBOA</t>
  </si>
  <si>
    <t xml:space="preserve">JOSEMAR DOS SANTOS OLIVEIRA</t>
  </si>
  <si>
    <t xml:space="preserve">MERCADO E CASA DE CARNES BOM PRECO</t>
  </si>
  <si>
    <t xml:space="preserve">MAGDA VASQUES MACHADO FERRAZ</t>
  </si>
  <si>
    <t xml:space="preserve">PANIFICADORA LEITE E MEL</t>
  </si>
  <si>
    <t xml:space="preserve">TATIANE MEDICAMENTOS LTDA</t>
  </si>
  <si>
    <t xml:space="preserve">DROGARIA NOVO HORIZONTE</t>
  </si>
  <si>
    <t xml:space="preserve">SUELE CRISTINA CANDIDA NUNES RODRIGUES  </t>
  </si>
  <si>
    <t xml:space="preserve">SUPERMERCADO PARAISO</t>
  </si>
  <si>
    <t xml:space="preserve">COMERCIAL ARROYO DE PRODUTOS ALIMENTICIO</t>
  </si>
  <si>
    <t xml:space="preserve">COMERCIAL ARROYO</t>
  </si>
  <si>
    <t xml:space="preserve">DFD COMERCIO DE ALIMENTOS</t>
  </si>
  <si>
    <t xml:space="preserve">MERCADO K PRECO 2</t>
  </si>
  <si>
    <t xml:space="preserve">BIANCA CASTRO DOS SANTOS ME</t>
  </si>
  <si>
    <t xml:space="preserve">COVENIENCIA DUQUE DE CAIXIAS</t>
  </si>
  <si>
    <t xml:space="preserve">THIAGO GARCIA DA SILVA</t>
  </si>
  <si>
    <t xml:space="preserve">CONVENIENCIA CGC</t>
  </si>
  <si>
    <t xml:space="preserve">PARETSIS E PEREIRA COM PROD VETERINARIOS</t>
  </si>
  <si>
    <t xml:space="preserve">IMPERIO PET</t>
  </si>
  <si>
    <t xml:space="preserve">ANTONIO EDSON ROMERO ME</t>
  </si>
  <si>
    <t xml:space="preserve">MERCEARIA E ACOUGUE SANTO ANTONIO</t>
  </si>
  <si>
    <t xml:space="preserve">MEDEIROS CAFE CONVENIENCIA LTDA EPP</t>
  </si>
  <si>
    <t xml:space="preserve">BREAD E COFEE CAFE CONVENICENC</t>
  </si>
  <si>
    <t xml:space="preserve">JOHNY SEABRA LOUREIRO</t>
  </si>
  <si>
    <t xml:space="preserve">SILMARA NOGUEIRA LTDA</t>
  </si>
  <si>
    <t xml:space="preserve">SUPRILAR</t>
  </si>
  <si>
    <t xml:space="preserve">JOAO GERALDO LOPES MOURA 04380313182</t>
  </si>
  <si>
    <t xml:space="preserve">ROGERIO COSTA DA SILVA 89690150197</t>
  </si>
  <si>
    <t xml:space="preserve">GABRIEL MERCEARIA</t>
  </si>
  <si>
    <t xml:space="preserve">DAVID ERICSSON DUARTE SILVA</t>
  </si>
  <si>
    <t xml:space="preserve">IMPERIAL HOOKAH</t>
  </si>
  <si>
    <t xml:space="preserve">CRISTIANE VITCOV VENTURA ME</t>
  </si>
  <si>
    <t xml:space="preserve">MERCADO NANY</t>
  </si>
  <si>
    <t xml:space="preserve">GOMES E FREITAS LTDA</t>
  </si>
  <si>
    <t xml:space="preserve">CHURRASCARIA ARARA AZUL</t>
  </si>
  <si>
    <t xml:space="preserve">POUSADA MARACAJU LTDA</t>
  </si>
  <si>
    <t xml:space="preserve">POUSADA MARACAJU</t>
  </si>
  <si>
    <t xml:space="preserve">DAIANA BENITEZ PEREIRA - ME</t>
  </si>
  <si>
    <t xml:space="preserve">IMPERIAL BEBIDAS</t>
  </si>
  <si>
    <t xml:space="preserve">MARCUCI E CIA LTDA ME</t>
  </si>
  <si>
    <t xml:space="preserve">CONVENIENCIA WE</t>
  </si>
  <si>
    <t xml:space="preserve">MERCADO SAN DIEGO EIRELI ME</t>
  </si>
  <si>
    <t xml:space="preserve">MERCADO SAN DIEGO</t>
  </si>
  <si>
    <t xml:space="preserve">SEBASTIAO FERREIRA DEMELLO</t>
  </si>
  <si>
    <t xml:space="preserve">MINI MERCADO CAMPO ALEGRE</t>
  </si>
  <si>
    <t xml:space="preserve">MARIA LOINY FARIAS SCHWANN</t>
  </si>
  <si>
    <t xml:space="preserve">MERCADO VITAL BRASIL</t>
  </si>
  <si>
    <t xml:space="preserve">MAURO SUEL R DOS REIS MOURAO</t>
  </si>
  <si>
    <t xml:space="preserve">CASA DE CARNE E CONVENIENCIA M</t>
  </si>
  <si>
    <t xml:space="preserve">SANDRA MARIA VIANNINI ARASHIRO MEI</t>
  </si>
  <si>
    <t xml:space="preserve">MERCADO ASTRA</t>
  </si>
  <si>
    <t xml:space="preserve">COMERCIAL DE CARNES BMB- EIRELI</t>
  </si>
  <si>
    <t xml:space="preserve">COMERCIAL BMB</t>
  </si>
  <si>
    <t xml:space="preserve">COMERCIAL DE CARNES BMB - EIRELI</t>
  </si>
  <si>
    <t xml:space="preserve">LEONARDO DE OLIVEIRA MARTINS ME</t>
  </si>
  <si>
    <t xml:space="preserve">NUTRI PET</t>
  </si>
  <si>
    <t xml:space="preserve">MINI MERCADO SOBRINHO</t>
  </si>
  <si>
    <t xml:space="preserve">BELTRAO E SILVA LTDA</t>
  </si>
  <si>
    <t xml:space="preserve">MERCADO SAN RAFAEL</t>
  </si>
  <si>
    <t xml:space="preserve">VANESSA MURO DIAZ BRAZ MEI</t>
  </si>
  <si>
    <t xml:space="preserve">MARCIA MARTINS DE SOUSA ME</t>
  </si>
  <si>
    <t xml:space="preserve">MERCADO LANI</t>
  </si>
  <si>
    <t xml:space="preserve">IJ DE OLIVEIRA ME</t>
  </si>
  <si>
    <t xml:space="preserve">SOS NUTRICAO ANIMAL</t>
  </si>
  <si>
    <t xml:space="preserve">JANIKE LARA OLIVEIRA ME</t>
  </si>
  <si>
    <t xml:space="preserve">CONVENIENCIA VIP</t>
  </si>
  <si>
    <t xml:space="preserve">KARINE PINHEIRO ALVAREZ</t>
  </si>
  <si>
    <t xml:space="preserve">MERCEARIA MELAO</t>
  </si>
  <si>
    <t xml:space="preserve">COMERCIAL DE ALIMENTOS PANORAMA EIRELI  </t>
  </si>
  <si>
    <t xml:space="preserve">PANIFICADORA PAO DE OURO EIRELLI ME</t>
  </si>
  <si>
    <t xml:space="preserve">BICHARA COMERCIO E SERVICOS LTDA</t>
  </si>
  <si>
    <t xml:space="preserve">AJA COMERCIO E SERVICOS</t>
  </si>
  <si>
    <t xml:space="preserve">FRANK SILVESTRE DA SILVA FARIAS</t>
  </si>
  <si>
    <t xml:space="preserve">DOCE SILVESTRE</t>
  </si>
  <si>
    <t xml:space="preserve">ROSA MEIRE DE SOUZA GUTIERRES</t>
  </si>
  <si>
    <t xml:space="preserve">MERCEARIA CARACOL</t>
  </si>
  <si>
    <t xml:space="preserve">OTACILIO HONORIO DA SILVA</t>
  </si>
  <si>
    <t xml:space="preserve">CASA DA BEBIDA</t>
  </si>
  <si>
    <t xml:space="preserve">TIAGO SOUZA MEZA MEI</t>
  </si>
  <si>
    <t xml:space="preserve">NAMASTE ESTACIONAMENTO</t>
  </si>
  <si>
    <t xml:space="preserve">E D ZANCANARO ME</t>
  </si>
  <si>
    <t xml:space="preserve">FABIANA DA SILVA LOURENCO</t>
  </si>
  <si>
    <t xml:space="preserve">MERCERIA DO BETAO</t>
  </si>
  <si>
    <t xml:space="preserve">ARLINDO BALBUENA MEI</t>
  </si>
  <si>
    <t xml:space="preserve">MERCADO VILHENA</t>
  </si>
  <si>
    <t xml:space="preserve">JEANINE DE PINHO AJALA MEI</t>
  </si>
  <si>
    <t xml:space="preserve">CASA DE CARNE E CONVENIENCIA D</t>
  </si>
  <si>
    <t xml:space="preserve">ELAINE CRISTINA LAIZO TEODORO DA SILVA  </t>
  </si>
  <si>
    <t xml:space="preserve">PET STORE</t>
  </si>
  <si>
    <t xml:space="preserve">REGIANE CRISTIELLY MATTOS DA SILVA ME</t>
  </si>
  <si>
    <t xml:space="preserve">PET SHOP TODA HORA</t>
  </si>
  <si>
    <t xml:space="preserve">MENEZES E BOSSO LTDA ME</t>
  </si>
  <si>
    <t xml:space="preserve">TECNOVET</t>
  </si>
  <si>
    <t xml:space="preserve">MARIA ANTONIA MACHADO FILHO</t>
  </si>
  <si>
    <t xml:space="preserve">J E M REPRESENTACOES</t>
  </si>
  <si>
    <t xml:space="preserve">ISMAEL DA CONCEICAO FELICIO MEI</t>
  </si>
  <si>
    <t xml:space="preserve">VANDERLENE SANCHES MORENO ME</t>
  </si>
  <si>
    <t xml:space="preserve">CONVENIENCIA LENINHA</t>
  </si>
  <si>
    <t xml:space="preserve">NEIDE BLANCO ESCOBAR ME</t>
  </si>
  <si>
    <t xml:space="preserve">CONVENIENCIA SANTISTA</t>
  </si>
  <si>
    <t xml:space="preserve">A J NASCIMENTO DE LIMA</t>
  </si>
  <si>
    <t xml:space="preserve">MUNDIAL</t>
  </si>
  <si>
    <t xml:space="preserve">MERCEARIA E CONV ESPERANCA</t>
  </si>
  <si>
    <t xml:space="preserve">MESSIAS SANTANA DOS SANTOS</t>
  </si>
  <si>
    <t xml:space="preserve">R E R COMERCIO E SERVICOS LTDA EPP</t>
  </si>
  <si>
    <t xml:space="preserve">R E R COMERCIO E SERVICOS</t>
  </si>
  <si>
    <t xml:space="preserve">LETICIA DE OLIVEIRA PENTEADO</t>
  </si>
  <si>
    <t xml:space="preserve">HIROMU MARQUES MORIYAMA ME</t>
  </si>
  <si>
    <t xml:space="preserve">HORTIFRUTI DO PRODUTOR</t>
  </si>
  <si>
    <t xml:space="preserve">FERNANDES PACHECO ACADEMIA DE GINASTICA </t>
  </si>
  <si>
    <t xml:space="preserve">FORMULA ACADEMIA</t>
  </si>
  <si>
    <t xml:space="preserve">OSMAR ALFREDO SILVERIO</t>
  </si>
  <si>
    <t xml:space="preserve">JOSE ROSA ALVES PAIVA ME</t>
  </si>
  <si>
    <t xml:space="preserve">EQUITRAT COMERCIO DE RACOES ANIMAIS LTDA</t>
  </si>
  <si>
    <t xml:space="preserve">LOLO PET SHOP</t>
  </si>
  <si>
    <t xml:space="preserve">NOSPETTO RESTAURANTE ECHOPERIA LTDA</t>
  </si>
  <si>
    <t xml:space="preserve">NOSPETTO RESTAURANTE E CHOPERIA</t>
  </si>
  <si>
    <t xml:space="preserve">THAISA DA SILVA DUTRA EIRELI ME</t>
  </si>
  <si>
    <t xml:space="preserve">MERCADO LAR 2</t>
  </si>
  <si>
    <t xml:space="preserve">ROBERTO SOUZA LUIZ EIRELI ME</t>
  </si>
  <si>
    <t xml:space="preserve">PANIFICADORA BOA VISTA 2</t>
  </si>
  <si>
    <t xml:space="preserve">SEBASTIAO DE SOUZA OVIEDO</t>
  </si>
  <si>
    <t xml:space="preserve">MERCADO E ACOUGUE COMPRE BEM</t>
  </si>
  <si>
    <t xml:space="preserve">JOAO FERREIRA</t>
  </si>
  <si>
    <t xml:space="preserve">MERCADO UNIFRIOS</t>
  </si>
  <si>
    <t xml:space="preserve">GABRIELA GELIR CAPITANIO</t>
  </si>
  <si>
    <t xml:space="preserve">PET V</t>
  </si>
  <si>
    <t xml:space="preserve">VANUSA LOEBLEIN THEODORO</t>
  </si>
  <si>
    <t xml:space="preserve">EDIGAR DIAS DE MORAIS - EIRELI ME</t>
  </si>
  <si>
    <t xml:space="preserve">TOSCANA MERCADO</t>
  </si>
  <si>
    <t xml:space="preserve">BRUTOS FITNESS F REST LANCHONETE LTDA ME</t>
  </si>
  <si>
    <t xml:space="preserve">BRUTOS FITNESS</t>
  </si>
  <si>
    <t xml:space="preserve">SUPERMERCADO TRADICAO  LTDA EPP</t>
  </si>
  <si>
    <t xml:space="preserve">RESTAURANTE TOMODASHI SUCHI BAR LTDA ME </t>
  </si>
  <si>
    <t xml:space="preserve">TOMODASHI SUSHI BAR</t>
  </si>
  <si>
    <t xml:space="preserve">PAULO TRINDADE LEITE</t>
  </si>
  <si>
    <t xml:space="preserve">MERCEARIA ANA CLAUDIA</t>
  </si>
  <si>
    <t xml:space="preserve">FERREIRA E CIA COMERCIO DE ALIMENTOS LTD</t>
  </si>
  <si>
    <t xml:space="preserve">MERCADO BIG</t>
  </si>
  <si>
    <t xml:space="preserve">MAJU COSMETICOS LTDA ME</t>
  </si>
  <si>
    <t xml:space="preserve">MAJU COSMETICOS</t>
  </si>
  <si>
    <t xml:space="preserve">MINIMERCADO ACOUGUE BOZZA LTDA ME</t>
  </si>
  <si>
    <t xml:space="preserve">MINIMERCADO DA FAMILIA</t>
  </si>
  <si>
    <t xml:space="preserve">GONCALVES E VAEZ SUPERMERCADO LTDA ME</t>
  </si>
  <si>
    <t xml:space="preserve">SUPERMERCADO YPE ROXO</t>
  </si>
  <si>
    <t xml:space="preserve">SOARES E ROSA LTDA ME</t>
  </si>
  <si>
    <t xml:space="preserve">CENTROFARMA</t>
  </si>
  <si>
    <t xml:space="preserve">DESIA ALVES FERREIRA QUEIROZ</t>
  </si>
  <si>
    <t xml:space="preserve">JUNINHO RACOES</t>
  </si>
  <si>
    <t xml:space="preserve">DAILAN DE SOUZA OLIVEIRA MEI</t>
  </si>
  <si>
    <t xml:space="preserve">SOUZA MATERIAL DE CONSTRUCAO</t>
  </si>
  <si>
    <t xml:space="preserve">COMERCIAL BRAGA EIRELI</t>
  </si>
  <si>
    <t xml:space="preserve">CASA DE RACAO MD LTDA</t>
  </si>
  <si>
    <t xml:space="preserve">CASA DE RACAO MD</t>
  </si>
  <si>
    <t xml:space="preserve">PAMELA KESSIA DE M.BERENGUEL LOSSAVARO  </t>
  </si>
  <si>
    <t xml:space="preserve">CHEIRO VERDE</t>
  </si>
  <si>
    <t xml:space="preserve">ANANDA IZABEL SANTOS DO NASCIMENTO</t>
  </si>
  <si>
    <t xml:space="preserve">DIVA PINHEIRO CARVALHO DE OLIVEIRA</t>
  </si>
  <si>
    <t xml:space="preserve">DIVA PINHEIRO</t>
  </si>
  <si>
    <t xml:space="preserve">TRANSPORTE CASANOVA EIRELI ME</t>
  </si>
  <si>
    <t xml:space="preserve">CASANOVA CASA DE FRIOS E CONVE</t>
  </si>
  <si>
    <t xml:space="preserve">NIVIA BEATRIZ ROMAN ME</t>
  </si>
  <si>
    <t xml:space="preserve">CASA CE CARNE E CONV.DO CENTRO</t>
  </si>
  <si>
    <t xml:space="preserve">GIRASSOL PADARIA E CONFEITARIA EIRELI ME</t>
  </si>
  <si>
    <t xml:space="preserve">GIRASSOL PADARIA E CONFEITARIA</t>
  </si>
  <si>
    <t xml:space="preserve">M EL SAHILI EPP</t>
  </si>
  <si>
    <t xml:space="preserve">COMERCIAL FRONTEIRA</t>
  </si>
  <si>
    <t xml:space="preserve">MERCADO CONFIANCA LTDA</t>
  </si>
  <si>
    <t xml:space="preserve">DIMAS LOURENCO NEVES</t>
  </si>
  <si>
    <t xml:space="preserve">AGROPECUARIA NOGUEIRA DA SILVA LTDA</t>
  </si>
  <si>
    <t xml:space="preserve">AGORO</t>
  </si>
  <si>
    <t xml:space="preserve">COMERCIAL EBENEZER LTDA ME</t>
  </si>
  <si>
    <t xml:space="preserve">COMERCIAL EBENEZER</t>
  </si>
  <si>
    <t xml:space="preserve">CLEVERSON RIOS ME</t>
  </si>
  <si>
    <t xml:space="preserve">CAMILLO CENTURIONE SITA</t>
  </si>
  <si>
    <t xml:space="preserve">POPULAR TABACARIA E CONVENIENCIA</t>
  </si>
  <si>
    <t xml:space="preserve">DAYANE APARECIDA LAURO DE LIMA</t>
  </si>
  <si>
    <t xml:space="preserve">CENTER EMBALAGENS</t>
  </si>
  <si>
    <t xml:space="preserve">AMABILLY MIRIELLY DOS SANTOS SALINA</t>
  </si>
  <si>
    <t xml:space="preserve">CASA DE CARNE SALINA</t>
  </si>
  <si>
    <t xml:space="preserve">SUPERMERCADO FERNANDES E MENEGHELLO LTDA</t>
  </si>
  <si>
    <t xml:space="preserve">SUPERMERCADOS SUPER NOSSA</t>
  </si>
  <si>
    <t xml:space="preserve">ELIZEU M DE SOUZA ME</t>
  </si>
  <si>
    <t xml:space="preserve">RAFFAS BEIR</t>
  </si>
  <si>
    <t xml:space="preserve">ERICK DOS SANTOS CAMARGO</t>
  </si>
  <si>
    <t xml:space="preserve">EMPORIO EQUILIBRIO</t>
  </si>
  <si>
    <t xml:space="preserve">MANOEL DE ARAUJO FERNANDES</t>
  </si>
  <si>
    <t xml:space="preserve">MERCADO FERNANDES</t>
  </si>
  <si>
    <t xml:space="preserve">JAIRO CENTURIAO ME</t>
  </si>
  <si>
    <t xml:space="preserve">VANIA REGINA AYALA RAMIREZ</t>
  </si>
  <si>
    <t xml:space="preserve">COMERCIAL VITORIA</t>
  </si>
  <si>
    <t xml:space="preserve">JAINARA CAROLINA SANTANA ME</t>
  </si>
  <si>
    <t xml:space="preserve">TERRA MEDIA</t>
  </si>
  <si>
    <t xml:space="preserve">COMERCIAL EXODO LTDA ME</t>
  </si>
  <si>
    <t xml:space="preserve">COMERCIAL EXODO</t>
  </si>
  <si>
    <t xml:space="preserve">CRISTINA APARECIDA OLIVEIRA FERREIRA</t>
  </si>
  <si>
    <t xml:space="preserve">DEGAS ESTETICA ANIMAL EIRELI</t>
  </si>
  <si>
    <t xml:space="preserve">DEGAS ESTETICA ANIMAL</t>
  </si>
  <si>
    <t xml:space="preserve">JOSE MAURICIO DE SOUZA OLIVEIRA</t>
  </si>
  <si>
    <t xml:space="preserve">ZEZAO CESTA BASICA</t>
  </si>
  <si>
    <t xml:space="preserve">VITRINE CASA DE SHOWS EIRELI</t>
  </si>
  <si>
    <t xml:space="preserve">ADRIANO CRISTOVAO LEANDRO ME</t>
  </si>
  <si>
    <t xml:space="preserve">GISLAINE LUIZ TORQUETI</t>
  </si>
  <si>
    <t xml:space="preserve">BUD BIEER</t>
  </si>
  <si>
    <t xml:space="preserve">JOSE APARECIDO MAROCHIO DE LIMA</t>
  </si>
  <si>
    <t xml:space="preserve">PET MS</t>
  </si>
  <si>
    <t xml:space="preserve">LG CASA DE CARNE E CONVENIENCIA LTDA</t>
  </si>
  <si>
    <t xml:space="preserve">COMERCIO E CONVENIENCIA TAQUARI LTDA ME </t>
  </si>
  <si>
    <t xml:space="preserve">TAQUARI CONVENIENCIA</t>
  </si>
  <si>
    <t xml:space="preserve">ADAN CRISTIAN XAVIER DA SILVA ME</t>
  </si>
  <si>
    <t xml:space="preserve">MARAJA CONVENIENCIA</t>
  </si>
  <si>
    <t xml:space="preserve">LUCILA GARCETE</t>
  </si>
  <si>
    <t xml:space="preserve">EVALDO ESTELAI DA SILVA</t>
  </si>
  <si>
    <t xml:space="preserve">SELMA ROSA FERREIRA RAPOSO ME</t>
  </si>
  <si>
    <t xml:space="preserve">MERCECASA DE RACAO PRIVAVERA</t>
  </si>
  <si>
    <t xml:space="preserve">A3 SUPERMERCADO</t>
  </si>
  <si>
    <t xml:space="preserve">J ERINGER DA SILVA EIRELI</t>
  </si>
  <si>
    <t xml:space="preserve">MERCADO ENZO</t>
  </si>
  <si>
    <t xml:space="preserve">RODRIGO BARBOSA DE MELO</t>
  </si>
  <si>
    <t xml:space="preserve">CONVENIENCIA POINT BEER</t>
  </si>
  <si>
    <t xml:space="preserve">POLLYANNA BARBOSA FARIA ME</t>
  </si>
  <si>
    <t xml:space="preserve">MINI MERCADO FARIA</t>
  </si>
  <si>
    <t xml:space="preserve">VERIDIANE APARECIDA TOMAZ DA SILVA PAULA</t>
  </si>
  <si>
    <t xml:space="preserve">RESTAURANTE E HOTEL ELO DOURADO</t>
  </si>
  <si>
    <t xml:space="preserve">BANDEIRAS COMERCIO DE RACOES EIRELI ME  </t>
  </si>
  <si>
    <t xml:space="preserve">ROSILENE DE JESUS DOS REIS</t>
  </si>
  <si>
    <t xml:space="preserve">MERCADO BANAT EIRELLI ME</t>
  </si>
  <si>
    <t xml:space="preserve">23033110000155</t>
  </si>
  <si>
    <t xml:space="preserve">DROGARIA SETE QUEDAS LTDA ME</t>
  </si>
  <si>
    <t xml:space="preserve">DROGAFARMA 24 HORAS</t>
  </si>
  <si>
    <t xml:space="preserve">D R ARISTIMUNHA ME</t>
  </si>
  <si>
    <t xml:space="preserve">R R DE ALMEIDA ME</t>
  </si>
  <si>
    <t xml:space="preserve">LAUDEMIR GONCALVES DE OLIVEIRA</t>
  </si>
  <si>
    <t xml:space="preserve">ACOUGUE E MERCEARIA MARION EIRELI</t>
  </si>
  <si>
    <t xml:space="preserve">MERCEARIA MARION</t>
  </si>
  <si>
    <t xml:space="preserve">LOPES E CASTRO LOPES LTDA ME</t>
  </si>
  <si>
    <t xml:space="preserve">NOBRE FARMA</t>
  </si>
  <si>
    <t xml:space="preserve">LAVRATTI E CIA LTDA</t>
  </si>
  <si>
    <t xml:space="preserve">CONV E DISTRIBUIDORA ARCANJUS</t>
  </si>
  <si>
    <t xml:space="preserve">ARARAS CONVENIENCIA</t>
  </si>
  <si>
    <t xml:space="preserve">LETICIA GOMES ESPINDOLA ME</t>
  </si>
  <si>
    <t xml:space="preserve">PET SHOP STAR</t>
  </si>
  <si>
    <t xml:space="preserve">PAES E MARAGNO LTDA ME</t>
  </si>
  <si>
    <t xml:space="preserve">NATURAL TUDO</t>
  </si>
  <si>
    <t xml:space="preserve">CLEIDE MARTINS DOS SANTOS-ME</t>
  </si>
  <si>
    <t xml:space="preserve">PANIFICADORA STA LUZIA</t>
  </si>
  <si>
    <t xml:space="preserve">Q DELICIA DOCES E SALGADOS LTDA</t>
  </si>
  <si>
    <t xml:space="preserve">Q DELICIA</t>
  </si>
  <si>
    <t xml:space="preserve">ELAINE S. DE OLIVEIRA</t>
  </si>
  <si>
    <t xml:space="preserve">PANIFICADORA E CASA DE BOLO VITORIA</t>
  </si>
  <si>
    <t xml:space="preserve">SANTOS E LEITE- ME</t>
  </si>
  <si>
    <t xml:space="preserve">J SANTOS</t>
  </si>
  <si>
    <t xml:space="preserve">AUTO POSTO NICARETTA LTDA</t>
  </si>
  <si>
    <t xml:space="preserve">AUTO POSTO NICARETTA</t>
  </si>
  <si>
    <t xml:space="preserve">SUELEN MADUREIRA ARAUJO DE FALCHI ME</t>
  </si>
  <si>
    <t xml:space="preserve">ALINE RODRIGUES DOS SANTOS ME</t>
  </si>
  <si>
    <t xml:space="preserve">DYULLY COSTA SOUZA</t>
  </si>
  <si>
    <t xml:space="preserve">ONORIO COSTA</t>
  </si>
  <si>
    <t xml:space="preserve">GERMANO JOSE INACIO</t>
  </si>
  <si>
    <t xml:space="preserve">MERCEARIA AGUIA</t>
  </si>
  <si>
    <t xml:space="preserve">HERMESON INACIO DA SILVA</t>
  </si>
  <si>
    <t xml:space="preserve">PANIFICADORA E CONFEITARIA LAURA PAES</t>
  </si>
  <si>
    <t xml:space="preserve">C E A GAS E CONVENIENCIA LTDA ME</t>
  </si>
  <si>
    <t xml:space="preserve">SCAPIN</t>
  </si>
  <si>
    <t xml:space="preserve">GEDEILSON GERCINO LOPES 01639774106</t>
  </si>
  <si>
    <t xml:space="preserve">GERCINOS CONVENIENCIA</t>
  </si>
  <si>
    <t xml:space="preserve">WALLASI DA SILVA VICENTINO ME</t>
  </si>
  <si>
    <t xml:space="preserve">FILEZAO CASA DE CARNE E CONVENIENCIA</t>
  </si>
  <si>
    <t xml:space="preserve">EUFRAZIO CLAUDINO DAS VIRGENS FILHO ME  </t>
  </si>
  <si>
    <t xml:space="preserve">SAO JOSE PRODUTOS ALIMENTICIOS LTDA</t>
  </si>
  <si>
    <t xml:space="preserve">CARNIVOROS</t>
  </si>
  <si>
    <t xml:space="preserve">ZILDA FIRMINO DOS ANJOS ME</t>
  </si>
  <si>
    <t xml:space="preserve">INCOPLIM</t>
  </si>
  <si>
    <t xml:space="preserve">JOAO ADMAR CUSTODIO LOPES EIRELI ME</t>
  </si>
  <si>
    <t xml:space="preserve">MERCADO TERRA SANTA</t>
  </si>
  <si>
    <t xml:space="preserve">MARKA MIL DISTRIBUIDORA DE BEBIDAS EIREL</t>
  </si>
  <si>
    <t xml:space="preserve">DISCONTREL</t>
  </si>
  <si>
    <t xml:space="preserve">DIONISIO E SANTOS CONVENIENCIA LTDA</t>
  </si>
  <si>
    <t xml:space="preserve">CONVENIENCIA NORTAO</t>
  </si>
  <si>
    <t xml:space="preserve">GR COMERCIO DE RACOES LTDA ME</t>
  </si>
  <si>
    <t xml:space="preserve">GR RACOES</t>
  </si>
  <si>
    <t xml:space="preserve">JESUS CARLOS NOGUEIRA</t>
  </si>
  <si>
    <t xml:space="preserve">CAUAN VARIEDADES</t>
  </si>
  <si>
    <t xml:space="preserve">SALOME</t>
  </si>
  <si>
    <t xml:space="preserve">MARIA JANETE MACHADO D ATHAYDE</t>
  </si>
  <si>
    <t xml:space="preserve">PROPET PETSHOP</t>
  </si>
  <si>
    <t xml:space="preserve">BRUNO ALVES BARREIRO MEI</t>
  </si>
  <si>
    <t xml:space="preserve">PADARIA E CONFEITARIA MARANATA</t>
  </si>
  <si>
    <t xml:space="preserve">GONCALVES ADEGA DE BEBIDAS EIRELI</t>
  </si>
  <si>
    <t xml:space="preserve">GONCALVES CONVENIENCIA</t>
  </si>
  <si>
    <t xml:space="preserve">GLEICIELY MEDEIROS BARTHOLOMEU CONV ME  </t>
  </si>
  <si>
    <t xml:space="preserve">AMG CONVENIENCIA</t>
  </si>
  <si>
    <t xml:space="preserve">E W S FLORES LTDA</t>
  </si>
  <si>
    <t xml:space="preserve">SUPERMERCADO PEROLA DO PANTANA</t>
  </si>
  <si>
    <t xml:space="preserve">SILVA E SANTOS MERCADO LTDA ME</t>
  </si>
  <si>
    <t xml:space="preserve">PINAS CONVENIENCIA</t>
  </si>
  <si>
    <t xml:space="preserve">YPE CAFE EIRELI ME</t>
  </si>
  <si>
    <t xml:space="preserve">YPE CAFE EIRELI</t>
  </si>
  <si>
    <t xml:space="preserve">IVONE DA SILVA FERREIRA ME</t>
  </si>
  <si>
    <t xml:space="preserve">MERCADO DA FAMILIA</t>
  </si>
  <si>
    <t xml:space="preserve">DORIZ ELGA PUCHO CHALLCO ME</t>
  </si>
  <si>
    <t xml:space="preserve">COMERCIAL DORIZ</t>
  </si>
  <si>
    <t xml:space="preserve">LEIDIANE SILVA DE CARVALHO ME</t>
  </si>
  <si>
    <t xml:space="preserve">JONATAN RONALD ROMERO MARTINS</t>
  </si>
  <si>
    <t xml:space="preserve">MERCEARIA MENASSES SECOS E MOLHADOS EM G</t>
  </si>
  <si>
    <t xml:space="preserve">ROCHA HAYD COMERCIO E SERVICOS EIRELI</t>
  </si>
  <si>
    <t xml:space="preserve">ROCHA HAYD INSTALACOES</t>
  </si>
  <si>
    <t xml:space="preserve">W R A PARRA BRASIL - EIRELI EPP</t>
  </si>
  <si>
    <t xml:space="preserve">RENAN MACIEL RIBEIRO EIRELI</t>
  </si>
  <si>
    <t xml:space="preserve">BARBEARIA A BANCA</t>
  </si>
  <si>
    <t xml:space="preserve">SUPERMERCADO MORIA EIRELI ME</t>
  </si>
  <si>
    <t xml:space="preserve">SUPERMERCADO MORIA</t>
  </si>
  <si>
    <t xml:space="preserve">ELTON ANDERSON DA SILVA ME</t>
  </si>
  <si>
    <t xml:space="preserve">ELTON E CIA</t>
  </si>
  <si>
    <t xml:space="preserve">VALDEIR MARQUES BARBOSA MEI</t>
  </si>
  <si>
    <t xml:space="preserve">RAQUEL SILVA DOS SANTOS</t>
  </si>
  <si>
    <t xml:space="preserve">MERCADINHO DA RAQUEL</t>
  </si>
  <si>
    <t xml:space="preserve">DALVA MARIA DE LIMA CORREA</t>
  </si>
  <si>
    <t xml:space="preserve">LC CONVENIENCIA</t>
  </si>
  <si>
    <t xml:space="preserve">JUSSILENE DIAS ACOSTA</t>
  </si>
  <si>
    <t xml:space="preserve">MERCADO E ACOUGUE OLIDIA ROCHA</t>
  </si>
  <si>
    <t xml:space="preserve">MARCUS VINICIUS F F PRATAVIEIRA ME</t>
  </si>
  <si>
    <t xml:space="preserve">ViniDog Pet Shop</t>
  </si>
  <si>
    <t xml:space="preserve">ARIELLY CRISTALDO MACIEL - ME</t>
  </si>
  <si>
    <t xml:space="preserve">CASA DE CARNE E CONVENIENCIA GUILHERME</t>
  </si>
  <si>
    <t xml:space="preserve">FARMACIA POPULAR SANTA LUZIA EIRELI</t>
  </si>
  <si>
    <t xml:space="preserve">CRISTIANE GELLER SOARES ME</t>
  </si>
  <si>
    <t xml:space="preserve">AGROPET SAUDE ANIMAL</t>
  </si>
  <si>
    <t xml:space="preserve">MERCEARIA E CONV. VITORORIA</t>
  </si>
  <si>
    <t xml:space="preserve">ALIMENTOS FLOR DO VALE III LTDA ME</t>
  </si>
  <si>
    <t xml:space="preserve">REDE FLOR DO VALE </t>
  </si>
  <si>
    <t xml:space="preserve">SUPERMERCADO FLOR DO VALE III</t>
  </si>
  <si>
    <t xml:space="preserve">ALIMENTOS FLOR DO VALE 3 LTDA</t>
  </si>
  <si>
    <t xml:space="preserve">FLOR DO VALE ALIMENTOS</t>
  </si>
  <si>
    <t xml:space="preserve">SANDRA REGINA TROMBETA  ME</t>
  </si>
  <si>
    <t xml:space="preserve">SHR AGROPECUARIA</t>
  </si>
  <si>
    <t xml:space="preserve">CAFE MOSTADA VICARI LTDA</t>
  </si>
  <si>
    <t xml:space="preserve">CLAUDIO ANTONIO VELASQUEZ ME</t>
  </si>
  <si>
    <t xml:space="preserve">PADARIA RICARDO FRANCO</t>
  </si>
  <si>
    <t xml:space="preserve">L C ROCHA E CIA LTDA</t>
  </si>
  <si>
    <t xml:space="preserve">AGROPECUARIA OURO</t>
  </si>
  <si>
    <t xml:space="preserve">DROGARIA DOIS IRMAOS COM.MED.LTDA ME</t>
  </si>
  <si>
    <t xml:space="preserve">DROGARIA LEVI</t>
  </si>
  <si>
    <t xml:space="preserve">MANOEL LUIZ CARDOSO E CIA LTDA</t>
  </si>
  <si>
    <t xml:space="preserve">MERCADINHO AZUL</t>
  </si>
  <si>
    <t xml:space="preserve">DAIANA ESCOBAR ROJAS DE DEUS MEI</t>
  </si>
  <si>
    <t xml:space="preserve">MERCADINHO SOPHIA</t>
  </si>
  <si>
    <t xml:space="preserve">DJONATHAS HENRIQUE FERNANDES BENTO</t>
  </si>
  <si>
    <t xml:space="preserve">MERCADO SUL AMERICANO</t>
  </si>
  <si>
    <t xml:space="preserve">F E DA SILVA CONVENIENCIA</t>
  </si>
  <si>
    <t xml:space="preserve">COMERCIO BEBIDAS CONV TENORIO E LAURETTO</t>
  </si>
  <si>
    <t xml:space="preserve">CONV TENORIO E LAURETO</t>
  </si>
  <si>
    <t xml:space="preserve">BRITO E SAMPAIO CLINICA VETERINARIA LTDA</t>
  </si>
  <si>
    <t xml:space="preserve">DR PET</t>
  </si>
  <si>
    <t xml:space="preserve">PADARIA PAO ZAO LTDA ME</t>
  </si>
  <si>
    <t xml:space="preserve">PADARIA PAO ZAO</t>
  </si>
  <si>
    <t xml:space="preserve">RONALDO CAMARGO SOUZA- ME</t>
  </si>
  <si>
    <t xml:space="preserve">VALERIA BETTY ALVAREZ QUISPE</t>
  </si>
  <si>
    <t xml:space="preserve">COMERCIAL DIAS DE ALIMENTOS EIRELI EPP  </t>
  </si>
  <si>
    <t xml:space="preserve">IGOR CUNHA ME</t>
  </si>
  <si>
    <t xml:space="preserve">DROGARIA TERENOS</t>
  </si>
  <si>
    <t xml:space="preserve">LUCAS ALLAN SCHWENGBER ME</t>
  </si>
  <si>
    <t xml:space="preserve">SUPERMERCADO CAIO</t>
  </si>
  <si>
    <t xml:space="preserve">GABI COSMETICOS LTDA ME</t>
  </si>
  <si>
    <t xml:space="preserve">GABI COMESTICOS</t>
  </si>
  <si>
    <t xml:space="preserve">VANDERLEY ROSA DIAS ME</t>
  </si>
  <si>
    <t xml:space="preserve">JUCA AGROCENTER</t>
  </si>
  <si>
    <t xml:space="preserve">SUPER PET SHOP</t>
  </si>
  <si>
    <t xml:space="preserve">COMERCIAL MARIOLI</t>
  </si>
  <si>
    <t xml:space="preserve">FERNANDA SOUZA DA SILVA BOCK ME</t>
  </si>
  <si>
    <t xml:space="preserve">VIA BRASIL PRESTADORA DE SERVICO</t>
  </si>
  <si>
    <t xml:space="preserve">MARCELA ANDRADE DE OLIVEIRA</t>
  </si>
  <si>
    <t xml:space="preserve">PEDRO ANTONIO RODRIGUES NOBRE ME</t>
  </si>
  <si>
    <t xml:space="preserve">NOBRE CONVENIENCIA</t>
  </si>
  <si>
    <t xml:space="preserve">WAGNER PEREIRA DA SILVA LTDA</t>
  </si>
  <si>
    <t xml:space="preserve">POBREZA CONVENIENCIA</t>
  </si>
  <si>
    <t xml:space="preserve">CONVENIENCIA INDEPENDENCIA LTDA</t>
  </si>
  <si>
    <t xml:space="preserve">CONVENIENCIA INDEPENDENCIA</t>
  </si>
  <si>
    <t xml:space="preserve">GILMA INACIO DE LARA EIRELLI-ME</t>
  </si>
  <si>
    <t xml:space="preserve">VAGNER AVILA RUIZ</t>
  </si>
  <si>
    <t xml:space="preserve">PETS HOUSE</t>
  </si>
  <si>
    <t xml:space="preserve">AGRO COMERCIAL OTSUBO LTDA EPP</t>
  </si>
  <si>
    <t xml:space="preserve">HORT FRUT OTSUBO</t>
  </si>
  <si>
    <t xml:space="preserve">MS CPC PET SHOP EIRELI EPP</t>
  </si>
  <si>
    <t xml:space="preserve">100 POR CENTO PET</t>
  </si>
  <si>
    <t xml:space="preserve">DENISE MIRANDA DE SOUZA</t>
  </si>
  <si>
    <t xml:space="preserve">PET SHOP DA MANA</t>
  </si>
  <si>
    <t xml:space="preserve">FERNANDA MONTEIRO VALADAO</t>
  </si>
  <si>
    <t xml:space="preserve">MERCEARIA E UTILIDADES VALADAO</t>
  </si>
  <si>
    <t xml:space="preserve">PATRICIA NUNES FRANCA</t>
  </si>
  <si>
    <t xml:space="preserve">EMPORIO HORTIFRUTI</t>
  </si>
  <si>
    <t xml:space="preserve">DROGARIA SALVE EIRELLI ME</t>
  </si>
  <si>
    <t xml:space="preserve">DROGARIA ULTRA</t>
  </si>
  <si>
    <t xml:space="preserve">MOTA E SOUZA COM E SERVICO LTDA ME</t>
  </si>
  <si>
    <t xml:space="preserve">EDER NEPOMUCENO BENTO - ME</t>
  </si>
  <si>
    <t xml:space="preserve">PONTO DO TERERE</t>
  </si>
  <si>
    <t xml:space="preserve">MEGUELINA DE MATOS LEITE</t>
  </si>
  <si>
    <t xml:space="preserve">BAR E MERC ENCONTRO DOS AMIGOS</t>
  </si>
  <si>
    <t xml:space="preserve">AGUINALDO CABANHE ARCE MEI</t>
  </si>
  <si>
    <t xml:space="preserve">T A MILITAO</t>
  </si>
  <si>
    <t xml:space="preserve">MARIA LINA DE JESUS DE MOURA 90027574172</t>
  </si>
  <si>
    <t xml:space="preserve">MAIS RACAO PET SHOP</t>
  </si>
  <si>
    <t xml:space="preserve">EPV COMERCIO VAREJISTA EIRELI</t>
  </si>
  <si>
    <t xml:space="preserve">BELA VISTA UTILIDADE DOMESTICAS</t>
  </si>
  <si>
    <t xml:space="preserve">OPCAO CASA DE CARNE E CONVENIENCIA EIREL</t>
  </si>
  <si>
    <t xml:space="preserve">CASA DE CARNE CONV.OPCAO</t>
  </si>
  <si>
    <t xml:space="preserve">SUENI CRISTINA ARRAIS</t>
  </si>
  <si>
    <t xml:space="preserve">JDF MERCADO E ACOUGUE</t>
  </si>
  <si>
    <t xml:space="preserve">MERCADO JDF</t>
  </si>
  <si>
    <t xml:space="preserve">JOSE ALEXANDRE MENDES RODRIGUES LTDA</t>
  </si>
  <si>
    <t xml:space="preserve">PLANETA AGROPET</t>
  </si>
  <si>
    <t xml:space="preserve">MINI MERCADO DAMASCENO EIRELI ME</t>
  </si>
  <si>
    <t xml:space="preserve">MERCADO TABOADO</t>
  </si>
  <si>
    <t xml:space="preserve">DROGARIA ESPIRITO SANTO EIRELI ME</t>
  </si>
  <si>
    <t xml:space="preserve">DROGARIA ESPIRITO SANTO</t>
  </si>
  <si>
    <t xml:space="preserve">FRANCESCO BRUNO NARDINI</t>
  </si>
  <si>
    <t xml:space="preserve">MERC NARDINI</t>
  </si>
  <si>
    <t xml:space="preserve">PAULA GABRIELA BASILIO GARCIA</t>
  </si>
  <si>
    <t xml:space="preserve">CERSUL RACOES</t>
  </si>
  <si>
    <t xml:space="preserve">J M MERCADO FRUTAS E VERDURAS LTDA</t>
  </si>
  <si>
    <t xml:space="preserve">J M FRUTAS E VERDURAS</t>
  </si>
  <si>
    <t xml:space="preserve">NATHALIA LIMA DE OLIVEIRA</t>
  </si>
  <si>
    <t xml:space="preserve">MERCEARIA NRJ</t>
  </si>
  <si>
    <t xml:space="preserve">JOSIANE PIROLI</t>
  </si>
  <si>
    <t xml:space="preserve">PET SHOP PET CAO</t>
  </si>
  <si>
    <t xml:space="preserve">COMERCIO DE ALIMENTOS LGS EIRELI EPP</t>
  </si>
  <si>
    <t xml:space="preserve">PINGO DOCE</t>
  </si>
  <si>
    <t xml:space="preserve">A P S DA SILVA</t>
  </si>
  <si>
    <t xml:space="preserve">ACOUGUE SANTANA</t>
  </si>
  <si>
    <t xml:space="preserve">VALERIA GOMES</t>
  </si>
  <si>
    <t xml:space="preserve">HORA CERTA CONVENIENCIA</t>
  </si>
  <si>
    <t xml:space="preserve">ANA CLAUDIA DA COSTA MARQUES</t>
  </si>
  <si>
    <t xml:space="preserve">ANGEL VET</t>
  </si>
  <si>
    <t xml:space="preserve">MERCADO REAL GENEROS ALIMENTICIOS LTDA  </t>
  </si>
  <si>
    <t xml:space="preserve">PATRICIA FREITAS DA SILVA SANTOS</t>
  </si>
  <si>
    <t xml:space="preserve">ASSIS E MELO LTDA ME</t>
  </si>
  <si>
    <t xml:space="preserve">MERCEARIA N SRA DE LOURDES</t>
  </si>
  <si>
    <t xml:space="preserve">SERTANEJA PROD AGROPECUARIOS EIRELI ME  </t>
  </si>
  <si>
    <t xml:space="preserve">SERTANEJA PROD AGROPECUARIOS</t>
  </si>
  <si>
    <t xml:space="preserve">IARA MACENA DE LIMA ME</t>
  </si>
  <si>
    <t xml:space="preserve">VELASCO E ROGER LTDA</t>
  </si>
  <si>
    <t xml:space="preserve">OCTACILIO CORREA ESPINDOLA NETO ME</t>
  </si>
  <si>
    <t xml:space="preserve">RESTAURANTE KURIYAMA</t>
  </si>
  <si>
    <t xml:space="preserve">DELAIR RODRIGUES DUTRA PIRES</t>
  </si>
  <si>
    <t xml:space="preserve">BEER MAIS CONV EMP E TABACARIA LTDA</t>
  </si>
  <si>
    <t xml:space="preserve">BERR MAIS CONVENIENCIA</t>
  </si>
  <si>
    <t xml:space="preserve">MICHEL HIDEO TAKAMURA ME</t>
  </si>
  <si>
    <t xml:space="preserve">MERCADO E ACOUGUE PRECO CERTO</t>
  </si>
  <si>
    <t xml:space="preserve">LARISSA ANUNES ME</t>
  </si>
  <si>
    <t xml:space="preserve">MUNDO DA CARNE LTDA ME</t>
  </si>
  <si>
    <t xml:space="preserve">SILVA E FELIX LTDA</t>
  </si>
  <si>
    <t xml:space="preserve">MERCEARIA E CONVENIENCIA FELIX</t>
  </si>
  <si>
    <t xml:space="preserve">MARIO SERGIO BRAGA ALVES - ME</t>
  </si>
  <si>
    <t xml:space="preserve">MERCADO PONTA PORA</t>
  </si>
  <si>
    <t xml:space="preserve">MARIA INES DA SILVA PINTO -ME</t>
  </si>
  <si>
    <t xml:space="preserve">CONVENIENCIA DO ESTEVAO</t>
  </si>
  <si>
    <t xml:space="preserve">ROTA 88 CONVENIENCIA COM DE BEBIDAS LTDA</t>
  </si>
  <si>
    <t xml:space="preserve">CONVENIENCIA ROTA 88</t>
  </si>
  <si>
    <t xml:space="preserve">SAO LUIZ CONVENIENCIA LTDA</t>
  </si>
  <si>
    <t xml:space="preserve">CONVENIENCIA SAO LUIZ</t>
  </si>
  <si>
    <t xml:space="preserve">MARLENE RODRIGUES</t>
  </si>
  <si>
    <t xml:space="preserve">MERCADO MM</t>
  </si>
  <si>
    <t xml:space="preserve">COMERCIAL BANCA DAS RACOES LTDA ME</t>
  </si>
  <si>
    <t xml:space="preserve">BANCA SAO JOSE</t>
  </si>
  <si>
    <t xml:space="preserve">JOSIEL COGGO JUNIOR</t>
  </si>
  <si>
    <t xml:space="preserve">IMPERIO PET LTDA ME</t>
  </si>
  <si>
    <t xml:space="preserve">ARIEL ESCOBAR APAZA</t>
  </si>
  <si>
    <t xml:space="preserve">COMERCIAL ESCOBAR</t>
  </si>
  <si>
    <t xml:space="preserve">E A FERREIRA CONVENIENCIA ME</t>
  </si>
  <si>
    <t xml:space="preserve">TRIBOS CONVENIENCIA</t>
  </si>
  <si>
    <t xml:space="preserve">NANDARA SIMONE DE ALMEIDA DE SOUSA</t>
  </si>
  <si>
    <t xml:space="preserve">MERCADORIA DO ZEZINHO</t>
  </si>
  <si>
    <t xml:space="preserve">FELIX SILVESTRE ORTIZ ME</t>
  </si>
  <si>
    <t xml:space="preserve">UIRAPURU PRODUTOS AGROPECUARIOS LTDA ME </t>
  </si>
  <si>
    <t xml:space="preserve">UIRAPURU CASA AGROPECUARIA</t>
  </si>
  <si>
    <t xml:space="preserve">RAFAEL MOTA LEMOS EIRELI ME</t>
  </si>
  <si>
    <t xml:space="preserve">MERCADO MIX</t>
  </si>
  <si>
    <t xml:space="preserve">ELIETE ALVES DOS SANTOS -ME</t>
  </si>
  <si>
    <t xml:space="preserve">SUPERMERCADO FERNANDES</t>
  </si>
  <si>
    <t xml:space="preserve">LETICIA NUNES DA SILVA</t>
  </si>
  <si>
    <t xml:space="preserve">GABIROBA CONVENIENCIA</t>
  </si>
  <si>
    <t xml:space="preserve">WALTER PINHEIRO FROES</t>
  </si>
  <si>
    <t xml:space="preserve">DIEGO AUGUSTO SOARES DA SILVA</t>
  </si>
  <si>
    <t xml:space="preserve">CONVENIENCIA VIDAL</t>
  </si>
  <si>
    <t xml:space="preserve">MAXINAIARA MENDES DOS SANTOS NAVARRO ME </t>
  </si>
  <si>
    <t xml:space="preserve">MERCADO MAXX</t>
  </si>
  <si>
    <t xml:space="preserve">SILVA E MOUREIRA LTDA ME</t>
  </si>
  <si>
    <t xml:space="preserve">CASA DE CARNE IMPERIO</t>
  </si>
  <si>
    <t xml:space="preserve">EMPORIO SERVE FESTAS LTDA EPP</t>
  </si>
  <si>
    <t xml:space="preserve">EMPORIO SERVE FESTAS 24 HORAS</t>
  </si>
  <si>
    <t xml:space="preserve">YOLANDA DE SOUZA PEREIRA</t>
  </si>
  <si>
    <t xml:space="preserve">REINALDO SILVA DE ARAUJO</t>
  </si>
  <si>
    <t xml:space="preserve">CONV VEM K GENTI</t>
  </si>
  <si>
    <t xml:space="preserve">ANDERSON DANTAS MATOS</t>
  </si>
  <si>
    <t xml:space="preserve">SUPERMERCADO KARINNE LTDA</t>
  </si>
  <si>
    <t xml:space="preserve">SUPERMERCADO KARINNE</t>
  </si>
  <si>
    <t xml:space="preserve">THARYANA DURIGON</t>
  </si>
  <si>
    <t xml:space="preserve">PONTA FARMA MEDICAMENTOS LTDA</t>
  </si>
  <si>
    <t xml:space="preserve">PONTA FARMA</t>
  </si>
  <si>
    <t xml:space="preserve">FERNANDES E ALVARENGA LTDA  ME</t>
  </si>
  <si>
    <t xml:space="preserve">EDUARDO ALONSO TEBET ME</t>
  </si>
  <si>
    <t xml:space="preserve">GENE DE FATIMA ROCHA ROMERO</t>
  </si>
  <si>
    <t xml:space="preserve">LOJA G</t>
  </si>
  <si>
    <t xml:space="preserve">NUBIA ARAUJO DE MORAES ME</t>
  </si>
  <si>
    <t xml:space="preserve">AKITEM UTILIDADES DOMESTICAS</t>
  </si>
  <si>
    <t xml:space="preserve">EVA ROSA DE ANDRADE 33720045153</t>
  </si>
  <si>
    <t xml:space="preserve">PROSPERIDADE COMERCIO DE ALIMENTOS LTDA </t>
  </si>
  <si>
    <t xml:space="preserve">SUPERMERCADO DOURADO LOJA 2</t>
  </si>
  <si>
    <t xml:space="preserve">PET SHOP AUGUSTINHO EIRELI</t>
  </si>
  <si>
    <t xml:space="preserve">PET SHOP IRACI COELHO</t>
  </si>
  <si>
    <t xml:space="preserve">THAYNER D SOUZA-ME</t>
  </si>
  <si>
    <t xml:space="preserve">SUPERMERCADO PAGUE MENOS LTDA</t>
  </si>
  <si>
    <t xml:space="preserve">FABIO DA SILVA KINTSCHEV EIRELI ME</t>
  </si>
  <si>
    <t xml:space="preserve">DEOMEDES PEDRO DA SILVA EIRELI ME</t>
  </si>
  <si>
    <t xml:space="preserve">FABIANO PEREIRA MONTEIRO</t>
  </si>
  <si>
    <t xml:space="preserve">SUP MANAIM</t>
  </si>
  <si>
    <t xml:space="preserve">THIAGO FERNANDES VIDA EIRELI</t>
  </si>
  <si>
    <t xml:space="preserve">CONVENIENCIA E TABACARIA FERNANDES</t>
  </si>
  <si>
    <t xml:space="preserve">JONES SILVA DE AZEVEDO</t>
  </si>
  <si>
    <t xml:space="preserve">H R FERREIRA MORENO EIRELI</t>
  </si>
  <si>
    <t xml:space="preserve">REDE SAO JOAO </t>
  </si>
  <si>
    <t xml:space="preserve">H R FERREIRA MORENO LTDA</t>
  </si>
  <si>
    <t xml:space="preserve">HORTFRUIT SAO JOAO</t>
  </si>
  <si>
    <t xml:space="preserve">SAO JOAO</t>
  </si>
  <si>
    <t xml:space="preserve">JOSE CARLOS YOUSSEF IBRAHIM IRELLI ME</t>
  </si>
  <si>
    <t xml:space="preserve">CONVENIENCIA EUCLIDES</t>
  </si>
  <si>
    <t xml:space="preserve">AMILSON CARLOS DE SOUZA</t>
  </si>
  <si>
    <t xml:space="preserve">SUPERMERCADO PRECO BAIXO</t>
  </si>
  <si>
    <t xml:space="preserve">ALCIDES DANTAS DE SOUTO</t>
  </si>
  <si>
    <t xml:space="preserve">MERCADO E ACOUGUE DANTAS</t>
  </si>
  <si>
    <t xml:space="preserve">PAULO HENRIQUE DA COSTA SANTOS EIRELI EP</t>
  </si>
  <si>
    <t xml:space="preserve">SUPERMERCADO LIDER</t>
  </si>
  <si>
    <t xml:space="preserve">F E B COMERCIO DE MEDICAMENTOS LTDA ME  </t>
  </si>
  <si>
    <t xml:space="preserve">C S MAIA</t>
  </si>
  <si>
    <t xml:space="preserve">PEGADAS PET SHOP</t>
  </si>
  <si>
    <t xml:space="preserve">RESTAURANTE E LANC TEMPERO PIONEIRO LTDA</t>
  </si>
  <si>
    <t xml:space="preserve">RESTAURANTE E LANC TEMPERO PIONEIR</t>
  </si>
  <si>
    <t xml:space="preserve">L T P MACHADO EIRELE ME</t>
  </si>
  <si>
    <t xml:space="preserve">CLEIDE VIEIRA DA SILVA</t>
  </si>
  <si>
    <t xml:space="preserve">CYNTHIA FATTOR LEMOS EIRELI ME</t>
  </si>
  <si>
    <t xml:space="preserve">SHELL SELECT PEROBINHA</t>
  </si>
  <si>
    <t xml:space="preserve">SUPERMERCADO DIAS EIRELI ME</t>
  </si>
  <si>
    <t xml:space="preserve">EDUARDO DA SILVA DE ALENCAR ME</t>
  </si>
  <si>
    <t xml:space="preserve">PADARIA ALENCAR</t>
  </si>
  <si>
    <t xml:space="preserve">GILSON ALVES DE SOUZA</t>
  </si>
  <si>
    <t xml:space="preserve">AU MIAU CASA DE RACAO AGRO PET</t>
  </si>
  <si>
    <t xml:space="preserve">DIOGO SANTOS DE SOUZA ME</t>
  </si>
  <si>
    <t xml:space="preserve">PET CONSULTORIO VETERINARIO</t>
  </si>
  <si>
    <t xml:space="preserve">JOSE HIVANO GUILHERME DA SILVA</t>
  </si>
  <si>
    <t xml:space="preserve">ZEZAO CONVENIENCIA</t>
  </si>
  <si>
    <t xml:space="preserve">VILANOVA COMERCIO DE ALIMENTOS LTDA ME  </t>
  </si>
  <si>
    <t xml:space="preserve">RESTAURANTE E MERCEARIA PAVANI</t>
  </si>
  <si>
    <t xml:space="preserve">CONVENIENCIA ALIANCA LTDA</t>
  </si>
  <si>
    <t xml:space="preserve">CONVENIENCIA ALIANCA</t>
  </si>
  <si>
    <t xml:space="preserve">LETICIA SARAIVA VIANA LOPES DE ABREU</t>
  </si>
  <si>
    <t xml:space="preserve">A E F CONVENIENCIAS EIRELI ME</t>
  </si>
  <si>
    <t xml:space="preserve">A F CONVENIENCIAS</t>
  </si>
  <si>
    <t xml:space="preserve">M R DE FREITAS EIRELI ME</t>
  </si>
  <si>
    <t xml:space="preserve">MERCADO G ANJOS EIRELI ME</t>
  </si>
  <si>
    <t xml:space="preserve">SUPERMERCADO BOM JESUS</t>
  </si>
  <si>
    <t xml:space="preserve">CONVENIENCIA MADRI</t>
  </si>
  <si>
    <t xml:space="preserve">IGOR BARON ROCHA</t>
  </si>
  <si>
    <t xml:space="preserve">STAGNO HOTEL</t>
  </si>
  <si>
    <t xml:space="preserve">IZAIAS LOURENCO COZER</t>
  </si>
  <si>
    <t xml:space="preserve">AGROPECUARIA CASA DA RACAO</t>
  </si>
  <si>
    <t xml:space="preserve">ANDRESA LOPES RIBEIRO</t>
  </si>
  <si>
    <t xml:space="preserve">AMPLA FARMA</t>
  </si>
  <si>
    <t xml:space="preserve">MAIORCA SOLUCOES EM SAUDE SEGURANCA</t>
  </si>
  <si>
    <t xml:space="preserve">MAIORCA</t>
  </si>
  <si>
    <t xml:space="preserve">JOSE JOAQUIM BEZERRA</t>
  </si>
  <si>
    <t xml:space="preserve">PET SHOP BEZERRA</t>
  </si>
  <si>
    <t xml:space="preserve">DEMEU CONVENIENCIA EIRELI ME</t>
  </si>
  <si>
    <t xml:space="preserve">DEMEU CONVENIENCIA</t>
  </si>
  <si>
    <t xml:space="preserve">M A DOS SANTOS DOMINGUES ME</t>
  </si>
  <si>
    <t xml:space="preserve">MERCADO VARANDAO</t>
  </si>
  <si>
    <t xml:space="preserve">MERCEARIA BIANQ</t>
  </si>
  <si>
    <t xml:space="preserve">NILTON MAROCHIO DE LIMA</t>
  </si>
  <si>
    <t xml:space="preserve">PET SHOP MUNDO ANIMAL</t>
  </si>
  <si>
    <t xml:space="preserve">FRANCIELLE DE OLIVEIRA VIEIRA 0482192917</t>
  </si>
  <si>
    <t xml:space="preserve">AGRO PET VIEIRA</t>
  </si>
  <si>
    <t xml:space="preserve">LUCIENE APARECIDA DE SOUZA CLARANHAN</t>
  </si>
  <si>
    <t xml:space="preserve">MARI RUTHE FERREIRA FRANCA 03642705197  </t>
  </si>
  <si>
    <t xml:space="preserve">SIDNEI APOLONIO VIEIRA EIRELI ME</t>
  </si>
  <si>
    <t xml:space="preserve">K R G RODRIGUES EIRELI ME</t>
  </si>
  <si>
    <t xml:space="preserve">30 HORAS</t>
  </si>
  <si>
    <t xml:space="preserve">COSTA E BARROS LTDA EPP</t>
  </si>
  <si>
    <t xml:space="preserve">REDE KADEMA </t>
  </si>
  <si>
    <t xml:space="preserve">SUPERMERCADO KADEMA</t>
  </si>
  <si>
    <t xml:space="preserve">SILMARA T C CACHO ME</t>
  </si>
  <si>
    <t xml:space="preserve">MERCADO CACHO</t>
  </si>
  <si>
    <t xml:space="preserve">ALEXANDRO DOS SANTOS DE SA ME</t>
  </si>
  <si>
    <t xml:space="preserve">S. BELA VISTA</t>
  </si>
  <si>
    <t xml:space="preserve">ELIANE SANTOS ARRUDA GUIMARAES</t>
  </si>
  <si>
    <t xml:space="preserve">AGROTOTAL CASA DE RACOES</t>
  </si>
  <si>
    <t xml:space="preserve">FAUSTO CANDIDO DA SILVA</t>
  </si>
  <si>
    <t xml:space="preserve">DROGARIA DA FAMILIA</t>
  </si>
  <si>
    <t xml:space="preserve">JOSE CICERO TENORIO DA SILVA EIRELI ME  </t>
  </si>
  <si>
    <t xml:space="preserve">M BIONDO E CIA LTDA</t>
  </si>
  <si>
    <t xml:space="preserve">MERCADO E CONVENIENCIA MORANBO</t>
  </si>
  <si>
    <t xml:space="preserve">ADEGMAR FERREIRA DE PAIVA</t>
  </si>
  <si>
    <t xml:space="preserve">AUGUSTO LUIZ DA SILVA</t>
  </si>
  <si>
    <t xml:space="preserve">MERCEARIA E CASA DE CARNE AUGU</t>
  </si>
  <si>
    <t xml:space="preserve">M F N MARTINS E CIA LTDA</t>
  </si>
  <si>
    <t xml:space="preserve">M F N MARTINS</t>
  </si>
  <si>
    <t xml:space="preserve">RAFAEL DE ARAUJO LYNCH ME</t>
  </si>
  <si>
    <t xml:space="preserve">RALIO E OLIVEIRA LTDA ME</t>
  </si>
  <si>
    <t xml:space="preserve">MICHELE ALBUQUERQUE LEITE RODRIGUES ME  </t>
  </si>
  <si>
    <t xml:space="preserve">MARCILENE DO SOCORRO BARBOSA DA SILVA</t>
  </si>
  <si>
    <t xml:space="preserve">MERCEARIA E CONV CANTO E SILVA</t>
  </si>
  <si>
    <t xml:space="preserve">EDILAINE FERREIRA DE SOUZA ME</t>
  </si>
  <si>
    <t xml:space="preserve"> PHARMA POPULAR</t>
  </si>
  <si>
    <t xml:space="preserve">CICERO GUEDES DA SILVA</t>
  </si>
  <si>
    <t xml:space="preserve">C SILVA CONVENIENCIA</t>
  </si>
  <si>
    <t xml:space="preserve">LUCILENE MARIA DOS SANTOS</t>
  </si>
  <si>
    <t xml:space="preserve">MERCADO GIPINHO</t>
  </si>
  <si>
    <t xml:space="preserve">CABREIRA E MARTINEZ LTDA</t>
  </si>
  <si>
    <t xml:space="preserve">DOUGLAS GARCIA DE SOUZA</t>
  </si>
  <si>
    <t xml:space="preserve">HILDA G ANTEZANA ME</t>
  </si>
  <si>
    <t xml:space="preserve">OSVALDO A. DE SOUZA</t>
  </si>
  <si>
    <t xml:space="preserve">ESCOVA CONVENIENCIA</t>
  </si>
  <si>
    <t xml:space="preserve">MERCADO PEG LEVE LTDA ME</t>
  </si>
  <si>
    <t xml:space="preserve">MERCADO PEG LEVE</t>
  </si>
  <si>
    <t xml:space="preserve">MERCADO LEAL LTDA EPP</t>
  </si>
  <si>
    <t xml:space="preserve">SALOME PACARA RAMOS</t>
  </si>
  <si>
    <t xml:space="preserve">COMERCIAL PACARA</t>
  </si>
  <si>
    <t xml:space="preserve">LEONARDO OZORIO DOS ANJOS</t>
  </si>
  <si>
    <t xml:space="preserve">SANTO DOM</t>
  </si>
  <si>
    <t xml:space="preserve">KANO E CIA</t>
  </si>
  <si>
    <t xml:space="preserve">PEDRO MARCOS YULE</t>
  </si>
  <si>
    <t xml:space="preserve">CASA DE CARNE PREMIER</t>
  </si>
  <si>
    <t xml:space="preserve">M A ALVES PEREIRA DE SOUSA -ME</t>
  </si>
  <si>
    <t xml:space="preserve">MERCADO HIPOLITO</t>
  </si>
  <si>
    <t xml:space="preserve">RENATO CELESTINO MARINS ME</t>
  </si>
  <si>
    <t xml:space="preserve">EXTRABOM</t>
  </si>
  <si>
    <t xml:space="preserve">JUNIOR DE OLIVEIRA</t>
  </si>
  <si>
    <t xml:space="preserve">MINI MERCADO JM</t>
  </si>
  <si>
    <t xml:space="preserve">PANIFICADORA VIPAO LTDA</t>
  </si>
  <si>
    <t xml:space="preserve">VIPAO</t>
  </si>
  <si>
    <t xml:space="preserve">BIG FACIL MINI MERCADO EIRELI ME</t>
  </si>
  <si>
    <t xml:space="preserve">MERCADO BIG FACIL</t>
  </si>
  <si>
    <t xml:space="preserve">MEU MASCOTE PET SHOP LTDA ME</t>
  </si>
  <si>
    <t xml:space="preserve">MEU MASCOTE PET SHOP</t>
  </si>
  <si>
    <t xml:space="preserve">MERCADO SILVEIRA EIRELI ME</t>
  </si>
  <si>
    <t xml:space="preserve">MERC SILVEIRA</t>
  </si>
  <si>
    <t xml:space="preserve">AUDREI NATANI CEOLIN EIRELI</t>
  </si>
  <si>
    <t xml:space="preserve">MAIS Q PIZZA</t>
  </si>
  <si>
    <t xml:space="preserve">CLAUSS E CIA LTDA ME</t>
  </si>
  <si>
    <t xml:space="preserve">MIGUELA BENITES</t>
  </si>
  <si>
    <t xml:space="preserve">MERCADO BUIU</t>
  </si>
  <si>
    <t xml:space="preserve">SILVANIA F DE LIMA ME</t>
  </si>
  <si>
    <t xml:space="preserve">RACA ANINAL AGROVETERINARIA</t>
  </si>
  <si>
    <t xml:space="preserve">XANDAO MERCEARIA E CONVENIENCIA</t>
  </si>
  <si>
    <t xml:space="preserve">ROSIMARA GOMES CUSTODIO ME</t>
  </si>
  <si>
    <t xml:space="preserve">ALEXANDRE CORREA ABRANTES EIRELI ME</t>
  </si>
  <si>
    <t xml:space="preserve">JOSE DE JESUS AMANCIO</t>
  </si>
  <si>
    <t xml:space="preserve">ACOUGUE 70 70</t>
  </si>
  <si>
    <t xml:space="preserve">MAYKON HENRYQUE ALVES DE SOUZA</t>
  </si>
  <si>
    <t xml:space="preserve">SUPERMERCADO BIANCA</t>
  </si>
  <si>
    <t xml:space="preserve">MERCADO GPS EIRELI ME</t>
  </si>
  <si>
    <t xml:space="preserve">GILBERTO PEREIRA GONCALVES E CIA LTDA</t>
  </si>
  <si>
    <t xml:space="preserve">JOAO RODRIGUES DE LIMA</t>
  </si>
  <si>
    <t xml:space="preserve">SM J J</t>
  </si>
  <si>
    <t xml:space="preserve">ARY SOUZA VASCO</t>
  </si>
  <si>
    <t xml:space="preserve">BAR E MERCEARIA VASCO</t>
  </si>
  <si>
    <t xml:space="preserve">SERGIO REIS FOGACA</t>
  </si>
  <si>
    <t xml:space="preserve">CONVENIENCIA E MERCEARIA MUVUC</t>
  </si>
  <si>
    <t xml:space="preserve">JOSE RIBAMAR COSTA SILVA</t>
  </si>
  <si>
    <t xml:space="preserve">BAR MERCEARIA RIBAMAR</t>
  </si>
  <si>
    <t xml:space="preserve">DIAS E SILVA LTDA</t>
  </si>
  <si>
    <t xml:space="preserve">PANF PARELHENSE</t>
  </si>
  <si>
    <t xml:space="preserve">MORENO E MARTINS LTDA</t>
  </si>
  <si>
    <t xml:space="preserve">MERC RIO MIRANDA</t>
  </si>
  <si>
    <t xml:space="preserve">SUPERMERCADO SOLLAR LTDA</t>
  </si>
  <si>
    <t xml:space="preserve">SUPERMERCADO SOL-LAR</t>
  </si>
  <si>
    <t xml:space="preserve">KLEVERSON PEREIRA DE SOUZA E CIA LTDA</t>
  </si>
  <si>
    <t xml:space="preserve">CHURRASCARIA INDEPENDENTE</t>
  </si>
  <si>
    <t xml:space="preserve">GUERREIRO E CIA LTDA</t>
  </si>
  <si>
    <t xml:space="preserve">FABIO HENRIQUE QUEIROZ LTDA</t>
  </si>
  <si>
    <t xml:space="preserve">IPE PHARMA</t>
  </si>
  <si>
    <t xml:space="preserve">J FERREIRA DA SILVA VERDURAS</t>
  </si>
  <si>
    <t xml:space="preserve">JOEL BILHAR</t>
  </si>
  <si>
    <t xml:space="preserve">POSTO LOCATELLI MAE E FILHA LTDA</t>
  </si>
  <si>
    <t xml:space="preserve">A.M.P.M. EXPRESS</t>
  </si>
  <si>
    <t xml:space="preserve">RONALDO NOGUEIRA CAMARGO</t>
  </si>
  <si>
    <t xml:space="preserve">MERCEARIA CAMARGO</t>
  </si>
  <si>
    <t xml:space="preserve">SIMEIA A H M MUSTAFA</t>
  </si>
  <si>
    <t xml:space="preserve">LOJA TENTACAO</t>
  </si>
  <si>
    <t xml:space="preserve">PADARIA E CONFEITARIA JL LTDA</t>
  </si>
  <si>
    <t xml:space="preserve">PADARIA E CONFEITARIA JL</t>
  </si>
  <si>
    <t xml:space="preserve">WILLIAM C DA SILVA</t>
  </si>
  <si>
    <t xml:space="preserve">COMERCIAL ANHANGUERA</t>
  </si>
  <si>
    <t xml:space="preserve">JOSE GONCALVES PEREIRA FILHO</t>
  </si>
  <si>
    <t xml:space="preserve">MERC CID MORENA</t>
  </si>
  <si>
    <t xml:space="preserve">DROGARIA SERTANEJA LTDA</t>
  </si>
  <si>
    <t xml:space="preserve">DROGARIA SERTANEJA</t>
  </si>
  <si>
    <t xml:space="preserve">GETULIO ALVES DA SILVA</t>
  </si>
  <si>
    <t xml:space="preserve">LANCHONETE E BENEF ARROZ SILVA</t>
  </si>
  <si>
    <t xml:space="preserve">J L S NEVES</t>
  </si>
  <si>
    <t xml:space="preserve">MINI MERCADO J A</t>
  </si>
  <si>
    <t xml:space="preserve">ANTONIO CARLOS MATHIAS</t>
  </si>
  <si>
    <t xml:space="preserve">SM KI-PRECO</t>
  </si>
  <si>
    <t xml:space="preserve">MOTEL CHAPLIN'S LTDA</t>
  </si>
  <si>
    <t xml:space="preserve">MOTEL CHAPLIN'S</t>
  </si>
  <si>
    <t xml:space="preserve">CLAUDIO JOSE BACHEGA</t>
  </si>
  <si>
    <t xml:space="preserve">BAR E MERC IDEAL</t>
  </si>
  <si>
    <t xml:space="preserve">PANIFICADORA BELA E FERA LTDA</t>
  </si>
  <si>
    <t xml:space="preserve">PANIF PAO CHIC II</t>
  </si>
  <si>
    <t xml:space="preserve">JOAQUIM LACERDA SILVA</t>
  </si>
  <si>
    <t xml:space="preserve">EMPORIO CENTENARIO</t>
  </si>
  <si>
    <t xml:space="preserve">MERCEARIA DO NEGAO LTDA</t>
  </si>
  <si>
    <t xml:space="preserve">MERCEARIA DO NEGAO</t>
  </si>
  <si>
    <t xml:space="preserve">DEFENDI E CIA LTDA</t>
  </si>
  <si>
    <t xml:space="preserve">ATACADO DEFENDI</t>
  </si>
  <si>
    <t xml:space="preserve">CAMPO GRANDE POSTO SERVICO LTDA</t>
  </si>
  <si>
    <t xml:space="preserve">POSTO CDE GRANDE</t>
  </si>
  <si>
    <t xml:space="preserve">JOSE SOUZA BARBEIRO JUNIOR</t>
  </si>
  <si>
    <t xml:space="preserve">MERCEARIA E ACOUGUE 2000</t>
  </si>
  <si>
    <t xml:space="preserve">NIDERCY MARINA MORAIS BORGES</t>
  </si>
  <si>
    <t xml:space="preserve">PANIFICADORA 47</t>
  </si>
  <si>
    <t xml:space="preserve">ALVES E DANTAS LTDA</t>
  </si>
  <si>
    <t xml:space="preserve">LORI ALVES</t>
  </si>
  <si>
    <t xml:space="preserve">ANTONIA MARIA FERNANDES GOMES</t>
  </si>
  <si>
    <t xml:space="preserve">CASA MYMA</t>
  </si>
  <si>
    <t xml:space="preserve">GIOVANNE PETERES SANTIAGO SZABLEWISKI ME</t>
  </si>
  <si>
    <t xml:space="preserve">PANIFICADORA PAO PAO</t>
  </si>
  <si>
    <t xml:space="preserve">POSTO DE COMBUSTIVEIS SANTO AMARO LTDA  </t>
  </si>
  <si>
    <t xml:space="preserve">POSTO STO AMARO</t>
  </si>
  <si>
    <t xml:space="preserve">PASSOS E FRANCO LTDA</t>
  </si>
  <si>
    <t xml:space="preserve">FEIRAO COM DE FRUTAS VERDURAS</t>
  </si>
  <si>
    <t xml:space="preserve">CICLO RIBEIRO COM REPRESENTACOES LTDA</t>
  </si>
  <si>
    <t xml:space="preserve">JC COMERCIO DE PRODUTOS ALIMENTICIOS LT </t>
  </si>
  <si>
    <t xml:space="preserve">JC SUPERMERCADO</t>
  </si>
  <si>
    <t xml:space="preserve">POSTO SANN FERNANDO LTDA</t>
  </si>
  <si>
    <t xml:space="preserve">LANC. E REST. SANN FERNANDO</t>
  </si>
  <si>
    <t xml:space="preserve">SUPERMERCADO SANTA ANGELA LTDA</t>
  </si>
  <si>
    <t xml:space="preserve">SUPERMERCADO STA ANGELA</t>
  </si>
  <si>
    <t xml:space="preserve">REST E LANC RODOVIARIA SAO GABRIEL LTDA </t>
  </si>
  <si>
    <t xml:space="preserve">REST E LANCH RODOVIARIA</t>
  </si>
  <si>
    <t xml:space="preserve">PANIFICADORA PAO BENTO LTDA</t>
  </si>
  <si>
    <t xml:space="preserve">PANIF PAO BENTO</t>
  </si>
  <si>
    <t xml:space="preserve">COMERCIAL DE COURO ALEGRIA LTDA</t>
  </si>
  <si>
    <t xml:space="preserve">CASA DE COURO ALEGRIA</t>
  </si>
  <si>
    <t xml:space="preserve">ORLANDO CORREA GONCALVES</t>
  </si>
  <si>
    <t xml:space="preserve">MERCEARIA CORREA</t>
  </si>
  <si>
    <t xml:space="preserve">CAETANA M SILVA CIA LTDA</t>
  </si>
  <si>
    <t xml:space="preserve">SUPERMERCADO PONTES LTDA</t>
  </si>
  <si>
    <t xml:space="preserve">SM PONTES</t>
  </si>
  <si>
    <t xml:space="preserve">JOAO BATISTA ROCHA</t>
  </si>
  <si>
    <t xml:space="preserve">KAROLAYNE DE ARAUJO EIRELE ME</t>
  </si>
  <si>
    <t xml:space="preserve">RONALDO TREVIZAN</t>
  </si>
  <si>
    <t xml:space="preserve">MERC.E CASA DE CARNE GARIMPO</t>
  </si>
  <si>
    <t xml:space="preserve">POSTO DOS PODERES LTDA</t>
  </si>
  <si>
    <t xml:space="preserve">AUTO POSTO DOS PODERES</t>
  </si>
  <si>
    <t xml:space="preserve">MALULE ALIMENTOS E BEBIDAS LTDA</t>
  </si>
  <si>
    <t xml:space="preserve">MALULE</t>
  </si>
  <si>
    <t xml:space="preserve">DORIVALDO A SILVA E CIA LTDA</t>
  </si>
  <si>
    <t xml:space="preserve">DIST JARDIM PUBLICACAO LTDA</t>
  </si>
  <si>
    <t xml:space="preserve">BAR DO NEY</t>
  </si>
  <si>
    <t xml:space="preserve">MERCADO PRIMAVERA LTDA</t>
  </si>
  <si>
    <t xml:space="preserve">EVANI LOURDES JAHN</t>
  </si>
  <si>
    <t xml:space="preserve">MINI MERCADO LUAR</t>
  </si>
  <si>
    <t xml:space="preserve">CLAUSIA ALVES BARBOSA 02952032181</t>
  </si>
  <si>
    <t xml:space="preserve">E G</t>
  </si>
  <si>
    <t xml:space="preserve">LINDOMAR ANTONIO PREGO</t>
  </si>
  <si>
    <t xml:space="preserve">ERONDINA DE CARVALHO</t>
  </si>
  <si>
    <t xml:space="preserve">MERCEARIA ERONDINA</t>
  </si>
  <si>
    <t xml:space="preserve">LOPES E AMANCIO LTDA</t>
  </si>
  <si>
    <t xml:space="preserve">LOPES E AMANCIO</t>
  </si>
  <si>
    <t xml:space="preserve">SUPERMERCADO GUANABARA LTDA</t>
  </si>
  <si>
    <t xml:space="preserve">SM GUANABARA</t>
  </si>
  <si>
    <t xml:space="preserve">SUPERMERCADO GUANABARA LTDA EPP</t>
  </si>
  <si>
    <t xml:space="preserve">SUPERMERCADO GUANABARA</t>
  </si>
  <si>
    <t xml:space="preserve">B GUSMAO SOUZA E CIA LTDA</t>
  </si>
  <si>
    <t xml:space="preserve">MERCADO DA PRACA</t>
  </si>
  <si>
    <t xml:space="preserve">MARIA ANTONIO ALVES QUEIROZ OGAYA ME</t>
  </si>
  <si>
    <t xml:space="preserve">COLEGIO IMAGEM POSITIVA</t>
  </si>
  <si>
    <t xml:space="preserve">FLORISVAL FRANCISCO SANTOS</t>
  </si>
  <si>
    <t xml:space="preserve">MINI BAR E MERCEARIA</t>
  </si>
  <si>
    <t xml:space="preserve">NADIEGE DE FREITAS</t>
  </si>
  <si>
    <t xml:space="preserve">DEPIL</t>
  </si>
  <si>
    <t xml:space="preserve">MANOEL MESSIAS ALMEIDA</t>
  </si>
  <si>
    <t xml:space="preserve">CNS CONVENIENCIAS LTDA</t>
  </si>
  <si>
    <t xml:space="preserve">C N S CONVENIENCIAS</t>
  </si>
  <si>
    <t xml:space="preserve">FRANCISCO CHAGAS PEREIRA</t>
  </si>
  <si>
    <t xml:space="preserve">ZERO HORA LANCHONETE E RESTAURANTE LTDA </t>
  </si>
  <si>
    <t xml:space="preserve">ZERO HORAS LANCHES</t>
  </si>
  <si>
    <t xml:space="preserve">GUTIERRE E GUTIERRE LTDA</t>
  </si>
  <si>
    <t xml:space="preserve">ESCOLA DE 1.GRAU - SEI</t>
  </si>
  <si>
    <t xml:space="preserve">VALENTINA CORONEL</t>
  </si>
  <si>
    <t xml:space="preserve">MERCADO VILA BRASIL</t>
  </si>
  <si>
    <t xml:space="preserve">NEUDI AIMI</t>
  </si>
  <si>
    <t xml:space="preserve">MATADEIRA</t>
  </si>
  <si>
    <t xml:space="preserve">DANIEL MESSIAS DE MOURA</t>
  </si>
  <si>
    <t xml:space="preserve">LANC E CONV PIAUI</t>
  </si>
  <si>
    <t xml:space="preserve">MAXI FESTA COMERCIAL DE BEBIDAS LTDA</t>
  </si>
  <si>
    <t xml:space="preserve">MAXI FESTA</t>
  </si>
  <si>
    <t xml:space="preserve">MANDACARI E ESCOBAR LTDA</t>
  </si>
  <si>
    <t xml:space="preserve">ESCOBAR</t>
  </si>
  <si>
    <t xml:space="preserve">ANDERSON ALVES DO NASCIMENTO</t>
  </si>
  <si>
    <t xml:space="preserve">MERCEARIA DO BAIXINHO</t>
  </si>
  <si>
    <t xml:space="preserve">SUPERMERCADO ROMA LTDA</t>
  </si>
  <si>
    <t xml:space="preserve">SM ROMA</t>
  </si>
  <si>
    <t xml:space="preserve">SIND  DOS TRAB  EM ESTAB  DE ENSINO</t>
  </si>
  <si>
    <t xml:space="preserve">SINTRAE MS</t>
  </si>
  <si>
    <t xml:space="preserve">JAMILSON ROSA DA ROCHA</t>
  </si>
  <si>
    <t xml:space="preserve">MERCEARIA NSA DA GUIA</t>
  </si>
  <si>
    <t xml:space="preserve">MARIA EVA DE QUEIROZ</t>
  </si>
  <si>
    <t xml:space="preserve">HORA COMERCIAL LTDA</t>
  </si>
  <si>
    <t xml:space="preserve">PAO DA HORA</t>
  </si>
  <si>
    <t xml:space="preserve">IRACEMA CIPRIAN PATUSSI EPP</t>
  </si>
  <si>
    <t xml:space="preserve">CARVALHO DANTAS E DANTAS LTDA</t>
  </si>
  <si>
    <t xml:space="preserve">AUTO POSTO PALUDO LTDA</t>
  </si>
  <si>
    <t xml:space="preserve">CONV AUTO POSTO PALUDO</t>
  </si>
  <si>
    <t xml:space="preserve">RUBENS B VAEZ</t>
  </si>
  <si>
    <t xml:space="preserve">FRANCISCO PEDRO DA SILVA ME</t>
  </si>
  <si>
    <t xml:space="preserve">VALCIR FERMINO PADILHA</t>
  </si>
  <si>
    <t xml:space="preserve">CASA DOIS IRMAOS</t>
  </si>
  <si>
    <t xml:space="preserve">AUTO POSTO ANASTACIO LTDA</t>
  </si>
  <si>
    <t xml:space="preserve">AUTO POSTO ANASTACIO</t>
  </si>
  <si>
    <t xml:space="preserve">VERONICA WEILLER DE PAULA ME</t>
  </si>
  <si>
    <t xml:space="preserve">GARCIA E RABAIOLI LTDA</t>
  </si>
  <si>
    <t xml:space="preserve">BARBOSA E CATTELAN LTDA</t>
  </si>
  <si>
    <t xml:space="preserve">PET E YOU</t>
  </si>
  <si>
    <t xml:space="preserve">BAR E REST KAO 210 LTDA</t>
  </si>
  <si>
    <t xml:space="preserve">BAR E REST KAO 210</t>
  </si>
  <si>
    <t xml:space="preserve">MARLENE MARIA JESUS D SANTOS</t>
  </si>
  <si>
    <t xml:space="preserve">JOAO PERES MORENO FILHO</t>
  </si>
  <si>
    <t xml:space="preserve">COOP CRED LIVRE A UNIAO MTGS SICREDI</t>
  </si>
  <si>
    <t xml:space="preserve">SICREDI UNIAO MS</t>
  </si>
  <si>
    <t xml:space="preserve">COMERCIO ALIMENTOS ALMEIDA LTDA</t>
  </si>
  <si>
    <t xml:space="preserve">SM ALMEIDA</t>
  </si>
  <si>
    <t xml:space="preserve">CARANDA CLUBE</t>
  </si>
  <si>
    <t xml:space="preserve">DJALMA ANGELO DA SILVA</t>
  </si>
  <si>
    <t xml:space="preserve">ACOUGUE</t>
  </si>
  <si>
    <t xml:space="preserve">PANIFICADORA CONF COMETA LTDA</t>
  </si>
  <si>
    <t xml:space="preserve">PANIF PAO CHIC</t>
  </si>
  <si>
    <t xml:space="preserve">MANICOBA E PRADO LTDA</t>
  </si>
  <si>
    <t xml:space="preserve">COMERCIAL PAGUE POKO</t>
  </si>
  <si>
    <t xml:space="preserve">GINA STRAUB</t>
  </si>
  <si>
    <t xml:space="preserve">CHURRASCARIA JUNIOR</t>
  </si>
  <si>
    <t xml:space="preserve">P GUIMARAES</t>
  </si>
  <si>
    <t xml:space="preserve">MERCEARIA GUIMARAES</t>
  </si>
  <si>
    <t xml:space="preserve">ANA CRISTINA MASSUDA DE GOES</t>
  </si>
  <si>
    <t xml:space="preserve">ALEMAO GELO E PEIXE</t>
  </si>
  <si>
    <t xml:space="preserve">LENA AUXILIADORA A.COUTO SOUZA</t>
  </si>
  <si>
    <t xml:space="preserve">POSTO TUIUIU</t>
  </si>
  <si>
    <t xml:space="preserve">MARTINS E BOTELHO LTDA</t>
  </si>
  <si>
    <t xml:space="preserve">BIJU BIJOUTERIAS E ARMARINHOS LTDA</t>
  </si>
  <si>
    <t xml:space="preserve">PAULISTAO</t>
  </si>
  <si>
    <t xml:space="preserve">S H TELO E CIA LTDA</t>
  </si>
  <si>
    <t xml:space="preserve">HOTEL FIGUEIRA</t>
  </si>
  <si>
    <t xml:space="preserve">CAMPANA DIST COM LTDA</t>
  </si>
  <si>
    <t xml:space="preserve">MINI MERCADO CAMPANA</t>
  </si>
  <si>
    <t xml:space="preserve">SUL FRIOS COMERCIO DE FRIOS LTDA</t>
  </si>
  <si>
    <t xml:space="preserve">SUL FRIOS</t>
  </si>
  <si>
    <t xml:space="preserve">CIAL DE PROD ALIMENTICIOS ANOMAR LTDA</t>
  </si>
  <si>
    <t xml:space="preserve">AUTO POSTO NORTE SUL LTDA</t>
  </si>
  <si>
    <t xml:space="preserve">GONZAGA E FILHO LTDA</t>
  </si>
  <si>
    <t xml:space="preserve">MINI MERCADO GONZAGA</t>
  </si>
  <si>
    <t xml:space="preserve">MARIO MARCIO FRANCO DE SOUZA</t>
  </si>
  <si>
    <t xml:space="preserve">MINI MERCADO FRANCO</t>
  </si>
  <si>
    <t xml:space="preserve">TEREZINHA PEREIRA SILVA PORTO</t>
  </si>
  <si>
    <t xml:space="preserve">REST.E LANCHONETE VITORIA</t>
  </si>
  <si>
    <t xml:space="preserve">AUTO POSTO SUPER SOL LTDA</t>
  </si>
  <si>
    <t xml:space="preserve">POSTO SUPER SOL</t>
  </si>
  <si>
    <t xml:space="preserve">MANOEL GARCIA NETO ME</t>
  </si>
  <si>
    <t xml:space="preserve">SUPERMERCADO YAMAGUTI</t>
  </si>
  <si>
    <t xml:space="preserve">GERSON ADONIAS AGUERO LOPES</t>
  </si>
  <si>
    <t xml:space="preserve">MERCEARIA DO BAIRRO</t>
  </si>
  <si>
    <t xml:space="preserve">D CASA SUPERMERCADO</t>
  </si>
  <si>
    <t xml:space="preserve">D CASA SUPERMERCADOS</t>
  </si>
  <si>
    <t xml:space="preserve">CORINA DUARTE CANCANCAO</t>
  </si>
  <si>
    <t xml:space="preserve">KOBAYASHI SUSHI HOUSE EIRELI ME</t>
  </si>
  <si>
    <t xml:space="preserve">KOBAYASHI</t>
  </si>
  <si>
    <t xml:space="preserve">JAILSON MARCELO CEOLIN</t>
  </si>
  <si>
    <t xml:space="preserve">CONVENIENCIA E MINIMERCADO DA VILA</t>
  </si>
  <si>
    <t xml:space="preserve">JHONNY GUTIERREZ CHOQUE ME</t>
  </si>
  <si>
    <t xml:space="preserve">MERCEARIA JHONNY</t>
  </si>
  <si>
    <t xml:space="preserve">RITA LINO DOS SANTOS TOSSI</t>
  </si>
  <si>
    <t xml:space="preserve">PADARIA DOCE E MEL</t>
  </si>
  <si>
    <t xml:space="preserve">AGENCIA FOCUS</t>
  </si>
  <si>
    <t xml:space="preserve">FOCUS</t>
  </si>
  <si>
    <t xml:space="preserve">M NAZARE DA SILVA ME</t>
  </si>
  <si>
    <t xml:space="preserve">REPUBLICA DO SAL</t>
  </si>
  <si>
    <t xml:space="preserve">GABRIEL ARISTIDES SOARES DE SOUZA</t>
  </si>
  <si>
    <t xml:space="preserve">FLAVIO LIMONGE BONADIMAM</t>
  </si>
  <si>
    <t xml:space="preserve">MERCADO BOM DEMAIS</t>
  </si>
  <si>
    <t xml:space="preserve">SUZIMAR ROCHA VIEDES PIMENTA</t>
  </si>
  <si>
    <t xml:space="preserve">PET REAL</t>
  </si>
  <si>
    <t xml:space="preserve">MINIMERCADO REAL LTDA</t>
  </si>
  <si>
    <t xml:space="preserve">LAERCIO DIAS PINHEIRO</t>
  </si>
  <si>
    <t xml:space="preserve">LAERCIO MERCEARIA E CONVENIENC</t>
  </si>
  <si>
    <t xml:space="preserve">R3 PINHEIRO PET SHOP LTDA ME</t>
  </si>
  <si>
    <t xml:space="preserve">PET CARE</t>
  </si>
  <si>
    <t xml:space="preserve">JURANDIR PINTO DO CARMO</t>
  </si>
  <si>
    <t xml:space="preserve">DISTRIBUIDORA DE JORNAIS CULTURA LTDA</t>
  </si>
  <si>
    <t xml:space="preserve">DIST CULTURA</t>
  </si>
  <si>
    <t xml:space="preserve">SUELI APARECIDA PEREIRA PANDIM</t>
  </si>
  <si>
    <t xml:space="preserve">GAMA E GAMA COM DE CARNES LTDA ME</t>
  </si>
  <si>
    <t xml:space="preserve">CASA DE CARNE VILLA BEEF</t>
  </si>
  <si>
    <t xml:space="preserve">DELIA FLORES DE ALMEIDA</t>
  </si>
  <si>
    <t xml:space="preserve">CONVENIENCIA LUBRICAR</t>
  </si>
  <si>
    <t xml:space="preserve">EVANILDE CABREIRO PALOMBO ME</t>
  </si>
  <si>
    <t xml:space="preserve">MERCADO E MERCEARIA CENTRAL</t>
  </si>
  <si>
    <t xml:space="preserve">MARCIO SILVA DE ALMEIDA</t>
  </si>
  <si>
    <t xml:space="preserve">MERCADO E CONV. AGUA AZUL</t>
  </si>
  <si>
    <t xml:space="preserve">MARA REGINA SOARES PINHEIRO</t>
  </si>
  <si>
    <t xml:space="preserve">ALEX CLAY DIAS DE SOUZA EPP</t>
  </si>
  <si>
    <t xml:space="preserve">SUPERMERCADO VIEIRA</t>
  </si>
  <si>
    <t xml:space="preserve">SUPERMERCADO PRIETO EIRELI</t>
  </si>
  <si>
    <t xml:space="preserve">SUPERMERCADO PRIETO</t>
  </si>
  <si>
    <t xml:space="preserve">HOOKAH STAR LOUNGE BAR EIRELI</t>
  </si>
  <si>
    <t xml:space="preserve">HOOKAH STAR LOUNGE BAR</t>
  </si>
  <si>
    <t xml:space="preserve">MARILSA DE SOUZA CACERES</t>
  </si>
  <si>
    <t xml:space="preserve">BJL COMERCIO DE FRUTAS EIRELI EPP</t>
  </si>
  <si>
    <t xml:space="preserve">SUPERMERCADO SOUZA II</t>
  </si>
  <si>
    <t xml:space="preserve">NIT CONSTRUCOES LTDA</t>
  </si>
  <si>
    <t xml:space="preserve">WELLINGTON</t>
  </si>
  <si>
    <t xml:space="preserve">KLEBERSON KLUTCHEK DA SILVA</t>
  </si>
  <si>
    <t xml:space="preserve">PADARIA DO KLEBINHO</t>
  </si>
  <si>
    <t xml:space="preserve">PONTO MIX MERCADO</t>
  </si>
  <si>
    <t xml:space="preserve">E F CUNHA GENEROS ALIMENTICIOS EM GERAL </t>
  </si>
  <si>
    <t xml:space="preserve">COMERCIAL MAXX</t>
  </si>
  <si>
    <t xml:space="preserve">MARCELLY MDE MEDEIROS FLEITAS LEITE</t>
  </si>
  <si>
    <t xml:space="preserve">PORTEIRA AGROPECUARIA</t>
  </si>
  <si>
    <t xml:space="preserve">ZINEI DOMINGUES VERAS JUNIOR</t>
  </si>
  <si>
    <t xml:space="preserve">PLUTO PET SHOP</t>
  </si>
  <si>
    <t xml:space="preserve">RECANTO ANIMAL MEDICAMENTOS VETERINARIOS</t>
  </si>
  <si>
    <t xml:space="preserve">RECANTO ANIMAL</t>
  </si>
  <si>
    <t xml:space="preserve">JOAO BATISTA DE SOUZA ME</t>
  </si>
  <si>
    <t xml:space="preserve">REDE DROGA MORENA</t>
  </si>
  <si>
    <t xml:space="preserve">RONY CARLOS DE MELLO ME</t>
  </si>
  <si>
    <t xml:space="preserve">MAURO JOSE DOS SANTOS ME</t>
  </si>
  <si>
    <t xml:space="preserve">MVN CONSTRUCOES E MATERIAS PARA CONTRUCA</t>
  </si>
  <si>
    <t xml:space="preserve">GIACOMELLI E CAMARGO COM DE PROD AGROP L</t>
  </si>
  <si>
    <t xml:space="preserve">CENTRO RURAL</t>
  </si>
  <si>
    <t xml:space="preserve">GLAUBER PERES DE MORAES EIRELI</t>
  </si>
  <si>
    <t xml:space="preserve">M A SIMONI EIRELI ME</t>
  </si>
  <si>
    <t xml:space="preserve">SUPER MERCADO SIMONI</t>
  </si>
  <si>
    <t xml:space="preserve">ALINE GALEANO DE JESUS</t>
  </si>
  <si>
    <t xml:space="preserve">TOP DOS PES</t>
  </si>
  <si>
    <t xml:space="preserve">MOISES SCHMITZ PEREIRA ME</t>
  </si>
  <si>
    <t xml:space="preserve">CELEIRO DAS RACOES</t>
  </si>
  <si>
    <t xml:space="preserve">A DE CARLI ME</t>
  </si>
  <si>
    <t xml:space="preserve">CASA DO PORCO</t>
  </si>
  <si>
    <t xml:space="preserve">ANA LUCIA FELIX DA SILVA VILELA 04811457</t>
  </si>
  <si>
    <t xml:space="preserve">PANTANAL MOLDURAS</t>
  </si>
  <si>
    <t xml:space="preserve">ROSALVO RAMOS COIMBRA</t>
  </si>
  <si>
    <t xml:space="preserve">VANESSA COLMAN DE OLIVEIRA</t>
  </si>
  <si>
    <t xml:space="preserve">BELLEZURA COSMETICOS</t>
  </si>
  <si>
    <t xml:space="preserve">BASTOS E DE ALBUQUERQUE LTDA ME</t>
  </si>
  <si>
    <t xml:space="preserve">ROSANA PAULA S F MARTINS ME</t>
  </si>
  <si>
    <t xml:space="preserve">AVILA DA SILVA VILLA</t>
  </si>
  <si>
    <t xml:space="preserve">COVENIENCIA TARTARUGA</t>
  </si>
  <si>
    <t xml:space="preserve">CUNHADOS CONVENIENCIA EIRELI ME</t>
  </si>
  <si>
    <t xml:space="preserve">CONVENIENCIA FESTT 1000</t>
  </si>
  <si>
    <t xml:space="preserve">ERICA CUNHA LIMA</t>
  </si>
  <si>
    <t xml:space="preserve">MERCADO ROSARINHO</t>
  </si>
  <si>
    <t xml:space="preserve">MARIA ELIENE DA COSTA NUNES</t>
  </si>
  <si>
    <t xml:space="preserve">ANDREA VIEIRA LEHER</t>
  </si>
  <si>
    <t xml:space="preserve">DOG VET</t>
  </si>
  <si>
    <t xml:space="preserve">JAK SONIA NOGUEIRA BORGES</t>
  </si>
  <si>
    <t xml:space="preserve">VIVENDA DOS SABORES</t>
  </si>
  <si>
    <t xml:space="preserve">RIBEIRO E PARADISO PROD VETERINARIOS LTD</t>
  </si>
  <si>
    <t xml:space="preserve">AGROPET SAO FRANCISCO</t>
  </si>
  <si>
    <t xml:space="preserve">ANTONIO PEREIRA DA COSTA</t>
  </si>
  <si>
    <t xml:space="preserve">COMERCIAL LEMOS</t>
  </si>
  <si>
    <t xml:space="preserve">MINIMERCADO COMPRE MAIS EIRELI ME</t>
  </si>
  <si>
    <t xml:space="preserve">MINI MERCADO COMPRE MAIS</t>
  </si>
  <si>
    <t xml:space="preserve">UENDER DE PAULA GIMENES LTDA</t>
  </si>
  <si>
    <t xml:space="preserve">CARLYVANIA SILVA DE SOUZA</t>
  </si>
  <si>
    <t xml:space="preserve">CAOGATO PET SHOP</t>
  </si>
  <si>
    <t xml:space="preserve">ODAIR DO CARMO REAL ME</t>
  </si>
  <si>
    <t xml:space="preserve">VALDIR MATOSO RODRIGUES 14858207153</t>
  </si>
  <si>
    <t xml:space="preserve">TEODOCIA MAGALY QUISPE</t>
  </si>
  <si>
    <t xml:space="preserve">TEODOCIA</t>
  </si>
  <si>
    <t xml:space="preserve">CASA DE RACOES NUTRI ANIMAIS EIRELI ME  </t>
  </si>
  <si>
    <t xml:space="preserve">CASA DE RACOES NUTRI ANIMAIS</t>
  </si>
  <si>
    <t xml:space="preserve">CASA DE RACOES NUTRI ANIMAIS EIRELLI ME </t>
  </si>
  <si>
    <t xml:space="preserve">PET SHOP NUTRI ANIMAIS</t>
  </si>
  <si>
    <t xml:space="preserve">SUELI DO CARMO COSTA DURAO</t>
  </si>
  <si>
    <t xml:space="preserve">MULTIDOCES BOMBONIERE EIRELI ME</t>
  </si>
  <si>
    <t xml:space="preserve">MULTI DOCES</t>
  </si>
  <si>
    <t xml:space="preserve">ELOY E FRANCA DROGARIA E PERFUMARIA LTDA</t>
  </si>
  <si>
    <t xml:space="preserve">DROGARIA E PERFUMARIA BOM JESUS</t>
  </si>
  <si>
    <t xml:space="preserve">WENDY RIPOSATI KEMPARSKI</t>
  </si>
  <si>
    <t xml:space="preserve">W R RACOES E CEREAIS</t>
  </si>
  <si>
    <t xml:space="preserve">JEFFERSON RICARDO ELOY TRANSPORTES LTDA </t>
  </si>
  <si>
    <t xml:space="preserve">JEFFERSON</t>
  </si>
  <si>
    <t xml:space="preserve">ELISANA LOPES SANTA CRUZ</t>
  </si>
  <si>
    <t xml:space="preserve">ACOUGUE E CONVENIENCIA TIBONI</t>
  </si>
  <si>
    <t xml:space="preserve">RONALDO CABRAL DA SILVA</t>
  </si>
  <si>
    <t xml:space="preserve">ENZO PET SHOP</t>
  </si>
  <si>
    <t xml:space="preserve">SAIDEIRA SUPERMERCADO EIRELI</t>
  </si>
  <si>
    <t xml:space="preserve">SAIDEIRA ARMAZEM EXPRESS</t>
  </si>
  <si>
    <t xml:space="preserve">MARIELA LEON ROJAS 49518852120</t>
  </si>
  <si>
    <t xml:space="preserve">MINI MERCADO PREVISUL</t>
  </si>
  <si>
    <t xml:space="preserve">JERUSA DE CARVALHO CORREA</t>
  </si>
  <si>
    <t xml:space="preserve">MERCEARIA PORTAL</t>
  </si>
  <si>
    <t xml:space="preserve">PADARIA E MERCEARIA DOIS IRMAO</t>
  </si>
  <si>
    <t xml:space="preserve">LEIVA CRISTINA DA SILVA FLEITAS ME</t>
  </si>
  <si>
    <t xml:space="preserve">MARLENE DOMINGUES</t>
  </si>
  <si>
    <t xml:space="preserve">MERCADO TRES PODERES</t>
  </si>
  <si>
    <t xml:space="preserve">MPB COMERCIO DE ALIMENTOS EIRELI EPP</t>
  </si>
  <si>
    <t xml:space="preserve">REDE MEU MERCADO</t>
  </si>
  <si>
    <t xml:space="preserve">MEU MERCADO</t>
  </si>
  <si>
    <t xml:space="preserve">MPB COMERCIO DE ALIMENTOS</t>
  </si>
  <si>
    <t xml:space="preserve">MEU MERCADO MONTE LIBANO</t>
  </si>
  <si>
    <t xml:space="preserve">DAYANE DE SOUZA MOREIRA 00615611184</t>
  </si>
  <si>
    <t xml:space="preserve">JOSE EDUARDO TURIBIO DE ABREU ME</t>
  </si>
  <si>
    <t xml:space="preserve">HORTA SAO PEDRO</t>
  </si>
  <si>
    <t xml:space="preserve">NOELIO APARECIDO ASSIS</t>
  </si>
  <si>
    <t xml:space="preserve">ECONOMIZA MAIS SUPERMERCADOS LTDA EPP</t>
  </si>
  <si>
    <t xml:space="preserve">ECONOMIZA MAIS SUPERMERCADO</t>
  </si>
  <si>
    <t xml:space="preserve">THAIS DUARTE MENDES STRAL</t>
  </si>
  <si>
    <t xml:space="preserve">MERCADINHO DO VIZINHO</t>
  </si>
  <si>
    <t xml:space="preserve">BLO SUPERMERCADO EIRELI</t>
  </si>
  <si>
    <t xml:space="preserve">EMPORIO SUPERMERCADO</t>
  </si>
  <si>
    <t xml:space="preserve">VALDECI COSTA SANTOS</t>
  </si>
  <si>
    <t xml:space="preserve">WILLIAN RODRIGO PAREDES LTDA</t>
  </si>
  <si>
    <t xml:space="preserve">CASA DE CARNES PAREDES</t>
  </si>
  <si>
    <t xml:space="preserve">CAIO FERREIRA DIAS</t>
  </si>
  <si>
    <t xml:space="preserve">CONSULTORIO</t>
  </si>
  <si>
    <t xml:space="preserve">IGOR VIEIRA DE CASTRO</t>
  </si>
  <si>
    <t xml:space="preserve">CASA DE RACAO BOM PALADAR</t>
  </si>
  <si>
    <t xml:space="preserve">FARIA E BAPTISTA LTDA-ME</t>
  </si>
  <si>
    <t xml:space="preserve">NASCENTE AZUL</t>
  </si>
  <si>
    <t xml:space="preserve">P R VIEIRA LTDA</t>
  </si>
  <si>
    <t xml:space="preserve">A PANTANEIRA AGROPECUARIA</t>
  </si>
  <si>
    <t xml:space="preserve">ADAGILSON A FERREIRA ME</t>
  </si>
  <si>
    <t xml:space="preserve">SUPERMERCADO MAIS BARATO</t>
  </si>
  <si>
    <t xml:space="preserve">ADAGILSON A FERREIRA</t>
  </si>
  <si>
    <t xml:space="preserve">DOM SUPERMERCADO LTDA</t>
  </si>
  <si>
    <t xml:space="preserve">DOM SUPERMERCADO</t>
  </si>
  <si>
    <t xml:space="preserve">TARCISO ALVARO BENTO BISPO</t>
  </si>
  <si>
    <t xml:space="preserve">POSTO MIL</t>
  </si>
  <si>
    <t xml:space="preserve">MAURICIO GIMENES</t>
  </si>
  <si>
    <t xml:space="preserve">MERCEARIA DONA VICENTA</t>
  </si>
  <si>
    <t xml:space="preserve">PITA BAR E MERCEARIA</t>
  </si>
  <si>
    <t xml:space="preserve">CHURRASCARIA GRAMADAO LTDA ME</t>
  </si>
  <si>
    <t xml:space="preserve">EMPORIO LUNARDI LTDA EPP</t>
  </si>
  <si>
    <t xml:space="preserve">M G DA SILVA MERCEARIA</t>
  </si>
  <si>
    <t xml:space="preserve">GF MERCADO</t>
  </si>
  <si>
    <t xml:space="preserve">RURAL SUL COMERCIO DE ALIMENTOS EIRELI  </t>
  </si>
  <si>
    <t xml:space="preserve">MERCADO GOIABA</t>
  </si>
  <si>
    <t xml:space="preserve">WFC COMERCIO DE ALIMENTOS EIRELI</t>
  </si>
  <si>
    <t xml:space="preserve">FRANCISCO WANDIE DE OLIVEIRA</t>
  </si>
  <si>
    <t xml:space="preserve">SUZIANE WRUCK DE OLIVEIRA FERREIRA EIREL</t>
  </si>
  <si>
    <t xml:space="preserve">CONVENIENCIA CENTRAL 1</t>
  </si>
  <si>
    <t xml:space="preserve">M D R SILVA</t>
  </si>
  <si>
    <t xml:space="preserve">MERCADINHO MJ</t>
  </si>
  <si>
    <t xml:space="preserve">REGINALDO ANDRADE DE OLIVEIRA ME</t>
  </si>
  <si>
    <t xml:space="preserve">SUPERMERCADO THAIS</t>
  </si>
  <si>
    <t xml:space="preserve">ELIANA DE OLIVEIRA BERTOLETI</t>
  </si>
  <si>
    <t xml:space="preserve">DROGARIA SANTA CLARA</t>
  </si>
  <si>
    <t xml:space="preserve">ZORAIDE LEDESMA SILVEIRA</t>
  </si>
  <si>
    <t xml:space="preserve">4 PATAS PET SHOP</t>
  </si>
  <si>
    <t xml:space="preserve">ADRIANO RODRIGUES PARDO</t>
  </si>
  <si>
    <t xml:space="preserve">KINGS DOS</t>
  </si>
  <si>
    <t xml:space="preserve">MAFFISSONI MILANI LTDA ME</t>
  </si>
  <si>
    <t xml:space="preserve">EMMS BAR</t>
  </si>
  <si>
    <t xml:space="preserve">HOOK BEERS PARKS ENTRETENIMENTO LTDA- EP</t>
  </si>
  <si>
    <t xml:space="preserve">HOOK BEERS PARKS</t>
  </si>
  <si>
    <t xml:space="preserve">COMERCIAL DE ALIMENTOS MOLINA EIRELI ME </t>
  </si>
  <si>
    <t xml:space="preserve">MOLINA</t>
  </si>
  <si>
    <t xml:space="preserve">MERCADO ELIZABETH LTDA ME</t>
  </si>
  <si>
    <t xml:space="preserve">MERCADO ELIZABETH</t>
  </si>
  <si>
    <t xml:space="preserve">E N F OLIVEIRA EIRELE</t>
  </si>
  <si>
    <t xml:space="preserve">OSMAR RODRIGUES SANTOS</t>
  </si>
  <si>
    <t xml:space="preserve">MERCADO E CONVENIENCIA DO MAZINHO</t>
  </si>
  <si>
    <t xml:space="preserve">R</t>
  </si>
  <si>
    <t xml:space="preserve">UELDON CEZIO DE OLIVEIRA</t>
  </si>
  <si>
    <t xml:space="preserve">GEROLINO DE PAULA ROSENO</t>
  </si>
  <si>
    <t xml:space="preserve">PET SHOP CACHORRAO</t>
  </si>
  <si>
    <t xml:space="preserve">TATIANA BARBOSA BUENO</t>
  </si>
  <si>
    <t xml:space="preserve">VETERINARIA E PETSHOP SAO FRAN</t>
  </si>
  <si>
    <t xml:space="preserve">ELITON LUIZ ROCHA DOS SANTOS</t>
  </si>
  <si>
    <t xml:space="preserve">NUTRI SOL PET SHOP LTDA</t>
  </si>
  <si>
    <t xml:space="preserve">NUTRI SOL</t>
  </si>
  <si>
    <t xml:space="preserve">DALL AGNOL E SANTOS COM CER PROD AGROP L</t>
  </si>
  <si>
    <t xml:space="preserve">DALL AGNOL E SANTOS</t>
  </si>
  <si>
    <t xml:space="preserve">THIAGO DELLAMANHA MOISES ME</t>
  </si>
  <si>
    <t xml:space="preserve">PET SUL</t>
  </si>
  <si>
    <t xml:space="preserve">KELLY BALDUINO ESPINDOLA ME</t>
  </si>
  <si>
    <t xml:space="preserve">AQUARIUNS AQUARISMO E PET SHOP</t>
  </si>
  <si>
    <t xml:space="preserve">E J DOS SANTOS S SERRADILHA</t>
  </si>
  <si>
    <t xml:space="preserve">SS CONVENIENCIA</t>
  </si>
  <si>
    <t xml:space="preserve">OLIVO BONADIMAN</t>
  </si>
  <si>
    <t xml:space="preserve">CHURRASCARIA UNIAO</t>
  </si>
  <si>
    <t xml:space="preserve">CASSIANI FRANSCISCO DA SILVA DE DEUS</t>
  </si>
  <si>
    <t xml:space="preserve">MERCEARIA CASSIANI</t>
  </si>
  <si>
    <t xml:space="preserve">ANA CLAUDIA OLIVEIRA DOS SANTOS RAFAEL  </t>
  </si>
  <si>
    <t xml:space="preserve">CONVENIENCIA RAFAEL</t>
  </si>
  <si>
    <t xml:space="preserve">ELIZIETE DA SILVEIRA COSTA</t>
  </si>
  <si>
    <t xml:space="preserve">MERCADO JUPIA</t>
  </si>
  <si>
    <t xml:space="preserve">THIAGO GONCALVES DA SILVA</t>
  </si>
  <si>
    <t xml:space="preserve">PETSHOP CAPITAL</t>
  </si>
  <si>
    <t xml:space="preserve">JOSE ALFREDO SILVERIO</t>
  </si>
  <si>
    <t xml:space="preserve">L J S COSTA MEDICAMENTOS</t>
  </si>
  <si>
    <t xml:space="preserve">CELIA APARECIDA A S FERREIRA EIRELI ME  </t>
  </si>
  <si>
    <t xml:space="preserve">SHELL</t>
  </si>
  <si>
    <t xml:space="preserve">CELINA DA CONCEICAO MARQUES DE LIMA</t>
  </si>
  <si>
    <t xml:space="preserve">MARCELO BUCINSKY - ME</t>
  </si>
  <si>
    <t xml:space="preserve">PADARIA E CONVENIENC JM UNIAO</t>
  </si>
  <si>
    <t xml:space="preserve">MILENE BOMFIM DA SILVA</t>
  </si>
  <si>
    <t xml:space="preserve">AGROPET CASA DE RACAO LTDA ME</t>
  </si>
  <si>
    <t xml:space="preserve">AGROPET CASA DE RACAO</t>
  </si>
  <si>
    <t xml:space="preserve">SUPERMERCADO TOP MAIS LTDA</t>
  </si>
  <si>
    <t xml:space="preserve">SUPERMERCADO TOP MAIS</t>
  </si>
  <si>
    <t xml:space="preserve">JOANA CORONEL</t>
  </si>
  <si>
    <t xml:space="preserve">CONVENIENCIA OLIVEIRA</t>
  </si>
  <si>
    <t xml:space="preserve">E K OTANI</t>
  </si>
  <si>
    <t xml:space="preserve">MERCADO NOVO BOX RS LTDA ME</t>
  </si>
  <si>
    <t xml:space="preserve">ERLEY MENDES DO NASCIMENTO 93950268120  </t>
  </si>
  <si>
    <t xml:space="preserve">VITAL MINIMERCADO E SERRALHERIA EIRELI  </t>
  </si>
  <si>
    <t xml:space="preserve">S J GOMES ME</t>
  </si>
  <si>
    <t xml:space="preserve">CASA DE CARNE PREDILETA 1</t>
  </si>
  <si>
    <t xml:space="preserve">CONSUELO VIEIRA NASC MIGUEIS EIRELI</t>
  </si>
  <si>
    <t xml:space="preserve">CONVENIENCIA CONSUELO VIEIRA</t>
  </si>
  <si>
    <t xml:space="preserve">CERQUEIRA E MARTINS ACOUGUE E MERCEARIA </t>
  </si>
  <si>
    <t xml:space="preserve">TRIGOS DA MATA EIRELI ME</t>
  </si>
  <si>
    <t xml:space="preserve">TRIGOS DA MATA</t>
  </si>
  <si>
    <t xml:space="preserve">CRISTIANE DE LIMA BENITES</t>
  </si>
  <si>
    <t xml:space="preserve">BEEF CASA DE CARNES</t>
  </si>
  <si>
    <t xml:space="preserve">K E M PET SHOP LTDA</t>
  </si>
  <si>
    <t xml:space="preserve">PET DE VILLE</t>
  </si>
  <si>
    <t xml:space="preserve">PORTAL CONVENIENCIA EIRELI</t>
  </si>
  <si>
    <t xml:space="preserve">L  PROCOPIO ME</t>
  </si>
  <si>
    <t xml:space="preserve">CATY PET SHOP</t>
  </si>
  <si>
    <t xml:space="preserve">AB DE OLIVEIRA E CIA LTDA</t>
  </si>
  <si>
    <t xml:space="preserve">RAMONA B DA SILVA EIRELI</t>
  </si>
  <si>
    <t xml:space="preserve">LORENA GODINHO CORREIA</t>
  </si>
  <si>
    <t xml:space="preserve">MIMOS E MIMADOS</t>
  </si>
  <si>
    <t xml:space="preserve">MERCEARIA E ACOUGUE DA FAMILIA EIRELI ME</t>
  </si>
  <si>
    <t xml:space="preserve">MERCEARIA E ACOUGUE DA FAMILIA</t>
  </si>
  <si>
    <t xml:space="preserve">GP PET SHOP LTDA</t>
  </si>
  <si>
    <t xml:space="preserve">GP PET SHOP</t>
  </si>
  <si>
    <t xml:space="preserve">BENI PES SHOP LTDA ME</t>
  </si>
  <si>
    <t xml:space="preserve">BENI PET</t>
  </si>
  <si>
    <t xml:space="preserve">L S SILVA MINI MERCADO ME</t>
  </si>
  <si>
    <t xml:space="preserve">HILTON RISSELY FELIPE DE SOUZA EIRELI EP</t>
  </si>
  <si>
    <t xml:space="preserve">MADSUL TRATADORA E COM DE MADEIRAS EIREL</t>
  </si>
  <si>
    <t xml:space="preserve">LAURA ROSIMAR PEREIRA</t>
  </si>
  <si>
    <t xml:space="preserve">LIDIA ROMAN 58352511149</t>
  </si>
  <si>
    <t xml:space="preserve">MERCEARIA E CONV VITORIA</t>
  </si>
  <si>
    <t xml:space="preserve">RODRIGO PAES E BARROS</t>
  </si>
  <si>
    <t xml:space="preserve">FORD DISTRIBUIDORA</t>
  </si>
  <si>
    <t xml:space="preserve">INICIAL COMERCIO E DISTRIBUIDORA DE ALIM</t>
  </si>
  <si>
    <t xml:space="preserve">ATACADO CAMPEIRO</t>
  </si>
  <si>
    <t xml:space="preserve">AURICELIA VILACIO DOS SANTOS</t>
  </si>
  <si>
    <t xml:space="preserve">MERCADO BOM SUCESSO</t>
  </si>
  <si>
    <t xml:space="preserve">MARCELA APARECIDA HOLSBACK DA SILVA</t>
  </si>
  <si>
    <t xml:space="preserve">COMECIAL JCM</t>
  </si>
  <si>
    <t xml:space="preserve">CATARINENSE COM DE FRIOS LTDA</t>
  </si>
  <si>
    <t xml:space="preserve">FRIOS CATARINENCE</t>
  </si>
  <si>
    <t xml:space="preserve">LM NOGUEIRA EIRELI</t>
  </si>
  <si>
    <t xml:space="preserve">MARCOS MORALES FERREIRA ME</t>
  </si>
  <si>
    <t xml:space="preserve">MERCEARIA E CASA DE CARNE</t>
  </si>
  <si>
    <t xml:space="preserve">MARIO SERGIO MONTEIRO PONTES</t>
  </si>
  <si>
    <t xml:space="preserve">SOL NASCENTE</t>
  </si>
  <si>
    <t xml:space="preserve">ECOMEL 2 COM VAR PROD DE LIMPEZA E HIG L</t>
  </si>
  <si>
    <t xml:space="preserve">ECOMEL 2</t>
  </si>
  <si>
    <t xml:space="preserve">J F DA SILVA COMERCIO DE BEBIDAS</t>
  </si>
  <si>
    <t xml:space="preserve">MERC CONV COLIBRI</t>
  </si>
  <si>
    <t xml:space="preserve">CLINICA VET CONFRARIA DOS BICHOS LTDA-ME</t>
  </si>
  <si>
    <t xml:space="preserve">CONFRARIA DOS BICHOS CLINICA</t>
  </si>
  <si>
    <t xml:space="preserve">NOSSO MERCADO COM DE ALIM EIRELI EPP</t>
  </si>
  <si>
    <t xml:space="preserve">NOSSO MERCADO</t>
  </si>
  <si>
    <t xml:space="preserve">KARENN SHEISSIELY PASSOS ALVES TAVARES  </t>
  </si>
  <si>
    <t xml:space="preserve">ACQUARELA</t>
  </si>
  <si>
    <t xml:space="preserve">JORGE FERNANDES DOS SANTOS JUNIOR ME</t>
  </si>
  <si>
    <t xml:space="preserve">MERCADO E ACOUGUE JM</t>
  </si>
  <si>
    <t xml:space="preserve">DOUGLAS REDTON BRUM LANTALER</t>
  </si>
  <si>
    <t xml:space="preserve">JOAO BATISTA DA COSTA SOUZA</t>
  </si>
  <si>
    <t xml:space="preserve">JJ CONVENIENCIA</t>
  </si>
  <si>
    <t xml:space="preserve">CASA DO CRIADOR JARDIM LTDA ME</t>
  </si>
  <si>
    <t xml:space="preserve">MD CONVENIENCIA LTDA</t>
  </si>
  <si>
    <t xml:space="preserve">MD CONVENIENCIA</t>
  </si>
  <si>
    <t xml:space="preserve">P F GAMINO ME</t>
  </si>
  <si>
    <t xml:space="preserve">ANA LUIZA BRAGA ME</t>
  </si>
  <si>
    <t xml:space="preserve">CONVENIENCIA ALADIN</t>
  </si>
  <si>
    <t xml:space="preserve">DIONIS OVIEDO DOS SANTOS</t>
  </si>
  <si>
    <t xml:space="preserve">CONVENIENCIA PANDA</t>
  </si>
  <si>
    <t xml:space="preserve">JOAIR DOS SANTOS MEDINA ME</t>
  </si>
  <si>
    <t xml:space="preserve">SANTA ROZA CASA DE CARNE E CON</t>
  </si>
  <si>
    <t xml:space="preserve">ADRIANA VARGAS MEDINA DE TOLEDO LOPES</t>
  </si>
  <si>
    <t xml:space="preserve">ALINE ALMEIDA DA SILVA</t>
  </si>
  <si>
    <t xml:space="preserve">LANCHONETE TORQUETTI</t>
  </si>
  <si>
    <t xml:space="preserve">HOME NUTRI COMERCIO DE ALIMENTOS E NUTRI</t>
  </si>
  <si>
    <t xml:space="preserve">HOME NUTRI</t>
  </si>
  <si>
    <t xml:space="preserve">ELZO ALMADA</t>
  </si>
  <si>
    <t xml:space="preserve">MERCEARIA GUARANI</t>
  </si>
  <si>
    <t xml:space="preserve">BISPO E GALHARDO LTDA</t>
  </si>
  <si>
    <t xml:space="preserve">PET SUMMER</t>
  </si>
  <si>
    <t xml:space="preserve">GLAYSON NONATO DA SILVA EIRIELI ME</t>
  </si>
  <si>
    <t xml:space="preserve">PET CENTER</t>
  </si>
  <si>
    <t xml:space="preserve">MEDINA E POLETTI LTDA</t>
  </si>
  <si>
    <t xml:space="preserve">ESMALTERIA E ACESSORIOS NIELLY</t>
  </si>
  <si>
    <t xml:space="preserve">TEXAS BAR CONVENIENCIA LTDA</t>
  </si>
  <si>
    <t xml:space="preserve">D KARLOS MATTOS SILVA ME</t>
  </si>
  <si>
    <t xml:space="preserve">SIM PET</t>
  </si>
  <si>
    <t xml:space="preserve">MARTINS E NUNES LTDA ME</t>
  </si>
  <si>
    <t xml:space="preserve">MERCADO E CONVENIENCIA PETA</t>
  </si>
  <si>
    <t xml:space="preserve">CASA AMARELA SALGADOS E BOLOS LTDA</t>
  </si>
  <si>
    <t xml:space="preserve">CASA AMARELA SALGADOS E BOLOS</t>
  </si>
  <si>
    <t xml:space="preserve">DYESSICA OLIVEIRA LIMA</t>
  </si>
  <si>
    <t xml:space="preserve">DO BRUTO PET</t>
  </si>
  <si>
    <t xml:space="preserve">MARCELO SCHRODER</t>
  </si>
  <si>
    <t xml:space="preserve">ROSELI ESPINDULA</t>
  </si>
  <si>
    <t xml:space="preserve">MERCEARIA WR</t>
  </si>
  <si>
    <t xml:space="preserve">MARISOL ROSMERY A HUANCA</t>
  </si>
  <si>
    <t xml:space="preserve">COMERCIAL MARISOL 1</t>
  </si>
  <si>
    <t xml:space="preserve">IMPERIO COMERCIO ALIMENTICIOS EIRELI</t>
  </si>
  <si>
    <t xml:space="preserve">IRMAO CABREIRA</t>
  </si>
  <si>
    <t xml:space="preserve">MOTEL XODO LTDA</t>
  </si>
  <si>
    <t xml:space="preserve">MOTEL XODO</t>
  </si>
  <si>
    <t xml:space="preserve">CONCEICAO S DE OLIVEIRA</t>
  </si>
  <si>
    <t xml:space="preserve">PULQUERIO E NASCIMENTO LTDA</t>
  </si>
  <si>
    <t xml:space="preserve">SUP PROGRESSO</t>
  </si>
  <si>
    <t xml:space="preserve">PANIFICADORA TIETE LTDA</t>
  </si>
  <si>
    <t xml:space="preserve">ALEXANDRE E SCHIAVO LTDA</t>
  </si>
  <si>
    <t xml:space="preserve">JOSE NILCO SILVA E CIA LTDA</t>
  </si>
  <si>
    <t xml:space="preserve">COMERCIAL DUARTE</t>
  </si>
  <si>
    <t xml:space="preserve">ANTONIO A MACIEL</t>
  </si>
  <si>
    <t xml:space="preserve">BAR E MERCEARIA MANOEL</t>
  </si>
  <si>
    <t xml:space="preserve">NILSON SOUZA OLIVEIRA</t>
  </si>
  <si>
    <t xml:space="preserve">DELFAR MEDICAMENTOS E PERFUMARIA LTDA</t>
  </si>
  <si>
    <t xml:space="preserve">ENZO GUSTAVO HURTADO TABORGA</t>
  </si>
  <si>
    <t xml:space="preserve">A FLORES DE ARAUJO ME</t>
  </si>
  <si>
    <t xml:space="preserve">AFA FRIOS</t>
  </si>
  <si>
    <t xml:space="preserve">SUPER GIRO COM E DISTRIB DE ALIMENTOS LT</t>
  </si>
  <si>
    <t xml:space="preserve">SUPER GIRO COMERCIO E DISTRIBU</t>
  </si>
  <si>
    <t xml:space="preserve">DANIELA ANDRADE MUNIZ</t>
  </si>
  <si>
    <t xml:space="preserve">PET SHOP PREMIX</t>
  </si>
  <si>
    <t xml:space="preserve">ADRIANA SALDANHA DO PRADO</t>
  </si>
  <si>
    <t xml:space="preserve">CONVENIENCIA CAMINHO DE CASA</t>
  </si>
  <si>
    <t xml:space="preserve">FATIMA ARLEI SBARDELOTE SANTOS</t>
  </si>
  <si>
    <t xml:space="preserve">COMERCIAL DES</t>
  </si>
  <si>
    <t xml:space="preserve">ANA KELLY MAGALHAES DA SILVA</t>
  </si>
  <si>
    <t xml:space="preserve">MERCADO E CONVENIENCIA AVENIDA</t>
  </si>
  <si>
    <t xml:space="preserve">MARIA APARECIDA NAVARRO DA COSTA</t>
  </si>
  <si>
    <t xml:space="preserve">PADARIA CATELANE</t>
  </si>
  <si>
    <t xml:space="preserve">DIEGO HEITOR ANDRADE PICOLI ME</t>
  </si>
  <si>
    <t xml:space="preserve">NOVA PET</t>
  </si>
  <si>
    <t xml:space="preserve">MARIA DO SOCORRO SOUSA DO VALE</t>
  </si>
  <si>
    <t xml:space="preserve">HELP CAMISETERIA</t>
  </si>
  <si>
    <t xml:space="preserve">AUTAMIR COTOCIO ORTEGA</t>
  </si>
  <si>
    <t xml:space="preserve">CAOPANHEIRO PET SHOP</t>
  </si>
  <si>
    <t xml:space="preserve">E N G MERCADO E CONVENIENCIA</t>
  </si>
  <si>
    <t xml:space="preserve">CANAA CASA DE RACOES E PROD AGROP LTDA  </t>
  </si>
  <si>
    <t xml:space="preserve">PET CANAA</t>
  </si>
  <si>
    <t xml:space="preserve">SERGIO VINICIOS STELLE</t>
  </si>
  <si>
    <t xml:space="preserve">BERR CONVENIENCIA STELLE</t>
  </si>
  <si>
    <t xml:space="preserve">MARIA ANGELICA OLIVEIRA BATISTA ME</t>
  </si>
  <si>
    <t xml:space="preserve">POPULAR MEGA FARMA</t>
  </si>
  <si>
    <t xml:space="preserve">GISLAINE ACOSTA COENGA</t>
  </si>
  <si>
    <t xml:space="preserve">MERCEARIA BOM DE MAIS</t>
  </si>
  <si>
    <t xml:space="preserve">ERIKA FERREIRA DA SILVA OLIVEIRA ME</t>
  </si>
  <si>
    <t xml:space="preserve">PET SHOP DOCE ANIMAL</t>
  </si>
  <si>
    <t xml:space="preserve">APARECIDO M AMARAL ME</t>
  </si>
  <si>
    <t xml:space="preserve">CONVENIENCIA MIRANDA</t>
  </si>
  <si>
    <t xml:space="preserve">DANIEL MAGALHAES FRANCO</t>
  </si>
  <si>
    <t xml:space="preserve">JOAO E MARIA KIDS</t>
  </si>
  <si>
    <t xml:space="preserve">MARIA APARECIDA JULI DE AZEVEDO ME</t>
  </si>
  <si>
    <t xml:space="preserve">MERCEARIA 18HS</t>
  </si>
  <si>
    <t xml:space="preserve">SUPERMERCADO JULIFRAN</t>
  </si>
  <si>
    <t xml:space="preserve">HELIO DE OLIVEIRA VICTOR  ME</t>
  </si>
  <si>
    <t xml:space="preserve">CASA DE CARNE E CONV. CANAA</t>
  </si>
  <si>
    <t xml:space="preserve">FLAVIA REGINA ESCOBAR BRAGA ME</t>
  </si>
  <si>
    <t xml:space="preserve">MERCADO CARANGUEJO</t>
  </si>
  <si>
    <t xml:space="preserve">A NETO RUNICHI CARNAVALE ME</t>
  </si>
  <si>
    <t xml:space="preserve">CASA DE CARNES MONTANA</t>
  </si>
  <si>
    <t xml:space="preserve">SUPER MONTANA SUPERMERCADO</t>
  </si>
  <si>
    <t xml:space="preserve">SUPERMERCADO MONTANA</t>
  </si>
  <si>
    <t xml:space="preserve">JESSICA KAROLINE DA SILVA BEZERRA</t>
  </si>
  <si>
    <t xml:space="preserve">MARISTELA ALIMENTOS E VARIEDADES EIRELI </t>
  </si>
  <si>
    <t xml:space="preserve">MERCADO MARISTELA</t>
  </si>
  <si>
    <t xml:space="preserve">LUCAS AMORIM QUEIROS ME</t>
  </si>
  <si>
    <t xml:space="preserve">OSVANIR FERREIRA INACIO ME</t>
  </si>
  <si>
    <t xml:space="preserve">CASA DE CARNE BOM CORTE</t>
  </si>
  <si>
    <t xml:space="preserve">FERNANDO PONTE BARREIRO</t>
  </si>
  <si>
    <t xml:space="preserve">PADARIA FELIPAO</t>
  </si>
  <si>
    <t xml:space="preserve">ROSA MARIA DE SOUZA ME</t>
  </si>
  <si>
    <t xml:space="preserve">REQUINTE SALGADO</t>
  </si>
  <si>
    <t xml:space="preserve">GUILLERMINA DIAZ YUCRA</t>
  </si>
  <si>
    <t xml:space="preserve">COMERCIAL GUILHERMINA</t>
  </si>
  <si>
    <t xml:space="preserve">MARIO TERRAZAS MAMANI 70977547108</t>
  </si>
  <si>
    <t xml:space="preserve">COMERCIAL SKARLETH</t>
  </si>
  <si>
    <t xml:space="preserve">IZABEL DO CARMO R GOIS</t>
  </si>
  <si>
    <t xml:space="preserve">PADARIA DA IZABEL</t>
  </si>
  <si>
    <t xml:space="preserve">VRC LIMA E LINO COM VAR DE GAS E BEB LTD</t>
  </si>
  <si>
    <t xml:space="preserve">BELLA GAS E CONVENIENCIA</t>
  </si>
  <si>
    <t xml:space="preserve">SANDRA FRANCO SOLIZ</t>
  </si>
  <si>
    <t xml:space="preserve">COMERCIAL SANDRA</t>
  </si>
  <si>
    <t xml:space="preserve">ROBSON CONSEICAO DE ARAUJO 09560869850  </t>
  </si>
  <si>
    <t xml:space="preserve">CENTRA DA PESCA CASA DE RACO S</t>
  </si>
  <si>
    <t xml:space="preserve">HORTIFRUT SOUTO MAIOR</t>
  </si>
  <si>
    <t xml:space="preserve">MERCADO DA FAMILIA EIRELI EPP</t>
  </si>
  <si>
    <t xml:space="preserve">ELIZANGELA ANTUNES DOS SANTOS EIRELI ME </t>
  </si>
  <si>
    <t xml:space="preserve">VINICIUS SEIDI DA SILVA HIROI</t>
  </si>
  <si>
    <t xml:space="preserve">CONVENIENCIA DO JAPA</t>
  </si>
  <si>
    <t xml:space="preserve">SOLANGE MARES</t>
  </si>
  <si>
    <t xml:space="preserve">MERCEARIA CONVENIENCIA AMOR</t>
  </si>
  <si>
    <t xml:space="preserve">JULIO CESAR MARQUES DA SILVA</t>
  </si>
  <si>
    <t xml:space="preserve">ARTIGO FRIOS E CONVENIENCIA</t>
  </si>
  <si>
    <t xml:space="preserve">VETERINARIA THIESEN EIRELI ME</t>
  </si>
  <si>
    <t xml:space="preserve">AGROPECUARIA THIESEN</t>
  </si>
  <si>
    <t xml:space="preserve">POSTO DO CRISTO COM COMB LTDA</t>
  </si>
  <si>
    <t xml:space="preserve">POSTO 7</t>
  </si>
  <si>
    <t xml:space="preserve">ADRIANO MARCAL MARQUES LTDA</t>
  </si>
  <si>
    <t xml:space="preserve">RESTAURANTE SABOR DE CASA</t>
  </si>
  <si>
    <t xml:space="preserve">AMOROSO DELICATESSEN LTDA ME</t>
  </si>
  <si>
    <t xml:space="preserve">AMOROSO CONVENIENCIA</t>
  </si>
  <si>
    <t xml:space="preserve">CHINZARIAN E MIGUEL LTDA EPP</t>
  </si>
  <si>
    <t xml:space="preserve">EXPRESSO AMBURGUES</t>
  </si>
  <si>
    <t xml:space="preserve">CONVENIENCIA DO POTENCIA LTDA -ME</t>
  </si>
  <si>
    <t xml:space="preserve">CONV DO POTENCIA</t>
  </si>
  <si>
    <t xml:space="preserve">BRUBA CONVENIENCIA LTDA ME</t>
  </si>
  <si>
    <t xml:space="preserve">BRUBA CONVENIENCIA</t>
  </si>
  <si>
    <t xml:space="preserve">DHIONE BEER CONV E MERCEARIA LTDA</t>
  </si>
  <si>
    <t xml:space="preserve">DHIONE BEER CONVENIENCIA</t>
  </si>
  <si>
    <t xml:space="preserve">DURSO E MENACHO COM VAR DE RACOES LTDA  </t>
  </si>
  <si>
    <t xml:space="preserve">ROSIMEIRE LIMA DA SILVA 01990726127</t>
  </si>
  <si>
    <t xml:space="preserve">PANTANAL RACOES</t>
  </si>
  <si>
    <t xml:space="preserve">ROQUE CAZON PAREDEZ</t>
  </si>
  <si>
    <t xml:space="preserve">GROSSMANN COMERCIO DE ALIMEN  EIRELI EPP</t>
  </si>
  <si>
    <t xml:space="preserve">EURO SUPERMERCADO</t>
  </si>
  <si>
    <t xml:space="preserve">SUELI LIMA DOS SANTOS</t>
  </si>
  <si>
    <t xml:space="preserve">K ARANCIVIA ME</t>
  </si>
  <si>
    <t xml:space="preserve">MSA PETROLEO LTDA</t>
  </si>
  <si>
    <t xml:space="preserve">POSTO RIBALTA 1</t>
  </si>
  <si>
    <t xml:space="preserve">RENAN CESAR DUTRA MASSENA</t>
  </si>
  <si>
    <t xml:space="preserve">MERCADINHO NOSSO LAR</t>
  </si>
  <si>
    <t xml:space="preserve">L J E COMERCIO DE ALIMENTOS LTDA</t>
  </si>
  <si>
    <t xml:space="preserve">ZAP CONVENIENCIA</t>
  </si>
  <si>
    <t xml:space="preserve">FERREIRA E XAVIER LTDA</t>
  </si>
  <si>
    <t xml:space="preserve">BOLICHO CONVENIENCIA E CAFE</t>
  </si>
  <si>
    <t xml:space="preserve">KF CORREA ME</t>
  </si>
  <si>
    <t xml:space="preserve">BIG FESTAS</t>
  </si>
  <si>
    <t xml:space="preserve">AMERICANA PHARMA LTDA</t>
  </si>
  <si>
    <t xml:space="preserve">AMERICA PHARMA</t>
  </si>
  <si>
    <t xml:space="preserve">PAULO ROGERIO DE ARAUJO</t>
  </si>
  <si>
    <t xml:space="preserve">RESTAURANTE VO LURDES</t>
  </si>
  <si>
    <t xml:space="preserve">P RIVAS LUGLI VIEIRA</t>
  </si>
  <si>
    <t xml:space="preserve">RIVAS BANHO E TOSA</t>
  </si>
  <si>
    <t xml:space="preserve">EDUARDO ARAO FURTADO JUNIOR ME</t>
  </si>
  <si>
    <t xml:space="preserve">K9 PET CENTER</t>
  </si>
  <si>
    <t xml:space="preserve">JP SUPERMERCADO MODELO LTDA</t>
  </si>
  <si>
    <t xml:space="preserve">CELIO JOSE GUILHERME BATISTOTI</t>
  </si>
  <si>
    <t xml:space="preserve">TOTI MINI MERCADO</t>
  </si>
  <si>
    <t xml:space="preserve">PIMENTA E NEVES LTDA</t>
  </si>
  <si>
    <t xml:space="preserve">TITIO S LANCHES</t>
  </si>
  <si>
    <t xml:space="preserve">MERCEARIA BOM PRECO LTDA</t>
  </si>
  <si>
    <t xml:space="preserve">MARTINS E MACIEL LTDA</t>
  </si>
  <si>
    <t xml:space="preserve">BALNEARIO RIO FORMOSO</t>
  </si>
  <si>
    <t xml:space="preserve">SUL MINEIRA INDUSTRIA COMERCIO PAES LTDA</t>
  </si>
  <si>
    <t xml:space="preserve">M G B TENORIO BATISTA</t>
  </si>
  <si>
    <t xml:space="preserve">COMERCIAL BATISTA</t>
  </si>
  <si>
    <t xml:space="preserve">COMERCIAL BRAGANTINO LTDA</t>
  </si>
  <si>
    <t xml:space="preserve">MINI MERCADO BRAGANTINO</t>
  </si>
  <si>
    <t xml:space="preserve">DIMAS SOARES DE ALMEIDA</t>
  </si>
  <si>
    <t xml:space="preserve">MERCEARIA SAO DIMAS</t>
  </si>
  <si>
    <t xml:space="preserve">MARCOS BETTIO E CIA LTDA</t>
  </si>
  <si>
    <t xml:space="preserve">ARMAZEM SAO MARCOS</t>
  </si>
  <si>
    <t xml:space="preserve">BICACO COMERCIO DE FRIOS LTDA</t>
  </si>
  <si>
    <t xml:space="preserve">C A PICK E CIA LTDA</t>
  </si>
  <si>
    <t xml:space="preserve">SM ITAIPU</t>
  </si>
  <si>
    <t xml:space="preserve">AUTO POSTO JR LTDA</t>
  </si>
  <si>
    <t xml:space="preserve">AUTO POSTO J. R.</t>
  </si>
  <si>
    <t xml:space="preserve">PAULO TAKEI</t>
  </si>
  <si>
    <t xml:space="preserve">MERCADO TAKEI</t>
  </si>
  <si>
    <t xml:space="preserve">MATEUS PALMA DE FARIAS</t>
  </si>
  <si>
    <t xml:space="preserve">DOCES MONA</t>
  </si>
  <si>
    <t xml:space="preserve">ANGELO BERNAL</t>
  </si>
  <si>
    <t xml:space="preserve">MERCADO E ACOUGUE PIRAMIDE</t>
  </si>
  <si>
    <t xml:space="preserve">ROSANGELA FATIMA DE SOUZA</t>
  </si>
  <si>
    <t xml:space="preserve">SACOLAO MODELO</t>
  </si>
  <si>
    <t xml:space="preserve">PAIM E PAIM LTDA</t>
  </si>
  <si>
    <t xml:space="preserve">CHURRASCARIA SAO PEDRO</t>
  </si>
  <si>
    <t xml:space="preserve">DALLA VALE DISTRIBUIDORA DE BEBIDAS LTDA</t>
  </si>
  <si>
    <t xml:space="preserve">MERCADO GABY</t>
  </si>
  <si>
    <t xml:space="preserve">VICTOR R GUCCIONES ME</t>
  </si>
  <si>
    <t xml:space="preserve">CASA DE CARNE CONV.PEZAO</t>
  </si>
  <si>
    <t xml:space="preserve">NAIRA ROSSI PERES</t>
  </si>
  <si>
    <t xml:space="preserve">LABO DA GUITA SUPERMERCADOS</t>
  </si>
  <si>
    <t xml:space="preserve">AGUAS PANTANAL EMP TURISTICOS LTDA</t>
  </si>
  <si>
    <t xml:space="preserve">POUSADA AGUAS DO PANTANAL</t>
  </si>
  <si>
    <t xml:space="preserve">AUTO POSTO 21 LTDA</t>
  </si>
  <si>
    <t xml:space="preserve">METAS COMERCIO REPRESENTACOES LTDA</t>
  </si>
  <si>
    <t xml:space="preserve">METAS COMERC REPRES LTDA</t>
  </si>
  <si>
    <t xml:space="preserve">FERREIRA E BEIRO LTDA</t>
  </si>
  <si>
    <t xml:space="preserve">FARMACIA SANTA MARIA</t>
  </si>
  <si>
    <t xml:space="preserve">WILSON JOSE OLIVEIRA</t>
  </si>
  <si>
    <t xml:space="preserve">OLTOMAR ALMEIDA DE PAULO</t>
  </si>
  <si>
    <t xml:space="preserve">PIT STOP DIST. DE BEBIDAS</t>
  </si>
  <si>
    <t xml:space="preserve">JOSE CARLOS DIAS ACOUGUE</t>
  </si>
  <si>
    <t xml:space="preserve">CASA DE CARNE SAO DOMINGOS</t>
  </si>
  <si>
    <t xml:space="preserve">ALVES E PAIVA LTDA</t>
  </si>
  <si>
    <t xml:space="preserve">MORTARI E MORTARI LTDA</t>
  </si>
  <si>
    <t xml:space="preserve">PANIFICADORA PANTANAL</t>
  </si>
  <si>
    <t xml:space="preserve">SONIA ROCHA DA SILVA FRANCELINO</t>
  </si>
  <si>
    <t xml:space="preserve">BAR SERGIO</t>
  </si>
  <si>
    <t xml:space="preserve">SALETH REGINA A QUIRINO</t>
  </si>
  <si>
    <t xml:space="preserve">SANGA INDAIA LAPE</t>
  </si>
  <si>
    <t xml:space="preserve">HERMELINDO MUSSATO ME / MS</t>
  </si>
  <si>
    <t xml:space="preserve">MERCEARIA DA ZENA</t>
  </si>
  <si>
    <t xml:space="preserve">AUTO POSTO ALIANCA LTDA</t>
  </si>
  <si>
    <t xml:space="preserve">PONTO CERTO</t>
  </si>
  <si>
    <t xml:space="preserve">KRAIEVSKI COM ALIMENTOS MAT CONSTR LTDA </t>
  </si>
  <si>
    <t xml:space="preserve">MERCADO CRUZADO</t>
  </si>
  <si>
    <t xml:space="preserve">SUPERMERCADO LUNARDI LTDA</t>
  </si>
  <si>
    <t xml:space="preserve">SM LUNARDI LTDA</t>
  </si>
  <si>
    <t xml:space="preserve">AREOVALDO CORREA SILVA</t>
  </si>
  <si>
    <t xml:space="preserve">BAR E MERCEARIA CORREA</t>
  </si>
  <si>
    <t xml:space="preserve">M I DA SILVA OLIVEIRA</t>
  </si>
  <si>
    <t xml:space="preserve">DISTRIBUIDORA PRINCESINHA</t>
  </si>
  <si>
    <t xml:space="preserve">V LUCIA DOS SANTOS</t>
  </si>
  <si>
    <t xml:space="preserve">ANDERSON DE SOUZA TORQUATO LTDA</t>
  </si>
  <si>
    <t xml:space="preserve">TOR4 BEER</t>
  </si>
  <si>
    <t xml:space="preserve">THOR CONVENIENCIA LTDA</t>
  </si>
  <si>
    <t xml:space="preserve">THOR CONVENIENCIA</t>
  </si>
  <si>
    <t xml:space="preserve">POSTO MEDITERRANEO LTDA</t>
  </si>
  <si>
    <t xml:space="preserve">POSTO MEDITERRANEO</t>
  </si>
  <si>
    <t xml:space="preserve">FERREIRA E PAULA SOUZA LTDA</t>
  </si>
  <si>
    <t xml:space="preserve">AGROLIDER</t>
  </si>
  <si>
    <t xml:space="preserve">SUPERMERCADO CHAMA LTDA</t>
  </si>
  <si>
    <t xml:space="preserve">AUTO POSTO DAS ARARAS LTDA</t>
  </si>
  <si>
    <t xml:space="preserve">CONVENIENCIA BR MANIA</t>
  </si>
  <si>
    <t xml:space="preserve">POSTO SAGITARIUS LTDA</t>
  </si>
  <si>
    <t xml:space="preserve">POSTO DAS ARARAS</t>
  </si>
  <si>
    <t xml:space="preserve">POSTO DAS NACOES INDIGENAS</t>
  </si>
  <si>
    <t xml:space="preserve">POSTO IMBIRUSSU LTDA</t>
  </si>
  <si>
    <t xml:space="preserve">POSTO IMBIRUSSU</t>
  </si>
  <si>
    <t xml:space="preserve">SAO SEBASTIAO CONVENIENCIAS LTDA</t>
  </si>
  <si>
    <t xml:space="preserve">SM SAO SEBASTIAO</t>
  </si>
  <si>
    <t xml:space="preserve">E J C DA SILVA</t>
  </si>
  <si>
    <t xml:space="preserve">PANIF PAULISTA</t>
  </si>
  <si>
    <t xml:space="preserve">SUPERMERCADO J R LTDA</t>
  </si>
  <si>
    <t xml:space="preserve">MERCADO J.R.</t>
  </si>
  <si>
    <t xml:space="preserve">PETEL MATERIAIS CONST EQUIPAMENTOS LTDA </t>
  </si>
  <si>
    <t xml:space="preserve">PETEL</t>
  </si>
  <si>
    <t xml:space="preserve">EVANILDO JOAQUIM DE AMORIM</t>
  </si>
  <si>
    <t xml:space="preserve">GALPAO RESTAURANTE</t>
  </si>
  <si>
    <t xml:space="preserve">PANIF CONF PAULISTANA LTDA</t>
  </si>
  <si>
    <t xml:space="preserve">PANF PAULISTA</t>
  </si>
  <si>
    <t xml:space="preserve">JAILTON ANDRADE</t>
  </si>
  <si>
    <t xml:space="preserve">ERENIR GOMES JESUS</t>
  </si>
  <si>
    <t xml:space="preserve">SAPATARIA BOIADEIRA</t>
  </si>
  <si>
    <t xml:space="preserve">J A COSTA JUNIOR E CIA LTDA</t>
  </si>
  <si>
    <t xml:space="preserve">POSTO TRADICIONAL</t>
  </si>
  <si>
    <t xml:space="preserve">MARINA BEZERRA DOS SANTOS</t>
  </si>
  <si>
    <t xml:space="preserve">M VASCONCELOS DE OLIVEIRA E CIA LTDA</t>
  </si>
  <si>
    <t xml:space="preserve">PAO E VINHO E CIA</t>
  </si>
  <si>
    <t xml:space="preserve">ANA SENHORINHA ALVES FERREIRA</t>
  </si>
  <si>
    <t xml:space="preserve">DORMITORIO SANTA ANA</t>
  </si>
  <si>
    <t xml:space="preserve">LANCHONETE 2 IRMAOS LTDA</t>
  </si>
  <si>
    <t xml:space="preserve">LANCHONETE 2 IRMAOS</t>
  </si>
  <si>
    <t xml:space="preserve">PAULO WELLER</t>
  </si>
  <si>
    <t xml:space="preserve">COMERCIAL DE ALIMENTOS TREVO LTDA</t>
  </si>
  <si>
    <t xml:space="preserve">SUPERMERCADO REZENDE</t>
  </si>
  <si>
    <t xml:space="preserve">TOMAZ E REZENDE LTDA</t>
  </si>
  <si>
    <t xml:space="preserve">DISTRIBUIDORA REZENDE</t>
  </si>
  <si>
    <t xml:space="preserve">EDSON SANTOS PEREIRA E CIA LTDA EPP</t>
  </si>
  <si>
    <t xml:space="preserve">DROGARIA SANTO ANDRE</t>
  </si>
  <si>
    <t xml:space="preserve">MARIA LUCIA MOREIRA</t>
  </si>
  <si>
    <t xml:space="preserve">BAR E MERC MODELO</t>
  </si>
  <si>
    <t xml:space="preserve">STTILLUS PANIFICADORA LTDA</t>
  </si>
  <si>
    <t xml:space="preserve">PANIF STTILLUS</t>
  </si>
  <si>
    <t xml:space="preserve">MALLMANN E CARDOSO LTDA</t>
  </si>
  <si>
    <t xml:space="preserve">KI MERCADO</t>
  </si>
  <si>
    <t xml:space="preserve">JAIME ANTONIO DA SILVA E CIA LTDA</t>
  </si>
  <si>
    <t xml:space="preserve">FRANCISCA ALVES DE LIMA SILVESTRE</t>
  </si>
  <si>
    <t xml:space="preserve">MERCADO O ECONOMICO</t>
  </si>
  <si>
    <t xml:space="preserve">AUTO POSTO YPE LTDA</t>
  </si>
  <si>
    <t xml:space="preserve">AUTO POSTO YPE</t>
  </si>
  <si>
    <t xml:space="preserve">KIKROK COMERCIO DE ALIMENTOS LTDA</t>
  </si>
  <si>
    <t xml:space="preserve">KIKROK ROTISSERI</t>
  </si>
  <si>
    <t xml:space="preserve">SOUZA E VICENTIM LTDA</t>
  </si>
  <si>
    <t xml:space="preserve">VERA LUCIA SANTOS QUADROS</t>
  </si>
  <si>
    <t xml:space="preserve">SM ATLANTICO II</t>
  </si>
  <si>
    <t xml:space="preserve">FAVORETO E SWENSSON LTDA</t>
  </si>
  <si>
    <t xml:space="preserve">DOCE &amp; PASTEL</t>
  </si>
  <si>
    <t xml:space="preserve">VIEIRA E POLETTO LTDA ME</t>
  </si>
  <si>
    <t xml:space="preserve">DEPIERI E ALVARENGA LTDA</t>
  </si>
  <si>
    <t xml:space="preserve">CONVENIENCIA E PAD.STO ANTONIO</t>
  </si>
  <si>
    <t xml:space="preserve">J G DE SOUZA</t>
  </si>
  <si>
    <t xml:space="preserve">SM GASPAR</t>
  </si>
  <si>
    <t xml:space="preserve">CIA CAVALHEIRE ME</t>
  </si>
  <si>
    <t xml:space="preserve">COMERCIAL MUNHOZ</t>
  </si>
  <si>
    <t xml:space="preserve">SAO VICENTE DEP FRUTAS E VERDURAS LTDA  </t>
  </si>
  <si>
    <t xml:space="preserve">SAO VICENTE DEP.FRUTAS E VERD.</t>
  </si>
  <si>
    <t xml:space="preserve">PONTES E SILVA LTDA</t>
  </si>
  <si>
    <t xml:space="preserve">ALTAS HORAS CONV</t>
  </si>
  <si>
    <t xml:space="preserve">PRUDENTE E OLIVEIRA LTDA</t>
  </si>
  <si>
    <t xml:space="preserve">DROGARIA PRUDENTE</t>
  </si>
  <si>
    <t xml:space="preserve">DROGARIA VIOLETA LTDA</t>
  </si>
  <si>
    <t xml:space="preserve">DROGARIA VIOLETA</t>
  </si>
  <si>
    <t xml:space="preserve">SOTOLANI E SILVA LTDA</t>
  </si>
  <si>
    <t xml:space="preserve">MERCADO IPACARAY</t>
  </si>
  <si>
    <t xml:space="preserve">FERNANDO LOURENCO SERRANO</t>
  </si>
  <si>
    <t xml:space="preserve">CLOVIS SATURNINO SILVA</t>
  </si>
  <si>
    <t xml:space="preserve">MERCEARIA ARANTES LTDA</t>
  </si>
  <si>
    <t xml:space="preserve">UNIAO HORTIFRUTI EIRELI-ME</t>
  </si>
  <si>
    <t xml:space="preserve">UNIAO HORTIFRUTI</t>
  </si>
  <si>
    <t xml:space="preserve">ITAMARATI MATERIAIS DE CONSTRUCAO LTDA  </t>
  </si>
  <si>
    <t xml:space="preserve">ITAMARATI</t>
  </si>
  <si>
    <t xml:space="preserve">MERCADO E CONVENIENCIA MIRASOL LTDA ME  </t>
  </si>
  <si>
    <t xml:space="preserve">MERCADO E CONVENIENCIA MIRASOL</t>
  </si>
  <si>
    <t xml:space="preserve">PIZZARIA E CHOP MILAO LTDA</t>
  </si>
  <si>
    <t xml:space="preserve">SAM MARINO</t>
  </si>
  <si>
    <t xml:space="preserve">THALIS HOTEL LTDA</t>
  </si>
  <si>
    <t xml:space="preserve">THALIS HOTEL</t>
  </si>
  <si>
    <t xml:space="preserve">ODERI CIAL PRODUTOS ALIMENTICIOS LTDA</t>
  </si>
  <si>
    <t xml:space="preserve">MERCADO ODERI</t>
  </si>
  <si>
    <t xml:space="preserve">MIRIAM CRISTINA DE SOUZA</t>
  </si>
  <si>
    <t xml:space="preserve">VERDURINHA</t>
  </si>
  <si>
    <t xml:space="preserve">JOAQUIM ARIFA TIGRE</t>
  </si>
  <si>
    <t xml:space="preserve">MERCADO TIGRE</t>
  </si>
  <si>
    <t xml:space="preserve">ADEMIR TERRA</t>
  </si>
  <si>
    <t xml:space="preserve">ELETRONICA TERRA</t>
  </si>
  <si>
    <t xml:space="preserve">APARECIDA VASQUES LOPES</t>
  </si>
  <si>
    <t xml:space="preserve">MERCADO JOVEM</t>
  </si>
  <si>
    <t xml:space="preserve">ALESSANDRA DA SILVA MENDONCA</t>
  </si>
  <si>
    <t xml:space="preserve">SNOOPY PETS</t>
  </si>
  <si>
    <t xml:space="preserve">GUILHERME SILVEIRA GUIMARAES 02318297100</t>
  </si>
  <si>
    <t xml:space="preserve">AGUA VIVA PET SHOP</t>
  </si>
  <si>
    <t xml:space="preserve">BETAO LANCHES E SUCOS LTDA</t>
  </si>
  <si>
    <t xml:space="preserve">DOTTO E ARAUJO LTDA</t>
  </si>
  <si>
    <t xml:space="preserve">PADARIA CONF ALVORADA DO SUL</t>
  </si>
  <si>
    <t xml:space="preserve">WALDEMAR ALVES LOPES</t>
  </si>
  <si>
    <t xml:space="preserve">PANIFICADORA LOPES</t>
  </si>
  <si>
    <t xml:space="preserve">F J CANCIAN</t>
  </si>
  <si>
    <t xml:space="preserve">SORVETERIA CRISTAL</t>
  </si>
  <si>
    <t xml:space="preserve">ROSELENE AREVALO ESPINDOLA</t>
  </si>
  <si>
    <t xml:space="preserve">COMERCIO DE COMBUSTIVEIS RIO BRANCO LTDA</t>
  </si>
  <si>
    <t xml:space="preserve">POSTO CARRETAO</t>
  </si>
  <si>
    <t xml:space="preserve">POSTO MATUCHO</t>
  </si>
  <si>
    <t xml:space="preserve">MARIA CLEUZA V FERNANDES</t>
  </si>
  <si>
    <t xml:space="preserve">MERCADO A PRACA E NOSSA</t>
  </si>
  <si>
    <t xml:space="preserve">MENCHIK E SHIRADO LTDA</t>
  </si>
  <si>
    <t xml:space="preserve">SACOLAO M E S</t>
  </si>
  <si>
    <t xml:space="preserve">CANDEIAS E MIRANDA LTDA</t>
  </si>
  <si>
    <t xml:space="preserve">SM ESQUINAO</t>
  </si>
  <si>
    <t xml:space="preserve">SOUZA E SOFTOV LTDA</t>
  </si>
  <si>
    <t xml:space="preserve">PANIF E CONV PAO QUENTE</t>
  </si>
  <si>
    <t xml:space="preserve">SANDRA APARECIDA ROMA VISSOTO</t>
  </si>
  <si>
    <t xml:space="preserve">POSTO ATLANTICO</t>
  </si>
  <si>
    <t xml:space="preserve">JUM &amp; MINAMI LTDA</t>
  </si>
  <si>
    <t xml:space="preserve">MOTEL JEITO DE AMAR</t>
  </si>
  <si>
    <t xml:space="preserve">SUPERMERCADO TONY LTDA EPP</t>
  </si>
  <si>
    <t xml:space="preserve">SUPERMERCADO TONY ANT PERALTA</t>
  </si>
  <si>
    <t xml:space="preserve">MARANDAS BEER</t>
  </si>
  <si>
    <t xml:space="preserve">CASA DAS DELICIAS SUCOS E VITAMINAS LTDA</t>
  </si>
  <si>
    <t xml:space="preserve">CASA DAS DELICIAS SUC.VITAMINA</t>
  </si>
  <si>
    <t xml:space="preserve">REQUINTE LANCHONETE E RESTAURANTE LTDA  </t>
  </si>
  <si>
    <t xml:space="preserve">REQUINTE LANCHONETE</t>
  </si>
  <si>
    <t xml:space="preserve">FRANCISCO TARGINO DA SILVA</t>
  </si>
  <si>
    <t xml:space="preserve">PADARIA E LANC. K E K</t>
  </si>
  <si>
    <t xml:space="preserve">GLAYSON PEREIRA COELHO</t>
  </si>
  <si>
    <t xml:space="preserve">MERCADINHO DA PRACA</t>
  </si>
  <si>
    <t xml:space="preserve">BORTOLOZE E CIA LTDA</t>
  </si>
  <si>
    <t xml:space="preserve">MARCOS GABAS DA SILVA</t>
  </si>
  <si>
    <t xml:space="preserve">GABAS CONVENIENCIA</t>
  </si>
  <si>
    <t xml:space="preserve">RAMOS E RAMOS LTDA</t>
  </si>
  <si>
    <t xml:space="preserve">PAO E TUDO MAIS</t>
  </si>
  <si>
    <t xml:space="preserve">ML AGRO PET SHOP LTDA ME</t>
  </si>
  <si>
    <t xml:space="preserve">ALOISIO ROMEU FEIL</t>
  </si>
  <si>
    <t xml:space="preserve">CHURRASCARIA DA CAPELA</t>
  </si>
  <si>
    <t xml:space="preserve">MERCEARIA ARAPONGAS LTDA</t>
  </si>
  <si>
    <t xml:space="preserve">SUPERMERCADO ARAPONGAS</t>
  </si>
  <si>
    <t xml:space="preserve">JOSE ROBISON DA SILVA</t>
  </si>
  <si>
    <t xml:space="preserve">CESTA BASICA TERRA NOSSA</t>
  </si>
  <si>
    <t xml:space="preserve">MACIEL CURVELO DOS SANTOS</t>
  </si>
  <si>
    <t xml:space="preserve">WARREN NABUCO DE SOUZA</t>
  </si>
  <si>
    <t xml:space="preserve">BORGUS PET SHOP</t>
  </si>
  <si>
    <t xml:space="preserve">NATHIELE ALVES RODRIGUES</t>
  </si>
  <si>
    <t xml:space="preserve">CASA DE CARNE E MERCEARIA RODR</t>
  </si>
  <si>
    <t xml:space="preserve">MERCEARIA PLENITUDE</t>
  </si>
  <si>
    <t xml:space="preserve">ANTONIO MONTEIRO DA SILVA</t>
  </si>
  <si>
    <t xml:space="preserve">SACOLAO GANGURU</t>
  </si>
  <si>
    <t xml:space="preserve">POSTO AROEIRA LTDA</t>
  </si>
  <si>
    <t xml:space="preserve">POSTO AROEIRA</t>
  </si>
  <si>
    <t xml:space="preserve">ELAINE CANEPA CHAVES</t>
  </si>
  <si>
    <t xml:space="preserve">MERCEARIA MARANATA</t>
  </si>
  <si>
    <t xml:space="preserve">MARCELO GASTALDO ME</t>
  </si>
  <si>
    <t xml:space="preserve">D A PETSHOP LTDA ME</t>
  </si>
  <si>
    <t xml:space="preserve">PET CLUB CORONEL ANTONINO</t>
  </si>
  <si>
    <t xml:space="preserve">ANTONIO MARCOS CANNO EIRELLI ME</t>
  </si>
  <si>
    <t xml:space="preserve">FARMACIA E DROGARIA CENTRAL</t>
  </si>
  <si>
    <t xml:space="preserve">ELISSANDRA LIMA DE MOURA</t>
  </si>
  <si>
    <t xml:space="preserve">MERCEARIA MOURA</t>
  </si>
  <si>
    <t xml:space="preserve">ELOISE DA ROCHA MARINHO</t>
  </si>
  <si>
    <t xml:space="preserve">FRANK ROSA LOUBET</t>
  </si>
  <si>
    <t xml:space="preserve">SANTA BELEZA</t>
  </si>
  <si>
    <t xml:space="preserve">MK MERCADO E CONVENIENCIA</t>
  </si>
  <si>
    <t xml:space="preserve">MK MERCADO</t>
  </si>
  <si>
    <t xml:space="preserve">MANOEL CARNEIRO DE SOUZA</t>
  </si>
  <si>
    <t xml:space="preserve">SOUZA ACOUGUE E MERCEARIA</t>
  </si>
  <si>
    <t xml:space="preserve">ANDRADE E ALVES LTDA ME</t>
  </si>
  <si>
    <t xml:space="preserve">SUPERMERCADO ALEMAO</t>
  </si>
  <si>
    <t xml:space="preserve">HAIDAR PIZZARIA E RESTAURANTE LTDA</t>
  </si>
  <si>
    <t xml:space="preserve">MY CHICKEN</t>
  </si>
  <si>
    <t xml:space="preserve">O. R JUSSANI NALIN EPP</t>
  </si>
  <si>
    <t xml:space="preserve">SUPERMERCADO NALIN</t>
  </si>
  <si>
    <t xml:space="preserve">LEANDRA DALTO</t>
  </si>
  <si>
    <t xml:space="preserve">COISAS DALE</t>
  </si>
  <si>
    <t xml:space="preserve">AP CABALDI ME</t>
  </si>
  <si>
    <t xml:space="preserve">TENDENCIA CONVENIENCIA</t>
  </si>
  <si>
    <t xml:space="preserve">VALDENICE OLIVEIRA</t>
  </si>
  <si>
    <t xml:space="preserve">MERCEARIA GRAOS DA TERRA</t>
  </si>
  <si>
    <t xml:space="preserve">UBALDO DOS SANTOS SANTANA ME</t>
  </si>
  <si>
    <t xml:space="preserve">MERCEARIA NOVA GERACAO</t>
  </si>
  <si>
    <t xml:space="preserve">PAULO VITOR COELHO DE ALMEIDA SANTOS 047</t>
  </si>
  <si>
    <t xml:space="preserve">P.S.A</t>
  </si>
  <si>
    <t xml:space="preserve">EDILSON ALVES DE OLIVEIRA ME</t>
  </si>
  <si>
    <t xml:space="preserve">DISK GAS JOVEM</t>
  </si>
  <si>
    <t xml:space="preserve">WANDERSON DE LIMA KAWAKITA</t>
  </si>
  <si>
    <t xml:space="preserve">W.F CONVENIENCIA</t>
  </si>
  <si>
    <t xml:space="preserve">CAC DA SILVA CONVENIENCIA</t>
  </si>
  <si>
    <t xml:space="preserve">CONVENIENCIA NASHBEER</t>
  </si>
  <si>
    <t xml:space="preserve">ABEDIAS ANDRE AVELINO</t>
  </si>
  <si>
    <t xml:space="preserve">MERCEARIA ANDRE</t>
  </si>
  <si>
    <t xml:space="preserve">RENATO GOTTARDO SERENA EIRELI EPP</t>
  </si>
  <si>
    <t xml:space="preserve">SERENA SUPERMERCADO</t>
  </si>
  <si>
    <t xml:space="preserve">ADRIA FERREIRA KUTTERT 96204176153</t>
  </si>
  <si>
    <t xml:space="preserve">PET TRATO</t>
  </si>
  <si>
    <t xml:space="preserve">ADRIA FERREIRA KUTTERT</t>
  </si>
  <si>
    <t xml:space="preserve">REDE PET TRATO</t>
  </si>
  <si>
    <t xml:space="preserve">MARRECO VEICULOS LTDA</t>
  </si>
  <si>
    <t xml:space="preserve">MARRECO VEICULOS</t>
  </si>
  <si>
    <t xml:space="preserve">CLAUDIENE CRISTINA GARCIA DA SILVA ME</t>
  </si>
  <si>
    <t xml:space="preserve">BURITI SACOLAO E MERCEARIA</t>
  </si>
  <si>
    <t xml:space="preserve">GILMAR PAVANINI GONCALVES</t>
  </si>
  <si>
    <t xml:space="preserve">MINI MERCADO LOZINHO</t>
  </si>
  <si>
    <t xml:space="preserve">DAIANE MARTINS DA SILVA 03484966130</t>
  </si>
  <si>
    <t xml:space="preserve">ACAI CAFECAIS</t>
  </si>
  <si>
    <t xml:space="preserve">OSCAR RAMAO PINTO JUNIOR</t>
  </si>
  <si>
    <t xml:space="preserve">JAGER PUB</t>
  </si>
  <si>
    <t xml:space="preserve">ANDRE MOREIRA DE SOUZA ME</t>
  </si>
  <si>
    <t xml:space="preserve">LIMP LAR</t>
  </si>
  <si>
    <t xml:space="preserve">NEIR PEREIRA DOS SANTOS</t>
  </si>
  <si>
    <t xml:space="preserve">EMPORIO DA RACAO</t>
  </si>
  <si>
    <t xml:space="preserve">FARMACIA CARLESSO EIRELI</t>
  </si>
  <si>
    <t xml:space="preserve">FARMACIA CV POPULAR</t>
  </si>
  <si>
    <t xml:space="preserve">ADALTO GARCIA BRAZ ME</t>
  </si>
  <si>
    <t xml:space="preserve">DROGARIA FARMA BRAZ</t>
  </si>
  <si>
    <t xml:space="preserve">W DE ALMEIDA DANTAS SUPERMERCADO ME</t>
  </si>
  <si>
    <t xml:space="preserve">PAULO IZIDIO BENTO DE SOUZA</t>
  </si>
  <si>
    <t xml:space="preserve">PB</t>
  </si>
  <si>
    <t xml:space="preserve">FLAVIANA RIBEIRO DA SILVA ME</t>
  </si>
  <si>
    <t xml:space="preserve">AP DA SILVA ME</t>
  </si>
  <si>
    <t xml:space="preserve">DONA CIDA SALGADOS E TAL</t>
  </si>
  <si>
    <t xml:space="preserve">J C A DOS SANTOS</t>
  </si>
  <si>
    <t xml:space="preserve">MERCADO RODA VIVA</t>
  </si>
  <si>
    <t xml:space="preserve">ROZILENE DE SOUZA LUIZ</t>
  </si>
  <si>
    <t xml:space="preserve">FRANK WILLIANS PASSOS DE OLIVEIRA CIA LT</t>
  </si>
  <si>
    <t xml:space="preserve">NOVOMAX</t>
  </si>
  <si>
    <t xml:space="preserve">XANDI TABACARIA E CONVENIENCIA LTDA</t>
  </si>
  <si>
    <t xml:space="preserve">XANDI CONVENIENCIA E MERCEARIA</t>
  </si>
  <si>
    <t xml:space="preserve">LANCHONETE CONVENIENCIA AVENIDA LTDA ME </t>
  </si>
  <si>
    <t xml:space="preserve">COMERCIO DE PROD. ALIMENTICIOS RAMALHO  </t>
  </si>
  <si>
    <t xml:space="preserve">VERA LUCIA PEREIRA DOS SANTOS SILVA</t>
  </si>
  <si>
    <t xml:space="preserve">CUMIKO YAMANAKA EPP</t>
  </si>
  <si>
    <t xml:space="preserve">MERCADO E ACOUGUE KARISMA</t>
  </si>
  <si>
    <t xml:space="preserve">NASSIF MIGUEL HADDAD EIRELI ME</t>
  </si>
  <si>
    <t xml:space="preserve">SONIA LIMA BEZERRA</t>
  </si>
  <si>
    <t xml:space="preserve">MERCADO SAB SAR - ME</t>
  </si>
  <si>
    <t xml:space="preserve">MATTOS E RACHID LTDA</t>
  </si>
  <si>
    <t xml:space="preserve">PET SHOP LOS ANGELES</t>
  </si>
  <si>
    <t xml:space="preserve">EDIMARIO APARECIDO NUNES</t>
  </si>
  <si>
    <t xml:space="preserve">CONVENIENCIA TRIANGULO</t>
  </si>
  <si>
    <t xml:space="preserve">EDIMARIO APARECIDO NUNES ME</t>
  </si>
  <si>
    <t xml:space="preserve">SILVANA P DOS SANTOS MERCEARIA-ME</t>
  </si>
  <si>
    <t xml:space="preserve">PERCIVAL PIRES MARTINS ME</t>
  </si>
  <si>
    <t xml:space="preserve">A E MAZZINI EIRELI</t>
  </si>
  <si>
    <t xml:space="preserve">TRIGOS DE OURO</t>
  </si>
  <si>
    <t xml:space="preserve">ACOUGUE E CONVENIENCIA MASTER BEEF LTDA </t>
  </si>
  <si>
    <t xml:space="preserve">MASTER BEEF</t>
  </si>
  <si>
    <t xml:space="preserve">JOICE NAYARA SILVA DE SOUZA</t>
  </si>
  <si>
    <t xml:space="preserve">MERCEARIA JN</t>
  </si>
  <si>
    <t xml:space="preserve">MHM CHARAO</t>
  </si>
  <si>
    <t xml:space="preserve">CASA DE CARNE CHARAO</t>
  </si>
  <si>
    <t xml:space="preserve">ANA MARIA MOREL INSSARALDE</t>
  </si>
  <si>
    <t xml:space="preserve">UTILIDADE DOMESTICA LANCHONETE</t>
  </si>
  <si>
    <t xml:space="preserve">ERICO JOSE KLEIN</t>
  </si>
  <si>
    <t xml:space="preserve">MEECADO E MERCEARIA DIA DIA</t>
  </si>
  <si>
    <t xml:space="preserve">DROGARIA TRES IRMAOS EIRELI ME</t>
  </si>
  <si>
    <t xml:space="preserve">DROGARIA TRES IRMAOS</t>
  </si>
  <si>
    <t xml:space="preserve">NELIDA MENEZES GARCIA</t>
  </si>
  <si>
    <t xml:space="preserve">SILVA E REBELO COM DE PROD ALIM LTDA ME </t>
  </si>
  <si>
    <t xml:space="preserve">CONVENIENCIA NA HORA</t>
  </si>
  <si>
    <t xml:space="preserve">IRENE DUBSKI</t>
  </si>
  <si>
    <t xml:space="preserve">MERCEARIA CONV VITORIA</t>
  </si>
  <si>
    <t xml:space="preserve">ARIANE DA COSTA ALVES ME</t>
  </si>
  <si>
    <t xml:space="preserve">VIDANIMAL</t>
  </si>
  <si>
    <t xml:space="preserve">JOAO PEDRO FERREIRA NEVES EIRELI</t>
  </si>
  <si>
    <t xml:space="preserve">NOVA J.A</t>
  </si>
  <si>
    <t xml:space="preserve">MARCIA DE MAIA LOPES</t>
  </si>
  <si>
    <t xml:space="preserve">SUELEN VOLPATO DA SILVA LARANJA</t>
  </si>
  <si>
    <t xml:space="preserve">VIP DOG</t>
  </si>
  <si>
    <t xml:space="preserve">J C FRAIDE NUNES</t>
  </si>
  <si>
    <t xml:space="preserve">O IRLANDES PUB</t>
  </si>
  <si>
    <t xml:space="preserve">LUCIANE BARBOSA DE MORAIS FARIAS - EIREL</t>
  </si>
  <si>
    <t xml:space="preserve">JSL REPRESENTACAO COMERCIAL LTDA ME</t>
  </si>
  <si>
    <t xml:space="preserve">JOSE ABDON SATURNINO</t>
  </si>
  <si>
    <t xml:space="preserve">COMERCIAL SATURNINO</t>
  </si>
  <si>
    <t xml:space="preserve">J P F DO NASCIMENTO-MERCEARIA ME</t>
  </si>
  <si>
    <t xml:space="preserve">CARVALHO E FARO LTDA ME</t>
  </si>
  <si>
    <t xml:space="preserve">POSTO REVENDEDOR DE COMBUSTIVE</t>
  </si>
  <si>
    <t xml:space="preserve">VALTER RIBEIRO DOS SANTOS JUNIOR ME</t>
  </si>
  <si>
    <t xml:space="preserve">HOOKAH STAR</t>
  </si>
  <si>
    <t xml:space="preserve">TAYNARA PASSARINHO KUSSABA</t>
  </si>
  <si>
    <t xml:space="preserve">MUNDO DO PET</t>
  </si>
  <si>
    <t xml:space="preserve">GEOVANE COSTA FAUSTINO PEREIRA</t>
  </si>
  <si>
    <t xml:space="preserve">RACOES EXPRESSO</t>
  </si>
  <si>
    <t xml:space="preserve">FARMA E FARMA MEDICAMENTOS LTDA</t>
  </si>
  <si>
    <t xml:space="preserve">JESSICA VILELA XIMENES GREGORIO</t>
  </si>
  <si>
    <t xml:space="preserve">MERCADO BOM DMAIS</t>
  </si>
  <si>
    <t xml:space="preserve">JOSE CLAUDIO GOMES SOARES</t>
  </si>
  <si>
    <t xml:space="preserve">MERCADINHO DO LAGOA</t>
  </si>
  <si>
    <t xml:space="preserve">ANANDA APARECIDA DA SILVA</t>
  </si>
  <si>
    <t xml:space="preserve">EMPORIO SAO JOSE</t>
  </si>
  <si>
    <t xml:space="preserve">LEONARDO BENIZ EIRELI</t>
  </si>
  <si>
    <t xml:space="preserve">CONV E ACOUGUE BIFE DE OURO</t>
  </si>
  <si>
    <t xml:space="preserve">M L J DE ARRUDA SANTOS ME</t>
  </si>
  <si>
    <t xml:space="preserve">LULU PET SHOP</t>
  </si>
  <si>
    <t xml:space="preserve">VIVIANE FREITAS SILVA</t>
  </si>
  <si>
    <t xml:space="preserve">MERCEARIA PEREIRA</t>
  </si>
  <si>
    <t xml:space="preserve">JANAINA FERREIRA CAMPOS</t>
  </si>
  <si>
    <t xml:space="preserve">COMERCIAL MIRANDA</t>
  </si>
  <si>
    <t xml:space="preserve">DILMAR XAVIER VALENTIM ME</t>
  </si>
  <si>
    <t xml:space="preserve">ACAI HOUSE</t>
  </si>
  <si>
    <t xml:space="preserve">KALINCA PEREIRA RIBEIRO</t>
  </si>
  <si>
    <t xml:space="preserve">MOVEIS USADOS SILVA</t>
  </si>
  <si>
    <t xml:space="preserve">CASSIELE DAIANE DE SOUZA RIBEIRO ME</t>
  </si>
  <si>
    <t xml:space="preserve">MERCADO E ACOUGUE MA</t>
  </si>
  <si>
    <t xml:space="preserve">MAYKON FERREIRA ROSA</t>
  </si>
  <si>
    <t xml:space="preserve">ROSA CONVENIENCIA</t>
  </si>
  <si>
    <t xml:space="preserve">SHIRLEY DOS SANTOS HERCULANO</t>
  </si>
  <si>
    <t xml:space="preserve">GISELE VILELA FERNANDES</t>
  </si>
  <si>
    <t xml:space="preserve">PET SHOP LULU EIRELI</t>
  </si>
  <si>
    <t xml:space="preserve">PET SHOP LULU</t>
  </si>
  <si>
    <t xml:space="preserve">PLATINAO CGR3</t>
  </si>
  <si>
    <t xml:space="preserve">ADENILSON SOUSA DE OLIVEIRA</t>
  </si>
  <si>
    <t xml:space="preserve">JU MODAS</t>
  </si>
  <si>
    <t xml:space="preserve">ULISSES DE LIMA PEREIRA ME</t>
  </si>
  <si>
    <t xml:space="preserve">CONVENIENCIA DO LICIM</t>
  </si>
  <si>
    <t xml:space="preserve">CASA E CAMPO AGRO PET LTDA</t>
  </si>
  <si>
    <t xml:space="preserve">CONVENIENCIA BARATEIRO EIRELI EPP</t>
  </si>
  <si>
    <t xml:space="preserve">CONVENIENCIA BARATEIRO</t>
  </si>
  <si>
    <t xml:space="preserve">GILBERTO FLAVIO MACEDO</t>
  </si>
  <si>
    <t xml:space="preserve">ALFREDO DIAS DE SOUZA ME</t>
  </si>
  <si>
    <t xml:space="preserve">VALDEIR SILVA DE SOUZA</t>
  </si>
  <si>
    <t xml:space="preserve">BIGODE RACOES</t>
  </si>
  <si>
    <t xml:space="preserve">JOSILHANE DA SILVA TEOFILO DA CRUZ EPP  </t>
  </si>
  <si>
    <t xml:space="preserve">TEREZA BENITES</t>
  </si>
  <si>
    <t xml:space="preserve">MERCEARIA DO XAVIER</t>
  </si>
  <si>
    <t xml:space="preserve">BRUNO HENRIQUE SCHREINER ME</t>
  </si>
  <si>
    <t xml:space="preserve">SUPERMERCADO SUPER VILA</t>
  </si>
  <si>
    <t xml:space="preserve">ALEXSSANDRO MARQUES DOS SANTOS</t>
  </si>
  <si>
    <t xml:space="preserve">CONVENIENCIA TREVOS</t>
  </si>
  <si>
    <t xml:space="preserve">THALITON FRANCISCO COSTA DE OLIVEIRA</t>
  </si>
  <si>
    <t xml:space="preserve">IMPERIO ANIMAL</t>
  </si>
  <si>
    <t xml:space="preserve">F K ALVES DA SILVA ME</t>
  </si>
  <si>
    <t xml:space="preserve">FABIANA S PET CARE</t>
  </si>
  <si>
    <t xml:space="preserve">MSA CONVENIENCIA LTDA</t>
  </si>
  <si>
    <t xml:space="preserve">AMPM PAES E CONVENIENCIA</t>
  </si>
  <si>
    <t xml:space="preserve">WANDO NOGUEIRA SANTOS</t>
  </si>
  <si>
    <t xml:space="preserve">BAR DO WANDAO</t>
  </si>
  <si>
    <t xml:space="preserve">C A FERRREIRA JUNIOR</t>
  </si>
  <si>
    <t xml:space="preserve">C A FERREIRA JUNIOR</t>
  </si>
  <si>
    <t xml:space="preserve">EUNICE HERBER</t>
  </si>
  <si>
    <t xml:space="preserve">PADARIA FLANBOYANT</t>
  </si>
  <si>
    <t xml:space="preserve">GE COMERCIAL DE ALIMENTOS LTDA</t>
  </si>
  <si>
    <t xml:space="preserve">MERCADO SAO LOURENCO</t>
  </si>
  <si>
    <t xml:space="preserve">LIMA E PEREIRA MERCEARIA LTDA ME</t>
  </si>
  <si>
    <t xml:space="preserve">MERCEARIA DO PEREIRA</t>
  </si>
  <si>
    <t xml:space="preserve">ALEX DE JESUS GOMES LIMA</t>
  </si>
  <si>
    <t xml:space="preserve">MERCEARIA MAINHA</t>
  </si>
  <si>
    <t xml:space="preserve">TIAGO IRALA DOS SANTOS</t>
  </si>
  <si>
    <t xml:space="preserve">MERCEARIA CERRADO</t>
  </si>
  <si>
    <t xml:space="preserve">GILMAR ALVES 84278242115</t>
  </si>
  <si>
    <t xml:space="preserve">MERCEARIA DA PONTE 02</t>
  </si>
  <si>
    <t xml:space="preserve">SIMONE PEREIRA MACHADO ME</t>
  </si>
  <si>
    <t xml:space="preserve">SOMBRA E AGUA FRESCA</t>
  </si>
  <si>
    <t xml:space="preserve">3C COMERCIO DE PRODUTOS AGROPECUARIO LTD</t>
  </si>
  <si>
    <t xml:space="preserve">EMPORIO DAS RACOES</t>
  </si>
  <si>
    <t xml:space="preserve">JUSCILENE Y K DA SILVA EIRELI</t>
  </si>
  <si>
    <t xml:space="preserve">MAURAO ACOUGUE</t>
  </si>
  <si>
    <t xml:space="preserve">CARMELA YAQUELINE CESPEDES TORREZ</t>
  </si>
  <si>
    <t xml:space="preserve">COMERCIAL CARMELA</t>
  </si>
  <si>
    <t xml:space="preserve">SAO JOSE ATACADO E VAREJO EIRELI EPP</t>
  </si>
  <si>
    <t xml:space="preserve">SUPER SAO JOSE</t>
  </si>
  <si>
    <t xml:space="preserve">R DE CARVALHO FERREIRA ME</t>
  </si>
  <si>
    <t xml:space="preserve">EMPORIO NOBRE</t>
  </si>
  <si>
    <t xml:space="preserve">MARACELI GARCETE VICENTE</t>
  </si>
  <si>
    <t xml:space="preserve">KRIPTO PET SHOP</t>
  </si>
  <si>
    <t xml:space="preserve">UILLIAN MARQUES DA SILVA</t>
  </si>
  <si>
    <t xml:space="preserve">MERCADO MARQUES 1</t>
  </si>
  <si>
    <t xml:space="preserve">VIVIANE GIMENEZ DE SOUZA ME</t>
  </si>
  <si>
    <t xml:space="preserve">TRES BARRAS CONVENIENCIA</t>
  </si>
  <si>
    <t xml:space="preserve">EVA REJANE ALMEIDA PINTO 46219102053-ME </t>
  </si>
  <si>
    <t xml:space="preserve">TERERE TRADICAO</t>
  </si>
  <si>
    <t xml:space="preserve">FARMA 10 PRODUTOS FARMACEUTICOS LTDA</t>
  </si>
  <si>
    <t xml:space="preserve">FARMA 10</t>
  </si>
  <si>
    <t xml:space="preserve">ALEX JOSE DA CRUZ EIRELI ME</t>
  </si>
  <si>
    <t xml:space="preserve">MARILEIDE DE OLIVEIRA TAVEIRA BRUM ME</t>
  </si>
  <si>
    <t xml:space="preserve">COISAS DO CAMPO</t>
  </si>
  <si>
    <t xml:space="preserve">ROMARIO CABRAL VALHEJO ME</t>
  </si>
  <si>
    <t xml:space="preserve">KAUANA RAUBER MASSAROTTO</t>
  </si>
  <si>
    <t xml:space="preserve">ESTACAO DO ACAI</t>
  </si>
  <si>
    <t xml:space="preserve">B P C COMERCIAL EIRELI EPP</t>
  </si>
  <si>
    <t xml:space="preserve">BOM PRECO SUPERMERCADO</t>
  </si>
  <si>
    <t xml:space="preserve">ANA CLAUDIA PERRONI LIMA ME</t>
  </si>
  <si>
    <t xml:space="preserve">SANTO CAFE CANTINA UCDB</t>
  </si>
  <si>
    <t xml:space="preserve">MARIA OTILIA DA MOTA ME</t>
  </si>
  <si>
    <t xml:space="preserve">JAQUELINE MARIA DA MOTA ME</t>
  </si>
  <si>
    <t xml:space="preserve">MERCEARIA NOVO BOX</t>
  </si>
  <si>
    <t xml:space="preserve">MERCADO PRISCILA</t>
  </si>
  <si>
    <t xml:space="preserve">ALINE DE CAMPOS MOSCIARO</t>
  </si>
  <si>
    <t xml:space="preserve">EDSON FAGNER TAKAHASHI EIRELI ME</t>
  </si>
  <si>
    <t xml:space="preserve">KAIROS PET SHOP</t>
  </si>
  <si>
    <t xml:space="preserve">CLOVIS SATURNINO DA SILVA</t>
  </si>
  <si>
    <t xml:space="preserve">WESLLEN CLEI MERA DA SILVA</t>
  </si>
  <si>
    <t xml:space="preserve">WR MATERIAIS PARA CONSTRUCAO</t>
  </si>
  <si>
    <t xml:space="preserve">MIX COSMETICOS LTDA</t>
  </si>
  <si>
    <t xml:space="preserve">MIX COSMETICOS</t>
  </si>
  <si>
    <t xml:space="preserve">ALFA COMERCIO DE BEBIDAS LTDA</t>
  </si>
  <si>
    <t xml:space="preserve">ALFA DISTRIBUIDORA DE BEBIDAS E TABACARI</t>
  </si>
  <si>
    <t xml:space="preserve">ELZA MIRANDA ESPINDOLA</t>
  </si>
  <si>
    <t xml:space="preserve">EFRAIM PET SHOP</t>
  </si>
  <si>
    <t xml:space="preserve">A M OQUENDO</t>
  </si>
  <si>
    <t xml:space="preserve">WALDIR PEREIRA DA SILVA</t>
  </si>
  <si>
    <t xml:space="preserve">CASSIA KARINE NUNES QUEIROZ ME</t>
  </si>
  <si>
    <t xml:space="preserve">LOJA COSMETICOS</t>
  </si>
  <si>
    <t xml:space="preserve">FARMACIA DUQUE DE CAXIAS EIRELI ME</t>
  </si>
  <si>
    <t xml:space="preserve">FARMACIA DUQUE DE CAXIAS</t>
  </si>
  <si>
    <t xml:space="preserve">REIS COM DE MEDIC E PERFUMARIA EIRELI</t>
  </si>
  <si>
    <t xml:space="preserve">DROGAPOPULAR</t>
  </si>
  <si>
    <t xml:space="preserve">A DA C SILVEIRA MERCADO EIRELI EPP</t>
  </si>
  <si>
    <t xml:space="preserve">JORGE HENRIQUE VIEIRA</t>
  </si>
  <si>
    <t xml:space="preserve">CONVENIENCIA DA VILA</t>
  </si>
  <si>
    <t xml:space="preserve">MARCIA AUXILIADORA SOARES DA SILVA</t>
  </si>
  <si>
    <t xml:space="preserve">MARCINHO CASA DE RACAO</t>
  </si>
  <si>
    <t xml:space="preserve">A LOPES MENDES ME</t>
  </si>
  <si>
    <t xml:space="preserve">MENDES VAREJAO</t>
  </si>
  <si>
    <t xml:space="preserve">MERCADO RANCHO 2 P LTDA ME</t>
  </si>
  <si>
    <t xml:space="preserve">MERCADO 2P</t>
  </si>
  <si>
    <t xml:space="preserve">MERCEARIA COQUEIRO TROPICAL LTDA</t>
  </si>
  <si>
    <t xml:space="preserve">MERCEARIA E PANIFICADORA COQUEIROS</t>
  </si>
  <si>
    <t xml:space="preserve">VIVIANI DA SILVA QUELE</t>
  </si>
  <si>
    <t xml:space="preserve">MR</t>
  </si>
  <si>
    <t xml:space="preserve">ADEMIR DUARTE DE SOUZA</t>
  </si>
  <si>
    <t xml:space="preserve">CONVENIENCIA SANTO ANTONIO</t>
  </si>
  <si>
    <t xml:space="preserve">JANELUCE MARIA SILVA ROCHA</t>
  </si>
  <si>
    <t xml:space="preserve">ASSOCIACAO AMIGOS DOS GATOS</t>
  </si>
  <si>
    <t xml:space="preserve">AMICATS</t>
  </si>
  <si>
    <t xml:space="preserve">HANGAR PET SHOP LTDA ME</t>
  </si>
  <si>
    <t xml:space="preserve">HANGAR PET SHOP</t>
  </si>
  <si>
    <t xml:space="preserve">SUELEN GUESSY BRAGA</t>
  </si>
  <si>
    <t xml:space="preserve">AGROPET MASCOTE</t>
  </si>
  <si>
    <t xml:space="preserve">S E DISTRIBUIDORA DE ALIMENTOS LTDA</t>
  </si>
  <si>
    <t xml:space="preserve">ERALDO RODRIGUES MACIEL EIRELI ME</t>
  </si>
  <si>
    <t xml:space="preserve">CLICK CONVENIENCIA</t>
  </si>
  <si>
    <t xml:space="preserve">ROCHA E AYABE LTDA ME</t>
  </si>
  <si>
    <t xml:space="preserve">AGROPET COMPANHEIRO</t>
  </si>
  <si>
    <t xml:space="preserve">SERGIO HENRIQUE CANAVARRO VELOSO EIRELLI</t>
  </si>
  <si>
    <t xml:space="preserve">CANAVARRO EVENTOS</t>
  </si>
  <si>
    <t xml:space="preserve">CELESTINA COLQUE CUELLAR</t>
  </si>
  <si>
    <t xml:space="preserve">MERCEARIA MONICA</t>
  </si>
  <si>
    <t xml:space="preserve">ERMENEGILDO OLIVEIRA DE SOUZA</t>
  </si>
  <si>
    <t xml:space="preserve">SOS MERCEARIA</t>
  </si>
  <si>
    <t xml:space="preserve">SANDRA APARECIDA FELIZ</t>
  </si>
  <si>
    <t xml:space="preserve">RESTAURANTE FOGAO MINEIRO</t>
  </si>
  <si>
    <t xml:space="preserve">SN CLUB LTDA ME</t>
  </si>
  <si>
    <t xml:space="preserve">SHIVA CLUB</t>
  </si>
  <si>
    <t xml:space="preserve">MERCADO E ACOUGUE BONS AMIGOS EIRELI</t>
  </si>
  <si>
    <t xml:space="preserve">MERCADO E ACOUGUE BONS AMIGOS</t>
  </si>
  <si>
    <t xml:space="preserve">CONVENIENCIA PONTO DO TERERE LTDA EPP</t>
  </si>
  <si>
    <t xml:space="preserve">BIANCA LEITE DOS ANJOS</t>
  </si>
  <si>
    <t xml:space="preserve">MERCADO MEU XODO</t>
  </si>
  <si>
    <t xml:space="preserve">PAULO ANTONIO F FRAZILI</t>
  </si>
  <si>
    <t xml:space="preserve">NA FE BOTEQUIM</t>
  </si>
  <si>
    <t xml:space="preserve">DOUGLAS FERREIRA DUARTE</t>
  </si>
  <si>
    <t xml:space="preserve">CASA DE CARNE FILEZAO</t>
  </si>
  <si>
    <t xml:space="preserve">LUANA GABRIELA GOMES FIGUEIROA</t>
  </si>
  <si>
    <t xml:space="preserve">MERCADO FIGUEIROA</t>
  </si>
  <si>
    <t xml:space="preserve">LAIZ CRISTINA DAGOSTIN DOS SANTOS ME</t>
  </si>
  <si>
    <t xml:space="preserve">AH FLORES CONVENIENCIA LTDA</t>
  </si>
  <si>
    <t xml:space="preserve">AMADO SEVERINO DA SILVA EIRELI ME</t>
  </si>
  <si>
    <t xml:space="preserve">COMERCIAL SANTA CLARA</t>
  </si>
  <si>
    <t xml:space="preserve">LIMA FERNANDES RESTAURANTES EIRELI</t>
  </si>
  <si>
    <t xml:space="preserve">TOMATE RESTAURANTE</t>
  </si>
  <si>
    <t xml:space="preserve">PAULO C GOMES ME</t>
  </si>
  <si>
    <t xml:space="preserve">NAIELI PAULO CAMPOS</t>
  </si>
  <si>
    <t xml:space="preserve">CONVENIENCIA V E K LTDA ME</t>
  </si>
  <si>
    <t xml:space="preserve">CONVENIENCIA V E K</t>
  </si>
  <si>
    <t xml:space="preserve">ANTONIO PREGENTINO DE LIMA ME</t>
  </si>
  <si>
    <t xml:space="preserve">TACHINHA SUPERMERCADO</t>
  </si>
  <si>
    <t xml:space="preserve">SUPERMERCADO IDEAL EIRELI ME</t>
  </si>
  <si>
    <t xml:space="preserve">SUPERMERCADO IDEAL</t>
  </si>
  <si>
    <t xml:space="preserve">AUTO POSTO REBUCCI</t>
  </si>
  <si>
    <t xml:space="preserve">AMPM CONVENIENCIA RIVIERA</t>
  </si>
  <si>
    <t xml:space="preserve">ENEIAS NOGUEIRA FAUSTINO LTDA</t>
  </si>
  <si>
    <t xml:space="preserve">CONVENIENCIA E MINI MERCADO NOGUEIRA</t>
  </si>
  <si>
    <t xml:space="preserve">LUIZ GERMANO GOELLNER EIRELI ME</t>
  </si>
  <si>
    <t xml:space="preserve">MON PETIT</t>
  </si>
  <si>
    <t xml:space="preserve">KARINE PARRON ABRIL</t>
  </si>
  <si>
    <t xml:space="preserve">EDEVALDO ARAUJO SILVA</t>
  </si>
  <si>
    <t xml:space="preserve">PANIFICADORA E CASA DE CARNE REAL LTDA  </t>
  </si>
  <si>
    <t xml:space="preserve">PANIF. E C.DE CARNE REAL LTDA</t>
  </si>
  <si>
    <t xml:space="preserve">ANTONIO DE ALBUQUERQUE</t>
  </si>
  <si>
    <t xml:space="preserve">SUPERMERCADO HIPER PAM</t>
  </si>
  <si>
    <t xml:space="preserve">DANILO VIEIRA COENCA</t>
  </si>
  <si>
    <t xml:space="preserve">CHOCOLATES GAROTOS S A</t>
  </si>
  <si>
    <t xml:space="preserve">DIAS E DIAS RESTAURANTE E CONVENIENCIA L</t>
  </si>
  <si>
    <t xml:space="preserve">NELSON MARCH NUNES DA SILVA ME</t>
  </si>
  <si>
    <t xml:space="preserve">COMERCIO GRANEL</t>
  </si>
  <si>
    <t xml:space="preserve">CRISTINA ALVES DOS SANTOS ME</t>
  </si>
  <si>
    <t xml:space="preserve">PRIMEIRO DE MAIO</t>
  </si>
  <si>
    <t xml:space="preserve">MERCEARIA MANU</t>
  </si>
  <si>
    <t xml:space="preserve">JORGE ANTONIO RODRIGUES SANCHES</t>
  </si>
  <si>
    <t xml:space="preserve">TACILA BELO DA COSTA ME</t>
  </si>
  <si>
    <t xml:space="preserve">MERCADINHO BEM BARATO</t>
  </si>
  <si>
    <t xml:space="preserve">MARANATHA PET SHOP LTDA EPP</t>
  </si>
  <si>
    <t xml:space="preserve">SAAB BAR E CONVENIENCIA LTDA</t>
  </si>
  <si>
    <t xml:space="preserve">ZERO 67 CONVENIENCIA</t>
  </si>
  <si>
    <t xml:space="preserve">SAAB BAR E CONVENIENCIA LTDA EPP</t>
  </si>
  <si>
    <t xml:space="preserve">ANA PAULA CARNEIRO PENZO ME</t>
  </si>
  <si>
    <t xml:space="preserve">FERNANDA CHUCARRO DIAS</t>
  </si>
  <si>
    <t xml:space="preserve">MERCEARIA E CONVENIENCIA JP</t>
  </si>
  <si>
    <t xml:space="preserve">VITORIA MACHADO NERES GONCALVES</t>
  </si>
  <si>
    <t xml:space="preserve">VITORIA PET SHOP</t>
  </si>
  <si>
    <t xml:space="preserve">CATARINO BULHOES DE ALBUQUERQUE</t>
  </si>
  <si>
    <t xml:space="preserve">SIDINEI DO NASCIMENTO SOUZA</t>
  </si>
  <si>
    <t xml:space="preserve">BADULAKE</t>
  </si>
  <si>
    <t xml:space="preserve">P R C GARCETE ME</t>
  </si>
  <si>
    <t xml:space="preserve">MERCADO GARCETE</t>
  </si>
  <si>
    <t xml:space="preserve">RENAN CQT DOS SANTOS BARBEARIA</t>
  </si>
  <si>
    <t xml:space="preserve">TERTULINA BARBERSHOP</t>
  </si>
  <si>
    <t xml:space="preserve">BOM SUCESSO COMERCIO VAREJISTA EIRELI ME</t>
  </si>
  <si>
    <t xml:space="preserve">RS REAL SUPERMERCADO</t>
  </si>
  <si>
    <t xml:space="preserve">GL DO CARMO EIRELI ME</t>
  </si>
  <si>
    <t xml:space="preserve">CASA DE CARNE SERVI FACIL</t>
  </si>
  <si>
    <t xml:space="preserve">TEREZA RODRIGUES CABRAL</t>
  </si>
  <si>
    <t xml:space="preserve">TONNYS MERCADO</t>
  </si>
  <si>
    <t xml:space="preserve">MACENA E OLIVEIRA LTDA</t>
  </si>
  <si>
    <t xml:space="preserve">SACOLAO BOM PRECO</t>
  </si>
  <si>
    <t xml:space="preserve">BD LOUNGE BAR LTDA</t>
  </si>
  <si>
    <t xml:space="preserve">GARDEN 67</t>
  </si>
  <si>
    <t xml:space="preserve">LUIZA MELQUIADES FERREIRA LOBO</t>
  </si>
  <si>
    <t xml:space="preserve">A P DA SILVA DISTRIBUIDORA</t>
  </si>
  <si>
    <t xml:space="preserve">ELAINE APARECIDA GUIRELLI</t>
  </si>
  <si>
    <t xml:space="preserve">AQUI TEM MERCEARIA E VARIEDADE</t>
  </si>
  <si>
    <t xml:space="preserve">GESSICA DA SILVA VERMOLEN EIRELI ME</t>
  </si>
  <si>
    <t xml:space="preserve">MERCEARIA VERMOLEN</t>
  </si>
  <si>
    <t xml:space="preserve">COMERCIO DE ALIMENTOS SAO JOAO LTDA EPP </t>
  </si>
  <si>
    <t xml:space="preserve">MARCOS ALBERTO SUTIER</t>
  </si>
  <si>
    <t xml:space="preserve">ARTICO FRIOS E CONVENIENCIA EIRELI ME</t>
  </si>
  <si>
    <t xml:space="preserve">ARTI FRIOS</t>
  </si>
  <si>
    <t xml:space="preserve">RP2 COMERCIO DE BEBIDAS LTDA</t>
  </si>
  <si>
    <t xml:space="preserve">CLICKBEER CONVENIENCIA</t>
  </si>
  <si>
    <t xml:space="preserve">FERNANDO WENDY PEREIRA</t>
  </si>
  <si>
    <t xml:space="preserve">HORA DO PET</t>
  </si>
  <si>
    <t xml:space="preserve">TRINDADE LOUVEIRA</t>
  </si>
  <si>
    <t xml:space="preserve">NOVO MERCADINHO</t>
  </si>
  <si>
    <t xml:space="preserve">KEIDER RODRIGUES DA SILVA EIRELI ME</t>
  </si>
  <si>
    <t xml:space="preserve">PANIFICADORA K E K</t>
  </si>
  <si>
    <t xml:space="preserve">DEA ESTEFANIA DA ROCHA</t>
  </si>
  <si>
    <t xml:space="preserve">PET ROCA DA CORUJA</t>
  </si>
  <si>
    <t xml:space="preserve">BRW COMERCIO DE MEDICAMENTOS LTDA EPP</t>
  </si>
  <si>
    <t xml:space="preserve">FOUR PET SHOP LTDA ME</t>
  </si>
  <si>
    <t xml:space="preserve">PETLAND</t>
  </si>
  <si>
    <t xml:space="preserve">H M BERGAMASCO EIRELI EPP</t>
  </si>
  <si>
    <t xml:space="preserve">TASCO BAR LTDA</t>
  </si>
  <si>
    <t xml:space="preserve">TASCO BAR</t>
  </si>
  <si>
    <t xml:space="preserve">MOOND COMERCIO DE ALIMENTOS LTDA</t>
  </si>
  <si>
    <t xml:space="preserve">PASTEL E</t>
  </si>
  <si>
    <t xml:space="preserve">PE VITAMINA LTDA</t>
  </si>
  <si>
    <t xml:space="preserve">PE VITAMINA</t>
  </si>
  <si>
    <t xml:space="preserve">RUBENS GIACOMO JORGE ARGUELLO MARTINS DI</t>
  </si>
  <si>
    <t xml:space="preserve">FUMACA FINA</t>
  </si>
  <si>
    <t xml:space="preserve">HIGOR RODRIGUES MICHELINI ME</t>
  </si>
  <si>
    <t xml:space="preserve">JACKELINE DE ARRUDA PELISSARI</t>
  </si>
  <si>
    <t xml:space="preserve">VALENCE</t>
  </si>
  <si>
    <t xml:space="preserve">CELIA REGINA NOVAES</t>
  </si>
  <si>
    <t xml:space="preserve">MERCADO NOVA ERA</t>
  </si>
  <si>
    <t xml:space="preserve">MARTHA ANTI COPA</t>
  </si>
  <si>
    <t xml:space="preserve">COMERCIAL MARTHA</t>
  </si>
  <si>
    <t xml:space="preserve">SANTOS INDUSTRIA E COMERCIO LTDA</t>
  </si>
  <si>
    <t xml:space="preserve">SANTOS MERCEARIA CONVENIENCIA</t>
  </si>
  <si>
    <t xml:space="preserve">VASQUE DISTRIBUIDORA DE BEBIDAS</t>
  </si>
  <si>
    <t xml:space="preserve">VASQUE DISTRIBUIDORA TRANSPORT</t>
  </si>
  <si>
    <t xml:space="preserve">FRANCIELEN  MARIA SANTI ALVES</t>
  </si>
  <si>
    <t xml:space="preserve">MINIMERCADO E CONVENIENCIA KAJA LTDA ME </t>
  </si>
  <si>
    <t xml:space="preserve">MINIMERCADO E CONVENIENCIA KAJ</t>
  </si>
  <si>
    <t xml:space="preserve">A M DE MATOS E CIA LTDA EPP</t>
  </si>
  <si>
    <t xml:space="preserve">SUPERMERCADO BIG BOM</t>
  </si>
  <si>
    <t xml:space="preserve">DAVID PEDROSO MOIA JUNIOR</t>
  </si>
  <si>
    <t xml:space="preserve">SERUMANINHO PET</t>
  </si>
  <si>
    <t xml:space="preserve">ELIAS ALVES VIANA 93313853153 ME</t>
  </si>
  <si>
    <t xml:space="preserve">LUCICLEIA FABIA NOGUEIRA DE OLIVEIRA</t>
  </si>
  <si>
    <t xml:space="preserve">MINI MERCADO LS</t>
  </si>
  <si>
    <t xml:space="preserve">ROSINEIA DOS SANTOS</t>
  </si>
  <si>
    <t xml:space="preserve">CONVENIENCIA VIDAL III</t>
  </si>
  <si>
    <t xml:space="preserve">MERCADO FAVORITO DE COXIM LTDA ME</t>
  </si>
  <si>
    <t xml:space="preserve">FAVORITO SUPERMERCADO</t>
  </si>
  <si>
    <t xml:space="preserve">MINIMERCADO SOLDERA EIRELI</t>
  </si>
  <si>
    <t xml:space="preserve">MINIMERCADO BARATEIRO</t>
  </si>
  <si>
    <t xml:space="preserve">JF DE MEDEIROS EIRELLI</t>
  </si>
  <si>
    <t xml:space="preserve">MERCEARIA CHAREL</t>
  </si>
  <si>
    <t xml:space="preserve">LAT FORTE PET SHOP EIRELI</t>
  </si>
  <si>
    <t xml:space="preserve">LAT FORTE PET SHOP</t>
  </si>
  <si>
    <t xml:space="preserve">M A R COMERCIO DE ALIMENTOS ME</t>
  </si>
  <si>
    <t xml:space="preserve">M DE FATIMA DA SILVA EIRELI ME</t>
  </si>
  <si>
    <t xml:space="preserve">M DE FATIMA DA SILVA LTDA</t>
  </si>
  <si>
    <t xml:space="preserve">VLADMIR RODRIGUES</t>
  </si>
  <si>
    <t xml:space="preserve">SOUZA MED COM MAT HOSPITALAR EIRELI</t>
  </si>
  <si>
    <t xml:space="preserve">SOUZAMED</t>
  </si>
  <si>
    <t xml:space="preserve">RAFAEL SEFFRIN PEREIRA EIRELI</t>
  </si>
  <si>
    <t xml:space="preserve">REI DA CERVEJA</t>
  </si>
  <si>
    <t xml:space="preserve">BRAYAN MACIEL CRUZ</t>
  </si>
  <si>
    <t xml:space="preserve">CASA DE CARNE RM</t>
  </si>
  <si>
    <t xml:space="preserve">MINI MERCADO CENTRAL LTDA</t>
  </si>
  <si>
    <t xml:space="preserve">ANTONIO CALACA MENDONCA ME</t>
  </si>
  <si>
    <t xml:space="preserve">MERCADO MENDONCA</t>
  </si>
  <si>
    <t xml:space="preserve">CECILIA SHINOHARA SATO</t>
  </si>
  <si>
    <t xml:space="preserve">ELZA BRETAS DE OLIVEIRA MEI</t>
  </si>
  <si>
    <t xml:space="preserve">CONVENIENCIA NOVA AQUIDAUANA</t>
  </si>
  <si>
    <t xml:space="preserve">SUPERMERCADO GAROTO</t>
  </si>
  <si>
    <t xml:space="preserve">HF COMERCIO DE ALIMENTOS LTDA ME</t>
  </si>
  <si>
    <t xml:space="preserve">RENAM ROCHA PORTELLA ROCHA</t>
  </si>
  <si>
    <t xml:space="preserve">R7 COMERCIO E SERVICOS</t>
  </si>
  <si>
    <t xml:space="preserve">LUCIANO SALAS RIVERA</t>
  </si>
  <si>
    <t xml:space="preserve">COMERCIAL IRMA</t>
  </si>
  <si>
    <t xml:space="preserve">KELLVIN FERNANDO</t>
  </si>
  <si>
    <t xml:space="preserve">CONVENIENCIA POINTBEER</t>
  </si>
  <si>
    <t xml:space="preserve">GRUBAL BEBIDAS AMERICAN LATIN LTDA</t>
  </si>
  <si>
    <t xml:space="preserve">GRUPO DE BEBIDAS AMERICA LATINA</t>
  </si>
  <si>
    <t xml:space="preserve">ELIZIANE MARCONDES CHEMILOWKI ME</t>
  </si>
  <si>
    <t xml:space="preserve">FRANCISCO APARECIDO ESTEVAM</t>
  </si>
  <si>
    <t xml:space="preserve">CONVENIENCIA PROGRESSO</t>
  </si>
  <si>
    <t xml:space="preserve">MOISES DA SILVA PORTILHO</t>
  </si>
  <si>
    <t xml:space="preserve">CONVENIENCIA ZUBZERO</t>
  </si>
  <si>
    <t xml:space="preserve">PETIT AMI COMERCIO DE RACAO EIRELI</t>
  </si>
  <si>
    <t xml:space="preserve">KASA DA RACAO 2</t>
  </si>
  <si>
    <t xml:space="preserve">AMELIA DOURADO GONDIM</t>
  </si>
  <si>
    <t xml:space="preserve">MERCADO GONDIM</t>
  </si>
  <si>
    <t xml:space="preserve">DAIANE MERLIM GONCALVES LTDA</t>
  </si>
  <si>
    <t xml:space="preserve">MERCADO E CASA DE CARNE SOUZA</t>
  </si>
  <si>
    <t xml:space="preserve">BERNADETE CARLOS DA ROCHA</t>
  </si>
  <si>
    <t xml:space="preserve">ESTILO PET SHOP</t>
  </si>
  <si>
    <t xml:space="preserve">MARIA LUCILA POLICARPES LOPES</t>
  </si>
  <si>
    <t xml:space="preserve">DIDI CAO</t>
  </si>
  <si>
    <t xml:space="preserve">APARECIDO DE SOUZA DOIRADO</t>
  </si>
  <si>
    <t xml:space="preserve">PET SHOP PATA PRETA</t>
  </si>
  <si>
    <t xml:space="preserve">COLETO SANTOS DE SOUZA E CIA LTDA</t>
  </si>
  <si>
    <t xml:space="preserve">PAIOL AGROPECUARIA</t>
  </si>
  <si>
    <t xml:space="preserve">AQUINO E CIA MERCADO LTDA EPP</t>
  </si>
  <si>
    <t xml:space="preserve">DEJAIR PEREIRA ME</t>
  </si>
  <si>
    <t xml:space="preserve">MENDES LANCHONETE LTDA</t>
  </si>
  <si>
    <t xml:space="preserve">DOG KING</t>
  </si>
  <si>
    <t xml:space="preserve">NADIR FERNANDES MANTOVANI FARMACIAS ME  </t>
  </si>
  <si>
    <t xml:space="preserve">NADIR FERNANDES MANTOVANI FARMACIAS</t>
  </si>
  <si>
    <t xml:space="preserve">LUCILIA DA CONCEICAO COUTINHO DO VALECLI</t>
  </si>
  <si>
    <t xml:space="preserve">PEDRINHO CONVENIENCIA</t>
  </si>
  <si>
    <t xml:space="preserve">BON AMI CLINICA VET E PET SHOP LTDAPET S</t>
  </si>
  <si>
    <t xml:space="preserve">BON AMI CLINICA VETERINARIA E PET SHOP</t>
  </si>
  <si>
    <t xml:space="preserve">SILVA E CASTRO LTDA</t>
  </si>
  <si>
    <t xml:space="preserve">BELA LAGUNA COMERCIO E SERVICOS</t>
  </si>
  <si>
    <t xml:space="preserve">FABIO CUNHA GUEDES</t>
  </si>
  <si>
    <t xml:space="preserve">MERCEARIA E CONV GUEDES</t>
  </si>
  <si>
    <t xml:space="preserve">BRUNO GREGORIO DE SOUZA EPP</t>
  </si>
  <si>
    <t xml:space="preserve">PANIFICACAO</t>
  </si>
  <si>
    <t xml:space="preserve">ROSANA PEREIRA DOS SANTOS MEI</t>
  </si>
  <si>
    <t xml:space="preserve">MINI MERCADO JOAO FROTA</t>
  </si>
  <si>
    <t xml:space="preserve">MERCADO DO CUSTODIO LTDA</t>
  </si>
  <si>
    <t xml:space="preserve">MERCADO DO CUSTODIO</t>
  </si>
  <si>
    <t xml:space="preserve">KLAYTON SANTOS NASCIMENTO ME</t>
  </si>
  <si>
    <t xml:space="preserve">GOIAS MERCADO</t>
  </si>
  <si>
    <t xml:space="preserve">THIAGO CUPERTINO DE SOUZA - MERCEARIA E </t>
  </si>
  <si>
    <t xml:space="preserve">TORTUGA BEER</t>
  </si>
  <si>
    <t xml:space="preserve">REGINA LIMA PORTELA EIRELLI</t>
  </si>
  <si>
    <t xml:space="preserve">VO BELGA BEER MINIMERCADO LTDA</t>
  </si>
  <si>
    <t xml:space="preserve">VO BELGA</t>
  </si>
  <si>
    <t xml:space="preserve">M.A FRIOS</t>
  </si>
  <si>
    <t xml:space="preserve">LARIZZE EDUARDA SILVA FONTOURA ME</t>
  </si>
  <si>
    <t xml:space="preserve">ACOUGUE E MERCEARIA FONTOURA</t>
  </si>
  <si>
    <t xml:space="preserve">MOIZES CAZAIS DA SILVA</t>
  </si>
  <si>
    <t xml:space="preserve">CESTA BASICA CANAA</t>
  </si>
  <si>
    <t xml:space="preserve">LIRIANDIOY ANDRADE RODRIGUES</t>
  </si>
  <si>
    <t xml:space="preserve">MINI MERCADO BOM PRECO E UTILIDADES</t>
  </si>
  <si>
    <t xml:space="preserve">ANDRE GARCETE RODRIGUES</t>
  </si>
  <si>
    <t xml:space="preserve">CASA DE CARNES E MERCEARIA GARCETE</t>
  </si>
  <si>
    <t xml:space="preserve">MARCOS RUBENS DE ANDRADE LTDA</t>
  </si>
  <si>
    <t xml:space="preserve">DANIELA CASTILHO</t>
  </si>
  <si>
    <t xml:space="preserve">PANIFICADORA CANTINHO DOS PAES</t>
  </si>
  <si>
    <t xml:space="preserve">JOSE PEREIRA E SILVA</t>
  </si>
  <si>
    <t xml:space="preserve">MERCADO EXPRESSO</t>
  </si>
  <si>
    <t xml:space="preserve">COSTA LIMA DROGARIA LTDA ME</t>
  </si>
  <si>
    <t xml:space="preserve">DROGA NORTE</t>
  </si>
  <si>
    <t xml:space="preserve">78 COMERCIO E SERVICOS LTDA</t>
  </si>
  <si>
    <t xml:space="preserve">LA CASA 78</t>
  </si>
  <si>
    <t xml:space="preserve">EWERTON RODRIGUES DA SILVA EIRELI</t>
  </si>
  <si>
    <t xml:space="preserve">DROGARIA MS</t>
  </si>
  <si>
    <t xml:space="preserve">ABIA DIAS DOS SANTOS OLIVEIRA</t>
  </si>
  <si>
    <t xml:space="preserve">BICHO COM CAPRICHO</t>
  </si>
  <si>
    <t xml:space="preserve">ROSANGELA VIEIRA DA SILVA ME</t>
  </si>
  <si>
    <t xml:space="preserve">LUCIMARA PEREIRA DO NASCIMENTO</t>
  </si>
  <si>
    <t xml:space="preserve">CONVENIENCIA MINEIRINHO</t>
  </si>
  <si>
    <t xml:space="preserve">CENTRO DE RADIOLOGIA E CIRURGIA VET LTDA</t>
  </si>
  <si>
    <t xml:space="preserve">CRV VET</t>
  </si>
  <si>
    <t xml:space="preserve">M P ROSA  ME</t>
  </si>
  <si>
    <t xml:space="preserve">PET SHOP IRACY COELHO LTDA</t>
  </si>
  <si>
    <t xml:space="preserve">PET SHOP IRACY COELHO</t>
  </si>
  <si>
    <t xml:space="preserve">HELTON AGUIAR DE AZEVEDO</t>
  </si>
  <si>
    <t xml:space="preserve">VIP RACOES</t>
  </si>
  <si>
    <t xml:space="preserve">ECONOMIA COMERCIO DE ALIMENTOS EIRELI ME</t>
  </si>
  <si>
    <t xml:space="preserve">MERCADO DE DEUS</t>
  </si>
  <si>
    <t xml:space="preserve">AIYAMI ICHIY FURRER-ME</t>
  </si>
  <si>
    <t xml:space="preserve">AMI PET SHOP</t>
  </si>
  <si>
    <t xml:space="preserve">CAROLINE BARBOSA DA SILVA DE OLIVEIRA ME</t>
  </si>
  <si>
    <t xml:space="preserve">ELIETE MARIO LTDA</t>
  </si>
  <si>
    <t xml:space="preserve">MERCADO DAS UTILIDADES LTDA</t>
  </si>
  <si>
    <t xml:space="preserve">MERCADO DAS UTILIDADES</t>
  </si>
  <si>
    <t xml:space="preserve">PRIME BUTEQUIM COMERCIO DE BEBIDAS</t>
  </si>
  <si>
    <t xml:space="preserve">PRIME BUTEQUIM</t>
  </si>
  <si>
    <t xml:space="preserve">CARLA APARECIDA DO NASCIMENTO</t>
  </si>
  <si>
    <t xml:space="preserve">PET SHOP AVENIDA</t>
  </si>
  <si>
    <t xml:space="preserve">J B C BARCELLOS CAMPOS LTDA EPP</t>
  </si>
  <si>
    <t xml:space="preserve">BIGOTE RACAO</t>
  </si>
  <si>
    <t xml:space="preserve">MOREIRA MERCADO E CONVENIENCIA EIRELI</t>
  </si>
  <si>
    <t xml:space="preserve">JEANNE  GUARIENTI DE MATTOS MACHADO</t>
  </si>
  <si>
    <t xml:space="preserve">MERCADO AKITEM</t>
  </si>
  <si>
    <t xml:space="preserve">BARBEARIA VR LTDA</t>
  </si>
  <si>
    <t xml:space="preserve">GEAN CARLOS RODRIGUES DA SILVA</t>
  </si>
  <si>
    <t xml:space="preserve">LA BELLE PERFUMARIA</t>
  </si>
  <si>
    <t xml:space="preserve">G C DE LIMA</t>
  </si>
  <si>
    <t xml:space="preserve">JAILSON DE OLIVEIRA PLACIDO</t>
  </si>
  <si>
    <t xml:space="preserve">DANIELA QUEIROZ SILVA EIRELI ME</t>
  </si>
  <si>
    <t xml:space="preserve">BICHOS E CAPRICHOS</t>
  </si>
  <si>
    <t xml:space="preserve">LUIZA APARECIDA BARBOSA</t>
  </si>
  <si>
    <t xml:space="preserve">SOFY PET SHOP</t>
  </si>
  <si>
    <t xml:space="preserve">MARCIA ANTONIO DOS SANTOS</t>
  </si>
  <si>
    <t xml:space="preserve">MERCADO SERGIPANO</t>
  </si>
  <si>
    <t xml:space="preserve">TAMANAKA E GOELZER LTDA ME</t>
  </si>
  <si>
    <t xml:space="preserve">MERCEARIA CAMPEAO</t>
  </si>
  <si>
    <t xml:space="preserve">CONVENIENCIA JATOBA ME</t>
  </si>
  <si>
    <t xml:space="preserve">PARADA JATOBA</t>
  </si>
  <si>
    <t xml:space="preserve">JENNYFFER VILLCA ALGARANAZ ME</t>
  </si>
  <si>
    <t xml:space="preserve">COMERCIAL JENNYFFER</t>
  </si>
  <si>
    <t xml:space="preserve">R L SUPERMERCADOS EIRELI  EPP</t>
  </si>
  <si>
    <t xml:space="preserve">SUPERMERCADO LUNARDI</t>
  </si>
  <si>
    <t xml:space="preserve">SILVIA RENATA GERBAUDO APODACA</t>
  </si>
  <si>
    <t xml:space="preserve">CATIVAR PET</t>
  </si>
  <si>
    <t xml:space="preserve">KASSIO COELHO DE MENESES</t>
  </si>
  <si>
    <t xml:space="preserve">L S MONCAO CONVENIENCIA</t>
  </si>
  <si>
    <t xml:space="preserve">JL CONVENIENCIA E MERCEARIA</t>
  </si>
  <si>
    <t xml:space="preserve">S J B FARMA EIRELI ME</t>
  </si>
  <si>
    <t xml:space="preserve">S J B FARMA</t>
  </si>
  <si>
    <t xml:space="preserve">MARIA DELIA ESPINDOLA</t>
  </si>
  <si>
    <t xml:space="preserve">MERCEARIA SETE COPA</t>
  </si>
  <si>
    <t xml:space="preserve">ELIVALDO SILVA DOS SANTOS</t>
  </si>
  <si>
    <t xml:space="preserve">ARROBA CASA DE CARNE</t>
  </si>
  <si>
    <t xml:space="preserve">MARCOS FERREIRA DOS SANTOS ME</t>
  </si>
  <si>
    <t xml:space="preserve">SEBASTIAO JOSE DOS SANTOS</t>
  </si>
  <si>
    <t xml:space="preserve">HERMES ROMAN TOMICHA EIRELI</t>
  </si>
  <si>
    <t xml:space="preserve">ESSENCIAL COMERCIO HERMES</t>
  </si>
  <si>
    <t xml:space="preserve">ALICENE KAROLINE BORTOLINI LOPES</t>
  </si>
  <si>
    <t xml:space="preserve">VILLAGE DA PIZZA</t>
  </si>
  <si>
    <t xml:space="preserve">MOYSES DE OLIVEIRA RUEL</t>
  </si>
  <si>
    <t xml:space="preserve">CENTRO DE EST ANIMAL MARMADUKE</t>
  </si>
  <si>
    <t xml:space="preserve">E DE MATOS SILVA SUPERMERCADOS EIRELI</t>
  </si>
  <si>
    <t xml:space="preserve">E DE MATOS SILVA SUPERMERCADOS</t>
  </si>
  <si>
    <t xml:space="preserve">ERONILDES LARROQUE DE LIMA 00036715182  </t>
  </si>
  <si>
    <t xml:space="preserve">MERCEARIA E CONV LR</t>
  </si>
  <si>
    <t xml:space="preserve">AURILENE NOGUEIRA DE SOUZA ME</t>
  </si>
  <si>
    <t xml:space="preserve">MERCADO MACEDO</t>
  </si>
  <si>
    <t xml:space="preserve">MERCADO E CONVENIENCIA CASA GRANDE</t>
  </si>
  <si>
    <t xml:space="preserve">CASA GRANDE</t>
  </si>
  <si>
    <t xml:space="preserve">CLAUDINEIA DUARTE MEI</t>
  </si>
  <si>
    <t xml:space="preserve">DUARTE E BARBOSA</t>
  </si>
  <si>
    <t xml:space="preserve">V E B SUPERMERCADO LTDA ME</t>
  </si>
  <si>
    <t xml:space="preserve">SUPERMERCADO CAVALCANTI LTDA</t>
  </si>
  <si>
    <t xml:space="preserve">SUPERMERCADO ARARAS</t>
  </si>
  <si>
    <t xml:space="preserve">IZANETE BACANELO DE SOUZA</t>
  </si>
  <si>
    <t xml:space="preserve">MERCADO SABOR DA VIDA</t>
  </si>
  <si>
    <t xml:space="preserve">SOUPET COMERCIO DE PRO PARA ANIMAIS LTDA</t>
  </si>
  <si>
    <t xml:space="preserve">OUT PET</t>
  </si>
  <si>
    <t xml:space="preserve">W T LIMA EIRELI EEP</t>
  </si>
  <si>
    <t xml:space="preserve">SUP MERCADO LIPPI</t>
  </si>
  <si>
    <t xml:space="preserve">SUPER PET SHOP EIRELI ME</t>
  </si>
  <si>
    <t xml:space="preserve">SUPER PET</t>
  </si>
  <si>
    <t xml:space="preserve">RESTAURANTE DURAN EIRELI</t>
  </si>
  <si>
    <t xml:space="preserve">CHURRASCARIA E LANCHONETE PONTEIO</t>
  </si>
  <si>
    <t xml:space="preserve">ELOIDE SALINA DO AMARAL</t>
  </si>
  <si>
    <t xml:space="preserve">BAR E MERCEARIA SALINA</t>
  </si>
  <si>
    <t xml:space="preserve">SUPERMERCADO LEVE MAIS LTDA EPP</t>
  </si>
  <si>
    <t xml:space="preserve">SUPERMERCADO LEVE MAIS</t>
  </si>
  <si>
    <t xml:space="preserve">HENRI KENNER ESPINDOLA LEITE</t>
  </si>
  <si>
    <t xml:space="preserve">MERCADO SAO GABRIEL</t>
  </si>
  <si>
    <t xml:space="preserve">SACOLAO 2 IRMAOS LTDA</t>
  </si>
  <si>
    <t xml:space="preserve">SACOLAO 2 IRMAOS</t>
  </si>
  <si>
    <t xml:space="preserve">VANEI BOTELHO ALVES EIRELI</t>
  </si>
  <si>
    <t xml:space="preserve">CASA DE CARNES GADO FORTE</t>
  </si>
  <si>
    <t xml:space="preserve">GILSON DOS SANTOS</t>
  </si>
  <si>
    <t xml:space="preserve">COMERCIAL VALERIA</t>
  </si>
  <si>
    <t xml:space="preserve">EDILSON JOSE REIS ME</t>
  </si>
  <si>
    <t xml:space="preserve">ARENA LANCHES</t>
  </si>
  <si>
    <t xml:space="preserve">JOAO PEDRO LOPES</t>
  </si>
  <si>
    <t xml:space="preserve">LOPES CONVENIENCIA</t>
  </si>
  <si>
    <t xml:space="preserve">L B ORTEGA NOVA MIX CONVENIENCIA</t>
  </si>
  <si>
    <t xml:space="preserve">CONVENIENCIA MIX</t>
  </si>
  <si>
    <t xml:space="preserve">DAYANA GERHARD</t>
  </si>
  <si>
    <t xml:space="preserve">CLINICA DAYANA GERHARD</t>
  </si>
  <si>
    <t xml:space="preserve">LAYZ SILVA LIRA  FORLANO</t>
  </si>
  <si>
    <t xml:space="preserve">RUSTICAO</t>
  </si>
  <si>
    <t xml:space="preserve">MARRUA GOURMET LTDA</t>
  </si>
  <si>
    <t xml:space="preserve">MARRUA GOURMET</t>
  </si>
  <si>
    <t xml:space="preserve">JEAN CARLOS LEPAMARA</t>
  </si>
  <si>
    <t xml:space="preserve">JUNIOR GAS E CONVENIENCIA</t>
  </si>
  <si>
    <t xml:space="preserve">DAIANA O DE OLIVEIRA FONTES</t>
  </si>
  <si>
    <t xml:space="preserve">DAIANA CABELEIREIRA</t>
  </si>
  <si>
    <t xml:space="preserve">NUTRI CAO PET SHOP</t>
  </si>
  <si>
    <t xml:space="preserve">MERCADO DANTAS EIRELI</t>
  </si>
  <si>
    <t xml:space="preserve">ALEXANDRA DOS SANTOS RODRIGUES 001203801</t>
  </si>
  <si>
    <t xml:space="preserve">PET SHOP DA BA</t>
  </si>
  <si>
    <t xml:space="preserve">HERILAINE VILHALVA DIAS</t>
  </si>
  <si>
    <t xml:space="preserve">MAIA COMERCIO DE RACOES LTDA</t>
  </si>
  <si>
    <t xml:space="preserve">PET SHOP SCOOBYDUU</t>
  </si>
  <si>
    <t xml:space="preserve">MRN COMUNICACAO EMPRESARIAL</t>
  </si>
  <si>
    <t xml:space="preserve">MRN COMUNICAO EMPRESARIAL</t>
  </si>
  <si>
    <t xml:space="preserve">ALESSANDRA DIAS PEREIRA</t>
  </si>
  <si>
    <t xml:space="preserve">ALINE MARQUES DA SILVA</t>
  </si>
  <si>
    <t xml:space="preserve">SUPERMERCADO LUZA</t>
  </si>
  <si>
    <t xml:space="preserve">CLEITON PAIVA OLIVEIRA</t>
  </si>
  <si>
    <t xml:space="preserve">PANIFICADORA TERRA MORENA</t>
  </si>
  <si>
    <t xml:space="preserve">ROSADAS E CARVALHO SUPERMERCADO LTDA</t>
  </si>
  <si>
    <t xml:space="preserve">ROSADAS E CARVALHO SUPERMERCADO</t>
  </si>
  <si>
    <t xml:space="preserve">ROSADAS SUPERMERCADO</t>
  </si>
  <si>
    <t xml:space="preserve">LIDIA ALBERTINA P QUISBET</t>
  </si>
  <si>
    <t xml:space="preserve">BRUNELLO BARRETO DA SILVA</t>
  </si>
  <si>
    <t xml:space="preserve">CHICO CHEIROSO PET SHOP</t>
  </si>
  <si>
    <t xml:space="preserve">MERCADO FIORENZA EIRELI</t>
  </si>
  <si>
    <t xml:space="preserve">MERCADO FIORENZA</t>
  </si>
  <si>
    <t xml:space="preserve">S L C DROGARIA EIRELI</t>
  </si>
  <si>
    <t xml:space="preserve">CASA DAS RACOES BELINI LTDA ME</t>
  </si>
  <si>
    <t xml:space="preserve">LEANDRO AUGUSTO BARBOSA DE OLIVEIRA</t>
  </si>
  <si>
    <t xml:space="preserve">COMERCIO VAREJISTA ESQUINA DA CARNE EIRE</t>
  </si>
  <si>
    <t xml:space="preserve">DUTRA E CUNHA LTDA</t>
  </si>
  <si>
    <t xml:space="preserve">SANDRA A. S. CECCONELLO LTDA</t>
  </si>
  <si>
    <t xml:space="preserve">LIDER ATACADO</t>
  </si>
  <si>
    <t xml:space="preserve">JOSE ADAO TAVEIRA 42187168115</t>
  </si>
  <si>
    <t xml:space="preserve">MERCEARIA E CONVENIENCIA ZE DADAO</t>
  </si>
  <si>
    <t xml:space="preserve">EDUARDA LEITE VARGAS</t>
  </si>
  <si>
    <t xml:space="preserve">EDUARDA CIA FASHION</t>
  </si>
  <si>
    <t xml:space="preserve">SABRINA DOMATONI FEGRUGLIA SANTOS</t>
  </si>
  <si>
    <t xml:space="preserve">LA CASA DO PICOLE COLD ICE</t>
  </si>
  <si>
    <t xml:space="preserve">LUNA RAYA P VILHALBA EIRELI</t>
  </si>
  <si>
    <t xml:space="preserve">MERCADO E ACOUGUE MODELO</t>
  </si>
  <si>
    <t xml:space="preserve">SANTANA E DEHN LTDA</t>
  </si>
  <si>
    <t xml:space="preserve">DROGADEHN</t>
  </si>
  <si>
    <t xml:space="preserve">MERCADORIA EM GERAL</t>
  </si>
  <si>
    <t xml:space="preserve">HQM COMERCIO DE ALIMENTOS EIRELI</t>
  </si>
  <si>
    <t xml:space="preserve">SUPRA SUPERMERCADO</t>
  </si>
  <si>
    <t xml:space="preserve">MARIA N. DE AZEVEDO AMORIM</t>
  </si>
  <si>
    <t xml:space="preserve">FRANCISCO DE ASSIS PREGENTINO</t>
  </si>
  <si>
    <t xml:space="preserve">CONVENIENCIA DO CEARA</t>
  </si>
  <si>
    <t xml:space="preserve">MARILEIDE BANDEIRA DUARTE</t>
  </si>
  <si>
    <t xml:space="preserve">COMERCIAL MARY</t>
  </si>
  <si>
    <t xml:space="preserve">BRUNO DA SILVA BEVILAQUA</t>
  </si>
  <si>
    <t xml:space="preserve">DAVI RODRIGO SARVIANO DE CASTRO</t>
  </si>
  <si>
    <t xml:space="preserve">INSTABOX MERCEARIA</t>
  </si>
  <si>
    <t xml:space="preserve">SOARES E FREITAS LTDA</t>
  </si>
  <si>
    <t xml:space="preserve">PET 67</t>
  </si>
  <si>
    <t xml:space="preserve">DAIANNE MARQUES DE OLIVEIRA</t>
  </si>
  <si>
    <t xml:space="preserve">MERCADINHO NOVA ESPERANCA</t>
  </si>
  <si>
    <t xml:space="preserve">RAQUIEL CAVALCANTI BIZERRA</t>
  </si>
  <si>
    <t xml:space="preserve">CASA DE RACAO BIGOWS</t>
  </si>
  <si>
    <t xml:space="preserve">FABIO HENRIQUE DOS SANTOS ASNAL</t>
  </si>
  <si>
    <t xml:space="preserve">MERCADO E ACOUGUE FABIO LANCHE</t>
  </si>
  <si>
    <t xml:space="preserve">IODETE MAIA DOS SANTOS</t>
  </si>
  <si>
    <t xml:space="preserve">MERCEARIA E CONV SAO FRANCISCO</t>
  </si>
  <si>
    <t xml:space="preserve">MASTERFOODS BRASIL ALIMENTOS LTDA</t>
  </si>
  <si>
    <t xml:space="preserve">PONTA GROSSA</t>
  </si>
  <si>
    <t xml:space="preserve">MARS BRASIL</t>
  </si>
  <si>
    <t xml:space="preserve">MASTERFOODS</t>
  </si>
  <si>
    <t xml:space="preserve">CARLOS EDUARDO PEREIRA</t>
  </si>
  <si>
    <t xml:space="preserve">CLINICA VETERINARIA E PET BICH</t>
  </si>
  <si>
    <t xml:space="preserve">IGREJA UNIVERSAL DO REINO DE DEUS</t>
  </si>
  <si>
    <t xml:space="preserve">IGREJA UNIVERSAL</t>
  </si>
  <si>
    <t xml:space="preserve">ANDERSON DA SILVA PERIM 05739504155</t>
  </si>
  <si>
    <t xml:space="preserve">PONTO DO ACAI</t>
  </si>
  <si>
    <t xml:space="preserve">ELONCIO DE MATOS OLIVEIRA EIRELI</t>
  </si>
  <si>
    <t xml:space="preserve">TEIXEIRA COMERCIO DE BEB E TABACOS LTDA </t>
  </si>
  <si>
    <t xml:space="preserve">PATAGONIA</t>
  </si>
  <si>
    <t xml:space="preserve">CAMILA FLORES ALVAREZ</t>
  </si>
  <si>
    <t xml:space="preserve">COMERCIAL ALVAREZ</t>
  </si>
  <si>
    <t xml:space="preserve">GUSTAVO SOARES ONOFRE</t>
  </si>
  <si>
    <t xml:space="preserve">MERCADO SOARES</t>
  </si>
  <si>
    <t xml:space="preserve">VILELA E ROSA LTDA</t>
  </si>
  <si>
    <t xml:space="preserve">MEERKAT PET STORE</t>
  </si>
  <si>
    <t xml:space="preserve">NUNES E AMARAL LTDA</t>
  </si>
  <si>
    <t xml:space="preserve">DROGARIA ULTRAMED PRECO POPULA</t>
  </si>
  <si>
    <t xml:space="preserve">AMBAR ATACADISTA LTDA</t>
  </si>
  <si>
    <t xml:space="preserve">LUIZ GUILHERME COSTA MARTINS JANZEN</t>
  </si>
  <si>
    <t xml:space="preserve">SNOOKER SHOW</t>
  </si>
  <si>
    <t xml:space="preserve">DENNER KAZUO OHNO MULLER DE SOUZA</t>
  </si>
  <si>
    <t xml:space="preserve">LUCIANA TAVARES ROCHA</t>
  </si>
  <si>
    <t xml:space="preserve">ADMILSON AFONSO DA SILVA</t>
  </si>
  <si>
    <t xml:space="preserve">LELECO PET SHOP</t>
  </si>
  <si>
    <t xml:space="preserve">NF COMERCIO DE SUCOS E FRUTAS LTDA</t>
  </si>
  <si>
    <t xml:space="preserve">NATUS FRUTA</t>
  </si>
  <si>
    <t xml:space="preserve">HSA ALIMENTOS LTDA</t>
  </si>
  <si>
    <t xml:space="preserve">SUPERMERCADO SARAIVA</t>
  </si>
  <si>
    <t xml:space="preserve">MERCADO KRAUS</t>
  </si>
  <si>
    <t xml:space="preserve">WILLIAN DUARTE CABREIRA</t>
  </si>
  <si>
    <t xml:space="preserve">THAIS SUELLEN SANT ANNA MARCELINO LTDA  </t>
  </si>
  <si>
    <t xml:space="preserve">EQUILIBRIO MERCADO SAUDAVEL</t>
  </si>
  <si>
    <t xml:space="preserve">HARMONIA SERVICOS ADMINISTRATIVOS LTDA  </t>
  </si>
  <si>
    <t xml:space="preserve">HARMONIA NEGOCIOS</t>
  </si>
  <si>
    <t xml:space="preserve">BIAZUS CONVENIENCIA EIRELI</t>
  </si>
  <si>
    <t xml:space="preserve">BIAZUS CONVENIENCIA</t>
  </si>
  <si>
    <t xml:space="preserve">DOUGLAS FERREIRA BARBOZA</t>
  </si>
  <si>
    <t xml:space="preserve">ANIMAL PLANET</t>
  </si>
  <si>
    <t xml:space="preserve">MARCIO ALENCAR AZEVEDO LTDA</t>
  </si>
  <si>
    <t xml:space="preserve">ESPETO E BRASA CHURRASCARIA</t>
  </si>
  <si>
    <t xml:space="preserve">JUNAIR FREITAS DE OLIVEIRA FERNANDES</t>
  </si>
  <si>
    <t xml:space="preserve">MERCADO ELEGANCE</t>
  </si>
  <si>
    <t xml:space="preserve">LEMES DE OLIVEIRA MAT CONSTRUCAO EIRELI </t>
  </si>
  <si>
    <t xml:space="preserve">AD PET</t>
  </si>
  <si>
    <t xml:space="preserve">ELIANE CRUZ DOS SANTOS 86262483187</t>
  </si>
  <si>
    <t xml:space="preserve">MERCEARIA IPE E CIA</t>
  </si>
  <si>
    <t xml:space="preserve">CLAUDEMIR INACIO ATAIDE ANSELMO</t>
  </si>
  <si>
    <t xml:space="preserve">SUPERMERCADO NAVIRAI LTDA</t>
  </si>
  <si>
    <t xml:space="preserve">MERCEARIA RJ LTDA</t>
  </si>
  <si>
    <t xml:space="preserve">MERCEARIA R.J.</t>
  </si>
  <si>
    <t xml:space="preserve">SUSANE CRISTINA BORGES LINHARES ME</t>
  </si>
  <si>
    <t xml:space="preserve">VODILA COMERCIO DE ALIMENTOS LTDA</t>
  </si>
  <si>
    <t xml:space="preserve">CANTINA VODILA</t>
  </si>
  <si>
    <t xml:space="preserve">FANG YAO EIRELI</t>
  </si>
  <si>
    <t xml:space="preserve">MERCADO ZHUANG</t>
  </si>
  <si>
    <t xml:space="preserve">ECONOMIZE COMERCIO DE ALIMENTOS EIRELI  </t>
  </si>
  <si>
    <t xml:space="preserve">ECONOMIZE COMERCIO DE ALIMENTO</t>
  </si>
  <si>
    <t xml:space="preserve">S4 COMERCIO DE CARNES E DERIVADOS EIRELI</t>
  </si>
  <si>
    <t xml:space="preserve">CASA DE CARNE S4</t>
  </si>
  <si>
    <t xml:space="preserve">TEREZA DE JESUS BAMBIL DA SILVA</t>
  </si>
  <si>
    <t xml:space="preserve">PE DE CHUMBO</t>
  </si>
  <si>
    <t xml:space="preserve">NATALIA DE ALMEIDA RUFINO XAVIER</t>
  </si>
  <si>
    <t xml:space="preserve">PET CENTRO OESTE</t>
  </si>
  <si>
    <t xml:space="preserve">ELISANGELA POLICARPO</t>
  </si>
  <si>
    <t xml:space="preserve">DVILLA MERC. E CONVENIENCIA</t>
  </si>
  <si>
    <t xml:space="preserve">EURIZANIA VALADAO DA SILVA</t>
  </si>
  <si>
    <t xml:space="preserve">TAMILYS GONCALVES DE AMORIM</t>
  </si>
  <si>
    <t xml:space="preserve">IMPERIO PET SHOP</t>
  </si>
  <si>
    <t xml:space="preserve">F E S COMERCIO DE MEDICAMENTOS LTDA</t>
  </si>
  <si>
    <t xml:space="preserve">MSI LIMA UTILIDADES DOMESTICAS LTDA</t>
  </si>
  <si>
    <t xml:space="preserve">CONVENIENCIA E MERCEARIA DSN LTDA</t>
  </si>
  <si>
    <t xml:space="preserve">CONVENIENCIA LTDA</t>
  </si>
  <si>
    <t xml:space="preserve">JULIANO BARROS LOPES</t>
  </si>
  <si>
    <t xml:space="preserve">CASA DE CARNE SHALON</t>
  </si>
  <si>
    <t xml:space="preserve">RAPHAEL HANANDY PEREIRA CORREA</t>
  </si>
  <si>
    <t xml:space="preserve">CAT DOG</t>
  </si>
  <si>
    <t xml:space="preserve">R S C COELHO</t>
  </si>
  <si>
    <t xml:space="preserve">MERCEARIA SIMON</t>
  </si>
  <si>
    <t xml:space="preserve">MARILENE BALBUENA MALUFF</t>
  </si>
  <si>
    <t xml:space="preserve">M D SOARES DOS SANTOS LTDA</t>
  </si>
  <si>
    <t xml:space="preserve">RESTAURANTE DAS AGUAS LTDA</t>
  </si>
  <si>
    <t xml:space="preserve">RESTAURANTE DAS AGUAS</t>
  </si>
  <si>
    <t xml:space="preserve">AGROPECUARIA WR EIRELI</t>
  </si>
  <si>
    <t xml:space="preserve">agropecuaria JR</t>
  </si>
  <si>
    <t xml:space="preserve">FRANCISCO VIEIRA DE OLIVEIRA</t>
  </si>
  <si>
    <t xml:space="preserve">CHICAO PETISHOP</t>
  </si>
  <si>
    <t xml:space="preserve">SR MARDEGAN</t>
  </si>
  <si>
    <t xml:space="preserve">COSMO TRANSPORTES LTDA</t>
  </si>
  <si>
    <t xml:space="preserve">CONVENIENCIA ECONOMICA</t>
  </si>
  <si>
    <t xml:space="preserve">FILOMENA FERNANDES MONTEIRO</t>
  </si>
  <si>
    <t xml:space="preserve">MERCADO SUPER TUDO</t>
  </si>
  <si>
    <t xml:space="preserve">DE PAULA E XARAO LTDA</t>
  </si>
  <si>
    <t xml:space="preserve">SUPERMERCADO DE PAULA</t>
  </si>
  <si>
    <t xml:space="preserve">KARIELLI AJALAS MOREIRA</t>
  </si>
  <si>
    <t xml:space="preserve">EMERSON JUNIOR QUEIROZ CS DE RACOES E AC</t>
  </si>
  <si>
    <t xml:space="preserve">FUTRICAO PET-SHOP</t>
  </si>
  <si>
    <t xml:space="preserve">PATRICIA APARECIDA DO P. DE SOUZA DOS SA</t>
  </si>
  <si>
    <t xml:space="preserve">JD CELULARES</t>
  </si>
  <si>
    <t xml:space="preserve">IVANILDO TEIXEIRA DE FARIAS JUNIOR</t>
  </si>
  <si>
    <t xml:space="preserve">LAZARA FRANCA RIBEIRO</t>
  </si>
  <si>
    <t xml:space="preserve">VISAO DE AGUIA MINI SUPERMERCA</t>
  </si>
  <si>
    <t xml:space="preserve">LILIAN VERGINIA RIQUELME CARDOZO</t>
  </si>
  <si>
    <t xml:space="preserve">CONVENIENCIA TEM DTUDO</t>
  </si>
  <si>
    <t xml:space="preserve">DATAIAM TACIO SOUZA DINIZ ME</t>
  </si>
  <si>
    <t xml:space="preserve">COMERCIAL DATAIAN</t>
  </si>
  <si>
    <t xml:space="preserve">FLAVIO HENRIQUE FERNANDES DOS SANTOS PER</t>
  </si>
  <si>
    <t xml:space="preserve">ANTONIO PEREIRA</t>
  </si>
  <si>
    <t xml:space="preserve">BAR DO JOAO PAULO</t>
  </si>
  <si>
    <t xml:space="preserve">CONVENINENCIA WA AQUIDAUANA LTDA</t>
  </si>
  <si>
    <t xml:space="preserve">CLEUDISON RODRIGUES PRIMO 81019645172</t>
  </si>
  <si>
    <t xml:space="preserve">MERCADINHO E CONVENIENCIA DO TATA</t>
  </si>
  <si>
    <t xml:space="preserve">GISLAINE TONET</t>
  </si>
  <si>
    <t xml:space="preserve">MERCADO TONET</t>
  </si>
  <si>
    <t xml:space="preserve">TIAGO BARBOSA SOARES</t>
  </si>
  <si>
    <t xml:space="preserve">DULCE MARIA DOS SANTOS LOPES</t>
  </si>
  <si>
    <t xml:space="preserve">CASA DE RACAO STO ANTONIO</t>
  </si>
  <si>
    <t xml:space="preserve">REGINALDO FERNANDES DOS SANTOS</t>
  </si>
  <si>
    <t xml:space="preserve">VISUAL PET</t>
  </si>
  <si>
    <t xml:space="preserve">WF ADMINISTRACAO HOTEIS</t>
  </si>
  <si>
    <t xml:space="preserve">ORLA MORENA PARK HOTEL</t>
  </si>
  <si>
    <t xml:space="preserve">CHICONVENIENCIA BEBIDAS EIRELI</t>
  </si>
  <si>
    <t xml:space="preserve">CHICONVENIENCIA</t>
  </si>
  <si>
    <t xml:space="preserve">RICHARD PRADO DE ARRUDA</t>
  </si>
  <si>
    <t xml:space="preserve">CAO AMIGO</t>
  </si>
  <si>
    <t xml:space="preserve">KIYOTA E MORAES ALIMENTOS LTDA</t>
  </si>
  <si>
    <t xml:space="preserve">KIYOTA ALIMENTOS</t>
  </si>
  <si>
    <t xml:space="preserve">ITALO JUNIOR FONSECA DOS SANTOS COMERCIO</t>
  </si>
  <si>
    <t xml:space="preserve">ITALO JUNIOR FONSECA DOS SANTO</t>
  </si>
  <si>
    <t xml:space="preserve">SUPERMERCADO CANAA EIRELI</t>
  </si>
  <si>
    <t xml:space="preserve">SUPERMERCADO CANAA</t>
  </si>
  <si>
    <t xml:space="preserve">WELAINY SIMEIA ARAUJO DOS REIS</t>
  </si>
  <si>
    <t xml:space="preserve">MONFORT PET SHOP LTDA</t>
  </si>
  <si>
    <t xml:space="preserve">SENHOR PET</t>
  </si>
  <si>
    <t xml:space="preserve">RUBENS ALOISIO SHMIDT JUNIOR</t>
  </si>
  <si>
    <t xml:space="preserve">R E B AGROPECUARIA E PET SHOP</t>
  </si>
  <si>
    <t xml:space="preserve">LENIZE DE LIMA SOUZA</t>
  </si>
  <si>
    <t xml:space="preserve">ELIANE PAGANINI</t>
  </si>
  <si>
    <t xml:space="preserve">PER HAPPY</t>
  </si>
  <si>
    <t xml:space="preserve">GESICA DO PRADO OLIVEIRA</t>
  </si>
  <si>
    <t xml:space="preserve">BRUTOS AGRO PET SHOP</t>
  </si>
  <si>
    <t xml:space="preserve">A M BRASIL ALIMENTOS LTDA</t>
  </si>
  <si>
    <t xml:space="preserve">GRILLS BRASIL RESTAURANTE</t>
  </si>
  <si>
    <t xml:space="preserve">DENISE RODRIGUES DE ALMEIDA ME</t>
  </si>
  <si>
    <t xml:space="preserve">EMPORIO DO TERERE</t>
  </si>
  <si>
    <t xml:space="preserve">BOA SUPERMERCADOS LTDA</t>
  </si>
  <si>
    <t xml:space="preserve">BOA SUPERMERCADOS</t>
  </si>
  <si>
    <t xml:space="preserve">NABOA SUPERMERCADO LTDA</t>
  </si>
  <si>
    <t xml:space="preserve">NA BOA SUPERMERCADO</t>
  </si>
  <si>
    <t xml:space="preserve">WALDEIR RODRIGUES PIRES</t>
  </si>
  <si>
    <t xml:space="preserve">TODO TORTO</t>
  </si>
  <si>
    <t xml:space="preserve">RAMAO RONALDO BENITES</t>
  </si>
  <si>
    <t xml:space="preserve">CONVENIENCIA BENITES</t>
  </si>
  <si>
    <t xml:space="preserve">CIBELE ORTIZ RAMIRES</t>
  </si>
  <si>
    <t xml:space="preserve">CLAUDEMIR COUTO</t>
  </si>
  <si>
    <t xml:space="preserve">J C R ESPINOSA MINIMERCADO</t>
  </si>
  <si>
    <t xml:space="preserve">MERCADO E ACOUGUE BRASIL</t>
  </si>
  <si>
    <t xml:space="preserve">MARIA NILVA GIMENES GUTIERRES</t>
  </si>
  <si>
    <t xml:space="preserve">FRANSCISCA AMANCIO DA SILVA</t>
  </si>
  <si>
    <t xml:space="preserve">PETRONA MEDINA</t>
  </si>
  <si>
    <t xml:space="preserve">LOYDS BANCA E MERCEARIA</t>
  </si>
  <si>
    <t xml:space="preserve">D DA SILVA OLIVEIRA</t>
  </si>
  <si>
    <t xml:space="preserve">FABIM CARNES</t>
  </si>
  <si>
    <t xml:space="preserve">PALMEIRAS TRANSPORTES E ESCAVACOES LTDA </t>
  </si>
  <si>
    <t xml:space="preserve">MERCADO PALMEIRA</t>
  </si>
  <si>
    <t xml:space="preserve">JOAO ALEXANDRE TEIXEIRA DUTRA EIRELI</t>
  </si>
  <si>
    <t xml:space="preserve">TRANSMAGRAO</t>
  </si>
  <si>
    <t xml:space="preserve">RITA DE CASSIA MARTINS</t>
  </si>
  <si>
    <t xml:space="preserve">PADARIA NOSSA SENHORA APARECID</t>
  </si>
  <si>
    <t xml:space="preserve">DEL PRETO E REZENDE LTDA</t>
  </si>
  <si>
    <t xml:space="preserve">PET STOP</t>
  </si>
  <si>
    <t xml:space="preserve">POSTO POROROCA XVII LTDA</t>
  </si>
  <si>
    <t xml:space="preserve">REDE IPE</t>
  </si>
  <si>
    <t xml:space="preserve">T D COMERCIO DE ALIMENTOS EIRELI</t>
  </si>
  <si>
    <t xml:space="preserve">IVAN M. MOREIRA LTDA</t>
  </si>
  <si>
    <t xml:space="preserve">ELIZEU JOSE DOS SANTOS</t>
  </si>
  <si>
    <t xml:space="preserve">NAIMO DA SILVA MARQUES EIRELI</t>
  </si>
  <si>
    <t xml:space="preserve">MERCADO TURCO LOUCO</t>
  </si>
  <si>
    <t xml:space="preserve">EMPORIO PET LTDA</t>
  </si>
  <si>
    <t xml:space="preserve">JURANDIR ARRUDA FERREIRA</t>
  </si>
  <si>
    <t xml:space="preserve">EMPORIO DOS BICHOS</t>
  </si>
  <si>
    <t xml:space="preserve">ADILSON JOSE PUCENA 59587580125</t>
  </si>
  <si>
    <t xml:space="preserve">CONVNIENCIA REGO3</t>
  </si>
  <si>
    <t xml:space="preserve">MI ZONATTO</t>
  </si>
  <si>
    <t xml:space="preserve">PANIFICADORA PADOKA</t>
  </si>
  <si>
    <t xml:space="preserve">G ALVES DA SILVA</t>
  </si>
  <si>
    <t xml:space="preserve">JMS ALIMENTOS EIRELI</t>
  </si>
  <si>
    <t xml:space="preserve">S C FRANCO EVENTOS LTDA</t>
  </si>
  <si>
    <t xml:space="preserve">GIRO RAPIDO CONVENIENCIA</t>
  </si>
  <si>
    <t xml:space="preserve">LOTUS COMERCIO DE COMBUSTIVEIS LTDA</t>
  </si>
  <si>
    <t xml:space="preserve">COVENIECIA LOTUS</t>
  </si>
  <si>
    <t xml:space="preserve">FARMACIA POPULAR DOM ANTONIO LTDA</t>
  </si>
  <si>
    <t xml:space="preserve">FARMACIA POPULAR DOM ANTONIO</t>
  </si>
  <si>
    <t xml:space="preserve">FARMACIA POPULAR DOM ANTONIO EIRELI</t>
  </si>
  <si>
    <t xml:space="preserve">SEU MERCADO CONVENIENCIA E ACOUGUE LTDA </t>
  </si>
  <si>
    <t xml:space="preserve">SEU MERCADO CONVENIENCIA</t>
  </si>
  <si>
    <t xml:space="preserve">MARCIO ROBERTO CABREIRA DIAS</t>
  </si>
  <si>
    <t xml:space="preserve">HH MOCCHI EIRELI</t>
  </si>
  <si>
    <t xml:space="preserve">TEODORO E CORREA LTDA</t>
  </si>
  <si>
    <t xml:space="preserve">TERRITORIO ANIMAL PETSHOP</t>
  </si>
  <si>
    <t xml:space="preserve">CACILDA GOMES</t>
  </si>
  <si>
    <t xml:space="preserve">GERSON VIEIRA RIBAS</t>
  </si>
  <si>
    <t xml:space="preserve">SIBELLY APARECIDA NANTES</t>
  </si>
  <si>
    <t xml:space="preserve">CLINICA VETERINARIA SAO BENTO</t>
  </si>
  <si>
    <t xml:space="preserve">MARINEZ SOCORRO DE FREITAS</t>
  </si>
  <si>
    <t xml:space="preserve">CASA DE CARNES CIA DO BIFE</t>
  </si>
  <si>
    <t xml:space="preserve">ANDREIA BATISTA MACHADO</t>
  </si>
  <si>
    <t xml:space="preserve">DUDU RACOES</t>
  </si>
  <si>
    <t xml:space="preserve">DAYSE S DA SILVA EIRELI</t>
  </si>
  <si>
    <t xml:space="preserve">PIT STOP CONVENIENCIA</t>
  </si>
  <si>
    <t xml:space="preserve">S FARES COM PRODUTOS ALIMENTICIOS</t>
  </si>
  <si>
    <t xml:space="preserve">MERCADO FARTURAO</t>
  </si>
  <si>
    <t xml:space="preserve">WANDERGLEYSON RIBEIRO DOS SANTOS</t>
  </si>
  <si>
    <t xml:space="preserve">FAMILIA PET</t>
  </si>
  <si>
    <t xml:space="preserve">DAISY DUEK PENHA</t>
  </si>
  <si>
    <t xml:space="preserve">PET SHOP CATIVAR</t>
  </si>
  <si>
    <t xml:space="preserve">LEANDRO MUNDINHO DE SOUZA E CIA LTDA</t>
  </si>
  <si>
    <t xml:space="preserve">MERCADO FAVORITTO</t>
  </si>
  <si>
    <t xml:space="preserve">Z S L MORAES CONVENIENCIA E CASA DE CARN</t>
  </si>
  <si>
    <t xml:space="preserve">VAGNER FELIPE DA SILVA</t>
  </si>
  <si>
    <t xml:space="preserve">GIVANETE NUNES MARTINS RIBEIRO</t>
  </si>
  <si>
    <t xml:space="preserve">JUAN ALVAREZ ARCE</t>
  </si>
  <si>
    <t xml:space="preserve">PATRICIA VIEIRA LTDA</t>
  </si>
  <si>
    <t xml:space="preserve">A PANTANEIRA AGROP ARM RURAL</t>
  </si>
  <si>
    <t xml:space="preserve">L G DISTRIBUIDORA DE ALIMENTOS LTDA</t>
  </si>
  <si>
    <t xml:space="preserve">MERC PONTO CHICK</t>
  </si>
  <si>
    <t xml:space="preserve">CICERA LUCIA DE JESUS CHUERIY</t>
  </si>
  <si>
    <t xml:space="preserve">EMPORIO L E C</t>
  </si>
  <si>
    <t xml:space="preserve">FERNANDO BRIGNONI 99304112168</t>
  </si>
  <si>
    <t xml:space="preserve">ALEXSANDRO LUIZ DOS SANTOS</t>
  </si>
  <si>
    <t xml:space="preserve">FRANKLIN ESCOBAR APAZA</t>
  </si>
  <si>
    <t xml:space="preserve">FRANKLIN</t>
  </si>
  <si>
    <t xml:space="preserve">LUIZ CARLOS VIEIRA RATCOV</t>
  </si>
  <si>
    <t xml:space="preserve">MERCEARIA RATCOV</t>
  </si>
  <si>
    <t xml:space="preserve">SUP REUNIDAS</t>
  </si>
  <si>
    <t xml:space="preserve">ANA CAROLINY NUNES MACHADO EIRELI</t>
  </si>
  <si>
    <t xml:space="preserve">ENCANTO PET</t>
  </si>
  <si>
    <t xml:space="preserve">A P KRAMER MERCADO</t>
  </si>
  <si>
    <t xml:space="preserve">CONVENIENCIA ADY LTDA</t>
  </si>
  <si>
    <t xml:space="preserve">CONVENIENCIA FALASTIN</t>
  </si>
  <si>
    <t xml:space="preserve">CONVENIENCIA BLACK BEER EIRELI ME</t>
  </si>
  <si>
    <t xml:space="preserve">BLACK BEER</t>
  </si>
  <si>
    <t xml:space="preserve">OTAVIO NOGUEIRA ROCHA</t>
  </si>
  <si>
    <t xml:space="preserve">ROCHA MATERIAIS PARA CONST.</t>
  </si>
  <si>
    <t xml:space="preserve">WALLACE RUAN LOPES MOREIRA</t>
  </si>
  <si>
    <t xml:space="preserve">MERCADO GALEGO</t>
  </si>
  <si>
    <t xml:space="preserve">MERCEARIA E ACOUGUE ESTRELA DE OURO EIRE</t>
  </si>
  <si>
    <t xml:space="preserve">MERCADO ESTRELA DE OURO</t>
  </si>
  <si>
    <t xml:space="preserve">MARACAJU COMER ALIMENTOS DOCES E EMBALAG</t>
  </si>
  <si>
    <t xml:space="preserve">EDILSON ANDRADE BAEZ</t>
  </si>
  <si>
    <t xml:space="preserve">EMPORIO BAEZ</t>
  </si>
  <si>
    <t xml:space="preserve">MARIELLE DUTRA GONCALVES</t>
  </si>
  <si>
    <t xml:space="preserve">CONVENIENCIA CENTRAL PARK</t>
  </si>
  <si>
    <t xml:space="preserve">JULIETE DA COSTA SILVA</t>
  </si>
  <si>
    <t xml:space="preserve">MERCADINHO GIRASSOL</t>
  </si>
  <si>
    <t xml:space="preserve">ISABELLA PIRES MARTINES</t>
  </si>
  <si>
    <t xml:space="preserve">COMERCIO DE ALIMETICIO</t>
  </si>
  <si>
    <t xml:space="preserve">GRDA ENTRETENIMENTO E BAR LTDA</t>
  </si>
  <si>
    <t xml:space="preserve">GDRA VITA CLUB KAFOFO</t>
  </si>
  <si>
    <t xml:space="preserve">CHICO CHEIROSO PET SHOP EIRELI</t>
  </si>
  <si>
    <t xml:space="preserve">MERCADO ELIANE  EIRELI</t>
  </si>
  <si>
    <t xml:space="preserve">IRANI DA SILVA JUNIOR EIRELI</t>
  </si>
  <si>
    <t xml:space="preserve">MATHEUS FERNANDO RODRIGUES</t>
  </si>
  <si>
    <t xml:space="preserve">VIDAL PET</t>
  </si>
  <si>
    <t xml:space="preserve">CELSINA ALVES PEREIRA</t>
  </si>
  <si>
    <t xml:space="preserve">ADAILTON PEDRO DA SILVA</t>
  </si>
  <si>
    <t xml:space="preserve">AT ADAILTON PEDRO</t>
  </si>
  <si>
    <t xml:space="preserve">THACYANA PALHANO ROSA</t>
  </si>
  <si>
    <t xml:space="preserve">VALDEMIR DO NASCIMENTO BAMBIL</t>
  </si>
  <si>
    <t xml:space="preserve">AMS COMERCIO DE PRODUTOS VETERINARIOS</t>
  </si>
  <si>
    <t xml:space="preserve">CANTINHO ANIMAL</t>
  </si>
  <si>
    <t xml:space="preserve">CPA PRODUTOS AGROPECUARIOS EIRELI</t>
  </si>
  <si>
    <t xml:space="preserve">CASA DO MILHO</t>
  </si>
  <si>
    <t xml:space="preserve">ANTONIO LOAN LIMA DE SOUZA</t>
  </si>
  <si>
    <t xml:space="preserve">BELGA BEER MINIMERCADO LTDA</t>
  </si>
  <si>
    <t xml:space="preserve">GRAZIELLY FERNANDES BISPO 07368620138</t>
  </si>
  <si>
    <t xml:space="preserve">HOUSE DOG</t>
  </si>
  <si>
    <t xml:space="preserve">JOSE MANOEL ESCOLHANTE NETO 04029504108 </t>
  </si>
  <si>
    <t xml:space="preserve">PERDIGUEIRO PROD VETERINARIOS</t>
  </si>
  <si>
    <t xml:space="preserve">FELIPE AUGUSTO DA CRUZ TEIXEIRA 05497625</t>
  </si>
  <si>
    <t xml:space="preserve">ANNELYSE MARIANA SOUZA DE JESUS LUBAS</t>
  </si>
  <si>
    <t xml:space="preserve">PET SHOP DA FAMILIA</t>
  </si>
  <si>
    <t xml:space="preserve">LAURO FERNANDO FAVARETTO FILHO EIRELI</t>
  </si>
  <si>
    <t xml:space="preserve">RACOES FAVARETTO</t>
  </si>
  <si>
    <t xml:space="preserve">AV ARMAZEM</t>
  </si>
  <si>
    <t xml:space="preserve">NILSON DE SOUZA ME</t>
  </si>
  <si>
    <t xml:space="preserve">COMERCIAL SOUZA</t>
  </si>
  <si>
    <t xml:space="preserve">MERCADO E ACOUGUE PONTO DA CARNE LTDA</t>
  </si>
  <si>
    <t xml:space="preserve">MERCADO E ACOUGUE PONTO DA CAR</t>
  </si>
  <si>
    <t xml:space="preserve">SANDRA ESPINDOLA</t>
  </si>
  <si>
    <t xml:space="preserve">MICHELE TEIXEIRA  DE LIMA</t>
  </si>
  <si>
    <t xml:space="preserve">MERCEARIA E</t>
  </si>
  <si>
    <t xml:space="preserve">DIEGO VALENZUELA LOPES</t>
  </si>
  <si>
    <t xml:space="preserve">CONVENIENCIA AQUIDABAN LTDA</t>
  </si>
  <si>
    <t xml:space="preserve">ANDRADE E COMARELLA PET SHOP</t>
  </si>
  <si>
    <t xml:space="preserve">PET SHOP SAO FRANCISCO</t>
  </si>
  <si>
    <t xml:space="preserve">GABRIEL EMANUEL WALDEMAR LIMA DA SILVA  </t>
  </si>
  <si>
    <t xml:space="preserve">RUSTICAO PET</t>
  </si>
  <si>
    <t xml:space="preserve">LANCHONETE MANU LTDA</t>
  </si>
  <si>
    <t xml:space="preserve">LANCHONETE MANU</t>
  </si>
  <si>
    <t xml:space="preserve">HEROILTON VICENTE DA SILVA</t>
  </si>
  <si>
    <t xml:space="preserve">MERCADINHO SANDRA</t>
  </si>
  <si>
    <t xml:space="preserve">PAULA BALTAZAR DE OLIVEIRA</t>
  </si>
  <si>
    <t xml:space="preserve">LETICIA LEONEL REZENDE LTDA</t>
  </si>
  <si>
    <t xml:space="preserve">LETS BEER</t>
  </si>
  <si>
    <t xml:space="preserve">COMERCIAL DE BEBIDAS E ALIMENTOS YULE LT</t>
  </si>
  <si>
    <t xml:space="preserve">TOPMIX</t>
  </si>
  <si>
    <t xml:space="preserve">FERNANDO GOMES DE SOUSA</t>
  </si>
  <si>
    <t xml:space="preserve">CARANDA PET</t>
  </si>
  <si>
    <t xml:space="preserve">HOZANA CABRAL SILVA</t>
  </si>
  <si>
    <t xml:space="preserve">MERCEARIA MINEIRA</t>
  </si>
  <si>
    <t xml:space="preserve">CAMILA CUBILHA NOGUEIRA</t>
  </si>
  <si>
    <t xml:space="preserve">AMOR DE BICHO</t>
  </si>
  <si>
    <t xml:space="preserve">DG CARNES E LINGUICA LTDA</t>
  </si>
  <si>
    <t xml:space="preserve">DG CARNES E LINGUICAS</t>
  </si>
  <si>
    <t xml:space="preserve">LUIS ANTONIO DOS SANTOS OLIVEIRA</t>
  </si>
  <si>
    <t xml:space="preserve">MY PET</t>
  </si>
  <si>
    <t xml:space="preserve">LUIZ ERMENEGILDO GONCALVES</t>
  </si>
  <si>
    <t xml:space="preserve">CONVENIENCIA DOKA 67</t>
  </si>
  <si>
    <t xml:space="preserve">COMPLETA CASA DE RACAO LTDA</t>
  </si>
  <si>
    <t xml:space="preserve">PET SHOP CLARANA LTDA</t>
  </si>
  <si>
    <t xml:space="preserve">ROSANGELA MENDES</t>
  </si>
  <si>
    <t xml:space="preserve">MERCEARIA NR</t>
  </si>
  <si>
    <t xml:space="preserve">DROGA TEM FARMACIA POPULAR EIRELI</t>
  </si>
  <si>
    <t xml:space="preserve">DROGA TEM FARNACIA POPULAR</t>
  </si>
  <si>
    <t xml:space="preserve">COMERCIAL DE CARNES NOVILHAO EIRELI</t>
  </si>
  <si>
    <t xml:space="preserve">NOVILHAO CASA DE CARNE</t>
  </si>
  <si>
    <t xml:space="preserve">MARINHO DE SOUZA SANTOS</t>
  </si>
  <si>
    <t xml:space="preserve">CONVENIENCIA AGUA VIVA</t>
  </si>
  <si>
    <t xml:space="preserve">MARILENE PEREIRA DE SOUZA</t>
  </si>
  <si>
    <t xml:space="preserve">MULTI MERCEARIA</t>
  </si>
  <si>
    <t xml:space="preserve">HELO COMERCIO DE ALIMENTOS EIRELI</t>
  </si>
  <si>
    <t xml:space="preserve">REDE VARANDAS </t>
  </si>
  <si>
    <t xml:space="preserve">VARANDA ALIMENTOS</t>
  </si>
  <si>
    <t xml:space="preserve">VARANDA ALIMENTOS II</t>
  </si>
  <si>
    <t xml:space="preserve">ANDREZA BARBOSA LTDA</t>
  </si>
  <si>
    <t xml:space="preserve">CONVENIENCIA LIBERATI</t>
  </si>
  <si>
    <t xml:space="preserve">PATRICIA G. P. DA SILVA EIRELI</t>
  </si>
  <si>
    <t xml:space="preserve">PET TERERE E CIA</t>
  </si>
  <si>
    <t xml:space="preserve">RUTH NAICY RODRIGUEZ HUARACHI</t>
  </si>
  <si>
    <t xml:space="preserve">COMERCIAL RUTH</t>
  </si>
  <si>
    <t xml:space="preserve">MARIA APARECIDA PEREIRA CARVALHO</t>
  </si>
  <si>
    <t xml:space="preserve">SACOLAO DE MARIA</t>
  </si>
  <si>
    <t xml:space="preserve">JOSIENE MARTINS SANTANA</t>
  </si>
  <si>
    <t xml:space="preserve">CANTINHO DOS BICHOS</t>
  </si>
  <si>
    <t xml:space="preserve">TM COSTA DE OLIVEIRA CLINICA VETERINARIA</t>
  </si>
  <si>
    <t xml:space="preserve">CLINICA VETERINARIA IMP ANIMAL</t>
  </si>
  <si>
    <t xml:space="preserve">S B DINIZ</t>
  </si>
  <si>
    <t xml:space="preserve">COMERCIAL VIP II</t>
  </si>
  <si>
    <t xml:space="preserve">COMERCIAL RUPP DELFINO LTDA</t>
  </si>
  <si>
    <t xml:space="preserve">P DELFINO LTDA</t>
  </si>
  <si>
    <t xml:space="preserve">LAISA TAMARA DE M SCHREIBER EIRELI</t>
  </si>
  <si>
    <t xml:space="preserve">MERCADO E ACOUGUE MARANATA</t>
  </si>
  <si>
    <t xml:space="preserve">MARIO DE SOUZA CARVALHO 14246988120</t>
  </si>
  <si>
    <t xml:space="preserve">MARKA SUPERMERCADO EIRELI</t>
  </si>
  <si>
    <t xml:space="preserve">SUPERMERCADO MARKA</t>
  </si>
  <si>
    <t xml:space="preserve">EDUARDO LACHI MANETTI</t>
  </si>
  <si>
    <t xml:space="preserve">BOURBON CAFE</t>
  </si>
  <si>
    <t xml:space="preserve">CONVENIENCIA VIDA NOVA</t>
  </si>
  <si>
    <t xml:space="preserve">ELISSANDRA PAVAO MORENO</t>
  </si>
  <si>
    <t xml:space="preserve">CONV E MERCEARIA MORENO</t>
  </si>
  <si>
    <t xml:space="preserve">DANIELA LEAL ALVES</t>
  </si>
  <si>
    <t xml:space="preserve">PET COMPANHEIRO</t>
  </si>
  <si>
    <t xml:space="preserve">FRANCISCA SOARES DE FREITAS</t>
  </si>
  <si>
    <t xml:space="preserve">CONVENIENCIA E MERC FREITAS</t>
  </si>
  <si>
    <t xml:space="preserve">WILLIAN FERREIRA DA SILVA</t>
  </si>
  <si>
    <t xml:space="preserve">WF CONVENIENCIA</t>
  </si>
  <si>
    <t xml:space="preserve">UCHOAS E CIA LTDA</t>
  </si>
  <si>
    <t xml:space="preserve">JOAO GABRIEL LACERDA OLIVEIRA</t>
  </si>
  <si>
    <t xml:space="preserve">MERCEARIA JG</t>
  </si>
  <si>
    <t xml:space="preserve">EMPORIO CARANDA PRODUTOS ALIMENTICIOS EI</t>
  </si>
  <si>
    <t xml:space="preserve">EMPORIO CARANDA</t>
  </si>
  <si>
    <t xml:space="preserve">BELLA CARNES COMERCIO DE ALIMENTOS EIREL</t>
  </si>
  <si>
    <t xml:space="preserve">W S SILVA EIRELI</t>
  </si>
  <si>
    <t xml:space="preserve">AGRICULTURA PET SHOP E AGROPEC</t>
  </si>
  <si>
    <t xml:space="preserve">W S DA SILVA EIRELE</t>
  </si>
  <si>
    <t xml:space="preserve">AGROCUTURAS</t>
  </si>
  <si>
    <t xml:space="preserve">E M DE OLIVEIRA COM DE ALIMENTOS</t>
  </si>
  <si>
    <t xml:space="preserve">MAXI MERCADO</t>
  </si>
  <si>
    <t xml:space="preserve">APOENA COMERCIO DE PRODUTOS AGROPECUARIO</t>
  </si>
  <si>
    <t xml:space="preserve">APOENA AGROCENTER</t>
  </si>
  <si>
    <t xml:space="preserve">BALBUENA E ADEGBESAN CLINICA VET E REPRE</t>
  </si>
  <si>
    <t xml:space="preserve">SOBRE PATAS CLINICA VETERINARI</t>
  </si>
  <si>
    <t xml:space="preserve">PRISCILA OCTACIO DE SOUZA</t>
  </si>
  <si>
    <t xml:space="preserve">VIANA SUPERMERCADO</t>
  </si>
  <si>
    <t xml:space="preserve">E DE O GOUVEIA NETO</t>
  </si>
  <si>
    <t xml:space="preserve">ADRIANA MIRANDA AZAMBUJA</t>
  </si>
  <si>
    <t xml:space="preserve">MERCADO DULLE</t>
  </si>
  <si>
    <t xml:space="preserve">SANS BEER CONVENIENCIAS LTDA</t>
  </si>
  <si>
    <t xml:space="preserve">SANS BEER E MERCEARIA</t>
  </si>
  <si>
    <t xml:space="preserve">H E H COACHING E TREINAMENTOS LTDA</t>
  </si>
  <si>
    <t xml:space="preserve">FEBRACIS CAMPO GRANDE</t>
  </si>
  <si>
    <t xml:space="preserve">CHRISTOPHER IUR LOPES WIETHOLTER</t>
  </si>
  <si>
    <t xml:space="preserve">BEETHOVEN PET SHOP</t>
  </si>
  <si>
    <t xml:space="preserve">MAX BEER LTDA</t>
  </si>
  <si>
    <t xml:space="preserve">MAX BEER</t>
  </si>
  <si>
    <t xml:space="preserve">DAVI DE OLIVEIRA ARTEIRO 26219726839</t>
  </si>
  <si>
    <t xml:space="preserve">SUELI NUNES DA SILVA MAIA</t>
  </si>
  <si>
    <t xml:space="preserve">MERC E CONV SAO RAFAEL</t>
  </si>
  <si>
    <t xml:space="preserve">DAYANE RODRIGUES AMORIM</t>
  </si>
  <si>
    <t xml:space="preserve">ELIANE DE FATIMA D NUNES</t>
  </si>
  <si>
    <t xml:space="preserve">ME UTILIDADES DOMESTICAS</t>
  </si>
  <si>
    <t xml:space="preserve">EDUARDO BRAGA RODRIGUES BRANCO</t>
  </si>
  <si>
    <t xml:space="preserve">AGROPECUARIA CHAPADAO</t>
  </si>
  <si>
    <t xml:space="preserve">ELIETE CARVALHO DOS SANTOS NUNES</t>
  </si>
  <si>
    <t xml:space="preserve">LUIZ FERNANDO TAVARES DE BRITO</t>
  </si>
  <si>
    <t xml:space="preserve">MERCADO PONTO BOM II</t>
  </si>
  <si>
    <t xml:space="preserve">REINALDO SOUZA LEAO</t>
  </si>
  <si>
    <t xml:space="preserve">LS PET SHOP LTDA</t>
  </si>
  <si>
    <t xml:space="preserve">JOSEANA DO SACRAMENTO SOUSA 06963429448 </t>
  </si>
  <si>
    <t xml:space="preserve">MERCEARIA DA JOSY</t>
  </si>
  <si>
    <t xml:space="preserve">MAIARA DOS SANTOS SILVA</t>
  </si>
  <si>
    <t xml:space="preserve">O BOTECO CONV</t>
  </si>
  <si>
    <t xml:space="preserve">DONA ADELIA DOCERIA EIRELI</t>
  </si>
  <si>
    <t xml:space="preserve">DONA ADELIA DOCERIA</t>
  </si>
  <si>
    <t xml:space="preserve">BAR DO BOCA</t>
  </si>
  <si>
    <t xml:space="preserve">RUBIA CARLA TONDELLO</t>
  </si>
  <si>
    <t xml:space="preserve">MERCADO DO LAGO</t>
  </si>
  <si>
    <t xml:space="preserve">BADA BARES E RESTAURANTES LTDA</t>
  </si>
  <si>
    <t xml:space="preserve">BADA BAR</t>
  </si>
  <si>
    <t xml:space="preserve">ALEX DE OLIVEIRA SANTOS</t>
  </si>
  <si>
    <t xml:space="preserve">OLIVER PET AGROSHOPING</t>
  </si>
  <si>
    <t xml:space="preserve">R GONCALVES</t>
  </si>
  <si>
    <t xml:space="preserve">MERCEARIA E CONVENIENCIA BATISTA</t>
  </si>
  <si>
    <t xml:space="preserve">MAXILAINE RODRIGUES DOS SANTOS BASILIO  </t>
  </si>
  <si>
    <t xml:space="preserve">NOVA RACOES</t>
  </si>
  <si>
    <t xml:space="preserve">DENISE DE SOUSA GOMES</t>
  </si>
  <si>
    <t xml:space="preserve">MERCEARIA 3D</t>
  </si>
  <si>
    <t xml:space="preserve">NILDA MATOS DOS SANTOS</t>
  </si>
  <si>
    <t xml:space="preserve">MERCADO TEN TUDO</t>
  </si>
  <si>
    <t xml:space="preserve">MUNDO PET II TRES LAGOAS LTDA</t>
  </si>
  <si>
    <t xml:space="preserve">MUNDO PET 2</t>
  </si>
  <si>
    <t xml:space="preserve">ELIANE GONCALVES DOS SANTOS DINIZ</t>
  </si>
  <si>
    <t xml:space="preserve">MERCADO DINIZ</t>
  </si>
  <si>
    <t xml:space="preserve">ARTUR PINHEIRO DOS SANTOS 35703466172</t>
  </si>
  <si>
    <t xml:space="preserve">TRANS PINHEIRO</t>
  </si>
  <si>
    <t xml:space="preserve">RICHARD ALCARA CRUZ</t>
  </si>
  <si>
    <t xml:space="preserve">GELICIA SORVETES</t>
  </si>
  <si>
    <t xml:space="preserve">VITORIA DE JESUS MERCADO EIRELI</t>
  </si>
  <si>
    <t xml:space="preserve">MARIA EMILIA DE SANTANA CABRAL</t>
  </si>
  <si>
    <t xml:space="preserve">MAR SAO MIGUEL</t>
  </si>
  <si>
    <t xml:space="preserve">RENAN LOPES DORETO</t>
  </si>
  <si>
    <t xml:space="preserve">DORETO CEREAIS PET</t>
  </si>
  <si>
    <t xml:space="preserve">EDILEUSA DO NASCIMENTO MIRANDA</t>
  </si>
  <si>
    <t xml:space="preserve">MONSTER CHEFE PET SHOP</t>
  </si>
  <si>
    <t xml:space="preserve">ALEANDRO DIAS DOS SANTOS</t>
  </si>
  <si>
    <t xml:space="preserve">MARLY LIMA DOS SANTOS</t>
  </si>
  <si>
    <t xml:space="preserve">PET PESCA</t>
  </si>
  <si>
    <t xml:space="preserve">SONILTON REIS DA ROSA</t>
  </si>
  <si>
    <t xml:space="preserve">2 R CONVENIENCIA</t>
  </si>
  <si>
    <t xml:space="preserve">LETICIA ORTEGA ARGUELHO LEAO</t>
  </si>
  <si>
    <t xml:space="preserve">SO PATINHAS PET SHOP</t>
  </si>
  <si>
    <t xml:space="preserve">NELSON ALVES RODRIGUES EIRELLI</t>
  </si>
  <si>
    <t xml:space="preserve">GOUVEIA COMERCIO DE ALIMENTOS E GAS LTDA</t>
  </si>
  <si>
    <t xml:space="preserve">JG GAS E CONVENIENCIA</t>
  </si>
  <si>
    <t xml:space="preserve">WAGNER BEZERRA SANTOS</t>
  </si>
  <si>
    <t xml:space="preserve">ACAI E AMBURGUERIA DO WAGAO</t>
  </si>
  <si>
    <t xml:space="preserve">SUPERMERCADO ITA LTDA</t>
  </si>
  <si>
    <t xml:space="preserve">ITA SUPERMERCADO</t>
  </si>
  <si>
    <t xml:space="preserve">OIE CONVENIENCIA EIRELI ME</t>
  </si>
  <si>
    <t xml:space="preserve">EDILSON MARTINS SILVEIRA FILHO</t>
  </si>
  <si>
    <t xml:space="preserve">VALDIRENE FRANCISCA DA SILVA PIMENTA</t>
  </si>
  <si>
    <t xml:space="preserve">LIDINETE FERNANDES GOMES</t>
  </si>
  <si>
    <t xml:space="preserve">MARIO GARCIA SILES</t>
  </si>
  <si>
    <t xml:space="preserve">MARINA DE ALMEIDA  RAMOS</t>
  </si>
  <si>
    <t xml:space="preserve">FAMILY PET STORE</t>
  </si>
  <si>
    <t xml:space="preserve">MATEUS DA SILVA VIEIRA</t>
  </si>
  <si>
    <t xml:space="preserve">MERCEARIA TRES IRMAOS</t>
  </si>
  <si>
    <t xml:space="preserve">TEIXEIRA E BORGES LTDA</t>
  </si>
  <si>
    <t xml:space="preserve">MINAS DISTRIBUIDORAS DE BEBIDAS</t>
  </si>
  <si>
    <t xml:space="preserve">SUELLEN ROMERO DA COSTA MIYAGI</t>
  </si>
  <si>
    <t xml:space="preserve">DINHO CONVENIENCIA</t>
  </si>
  <si>
    <t xml:space="preserve">ARI SILVEIRA DA SILVA</t>
  </si>
  <si>
    <t xml:space="preserve">V AGUIRRES JUNIOR</t>
  </si>
  <si>
    <t xml:space="preserve">MERCADO PSC EIRELI</t>
  </si>
  <si>
    <t xml:space="preserve">MARCOS PARREIRA DOS SANTOS</t>
  </si>
  <si>
    <t xml:space="preserve">GILVAN GERALDO DE ARAUJO</t>
  </si>
  <si>
    <t xml:space="preserve">THIAGO HENRIQUE DE OLIVEIRA</t>
  </si>
  <si>
    <t xml:space="preserve">GT CONVENIENCIA</t>
  </si>
  <si>
    <t xml:space="preserve">DOCE BOM COMERCIO PRODUTOS ALIMENTICIOS </t>
  </si>
  <si>
    <t xml:space="preserve">DOCEBOM ATACADO E VAREJO</t>
  </si>
  <si>
    <t xml:space="preserve">PEDRO VICTOR DE OLIVEIRA GONCALVES</t>
  </si>
  <si>
    <t xml:space="preserve">ENDRIGO E ENDRIGO CHOPERIA LTDA</t>
  </si>
  <si>
    <t xml:space="preserve">QUIOSQUE AFONSO PENA</t>
  </si>
  <si>
    <t xml:space="preserve">BELINI COM DE ALIMENTOS E BEBIDAS LTDA  </t>
  </si>
  <si>
    <t xml:space="preserve">MERCADO RITA VIEIRA</t>
  </si>
  <si>
    <t xml:space="preserve">MERCADO MANGABA</t>
  </si>
  <si>
    <t xml:space="preserve">ACOUGUE E MERCEARIA COM CASA SILVA EIREL</t>
  </si>
  <si>
    <t xml:space="preserve">ACOUGUE E MERCEARIA COM CASA SILVA</t>
  </si>
  <si>
    <t xml:space="preserve">KVS MERCADO EIRELI</t>
  </si>
  <si>
    <t xml:space="preserve">ROSE LIBANORI GOMES</t>
  </si>
  <si>
    <t xml:space="preserve">RR ARMAZEM E UTILIDADES</t>
  </si>
  <si>
    <t xml:space="preserve">LUANA CORREA VAGAS 03964904171</t>
  </si>
  <si>
    <t xml:space="preserve">STUDIO PET</t>
  </si>
  <si>
    <t xml:space="preserve">MARLEY FRANCISCA DE LIMA ME</t>
  </si>
  <si>
    <t xml:space="preserve">MARLI CABELEIREIRA</t>
  </si>
  <si>
    <t xml:space="preserve">PA73 BAR E RESTAURANTE LTDA</t>
  </si>
  <si>
    <t xml:space="preserve">PARAIBA 73</t>
  </si>
  <si>
    <t xml:space="preserve">ADRIANA ROSA DE OLIVEIRA</t>
  </si>
  <si>
    <t xml:space="preserve">SILDEMBERG NUNES BATISTA</t>
  </si>
  <si>
    <t xml:space="preserve">PET SHOP CLARANA</t>
  </si>
  <si>
    <t xml:space="preserve">INES FACUNDE DA SILVA MORAES</t>
  </si>
  <si>
    <t xml:space="preserve">MERCADO E CONVENIENCIA PANTANA</t>
  </si>
  <si>
    <t xml:space="preserve">WELLINGTON ANTUN DE BRITO</t>
  </si>
  <si>
    <t xml:space="preserve">MERCADO E ACOUGUE ECONOMICO</t>
  </si>
  <si>
    <t xml:space="preserve">GERSON CARLOS MELENDES FILHO LTDA</t>
  </si>
  <si>
    <t xml:space="preserve">RESTAURANTE MELENDES FILHO</t>
  </si>
  <si>
    <t xml:space="preserve">GILSON RIBEIRO BATISTOTI MERCADO LTDA</t>
  </si>
  <si>
    <t xml:space="preserve">MERCADO RIO NEGRO</t>
  </si>
  <si>
    <t xml:space="preserve">REGINALDA DIAS DA SILVA 63690055172</t>
  </si>
  <si>
    <t xml:space="preserve">JADERSOM BARROS TEIXEIRA</t>
  </si>
  <si>
    <t xml:space="preserve">JADER PRODUTOS ALIMENTICIOS</t>
  </si>
  <si>
    <t xml:space="preserve">CENTRAL BOI GORDO RACOES EIRELLI</t>
  </si>
  <si>
    <t xml:space="preserve">CENTRAL BOI GORDO</t>
  </si>
  <si>
    <t xml:space="preserve">PRISCILA OCAMPO SOUZA 00550550100</t>
  </si>
  <si>
    <t xml:space="preserve">FARMACIA MAIS POPULAR EIRELI</t>
  </si>
  <si>
    <t xml:space="preserve">CARLA CALASSIO DA PURIFICACAO</t>
  </si>
  <si>
    <t xml:space="preserve">RACOES E CEREAL DONIZETE</t>
  </si>
  <si>
    <t xml:space="preserve">GICELIA THIS LTDA</t>
  </si>
  <si>
    <t xml:space="preserve">BATURAS BEER</t>
  </si>
  <si>
    <t xml:space="preserve">SIDNEY DA SILVA</t>
  </si>
  <si>
    <t xml:space="preserve">DA HORA</t>
  </si>
  <si>
    <t xml:space="preserve">FABRICIO DE CASTRO RODRIGUES LTDA</t>
  </si>
  <si>
    <t xml:space="preserve">WJ SALGADERIA LTDA</t>
  </si>
  <si>
    <t xml:space="preserve">FC PET SHOP EIRELI</t>
  </si>
  <si>
    <t xml:space="preserve">MY COMPANY</t>
  </si>
  <si>
    <t xml:space="preserve">KEILA SILVA DOS SANTOS 00314807136</t>
  </si>
  <si>
    <t xml:space="preserve">ALPHA PET SHOP</t>
  </si>
  <si>
    <t xml:space="preserve">VANTUIR ALVES CAITANO</t>
  </si>
  <si>
    <t xml:space="preserve">CONVENIENCIA SAO SEBASTIAO</t>
  </si>
  <si>
    <t xml:space="preserve">M J CAETANO MARTIN CERRILHO</t>
  </si>
  <si>
    <t xml:space="preserve">CAO CUIDADO</t>
  </si>
  <si>
    <t xml:space="preserve">CRISTIANO FRANCISCO BARBOSA</t>
  </si>
  <si>
    <t xml:space="preserve">MERCEARIA DE KSA</t>
  </si>
  <si>
    <t xml:space="preserve">LAURA CRISTINA MAIA MOREIRA FERREIRA</t>
  </si>
  <si>
    <t xml:space="preserve">PET DU BAO</t>
  </si>
  <si>
    <t xml:space="preserve">ZILDENE FEITOSA GADELHA</t>
  </si>
  <si>
    <t xml:space="preserve">FARMAZIL</t>
  </si>
  <si>
    <t xml:space="preserve">NEIVA VIEIRA FRANCO</t>
  </si>
  <si>
    <t xml:space="preserve">ARMAZEM FRANCO</t>
  </si>
  <si>
    <t xml:space="preserve">DEPOSITO DE BEB E COM N SRA APARECIDA LT</t>
  </si>
  <si>
    <t xml:space="preserve">mercado nossa senhora aparecia</t>
  </si>
  <si>
    <t xml:space="preserve">ADRIANO LUIZ DA SILVA 02505698171</t>
  </si>
  <si>
    <t xml:space="preserve">O REI DO TERERE TABACARIA</t>
  </si>
  <si>
    <t xml:space="preserve">PAULO LEANDRO NILO LUBAS 03590554193</t>
  </si>
  <si>
    <t xml:space="preserve">SUPERCAO</t>
  </si>
  <si>
    <t xml:space="preserve">V P COMERCIO DE ARTIGOS ORTOMEDICOS EIRE</t>
  </si>
  <si>
    <t xml:space="preserve">LOJAO DAS CLINICAS PONTA PORA</t>
  </si>
  <si>
    <t xml:space="preserve">V P COMERCIO DE ARTIGO ORTOMEDICOS EIREL</t>
  </si>
  <si>
    <t xml:space="preserve">FARMACIA LOJAO DAS CLINICAS</t>
  </si>
  <si>
    <t xml:space="preserve">ANGELA MENDES DE SOUZA EIRELI</t>
  </si>
  <si>
    <t xml:space="preserve">CAO KILATE</t>
  </si>
  <si>
    <t xml:space="preserve">RACKEL SORRILHA MAGALHOES DE ARAUJO</t>
  </si>
  <si>
    <t xml:space="preserve">RACKEL CONVENIENCIA</t>
  </si>
  <si>
    <t xml:space="preserve">CAROLINA L DA SILVA ME</t>
  </si>
  <si>
    <t xml:space="preserve">MERCADO E ACOUGUE LIMA</t>
  </si>
  <si>
    <t xml:space="preserve">VANESSA DA COSTA SILVA</t>
  </si>
  <si>
    <t xml:space="preserve">R.A. KENNEL PET SHOP</t>
  </si>
  <si>
    <t xml:space="preserve">BARROS E CALDEIRA PET SHOP LTDA</t>
  </si>
  <si>
    <t xml:space="preserve">SPACE DOG</t>
  </si>
  <si>
    <t xml:space="preserve">MI-AU PET SHOP LTDA</t>
  </si>
  <si>
    <t xml:space="preserve">MIAU PET SHOP</t>
  </si>
  <si>
    <t xml:space="preserve">EDMAR APARECIDA SIQUEIRA DE OLIVEIRA</t>
  </si>
  <si>
    <t xml:space="preserve">CASA DE RACAO OLIVEIRA</t>
  </si>
  <si>
    <t xml:space="preserve">L C ROMANO MOREIRA</t>
  </si>
  <si>
    <t xml:space="preserve">CANTINA CAFE</t>
  </si>
  <si>
    <t xml:space="preserve">FCA DE BRITO PRODUTOS AGROPECUARIOS</t>
  </si>
  <si>
    <t xml:space="preserve">BRITO AGROPECUARIA</t>
  </si>
  <si>
    <t xml:space="preserve">JULIE NAYARA PASCOALOTO FRANCO</t>
  </si>
  <si>
    <t xml:space="preserve">TED RACOES</t>
  </si>
  <si>
    <t xml:space="preserve">LUIZ ROBERTO GONCALVES DE OLIVEIRA</t>
  </si>
  <si>
    <t xml:space="preserve">PANTANEIRO AGRO TUDO</t>
  </si>
  <si>
    <t xml:space="preserve">LARISSA RODRIGUES ARAUJO DE SOUSA</t>
  </si>
  <si>
    <t xml:space="preserve">CASA DE RACAO DOCE ANIMAL</t>
  </si>
  <si>
    <t xml:space="preserve">LUCIANO CESAR R DA SILVA</t>
  </si>
  <si>
    <t xml:space="preserve">HORTI FRUT GRANJEIRO</t>
  </si>
  <si>
    <t xml:space="preserve">JAIR DE SOUZA BENTO</t>
  </si>
  <si>
    <t xml:space="preserve">BAR DO JAIR</t>
  </si>
  <si>
    <t xml:space="preserve">PATRICIA BETANIA DA SILVA</t>
  </si>
  <si>
    <t xml:space="preserve">MARCENARIA E RESTAURANTE DA VO</t>
  </si>
  <si>
    <t xml:space="preserve">GENIALDO SANTOS RAMIRES RICARDO</t>
  </si>
  <si>
    <t xml:space="preserve">AGRO PET CAO PEAO</t>
  </si>
  <si>
    <t xml:space="preserve">ROQUE E ALBUQUERQUE LTDA EPP</t>
  </si>
  <si>
    <t xml:space="preserve">MARIA CRISTINA PEREIRA PARAVICINI</t>
  </si>
  <si>
    <t xml:space="preserve">EVALDO AMORIM DOS SANTO</t>
  </si>
  <si>
    <t xml:space="preserve">WILSON ALVES ROSA 22025812191</t>
  </si>
  <si>
    <t xml:space="preserve">WILSON CONSTRUTOR</t>
  </si>
  <si>
    <t xml:space="preserve">MACEDO BARRETO E CIA LTDA</t>
  </si>
  <si>
    <t xml:space="preserve">GRUPOS MAIS FARMACIA</t>
  </si>
  <si>
    <t xml:space="preserve">ADAILTON OLIVEIRA GUERRA CASA DE CARNES </t>
  </si>
  <si>
    <t xml:space="preserve">EL SHADAY CASA DE CARNES</t>
  </si>
  <si>
    <t xml:space="preserve">WANDERLEY EDER MARTINEZ LEANDRO</t>
  </si>
  <si>
    <t xml:space="preserve">IGOR BARON ROCHA CIA LTDA ME</t>
  </si>
  <si>
    <t xml:space="preserve">MERCADINHO MIRO</t>
  </si>
  <si>
    <t xml:space="preserve">JOSE LAZARO CARPINEDO MARIM</t>
  </si>
  <si>
    <t xml:space="preserve">AGROBOI</t>
  </si>
  <si>
    <t xml:space="preserve">CAROLINA SANTOS FERREIRA</t>
  </si>
  <si>
    <t xml:space="preserve">PET SHOP XODO</t>
  </si>
  <si>
    <t xml:space="preserve">SUPERMERCADO GOURMET EIRELI</t>
  </si>
  <si>
    <t xml:space="preserve">PAZINATO E CALVACANTE LTDA</t>
  </si>
  <si>
    <t xml:space="preserve">SOBERANA AGROPET</t>
  </si>
  <si>
    <t xml:space="preserve">ML ESPINDOLA</t>
  </si>
  <si>
    <t xml:space="preserve">MARAGATHA PET SHOP</t>
  </si>
  <si>
    <t xml:space="preserve">M A CORREIA COMERCIO DE ALIMENTOS</t>
  </si>
  <si>
    <t xml:space="preserve">MERCADO E ACOUGUE MARCOS</t>
  </si>
  <si>
    <t xml:space="preserve">CARLOS EMANUEL COSTA LINAS</t>
  </si>
  <si>
    <t xml:space="preserve">CASSIA CAROLINA SILVA</t>
  </si>
  <si>
    <t xml:space="preserve">RAFAEL ANTONIO MARTINS FAVARO</t>
  </si>
  <si>
    <t xml:space="preserve">BIMBOO</t>
  </si>
  <si>
    <t xml:space="preserve">S G FERNANDES DE BRITO EIRELI</t>
  </si>
  <si>
    <t xml:space="preserve">TEREZA CRISTINA LEITE</t>
  </si>
  <si>
    <t xml:space="preserve">MANIA DE PET</t>
  </si>
  <si>
    <t xml:space="preserve">ALEX DA SILVA BARBOSA</t>
  </si>
  <si>
    <t xml:space="preserve">MERCEARIA DA KEILA</t>
  </si>
  <si>
    <t xml:space="preserve">JOAO RODRIGUES DOS SANTOS 54261082187</t>
  </si>
  <si>
    <t xml:space="preserve">SOBRADO S CONVENIENCIA</t>
  </si>
  <si>
    <t xml:space="preserve">SILVA E AGUIRRE LTDA</t>
  </si>
  <si>
    <t xml:space="preserve">LG COMERCIAL DE ALIMENTOS LTDA</t>
  </si>
  <si>
    <t xml:space="preserve">REDEMS LG COMERCIAL </t>
  </si>
  <si>
    <t xml:space="preserve">MARIA DIAS DA ROCHA DOMINGOS EIRELI</t>
  </si>
  <si>
    <t xml:space="preserve">MERCADO MEGA BOX BOM JESUS</t>
  </si>
  <si>
    <t xml:space="preserve">JADER VIEIRA OLIVEIRA</t>
  </si>
  <si>
    <t xml:space="preserve">SNOOP DOG PET SHOP E VARIEDADE</t>
  </si>
  <si>
    <t xml:space="preserve">PEDROSSINA DOS SANTOS SILVA FONTALVA</t>
  </si>
  <si>
    <t xml:space="preserve">MERC CASA DE CARNE FERREIRA PONTES LTDA </t>
  </si>
  <si>
    <t xml:space="preserve">GP GIL MERCADO E ACOUGUE EIRELI</t>
  </si>
  <si>
    <t xml:space="preserve">MERCADO E ACOUGUE SAO GABRIEL</t>
  </si>
  <si>
    <t xml:space="preserve">GROUS BAR LTDA</t>
  </si>
  <si>
    <t xml:space="preserve">BODEGA PUB</t>
  </si>
  <si>
    <t xml:space="preserve">FARMACIA DO POVO COM MEDICAMENTOS EIRELI</t>
  </si>
  <si>
    <t xml:space="preserve">CLEODIR SUPERMERCADOS EIRELI</t>
  </si>
  <si>
    <t xml:space="preserve">ZONILDE GEDRO NACHADO</t>
  </si>
  <si>
    <t xml:space="preserve">MERCEARIA E CASA DE CARNE JC</t>
  </si>
  <si>
    <t xml:space="preserve">ANA CRISTINA SOARES DOS REIS</t>
  </si>
  <si>
    <t xml:space="preserve">MERCADORIA AGUA AZUL</t>
  </si>
  <si>
    <t xml:space="preserve">LORENE DA SILVA AMORIM</t>
  </si>
  <si>
    <t xml:space="preserve">MARIANE DE ALMEIDA BEZERRA</t>
  </si>
  <si>
    <t xml:space="preserve">COMERCIAL OTIMO PRECO</t>
  </si>
  <si>
    <t xml:space="preserve">CONVENIENCIA PORTO CARREIRO LTDA</t>
  </si>
  <si>
    <t xml:space="preserve">JEFHERSON LORINI MIGUEIL DE OLIVEIRA</t>
  </si>
  <si>
    <t xml:space="preserve">MERCADO PONTP FORTE</t>
  </si>
  <si>
    <t xml:space="preserve">JOSE V DE SOUSA</t>
  </si>
  <si>
    <t xml:space="preserve">JR SACOLOES</t>
  </si>
  <si>
    <t xml:space="preserve">NOEMI DOS SANTOS RIBEIRO</t>
  </si>
  <si>
    <t xml:space="preserve">DOBRUTO PET SHOP</t>
  </si>
  <si>
    <t xml:space="preserve">HERNANDES SOARES PEREIRA</t>
  </si>
  <si>
    <t xml:space="preserve">JOSE GUSTAVO TAVARES DOS SANTOS</t>
  </si>
  <si>
    <t xml:space="preserve">MERCEARIA QUINDIM</t>
  </si>
  <si>
    <t xml:space="preserve">BAROLE BAR E RESTAURANTE LTDA</t>
  </si>
  <si>
    <t xml:space="preserve">BAROLE BAR E RESTAURANTE</t>
  </si>
  <si>
    <t xml:space="preserve">ELAINE EDUARDA DE FREITAS IMAGUTI</t>
  </si>
  <si>
    <t xml:space="preserve">MERCEARIA IMAGUTI</t>
  </si>
  <si>
    <t xml:space="preserve">RODRIGUES E CLIMACO LTDA</t>
  </si>
  <si>
    <t xml:space="preserve">POSTO JS</t>
  </si>
  <si>
    <t xml:space="preserve">CASA DE CARNE E TRANSPORTE UNIAO EIRELI </t>
  </si>
  <si>
    <t xml:space="preserve">CASA DE CARNE UNIAO</t>
  </si>
  <si>
    <t xml:space="preserve">ADRIANA RIBEIRO DOS SANTOS</t>
  </si>
  <si>
    <t xml:space="preserve">COMERCIAL BOIADEIRO</t>
  </si>
  <si>
    <t xml:space="preserve">KIL COMERCIO DE BEBIDAS E CONV EIRELI</t>
  </si>
  <si>
    <t xml:space="preserve">KIL GELOS</t>
  </si>
  <si>
    <t xml:space="preserve">IDALECIO MERCI</t>
  </si>
  <si>
    <t xml:space="preserve">PANIFICADORA MERCI</t>
  </si>
  <si>
    <t xml:space="preserve">HANIGLAICY ZBOROWSKI SGARAVATTI</t>
  </si>
  <si>
    <t xml:space="preserve">AGROPET TERENENSE-ME</t>
  </si>
  <si>
    <t xml:space="preserve">ALVES E VILLALTA LTDA</t>
  </si>
  <si>
    <t xml:space="preserve">TOP BIFE CASA DE CARNES E CONV</t>
  </si>
  <si>
    <t xml:space="preserve">HUMBERTO JULIO DE AZEVEDO</t>
  </si>
  <si>
    <t xml:space="preserve">HL MERCEARIA</t>
  </si>
  <si>
    <t xml:space="preserve">ELISMAR VILAS FERREIRA 01761210130</t>
  </si>
  <si>
    <t xml:space="preserve">CIA DO PET</t>
  </si>
  <si>
    <t xml:space="preserve">CELEIRO DAS RACOES COMERCIO VAREJISTA</t>
  </si>
  <si>
    <t xml:space="preserve">VALQUIRIA SANTANA GONCALVES 85277517120 </t>
  </si>
  <si>
    <t xml:space="preserve">SOUZA CRUZ SA</t>
  </si>
  <si>
    <t xml:space="preserve">THIAGO HENRIQUE ALVES DA SILVA</t>
  </si>
  <si>
    <t xml:space="preserve">LOJAS AMERICANAS SA</t>
  </si>
  <si>
    <t xml:space="preserve">LOJAS AMERICANAS</t>
  </si>
  <si>
    <t xml:space="preserve">EDILSON FELIPE DE ARAUJO LTDA</t>
  </si>
  <si>
    <t xml:space="preserve">CONVENIENCIA TARUMA</t>
  </si>
  <si>
    <t xml:space="preserve">MARCOS RENAN ANTUNES LARSON</t>
  </si>
  <si>
    <t xml:space="preserve">AGRONUTRI</t>
  </si>
  <si>
    <t xml:space="preserve">TBRP RESTAURANTE LTDA</t>
  </si>
  <si>
    <t xml:space="preserve">TATU BOLA CAMPO GRANDE</t>
  </si>
  <si>
    <t xml:space="preserve">CONVENIENCIA TORTUGA BEER 2 LTDA</t>
  </si>
  <si>
    <t xml:space="preserve">CONV TORTUGA</t>
  </si>
  <si>
    <t xml:space="preserve">ALISSON DE LIMA GARBIN LTDA</t>
  </si>
  <si>
    <t xml:space="preserve">ESKINAO</t>
  </si>
  <si>
    <t xml:space="preserve">FRANCISCO ANTONIO LOPES FILHO 2577583915</t>
  </si>
  <si>
    <t xml:space="preserve">CASA RACAO SANTO ANTONIO</t>
  </si>
  <si>
    <t xml:space="preserve">MARIA APARECIDA ARRUDA LIMA</t>
  </si>
  <si>
    <t xml:space="preserve">REDE SARAIVA</t>
  </si>
  <si>
    <t xml:space="preserve">WENDY ZACARIAS TEIXEIRA</t>
  </si>
  <si>
    <t xml:space="preserve">CARVALIMA TRANSPORTE LTDA</t>
  </si>
  <si>
    <t xml:space="preserve">RAMAO F RAMIRES</t>
  </si>
  <si>
    <t xml:space="preserve">PEDRO CURI</t>
  </si>
  <si>
    <t xml:space="preserve">GOLD FISH</t>
  </si>
  <si>
    <t xml:space="preserve">PANIFICADORA MAXI PAO LTDA</t>
  </si>
  <si>
    <t xml:space="preserve">PANIF MAXI PAO</t>
  </si>
  <si>
    <t xml:space="preserve">ITALIVIO CARLOES RAOS</t>
  </si>
  <si>
    <t xml:space="preserve">HOTEL CARAZINHO</t>
  </si>
  <si>
    <t xml:space="preserve">ODORI ANTONIO CARLI MORAIS</t>
  </si>
  <si>
    <t xml:space="preserve">LEIA DE LIMA VIANA EIRELI</t>
  </si>
  <si>
    <t xml:space="preserve">LOJA DO UM REAL MAIS</t>
  </si>
  <si>
    <t xml:space="preserve">COMERCIAL PEREIRA DE ALIMENTOS LTDA</t>
  </si>
  <si>
    <t xml:space="preserve">COMPER (SAO FRANCISCO)</t>
  </si>
  <si>
    <t xml:space="preserve">COMPER LJ 31 (FERNANDO CORREA)</t>
  </si>
  <si>
    <t xml:space="preserve">COMERCIAL PEREIRA ALIMENTOS LTDA</t>
  </si>
  <si>
    <t xml:space="preserve">COMERCIAL PEREIRA DE ALIM LTDA-047</t>
  </si>
  <si>
    <t xml:space="preserve">SM COMPER-LJ047</t>
  </si>
  <si>
    <t xml:space="preserve">OSMAR CARLESSO</t>
  </si>
  <si>
    <t xml:space="preserve">OSMAR SUPERMERCADO</t>
  </si>
  <si>
    <t xml:space="preserve">AVANILDE COUTINHO</t>
  </si>
  <si>
    <t xml:space="preserve">LIVRARIA E PAPELARIA LIEGE</t>
  </si>
  <si>
    <t xml:space="preserve">AUTO POSTO 1000 LTDA</t>
  </si>
  <si>
    <t xml:space="preserve">RESTAURANTE 1000</t>
  </si>
  <si>
    <t xml:space="preserve">ASSOCIACAO CPO GDE DOS PORT DE DEF FISI </t>
  </si>
  <si>
    <t xml:space="preserve">A C P D F</t>
  </si>
  <si>
    <t xml:space="preserve">TEREZINHA MARTINS ASSIS ARAUJO</t>
  </si>
  <si>
    <t xml:space="preserve">BAR E SORVETERIA BOXE 4</t>
  </si>
  <si>
    <t xml:space="preserve">JOAO V DA SILVA</t>
  </si>
  <si>
    <t xml:space="preserve">BAR E MERCEARIA VIEIRA</t>
  </si>
  <si>
    <t xml:space="preserve">ANA GARCETE</t>
  </si>
  <si>
    <t xml:space="preserve">MINI MERCADO TROPICAL</t>
  </si>
  <si>
    <t xml:space="preserve">MARIANO E GUIMARAES LTDA</t>
  </si>
  <si>
    <t xml:space="preserve">ROSIMEIRE NOGUEIRA MENDONCA</t>
  </si>
  <si>
    <t xml:space="preserve">GERALDO ORTIZ ZAVALA</t>
  </si>
  <si>
    <t xml:space="preserve">MERCADO SAO GERALDO</t>
  </si>
  <si>
    <t xml:space="preserve">POSTO ILHA BELA LTDA</t>
  </si>
  <si>
    <t xml:space="preserve">HUNGRY TIGER</t>
  </si>
  <si>
    <t xml:space="preserve">LOJA DE MOVEIS BUCALLON LTDA</t>
  </si>
  <si>
    <t xml:space="preserve">SM BUCALLON</t>
  </si>
  <si>
    <t xml:space="preserve">E G BRITO JARDIM</t>
  </si>
  <si>
    <t xml:space="preserve">SM RUSSO</t>
  </si>
  <si>
    <t xml:space="preserve">PISTACHE DIST DE BEBIDAS E ALIMENT LTDA </t>
  </si>
  <si>
    <t xml:space="preserve">PISTACHE DISTRIBUIDORA DE BEBI</t>
  </si>
  <si>
    <t xml:space="preserve">SADAIO SUMIDA</t>
  </si>
  <si>
    <t xml:space="preserve">MERCEARIA O PROGRESSO</t>
  </si>
  <si>
    <t xml:space="preserve">JOELI CARDOSO DOS SANTOS</t>
  </si>
  <si>
    <t xml:space="preserve">MONICA DOS SANTOS</t>
  </si>
  <si>
    <t xml:space="preserve">MERCEARIA ENTRE VILLAS</t>
  </si>
  <si>
    <t xml:space="preserve">ALVES E ROCHA LTDA</t>
  </si>
  <si>
    <t xml:space="preserve">SM IGARACUENSE</t>
  </si>
  <si>
    <t xml:space="preserve">THAYERS COSMETICOS LTDA</t>
  </si>
  <si>
    <t xml:space="preserve">YARA HIGA  CHEVERRIA</t>
  </si>
  <si>
    <t xml:space="preserve">SOBA CHOPPS E CIA</t>
  </si>
  <si>
    <t xml:space="preserve">A S FERREIRA</t>
  </si>
  <si>
    <t xml:space="preserve">MARIA JOSE VASCONCELOS</t>
  </si>
  <si>
    <t xml:space="preserve">CEREALISTA AQUIDAUANA</t>
  </si>
  <si>
    <t xml:space="preserve">BEATRIZ G M DUARTE</t>
  </si>
  <si>
    <t xml:space="preserve">PEG. PAG. SANTA CLARA</t>
  </si>
  <si>
    <t xml:space="preserve">COMERCIAL DIDI LTDA</t>
  </si>
  <si>
    <t xml:space="preserve">COMERCIAL DIDI</t>
  </si>
  <si>
    <t xml:space="preserve">SANDRA DE OLIVEIRA CRUZ 05329933145</t>
  </si>
  <si>
    <t xml:space="preserve">ENIO ROBERTO BINOTTO</t>
  </si>
  <si>
    <t xml:space="preserve">SUPERMERCADO SIQUEIRA LTDA</t>
  </si>
  <si>
    <t xml:space="preserve">SM SIQUEIRA</t>
  </si>
  <si>
    <t xml:space="preserve">ERNANDO FRANCISCO GASCO</t>
  </si>
  <si>
    <t xml:space="preserve">CASA BANHA POUCO</t>
  </si>
  <si>
    <t xml:space="preserve">JULIANA  ALVES LACERDA CUNHA</t>
  </si>
  <si>
    <t xml:space="preserve">PET FELIZ</t>
  </si>
  <si>
    <t xml:space="preserve">AUTO POSTO CIDADE TRES LAGOAS LTDA</t>
  </si>
  <si>
    <t xml:space="preserve">AUTO POSTO CIDADE</t>
  </si>
  <si>
    <t xml:space="preserve">POSTO ARARAJUBA</t>
  </si>
  <si>
    <t xml:space="preserve">DOLSION FAUSTO SOUZA BASTOS</t>
  </si>
  <si>
    <t xml:space="preserve">BAR DO TIQUINHO</t>
  </si>
  <si>
    <t xml:space="preserve">CARLOS A C COSTA E CIA LTDA</t>
  </si>
  <si>
    <t xml:space="preserve">SM LUZITANA</t>
  </si>
  <si>
    <t xml:space="preserve">SEBASTIAO NOGUEIRA</t>
  </si>
  <si>
    <t xml:space="preserve">MERCADO NOSSA SRa. APARECIDA</t>
  </si>
  <si>
    <t xml:space="preserve">SOKEN E SOUSA LTDA</t>
  </si>
  <si>
    <t xml:space="preserve">SUPERMERCADO SAO PEDRO</t>
  </si>
  <si>
    <t xml:space="preserve">J E A ALIMENTOS LTDA</t>
  </si>
  <si>
    <t xml:space="preserve">TORK OIL ELDORADO LTDA</t>
  </si>
  <si>
    <t xml:space="preserve">ANTONIA APARECIDA SILVA QUEIROZ</t>
  </si>
  <si>
    <t xml:space="preserve">PANIFICADORA PAO DO DIA</t>
  </si>
  <si>
    <t xml:space="preserve">ELIETE FARIA DE ARRUDA</t>
  </si>
  <si>
    <t xml:space="preserve">BAR E RESTAURANTE TREVAO</t>
  </si>
  <si>
    <t xml:space="preserve">SUPERMERCADO MARDEGAN LTDA</t>
  </si>
  <si>
    <t xml:space="preserve">SM MARDEGAN</t>
  </si>
  <si>
    <t xml:space="preserve">SUPERMERCADO MARDEGAN</t>
  </si>
  <si>
    <t xml:space="preserve">RONALDO LISBOA</t>
  </si>
  <si>
    <t xml:space="preserve">COMERCIAL LISBOA</t>
  </si>
  <si>
    <t xml:space="preserve">PEDRO HAIDAR</t>
  </si>
  <si>
    <t xml:space="preserve">TOMASINA ALVES VIANA DUTRA</t>
  </si>
  <si>
    <t xml:space="preserve">EDMUNDO LEZAINSKI</t>
  </si>
  <si>
    <t xml:space="preserve">JOAO ALVES MEIRA</t>
  </si>
  <si>
    <t xml:space="preserve">ACOUGUE MERCADO S.JOSE</t>
  </si>
  <si>
    <t xml:space="preserve">DOCE ARTE BOMBONNIERE LTDA</t>
  </si>
  <si>
    <t xml:space="preserve">LAURELI RAMOS CALIN</t>
  </si>
  <si>
    <t xml:space="preserve">IRACEMA FERNANDES DA SILVA</t>
  </si>
  <si>
    <t xml:space="preserve">SM JORGE</t>
  </si>
  <si>
    <t xml:space="preserve">VASCONCELOS E MARTINS LTDA</t>
  </si>
  <si>
    <t xml:space="preserve">ATACADO PRINCESA</t>
  </si>
  <si>
    <t xml:space="preserve">MARIA SOCORRO FERNANDES</t>
  </si>
  <si>
    <t xml:space="preserve">MERCADINHO E FRUT.INTERLAGOSAG</t>
  </si>
  <si>
    <t xml:space="preserve">VASCONCELOS E OLIVEIRA MINIMERCADO</t>
  </si>
  <si>
    <t xml:space="preserve">ZINHO CONVENIENCIA</t>
  </si>
  <si>
    <t xml:space="preserve">SUPERMERCADO RS LTDA</t>
  </si>
  <si>
    <t xml:space="preserve">SUPERMERCADO R.S.</t>
  </si>
  <si>
    <t xml:space="preserve">E MOREIRA COMERCIAL</t>
  </si>
  <si>
    <t xml:space="preserve">VERDI FRUTTI SUCOS</t>
  </si>
  <si>
    <t xml:space="preserve">COMERCIO DE ALIMENTOS MIRAGE LTDA</t>
  </si>
  <si>
    <t xml:space="preserve">COML MIRAGE</t>
  </si>
  <si>
    <t xml:space="preserve">JPP CONVENIENCIA E BEBIDAS EIRELI</t>
  </si>
  <si>
    <t xml:space="preserve">ROTA 060 CONVENIENCIA</t>
  </si>
  <si>
    <t xml:space="preserve">KIGOHAN COMERCIO DE PRODS ORIENTAIS LTDA</t>
  </si>
  <si>
    <t xml:space="preserve">KIGOHAN</t>
  </si>
  <si>
    <t xml:space="preserve">RAMIRO RODRIGO MARTINS</t>
  </si>
  <si>
    <t xml:space="preserve">CELSO NEVES FARIAS</t>
  </si>
  <si>
    <t xml:space="preserve">MERCEARIA ALVORECER</t>
  </si>
  <si>
    <t xml:space="preserve">LUAN PITTER PINHEIRO 01700621122</t>
  </si>
  <si>
    <t xml:space="preserve">JOAO DORNELLAS DE OLIVEIRA NETO</t>
  </si>
  <si>
    <t xml:space="preserve">MERCADO JOAO DORNELES</t>
  </si>
  <si>
    <t xml:space="preserve">IRMAOS HERANCE LTDA</t>
  </si>
  <si>
    <t xml:space="preserve">MILTON CARDOSO DA SILVA</t>
  </si>
  <si>
    <t xml:space="preserve">CLEIDE DE LIMA XARAO</t>
  </si>
  <si>
    <t xml:space="preserve">PANF NOSSO PAO</t>
  </si>
  <si>
    <t xml:space="preserve">V10 CONVENIENCIA LTDA</t>
  </si>
  <si>
    <t xml:space="preserve">V 10 CONVENIENCIA</t>
  </si>
  <si>
    <t xml:space="preserve">TANIA MARI LANCINI SCHUSTER</t>
  </si>
  <si>
    <t xml:space="preserve">VET-PORA AGROPECUARIA</t>
  </si>
  <si>
    <t xml:space="preserve">TREM BAO LANCHES LTDA</t>
  </si>
  <si>
    <t xml:space="preserve">TREM BAO</t>
  </si>
  <si>
    <t xml:space="preserve">ERALDO FERREIRA PASSOS E CIA LTDA</t>
  </si>
  <si>
    <t xml:space="preserve">PASSOS SUPER BOX</t>
  </si>
  <si>
    <t xml:space="preserve">JOSIAS IZAEL VICENTE</t>
  </si>
  <si>
    <t xml:space="preserve">SM JOMARI</t>
  </si>
  <si>
    <t xml:space="preserve">CLEUZA MORAES SANTOS</t>
  </si>
  <si>
    <t xml:space="preserve">PANIFICADORA SANTA RITA</t>
  </si>
  <si>
    <t xml:space="preserve">RKM MAQUINAS LTDA</t>
  </si>
  <si>
    <t xml:space="preserve">ZITAO CHURRASCARIA LTDA</t>
  </si>
  <si>
    <t xml:space="preserve">CHURRASCARIA ZITAO</t>
  </si>
  <si>
    <t xml:space="preserve">LEONIDAS BATISTA DE FREITAS</t>
  </si>
  <si>
    <t xml:space="preserve">MULTIPLUS COMERCIO DE ALIMENTOS LTDA</t>
  </si>
  <si>
    <t xml:space="preserve">MULTIPLUS RESTAURANTE</t>
  </si>
  <si>
    <t xml:space="preserve">EDUARDO HENRIQUE VALADAO</t>
  </si>
  <si>
    <t xml:space="preserve">VALADAO</t>
  </si>
  <si>
    <t xml:space="preserve">IVANILDO PEDRO ALVES NUNES</t>
  </si>
  <si>
    <t xml:space="preserve">MARISA CRISTINA MARQUES GARCIA</t>
  </si>
  <si>
    <t xml:space="preserve">LANCH E REST TAQUARAI</t>
  </si>
  <si>
    <t xml:space="preserve">HOTEL VALE VERDE LTDA</t>
  </si>
  <si>
    <t xml:space="preserve">HOTEL VALE VERDE</t>
  </si>
  <si>
    <t xml:space="preserve">POSTO GAUCHO</t>
  </si>
  <si>
    <t xml:space="preserve">POSTO GAUCHO II</t>
  </si>
  <si>
    <t xml:space="preserve">PRICILIANO ALVES SOUZA</t>
  </si>
  <si>
    <t xml:space="preserve">MERC SAO PAULO</t>
  </si>
  <si>
    <t xml:space="preserve">JAIME CANDIDO DA SIVLA</t>
  </si>
  <si>
    <t xml:space="preserve">PANIF VILA RICA</t>
  </si>
  <si>
    <t xml:space="preserve">FRANCISCO PIRES DE OLIVEIRA</t>
  </si>
  <si>
    <t xml:space="preserve">ERLEI LEITE DE OLIVEIRA</t>
  </si>
  <si>
    <t xml:space="preserve">CONVENIENCIA DO ERLEI</t>
  </si>
  <si>
    <t xml:space="preserve">MINI MERCADO JV LTDA</t>
  </si>
  <si>
    <t xml:space="preserve">UHDE EMPACOTADORA COM IMP EXPORT LTDA</t>
  </si>
  <si>
    <t xml:space="preserve">JORGE PEREIRA SANTOS</t>
  </si>
  <si>
    <t xml:space="preserve">MERCEARIA GLOBO</t>
  </si>
  <si>
    <t xml:space="preserve">DROGARIA SAO JOAO LTDA</t>
  </si>
  <si>
    <t xml:space="preserve">DROGARIA SAO JOAO</t>
  </si>
  <si>
    <t xml:space="preserve">RAMALHO E BEZERRA LTDA</t>
  </si>
  <si>
    <t xml:space="preserve">PANIF PAO BRASIL</t>
  </si>
  <si>
    <t xml:space="preserve">RESTAURANTE SOUZA GRILL LTDA</t>
  </si>
  <si>
    <t xml:space="preserve">RESTAURANTE SOUZA GRILL</t>
  </si>
  <si>
    <t xml:space="preserve">GURI COMERCIO DE ALIMENTOS LTDA</t>
  </si>
  <si>
    <t xml:space="preserve">VARANDA ITAPORA</t>
  </si>
  <si>
    <t xml:space="preserve">LUCIO GERHARD</t>
  </si>
  <si>
    <t xml:space="preserve">RESTAURANTE AVENIDA E QUITANDA</t>
  </si>
  <si>
    <t xml:space="preserve">FLAVIO AGUENA</t>
  </si>
  <si>
    <t xml:space="preserve">MARINALVA CARDOSO PRIMO ME</t>
  </si>
  <si>
    <t xml:space="preserve">PAULO JOSE FREITA</t>
  </si>
  <si>
    <t xml:space="preserve">MERCADINHO FREITAS</t>
  </si>
  <si>
    <t xml:space="preserve">SM YAMASA</t>
  </si>
  <si>
    <t xml:space="preserve">LAUDEMIRO SANTANA ASSIS MELO</t>
  </si>
  <si>
    <t xml:space="preserve">MERCEARIA NOSSA SENHORA DE LUR</t>
  </si>
  <si>
    <t xml:space="preserve">CARLOS ROBERTO PEREIRA FARMACIA</t>
  </si>
  <si>
    <t xml:space="preserve">DROGARIA NOSSA SENHORA APARECI</t>
  </si>
  <si>
    <t xml:space="preserve">WALDIR RABACOW</t>
  </si>
  <si>
    <t xml:space="preserve">GARCAS PADARIA E CONFEITARIA</t>
  </si>
  <si>
    <t xml:space="preserve">RESTAURANTE FOGAO DE LENHA LTDA</t>
  </si>
  <si>
    <t xml:space="preserve">RESTAURANTE FOGAO DE LENHA</t>
  </si>
  <si>
    <t xml:space="preserve">DROGARIA BIOFARMA LTDA</t>
  </si>
  <si>
    <t xml:space="preserve">BIOFARMA</t>
  </si>
  <si>
    <t xml:space="preserve">TERUKO OHARA OLIVEIRA</t>
  </si>
  <si>
    <t xml:space="preserve">COMERCIAL MISA</t>
  </si>
  <si>
    <t xml:space="preserve">PANIFICADORA DA FAMILIA</t>
  </si>
  <si>
    <t xml:space="preserve">DAVI BENITEZ ARCE</t>
  </si>
  <si>
    <t xml:space="preserve">MERCADO E ACOUGUE FRONTEIRA</t>
  </si>
  <si>
    <t xml:space="preserve">MERCEARIA E ACOUGUE DOIS IRMAOS LTDA</t>
  </si>
  <si>
    <t xml:space="preserve">KOVALSKI E GARCIA COMERCIO DE ALIM LTDA </t>
  </si>
  <si>
    <t xml:space="preserve">MERCADO IRACEMA</t>
  </si>
  <si>
    <t xml:space="preserve">MARCELO TINOCO QUINTANA</t>
  </si>
  <si>
    <t xml:space="preserve">TIME BEER MERC E CONVENIENCIA</t>
  </si>
  <si>
    <t xml:space="preserve">JOSE EDENIR FREZARIN</t>
  </si>
  <si>
    <t xml:space="preserve">JAMERSON DA SILVA FIGUEIREDO EIRELI</t>
  </si>
  <si>
    <t xml:space="preserve">ULTRA FARMA TOTAL</t>
  </si>
  <si>
    <t xml:space="preserve">ULTRA FARMA</t>
  </si>
  <si>
    <t xml:space="preserve">ADRIANO CLARINDO DA SILVA</t>
  </si>
  <si>
    <t xml:space="preserve">MERC CONV SILVA</t>
  </si>
  <si>
    <t xml:space="preserve">WAGNER EFREM DUTRA DOS REIS</t>
  </si>
  <si>
    <t xml:space="preserve">CONVENIENCIA TOP BEER</t>
  </si>
  <si>
    <t xml:space="preserve">G B CORREA DA SILVA</t>
  </si>
  <si>
    <t xml:space="preserve">CORREA DA SILVA</t>
  </si>
  <si>
    <t xml:space="preserve">ECHOPE GROUP LTDA</t>
  </si>
  <si>
    <t xml:space="preserve">ECHOPE 01</t>
  </si>
  <si>
    <t xml:space="preserve">ECHOPE</t>
  </si>
  <si>
    <t xml:space="preserve">LPO COMERCIO DE BEBIDAS LTDA</t>
  </si>
  <si>
    <t xml:space="preserve">CLICKBEER</t>
  </si>
  <si>
    <t xml:space="preserve">MERCEARIA DK</t>
  </si>
  <si>
    <t xml:space="preserve">BRUNO HENRIQUE ANACLETO</t>
  </si>
  <si>
    <t xml:space="preserve">A NOGUEIRA VEIBER EIRELI</t>
  </si>
  <si>
    <t xml:space="preserve">REDEPOSTO MS COM COMB LTDA</t>
  </si>
  <si>
    <t xml:space="preserve">CARLOS CESAR TORNELLO DE OLIVEIRA</t>
  </si>
  <si>
    <t xml:space="preserve">MERCADINHO CZ</t>
  </si>
  <si>
    <t xml:space="preserve">VALTER ALVES DA CUNHA</t>
  </si>
  <si>
    <t xml:space="preserve">DEBORA SILVA ALBUQUERQUE MELO</t>
  </si>
  <si>
    <t xml:space="preserve">PANDORA MY PET</t>
  </si>
  <si>
    <t xml:space="preserve">FERNANDA MAYUMI FUZI MANZUR</t>
  </si>
  <si>
    <t xml:space="preserve">BENDITO CAFE</t>
  </si>
  <si>
    <t xml:space="preserve">IGOR DA SILVA LOPES</t>
  </si>
  <si>
    <t xml:space="preserve">CACIQUE</t>
  </si>
  <si>
    <t xml:space="preserve">FRANCISLENE CAMARGO DE ANCHIETA STABILE </t>
  </si>
  <si>
    <t xml:space="preserve">PET SHOP BICHO MIMADO</t>
  </si>
  <si>
    <t xml:space="preserve">ALEX SANDER BERNAL YUCRA JACOME</t>
  </si>
  <si>
    <t xml:space="preserve">MERCEARIA ISABEL</t>
  </si>
  <si>
    <t xml:space="preserve">WILLIAMS ZERNA CUELLAR 02473076103</t>
  </si>
  <si>
    <t xml:space="preserve">MERCEARIA AEROPORTO</t>
  </si>
  <si>
    <t xml:space="preserve">GABRIEL CAZON ALARCON</t>
  </si>
  <si>
    <t xml:space="preserve">COMERCIAL GABRIEL</t>
  </si>
  <si>
    <t xml:space="preserve">GIANT PET SHOP EIRELI</t>
  </si>
  <si>
    <t xml:space="preserve">FANTASIA PET HERE</t>
  </si>
  <si>
    <t xml:space="preserve">WAGNER GERMANO DE OLIVEIRA</t>
  </si>
  <si>
    <t xml:space="preserve">SABOR DO CAMPO</t>
  </si>
  <si>
    <t xml:space="preserve">S. B. DE FREITAS</t>
  </si>
  <si>
    <t xml:space="preserve">YPE CONVENIENCIA</t>
  </si>
  <si>
    <t xml:space="preserve">D M DE OLIVEIRA JUNIOR LTDA</t>
  </si>
  <si>
    <t xml:space="preserve">FERAS PETSHOP</t>
  </si>
  <si>
    <t xml:space="preserve">FERAS PET SHOP</t>
  </si>
  <si>
    <t xml:space="preserve">EMPRESA BRASILEIRA TELECOMUNICACOES SA  </t>
  </si>
  <si>
    <t xml:space="preserve">21 EMBRATEL</t>
  </si>
  <si>
    <t xml:space="preserve">PAULO CESAR ANTUNES DE MORAES ME</t>
  </si>
  <si>
    <t xml:space="preserve">PM PRODUCOES</t>
  </si>
  <si>
    <t xml:space="preserve">INGRID GONZALEZ</t>
  </si>
  <si>
    <t xml:space="preserve">FORTIFRUT E MERCEARIA DA FAMIL</t>
  </si>
  <si>
    <t xml:space="preserve">CONVENIENCIA RODOBRAS LTDA</t>
  </si>
  <si>
    <t xml:space="preserve">CONVENIENCIA RODOBRAS</t>
  </si>
  <si>
    <t xml:space="preserve">NUTRI DOG COMERCIO DE RACOES EIRELI</t>
  </si>
  <si>
    <t xml:space="preserve">NUTRI DOG</t>
  </si>
  <si>
    <t xml:space="preserve">MARCIA GODOI FERREIRA</t>
  </si>
  <si>
    <t xml:space="preserve">PROVINCIA DO CREPE</t>
  </si>
  <si>
    <t xml:space="preserve">WILLIANSON FRONER VACARO</t>
  </si>
  <si>
    <t xml:space="preserve">W F MERCADO E CONVENIENCIA</t>
  </si>
  <si>
    <t xml:space="preserve">BIANCA MARIA FERREIRA LIMA</t>
  </si>
  <si>
    <t xml:space="preserve">FINO FARO PET SHOP</t>
  </si>
  <si>
    <t xml:space="preserve">ELIZANGELA PINHEIRO DA SILVA</t>
  </si>
  <si>
    <t xml:space="preserve">DEPARTAE DE CONFEITARIA</t>
  </si>
  <si>
    <t xml:space="preserve">JOSE VITOR ARAUJO DIAS</t>
  </si>
  <si>
    <t xml:space="preserve">VITOR FARMA</t>
  </si>
  <si>
    <t xml:space="preserve">GLADYS GRANADO CANO LTDA</t>
  </si>
  <si>
    <t xml:space="preserve">COMERCIAL CRUZ</t>
  </si>
  <si>
    <t xml:space="preserve">S D B AJALA EIRELI</t>
  </si>
  <si>
    <t xml:space="preserve">CENTRO MEDICO ANIMAL</t>
  </si>
  <si>
    <t xml:space="preserve">CASA DO FORRO MATERIAIS DE CONSTRUCOES L</t>
  </si>
  <si>
    <t xml:space="preserve">CASA DO FORRO</t>
  </si>
  <si>
    <t xml:space="preserve">VERA LUCIA PEREIRA DE OLIVEIRA</t>
  </si>
  <si>
    <t xml:space="preserve">COMERCIAL VERA LUCIA PEREIRA</t>
  </si>
  <si>
    <t xml:space="preserve">JOSIMARI ROMERO RIBEIRO</t>
  </si>
  <si>
    <t xml:space="preserve">HORTIFRUTI GALEGO</t>
  </si>
  <si>
    <t xml:space="preserve">TALITHA DE SENA BORGO 03142096116</t>
  </si>
  <si>
    <t xml:space="preserve">SIL PET SHOP</t>
  </si>
  <si>
    <t xml:space="preserve">ALVES E FRANDOLOSO LTDA</t>
  </si>
  <si>
    <t xml:space="preserve">COSTELARIA GAUCHO GASTAO</t>
  </si>
  <si>
    <t xml:space="preserve">ARTENISA ROMERO DE ARRUDA</t>
  </si>
  <si>
    <t xml:space="preserve">LANCHAO E CONVENIENCIA</t>
  </si>
  <si>
    <t xml:space="preserve">R3 COMERCIO LTDA</t>
  </si>
  <si>
    <t xml:space="preserve">BOM DA TERRA</t>
  </si>
  <si>
    <t xml:space="preserve">MARQUES TRANSPORTES</t>
  </si>
  <si>
    <t xml:space="preserve">THIAGO DOS SANTOS CAITANO</t>
  </si>
  <si>
    <t xml:space="preserve">JULIO CESAR AGUIRRE DA SILVA LTDA</t>
  </si>
  <si>
    <t xml:space="preserve">CASA DE CARNES E MINIMERCADO CORUJAO</t>
  </si>
  <si>
    <t xml:space="preserve">LENNON E FORTUNATO LTDA</t>
  </si>
  <si>
    <t xml:space="preserve">67 COMERCIO DE BEBIDAS LTDA</t>
  </si>
  <si>
    <t xml:space="preserve">A DE SOUZA</t>
  </si>
  <si>
    <t xml:space="preserve">SOUZA TRANSPORTES</t>
  </si>
  <si>
    <t xml:space="preserve">ALEXANDRE VALE SILVA 01872709109</t>
  </si>
  <si>
    <t xml:space="preserve">MERCADO DU VALLE</t>
  </si>
  <si>
    <t xml:space="preserve">J C DOS SANTOS SILVEIRA</t>
  </si>
  <si>
    <t xml:space="preserve">CHURRASCARIA SOLEDADE</t>
  </si>
  <si>
    <t xml:space="preserve">ANTONIO GILSON RODRIGUES DA SILVA</t>
  </si>
  <si>
    <t xml:space="preserve">CONVENIENCIA POINT BERR</t>
  </si>
  <si>
    <t xml:space="preserve">PROVINCIA COMERCIO DE ALIMENTOS EIRELI  </t>
  </si>
  <si>
    <t xml:space="preserve">PROVINCIA DA CARNE</t>
  </si>
  <si>
    <t xml:space="preserve">FABIO JUNIOR DRUM DOS SANTOS</t>
  </si>
  <si>
    <t xml:space="preserve">J R DRUM</t>
  </si>
  <si>
    <t xml:space="preserve">IMPERIO RESTAURANTE E PIZZARIA LTDA</t>
  </si>
  <si>
    <t xml:space="preserve">IMPERIO LOUNGE BAR E PIZZARIA</t>
  </si>
  <si>
    <t xml:space="preserve">M H  BARBOSA E RODRIGUES &amp; CIA LTDA</t>
  </si>
  <si>
    <t xml:space="preserve">BEIRA RIO HOTEL</t>
  </si>
  <si>
    <t xml:space="preserve">PANIFICADORA E CONFEITARIA IGUACU LTDA  </t>
  </si>
  <si>
    <t xml:space="preserve">PANF IGUACU</t>
  </si>
  <si>
    <t xml:space="preserve">COOPERATIVA AGROPECUARIA DE PARANAIBA</t>
  </si>
  <si>
    <t xml:space="preserve">COOPAR</t>
  </si>
  <si>
    <t xml:space="preserve">MARIA SILVANEIDE NUNES MATEUS</t>
  </si>
  <si>
    <t xml:space="preserve">MAJU CONVENIENCIA</t>
  </si>
  <si>
    <t xml:space="preserve">ABN PRODUTOS VETERINARIOS LTDA ME</t>
  </si>
  <si>
    <t xml:space="preserve">NATIVOS PET</t>
  </si>
  <si>
    <t xml:space="preserve">SUPERMERCADO BRUNETTO LTDA</t>
  </si>
  <si>
    <t xml:space="preserve">SM IRMAOS BRUNETTO</t>
  </si>
  <si>
    <t xml:space="preserve">CIAL GEN ALIM VENEZA LTDA</t>
  </si>
  <si>
    <t xml:space="preserve">COMERCIAL VENEZA</t>
  </si>
  <si>
    <t xml:space="preserve">JOEL CARLOS ALVES PINHEIRO</t>
  </si>
  <si>
    <t xml:space="preserve">JOSE LUIZ MENDONCA</t>
  </si>
  <si>
    <t xml:space="preserve">SUPERMERCADO ESQUERDAO LTDA</t>
  </si>
  <si>
    <t xml:space="preserve">SM ESQUERDAO</t>
  </si>
  <si>
    <t xml:space="preserve">MEDICAL PET E CLINICA VETERINARIA LTDA  </t>
  </si>
  <si>
    <t xml:space="preserve">MEDICAL PET</t>
  </si>
  <si>
    <t xml:space="preserve">SILVAL PALAORO</t>
  </si>
  <si>
    <t xml:space="preserve">CASA DE CARNE PALBOCH</t>
  </si>
  <si>
    <t xml:space="preserve">APARECIDO FERNANDES RIBAS</t>
  </si>
  <si>
    <t xml:space="preserve">COMERCIAL RIBAS</t>
  </si>
  <si>
    <t xml:space="preserve">MONICA ZORAIDE FERNANDES LEITE</t>
  </si>
  <si>
    <t xml:space="preserve">ANIBALDO OLIVEIRA ALIMENTOS</t>
  </si>
  <si>
    <t xml:space="preserve">SM QUERENCIA</t>
  </si>
  <si>
    <t xml:space="preserve">OTACIO MARQUES BARBOSA</t>
  </si>
  <si>
    <t xml:space="preserve">ERIN KUNIO UECHI</t>
  </si>
  <si>
    <t xml:space="preserve">SACOLAO PIRAMIDE</t>
  </si>
  <si>
    <t xml:space="preserve">ELENICE PEREIRA DA SILVA MOREL</t>
  </si>
  <si>
    <t xml:space="preserve">BAR MERCEARIA JOSE ABRAO</t>
  </si>
  <si>
    <t xml:space="preserve">ANGELINO GONCALVES ROCHA</t>
  </si>
  <si>
    <t xml:space="preserve">MERCEARIA REGINA</t>
  </si>
  <si>
    <t xml:space="preserve">BOX DA TEREZA PRODUTOS ALIMENTICIOS LTDA</t>
  </si>
  <si>
    <t xml:space="preserve">BOX DA TEREZA</t>
  </si>
  <si>
    <t xml:space="preserve">DOUGLAS FELLIPE MENDONCA ALVES</t>
  </si>
  <si>
    <t xml:space="preserve">DELNICE EUJACIO ALVES</t>
  </si>
  <si>
    <t xml:space="preserve">DANNY MODAS</t>
  </si>
  <si>
    <t xml:space="preserve">ANTONIO CIPRIANO DO NASCIMENTO</t>
  </si>
  <si>
    <t xml:space="preserve">SM FRANCI</t>
  </si>
  <si>
    <t xml:space="preserve">JOSE PEREIRA SILVA SUPERMERCADO</t>
  </si>
  <si>
    <t xml:space="preserve">SUPERMERCADO BAHIA</t>
  </si>
  <si>
    <t xml:space="preserve">LUCIA MARIA M ANTUNES SOUZA</t>
  </si>
  <si>
    <t xml:space="preserve">BAR E MERCEARIA STA MARIA</t>
  </si>
  <si>
    <t xml:space="preserve">PANIFICADORA LARISSA LTDA</t>
  </si>
  <si>
    <t xml:space="preserve">EDILSON V DA SILVA E CIA LTDA</t>
  </si>
  <si>
    <t xml:space="preserve">VALDEMIR ALVES CAETANO</t>
  </si>
  <si>
    <t xml:space="preserve">MSR - SUPERMERCADO LTDA</t>
  </si>
  <si>
    <t xml:space="preserve">MSR SUPERMERCADO</t>
  </si>
  <si>
    <t xml:space="preserve">VICENTE ANSELMO SANTOS ME</t>
  </si>
  <si>
    <t xml:space="preserve">MINIMERCADO POLYANA</t>
  </si>
  <si>
    <t xml:space="preserve">DRAGAO COMERCIO DE DERIV PETROLEO LTDA  </t>
  </si>
  <si>
    <t xml:space="preserve">B R MANIA</t>
  </si>
  <si>
    <t xml:space="preserve">SACOLAO CENTRAL DE ALIMENTOS LTDA</t>
  </si>
  <si>
    <t xml:space="preserve">AMERICO FARIAS</t>
  </si>
  <si>
    <t xml:space="preserve">COMERCIAL MANDU</t>
  </si>
  <si>
    <t xml:space="preserve">SAMUEL ANTONIO ALVES</t>
  </si>
  <si>
    <t xml:space="preserve">AGROVET</t>
  </si>
  <si>
    <t xml:space="preserve">MERCADO E ACOUGUE AQUARIOS</t>
  </si>
  <si>
    <t xml:space="preserve">OCLECIANO ALVES DA SILVA</t>
  </si>
  <si>
    <t xml:space="preserve">NAIR DE LOURDES THOME</t>
  </si>
  <si>
    <t xml:space="preserve">KI LEGAL ARTEZANATO</t>
  </si>
  <si>
    <t xml:space="preserve">CENTRO DE LAZER DE OFICAIS DE NIOAQUE</t>
  </si>
  <si>
    <t xml:space="preserve">CELON</t>
  </si>
  <si>
    <t xml:space="preserve">LUCIA I V MAKSOUD MERCADO</t>
  </si>
  <si>
    <t xml:space="preserve">PEG E PAG MERCADO</t>
  </si>
  <si>
    <t xml:space="preserve">MERCEARIA AZUL LTDA</t>
  </si>
  <si>
    <t xml:space="preserve">MERCEARIA AZUL</t>
  </si>
  <si>
    <t xml:space="preserve">MERCADO DANI</t>
  </si>
  <si>
    <t xml:space="preserve">NANTES E BRITO LTDA</t>
  </si>
  <si>
    <t xml:space="preserve">SM NANTES</t>
  </si>
  <si>
    <t xml:space="preserve">MARIA APARECIDA PUCI ALVES</t>
  </si>
  <si>
    <t xml:space="preserve">E MERCEARIA VEIO CHICO</t>
  </si>
  <si>
    <t xml:space="preserve">MERCADO AVAI LTDA</t>
  </si>
  <si>
    <t xml:space="preserve">MERCEARIA HAWAI</t>
  </si>
  <si>
    <t xml:space="preserve">DECISIVO CURSOS LIVRES LTDA</t>
  </si>
  <si>
    <t xml:space="preserve">COLEGIO DECISIVO</t>
  </si>
  <si>
    <t xml:space="preserve">JOAO GAMBARRA</t>
  </si>
  <si>
    <t xml:space="preserve">MERCADO GAMBARRA</t>
  </si>
  <si>
    <t xml:space="preserve">TEREZA YAMADA</t>
  </si>
  <si>
    <t xml:space="preserve">PANIFICADORA E CONF. YAMADA</t>
  </si>
  <si>
    <t xml:space="preserve">GRAO SANTO EMPORIO DE PRODUTOS</t>
  </si>
  <si>
    <t xml:space="preserve">GRAO SANTO EMPORIO</t>
  </si>
  <si>
    <t xml:space="preserve">ANACLETO FASSINA</t>
  </si>
  <si>
    <t xml:space="preserve">WALTER PEREIRA SOUZA</t>
  </si>
  <si>
    <t xml:space="preserve">CARMEN APARECIDA SANTIAGO LIMA</t>
  </si>
  <si>
    <t xml:space="preserve">CASA VETERINARIA CRIACAO</t>
  </si>
  <si>
    <t xml:space="preserve">MAIS Q CERVEJA DISTRIBUIDORA DE BEBIDAS </t>
  </si>
  <si>
    <t xml:space="preserve">MAIS Q CERVEJA CONVENIENCIA</t>
  </si>
  <si>
    <t xml:space="preserve">SUPERMERCADOS THOME LTDA</t>
  </si>
  <si>
    <t xml:space="preserve">THOME EXPRESS</t>
  </si>
  <si>
    <t xml:space="preserve">SUPERMERCADO PASSE BEM LTDA</t>
  </si>
  <si>
    <t xml:space="preserve">ELLUS HOTEL LTDA</t>
  </si>
  <si>
    <t xml:space="preserve">ELLUS HOTEL</t>
  </si>
  <si>
    <t xml:space="preserve">VANIA MARIA FARIAS CAPRIOLI EIRELI</t>
  </si>
  <si>
    <t xml:space="preserve">KITOKS</t>
  </si>
  <si>
    <t xml:space="preserve">CELIA APARECIDA DE PAULA DUARTE</t>
  </si>
  <si>
    <t xml:space="preserve">AUTO POSTO DA PRACA LTDA</t>
  </si>
  <si>
    <t xml:space="preserve">AUTO POSTO DA PRACA</t>
  </si>
  <si>
    <t xml:space="preserve">GALESKI COMERCIO DE RACOES LTDA ME</t>
  </si>
  <si>
    <t xml:space="preserve">FALCAO E FALCAO LTDA</t>
  </si>
  <si>
    <t xml:space="preserve">MENDES E ALVES LTDA</t>
  </si>
  <si>
    <t xml:space="preserve">MERCADO VALE DO SOL</t>
  </si>
  <si>
    <t xml:space="preserve">MINI MERCADO LOPES LTDA</t>
  </si>
  <si>
    <t xml:space="preserve">MELO E PARDINHO LTDA</t>
  </si>
  <si>
    <t xml:space="preserve">ROTELE DISTRIBUIDORA DE BEBIDAS LTDA</t>
  </si>
  <si>
    <t xml:space="preserve">ROTELE</t>
  </si>
  <si>
    <t xml:space="preserve">CARLOS NOERCIO BARBOSA</t>
  </si>
  <si>
    <t xml:space="preserve">CENTRO GELO CONVENIENCIA</t>
  </si>
  <si>
    <t xml:space="preserve">VALDAIR FAUSTINO PARREIRA</t>
  </si>
  <si>
    <t xml:space="preserve">MERCEARIA PARREIRA</t>
  </si>
  <si>
    <t xml:space="preserve">PAO E TAL CONVENIENCIAS LTDA</t>
  </si>
  <si>
    <t xml:space="preserve">PAO E TAL CONVENIENCIAS</t>
  </si>
  <si>
    <t xml:space="preserve">CICERO GERMANO PEREIRA</t>
  </si>
  <si>
    <t xml:space="preserve">CONFEITARIA DOCES E SABORES</t>
  </si>
  <si>
    <t xml:space="preserve">JOSE CLAUDIO HOFFMANN</t>
  </si>
  <si>
    <t xml:space="preserve">CONEXAO BEER</t>
  </si>
  <si>
    <t xml:space="preserve">DUARTE E AZEVEDO LTDA</t>
  </si>
  <si>
    <t xml:space="preserve">CASTILHO VIEIRA E CIA LTDA</t>
  </si>
  <si>
    <t xml:space="preserve">PAO E TUDO MAIS CONV. E PADAR.</t>
  </si>
  <si>
    <t xml:space="preserve">A H M MENDES</t>
  </si>
  <si>
    <t xml:space="preserve">MERCADO 201</t>
  </si>
  <si>
    <t xml:space="preserve">GERALDO FALCO SOBRINHO</t>
  </si>
  <si>
    <t xml:space="preserve">MERCADO NOSSA SR APARECIDA</t>
  </si>
  <si>
    <t xml:space="preserve">O M MARQUES E CIA LTDA</t>
  </si>
  <si>
    <t xml:space="preserve">KIKAO RESTAURANTE E CHOPERIA</t>
  </si>
  <si>
    <t xml:space="preserve">JOSE MARIO ALBERTINI</t>
  </si>
  <si>
    <t xml:space="preserve">CASA DOURADINA</t>
  </si>
  <si>
    <t xml:space="preserve">S G COMERCIO DE ALIMENTOS LTDA</t>
  </si>
  <si>
    <t xml:space="preserve">SUPERMERCADO SAO GERALDO</t>
  </si>
  <si>
    <t xml:space="preserve">MERCADO TUPI</t>
  </si>
  <si>
    <t xml:space="preserve">NILVA SILVA PISSURNO</t>
  </si>
  <si>
    <t xml:space="preserve">LANCHONETE PISSURNO</t>
  </si>
  <si>
    <t xml:space="preserve">PORTES E PORTES LTDA</t>
  </si>
  <si>
    <t xml:space="preserve">DEPOSITO SAO JOSE</t>
  </si>
  <si>
    <t xml:space="preserve">LIMA SOARDI E GRENZEL LTDA</t>
  </si>
  <si>
    <t xml:space="preserve">JOANA MARTINS CORONEL</t>
  </si>
  <si>
    <t xml:space="preserve">CASA SERTAOZINHO</t>
  </si>
  <si>
    <t xml:space="preserve">SUPERMERCADO SANTANA LTDA</t>
  </si>
  <si>
    <t xml:space="preserve">LUIZ CARLOS TAMIOZZO</t>
  </si>
  <si>
    <t xml:space="preserve">A?OUGUE E CONV BRIANZA</t>
  </si>
  <si>
    <t xml:space="preserve">SUPERMERCADO FRIGOBIFE LTDA</t>
  </si>
  <si>
    <t xml:space="preserve">CASA DE CARNE FRIGOBIFE</t>
  </si>
  <si>
    <t xml:space="preserve">CANTINA LARANJA CAFE LTDA</t>
  </si>
  <si>
    <t xml:space="preserve">SUPERMERCADO BIG RIO LTDA</t>
  </si>
  <si>
    <t xml:space="preserve">SM BIG RIO</t>
  </si>
  <si>
    <t xml:space="preserve">DROGARIA NISSEY LTDA EPP</t>
  </si>
  <si>
    <t xml:space="preserve">DROGARIA NIPON</t>
  </si>
  <si>
    <t xml:space="preserve">ANDRE GUSTAVO DOS SANTOS JACINTO</t>
  </si>
  <si>
    <t xml:space="preserve">ALIMENTOS</t>
  </si>
  <si>
    <t xml:space="preserve">PARROCK ROCKN PARRILLA</t>
  </si>
  <si>
    <t xml:space="preserve">PET SHOP DOG DOURADOS LTDA</t>
  </si>
  <si>
    <t xml:space="preserve">DOG INBOX</t>
  </si>
  <si>
    <t xml:space="preserve">HURTIFRUTI DIA A DIA EIRELI</t>
  </si>
  <si>
    <t xml:space="preserve">HURTIFRUTI DANIEL</t>
  </si>
  <si>
    <t xml:space="preserve">E A S AUTO POSTO EIRELI</t>
  </si>
  <si>
    <t xml:space="preserve">AUTO POSTO GIACOMELLI</t>
  </si>
  <si>
    <t xml:space="preserve">WENDEL FELIPE MARINHO BARBOSA</t>
  </si>
  <si>
    <t xml:space="preserve">WM CONVENIENCIA</t>
  </si>
  <si>
    <t xml:space="preserve">MATHEUS FELIPE URBANO DA SILVA</t>
  </si>
  <si>
    <t xml:space="preserve">ZOI BEERS</t>
  </si>
  <si>
    <t xml:space="preserve">JLB TRANSPORTES</t>
  </si>
  <si>
    <t xml:space="preserve">MARTINELLE FERRAGENS E FERRAMENTAS EIREL</t>
  </si>
  <si>
    <t xml:space="preserve">CAUAN FERRAGENS E FERRAMENTAS</t>
  </si>
  <si>
    <t xml:space="preserve">J M BARBOSA LTDA</t>
  </si>
  <si>
    <t xml:space="preserve">E DA SILVA LEITE</t>
  </si>
  <si>
    <t xml:space="preserve">ESCOBAR TRANSPORTES</t>
  </si>
  <si>
    <t xml:space="preserve">MIRO COMERCIO DE RACOES LTDA</t>
  </si>
  <si>
    <t xml:space="preserve">MIRO COMERCIO DE RACOES</t>
  </si>
  <si>
    <t xml:space="preserve">VALDEMIR GUSTAVO V REZENDE</t>
  </si>
  <si>
    <t xml:space="preserve">LUXX TABACARIA</t>
  </si>
  <si>
    <t xml:space="preserve">SERPA E COSTA LTDA</t>
  </si>
  <si>
    <t xml:space="preserve">AUTO POSTO ELDORADO MS EIRELI</t>
  </si>
  <si>
    <t xml:space="preserve">FABIANA HONORATO DA SILVA</t>
  </si>
  <si>
    <t xml:space="preserve">CASA DE RACOES IMPORIO</t>
  </si>
  <si>
    <t xml:space="preserve">JESSICA CHURA CRUZ</t>
  </si>
  <si>
    <t xml:space="preserve">COMERCIAL ANDERSON</t>
  </si>
  <si>
    <t xml:space="preserve">AGUIA GAS E RACOES ANIMAL EIRELI</t>
  </si>
  <si>
    <t xml:space="preserve">AGUIA GAS E RACAO ANIMAL</t>
  </si>
  <si>
    <t xml:space="preserve">LUIZA MISSAKO SHIMABUCO 99130106168</t>
  </si>
  <si>
    <t xml:space="preserve">EMPORIO BUCHMANN COM ALIM EIRELI ME</t>
  </si>
  <si>
    <t xml:space="preserve">EMPORIO BUCHMANN</t>
  </si>
  <si>
    <t xml:space="preserve">DANIELLE COELHO DOS SANTOS GUISSO EIRELI</t>
  </si>
  <si>
    <t xml:space="preserve">VITALE FARMA</t>
  </si>
  <si>
    <t xml:space="preserve">JERI BEACH CLUB BAR LTDA</t>
  </si>
  <si>
    <t xml:space="preserve">JERI BEACH CLUB</t>
  </si>
  <si>
    <t xml:space="preserve">D GOMES DOS SANTOS EIRELI</t>
  </si>
  <si>
    <t xml:space="preserve">A F DO CARMO TRANSPORTE</t>
  </si>
  <si>
    <t xml:space="preserve">VILLA FEST MERCADO LTDA</t>
  </si>
  <si>
    <t xml:space="preserve">VILLA FEST</t>
  </si>
  <si>
    <t xml:space="preserve">KAIQUE ESCURRA FERREIRA</t>
  </si>
  <si>
    <t xml:space="preserve">KF SUPERMERCADO</t>
  </si>
  <si>
    <t xml:space="preserve">DOMINGUES CONVENIENCIAS LTDA</t>
  </si>
  <si>
    <t xml:space="preserve">JN MERCADO</t>
  </si>
  <si>
    <t xml:space="preserve">ULTRA POP MORENINHA COM MED PER LTDA</t>
  </si>
  <si>
    <t xml:space="preserve">ULTRA POPULAR MORENINHA</t>
  </si>
  <si>
    <t xml:space="preserve">LUIZ GONZAGA CAMARGO</t>
  </si>
  <si>
    <t xml:space="preserve">MERCEARIA E ACOUGUE AVENIDA</t>
  </si>
  <si>
    <t xml:space="preserve">SIMONE LOURENCO LISBOA EIRELI</t>
  </si>
  <si>
    <t xml:space="preserve">ANIMAL PLANET PET SHOP</t>
  </si>
  <si>
    <t xml:space="preserve">ADRIANA PUMA MAMANI</t>
  </si>
  <si>
    <t xml:space="preserve">COMERCIAL ADRIANA</t>
  </si>
  <si>
    <t xml:space="preserve">MERCADO SOARES EIRELI</t>
  </si>
  <si>
    <t xml:space="preserve">REDE SOARES </t>
  </si>
  <si>
    <t xml:space="preserve">ALIKSON DOS SANTOS GONCALVES DIAS</t>
  </si>
  <si>
    <t xml:space="preserve">UNIVERSO DO PETE</t>
  </si>
  <si>
    <t xml:space="preserve">EVELAINE SANTOS RAMIRES</t>
  </si>
  <si>
    <t xml:space="preserve">APARECIDA PEREIRA SILVA LEITAO</t>
  </si>
  <si>
    <t xml:space="preserve">CONVENIENCIA ITAMBE</t>
  </si>
  <si>
    <t xml:space="preserve">NUNES E GONCALVES</t>
  </si>
  <si>
    <t xml:space="preserve">CLINICA ALVET</t>
  </si>
  <si>
    <t xml:space="preserve">IVANI FERREIRA</t>
  </si>
  <si>
    <t xml:space="preserve">MICHELE LACAMURA NUNES</t>
  </si>
  <si>
    <t xml:space="preserve">PARADA PET</t>
  </si>
  <si>
    <t xml:space="preserve">GESIANE BRAZ DE MELO</t>
  </si>
  <si>
    <t xml:space="preserve">MERCEARIA GT</t>
  </si>
  <si>
    <t xml:space="preserve">RODRIGO FERREIRA LUIZ FRANCA</t>
  </si>
  <si>
    <t xml:space="preserve">NICHOLAS FAVARETTO</t>
  </si>
  <si>
    <t xml:space="preserve">CASA DE RACOES FAVARETTO</t>
  </si>
  <si>
    <t xml:space="preserve">SIDNEI BATISTA JUNIOR</t>
  </si>
  <si>
    <t xml:space="preserve">BICHO ESTIMADO</t>
  </si>
  <si>
    <t xml:space="preserve">RBM MERCEARIA E CONVENIENCIA LTDA</t>
  </si>
  <si>
    <t xml:space="preserve">CHAMA</t>
  </si>
  <si>
    <t xml:space="preserve">UP BRASIL LTDA</t>
  </si>
  <si>
    <t xml:space="preserve">UP ACESSORIOS</t>
  </si>
  <si>
    <t xml:space="preserve">VALDECIR AMBROSIO PEREIRA EIRELI</t>
  </si>
  <si>
    <t xml:space="preserve">F M EMPORIO E BEBIDAS LTDA</t>
  </si>
  <si>
    <t xml:space="preserve">TOCA BEER</t>
  </si>
  <si>
    <t xml:space="preserve">NATALIA MOURA DE SOUZA DIAS</t>
  </si>
  <si>
    <t xml:space="preserve">FOX PET SHOP</t>
  </si>
  <si>
    <t xml:space="preserve">P BORGES DRUMOND EIRELI</t>
  </si>
  <si>
    <t xml:space="preserve">FRANCO E LOPES LTDA</t>
  </si>
  <si>
    <t xml:space="preserve">EMPORIO G V</t>
  </si>
  <si>
    <t xml:space="preserve">LEONARDO COSTA LEITE DE S BENITES EIRELI</t>
  </si>
  <si>
    <t xml:space="preserve">FOCAS BEER MERCEARIA</t>
  </si>
  <si>
    <t xml:space="preserve">JULIO CESAR DA SILVA ORTEGA BANDEIRA</t>
  </si>
  <si>
    <t xml:space="preserve">ARAGUAIA PET SHOP</t>
  </si>
  <si>
    <t xml:space="preserve">MARQUES COM DE PROD VETERINARIOS LTDA</t>
  </si>
  <si>
    <t xml:space="preserve">TOTO MAIS QUE UM PET</t>
  </si>
  <si>
    <t xml:space="preserve">FRANCISCA AYALA CANDIDO</t>
  </si>
  <si>
    <t xml:space="preserve">TELMO OBAL SANCHES JUNIOR LTDA</t>
  </si>
  <si>
    <t xml:space="preserve">G DA COSTA S F REPRESENTACOES LTDA</t>
  </si>
  <si>
    <t xml:space="preserve">SILVA REPRESENTACOES</t>
  </si>
  <si>
    <t xml:space="preserve">JOSE CAETANO DOS SANTOS MERCEARIA</t>
  </si>
  <si>
    <t xml:space="preserve">KAETANUS</t>
  </si>
  <si>
    <t xml:space="preserve">JJ COMERCIO DE CARNES</t>
  </si>
  <si>
    <t xml:space="preserve">NOVILHAO</t>
  </si>
  <si>
    <t xml:space="preserve">G D ACOUGUE E CONVENIENCIA LTDA</t>
  </si>
  <si>
    <t xml:space="preserve">CASA DE CARNE E CONVENIENCIA FILE DO BOI</t>
  </si>
  <si>
    <t xml:space="preserve">LEIDE DAIANE DE OLIVEIRA 01704638186</t>
  </si>
  <si>
    <t xml:space="preserve">PET MAIS</t>
  </si>
  <si>
    <t xml:space="preserve">PORTO CONVENIENCIA COMERCIO DE ALIMENTOS</t>
  </si>
  <si>
    <t xml:space="preserve">MV CONVENIENCIA</t>
  </si>
  <si>
    <t xml:space="preserve">PANIFICADORA E CONF PENETTERIA EIRELI</t>
  </si>
  <si>
    <t xml:space="preserve">PADARIA PANETTERIA</t>
  </si>
  <si>
    <t xml:space="preserve">PANIFICADORA E CONFEITARIA PANETTERIA EI</t>
  </si>
  <si>
    <t xml:space="preserve">PANIFICADORA PANETTERIA</t>
  </si>
  <si>
    <t xml:space="preserve">JOSE APARECIDO DOS SANTOS TRANSPORTES</t>
  </si>
  <si>
    <t xml:space="preserve">JAS TRANSPORTE</t>
  </si>
  <si>
    <t xml:space="preserve">MERCADO OASIS</t>
  </si>
  <si>
    <t xml:space="preserve">SUPRI LAR</t>
  </si>
  <si>
    <t xml:space="preserve">E3 COMERCIO DE PROD AGROPECUARIOS EIRELI</t>
  </si>
  <si>
    <t xml:space="preserve">PETS FRIEND</t>
  </si>
  <si>
    <t xml:space="preserve">CLEONILDE ANDRE LIMA RAMOS</t>
  </si>
  <si>
    <t xml:space="preserve">FROZEN TAI SORVETERIA E ACAI</t>
  </si>
  <si>
    <t xml:space="preserve">REJANE VILALVA AMORIM EIRELI</t>
  </si>
  <si>
    <t xml:space="preserve">GILDA SILVA</t>
  </si>
  <si>
    <t xml:space="preserve">PANIFICADORA OLIVEIRA</t>
  </si>
  <si>
    <t xml:space="preserve">BENITES E BUENO LTDA</t>
  </si>
  <si>
    <t xml:space="preserve">MARRUA - CARNES E CERVEJAS</t>
  </si>
  <si>
    <t xml:space="preserve">MATHEUS MOREIRA BONGARTE</t>
  </si>
  <si>
    <t xml:space="preserve">GREEN TABLE E POKER E BAR</t>
  </si>
  <si>
    <t xml:space="preserve">GREEN TABLE POKER E BAR</t>
  </si>
  <si>
    <t xml:space="preserve">FERNANDO A A DA SILVA EIRELI</t>
  </si>
  <si>
    <t xml:space="preserve">PETCLEAN PET SHOP LTDA</t>
  </si>
  <si>
    <t xml:space="preserve">PETCLEAN</t>
  </si>
  <si>
    <t xml:space="preserve">PAULO CEZAR DE OLIVEIRA RODRIGUES</t>
  </si>
  <si>
    <t xml:space="preserve">PALOMA DA S BARBOSA SANT CRUZ IBANEZ ME </t>
  </si>
  <si>
    <t xml:space="preserve">FARMACIA NOVA</t>
  </si>
  <si>
    <t xml:space="preserve">LEONARDO SILVA OLIVEIRA REIS 05064428103</t>
  </si>
  <si>
    <t xml:space="preserve">GAZOLLA E COSTA COMERCIO DE PRODUTOS ALI</t>
  </si>
  <si>
    <t xml:space="preserve">MERCADO E MERCEARIA PARANA</t>
  </si>
  <si>
    <t xml:space="preserve">ANA BEATRIZ MARTINEZ  SALOMAO</t>
  </si>
  <si>
    <t xml:space="preserve">ACOUGUE CONVENIENCIA SALOMAO</t>
  </si>
  <si>
    <t xml:space="preserve">DISTRIBUIDORA FIGUEIREDO LTDA</t>
  </si>
  <si>
    <t xml:space="preserve">MERCEARIA PAGUE E LEVE</t>
  </si>
  <si>
    <t xml:space="preserve">ANDERSON ROGERIO DE SOUZA</t>
  </si>
  <si>
    <t xml:space="preserve">CERVEJA E CIA</t>
  </si>
  <si>
    <t xml:space="preserve">MARCIO MINORU DEAI</t>
  </si>
  <si>
    <t xml:space="preserve">IRMAOS OLIVEIRA FARMACIA LTDA</t>
  </si>
  <si>
    <t xml:space="preserve">ULTRAPOPULAR</t>
  </si>
  <si>
    <t xml:space="preserve">MDHF COM VAR DE PROD ALIMENT EIRELI</t>
  </si>
  <si>
    <t xml:space="preserve">MDHF SERVICOS</t>
  </si>
  <si>
    <t xml:space="preserve">P R FRIA EIRELI</t>
  </si>
  <si>
    <t xml:space="preserve">MERCADO 1 DE MAIO</t>
  </si>
  <si>
    <t xml:space="preserve">ALMIR ESPINDOLA</t>
  </si>
  <si>
    <t xml:space="preserve">MERCEARIA SHALON</t>
  </si>
  <si>
    <t xml:space="preserve">J A COMERCIO VAREJ DE MEDIC VET LTDA EIR</t>
  </si>
  <si>
    <t xml:space="preserve">JA AGROPECUARIA</t>
  </si>
  <si>
    <t xml:space="preserve">TATIANA DE OLIVEIRA KONDRAD</t>
  </si>
  <si>
    <t xml:space="preserve">NIEHUES E WUTZKE LTDA</t>
  </si>
  <si>
    <t xml:space="preserve">J COIMBRA FRANCO</t>
  </si>
  <si>
    <t xml:space="preserve">MERCADO JF</t>
  </si>
  <si>
    <t xml:space="preserve">ANADIR VIEIRA DA ROSA</t>
  </si>
  <si>
    <t xml:space="preserve">WESLEI MENDES RIBAS SUPERMERCADO EIRELI </t>
  </si>
  <si>
    <t xml:space="preserve">LELO SUPERMERCADOS</t>
  </si>
  <si>
    <t xml:space="preserve">MAGNATA SUPERMERCADO LTDA</t>
  </si>
  <si>
    <t xml:space="preserve">MAGNATA SUPERMERCADO</t>
  </si>
  <si>
    <t xml:space="preserve">CONVENIENCIA AVENIDA TRES LAGOAS LTDA</t>
  </si>
  <si>
    <t xml:space="preserve">I F NOGUEIRA COMERCIO DE ALIMENTOS</t>
  </si>
  <si>
    <t xml:space="preserve">ACAITERIA E HAMBURGUERIA AVENI</t>
  </si>
  <si>
    <t xml:space="preserve">MERCADO MERCE LTDA</t>
  </si>
  <si>
    <t xml:space="preserve">MERCADO MERCE</t>
  </si>
  <si>
    <t xml:space="preserve">WESLEI ARAUJO RUFINO</t>
  </si>
  <si>
    <t xml:space="preserve">RUFINO SOLAR LTDA</t>
  </si>
  <si>
    <t xml:space="preserve">J B IBANHES E CIA LTDA</t>
  </si>
  <si>
    <t xml:space="preserve">BOI GRANDE CONVENIENCIA E ACOU</t>
  </si>
  <si>
    <t xml:space="preserve">A S FILGUEIRA LTDA</t>
  </si>
  <si>
    <t xml:space="preserve">FILGUEIRA CONVENIENCIA E MERCEARIA</t>
  </si>
  <si>
    <t xml:space="preserve">FV ACOUGUE REAL LTDA</t>
  </si>
  <si>
    <t xml:space="preserve">CASA DE CARNES REAL</t>
  </si>
  <si>
    <t xml:space="preserve">NEUZA MARIA DE OLIVEIRA SANTOS</t>
  </si>
  <si>
    <t xml:space="preserve">TAMANDARE BEER</t>
  </si>
  <si>
    <t xml:space="preserve">ITAMAR CAVANHA FERNANDES LTDA</t>
  </si>
  <si>
    <t xml:space="preserve">SUPERMERCADO IPE LTDA</t>
  </si>
  <si>
    <t xml:space="preserve">EP DE OLIVEIRA CONVENIENCIA</t>
  </si>
  <si>
    <t xml:space="preserve">REGO CONVENIENCIA 2</t>
  </si>
  <si>
    <t xml:space="preserve">FRANCIS FOSTER DELMONDES</t>
  </si>
  <si>
    <t xml:space="preserve">FOSTER BARBEARIA</t>
  </si>
  <si>
    <t xml:space="preserve">LOIDE VIEIRA POVOAS</t>
  </si>
  <si>
    <t xml:space="preserve">LOID CONVENIENCIA</t>
  </si>
  <si>
    <t xml:space="preserve">DIEGO APARECIDO DA PAIXAO FAGUNDES</t>
  </si>
  <si>
    <t xml:space="preserve">CONVENIENCIA HORIZONTE</t>
  </si>
  <si>
    <t xml:space="preserve">DANIELE CRISTINI FRANCISCO DOS SANTOS</t>
  </si>
  <si>
    <t xml:space="preserve">MINI MERCADO PEDRA BONITA</t>
  </si>
  <si>
    <t xml:space="preserve">HELION DE OLIVEIRA GARCIA</t>
  </si>
  <si>
    <t xml:space="preserve">CONVENIENCIA BARRIGA VERDE LTDA</t>
  </si>
  <si>
    <t xml:space="preserve">CONVENIENCIA BARRIGA VERDE</t>
  </si>
  <si>
    <t xml:space="preserve">CLAITON GALDINO DOS SANTOS</t>
  </si>
  <si>
    <t xml:space="preserve">MERCEA E CASA DE CARN DOIS IRM</t>
  </si>
  <si>
    <t xml:space="preserve">GIVANILDO PIRES OLIVEIRA</t>
  </si>
  <si>
    <t xml:space="preserve">NOEMI ANTI ZUNIGA</t>
  </si>
  <si>
    <t xml:space="preserve">COMERCIO NOEMI</t>
  </si>
  <si>
    <t xml:space="preserve">GOMES E VITAL LTDA</t>
  </si>
  <si>
    <t xml:space="preserve">MEGA EMBALAGENS</t>
  </si>
  <si>
    <t xml:space="preserve">MARIA DE LOURDES DIAS P. MARTINES EIRELI</t>
  </si>
  <si>
    <t xml:space="preserve">CASA DE CARNES E CONV. CANAA</t>
  </si>
  <si>
    <t xml:space="preserve">GIVANILDO PINHEIRO DA SILVA</t>
  </si>
  <si>
    <t xml:space="preserve">MATHEUS THEOPHILO QUINTANA</t>
  </si>
  <si>
    <t xml:space="preserve">VIDAL PETSHOP</t>
  </si>
  <si>
    <t xml:space="preserve">FIUSA CONVENIENCIA LTDA</t>
  </si>
  <si>
    <t xml:space="preserve">CONVENIENCIA V8</t>
  </si>
  <si>
    <t xml:space="preserve">SUELLEM REGINA RODRIGUES DE LUCENA</t>
  </si>
  <si>
    <t xml:space="preserve">NANDIN CONVENIENCIA</t>
  </si>
  <si>
    <t xml:space="preserve">FREITAS E MENESES LTDA</t>
  </si>
  <si>
    <t xml:space="preserve">BROTHER S BAR</t>
  </si>
  <si>
    <t xml:space="preserve">ULTRA FARMA COMERCIO DE MEDICAMENTOS EIR</t>
  </si>
  <si>
    <t xml:space="preserve">DROGARIA ULTRA FARMA</t>
  </si>
  <si>
    <t xml:space="preserve">TORRES E VILLALBA LTDA</t>
  </si>
  <si>
    <t xml:space="preserve">AGRO ROTA</t>
  </si>
  <si>
    <t xml:space="preserve">LUANA CARNEIRO FERNANDES</t>
  </si>
  <si>
    <t xml:space="preserve">ANDRIELE MARINA C JURIATTI</t>
  </si>
  <si>
    <t xml:space="preserve">PET NAVIRAI</t>
  </si>
  <si>
    <t xml:space="preserve">ALESSANDRA SANTANA DE OLIVEIRA E SILVA  </t>
  </si>
  <si>
    <t xml:space="preserve">CRISTIANO APARECIDO DA SILVA 95548246100</t>
  </si>
  <si>
    <t xml:space="preserve">MERCEARIA E CONVENIENCIA KENZO</t>
  </si>
  <si>
    <t xml:space="preserve">B E C COMERCIO DE MEDICAMENTOS LTDA</t>
  </si>
  <si>
    <t xml:space="preserve">LETICIA CORONEL DA COSTA BOZE DOS SANTOS</t>
  </si>
  <si>
    <t xml:space="preserve">ONDA VERDE</t>
  </si>
  <si>
    <t xml:space="preserve">DAIANE MONTANIAS GONSALVES</t>
  </si>
  <si>
    <t xml:space="preserve">RCJ COMERCIO DE PRODUTOS HORTIFRUTIGRANJ</t>
  </si>
  <si>
    <t xml:space="preserve">CASA HORTIFRUTI</t>
  </si>
  <si>
    <t xml:space="preserve">LIMA E MONTEIRO LTDA</t>
  </si>
  <si>
    <t xml:space="preserve">SUPERMERCADO MONTEIRO</t>
  </si>
  <si>
    <t xml:space="preserve">MCP COMERCIO E DISTRIBUIDORA DE ALIMENTO</t>
  </si>
  <si>
    <t xml:space="preserve">MINE LIFE SUPERMERCADO E COMERCIO VAREJI</t>
  </si>
  <si>
    <t xml:space="preserve">MINE LIFE</t>
  </si>
  <si>
    <t xml:space="preserve">MERCADINHO IRMAOS ROSA LTDA</t>
  </si>
  <si>
    <t xml:space="preserve">MERCADINHO IRMAOS ROSA</t>
  </si>
  <si>
    <t xml:space="preserve">EDUARDO ALVES DE SOUZA</t>
  </si>
  <si>
    <t xml:space="preserve">RESTAURANTE HIPERASSADOS</t>
  </si>
  <si>
    <t xml:space="preserve">CREZENIR SOUSA FILHO</t>
  </si>
  <si>
    <t xml:space="preserve">MULT EMBALAGENS</t>
  </si>
  <si>
    <t xml:space="preserve">KARINE SILVA PIRES 02777528179</t>
  </si>
  <si>
    <t xml:space="preserve">MERCEARIA PIRES E SOUZA</t>
  </si>
  <si>
    <t xml:space="preserve">PANIFICADORA E ACOUGUE RONDON EIRELI</t>
  </si>
  <si>
    <t xml:space="preserve">LAYS ARAUJO PEREIRA</t>
  </si>
  <si>
    <t xml:space="preserve">ATACAREJO POPULAR</t>
  </si>
  <si>
    <t xml:space="preserve">MARIA VIRGENS DOS SANTOS</t>
  </si>
  <si>
    <t xml:space="preserve">CONVENIENCIAMA</t>
  </si>
  <si>
    <t xml:space="preserve">ANDRELLE CAROLINE DE SOUZA BRUM 05326577</t>
  </si>
  <si>
    <t xml:space="preserve">NJ CLINICA VETERINARIA POPULAR VET LTDA </t>
  </si>
  <si>
    <t xml:space="preserve">CLINICA POPULAR PET</t>
  </si>
  <si>
    <t xml:space="preserve">AILTON NOGUEIRA</t>
  </si>
  <si>
    <t xml:space="preserve">MARIA QUITANDA</t>
  </si>
  <si>
    <t xml:space="preserve">LUCAS LOPES LEITE</t>
  </si>
  <si>
    <t xml:space="preserve">CONVENIENCIA 3L</t>
  </si>
  <si>
    <t xml:space="preserve">GABRIELI DAL CHECCO DA SILVA</t>
  </si>
  <si>
    <t xml:space="preserve">CONVENIENCIA E TABACARIA AVENIDA</t>
  </si>
  <si>
    <t xml:space="preserve">REDNEY GOMES BREVILIERI</t>
  </si>
  <si>
    <t xml:space="preserve">LELECO PETSHOP</t>
  </si>
  <si>
    <t xml:space="preserve">JOAQUIM ALMEIDA TELES 49009680134</t>
  </si>
  <si>
    <t xml:space="preserve">FELICCIA SILVA ZBOROWSKI</t>
  </si>
  <si>
    <t xml:space="preserve">AGROPET TERENENSE</t>
  </si>
  <si>
    <t xml:space="preserve">BICHARADA PET SHOP LTDA</t>
  </si>
  <si>
    <t xml:space="preserve">BICHARADA PET SHOP</t>
  </si>
  <si>
    <t xml:space="preserve">GENI FERREIRA VIDA 33861579120</t>
  </si>
  <si>
    <t xml:space="preserve">FC COMERCIO DE FRIOS EIRELI</t>
  </si>
  <si>
    <t xml:space="preserve">COMERCIO DE FRIOS</t>
  </si>
  <si>
    <t xml:space="preserve">CESTA BASICA COMERCIO DE ALIMENTOS LTDA </t>
  </si>
  <si>
    <t xml:space="preserve">CESTA BASICA RIO VERDE</t>
  </si>
  <si>
    <t xml:space="preserve">IVANI DA SILVA GOMES 07853037821</t>
  </si>
  <si>
    <t xml:space="preserve">BARRETO CONVENIENCIA E CASA DE CARNE LTD</t>
  </si>
  <si>
    <t xml:space="preserve">BARRETO CONVENIENCIA E CASA DE CARNE</t>
  </si>
  <si>
    <t xml:space="preserve">LUIS CARLOS DO NASCIMENTO BEZERRA</t>
  </si>
  <si>
    <t xml:space="preserve">COMERCIAL SAO LUIZ</t>
  </si>
  <si>
    <t xml:space="preserve">MERCADO TODO DIA MAIS LTDA</t>
  </si>
  <si>
    <t xml:space="preserve">MERCADO TODO DIA MAIS</t>
  </si>
  <si>
    <t xml:space="preserve">HEWERTON DOS SANTOS LIMA LTDA</t>
  </si>
  <si>
    <t xml:space="preserve">PET SHOP IN BOX</t>
  </si>
  <si>
    <t xml:space="preserve">RODRIGUES SANTANA E SANDIM LTDA</t>
  </si>
  <si>
    <t xml:space="preserve">ROBSON APARECIDO FABIANO ROSA LTDA</t>
  </si>
  <si>
    <t xml:space="preserve">IMPERIO RACOES</t>
  </si>
  <si>
    <t xml:space="preserve">F A BONACOLSI LTDA</t>
  </si>
  <si>
    <t xml:space="preserve">ELVIO ROMEIRO ROCHA LINO LTDA</t>
  </si>
  <si>
    <t xml:space="preserve">ELAINE PEREIRA EGUES</t>
  </si>
  <si>
    <t xml:space="preserve">PAULAO MERCADO E CONVENIENCIA LTDA</t>
  </si>
  <si>
    <t xml:space="preserve">PAULAO MERCADO E CONVENIENCIA</t>
  </si>
  <si>
    <t xml:space="preserve">FARMACIA BRASIL POPULAR LTDA</t>
  </si>
  <si>
    <t xml:space="preserve">FARMACIA BRASIL POPULAR</t>
  </si>
  <si>
    <t xml:space="preserve">COMERCIO DE ALIMENTOS PLACIDO EIRELI</t>
  </si>
  <si>
    <t xml:space="preserve">MERCADO PLACIDO</t>
  </si>
  <si>
    <t xml:space="preserve">EBENEZER PRODUTOS PARA FESTAS LTDA</t>
  </si>
  <si>
    <t xml:space="preserve">HIPER FESTA</t>
  </si>
  <si>
    <t xml:space="preserve">A L MENDES LTDA</t>
  </si>
  <si>
    <t xml:space="preserve">DROGARIA 7 PHARMA</t>
  </si>
  <si>
    <t xml:space="preserve">MARYSTELA GUEDES ZANOLLA</t>
  </si>
  <si>
    <t xml:space="preserve">VALTER ANTONIO FERREIRA COLMAN</t>
  </si>
  <si>
    <t xml:space="preserve">COLMICK BIKE</t>
  </si>
  <si>
    <t xml:space="preserve">FERREIRA COM VAREJ MERC MINIMERCADOS LT </t>
  </si>
  <si>
    <t xml:space="preserve">CLEODIR A ARNAS</t>
  </si>
  <si>
    <t xml:space="preserve">AGROPET RIO</t>
  </si>
  <si>
    <t xml:space="preserve">EDWIN CRUZ LLUSCO</t>
  </si>
  <si>
    <t xml:space="preserve">CARLOS ALVES DE OLIVEIRA 74920499949</t>
  </si>
  <si>
    <t xml:space="preserve">GRP COMERCIO DE BEBIDAS LTDA</t>
  </si>
  <si>
    <t xml:space="preserve">BEM ME QUERO COSMESTICO LTDA</t>
  </si>
  <si>
    <t xml:space="preserve">BEM ME QUERO</t>
  </si>
  <si>
    <t xml:space="preserve">ALEXANDRE RODRIGUES BATISTA FILHO3517103</t>
  </si>
  <si>
    <t xml:space="preserve">MERCEARIA E CONVENIENCIA NOVA</t>
  </si>
  <si>
    <t xml:space="preserve">TARCISIO QUEIROZ ALVES</t>
  </si>
  <si>
    <t xml:space="preserve">SOUZA ALVES</t>
  </si>
  <si>
    <t xml:space="preserve">THAYANARA DE LEON AVALOS AMARILHA</t>
  </si>
  <si>
    <t xml:space="preserve">SANTIAGO FELIPE B ABREU</t>
  </si>
  <si>
    <t xml:space="preserve">SUPERMERCADO LEVE FACIL</t>
  </si>
  <si>
    <t xml:space="preserve">AUTO POSTO BELO HORIZONTE LTDA</t>
  </si>
  <si>
    <t xml:space="preserve">POSTO MIRANDA II</t>
  </si>
  <si>
    <t xml:space="preserve">ROSILENE DA COSTA FREIRE EIRELI</t>
  </si>
  <si>
    <t xml:space="preserve">ART EM PAES</t>
  </si>
  <si>
    <t xml:space="preserve">MERCADO CANAA PRODUTOS ALIMENTICIOS LTDA</t>
  </si>
  <si>
    <t xml:space="preserve">MERCADO CANAA - COOPHATRABALHO</t>
  </si>
  <si>
    <t xml:space="preserve">LAIS FERNANDA DE ARAUJO BATISTA</t>
  </si>
  <si>
    <t xml:space="preserve">IMPERIO DA RACAO</t>
  </si>
  <si>
    <t xml:space="preserve">ELISANGELA DAS FLORES DE S AGOSTINHO</t>
  </si>
  <si>
    <t xml:space="preserve">EMPORIO FOODS</t>
  </si>
  <si>
    <t xml:space="preserve">CASTILHO ALVES CIA LTDA</t>
  </si>
  <si>
    <t xml:space="preserve">HIPER POPULAR</t>
  </si>
  <si>
    <t xml:space="preserve">DANY ELVES COSTA DE LIMA</t>
  </si>
  <si>
    <t xml:space="preserve">AQUARELA GAS AGUA E CONVENIENC</t>
  </si>
  <si>
    <t xml:space="preserve">VIVIANE DA CRUZ P DA SILVA HORTIFRUTI</t>
  </si>
  <si>
    <t xml:space="preserve">HORTIFRUTI GAROTINHO</t>
  </si>
  <si>
    <t xml:space="preserve">ELAINE MARIA DA SILVA LIMA</t>
  </si>
  <si>
    <t xml:space="preserve">MERCEARIA DO PEPE</t>
  </si>
  <si>
    <t xml:space="preserve">ANDREIA APARECIDA BES</t>
  </si>
  <si>
    <t xml:space="preserve">J C BEZERRA</t>
  </si>
  <si>
    <t xml:space="preserve">MUSSURY  CASTELLI LTDA</t>
  </si>
  <si>
    <t xml:space="preserve">MUSSURY E CASTELLI LTDA</t>
  </si>
  <si>
    <t xml:space="preserve">ELIZANGELA CRISTINA VIANA PINTO</t>
  </si>
  <si>
    <t xml:space="preserve">FABRICIO FERREIRA KUTTERT EIRELI</t>
  </si>
  <si>
    <t xml:space="preserve">DROGAO DA ECONOMIA</t>
  </si>
  <si>
    <t xml:space="preserve">ALINNE DA SILVA COSTA SOARES</t>
  </si>
  <si>
    <t xml:space="preserve">MEGA MIX</t>
  </si>
  <si>
    <t xml:space="preserve">MEGA PETS</t>
  </si>
  <si>
    <t xml:space="preserve">VALQUIRIA APARECIDA TOMIL IMAI FERREIRA </t>
  </si>
  <si>
    <t xml:space="preserve">CONVENIENCIA EUROPA</t>
  </si>
  <si>
    <t xml:space="preserve">LF COMERCIO DE RACOES LTDA</t>
  </si>
  <si>
    <t xml:space="preserve">VILLAS PET AGRO</t>
  </si>
  <si>
    <t xml:space="preserve">GILVANA HOBOLD KRENKEL</t>
  </si>
  <si>
    <t xml:space="preserve">EXPEDITO FERREIRA CAMPOS FILHO</t>
  </si>
  <si>
    <t xml:space="preserve">GABRIEL VIEIRA GOMES 99285282172</t>
  </si>
  <si>
    <t xml:space="preserve">MERCEARIA NOVA ERA</t>
  </si>
  <si>
    <t xml:space="preserve">DONAH RESTAURANTE LTDA</t>
  </si>
  <si>
    <t xml:space="preserve">DONAH SUSHI</t>
  </si>
  <si>
    <t xml:space="preserve">LISLLEY KEMELLY LOPES ROSIO</t>
  </si>
  <si>
    <t xml:space="preserve">PET LIS</t>
  </si>
  <si>
    <t xml:space="preserve">WMS CONVENIENCIA</t>
  </si>
  <si>
    <t xml:space="preserve">WMS</t>
  </si>
  <si>
    <t xml:space="preserve">JONATAS DA SILVA MACEDO</t>
  </si>
  <si>
    <t xml:space="preserve">JS MERCEARIA</t>
  </si>
  <si>
    <t xml:space="preserve">FELIPE KEMP FERREIRA EIRELI</t>
  </si>
  <si>
    <t xml:space="preserve">PONTO FRIOS ACOUGU E LATICINIO</t>
  </si>
  <si>
    <t xml:space="preserve">RUA DA PAZ GASTRONOMIA LTDA</t>
  </si>
  <si>
    <t xml:space="preserve">RESIDENZA</t>
  </si>
  <si>
    <t xml:space="preserve">FARMACIA IRMAOS COSTA LTDA</t>
  </si>
  <si>
    <t xml:space="preserve">FARMACIA POPUPULAR MAIS SAUDE</t>
  </si>
  <si>
    <t xml:space="preserve">MR DOURADOS UTILIDADES DOMESTICAS EIRELI</t>
  </si>
  <si>
    <t xml:space="preserve">FAGUNDES COMERCIO DE BEBIDAS EIRELI</t>
  </si>
  <si>
    <t xml:space="preserve">CENTRAL CONVENIENCIA SAO GABRIEL</t>
  </si>
  <si>
    <t xml:space="preserve">VINICIUS MARCHI NICACIO MEI</t>
  </si>
  <si>
    <t xml:space="preserve">PET 3 SHOWER HOUSE</t>
  </si>
  <si>
    <t xml:space="preserve">TERRA E CHISTE LTDA</t>
  </si>
  <si>
    <t xml:space="preserve">TERRA SUPERMERCADO</t>
  </si>
  <si>
    <t xml:space="preserve">MARGARIDA PATRICIO DE JESUS</t>
  </si>
  <si>
    <t xml:space="preserve">MATOS DROGARIAS LTDA</t>
  </si>
  <si>
    <t xml:space="preserve">DROGARIAS MATOS</t>
  </si>
  <si>
    <t xml:space="preserve">KAREN JULIANE PEREIRA LOBTCHENKO</t>
  </si>
  <si>
    <t xml:space="preserve">PETZBRASIL</t>
  </si>
  <si>
    <t xml:space="preserve">RAMONA VIEIRA DIAS DE OLIVEIRA LTDA</t>
  </si>
  <si>
    <t xml:space="preserve">CONSTRUAGO 23 SE SALMOS</t>
  </si>
  <si>
    <t xml:space="preserve">ANDERSON MATEUS DOS SANTOS DINIZ</t>
  </si>
  <si>
    <t xml:space="preserve">CASA DO PET</t>
  </si>
  <si>
    <t xml:space="preserve">R W B COMERCIO DE RACOES LTDA</t>
  </si>
  <si>
    <t xml:space="preserve">AGROPET TARUMA</t>
  </si>
  <si>
    <t xml:space="preserve">S A PADILHA CONVENIENCIA</t>
  </si>
  <si>
    <t xml:space="preserve">JS CONVENIENCIA</t>
  </si>
  <si>
    <t xml:space="preserve">MAURICIO DE OLIVEIRA CANAVARROS</t>
  </si>
  <si>
    <t xml:space="preserve">SAN DIEGO CRISTO</t>
  </si>
  <si>
    <t xml:space="preserve">FERNANDO A G COM VAR MED VETERINARIOS</t>
  </si>
  <si>
    <t xml:space="preserve">CASA AUTOR DA VIDA</t>
  </si>
  <si>
    <t xml:space="preserve">REPRESENTACAO COMERCIAL ORIENTE EIRELI  </t>
  </si>
  <si>
    <t xml:space="preserve">COMERCIAL TARAB</t>
  </si>
  <si>
    <t xml:space="preserve">JOAO FERMINO SANTANA</t>
  </si>
  <si>
    <t xml:space="preserve">A DE OLIVEIRA FERNANDES</t>
  </si>
  <si>
    <t xml:space="preserve">FARMACIA FARMACITY</t>
  </si>
  <si>
    <t xml:space="preserve">ROSA CRISTINA T LIMA EIRELI</t>
  </si>
  <si>
    <t xml:space="preserve">SEREJO DISTRIBUIDORA E REPRESENTACOES</t>
  </si>
  <si>
    <t xml:space="preserve">CONVENIENCIA TROKAR</t>
  </si>
  <si>
    <t xml:space="preserve">GOMES ALVES PANIFICADORA LTDA</t>
  </si>
  <si>
    <t xml:space="preserve">PADOCA</t>
  </si>
  <si>
    <t xml:space="preserve">RAFAEL ARCANJO DA SILVA</t>
  </si>
  <si>
    <t xml:space="preserve">MERCADO MONDINI</t>
  </si>
  <si>
    <t xml:space="preserve">JULIA FELICIO DE SOUZA 06609822182</t>
  </si>
  <si>
    <t xml:space="preserve">PANTANAL ESPORTES NA AREIA LTDA</t>
  </si>
  <si>
    <t xml:space="preserve">PANTANAL BEACH</t>
  </si>
  <si>
    <t xml:space="preserve">SILMA VIERA DE OLIVEIRA</t>
  </si>
  <si>
    <t xml:space="preserve">ESIO GONZAGA COMERCIO LTDA</t>
  </si>
  <si>
    <t xml:space="preserve">MERCADO D CASA</t>
  </si>
  <si>
    <t xml:space="preserve">F DA SILVA SOUZA</t>
  </si>
  <si>
    <t xml:space="preserve">CASA DE CARNE VIEIRA</t>
  </si>
  <si>
    <t xml:space="preserve">V F DA SILVA CONVENIENCIA</t>
  </si>
  <si>
    <t xml:space="preserve">MERCEARIA E CONVENIENCIA GARCI</t>
  </si>
  <si>
    <t xml:space="preserve">ACOUGUE PANTANEIRO</t>
  </si>
  <si>
    <t xml:space="preserve">GENILCE GARCIA  LEITE</t>
  </si>
  <si>
    <t xml:space="preserve">IVANILDA DA SILVA GONCALVES</t>
  </si>
  <si>
    <t xml:space="preserve">STAR PET</t>
  </si>
  <si>
    <t xml:space="preserve">PET HOUSE SHOP ANIMAL LTDA</t>
  </si>
  <si>
    <t xml:space="preserve">RODRIGUES E RAMOS LTDA</t>
  </si>
  <si>
    <t xml:space="preserve">DUBAI CONVENIENCIA</t>
  </si>
  <si>
    <t xml:space="preserve">CRUZ E MACEDO LTDA</t>
  </si>
  <si>
    <t xml:space="preserve">SOFFI REPRESENTACOES</t>
  </si>
  <si>
    <t xml:space="preserve">FRANCIELY PIRES RUIZ LTDA</t>
  </si>
  <si>
    <t xml:space="preserve">COMERCIAL PIRES</t>
  </si>
  <si>
    <t xml:space="preserve">BAFFS ALIMENTOS RODOVIARIA CAMPO GRANDE </t>
  </si>
  <si>
    <t xml:space="preserve">BAFFS</t>
  </si>
  <si>
    <t xml:space="preserve">LUX COMERCIO E SERVICOS LTDA</t>
  </si>
  <si>
    <t xml:space="preserve">FORTHE LUX</t>
  </si>
  <si>
    <t xml:space="preserve">ANGELINA FERREIRA LIMA MOLINA</t>
  </si>
  <si>
    <t xml:space="preserve">ROMERO COMERCIO DE PROD ALIMENTICOOS LTD</t>
  </si>
  <si>
    <t xml:space="preserve">NOVO REAL 02</t>
  </si>
  <si>
    <t xml:space="preserve">ARMAZEM DA ECONOMIA LTDA</t>
  </si>
  <si>
    <t xml:space="preserve">ARMAZEM DA ECONOMIA</t>
  </si>
  <si>
    <t xml:space="preserve">R C MASCARENHAS</t>
  </si>
  <si>
    <t xml:space="preserve">MERCADO MONT CARLO</t>
  </si>
  <si>
    <t xml:space="preserve">CENTRO DE DISTRIBUICAO MALIBU BARTENDERS</t>
  </si>
  <si>
    <t xml:space="preserve">MALIBU BARTENDES</t>
  </si>
  <si>
    <t xml:space="preserve">ZELIA TEREZA SALLES</t>
  </si>
  <si>
    <t xml:space="preserve">PANAMA LANCHES</t>
  </si>
  <si>
    <t xml:space="preserve">FALCAO PET SHOP LTDA</t>
  </si>
  <si>
    <t xml:space="preserve">FALCAO PET SHOP</t>
  </si>
  <si>
    <t xml:space="preserve">PRIME HOUSE BOTIQUE DE CARNE LTDA</t>
  </si>
  <si>
    <t xml:space="preserve">EMPORIO BOTIQUE DE CARNE</t>
  </si>
  <si>
    <t xml:space="preserve">MARCIA NUNES BERINGUEL</t>
  </si>
  <si>
    <t xml:space="preserve">PADARIA E CONV. POR DO SOL</t>
  </si>
  <si>
    <t xml:space="preserve">HENRIQUE VALENCOELA COSTA</t>
  </si>
  <si>
    <t xml:space="preserve">LUIZ ADAMIAO DA SILVA</t>
  </si>
  <si>
    <t xml:space="preserve">EMERSON MANOEL DE SOUZA 96662395153</t>
  </si>
  <si>
    <t xml:space="preserve">CONVENIENCIA E MERCEARIA DO PAPAI</t>
  </si>
  <si>
    <t xml:space="preserve">SUELLEN RODRIGUES LOUBET</t>
  </si>
  <si>
    <t xml:space="preserve">MERCADO AL</t>
  </si>
  <si>
    <t xml:space="preserve">NATHALY MARTINS SOUZA</t>
  </si>
  <si>
    <t xml:space="preserve">VET HOME</t>
  </si>
  <si>
    <t xml:space="preserve">MECA COMERCIO DE ALIMENTOS LTDA</t>
  </si>
  <si>
    <t xml:space="preserve">ATACADO MANARE</t>
  </si>
  <si>
    <t xml:space="preserve">AQUINO E FLORES LTDA</t>
  </si>
  <si>
    <t xml:space="preserve">J JARDIM VEICULOS E PECAS LTDA</t>
  </si>
  <si>
    <t xml:space="preserve">J.JARDIM</t>
  </si>
  <si>
    <t xml:space="preserve">SIQUEIRA E CAMPOS LTDA</t>
  </si>
  <si>
    <t xml:space="preserve">ATACADO DO LAR LTDA</t>
  </si>
  <si>
    <t xml:space="preserve">REDEMS ATACADO DO LAR </t>
  </si>
  <si>
    <t xml:space="preserve">C MIRANDA E CIA LTDA</t>
  </si>
  <si>
    <t xml:space="preserve">ALFREDO FERREIRA AREVALDO</t>
  </si>
  <si>
    <t xml:space="preserve">PANF PAO CASEIRO</t>
  </si>
  <si>
    <t xml:space="preserve">MARIA APARECIDA SOARES DE CARVALHO</t>
  </si>
  <si>
    <t xml:space="preserve">SACOLAO NOVOS ESTADOS</t>
  </si>
  <si>
    <t xml:space="preserve">CASA DE CARNE ALINY LTDA</t>
  </si>
  <si>
    <t xml:space="preserve">FRIA E CIA LTDA</t>
  </si>
  <si>
    <t xml:space="preserve">VALTUIR APARECIDO FERREIRA</t>
  </si>
  <si>
    <t xml:space="preserve">JAIR PADILHA DE MOURA ME</t>
  </si>
  <si>
    <t xml:space="preserve">MERCADO E ACOGUE PADILHA</t>
  </si>
  <si>
    <t xml:space="preserve">ISRAEL CARLOS LOPES</t>
  </si>
  <si>
    <t xml:space="preserve">COMERCIAL LOPES</t>
  </si>
  <si>
    <t xml:space="preserve">DROGARIA ALEGRIA LTDA</t>
  </si>
  <si>
    <t xml:space="preserve">DROGARIA ALEGRIA</t>
  </si>
  <si>
    <t xml:space="preserve">MERCADO ML LTDA</t>
  </si>
  <si>
    <t xml:space="preserve">CAMPOS E NOGUEIRA LTDA</t>
  </si>
  <si>
    <t xml:space="preserve">DROGARIA CAMPOS</t>
  </si>
  <si>
    <t xml:space="preserve">SILVEIRA SOARES HOTEIS E RESTAUR LTDA</t>
  </si>
  <si>
    <t xml:space="preserve">TAPERA HOTEL</t>
  </si>
  <si>
    <t xml:space="preserve">RONEI LUIS HEFLER</t>
  </si>
  <si>
    <t xml:space="preserve">KI LANCHES</t>
  </si>
  <si>
    <t xml:space="preserve">ADEMIR CLAUDIO PEREIRA</t>
  </si>
  <si>
    <t xml:space="preserve">FLORES E FRUTAS VERA CRUZ</t>
  </si>
  <si>
    <t xml:space="preserve">QUEIROZ E SCRIPTOR LTDA</t>
  </si>
  <si>
    <t xml:space="preserve">SUPERMERCADO QUEIROZ</t>
  </si>
  <si>
    <t xml:space="preserve">MARIA JESUS SILVA NUNES</t>
  </si>
  <si>
    <t xml:space="preserve">PINGO D'AGUA COSMETICOS</t>
  </si>
  <si>
    <t xml:space="preserve">ANTONIO SOUZA DUARTE</t>
  </si>
  <si>
    <t xml:space="preserve">MINI MERCADO MACEDO</t>
  </si>
  <si>
    <t xml:space="preserve">PROTASIO E CARDOSO LTDA-ME</t>
  </si>
  <si>
    <t xml:space="preserve">SERV FESTA CONVENIENCIA</t>
  </si>
  <si>
    <t xml:space="preserve">VANILTON FRERES ARAUJO</t>
  </si>
  <si>
    <t xml:space="preserve">ACOUGUE E MERCEARIA FREREZ</t>
  </si>
  <si>
    <t xml:space="preserve">AYRTON EZEQUIEL GONCALVES JUNIOR</t>
  </si>
  <si>
    <t xml:space="preserve">CONVENIENCIA ST SABATEL</t>
  </si>
  <si>
    <t xml:space="preserve">FARMACIA NIELLY</t>
  </si>
  <si>
    <t xml:space="preserve">PANIFICADORA CONF VIENA LTDA</t>
  </si>
  <si>
    <t xml:space="preserve">PANF CONF VIENA</t>
  </si>
  <si>
    <t xml:space="preserve">LUCAS LOPES SILVA</t>
  </si>
  <si>
    <t xml:space="preserve">MERCADO POMPER</t>
  </si>
  <si>
    <t xml:space="preserve">ANTONIO DILETO ALMEIDA</t>
  </si>
  <si>
    <t xml:space="preserve">LANCH E CHURR CATARINENSE</t>
  </si>
  <si>
    <t xml:space="preserve">MERCADO MARCOS</t>
  </si>
  <si>
    <t xml:space="preserve">ANTONIO FLAVIO JOSE DE CARVALHO</t>
  </si>
  <si>
    <t xml:space="preserve">MERCEARIA ANA CRISTINA</t>
  </si>
  <si>
    <t xml:space="preserve">MSP PRODUTOS ALIMENTICIOS LTDA</t>
  </si>
  <si>
    <t xml:space="preserve">FRANCINEIDE PINHEIRO DE SOUZA VALERIO 50</t>
  </si>
  <si>
    <t xml:space="preserve">AUTO POSTO JOTAZE LTDA</t>
  </si>
  <si>
    <t xml:space="preserve">POSTO PIQUIRI II</t>
  </si>
  <si>
    <t xml:space="preserve">FERNANDES E CANGANE LTDA</t>
  </si>
  <si>
    <t xml:space="preserve">BEBI FESTAS COMERCIO DE BEBIDAS LTDA</t>
  </si>
  <si>
    <t xml:space="preserve">POSTO SHOPPHINCAR 13 DE MAIO LTDA</t>
  </si>
  <si>
    <t xml:space="preserve">POSTO SHOPPHINCAR</t>
  </si>
  <si>
    <t xml:space="preserve">CLEODIR JOSE FERREIRA</t>
  </si>
  <si>
    <t xml:space="preserve">SACOLAO DA VERDURA</t>
  </si>
  <si>
    <t xml:space="preserve">F PAULO BEZERRA</t>
  </si>
  <si>
    <t xml:space="preserve">GILSON GAZ</t>
  </si>
  <si>
    <t xml:space="preserve">TAMAR CONFEITARIA LTDA</t>
  </si>
  <si>
    <t xml:space="preserve">PADARIA E CONFEITARIA VENEZA</t>
  </si>
  <si>
    <t xml:space="preserve">FIGUEIREDO E CAMARGO</t>
  </si>
  <si>
    <t xml:space="preserve">CHURASCARIA GAUCHA</t>
  </si>
  <si>
    <t xml:space="preserve">SUPERMERCADO DO CASTILHO LTDA</t>
  </si>
  <si>
    <t xml:space="preserve">SM CASTILHO</t>
  </si>
  <si>
    <t xml:space="preserve">ODONIAS PIRES MATOS</t>
  </si>
  <si>
    <t xml:space="preserve">DELZENIR RAMOS GOUVEIA</t>
  </si>
  <si>
    <t xml:space="preserve">VETERINARIA GOUVEIA</t>
  </si>
  <si>
    <t xml:space="preserve">CASAGRANDE E AVANCE LTDA</t>
  </si>
  <si>
    <t xml:space="preserve">PADARIA E CONF GAUCHA LTDA</t>
  </si>
  <si>
    <t xml:space="preserve">PADARIA &amp; CONFEITARIA GAUCHA</t>
  </si>
  <si>
    <t xml:space="preserve">NICOLAU ALMEIDA FREITAS</t>
  </si>
  <si>
    <t xml:space="preserve">MILLE AUTO PECAS LTDA</t>
  </si>
  <si>
    <t xml:space="preserve">MILLE</t>
  </si>
  <si>
    <t xml:space="preserve">CAMPOS E LOPES LTDA</t>
  </si>
  <si>
    <t xml:space="preserve">COM DE ALIMENTOS D PAULA LTDA</t>
  </si>
  <si>
    <t xml:space="preserve">PANIF.D PAULA</t>
  </si>
  <si>
    <t xml:space="preserve">HOTEL INTERNACIONAL LTDA</t>
  </si>
  <si>
    <t xml:space="preserve">HOTEL INTERNACIONAL</t>
  </si>
  <si>
    <t xml:space="preserve">YUMIKO YUASA</t>
  </si>
  <si>
    <t xml:space="preserve">MERCEARIA PADRAO</t>
  </si>
  <si>
    <t xml:space="preserve">JOSE CARLOS PINHEIROS SANTOS</t>
  </si>
  <si>
    <t xml:space="preserve">LANCHONETE DO CARLINHOS</t>
  </si>
  <si>
    <t xml:space="preserve">CELIO ZAGO</t>
  </si>
  <si>
    <t xml:space="preserve">MERCADO CATARINENSE</t>
  </si>
  <si>
    <t xml:space="preserve">GUIROTO E GUIROTO LTDA</t>
  </si>
  <si>
    <t xml:space="preserve">36795722000127</t>
  </si>
  <si>
    <t xml:space="preserve">SABOR ENQUILO RESTAURANTE LTDA</t>
  </si>
  <si>
    <t xml:space="preserve">SABOR EN QUILO</t>
  </si>
  <si>
    <t xml:space="preserve">KADOSH COMERCIO DE ALIMENTOS LTDA</t>
  </si>
  <si>
    <t xml:space="preserve">MERC E ACOUGUE JULIANA</t>
  </si>
  <si>
    <t xml:space="preserve">JUVENAL BERNARDO DA SILVA</t>
  </si>
  <si>
    <t xml:space="preserve">SANDRA MARIA DESTEFANI</t>
  </si>
  <si>
    <t xml:space="preserve">AUGUSTO LEMES DA COSTA</t>
  </si>
  <si>
    <t xml:space="preserve">E L RACHID</t>
  </si>
  <si>
    <t xml:space="preserve">O FRANGAO</t>
  </si>
  <si>
    <t xml:space="preserve">DU BOM PANIFICADORA E SUPERMERCADO LTDA </t>
  </si>
  <si>
    <t xml:space="preserve">DU BOM PANIF</t>
  </si>
  <si>
    <t xml:space="preserve">MARIA FATIMA OLIVEIRA SALES</t>
  </si>
  <si>
    <t xml:space="preserve">CASA DO CRIADOR DE AGUA CLARA LTDA</t>
  </si>
  <si>
    <t xml:space="preserve">CASA DO CRIADOR DE AGUA CLARA</t>
  </si>
  <si>
    <t xml:space="preserve">AUTO POSTO UNIVERSITARIO LTDA</t>
  </si>
  <si>
    <t xml:space="preserve">POSTO UNIVERSITARIO</t>
  </si>
  <si>
    <t xml:space="preserve">MAQUINA ARROZ SAO PEDRO LTDA</t>
  </si>
  <si>
    <t xml:space="preserve">ALIMENTOS SIELLI</t>
  </si>
  <si>
    <t xml:space="preserve">APOLONIO E OLSEN LTDA</t>
  </si>
  <si>
    <t xml:space="preserve">MERCADO HEBRON</t>
  </si>
  <si>
    <t xml:space="preserve">DEUSDETE ARAUJO RIBEIRO</t>
  </si>
  <si>
    <t xml:space="preserve">MERCEARIA PIRATININGA</t>
  </si>
  <si>
    <t xml:space="preserve">MAGNO SEBASTIAO P NANTES</t>
  </si>
  <si>
    <t xml:space="preserve">ANTONIO HOFFMEISTER ME/MS</t>
  </si>
  <si>
    <t xml:space="preserve">MERCEARIA SERVE LAR</t>
  </si>
  <si>
    <t xml:space="preserve">J F MORAIS ME</t>
  </si>
  <si>
    <t xml:space="preserve">AGROCENTER</t>
  </si>
  <si>
    <t xml:space="preserve">COMBUSTIVEL BERDOL LTDA</t>
  </si>
  <si>
    <t xml:space="preserve">POSTO BERDOL</t>
  </si>
  <si>
    <t xml:space="preserve">PICCOLO E PICCOLO LTDA</t>
  </si>
  <si>
    <t xml:space="preserve">CASA SAO PAULO</t>
  </si>
  <si>
    <t xml:space="preserve">MARIUSA SANTANA MARTINS</t>
  </si>
  <si>
    <t xml:space="preserve">REINALDO RIGO VILLELA CIA LTDA</t>
  </si>
  <si>
    <t xml:space="preserve">REINALDO RIGO VILLELA E CIA LTDA</t>
  </si>
  <si>
    <t xml:space="preserve">SUPERMERCADO UNIAO II</t>
  </si>
  <si>
    <t xml:space="preserve">MARIA APARECIDA DE OLIVEIRA SOUZA</t>
  </si>
  <si>
    <t xml:space="preserve">SANDRO RICARDO ZVICKER</t>
  </si>
  <si>
    <t xml:space="preserve">MERCEARIA DONA LURDES</t>
  </si>
  <si>
    <t xml:space="preserve">SERGIO FERNANDES</t>
  </si>
  <si>
    <t xml:space="preserve">MENDES DISTRIBUIDORA DE BEBIDAS LTDA</t>
  </si>
  <si>
    <t xml:space="preserve">BIG FESTA CONVENIENCIAS</t>
  </si>
  <si>
    <t xml:space="preserve">SERGIO MARQUES OLIVEIRA</t>
  </si>
  <si>
    <t xml:space="preserve">MINI MERCADO BRUNO</t>
  </si>
  <si>
    <t xml:space="preserve">PIZZARIA E PEIXARIA PANTANAL LTDA</t>
  </si>
  <si>
    <t xml:space="preserve">RESTAURANTE PANTANAL</t>
  </si>
  <si>
    <t xml:space="preserve">PANTANAL PARK HOTEL LTDA</t>
  </si>
  <si>
    <t xml:space="preserve">PANTANAL PARK</t>
  </si>
  <si>
    <t xml:space="preserve">GILBERTO RAVAGNANI EPP</t>
  </si>
  <si>
    <t xml:space="preserve">LACERDAO SUPERMERCADO</t>
  </si>
  <si>
    <t xml:space="preserve">APARECIDA F M DE CARVALHO</t>
  </si>
  <si>
    <t xml:space="preserve">COMERCIAL NSA APARECIDA</t>
  </si>
  <si>
    <t xml:space="preserve">AUTO POSTO FLOR SERRA LTDA</t>
  </si>
  <si>
    <t xml:space="preserve">LANC FLOR DA SERRA</t>
  </si>
  <si>
    <t xml:space="preserve">MARIA DE FATIMA SILVA GOMES</t>
  </si>
  <si>
    <t xml:space="preserve">CONVENIENCIA E MERCEARIA GOMES</t>
  </si>
  <si>
    <t xml:space="preserve">FARMACIA VIDE VIDA LTDA</t>
  </si>
  <si>
    <t xml:space="preserve">FARMACIA VIDE VIDA</t>
  </si>
  <si>
    <t xml:space="preserve">FRANCISCO SILVIO SANTOS</t>
  </si>
  <si>
    <t xml:space="preserve">MERCEARIA GALPAO</t>
  </si>
  <si>
    <t xml:space="preserve">FAUSTINA CONCEICAO DE MATOS MARIANO</t>
  </si>
  <si>
    <t xml:space="preserve">ARS HOTEIS TURISMO LTDA</t>
  </si>
  <si>
    <t xml:space="preserve">POUSADA CURUPIRA</t>
  </si>
  <si>
    <t xml:space="preserve">FARMACIA ORIENTAL LTDA</t>
  </si>
  <si>
    <t xml:space="preserve">CICERO COELHO DE SOUZA</t>
  </si>
  <si>
    <t xml:space="preserve">MERCANTIL A INS ALIMENT LTDA</t>
  </si>
  <si>
    <t xml:space="preserve">MINI MERCADO PALMEIRAS</t>
  </si>
  <si>
    <t xml:space="preserve">MARTINS CARLOS SILVA</t>
  </si>
  <si>
    <t xml:space="preserve">ITAMAR L RODRIGUES</t>
  </si>
  <si>
    <t xml:space="preserve">MAURICIO EMILIO TREIS</t>
  </si>
  <si>
    <t xml:space="preserve">MINI MERCADO CATARINENSE</t>
  </si>
  <si>
    <t xml:space="preserve">LUIZ CARLOS ARANTES</t>
  </si>
  <si>
    <t xml:space="preserve">MARQUES E REIS LTDA</t>
  </si>
  <si>
    <t xml:space="preserve">PECBOM COMERCIO E REPRESENTACOES LTDA</t>
  </si>
  <si>
    <t xml:space="preserve">PECBOM COMERCIO E REPRESENTACOES</t>
  </si>
  <si>
    <t xml:space="preserve">INES SILVA BORGES</t>
  </si>
  <si>
    <t xml:space="preserve">BAR 44</t>
  </si>
  <si>
    <t xml:space="preserve">ATHENAS APART HOTEL</t>
  </si>
  <si>
    <t xml:space="preserve">ATENAS APAT HOTEL</t>
  </si>
  <si>
    <t xml:space="preserve">EPAMINONDAS GARCIA SIQUEIRA</t>
  </si>
  <si>
    <t xml:space="preserve">MERCEARIA E LANCH.ESTRELA</t>
  </si>
  <si>
    <t xml:space="preserve">GRANDE COMERCIO DE ALIMENTOS LTDA</t>
  </si>
  <si>
    <t xml:space="preserve">MARCIA EMI KAMITANI KODAMA</t>
  </si>
  <si>
    <t xml:space="preserve">CASARAO ORIENTAL REST</t>
  </si>
  <si>
    <t xml:space="preserve">VALTER LOURENCON ZANARDO</t>
  </si>
  <si>
    <t xml:space="preserve">MERCADO ZANARDO</t>
  </si>
  <si>
    <t xml:space="preserve">MINI MERCADO MARTINS LTDA</t>
  </si>
  <si>
    <t xml:space="preserve">JOSAFA BALBINO FALCAO EIRELI</t>
  </si>
  <si>
    <t xml:space="preserve">MERCADO SERVE BEM 2</t>
  </si>
  <si>
    <t xml:space="preserve">F DE SOUZA PEREIRA LTDA</t>
  </si>
  <si>
    <t xml:space="preserve">FABI ORTIFRUTI</t>
  </si>
  <si>
    <t xml:space="preserve">IVONE TEREZINHA DE GRAAUW GONCALVES</t>
  </si>
  <si>
    <t xml:space="preserve">CANTINA LANCHES</t>
  </si>
  <si>
    <t xml:space="preserve">ODEVAL BARBOSA</t>
  </si>
  <si>
    <t xml:space="preserve">MAX CENTER MERCADO</t>
  </si>
  <si>
    <t xml:space="preserve">FRANCISCO BOSCHETTI</t>
  </si>
  <si>
    <t xml:space="preserve">ACOUGUE PRIMAVERA</t>
  </si>
  <si>
    <t xml:space="preserve">MARIA JOSE FERREIRA</t>
  </si>
  <si>
    <t xml:space="preserve">PRO CARDIO C. CARDIORESPIRATORIO LT</t>
  </si>
  <si>
    <t xml:space="preserve">PRO CARDIO</t>
  </si>
  <si>
    <t xml:space="preserve">LEVI DA SILVA</t>
  </si>
  <si>
    <t xml:space="preserve">COMERCIO DE BEBIDAS MINUANO</t>
  </si>
  <si>
    <t xml:space="preserve">MANOEL LUIS DE MATTOS CARDOZO</t>
  </si>
  <si>
    <t xml:space="preserve">SUPERMERCADO ROSA</t>
  </si>
  <si>
    <t xml:space="preserve">CAZARI SANTOS E CIA LTDA</t>
  </si>
  <si>
    <t xml:space="preserve">MERCEARIA RIO BRANCO</t>
  </si>
  <si>
    <t xml:space="preserve">COMERCIO PORTOALEGRENSSE ALIMENTOS LTDA </t>
  </si>
  <si>
    <t xml:space="preserve">EDA BARROS DA MOTTA</t>
  </si>
  <si>
    <t xml:space="preserve">KTANDAO</t>
  </si>
  <si>
    <t xml:space="preserve">CIAL SULMATOG CARNES PRODS ALIMENT LTDA </t>
  </si>
  <si>
    <t xml:space="preserve">COMERCIAL UNIDOS</t>
  </si>
  <si>
    <t xml:space="preserve">VANDERLEI MIRANDA</t>
  </si>
  <si>
    <t xml:space="preserve">MINI MERCADO MIRANDA</t>
  </si>
  <si>
    <t xml:space="preserve">DROGARIA SAUDE POPULAR LTDA ME</t>
  </si>
  <si>
    <t xml:space="preserve">DROGARIA SAUDE POPULAR</t>
  </si>
  <si>
    <t xml:space="preserve">MERCADO PRIKARY</t>
  </si>
  <si>
    <t xml:space="preserve">ALQUIMIA HOTEL LTDS ME</t>
  </si>
  <si>
    <t xml:space="preserve">ALQUIMIA HOTEL</t>
  </si>
  <si>
    <t xml:space="preserve">CONVENIENCIA PARADA 67 LTDA</t>
  </si>
  <si>
    <t xml:space="preserve">CONVENIENCIA PARADA 67</t>
  </si>
  <si>
    <t xml:space="preserve">PEDRO APARECIDO DA SILVA33793999149</t>
  </si>
  <si>
    <t xml:space="preserve">AGRO PET PANTANAL LTDA</t>
  </si>
  <si>
    <t xml:space="preserve">PANTANAL PET</t>
  </si>
  <si>
    <t xml:space="preserve">JOAO VITOR DE ARAUJO CUNHA</t>
  </si>
  <si>
    <t xml:space="preserve">MERCADO TONHO BELO</t>
  </si>
  <si>
    <t xml:space="preserve">COMERCIO DE PRODUTOS E ALIMENTOS BOM PRE</t>
  </si>
  <si>
    <t xml:space="preserve">LUCIEE DE ARAUJO LIMA BATISTA</t>
  </si>
  <si>
    <t xml:space="preserve">TEREZA GOMES FERREIRA DE OLIVEIRA 988201</t>
  </si>
  <si>
    <t xml:space="preserve">EDMERSON FERNANDES DE CAMPOS 40432351191</t>
  </si>
  <si>
    <t xml:space="preserve">MERCEARIA E CONVENIENCIA FERNANDES</t>
  </si>
  <si>
    <t xml:space="preserve">AIRTON RODRIGUES DOS SANTOS 48092924104 </t>
  </si>
  <si>
    <t xml:space="preserve">FENIX MERCEARIA</t>
  </si>
  <si>
    <t xml:space="preserve">AMANDA ZAIRA SCHEIFELE WIETHOLTER 032007</t>
  </si>
  <si>
    <t xml:space="preserve">ALEIDO FERNANDES EIRELI</t>
  </si>
  <si>
    <t xml:space="preserve">MERCADO E CONV. SO ALEIDO</t>
  </si>
  <si>
    <t xml:space="preserve">DEIVIDSON RAFAEL SILVA DE OLIVEIRA 02738</t>
  </si>
  <si>
    <t xml:space="preserve">J D CONVENIENCIA</t>
  </si>
  <si>
    <t xml:space="preserve">FRANCISCO GINIO DE MOURA</t>
  </si>
  <si>
    <t xml:space="preserve">CONVENIENCIA VELHO CHICO</t>
  </si>
  <si>
    <t xml:space="preserve">J GONCALVES DA SILVA TRANSPORTES</t>
  </si>
  <si>
    <t xml:space="preserve">JGS TRANSPORTES</t>
  </si>
  <si>
    <t xml:space="preserve">RECANTO VIA PET COM RACOES LTDA</t>
  </si>
  <si>
    <t xml:space="preserve">RECANTO VIA PET</t>
  </si>
  <si>
    <t xml:space="preserve">JF DOS SANTOS MERCADO</t>
  </si>
  <si>
    <t xml:space="preserve">MERCADO RUI BARBOSA</t>
  </si>
  <si>
    <t xml:space="preserve">YASMIN VILALBA LISBOA</t>
  </si>
  <si>
    <t xml:space="preserve">GYREVILI</t>
  </si>
  <si>
    <t xml:space="preserve">ENA CASA DE CARNES E CONVENIENCIA</t>
  </si>
  <si>
    <t xml:space="preserve">MENDES CONVENIENCIAS</t>
  </si>
  <si>
    <t xml:space="preserve">MARGARETE RAINHA DE JESUS 81564856100</t>
  </si>
  <si>
    <t xml:space="preserve">MERCADO GOIANO</t>
  </si>
  <si>
    <t xml:space="preserve">RM RESTAURANTES LTDA</t>
  </si>
  <si>
    <t xml:space="preserve">RM RESTAURANTES</t>
  </si>
  <si>
    <t xml:space="preserve">ANTONIO CARLOS F DE CASTRO LTDA</t>
  </si>
  <si>
    <t xml:space="preserve">PADARIA E MERCEARIA FREIRE</t>
  </si>
  <si>
    <t xml:space="preserve">QUINTAL 7 COMERCIO DE ALIMENTOS LTDA</t>
  </si>
  <si>
    <t xml:space="preserve">QUINTAL 7</t>
  </si>
  <si>
    <t xml:space="preserve">RESTAURANTE E CHURRASCARIA TALISMA 2 LTD</t>
  </si>
  <si>
    <t xml:space="preserve">RESTAURANTE TALISMA COXIM</t>
  </si>
  <si>
    <t xml:space="preserve">CARAMBOLA HORTIFRUT EIRELI</t>
  </si>
  <si>
    <t xml:space="preserve">CARAMBOLA HORTIFRUTI</t>
  </si>
  <si>
    <t xml:space="preserve">CEILA LEITE BALBUENA</t>
  </si>
  <si>
    <t xml:space="preserve">CARACOL LANCHES</t>
  </si>
  <si>
    <t xml:space="preserve">FRED CONVENIENCIA</t>
  </si>
  <si>
    <t xml:space="preserve">MERCADINHO DA PEDRA LTDA</t>
  </si>
  <si>
    <t xml:space="preserve">MERCADINHO DA PEDRA</t>
  </si>
  <si>
    <t xml:space="preserve">MARIA M DE SOUZA REGES SANTOS 017199261 </t>
  </si>
  <si>
    <t xml:space="preserve">PROPET</t>
  </si>
  <si>
    <t xml:space="preserve">MEIA7 EXPRESS COMERCIO DE BEBIDAS LTDA  </t>
  </si>
  <si>
    <t xml:space="preserve">SEU MARTINS</t>
  </si>
  <si>
    <t xml:space="preserve">ROSENILDA MARIA BEZERRA</t>
  </si>
  <si>
    <t xml:space="preserve">MERCADORIA RB</t>
  </si>
  <si>
    <t xml:space="preserve">ROSELY MARTINS T DE AQUINO</t>
  </si>
  <si>
    <t xml:space="preserve">MERCADO TINOCO</t>
  </si>
  <si>
    <t xml:space="preserve">LUELSON DA COSTA SANTIAGO</t>
  </si>
  <si>
    <t xml:space="preserve">SOUZA E SANTIAGO CONVENIENCIA</t>
  </si>
  <si>
    <t xml:space="preserve">RESTAURANTE E LANC LEITE LTDA</t>
  </si>
  <si>
    <t xml:space="preserve">ZE LEITE</t>
  </si>
  <si>
    <t xml:space="preserve">F E W COMERCIO DE CARNES LTDA</t>
  </si>
  <si>
    <t xml:space="preserve">VILLE BOVINE</t>
  </si>
  <si>
    <t xml:space="preserve">A SENHORA CESTA COM DE CESTAS DE ALIM LT</t>
  </si>
  <si>
    <t xml:space="preserve">SENHORA CESTA</t>
  </si>
  <si>
    <t xml:space="preserve">FAMILIAR COMERCIO DE ALIMENTOS EIRELI</t>
  </si>
  <si>
    <t xml:space="preserve">FAMILIAR MERCADO ESPETARIA E DISTRIBUIDO</t>
  </si>
  <si>
    <t xml:space="preserve">NELSON PEIXOTO</t>
  </si>
  <si>
    <t xml:space="preserve">ANA MARIA ROSA DE MIRANDA BARBOSA</t>
  </si>
  <si>
    <t xml:space="preserve">MERCEARIA E ACOUGUE BARBOSA</t>
  </si>
  <si>
    <t xml:space="preserve">LUCELIA SILVA GUSMAO</t>
  </si>
  <si>
    <t xml:space="preserve">REST IGUATEMI</t>
  </si>
  <si>
    <t xml:space="preserve">RAIMUNDA MIRANDA DE SOUSA</t>
  </si>
  <si>
    <t xml:space="preserve">MERCEARIA E ACOUGUE COPHARADIO</t>
  </si>
  <si>
    <t xml:space="preserve">ROBERTO CARLOS TERENCIANI</t>
  </si>
  <si>
    <t xml:space="preserve">MERCEARIA E LOJA PEQUENO MUNDO</t>
  </si>
  <si>
    <t xml:space="preserve">VALTECIR MEZACASA</t>
  </si>
  <si>
    <t xml:space="preserve">CHUR E LANCH TREVO</t>
  </si>
  <si>
    <t xml:space="preserve">DALL AGNOL E FILHO LTDA</t>
  </si>
  <si>
    <t xml:space="preserve">LANCH E CHURR GAUCHA</t>
  </si>
  <si>
    <t xml:space="preserve">PEDRO MENDES DA SILVA</t>
  </si>
  <si>
    <t xml:space="preserve">MERC.SILVENDES</t>
  </si>
  <si>
    <t xml:space="preserve">JOAO NESTOR SCHERER E CIA LTDA</t>
  </si>
  <si>
    <t xml:space="preserve">ELISEU OLIVEIRA MARCELINO</t>
  </si>
  <si>
    <t xml:space="preserve">COMERCIAL SAN THIAGO</t>
  </si>
  <si>
    <t xml:space="preserve">FORNELLO IND COM DE PAES E ALIM LTDA</t>
  </si>
  <si>
    <t xml:space="preserve">PANIF FORNELLO</t>
  </si>
  <si>
    <t xml:space="preserve">SERVEGEL COMERCIO DE BEBIDAS LTDA</t>
  </si>
  <si>
    <t xml:space="preserve">CORDIL COOPHASUL</t>
  </si>
  <si>
    <t xml:space="preserve">ELIANA SIMOES BRITO MEZA</t>
  </si>
  <si>
    <t xml:space="preserve">CASA DE SUCO COPO CHEIO</t>
  </si>
  <si>
    <t xml:space="preserve">LUIZ CARLOS PEREIRA MARQUES</t>
  </si>
  <si>
    <t xml:space="preserve">DROGARIA PROGRESSO</t>
  </si>
  <si>
    <t xml:space="preserve">OHIRA E OHIRA LTDA</t>
  </si>
  <si>
    <t xml:space="preserve">PADARIA ESPANHOLA LTDA</t>
  </si>
  <si>
    <t xml:space="preserve">PADARIA ESPANHOLA II</t>
  </si>
  <si>
    <t xml:space="preserve">EDIVALDO ALVES SILVA</t>
  </si>
  <si>
    <t xml:space="preserve">COMERCIAL BOA SORTE</t>
  </si>
  <si>
    <t xml:space="preserve">SM JONAS</t>
  </si>
  <si>
    <t xml:space="preserve">ESCOLA DOCE INFANCIA LTDA</t>
  </si>
  <si>
    <t xml:space="preserve">DOCE INFANCIA</t>
  </si>
  <si>
    <t xml:space="preserve">CLOVIS DUARTE CARSADO</t>
  </si>
  <si>
    <t xml:space="preserve">IZILDINHA VIEIRA LEAL PINTO</t>
  </si>
  <si>
    <t xml:space="preserve">BAR VIEIRA</t>
  </si>
  <si>
    <t xml:space="preserve">IRICELMA PAZZA</t>
  </si>
  <si>
    <t xml:space="preserve">MERCADO PAZZA &amp; MATOS</t>
  </si>
  <si>
    <t xml:space="preserve">PANIFICADORA GUERINI LTDA</t>
  </si>
  <si>
    <t xml:space="preserve">OLHO D'AGUA HOTELARIA LTDA</t>
  </si>
  <si>
    <t xml:space="preserve">POUSADA OLHO D'AGUA</t>
  </si>
  <si>
    <t xml:space="preserve">MARQUES E RANGEL LTDA</t>
  </si>
  <si>
    <t xml:space="preserve">MERCERIA ANACHE</t>
  </si>
  <si>
    <t xml:space="preserve">RESTAURANTE KATIA LTDA</t>
  </si>
  <si>
    <t xml:space="preserve">POSTO LOCATELLI 1 POSTO TREVO</t>
  </si>
  <si>
    <t xml:space="preserve">VIZZOTTO E  FIGUEIREDO LTDA</t>
  </si>
  <si>
    <t xml:space="preserve">LUZIA TAKAYAMA</t>
  </si>
  <si>
    <t xml:space="preserve">MERCEARIA NOSSO POINT</t>
  </si>
  <si>
    <t xml:space="preserve">KADEMA SUPERMERCADO LTDA EPP</t>
  </si>
  <si>
    <t xml:space="preserve">KADEMA SUPERMERCADOS LTDA</t>
  </si>
  <si>
    <t xml:space="preserve">ELIARA DAVID DOS SANTOS MARTINS SILVEIRA</t>
  </si>
  <si>
    <t xml:space="preserve">J A RACOES</t>
  </si>
  <si>
    <t xml:space="preserve">SEVERINO RODRIGUES</t>
  </si>
  <si>
    <t xml:space="preserve">MERCADINHO RODRIGUES,</t>
  </si>
  <si>
    <t xml:space="preserve">DISTRIB DE AUTO PECAS DOIS IRMAOS LTDA  </t>
  </si>
  <si>
    <t xml:space="preserve">02 IRMAOS</t>
  </si>
  <si>
    <t xml:space="preserve">LIRA E LIRA COMERCIO VAR BEBIDAS LTDA ME</t>
  </si>
  <si>
    <t xml:space="preserve">CONVENIENCIA E EMPORIO</t>
  </si>
  <si>
    <t xml:space="preserve">SANDRA REGINA DE OLIVEIRA</t>
  </si>
  <si>
    <t xml:space="preserve">G P COMERCIAL DE ALIMENTOS LTDA</t>
  </si>
  <si>
    <t xml:space="preserve">REDEMS GP COMERCIAL </t>
  </si>
  <si>
    <t xml:space="preserve">EPAMINONDAS DE SOUZA BONFIM</t>
  </si>
  <si>
    <t xml:space="preserve">SM SAO PAULO</t>
  </si>
  <si>
    <t xml:space="preserve">LUCIOMAR SEVERINO VIEIRA</t>
  </si>
  <si>
    <t xml:space="preserve">BAR E MERCEARIA SERVE BEM</t>
  </si>
  <si>
    <t xml:space="preserve">IDIMEIA CERRI</t>
  </si>
  <si>
    <t xml:space="preserve">IC COMERCIO DE BEBIDAS</t>
  </si>
  <si>
    <t xml:space="preserve">N H DE CASTRO E CIA LTDA</t>
  </si>
  <si>
    <t xml:space="preserve">SANTOS E CAVALLIERI LTDA</t>
  </si>
  <si>
    <t xml:space="preserve">ANTONIO MARTINS DISTRIBUIDOR</t>
  </si>
  <si>
    <t xml:space="preserve">DIST NOVA ESPERANCA</t>
  </si>
  <si>
    <t xml:space="preserve">ARMENDES ALVES COUTINHO</t>
  </si>
  <si>
    <t xml:space="preserve">MADALENO CELIO DE AGUIAR</t>
  </si>
  <si>
    <t xml:space="preserve">PET SHOP ANIMAL</t>
  </si>
  <si>
    <t xml:space="preserve">ZILMA KURTEM MACEDO</t>
  </si>
  <si>
    <t xml:space="preserve">HOTEL PRIMAVERA</t>
  </si>
  <si>
    <t xml:space="preserve">NILCEIA APARECIDA LOPES ALVES E CIA LTDA</t>
  </si>
  <si>
    <t xml:space="preserve">SO FRUTAS</t>
  </si>
  <si>
    <t xml:space="preserve">FRATERNIDADE JOAO PEDRO DE SOUZA</t>
  </si>
  <si>
    <t xml:space="preserve">CANTINHO FUNLEC</t>
  </si>
  <si>
    <t xml:space="preserve">PANIFICADORA CONFEITARIA GUAICURUS LTDA </t>
  </si>
  <si>
    <t xml:space="preserve">PANIF E CONF GUAICURUS</t>
  </si>
  <si>
    <t xml:space="preserve">A D CORREA E CIA LTDA</t>
  </si>
  <si>
    <t xml:space="preserve">JOSE MILTON DA SILVA EIRELI EPP</t>
  </si>
  <si>
    <t xml:space="preserve">TIM</t>
  </si>
  <si>
    <t xml:space="preserve">ANTONIO C MARQUES RODRIGUES</t>
  </si>
  <si>
    <t xml:space="preserve">CANTINA PORTUGUESA</t>
  </si>
  <si>
    <t xml:space="preserve">ROSANA AMATO</t>
  </si>
  <si>
    <t xml:space="preserve">MOTEL LUA II</t>
  </si>
  <si>
    <t xml:space="preserve">CARAMURU E DIAS LTDA</t>
  </si>
  <si>
    <t xml:space="preserve">SUELI APARECIDA SANCHES NASCIMBENI</t>
  </si>
  <si>
    <t xml:space="preserve">RODRIGUES CORREIA E CIA LTDA</t>
  </si>
  <si>
    <t xml:space="preserve">BAR E LANCH PAULISTA</t>
  </si>
  <si>
    <t xml:space="preserve">MERCADO GALVAO</t>
  </si>
  <si>
    <t xml:space="preserve">CECILIA GONZAGA OLIVEIRA SILVA</t>
  </si>
  <si>
    <t xml:space="preserve">SUPERMERCADO CAMPEAO</t>
  </si>
  <si>
    <t xml:space="preserve">BENVENUTI E BENVENUTTI LTDA</t>
  </si>
  <si>
    <t xml:space="preserve">PAD PAO QUENTE</t>
  </si>
  <si>
    <t xml:space="preserve">NILCE DE OLIVEIRA STRADA</t>
  </si>
  <si>
    <t xml:space="preserve">TAPEMAN COMERCIO E PANIFICADORA LTDA</t>
  </si>
  <si>
    <t xml:space="preserve">NOGUEIRA SIRAVEGNA E CIA LTDA</t>
  </si>
  <si>
    <t xml:space="preserve">OLIVEIRA &amp; NADAL</t>
  </si>
  <si>
    <t xml:space="preserve">CELQ</t>
  </si>
  <si>
    <t xml:space="preserve">POSTO COMBUSTIVEIS BATAGUASSU MS LTDA</t>
  </si>
  <si>
    <t xml:space="preserve">POSTO 22</t>
  </si>
  <si>
    <t xml:space="preserve">SUPERMERCADO XAVIER LTDA</t>
  </si>
  <si>
    <t xml:space="preserve">ALCIDES MARDEGAN</t>
  </si>
  <si>
    <t xml:space="preserve">MERCEARIA MARDEGAM</t>
  </si>
  <si>
    <t xml:space="preserve">PANIFICADORA MELL BABY LTDA</t>
  </si>
  <si>
    <t xml:space="preserve">PANIF. MELL BABY</t>
  </si>
  <si>
    <t xml:space="preserve">CALDEIRA E BORGES LTDA</t>
  </si>
  <si>
    <t xml:space="preserve">JOSEMAR VALENZUELA OLIVEIRA</t>
  </si>
  <si>
    <t xml:space="preserve">DELICIA DE PAO</t>
  </si>
  <si>
    <t xml:space="preserve">SCARPARI E EVANGELISTA LTDA</t>
  </si>
  <si>
    <t xml:space="preserve">SM A PORTUGUESA</t>
  </si>
  <si>
    <t xml:space="preserve">MARIA SELMA FREITAS COXEO</t>
  </si>
  <si>
    <t xml:space="preserve">VALDIR S ALVIM</t>
  </si>
  <si>
    <t xml:space="preserve">TERMINAL DE ONIBUS</t>
  </si>
  <si>
    <t xml:space="preserve">POSTO SAN CARLO LTDA</t>
  </si>
  <si>
    <t xml:space="preserve">CONV SAN CARLO</t>
  </si>
  <si>
    <t xml:space="preserve">S ALE ESCANDAR</t>
  </si>
  <si>
    <t xml:space="preserve">PANIF CONF BUENOS AIRES</t>
  </si>
  <si>
    <t xml:space="preserve">MILTON RAMOS ALMEIDA</t>
  </si>
  <si>
    <t xml:space="preserve">MERCADINHO ALMEIDA</t>
  </si>
  <si>
    <t xml:space="preserve">MARIA HELENA CAFURE</t>
  </si>
  <si>
    <t xml:space="preserve">CANTINA DAS CLINICAS</t>
  </si>
  <si>
    <t xml:space="preserve">IRINEU RIBEIRO DOS SANTOS</t>
  </si>
  <si>
    <t xml:space="preserve">MERCADO MANOLA</t>
  </si>
  <si>
    <t xml:space="preserve">MARIA APARECIDA RODRIGUES DA SILVA</t>
  </si>
  <si>
    <t xml:space="preserve">SUPERMERCADO COMPRE MAIS</t>
  </si>
  <si>
    <t xml:space="preserve">MARIA AMELIA HENRIQUE</t>
  </si>
  <si>
    <t xml:space="preserve">CHURRASCARIA TREVAO LTDA</t>
  </si>
  <si>
    <t xml:space="preserve">CHURRASCARIA TREVAO</t>
  </si>
  <si>
    <t xml:space="preserve">COMERCIAL SERVE BEM GENEROS ALIMEN LTDA </t>
  </si>
  <si>
    <t xml:space="preserve">MARIA FATIMA SILVA SANTANA</t>
  </si>
  <si>
    <t xml:space="preserve">PADARIA PAO DA HORA EIRELI</t>
  </si>
  <si>
    <t xml:space="preserve">PADARIA PAO DA HORA</t>
  </si>
  <si>
    <t xml:space="preserve">SIASIL COM GENEROS ALIMENTICIOS LTDA</t>
  </si>
  <si>
    <t xml:space="preserve">JORGE PROCHERA</t>
  </si>
  <si>
    <t xml:space="preserve">FELIPE GAGO AIRES</t>
  </si>
  <si>
    <t xml:space="preserve">MERCADO FELIPENSE</t>
  </si>
  <si>
    <t xml:space="preserve">COMERCIAL DE ALIMENTOS DOIS IRMAOS LTDA </t>
  </si>
  <si>
    <t xml:space="preserve">SANTOS E ANTUNES LTDA</t>
  </si>
  <si>
    <t xml:space="preserve">RAMOS E GUEDES LTDA</t>
  </si>
  <si>
    <t xml:space="preserve">SM NOGUEIRA II</t>
  </si>
  <si>
    <t xml:space="preserve">VANDERLEI STIVAL GUIMARAES</t>
  </si>
  <si>
    <t xml:space="preserve">DELEY BEBIDAS</t>
  </si>
  <si>
    <t xml:space="preserve">DARIO QUEIROZ FILHO</t>
  </si>
  <si>
    <t xml:space="preserve">CONVENIENCIA DARIO</t>
  </si>
  <si>
    <t xml:space="preserve">LANCHONETE E CHURRASCARIA REAL LTDA</t>
  </si>
  <si>
    <t xml:space="preserve">LANCHONETE REAL</t>
  </si>
  <si>
    <t xml:space="preserve">CLAUDIO E SILVA LTDA</t>
  </si>
  <si>
    <t xml:space="preserve">SEBASTIAO ALVES DA SILVA</t>
  </si>
  <si>
    <t xml:space="preserve">FUNERARIA E PAX SAO JOAO</t>
  </si>
  <si>
    <t xml:space="preserve">ANTONIO MARTINS DE SOUZA BEBIDAS</t>
  </si>
  <si>
    <t xml:space="preserve">VALTER RODRIGUES DE ALMEIDA</t>
  </si>
  <si>
    <t xml:space="preserve">HOTEL DIPLONATA</t>
  </si>
  <si>
    <t xml:space="preserve">SOUZA E ANJOS PRODUTOS ALIMENTICIOS LTDA</t>
  </si>
  <si>
    <t xml:space="preserve">ADI DELAZARI</t>
  </si>
  <si>
    <t xml:space="preserve">RESTAURANTE QUERENCIA</t>
  </si>
  <si>
    <t xml:space="preserve">ULTRAMEDICAL CENT DIAS MEDICINA LTDA</t>
  </si>
  <si>
    <t xml:space="preserve">ULTRAMEDICALCENT DIAS MED LTDA</t>
  </si>
  <si>
    <t xml:space="preserve">SOARES E DUARTE LTDA</t>
  </si>
  <si>
    <t xml:space="preserve">POSTO VIP LTDA</t>
  </si>
  <si>
    <t xml:space="preserve">NILZA DE ALMEIDA CARRILHO</t>
  </si>
  <si>
    <t xml:space="preserve">SM GABRIEL</t>
  </si>
  <si>
    <t xml:space="preserve">SOUZA E PEREIRA LTDA</t>
  </si>
  <si>
    <t xml:space="preserve">MERCADINHO SOUZA</t>
  </si>
  <si>
    <t xml:space="preserve">ELDORADO EMPREENDIMENTO HOTELEIRO LTDA  </t>
  </si>
  <si>
    <t xml:space="preserve">DEODATO THEODORO DE CARVALHO</t>
  </si>
  <si>
    <t xml:space="preserve">SOELY OCAMPOS RODRIGUES</t>
  </si>
  <si>
    <t xml:space="preserve">MANSAO DO LANCHE E ACAI</t>
  </si>
  <si>
    <t xml:space="preserve">GERSON MARTINEZ CASTRO LOPES</t>
  </si>
  <si>
    <t xml:space="preserve">MIRANAUTICA AUTO POSTO</t>
  </si>
  <si>
    <t xml:space="preserve">MARIA A DOS SANTOS PINHEIRO</t>
  </si>
  <si>
    <t xml:space="preserve">DIST DE FRUTAS BEBIDAS S FRANCISCO LTDA </t>
  </si>
  <si>
    <t xml:space="preserve">MERCEARIA FRUTARIA S FRANCISCO</t>
  </si>
  <si>
    <t xml:space="preserve">IKS MERCEARIA LTDA</t>
  </si>
  <si>
    <t xml:space="preserve">AGNA AZEVEDO NABHAN</t>
  </si>
  <si>
    <t xml:space="preserve">ACOUGUE DO POVO</t>
  </si>
  <si>
    <t xml:space="preserve">PRODUCAO CONSULTORIA RURAL</t>
  </si>
  <si>
    <t xml:space="preserve">W N JERONIMO</t>
  </si>
  <si>
    <t xml:space="preserve">MEU AMIGO BICHO</t>
  </si>
  <si>
    <t xml:space="preserve">LS CASA DE CARNES E MERCEARIA LTDA</t>
  </si>
  <si>
    <t xml:space="preserve">LISAM CASA DE CARNES E MERCEARIA</t>
  </si>
  <si>
    <t xml:space="preserve">A L K BACCHI E CIA LTDA</t>
  </si>
  <si>
    <t xml:space="preserve">LA BURGERZ</t>
  </si>
  <si>
    <t xml:space="preserve">L. DA S. SANTOS LTDA</t>
  </si>
  <si>
    <t xml:space="preserve">MERCADO CITY CAMPO LTDA</t>
  </si>
  <si>
    <t xml:space="preserve">CITY ATACADO</t>
  </si>
  <si>
    <t xml:space="preserve">JENYFER VALESCA MONTEIRO CHULLI</t>
  </si>
  <si>
    <t xml:space="preserve">DISK PET</t>
  </si>
  <si>
    <t xml:space="preserve">MARCIO ROBERTO DA SILVA</t>
  </si>
  <si>
    <t xml:space="preserve">RACOES MARACAJU</t>
  </si>
  <si>
    <t xml:space="preserve">MERCEARIA NOSSA CASA LTDA</t>
  </si>
  <si>
    <t xml:space="preserve">MERCEARIA NOSSA CASA</t>
  </si>
  <si>
    <t xml:space="preserve">SUELI APARECIDA PEREIRA PARDIM</t>
  </si>
  <si>
    <t xml:space="preserve">PADARIA AGAPE</t>
  </si>
  <si>
    <t xml:space="preserve">NUTRICAO NOVA LIMA COMERCIO DE RACOES LT</t>
  </si>
  <si>
    <t xml:space="preserve">NUTRICAO NOVA LIMA</t>
  </si>
  <si>
    <t xml:space="preserve">LUCIANA DA SILVA SANTANA</t>
  </si>
  <si>
    <t xml:space="preserve">ADALBERTO SOUZA ARAUJO</t>
  </si>
  <si>
    <t xml:space="preserve">ALICE KIOKO MIIKE YAMASHITA</t>
  </si>
  <si>
    <t xml:space="preserve">MERCEARIA YAMASHITA</t>
  </si>
  <si>
    <t xml:space="preserve">ROSANA MARA FRANCISCO TENO</t>
  </si>
  <si>
    <t xml:space="preserve">PETSUL PETSHOP</t>
  </si>
  <si>
    <t xml:space="preserve">CLAUDEIR JARA ALVES</t>
  </si>
  <si>
    <t xml:space="preserve">PRODUCAO DE MASSAS</t>
  </si>
  <si>
    <t xml:space="preserve">MAIKE JUNIOR OLIVEIRA SANTOS</t>
  </si>
  <si>
    <t xml:space="preserve">ANA FLAVIA O CARRION</t>
  </si>
  <si>
    <t xml:space="preserve">FABIO ARAUJO DE OLIVEIRA</t>
  </si>
  <si>
    <t xml:space="preserve">HORTIFRUTI SANTA MONICA</t>
  </si>
  <si>
    <t xml:space="preserve">SIMEON VERASTEGUI QUISPE</t>
  </si>
  <si>
    <t xml:space="preserve">JBL</t>
  </si>
  <si>
    <t xml:space="preserve">F A CARDOSO MERCADO EIRELI</t>
  </si>
  <si>
    <t xml:space="preserve">PAMELA ARAUJO DE ANDRADE</t>
  </si>
  <si>
    <t xml:space="preserve">CONVENIENCIA DUQUE DE CAXIAS</t>
  </si>
  <si>
    <t xml:space="preserve">JOSE UERTON FERREIRA DA SILVA</t>
  </si>
  <si>
    <t xml:space="preserve">R T A GESTAO DE NEGOCIOS LTDA</t>
  </si>
  <si>
    <t xml:space="preserve">SUPER LEGAL EXPRESS</t>
  </si>
  <si>
    <t xml:space="preserve">FAVA FAVA COOKIES</t>
  </si>
  <si>
    <t xml:space="preserve">HYOHAN FELIPE SIMOES DE OLIVEIRA</t>
  </si>
  <si>
    <t xml:space="preserve">FERNANDES BAR E CONVENIENCIA LTDA</t>
  </si>
  <si>
    <t xml:space="preserve">CORONEL BEER</t>
  </si>
  <si>
    <t xml:space="preserve">TAMARA ALVES DO NASCIMENTO</t>
  </si>
  <si>
    <t xml:space="preserve">OVOS360</t>
  </si>
  <si>
    <t xml:space="preserve">GMF PHARMA COM MEDIC E PERFUMARIA LTDA  </t>
  </si>
  <si>
    <t xml:space="preserve">GMF PHARMA</t>
  </si>
  <si>
    <t xml:space="preserve">GMF PHAMA CORMECIO DE MEDIMENTO</t>
  </si>
  <si>
    <t xml:space="preserve">FARMACIA E DROGARIA</t>
  </si>
  <si>
    <t xml:space="preserve">GMF PHARMA COMERCIO DE MEDICAMENTOS E PE</t>
  </si>
  <si>
    <t xml:space="preserve">FAMARCIA E DROGARIAS</t>
  </si>
  <si>
    <t xml:space="preserve">GMF PHANRMA COMERCIO DE MEDICAMENTOS E P</t>
  </si>
  <si>
    <t xml:space="preserve">GRUPO MAIS FAMARCIA</t>
  </si>
  <si>
    <t xml:space="preserve">MAIS PET SHOP COMERCIO RACOES LTDA</t>
  </si>
  <si>
    <t xml:space="preserve">MAIS PET SHOP</t>
  </si>
  <si>
    <t xml:space="preserve">MERCADO AMENDOEIRA LTDA</t>
  </si>
  <si>
    <t xml:space="preserve">MERCADO AMENDOEIRA</t>
  </si>
  <si>
    <t xml:space="preserve">ELIANE MOLINA DE SOUZA</t>
  </si>
  <si>
    <t xml:space="preserve">MERCEARIA ARIAGHTA</t>
  </si>
  <si>
    <t xml:space="preserve">M J M TEIXEIRA LTDA</t>
  </si>
  <si>
    <t xml:space="preserve">LA TA GELADA CONVENIENCIA LTDA</t>
  </si>
  <si>
    <t xml:space="preserve">LA TA GELADA CONVENIENCIA</t>
  </si>
  <si>
    <t xml:space="preserve">MARCOS VINICIUS SILVA ANTONIO</t>
  </si>
  <si>
    <t xml:space="preserve">CASA DE RACOES VILA NOVA</t>
  </si>
  <si>
    <t xml:space="preserve">DLR FOOD RESTAURANTES LTDA</t>
  </si>
  <si>
    <t xml:space="preserve">DELIRIO EAT</t>
  </si>
  <si>
    <t xml:space="preserve">IMPERIO VIOLETA COSMETICOS E ACESSORIOS </t>
  </si>
  <si>
    <t xml:space="preserve">ROSILANE RIBEIRO RAMOS</t>
  </si>
  <si>
    <t xml:space="preserve">E DE CASA</t>
  </si>
  <si>
    <t xml:space="preserve">CLEBERSON RODRIGUES XAVIER</t>
  </si>
  <si>
    <t xml:space="preserve">MEU EMPORIO</t>
  </si>
  <si>
    <t xml:space="preserve">ALAN B FLOR LTDA</t>
  </si>
  <si>
    <t xml:space="preserve">DELTA FRIOS</t>
  </si>
  <si>
    <t xml:space="preserve">ALASTICO E ALASTICO LTDA</t>
  </si>
  <si>
    <t xml:space="preserve">CASA DE CARNE BISTEKAO</t>
  </si>
  <si>
    <t xml:space="preserve">AUTO POSTO TACURU LTDA</t>
  </si>
  <si>
    <t xml:space="preserve">AUTO POSTO TACURU</t>
  </si>
  <si>
    <t xml:space="preserve">FARMABEM PROD FARMACEUTICOS LTDA</t>
  </si>
  <si>
    <t xml:space="preserve">SAO BENTO - F 61</t>
  </si>
  <si>
    <t xml:space="preserve">FARMABEM PRODUTOS FARMACEUTICOS LTDA</t>
  </si>
  <si>
    <t xml:space="preserve">SAO BENTO - F 62</t>
  </si>
  <si>
    <t xml:space="preserve">SAO BENTO - F 63</t>
  </si>
  <si>
    <t xml:space="preserve">SAO BENTO - F 65</t>
  </si>
  <si>
    <t xml:space="preserve">SAO BENTO - F 66</t>
  </si>
  <si>
    <t xml:space="preserve">SAO BENTO - F 60</t>
  </si>
  <si>
    <t xml:space="preserve">FORTES DISTRIBUIDORA DE BEBIDAS LTDA</t>
  </si>
  <si>
    <t xml:space="preserve">FORTES CONVENIENCIAS</t>
  </si>
  <si>
    <t xml:space="preserve">CIRENE CONCEICAO BUDIB LABIGALINE</t>
  </si>
  <si>
    <t xml:space="preserve">JUNQUEIRA E JUNQUEIRA LTDA</t>
  </si>
  <si>
    <t xml:space="preserve">SUPER VAREJAO JUNQUEIRA</t>
  </si>
  <si>
    <t xml:space="preserve">EDERSON SCUDELER COMERCIO LTDA</t>
  </si>
  <si>
    <t xml:space="preserve">BIG FRUTA LOJA 3</t>
  </si>
  <si>
    <t xml:space="preserve">ATUAL COMERCIO DE COSMETICOS LTDA</t>
  </si>
  <si>
    <t xml:space="preserve">ATUAL PERFUMARIA</t>
  </si>
  <si>
    <t xml:space="preserve">INSTITUTO DE EDUCACAO HARMONIA LTDA</t>
  </si>
  <si>
    <t xml:space="preserve">VERDURAS SACOLAO DA SETE LTDA</t>
  </si>
  <si>
    <t xml:space="preserve">SACOLAO DA SETE</t>
  </si>
  <si>
    <t xml:space="preserve">PETER PAO PAES E DOCES LTDA ME/MS</t>
  </si>
  <si>
    <t xml:space="preserve">PETER PAO - PAES E DOCES</t>
  </si>
  <si>
    <t xml:space="preserve">JOVINO FERNANDES DOS ANJOS</t>
  </si>
  <si>
    <t xml:space="preserve">CICLO REIS LTDA</t>
  </si>
  <si>
    <t xml:space="preserve">CLICO REIS</t>
  </si>
  <si>
    <t xml:space="preserve">BENFICA SUPERMERCADOS LTDA</t>
  </si>
  <si>
    <t xml:space="preserve">SUPERMERCADO PIAUI LTDA</t>
  </si>
  <si>
    <t xml:space="preserve">SM PIAUI</t>
  </si>
  <si>
    <t xml:space="preserve">MERC SILVA</t>
  </si>
  <si>
    <t xml:space="preserve">NELSON SARAIVA FILHO</t>
  </si>
  <si>
    <t xml:space="preserve">MINI BOX MORENINHA</t>
  </si>
  <si>
    <t xml:space="preserve">VENDITTI E CIA LTDA</t>
  </si>
  <si>
    <t xml:space="preserve">BAR E RESTAURANTE BOIADEIRO</t>
  </si>
  <si>
    <t xml:space="preserve">PAULO A C DE MENEZES CIA LTDA ME</t>
  </si>
  <si>
    <t xml:space="preserve">MERCADO E CASA DE CARNE MENEZES</t>
  </si>
  <si>
    <t xml:space="preserve">SM FRAZAO</t>
  </si>
  <si>
    <t xml:space="preserve">TEREZINHA PEREIRA DE SOUZA</t>
  </si>
  <si>
    <t xml:space="preserve">EDSON KHALIL</t>
  </si>
  <si>
    <t xml:space="preserve">KHALIL</t>
  </si>
  <si>
    <t xml:space="preserve">SALUSTIANO LIMA FILHO</t>
  </si>
  <si>
    <t xml:space="preserve">COMERCIAL LIMA</t>
  </si>
  <si>
    <t xml:space="preserve">JOSE CAETANO SANTOS</t>
  </si>
  <si>
    <t xml:space="preserve">KAITANU S LANCHES</t>
  </si>
  <si>
    <t xml:space="preserve">SUPERMERCADO CALISTAO LTDA</t>
  </si>
  <si>
    <t xml:space="preserve">CIDO SUPERMERCADO</t>
  </si>
  <si>
    <t xml:space="preserve">JONAS DE ALMEIDA BATISTA</t>
  </si>
  <si>
    <t xml:space="preserve">ALNERI DAL SANTO</t>
  </si>
  <si>
    <t xml:space="preserve">LANCHONETE E REST DAL SANTOS</t>
  </si>
  <si>
    <t xml:space="preserve">ECLAIR SOARES ERINGER</t>
  </si>
  <si>
    <t xml:space="preserve">MERCADO ERINGER</t>
  </si>
  <si>
    <t xml:space="preserve">LOURIVAL INACIO SILVA</t>
  </si>
  <si>
    <t xml:space="preserve">PANIF SANTA ISABEL</t>
  </si>
  <si>
    <t xml:space="preserve">CARLA S P VERON</t>
  </si>
  <si>
    <t xml:space="preserve">MERCADO CAIO</t>
  </si>
  <si>
    <t xml:space="preserve">E GRANJA DE ARAUJO</t>
  </si>
  <si>
    <t xml:space="preserve">COMERCIAL DE ALIMENTOS GALVAO LTDA</t>
  </si>
  <si>
    <t xml:space="preserve">MARIA LUISA DENADAI</t>
  </si>
  <si>
    <t xml:space="preserve">SM BESSAO</t>
  </si>
  <si>
    <t xml:space="preserve">E MAGDO DE CRISTO E CIA LTDA</t>
  </si>
  <si>
    <t xml:space="preserve">COMERCIAL CAMPO GRANDE</t>
  </si>
  <si>
    <t xml:space="preserve">POSTO EMANUELE LTDA</t>
  </si>
  <si>
    <t xml:space="preserve">POSTA EMANUELE</t>
  </si>
  <si>
    <t xml:space="preserve">LUCIA MARLENE HUBNER GONTIGIO</t>
  </si>
  <si>
    <t xml:space="preserve">REST E CASA DE SUCOS VITALIS</t>
  </si>
  <si>
    <t xml:space="preserve">JOSE CARLOS AMARILHA</t>
  </si>
  <si>
    <t xml:space="preserve">JOAO VALDIR ALVES</t>
  </si>
  <si>
    <t xml:space="preserve">CASTELINHO</t>
  </si>
  <si>
    <t xml:space="preserve">GASPAR OLIMPIO GONDIM</t>
  </si>
  <si>
    <t xml:space="preserve">BAR LANCHONETE RODOVIARIO</t>
  </si>
  <si>
    <t xml:space="preserve">DROGARIA HM LTDA</t>
  </si>
  <si>
    <t xml:space="preserve">DROGARIA HM</t>
  </si>
  <si>
    <t xml:space="preserve">UMBELINA COSTA RUFINO</t>
  </si>
  <si>
    <t xml:space="preserve">MINI MERCADO J.R</t>
  </si>
  <si>
    <t xml:space="preserve">MARQUES DE OLIVEIRA E GUIMARAES LTDA</t>
  </si>
  <si>
    <t xml:space="preserve">M E G CONVENIENCIA</t>
  </si>
  <si>
    <t xml:space="preserve">MAGALI BATISTA DE SOUSA GIL</t>
  </si>
  <si>
    <t xml:space="preserve">LINDAURA URIAS AFONSO</t>
  </si>
  <si>
    <t xml:space="preserve">DARCI ALVES COSTA</t>
  </si>
  <si>
    <t xml:space="preserve">FRANCISCO ALBERTO CUSTODIO</t>
  </si>
  <si>
    <t xml:space="preserve">NELCI GUND</t>
  </si>
  <si>
    <t xml:space="preserve">ELIZA AHAGON BAEZ CARDOSO</t>
  </si>
  <si>
    <t xml:space="preserve">BAEZ PIZZA CASA DA MASSA</t>
  </si>
  <si>
    <t xml:space="preserve">ANTONIO L SIQUEIRA</t>
  </si>
  <si>
    <t xml:space="preserve">LENSO E CIA LTDA</t>
  </si>
  <si>
    <t xml:space="preserve">PEDRO BALASTRELLI ROSSI</t>
  </si>
  <si>
    <t xml:space="preserve">LANCHONETE E REST GRE NAL</t>
  </si>
  <si>
    <t xml:space="preserve">SEVERINO BAMBI</t>
  </si>
  <si>
    <t xml:space="preserve">MERCADO BAMPY</t>
  </si>
  <si>
    <t xml:space="preserve">AIRTON RODRIGUES AMORIM E CIA LTDA</t>
  </si>
  <si>
    <t xml:space="preserve">PHARMACIA DROGARIA</t>
  </si>
  <si>
    <t xml:space="preserve">MERCANTIL ALIMENTOS MARCOS LTDA</t>
  </si>
  <si>
    <t xml:space="preserve">SM MARCOS</t>
  </si>
  <si>
    <t xml:space="preserve">DIONISIO ARECO</t>
  </si>
  <si>
    <t xml:space="preserve">MERCEARIA DRIELLY</t>
  </si>
  <si>
    <t xml:space="preserve">PEDRO LARREA FILHO</t>
  </si>
  <si>
    <t xml:space="preserve">PANIFICADORA BELLA MASSA</t>
  </si>
  <si>
    <t xml:space="preserve">MIGUEL CAPECCI</t>
  </si>
  <si>
    <t xml:space="preserve">HOTEL E REST CENTRAL</t>
  </si>
  <si>
    <t xml:space="preserve">LUIZ ANTONIO FRANCOLINO</t>
  </si>
  <si>
    <t xml:space="preserve">CASA DE SUCO TUTTI FRUTTI</t>
  </si>
  <si>
    <t xml:space="preserve">LUSIA DE FATIMA AVILA</t>
  </si>
  <si>
    <t xml:space="preserve">PAULINA MARTINS</t>
  </si>
  <si>
    <t xml:space="preserve">PAULO CARVALHO CAMPOS</t>
  </si>
  <si>
    <t xml:space="preserve">SM CARVALHO</t>
  </si>
  <si>
    <t xml:space="preserve">MERCADO LINDABEL LTDA</t>
  </si>
  <si>
    <t xml:space="preserve">BUFFET FESTA RESTAURANTE DOCE VIDA LTDA </t>
  </si>
  <si>
    <t xml:space="preserve">VERDE RESTAURANTE</t>
  </si>
  <si>
    <t xml:space="preserve">EMILIA ALVES DA SILVA</t>
  </si>
  <si>
    <t xml:space="preserve">PANIFICADORA EMILIA</t>
  </si>
  <si>
    <t xml:space="preserve">ANTONIO GORGATTO</t>
  </si>
  <si>
    <t xml:space="preserve">PANIF E FRIOS GARGAMEL</t>
  </si>
  <si>
    <t xml:space="preserve">LANCHONETE E REST MUTUM LTDA</t>
  </si>
  <si>
    <t xml:space="preserve">POSTO MUTUM</t>
  </si>
  <si>
    <t xml:space="preserve">NAKAZATO E NAKAZATO LTDA</t>
  </si>
  <si>
    <t xml:space="preserve">MARIO FELIX DE OLIVEIRA</t>
  </si>
  <si>
    <t xml:space="preserve">CAFE DO FELIX</t>
  </si>
  <si>
    <t xml:space="preserve">COMERCIAL PADRAO DE ALIMENTOS LTDA</t>
  </si>
  <si>
    <t xml:space="preserve">COMERCIAL PADRAO</t>
  </si>
  <si>
    <t xml:space="preserve">MERCEARIA DO GUILERME</t>
  </si>
  <si>
    <t xml:space="preserve">JOAO CARLOS DAL MORO</t>
  </si>
  <si>
    <t xml:space="preserve">MARCHE SUPERMERCADO</t>
  </si>
  <si>
    <t xml:space="preserve">RESTAURANTE E LANCH AGUIA DOURADA LTDA  </t>
  </si>
  <si>
    <t xml:space="preserve">E P COMERCIO DE RACOES E ACESSORIOS LT  </t>
  </si>
  <si>
    <t xml:space="preserve">LINDALVA VIGOVINO PEREIRA</t>
  </si>
  <si>
    <t xml:space="preserve">JOSE AMERICO VIEIRA - ME.</t>
  </si>
  <si>
    <t xml:space="preserve">LANCHES RAPIDOS</t>
  </si>
  <si>
    <t xml:space="preserve">VALDECI XAVIER DOS SANTOS E IRMAO LTDA  </t>
  </si>
  <si>
    <t xml:space="preserve">OLIVEIRA E FATALA LTDA</t>
  </si>
  <si>
    <t xml:space="preserve">NEUZA SILVA SANTANA DE LIMA E CIA LTDA  </t>
  </si>
  <si>
    <t xml:space="preserve">COMERCIO BEBIDAS RODRIGUES OLIVEIRA LTDA</t>
  </si>
  <si>
    <t xml:space="preserve">MULTI MARCAS COVENIENCIA</t>
  </si>
  <si>
    <t xml:space="preserve">RESTAURANTE E LANCH ENTRE RIOS LTDA</t>
  </si>
  <si>
    <t xml:space="preserve">RESTAURANTE E LANCH ENTRE RIOS</t>
  </si>
  <si>
    <t xml:space="preserve">HUBER COMERCIO DE ALIMENTOS LTDA</t>
  </si>
  <si>
    <t xml:space="preserve">COMPER LJ 34</t>
  </si>
  <si>
    <t xml:space="preserve">HIPER - COMPER 45</t>
  </si>
  <si>
    <t xml:space="preserve">HUBER COMERCIO DE ALIM LTDA-046</t>
  </si>
  <si>
    <t xml:space="preserve">SM COMPER-LJ046</t>
  </si>
  <si>
    <t xml:space="preserve">COMERCIO DE ALIMENTOS SANTA CLARA LTDA  </t>
  </si>
  <si>
    <t xml:space="preserve">RESTAURANTE SANTA CLARA</t>
  </si>
  <si>
    <t xml:space="preserve">JAMIR SILVA THOMAZ</t>
  </si>
  <si>
    <t xml:space="preserve">SM GLOBO</t>
  </si>
  <si>
    <t xml:space="preserve">SADAN FESTAS LTDA</t>
  </si>
  <si>
    <t xml:space="preserve">CLEOMAR LIMA GIBIM</t>
  </si>
  <si>
    <t xml:space="preserve">MERCADINHO 13 DE JUNHO</t>
  </si>
  <si>
    <t xml:space="preserve">JANVER COMERCIO BEBIDAS LTDA</t>
  </si>
  <si>
    <t xml:space="preserve">SERV BEER</t>
  </si>
  <si>
    <t xml:space="preserve">DROGARIA PRUDENTE EPP</t>
  </si>
  <si>
    <t xml:space="preserve">DROGARIA PRUDENTE LTDA</t>
  </si>
  <si>
    <t xml:space="preserve">MAGDA APARECIDA DE AQUINO LTDA</t>
  </si>
  <si>
    <t xml:space="preserve">PARANA SM</t>
  </si>
  <si>
    <t xml:space="preserve">LAURINDO FERREIRA DE ANDRADE FILHO</t>
  </si>
  <si>
    <t xml:space="preserve">SM ANDRADE</t>
  </si>
  <si>
    <t xml:space="preserve">MERCADO PRATA LTDA</t>
  </si>
  <si>
    <t xml:space="preserve">LUCILENE GOIS DOS SANTOS</t>
  </si>
  <si>
    <t xml:space="preserve">SUPERMERCADO SULINA LTDA</t>
  </si>
  <si>
    <t xml:space="preserve">SUPERMERCADO SULINA - 2</t>
  </si>
  <si>
    <t xml:space="preserve">RAMAO ALVES</t>
  </si>
  <si>
    <t xml:space="preserve">LOPES E BOMFIM LTDA</t>
  </si>
  <si>
    <t xml:space="preserve">DROGASUL FARMACIA</t>
  </si>
  <si>
    <t xml:space="preserve">KAWAI BARRIOS LTDA</t>
  </si>
  <si>
    <t xml:space="preserve">MARCADO KAWAI</t>
  </si>
  <si>
    <t xml:space="preserve">EVALDO FERNANDES MACIEL E CIA LTDA</t>
  </si>
  <si>
    <t xml:space="preserve">POUSADA QUEDAS D AGUA</t>
  </si>
  <si>
    <t xml:space="preserve">SUPERMERCADO MATHEUS LTDA</t>
  </si>
  <si>
    <t xml:space="preserve">SUPERMERCADO MATHEUS</t>
  </si>
  <si>
    <t xml:space="preserve">ELIANE KREIBICH</t>
  </si>
  <si>
    <t xml:space="preserve">RECOCA CONVENIENCIA</t>
  </si>
  <si>
    <t xml:space="preserve">MERCADO SARAIVA 2</t>
  </si>
  <si>
    <t xml:space="preserve">SUPER SARAIVA 3</t>
  </si>
  <si>
    <t xml:space="preserve">JURANDIR LEOMAR CARVALHO</t>
  </si>
  <si>
    <t xml:space="preserve">LOUREIRO E LOPES LTDA</t>
  </si>
  <si>
    <t xml:space="preserve">PAD.E CONF.PAO &amp; ACESSORIOS.</t>
  </si>
  <si>
    <t xml:space="preserve">VERONICA ROSA GALLI</t>
  </si>
  <si>
    <t xml:space="preserve">MECEARIA PARANA</t>
  </si>
  <si>
    <t xml:space="preserve">ROCHA E CASTILHA LTDA</t>
  </si>
  <si>
    <t xml:space="preserve">ANDRADE E SILVERIO LTDA</t>
  </si>
  <si>
    <t xml:space="preserve">PAMPA AGROVETERINARIA LTDA</t>
  </si>
  <si>
    <t xml:space="preserve">PAMPA AGROVETERINARIA</t>
  </si>
  <si>
    <t xml:space="preserve">DALVA MARTINS QUIRINO</t>
  </si>
  <si>
    <t xml:space="preserve">CICERO CAVALCANTE BARBOSA</t>
  </si>
  <si>
    <t xml:space="preserve">PADARIA CONFEITARIA SARAGOCA LTDA</t>
  </si>
  <si>
    <t xml:space="preserve">SARAGOCA</t>
  </si>
  <si>
    <t xml:space="preserve">IVON PEREIRA DE LIMA &amp; CIA LTDA ME</t>
  </si>
  <si>
    <t xml:space="preserve">SM ZULU</t>
  </si>
  <si>
    <t xml:space="preserve">EVER GREEN COM IMPORT E EXPORTACAO LTDA </t>
  </si>
  <si>
    <t xml:space="preserve">MERCADO E ACOUGUE SAO LUIZ</t>
  </si>
  <si>
    <t xml:space="preserve">WALDEIR SOARES DE LIMA</t>
  </si>
  <si>
    <t xml:space="preserve">MERCADO E ACOU. PRECO BAIXO</t>
  </si>
  <si>
    <t xml:space="preserve">REOVALDO BOGACKI</t>
  </si>
  <si>
    <t xml:space="preserve">SM AURORA</t>
  </si>
  <si>
    <t xml:space="preserve">MARIZETE MARQUES BRUM</t>
  </si>
  <si>
    <t xml:space="preserve">VASCONCELOS E PEREIRA LTDA</t>
  </si>
  <si>
    <t xml:space="preserve">POSTO DO PARQUE LTDA</t>
  </si>
  <si>
    <t xml:space="preserve">JOSELY T BORGES ME</t>
  </si>
  <si>
    <t xml:space="preserve">MARIA R ZAGONEL</t>
  </si>
  <si>
    <t xml:space="preserve">ACACIO ROCHA</t>
  </si>
  <si>
    <t xml:space="preserve">BAR E MERCEARIA ROCHA</t>
  </si>
  <si>
    <t xml:space="preserve">COMERCIAL JULIFRAM</t>
  </si>
  <si>
    <t xml:space="preserve">SUPERMERCADOS JULIFRAN LTDA</t>
  </si>
  <si>
    <t xml:space="preserve">ANA VALIN MARTINS</t>
  </si>
  <si>
    <t xml:space="preserve">MINI MERCADO VALIN</t>
  </si>
  <si>
    <t xml:space="preserve">DIOLINDA DA CONCEICAO DE MATOS LUCENA EI</t>
  </si>
  <si>
    <t xml:space="preserve">SUPERMERCADO CACAPAVA</t>
  </si>
  <si>
    <t xml:space="preserve">LUCENA E MATOS LTDA</t>
  </si>
  <si>
    <t xml:space="preserve">MERCADO CACAPAVA</t>
  </si>
  <si>
    <t xml:space="preserve">AUTO POSTO MANS LTDA</t>
  </si>
  <si>
    <t xml:space="preserve">MARIA INEZ DE F E CIA LTDA</t>
  </si>
  <si>
    <t xml:space="preserve">DIVINAH CENTRO DE ARTES E SAUDE LTDA</t>
  </si>
  <si>
    <t xml:space="preserve">ACADEMIA BELFHORMA FITNESS</t>
  </si>
  <si>
    <t xml:space="preserve">SIDNEIA AP LIMA CARDOSO</t>
  </si>
  <si>
    <t xml:space="preserve">CLAUDEMIR JOSE DE SOUZA</t>
  </si>
  <si>
    <t xml:space="preserve">SM BIG FOUR</t>
  </si>
  <si>
    <t xml:space="preserve">TAMMY SILVA MELO</t>
  </si>
  <si>
    <t xml:space="preserve">SM BOA VISTA</t>
  </si>
  <si>
    <t xml:space="preserve">MERCADO TATYELEN EIRELI EPP</t>
  </si>
  <si>
    <t xml:space="preserve">MERCADO TATYELEN</t>
  </si>
  <si>
    <t xml:space="preserve">PANIFICADORA E CONFEITARIA MIRON LTDA</t>
  </si>
  <si>
    <t xml:space="preserve">PAN. E CONF. IRMAOS MIRON</t>
  </si>
  <si>
    <t xml:space="preserve">COMERCIO FRUTAS VERD MARIA COELHO LTDA  </t>
  </si>
  <si>
    <t xml:space="preserve">LANCHONETE E CHURRASCARIA PAMPIANA LTDA </t>
  </si>
  <si>
    <t xml:space="preserve">AUTO POSTO O CUPIM</t>
  </si>
  <si>
    <t xml:space="preserve">CESAR FERREIRA DE MENDONCA E CIA LTDA</t>
  </si>
  <si>
    <t xml:space="preserve">MANANCIAL GENEROS ALIMENTICIOS LTDA</t>
  </si>
  <si>
    <t xml:space="preserve">ROBERTO CARDOSO CHAGAS</t>
  </si>
  <si>
    <t xml:space="preserve">COMERCIAL PAG POUCO</t>
  </si>
  <si>
    <t xml:space="preserve">SOLANGE ALVES FERNANDES OLIVEIRA</t>
  </si>
  <si>
    <t xml:space="preserve">LOCADORA VIDEO CIDADE LTDA</t>
  </si>
  <si>
    <t xml:space="preserve">LOC VIDEO CIDADE</t>
  </si>
  <si>
    <t xml:space="preserve">VARGAS E BARRUECO LTDA</t>
  </si>
  <si>
    <t xml:space="preserve">POSTO E CONV.MARGARIDA</t>
  </si>
  <si>
    <t xml:space="preserve">TOPAZIO RIBEIRO E CIA LTDA</t>
  </si>
  <si>
    <t xml:space="preserve">SM RIOGRANDESE</t>
  </si>
  <si>
    <t xml:space="preserve">HELOISA NEVES MORAES E CIA LTDA</t>
  </si>
  <si>
    <t xml:space="preserve">REDE PANIAGO</t>
  </si>
  <si>
    <t xml:space="preserve">SM PANIAGO</t>
  </si>
  <si>
    <t xml:space="preserve">SUPERMERCADO PANIAGO</t>
  </si>
  <si>
    <t xml:space="preserve">SUELEN CRISTINE DALL AQUA</t>
  </si>
  <si>
    <t xml:space="preserve">IVO FERNANDES DOS SANTOS</t>
  </si>
  <si>
    <t xml:space="preserve">SANDRO CAETANO TOGNETTI</t>
  </si>
  <si>
    <t xml:space="preserve">CASA DE CARNE MELLINDA</t>
  </si>
  <si>
    <t xml:space="preserve">ELUANY GONCALVES TORRES</t>
  </si>
  <si>
    <t xml:space="preserve">DELICATTO PET</t>
  </si>
  <si>
    <t xml:space="preserve">RENATO GRITI MEDEIROS</t>
  </si>
  <si>
    <t xml:space="preserve">MERCADO E PADARIA MEDEIROS</t>
  </si>
  <si>
    <t xml:space="preserve">M3 DISTRIBUIDORA DE SECOS E MOLHADOS</t>
  </si>
  <si>
    <t xml:space="preserve">M 3 DISTRIBUIDORA</t>
  </si>
  <si>
    <t xml:space="preserve">BRASIL COM VAREJ PROD ALIMENTICIOS LTDA </t>
  </si>
  <si>
    <t xml:space="preserve">TIAGO AFONSO DE CARVALHO</t>
  </si>
  <si>
    <t xml:space="preserve">MERCEARIA DO BELO</t>
  </si>
  <si>
    <t xml:space="preserve">CLINICA VETERINARIA INTEGRATIVA LTDA</t>
  </si>
  <si>
    <t xml:space="preserve">CLINICA INTEGRATIVA</t>
  </si>
  <si>
    <t xml:space="preserve">BRAGA E BRAGA LTDA</t>
  </si>
  <si>
    <t xml:space="preserve">COMERCIAL YPANE</t>
  </si>
  <si>
    <t xml:space="preserve">MARINHO E VIEIRA LTDA</t>
  </si>
  <si>
    <t xml:space="preserve">FORASTEIRO CONVENIENCIA</t>
  </si>
  <si>
    <t xml:space="preserve">TELMA MARIA DE OLIVEIRA</t>
  </si>
  <si>
    <t xml:space="preserve">MERCEARIA DO CORINTIANO</t>
  </si>
  <si>
    <t xml:space="preserve">LINDOMAR PEREIRA LUNA</t>
  </si>
  <si>
    <t xml:space="preserve">MERCEARIA LUNA</t>
  </si>
  <si>
    <t xml:space="preserve">NICACIO E NICACIO LTDA</t>
  </si>
  <si>
    <t xml:space="preserve">CENTRAL VET</t>
  </si>
  <si>
    <t xml:space="preserve">WESLEY ARAUJO DE A SILVA</t>
  </si>
  <si>
    <t xml:space="preserve">CARLOS CESAR DE SOUZA MOTA</t>
  </si>
  <si>
    <t xml:space="preserve">L EVANGELISTA RODI ACOUGUE</t>
  </si>
  <si>
    <t xml:space="preserve">CASA DE CARNE CORTE</t>
  </si>
  <si>
    <t xml:space="preserve">MAIRA VAREIRO AQUINO</t>
  </si>
  <si>
    <t xml:space="preserve">AQUINO</t>
  </si>
  <si>
    <t xml:space="preserve">FERNANDES CONVENIENCIA</t>
  </si>
  <si>
    <t xml:space="preserve">EDER DE SOUZA PENZE</t>
  </si>
  <si>
    <t xml:space="preserve">CB COMERCIO E PRESTACAO DE SERVICOS LTDA</t>
  </si>
  <si>
    <t xml:space="preserve">CB COMERCIO</t>
  </si>
  <si>
    <t xml:space="preserve">DENISE TAVARES FERRAZ SILVA</t>
  </si>
  <si>
    <t xml:space="preserve">LOVE PETS</t>
  </si>
  <si>
    <t xml:space="preserve">CASA DE CARNES E CONVENIENCIA ELDORADO L</t>
  </si>
  <si>
    <t xml:space="preserve">CASA DE CARNES E CONVENIENCIA ELDORADO</t>
  </si>
  <si>
    <t xml:space="preserve">INSTITUTO GUARDA ANIMAL</t>
  </si>
  <si>
    <t xml:space="preserve">COMERCIAL DE ALIMENTOS ABENCOADO LTDA</t>
  </si>
  <si>
    <t xml:space="preserve">SAN DIEGO POP</t>
  </si>
  <si>
    <t xml:space="preserve">ANTUNES E REZENDE CLINICA VET LTDA</t>
  </si>
  <si>
    <t xml:space="preserve">ANTUNES E REZENDE CLINICA VET</t>
  </si>
  <si>
    <t xml:space="preserve">NOVA FRIOS E CONVENIENCIA EIRELI</t>
  </si>
  <si>
    <t xml:space="preserve">NOVA FRIOS E CONVENIENCIA</t>
  </si>
  <si>
    <t xml:space="preserve">JULIANA APARECIDA DE SOUZA REIS</t>
  </si>
  <si>
    <t xml:space="preserve">ADONAI MERCEARIA</t>
  </si>
  <si>
    <t xml:space="preserve">MARCIA PEREIRA MORAIS LIMA</t>
  </si>
  <si>
    <t xml:space="preserve">MERCEARIA RIO QUENTE CUIABA</t>
  </si>
  <si>
    <t xml:space="preserve">MARLON FLAVIO DA SILVA MACHADO</t>
  </si>
  <si>
    <t xml:space="preserve">KL CONVENIENCIA EIRELI</t>
  </si>
  <si>
    <t xml:space="preserve">CAMILA MACIEL IBANHES SCHWEIG</t>
  </si>
  <si>
    <t xml:space="preserve">KATIUSCIA AP SILVA DE PAULA</t>
  </si>
  <si>
    <t xml:space="preserve">DR.HAMBURGUER PARANAIBA</t>
  </si>
  <si>
    <t xml:space="preserve">FERNANDA RODRIGUES DE ALMEIRA</t>
  </si>
  <si>
    <t xml:space="preserve">JOSE LUIZ FERNANDES JUNIOR</t>
  </si>
  <si>
    <t xml:space="preserve">SUPER PET CORUMBA</t>
  </si>
  <si>
    <t xml:space="preserve">A J A MENDONCA SUPERMERCADO</t>
  </si>
  <si>
    <t xml:space="preserve">COMERCIAL BETEL</t>
  </si>
  <si>
    <t xml:space="preserve">JOEL OLIVEIRA DO NASCIMENTO</t>
  </si>
  <si>
    <t xml:space="preserve">VANESSA ALVES FERREIRA</t>
  </si>
  <si>
    <t xml:space="preserve">X PETE</t>
  </si>
  <si>
    <t xml:space="preserve">CHURRASCARIA NATIVAS GRILL CAMPO GRANDE </t>
  </si>
  <si>
    <t xml:space="preserve">WILLIAN EUSTAQUIO CORREA</t>
  </si>
  <si>
    <t xml:space="preserve">CENTRAL PET</t>
  </si>
  <si>
    <t xml:space="preserve">GILBERTO ALVES</t>
  </si>
  <si>
    <t xml:space="preserve">MERCADO DA PONTE</t>
  </si>
  <si>
    <t xml:space="preserve">MERCADO LIBRA</t>
  </si>
  <si>
    <t xml:space="preserve">HENRIQUE LIMA PEREIRA</t>
  </si>
  <si>
    <t xml:space="preserve">AGRO STORE</t>
  </si>
  <si>
    <t xml:space="preserve">MERCADO PACAEMBU</t>
  </si>
  <si>
    <t xml:space="preserve">LEONARDO LUCAS MORAES DE OLIVEIRA</t>
  </si>
  <si>
    <t xml:space="preserve">LEO TABACARIA</t>
  </si>
  <si>
    <t xml:space="preserve">ELOY COMERCIO VAREJISTA DE ALIMENTOS EIR</t>
  </si>
  <si>
    <t xml:space="preserve">EMPORIO CONVENIENCIA</t>
  </si>
  <si>
    <t xml:space="preserve">RENATO OLIVEIRA FREITAS 07143392203</t>
  </si>
  <si>
    <t xml:space="preserve">RJ RACOE</t>
  </si>
  <si>
    <t xml:space="preserve">ADRIANO SALVIANO DE MOURA</t>
  </si>
  <si>
    <t xml:space="preserve">LANCHONETE E BAR DO SALVINO</t>
  </si>
  <si>
    <t xml:space="preserve">RODRIGO RAFAEL SANCHES</t>
  </si>
  <si>
    <t xml:space="preserve">ZULU MERCEARIA E CONVENIENCIA</t>
  </si>
  <si>
    <t xml:space="preserve">BARROS GOMES ALIMENTO EIRELI</t>
  </si>
  <si>
    <t xml:space="preserve">CASA DE CARNE E CONVENIENCIA CANAA</t>
  </si>
  <si>
    <t xml:space="preserve">NELSON RIBEIRO</t>
  </si>
  <si>
    <t xml:space="preserve">H C IANAZE</t>
  </si>
  <si>
    <t xml:space="preserve">RAMITA CAFES</t>
  </si>
  <si>
    <t xml:space="preserve">COMERCIAL DE ALIMENTOS SCHAFER LTDA</t>
  </si>
  <si>
    <t xml:space="preserve"> SUPERMERCADO AMIGAO II</t>
  </si>
  <si>
    <t xml:space="preserve">NUTRICAO PRODUTOS VETERINARIOS LTDA</t>
  </si>
  <si>
    <t xml:space="preserve">BRAULIO DIONES AMARILHA DE SCARDINE SUPE</t>
  </si>
  <si>
    <t xml:space="preserve">MERCADINHO FIGUEIRA LTDA</t>
  </si>
  <si>
    <t xml:space="preserve">MF - MERCADINHO FIGUEIRA</t>
  </si>
  <si>
    <t xml:space="preserve">ALFHA MERCEARIA E CONVENIENCIA EIRELI</t>
  </si>
  <si>
    <t xml:space="preserve">ALFHA MERCEARIA E CONVENIENCIA</t>
  </si>
  <si>
    <t xml:space="preserve">LUANA COSTA DE OLIVEIRA LTDA</t>
  </si>
  <si>
    <t xml:space="preserve">CS RACOES PET SHOP</t>
  </si>
  <si>
    <t xml:space="preserve">CONVENIENCIA MARESIAS LTDA</t>
  </si>
  <si>
    <t xml:space="preserve">CONVENIENCIA MARESIAS</t>
  </si>
  <si>
    <t xml:space="preserve">AUTO POSTO MARE</t>
  </si>
  <si>
    <t xml:space="preserve">AGL COMERCIO LTDA</t>
  </si>
  <si>
    <t xml:space="preserve">SUSENT GROWLER STATION</t>
  </si>
  <si>
    <t xml:space="preserve">POLI ALL COMERC DE PROD ALIMENTICIOS LTD</t>
  </si>
  <si>
    <t xml:space="preserve">POLLI ALL</t>
  </si>
  <si>
    <t xml:space="preserve">GABRIEL DOS SANTOS NOGUEIRA</t>
  </si>
  <si>
    <t xml:space="preserve">RENATO VARANDA DE SOUSA 03352458111</t>
  </si>
  <si>
    <t xml:space="preserve">MARILUCI PAZ DE SOUZA</t>
  </si>
  <si>
    <t xml:space="preserve"> MARILUCI PAZ DE SOUZA</t>
  </si>
  <si>
    <t xml:space="preserve">RODOLFO FIGUEIREDO</t>
  </si>
  <si>
    <t xml:space="preserve">CONVENIENCIA VITINHO</t>
  </si>
  <si>
    <t xml:space="preserve">JOAQUIM ALVES DE LIMA</t>
  </si>
  <si>
    <t xml:space="preserve">RCS DISTRIBUIDORA LTDA</t>
  </si>
  <si>
    <t xml:space="preserve">AGRO PET PATAS E PELOS LTDA</t>
  </si>
  <si>
    <t xml:space="preserve">PET SHOP PATAS E PELOS</t>
  </si>
  <si>
    <t xml:space="preserve">ELAINE CRISTINA DO CARMO PEREIRA ANDRADE</t>
  </si>
  <si>
    <t xml:space="preserve">MERCEARIA ANDRADE</t>
  </si>
  <si>
    <t xml:space="preserve">MARCOS AURELIO GALEANO</t>
  </si>
  <si>
    <t xml:space="preserve">EMPORIO GALEANO</t>
  </si>
  <si>
    <t xml:space="preserve">JUAN ALEJANDRO MENDOZA MENDOZA</t>
  </si>
  <si>
    <t xml:space="preserve">COMERCIAL JIMMY</t>
  </si>
  <si>
    <t xml:space="preserve">JAIRO PEREIRA DE OLIVEIRA</t>
  </si>
  <si>
    <t xml:space="preserve">TOP LIDER CONVENIENCIA E MERCE</t>
  </si>
  <si>
    <t xml:space="preserve">TAINARA FERNANDES DE OLIVEIRA PADUAN</t>
  </si>
  <si>
    <t xml:space="preserve">PET SHOP AMIGO MEU</t>
  </si>
  <si>
    <t xml:space="preserve">CIRLENE FERNANDA GIRO 60094613168</t>
  </si>
  <si>
    <t xml:space="preserve">CONVENIENCIA GIRO</t>
  </si>
  <si>
    <t xml:space="preserve">VEM SUPERMERCADO LTDA</t>
  </si>
  <si>
    <t xml:space="preserve">CONDOR SUPERMERCADO</t>
  </si>
  <si>
    <t xml:space="preserve">A K NUNES CONVENIENCIA</t>
  </si>
  <si>
    <t xml:space="preserve">BIANCA CASTRO FERNANDES FORTUNATO</t>
  </si>
  <si>
    <t xml:space="preserve">OSMAR SANCHEZ AMURRIO</t>
  </si>
  <si>
    <t xml:space="preserve">MERCEARIA ENCONTRO DOS AMIGOS</t>
  </si>
  <si>
    <t xml:space="preserve">OLD SHEEP STEAKBAR LTDA</t>
  </si>
  <si>
    <t xml:space="preserve">OLD SHEEP STEAKBAR</t>
  </si>
  <si>
    <t xml:space="preserve">PAIVA E SECO RACOES PET SHOP VET LTDA</t>
  </si>
  <si>
    <t xml:space="preserve">PAIVA RACOES E VETERINARIA</t>
  </si>
  <si>
    <t xml:space="preserve">RC RESTAURANTE E ESPETARIA LTDA</t>
  </si>
  <si>
    <t xml:space="preserve">RC RESTAURANTE E ESPETARIA</t>
  </si>
  <si>
    <t xml:space="preserve">67 BIKESHOP PECAS E REPAROS</t>
  </si>
  <si>
    <t xml:space="preserve">67BIKESHOP</t>
  </si>
  <si>
    <t xml:space="preserve">ORION COMERCIO DE ALIMENTOS LTDA</t>
  </si>
  <si>
    <t xml:space="preserve">TUBARAO ACOUGUE E CONVENIENCIA</t>
  </si>
  <si>
    <t xml:space="preserve">SIRLEI SOARES DE OLIVEIRA</t>
  </si>
  <si>
    <t xml:space="preserve">HORTIFRUTI MERCEARIA SOARES</t>
  </si>
  <si>
    <t xml:space="preserve">EJ COMERCIO DE CARNES EIRELI</t>
  </si>
  <si>
    <t xml:space="preserve">MACEDA CARNES E FRIOS</t>
  </si>
  <si>
    <t xml:space="preserve">CHEP DO BRASIL LTDA</t>
  </si>
  <si>
    <t xml:space="preserve">LOUVEIRA</t>
  </si>
  <si>
    <t xml:space="preserve">CHEP DO BRASIL</t>
  </si>
  <si>
    <t xml:space="preserve">PPF STUDIO BIKE CHACARA CACHOEIRA CG LTD</t>
  </si>
  <si>
    <t xml:space="preserve">STUDIO VELOCITY</t>
  </si>
  <si>
    <t xml:space="preserve">ELAINE FERREIRA VAZ 88496600149</t>
  </si>
  <si>
    <t xml:space="preserve">MERCEARIA CRYSTHAL</t>
  </si>
  <si>
    <t xml:space="preserve">MARLI DA SILVA PAIVA 00009703101 MEI</t>
  </si>
  <si>
    <t xml:space="preserve">ALL STORE</t>
  </si>
  <si>
    <t xml:space="preserve">BCAP MERCADO E CONVENIENCIA LTDA</t>
  </si>
  <si>
    <t xml:space="preserve">BCAP MERCADO E CONVENIENCIA</t>
  </si>
  <si>
    <t xml:space="preserve">COMERCIAL COSTA DOS SANTOS LTDA</t>
  </si>
  <si>
    <t xml:space="preserve">ANDERSON ALVES GARCIA</t>
  </si>
  <si>
    <t xml:space="preserve">GARCIAS</t>
  </si>
  <si>
    <t xml:space="preserve">GUSTAVO PEDROSO LEITE</t>
  </si>
  <si>
    <t xml:space="preserve">BAR DO LAGARTIXA</t>
  </si>
  <si>
    <t xml:space="preserve">LETICIA AZEVEDO BATISTA</t>
  </si>
  <si>
    <t xml:space="preserve">DELIZ SORVETES E ACAI</t>
  </si>
  <si>
    <t xml:space="preserve">DROGARIA VALENTE ARAUJO LTDA</t>
  </si>
  <si>
    <t xml:space="preserve">DROGARIA SANTA MONICA PRECO POPULAR</t>
  </si>
  <si>
    <t xml:space="preserve">JOSILENE CRISTINA DA SILVA LEME</t>
  </si>
  <si>
    <t xml:space="preserve">POUSADA CONV E PETIS AVENIDA</t>
  </si>
  <si>
    <t xml:space="preserve">GABRIEL MARQUES APOLONIO</t>
  </si>
  <si>
    <t xml:space="preserve">CASA DE CARNE BOM PRECO</t>
  </si>
  <si>
    <t xml:space="preserve">MARILDA DE ALMEIDA MICHELS LEITE LTDA</t>
  </si>
  <si>
    <t xml:space="preserve">SUPERMERCADO LEITE</t>
  </si>
  <si>
    <t xml:space="preserve">ACOUGUE E MINIMERCADO GAUTO EIRELI</t>
  </si>
  <si>
    <t xml:space="preserve">ARMAZEM DA CARNE</t>
  </si>
  <si>
    <t xml:space="preserve">VANILDO MARTINS DE SOUZA</t>
  </si>
  <si>
    <t xml:space="preserve">MERCADO PREMIER</t>
  </si>
  <si>
    <t xml:space="preserve">ADRIANA FURINI SCARDUA SIMON LTDA</t>
  </si>
  <si>
    <t xml:space="preserve">IPE MERCEARIA</t>
  </si>
  <si>
    <t xml:space="preserve">ANDRE LUIZ APARECIDO DA SILVA 0365607916</t>
  </si>
  <si>
    <t xml:space="preserve">VALERIA SOARES GONGORA DA SILVA</t>
  </si>
  <si>
    <t xml:space="preserve">COMPRE MAIS COM PROD ALIMENTICIOS LTDA  </t>
  </si>
  <si>
    <t xml:space="preserve">FIALHO E LARA LTDA</t>
  </si>
  <si>
    <t xml:space="preserve">KIPAO</t>
  </si>
  <si>
    <t xml:space="preserve">FRANCIELE LIMA DE OLIVEIRA MERCADO EIREL</t>
  </si>
  <si>
    <t xml:space="preserve">JULIANE REZENDE DA SILVA</t>
  </si>
  <si>
    <t xml:space="preserve">DOG RACOES</t>
  </si>
  <si>
    <t xml:space="preserve">JACKSON DORNELLES BENITES</t>
  </si>
  <si>
    <t xml:space="preserve">MERCEARIA JB</t>
  </si>
  <si>
    <t xml:space="preserve">SIDNEIA APARECIDA DA SILVA 01826619119  </t>
  </si>
  <si>
    <t xml:space="preserve">ACOUGUE E MERCEARIA ALMEIDA</t>
  </si>
  <si>
    <t xml:space="preserve">ADEMIR JOSE FANTINATO 28506880106</t>
  </si>
  <si>
    <t xml:space="preserve">SANTISTA</t>
  </si>
  <si>
    <t xml:space="preserve">AHAU GASTRONOMIA E COQUETELARIA LTDA</t>
  </si>
  <si>
    <t xml:space="preserve">AHAU GASTRONOMIA E COQUETELARIA</t>
  </si>
  <si>
    <t xml:space="preserve">CHURRASCARIA E LANCH TALISMA MARACAJU LT</t>
  </si>
  <si>
    <t xml:space="preserve">BUY AT HOME COMERCIO VAREJISTA DE CONVEN</t>
  </si>
  <si>
    <t xml:space="preserve">GRELHADOS CG LTDA</t>
  </si>
  <si>
    <t xml:space="preserve">GRELHADOS CG</t>
  </si>
  <si>
    <t xml:space="preserve">RACOES PAIOL LTDA</t>
  </si>
  <si>
    <t xml:space="preserve">PAIOL RACOES</t>
  </si>
  <si>
    <t xml:space="preserve">SACCHI E CIA COM DE ALIMENTOS LDTA</t>
  </si>
  <si>
    <t xml:space="preserve">SUPERMERCADO DOURADO III</t>
  </si>
  <si>
    <t xml:space="preserve">CAMILA DOS SANTOS DE ARAUJO</t>
  </si>
  <si>
    <t xml:space="preserve">CONVENIENCIA MAGUILAS BEER</t>
  </si>
  <si>
    <t xml:space="preserve">DIEGO BENITES 01082615145</t>
  </si>
  <si>
    <t xml:space="preserve">NO PELO BEER</t>
  </si>
  <si>
    <t xml:space="preserve">ANTONIO CESAR DE BARRIOS JUNIOR</t>
  </si>
  <si>
    <t xml:space="preserve">CASA DE RACAO IPE</t>
  </si>
  <si>
    <t xml:space="preserve">LUCIANGELA PIMENTEL ALPIRES PROCHERA</t>
  </si>
  <si>
    <t xml:space="preserve">MERCADINHO REAL PARK</t>
  </si>
  <si>
    <t xml:space="preserve">JEFERSON DE LIMA GODOY 03855964130</t>
  </si>
  <si>
    <t xml:space="preserve">UP COMERCIO VAREJISTA</t>
  </si>
  <si>
    <t xml:space="preserve">MINI MERCADO BOIADEIRA</t>
  </si>
  <si>
    <t xml:space="preserve">PETERSON DE ANDREA PANTALEAO 02132596131</t>
  </si>
  <si>
    <t xml:space="preserve">NO PONTO BAR</t>
  </si>
  <si>
    <t xml:space="preserve">AMSTERDAM CONVENIENCIA LTDA</t>
  </si>
  <si>
    <t xml:space="preserve">AMSTERDAM CONVENIENCIA</t>
  </si>
  <si>
    <t xml:space="preserve">THAIS RANOFF CONFEITARIA LTDA</t>
  </si>
  <si>
    <t xml:space="preserve">THAIS RANOFF CONFEITARIA</t>
  </si>
  <si>
    <t xml:space="preserve">TIAGO DE SOUZA AMADO</t>
  </si>
  <si>
    <t xml:space="preserve">INFINITY HAMBURGUERIA</t>
  </si>
  <si>
    <t xml:space="preserve">ADELMIR PADILHA LTDA</t>
  </si>
  <si>
    <t xml:space="preserve">CASA QUEBRADA</t>
  </si>
  <si>
    <t xml:space="preserve">MANOELLE M MILANI</t>
  </si>
  <si>
    <t xml:space="preserve">MANOELLE MILANI</t>
  </si>
  <si>
    <t xml:space="preserve">MERCADO E CONVENIENCIA TOKA BEER LTDA</t>
  </si>
  <si>
    <t xml:space="preserve">MERCADO E CONVENIENCIA TOKA BEER</t>
  </si>
  <si>
    <t xml:space="preserve">BAFFS CAMPO GRANDE ALIMENTOS</t>
  </si>
  <si>
    <t xml:space="preserve">BRUNO S FERREIRA EIRELI</t>
  </si>
  <si>
    <t xml:space="preserve">MERCADO E ACOUGUE COSTELAO</t>
  </si>
  <si>
    <t xml:space="preserve">MARCIA GOMES DE ARAUJO</t>
  </si>
  <si>
    <t xml:space="preserve">MERCEARIA BITTENCOURT</t>
  </si>
  <si>
    <t xml:space="preserve">PETS CENTER LTDA</t>
  </si>
  <si>
    <t xml:space="preserve">PET DANI</t>
  </si>
  <si>
    <t xml:space="preserve">GEOVANA APARECIDA CAMARGO MAIA</t>
  </si>
  <si>
    <t xml:space="preserve">MAIA CONVENIENCIA</t>
  </si>
  <si>
    <t xml:space="preserve">ROBSON PEREIRA DOS SANTOS</t>
  </si>
  <si>
    <t xml:space="preserve">PET STOP RACOES</t>
  </si>
  <si>
    <t xml:space="preserve">PET SHOP AIRTON SENNA</t>
  </si>
  <si>
    <t xml:space="preserve">PET SHOP AYRTON SENNA</t>
  </si>
  <si>
    <t xml:space="preserve">ANA VITORIA MODESTO DE OLIVEIRA</t>
  </si>
  <si>
    <t xml:space="preserve">HAPPYDOG</t>
  </si>
  <si>
    <t xml:space="preserve">EVELIN DE JESUS SOUZA</t>
  </si>
  <si>
    <t xml:space="preserve">MERCADO EVELIN</t>
  </si>
  <si>
    <t xml:space="preserve">R M E DELEON LTDA</t>
  </si>
  <si>
    <t xml:space="preserve">BOTIJAO DE CERVEJA</t>
  </si>
  <si>
    <t xml:space="preserve">ANTONIO FERREIRA DE ARAUJO NETO</t>
  </si>
  <si>
    <t xml:space="preserve">CASA DE RACAO VILA ALEGRE</t>
  </si>
  <si>
    <t xml:space="preserve">LUCIANA ALMEIDA DE SOUZA NOGUEIRA 878143</t>
  </si>
  <si>
    <t xml:space="preserve">MINI MERCADO ALIANCA</t>
  </si>
  <si>
    <t xml:space="preserve">DEBORA JULIANA LIMA FERBONIO</t>
  </si>
  <si>
    <t xml:space="preserve">MERCADO HELOA</t>
  </si>
  <si>
    <t xml:space="preserve">DOROTHY PAULA DE SOUZA PASCHOALOTTO</t>
  </si>
  <si>
    <t xml:space="preserve">ME GUSTA</t>
  </si>
  <si>
    <t xml:space="preserve">JACKSON CECATTO THOMAZ</t>
  </si>
  <si>
    <t xml:space="preserve">VILMA QUEIROZ IVO 92372635115</t>
  </si>
  <si>
    <t xml:space="preserve">NOSSO CAO PET SHOP</t>
  </si>
  <si>
    <t xml:space="preserve">SORVETERIA DO PARK</t>
  </si>
  <si>
    <t xml:space="preserve">SORVETE E ACAI DO PARK</t>
  </si>
  <si>
    <t xml:space="preserve">CLUB PET COMERCIO  DE RACOES LTDA</t>
  </si>
  <si>
    <t xml:space="preserve">CLUB PET</t>
  </si>
  <si>
    <t xml:space="preserve">KIG CONVENIENCIA</t>
  </si>
  <si>
    <t xml:space="preserve">2W COMERCIO DE BEBIDAS LTDA</t>
  </si>
  <si>
    <t xml:space="preserve">DISTRIBUIDORA GOT</t>
  </si>
  <si>
    <t xml:space="preserve">MAYQUELI SALES LOPES MARTINS</t>
  </si>
  <si>
    <t xml:space="preserve">AGRO PET TERENENSE</t>
  </si>
  <si>
    <t xml:space="preserve">SANTIAGO COMERCIO DE PROD VETERINARIOS L</t>
  </si>
  <si>
    <t xml:space="preserve">ANDRES CRUZ VALDA</t>
  </si>
  <si>
    <t xml:space="preserve">PRISCILA KELEN DE ALBUQUERQUE SILVA</t>
  </si>
  <si>
    <t xml:space="preserve">CASA DE RACOES DO PAQUINHA</t>
  </si>
  <si>
    <t xml:space="preserve">JORGENSEN E WOLFF LANCHONETE LTDA</t>
  </si>
  <si>
    <t xml:space="preserve">MR HOPPY CAMPO GRANDE</t>
  </si>
  <si>
    <t xml:space="preserve">N SORIANO DA SILVA LTDA</t>
  </si>
  <si>
    <t xml:space="preserve">MEGA SUL</t>
  </si>
  <si>
    <t xml:space="preserve">IVANALDO DE SOUZA</t>
  </si>
  <si>
    <t xml:space="preserve">CONVENIENCIA PRIME</t>
  </si>
  <si>
    <t xml:space="preserve">HORTIFRUTI DO PRODUTOR EIRELI</t>
  </si>
  <si>
    <t xml:space="preserve">BRUTU S BEBIDAS LTDA</t>
  </si>
  <si>
    <t xml:space="preserve">BRUTUS BEBIDAS</t>
  </si>
  <si>
    <t xml:space="preserve">TATIANE DE PAULA RODRIGUES EIRELI</t>
  </si>
  <si>
    <t xml:space="preserve">MIMO COSMETICOS LTDA</t>
  </si>
  <si>
    <t xml:space="preserve">MIMO COSMETICOS</t>
  </si>
  <si>
    <t xml:space="preserve">AGROPET PET SHOP TARUMA LTDA</t>
  </si>
  <si>
    <t xml:space="preserve">ELISANGELA ALVES DE BRITO</t>
  </si>
  <si>
    <t xml:space="preserve">CAPIAU ERVAS E RACOES</t>
  </si>
  <si>
    <t xml:space="preserve">RONALDO MONTORO NOALE</t>
  </si>
  <si>
    <t xml:space="preserve">CASA PET</t>
  </si>
  <si>
    <t xml:space="preserve">CASA DO PET 1 ANIMAIS DE ESTIMACAO LTDA </t>
  </si>
  <si>
    <t xml:space="preserve">CASA DO PET 1</t>
  </si>
  <si>
    <t xml:space="preserve">SONIA GONCALVES DA SILVA</t>
  </si>
  <si>
    <t xml:space="preserve">MERCEARIA LEOPOLDO</t>
  </si>
  <si>
    <t xml:space="preserve">SUPERMERCADO NUTRIBEM LTDA</t>
  </si>
  <si>
    <t xml:space="preserve">SUPERMERCADO SANCHES</t>
  </si>
  <si>
    <t xml:space="preserve">AM PM COMESTIVEIS LTDA</t>
  </si>
  <si>
    <t xml:space="preserve">AMPM COMESTIVEIS LTDA</t>
  </si>
  <si>
    <t xml:space="preserve">AMPM SPIPE CALARGE</t>
  </si>
  <si>
    <t xml:space="preserve">AM PM CALOGERAS</t>
  </si>
  <si>
    <t xml:space="preserve">AM PM COMESTIVEIS</t>
  </si>
  <si>
    <t xml:space="preserve">SIMONE APARECIDA NUNES DE LIMA</t>
  </si>
  <si>
    <t xml:space="preserve">J S MERCEARIA</t>
  </si>
  <si>
    <t xml:space="preserve">ELISIA FARIAS DE OLIVEIRA 25458299191</t>
  </si>
  <si>
    <t xml:space="preserve">ARAPONGAS SUPERMERCADO EIRELI</t>
  </si>
  <si>
    <t xml:space="preserve">REDE ARAPONGAS</t>
  </si>
  <si>
    <t xml:space="preserve">ARAPONGAS SUPERMERCADOS EIRELI</t>
  </si>
  <si>
    <t xml:space="preserve">ARAPONGAS SUPERMERCADO LTDA</t>
  </si>
  <si>
    <t xml:space="preserve">ARAPONGAS</t>
  </si>
  <si>
    <t xml:space="preserve">A C NAPOLITANO LEMOS LTDA</t>
  </si>
  <si>
    <t xml:space="preserve">BELLA FARMA</t>
  </si>
  <si>
    <t xml:space="preserve">CRISTIANE RODAS RIBEIRO</t>
  </si>
  <si>
    <t xml:space="preserve">HORTA DO MARCOS 2</t>
  </si>
  <si>
    <t xml:space="preserve">JOAO PAULO SANTOS TAVEIRA</t>
  </si>
  <si>
    <t xml:space="preserve">SUPER ECONOMICO JP REPRESENTACOES</t>
  </si>
  <si>
    <t xml:space="preserve">GUSTAVO MENDONCA GARCIA</t>
  </si>
  <si>
    <t xml:space="preserve">BICHO ZEN</t>
  </si>
  <si>
    <t xml:space="preserve">ANTONIO WILLIAM BELEZA</t>
  </si>
  <si>
    <t xml:space="preserve">MERCEARIA BELEZA</t>
  </si>
  <si>
    <t xml:space="preserve">MERCADO PAZ</t>
  </si>
  <si>
    <t xml:space="preserve">ESPACO BARBER CLUB CACHOEIRA LTDA</t>
  </si>
  <si>
    <t xml:space="preserve">ESPACO BARBER CARTEL CLUB CACHOEIRA</t>
  </si>
  <si>
    <t xml:space="preserve">ALESSANDRO DA SILVA RODRIGUES</t>
  </si>
  <si>
    <t xml:space="preserve">MERCADO DO ATAIDE - SAO LUIZ</t>
  </si>
  <si>
    <t xml:space="preserve">CAVALCANTI COMERCIO DE PROD AGRO</t>
  </si>
  <si>
    <t xml:space="preserve">ARARAS AGROCENTER</t>
  </si>
  <si>
    <t xml:space="preserve">RONIEL REIS DOS SANTOS</t>
  </si>
  <si>
    <t xml:space="preserve">DEGUST RACOES</t>
  </si>
  <si>
    <t xml:space="preserve">ACAI DOURADOS LTDA</t>
  </si>
  <si>
    <t xml:space="preserve">ACAI CONCEPT DOURADOS</t>
  </si>
  <si>
    <t xml:space="preserve">REINALDO VALEJO SOUZA</t>
  </si>
  <si>
    <t xml:space="preserve">DEBORA FRUTUOSO BENEDITO</t>
  </si>
  <si>
    <t xml:space="preserve">FAMILIA QUATRO PATAS PET CARE LTDA</t>
  </si>
  <si>
    <t xml:space="preserve">FAMILIA 4 PATAS</t>
  </si>
  <si>
    <t xml:space="preserve">EMPORIO E CONVENIENCIA DOM PEDRO LTDA</t>
  </si>
  <si>
    <t xml:space="preserve">EMPORIO E CONVENIENCIA DOM PEDRO</t>
  </si>
  <si>
    <t xml:space="preserve">MARAJA CONVENIENCIA LTDA</t>
  </si>
  <si>
    <t xml:space="preserve">ZEU DE OLIVEIRA FERNANDES JUNIOR</t>
  </si>
  <si>
    <t xml:space="preserve">AGROPET RABITO</t>
  </si>
  <si>
    <t xml:space="preserve">SUPERMERCADO VTME LTDA</t>
  </si>
  <si>
    <t xml:space="preserve">SUPERMERCADO TIO VAVA</t>
  </si>
  <si>
    <t xml:space="preserve">KL ECO MERCADO LTDA</t>
  </si>
  <si>
    <t xml:space="preserve">GRAO E GRAO ECOMERCADO</t>
  </si>
  <si>
    <t xml:space="preserve">LEANDRO APARECIDO GARCIA</t>
  </si>
  <si>
    <t xml:space="preserve">LG PET SHOP</t>
  </si>
  <si>
    <t xml:space="preserve">L A PET SHOP LTDA</t>
  </si>
  <si>
    <t xml:space="preserve">PRO PET</t>
  </si>
  <si>
    <t xml:space="preserve">IDEAL COM DE PRODUTOS FARMA LTDA</t>
  </si>
  <si>
    <t xml:space="preserve">LUCIA DOMINGOS DA SILVA KUDO</t>
  </si>
  <si>
    <t xml:space="preserve">HOTIFRUTI DO ANDERSON</t>
  </si>
  <si>
    <t xml:space="preserve">ELISEU SARTORI SCHWERZ</t>
  </si>
  <si>
    <t xml:space="preserve">RHEMA SUPERMEECADO</t>
  </si>
  <si>
    <t xml:space="preserve">MINI MERCADO ARM</t>
  </si>
  <si>
    <t xml:space="preserve">ADV COMERCIO ATACADISTA DE ALIMENTOS L  </t>
  </si>
  <si>
    <t xml:space="preserve">ADV</t>
  </si>
  <si>
    <t xml:space="preserve">PET SHOP LOVERS LTDA</t>
  </si>
  <si>
    <t xml:space="preserve">PET LOVERS</t>
  </si>
  <si>
    <t xml:space="preserve">ELTON SANDRES PEREIRA DE OLIVEIRA 000240</t>
  </si>
  <si>
    <t xml:space="preserve">SANDRES ULTILIDADES</t>
  </si>
  <si>
    <t xml:space="preserve">FRANK FRANCA CHURA CRUZ EIRELI</t>
  </si>
  <si>
    <t xml:space="preserve">COMERCIAL JFB EIRELI</t>
  </si>
  <si>
    <t xml:space="preserve">ELIANE MARTINS</t>
  </si>
  <si>
    <t xml:space="preserve">BICHO COMEU</t>
  </si>
  <si>
    <t xml:space="preserve">CHEST TRANSPORTES EIRELI</t>
  </si>
  <si>
    <t xml:space="preserve">JL TRANSPORTES FRETES E MUNDANCAS</t>
  </si>
  <si>
    <t xml:space="preserve">ALVES E CORREA CONVENIENCIA LTDA</t>
  </si>
  <si>
    <t xml:space="preserve">ADEGA PANAMA</t>
  </si>
  <si>
    <t xml:space="preserve">DELTA CONVENIENCIA LTDA</t>
  </si>
  <si>
    <t xml:space="preserve">DELTA CONVENIENCIA</t>
  </si>
  <si>
    <t xml:space="preserve">BRUNA NORATO MACIEL 04879849197</t>
  </si>
  <si>
    <t xml:space="preserve">MR MERCEARIA E CONVENIENCIA</t>
  </si>
  <si>
    <t xml:space="preserve">CAROLINA BEATRIZ TATSUMI OLMEDO</t>
  </si>
  <si>
    <t xml:space="preserve">MERCADINHO LACRAIA</t>
  </si>
  <si>
    <t xml:space="preserve">DLB COMERCIO DE ALIMENTOS LTDA</t>
  </si>
  <si>
    <t xml:space="preserve">MANA HORTIFRUTI E ACOUGUE</t>
  </si>
  <si>
    <t xml:space="preserve">AGROTOP LTDA</t>
  </si>
  <si>
    <t xml:space="preserve">AGROTOP</t>
  </si>
  <si>
    <t xml:space="preserve">KEVIN DE LIMA CONVENIENCIA</t>
  </si>
  <si>
    <t xml:space="preserve">GASTAO GRILL RESTAURANTE LTDA</t>
  </si>
  <si>
    <t xml:space="preserve">GASTAO GRILL</t>
  </si>
  <si>
    <t xml:space="preserve">PEDRAO COMERCIO DE BEBIDAS LTDA</t>
  </si>
  <si>
    <t xml:space="preserve">PEDRAO DELIVERY</t>
  </si>
  <si>
    <t xml:space="preserve">LETICIA VIEIRA DA SILVA 01875796100</t>
  </si>
  <si>
    <t xml:space="preserve">ROSILEY GARCIA MENDES MORIGUTI 834579501</t>
  </si>
  <si>
    <t xml:space="preserve">EVERTON HONORIO DA SILVA 99090570187</t>
  </si>
  <si>
    <t xml:space="preserve">MINI MERCADO KI BARATO</t>
  </si>
  <si>
    <t xml:space="preserve">MAYSA MARQUES DE OLIVEIRA</t>
  </si>
  <si>
    <t xml:space="preserve">YSA MERCEARIA</t>
  </si>
  <si>
    <t xml:space="preserve">RAMONA ELENA COENGA 03839899141</t>
  </si>
  <si>
    <t xml:space="preserve">MINI MERCADO DO THIAGO</t>
  </si>
  <si>
    <t xml:space="preserve">MARIA EVALDILMA MENDONCA CAETANO EIRELI </t>
  </si>
  <si>
    <t xml:space="preserve">ROSA E ESPIRITO SANTO LTDA</t>
  </si>
  <si>
    <t xml:space="preserve">BRUTUS LANCHONETE E CONVENIENC</t>
  </si>
  <si>
    <t xml:space="preserve">TERRA RICA MERCADO E CONVENIENCIA LTDA  </t>
  </si>
  <si>
    <t xml:space="preserve">TERRA RICA SM CONV ACG E PAD</t>
  </si>
  <si>
    <t xml:space="preserve">VIVIANE STROHSCHIEN</t>
  </si>
  <si>
    <t xml:space="preserve">LE CONVENIENCIA</t>
  </si>
  <si>
    <t xml:space="preserve">J V ORTIZ DE LIMA EIRELI</t>
  </si>
  <si>
    <t xml:space="preserve">SIMONE ALVES FERREIRA COSMETICOS</t>
  </si>
  <si>
    <t xml:space="preserve">BELLA IMAGEM COSMETICOS</t>
  </si>
  <si>
    <t xml:space="preserve">ARLINDO PIONTI ALVES</t>
  </si>
  <si>
    <t xml:space="preserve">ESTIMACAO PET SHOP</t>
  </si>
  <si>
    <t xml:space="preserve">GELA DEMAIS CONVENIENCIA LTDA</t>
  </si>
  <si>
    <t xml:space="preserve">GELA DEMAIS CONVENIENCIA</t>
  </si>
  <si>
    <t xml:space="preserve">LAURA FLORES DE FREITAS</t>
  </si>
  <si>
    <t xml:space="preserve">ZEQUINHA PET SHOP</t>
  </si>
  <si>
    <t xml:space="preserve">41.248.004 ALCINDO VICENTE CARVALHO</t>
  </si>
  <si>
    <t xml:space="preserve">ROSANE FATIMA BACH SILVA</t>
  </si>
  <si>
    <t xml:space="preserve">MERCEARIA BACH</t>
  </si>
  <si>
    <t xml:space="preserve">EMILENE LEGUE DE SOUZA PEREIRA</t>
  </si>
  <si>
    <t xml:space="preserve">MERCEARIA MONUMENTO</t>
  </si>
  <si>
    <t xml:space="preserve">MINI MERCADO SAO JOSE LTDA</t>
  </si>
  <si>
    <t xml:space="preserve">ES ALIMENTOS LTDA</t>
  </si>
  <si>
    <t xml:space="preserve">ES ALIMENTOS</t>
  </si>
  <si>
    <t xml:space="preserve">MERCADO E CONVENIENCIA H2 LTDA</t>
  </si>
  <si>
    <t xml:space="preserve">RICK COMERCIO DE PROD ALIM LTDA</t>
  </si>
  <si>
    <t xml:space="preserve">RICK COMERCIO DE PRODUTOS</t>
  </si>
  <si>
    <t xml:space="preserve">CASA DE RACAO SANTA ISABEL LTDA</t>
  </si>
  <si>
    <t xml:space="preserve">CASA DE RACAO STA ISABEL</t>
  </si>
  <si>
    <t xml:space="preserve">EUNICE PEREIRA DURAES FERNANDES</t>
  </si>
  <si>
    <t xml:space="preserve">PANIFICADORA MORIA</t>
  </si>
  <si>
    <t xml:space="preserve">EDMAR FERREIRA DA SILVA</t>
  </si>
  <si>
    <t xml:space="preserve">CONVENIENCIA GUAPOS</t>
  </si>
  <si>
    <t xml:space="preserve">MUNDO PET PET SHOP LA LTDA</t>
  </si>
  <si>
    <t xml:space="preserve">CELIA DE OLIVEIRA FERNANDES EIRELI</t>
  </si>
  <si>
    <t xml:space="preserve">MERCEARIA MARQUES LTDA</t>
  </si>
  <si>
    <t xml:space="preserve">MERCEARIA E ACOUGUE MARQUES</t>
  </si>
  <si>
    <t xml:space="preserve">BULK COOKIES DOCERIA LTDA</t>
  </si>
  <si>
    <t xml:space="preserve">BULK COOKIES</t>
  </si>
  <si>
    <t xml:space="preserve">PETRO MS APOIO EMPRESARIAL LTDA</t>
  </si>
  <si>
    <t xml:space="preserve">PETROFOOD RESTAURANTE E CONVENIENCIA</t>
  </si>
  <si>
    <t xml:space="preserve">C DE S TAVARES JUNIOR</t>
  </si>
  <si>
    <t xml:space="preserve">CTJ NUTRICAO ANIMAL</t>
  </si>
  <si>
    <t xml:space="preserve">MARCIO JOSE FE SOUZA MARTINS</t>
  </si>
  <si>
    <t xml:space="preserve">MARTINS PANIFICADORA</t>
  </si>
  <si>
    <t xml:space="preserve">ANIBAL TOLEDO DE ANDRADE LTDA</t>
  </si>
  <si>
    <t xml:space="preserve">SO FESTAS EVENTOS E EMBALAGENS</t>
  </si>
  <si>
    <t xml:space="preserve">LEIDE KAREM RAMIRES</t>
  </si>
  <si>
    <t xml:space="preserve">MATOS E ZAURIZO MERCEARIA E CONVENIENCIA</t>
  </si>
  <si>
    <t xml:space="preserve">REDE FAMILIA MERCEARIA</t>
  </si>
  <si>
    <t xml:space="preserve">MERCEARIA AVENIDA LTDA</t>
  </si>
  <si>
    <t xml:space="preserve">BERLLUCCI E MIAISE LTDA</t>
  </si>
  <si>
    <t xml:space="preserve"> CATIANA FIALHO MARTINS</t>
  </si>
  <si>
    <t xml:space="preserve">CODORNAS BEER</t>
  </si>
  <si>
    <t xml:space="preserve">APDR COMERCIO DE BEBIDAS LTDA</t>
  </si>
  <si>
    <t xml:space="preserve">ERREJOTA</t>
  </si>
  <si>
    <t xml:space="preserve">ECR COMERCIO DE PRODUTOS EIRELI</t>
  </si>
  <si>
    <t xml:space="preserve">SANTO ANTONIO II</t>
  </si>
  <si>
    <t xml:space="preserve">ANA PAULA SILVA GUIMARAES</t>
  </si>
  <si>
    <t xml:space="preserve">CASARI COMERCIO DE ALIMENTOS EIRELI</t>
  </si>
  <si>
    <t xml:space="preserve">JJ COMERCIO DE FRIOS EIRELI</t>
  </si>
  <si>
    <t xml:space="preserve">JJ CATARINENSE</t>
  </si>
  <si>
    <t xml:space="preserve">CLEIDE LUIS DE OLIVEIRA</t>
  </si>
  <si>
    <t xml:space="preserve">CONVENIENCIA DO GUSTAVO</t>
  </si>
  <si>
    <t xml:space="preserve">41.663.415 MARIA ELIANA RUFINO DE JESUS </t>
  </si>
  <si>
    <t xml:space="preserve">LARISSA DE SOUZA CACERES 00471851124</t>
  </si>
  <si>
    <t xml:space="preserve">PITSTOP MERCEARIA CONV E ACOUGUE LTDA</t>
  </si>
  <si>
    <t xml:space="preserve">MERCEARIA PITSTOP</t>
  </si>
  <si>
    <t xml:space="preserve">J A M DE SOUZA LTDA</t>
  </si>
  <si>
    <t xml:space="preserve">NILMO COLETE</t>
  </si>
  <si>
    <t xml:space="preserve">PAULO SERGIO DA SILVA 82842612191</t>
  </si>
  <si>
    <t xml:space="preserve">RODRIGUES E SILVA PROD AGROP LTDA</t>
  </si>
  <si>
    <t xml:space="preserve">AGRONAVI</t>
  </si>
  <si>
    <t xml:space="preserve">CAROLINE DOS SANTOS RODRIGUES LTDA</t>
  </si>
  <si>
    <t xml:space="preserve">TONI BESCH TENIS LOCACAO E COMERCIO DE S</t>
  </si>
  <si>
    <t xml:space="preserve">BESCH TENIS</t>
  </si>
  <si>
    <t xml:space="preserve">PONTO DA CARNE COMERCIO DE CARNE LTDA</t>
  </si>
  <si>
    <t xml:space="preserve">FRANCIELLE DE FREITAS CONDE</t>
  </si>
  <si>
    <t xml:space="preserve">GENISIS MERCADO E HORTIFRUTI</t>
  </si>
  <si>
    <t xml:space="preserve">ACF DE LIMA</t>
  </si>
  <si>
    <t xml:space="preserve">EDEN LOUNGE BAR LTDA</t>
  </si>
  <si>
    <t xml:space="preserve">EDEN</t>
  </si>
  <si>
    <t xml:space="preserve">MONDELLI PIZZARIA EL</t>
  </si>
  <si>
    <t xml:space="preserve">MONDELLI PIZZARIA</t>
  </si>
  <si>
    <t xml:space="preserve">RODRIGO ALVES MOURA SALES 00759441111</t>
  </si>
  <si>
    <t xml:space="preserve">CONVENIENCIA PUZZLE LTDA</t>
  </si>
  <si>
    <t xml:space="preserve">PRUZZLE COVENIECIA</t>
  </si>
  <si>
    <t xml:space="preserve">LOURIVAL RAIMUNDO DE ANDRADE 17546303168</t>
  </si>
  <si>
    <t xml:space="preserve">ELIOMAR SOUZA</t>
  </si>
  <si>
    <t xml:space="preserve">GERSON COSMO NUNES COUTINHO LTDA</t>
  </si>
  <si>
    <t xml:space="preserve">JORDAO MERCADO</t>
  </si>
  <si>
    <t xml:space="preserve">LAURA SOMAVILA KONAGESKI 05121342195</t>
  </si>
  <si>
    <t xml:space="preserve">TABACARIA TEXANA</t>
  </si>
  <si>
    <t xml:space="preserve">CLINICA VETERINARIA  PANTANAL LTDA</t>
  </si>
  <si>
    <t xml:space="preserve">CLINICA VETERINARIA PANTANAL</t>
  </si>
  <si>
    <t xml:space="preserve">PAULA CEOBANIUC DRONOV</t>
  </si>
  <si>
    <t xml:space="preserve">EFS MERCADO E CASA DE CARNES LTDA</t>
  </si>
  <si>
    <t xml:space="preserve">CASA DE CARNE E MERCADO VILLA NOVA</t>
  </si>
  <si>
    <t xml:space="preserve">BIG FRUTAS PRODUTOS ALIMENTICIOS EIRELI </t>
  </si>
  <si>
    <t xml:space="preserve">ELISSON VICENTE DE SOUZA 25711652168</t>
  </si>
  <si>
    <t xml:space="preserve">EMPORIO 2 DE JULHO</t>
  </si>
  <si>
    <t xml:space="preserve">RAFAEL F DE GREGORIO ALIMENTOS LTDA</t>
  </si>
  <si>
    <t xml:space="preserve">FRUTARIA GREGORIO</t>
  </si>
  <si>
    <t xml:space="preserve">ROBSON SOARES DE OLIVEIRA</t>
  </si>
  <si>
    <t xml:space="preserve">NUTRIMAIS NUTRICAO ANIMAL</t>
  </si>
  <si>
    <t xml:space="preserve">ROSELY PEREIRA MAMERIO DOS SANTOS</t>
  </si>
  <si>
    <t xml:space="preserve">NOSSO MERCADO LTDA</t>
  </si>
  <si>
    <t xml:space="preserve">MOACIR MIRANDA DE SANTANA</t>
  </si>
  <si>
    <t xml:space="preserve">BRUTUS MERCEARIA E CONVENIENCI</t>
  </si>
  <si>
    <t xml:space="preserve">VETERINARIA QUATRO PATAS EIRELI</t>
  </si>
  <si>
    <t xml:space="preserve">QUATRO PATAS</t>
  </si>
  <si>
    <t xml:space="preserve">MERCADO BELA VISTA LTDA</t>
  </si>
  <si>
    <t xml:space="preserve">GOMES ALVES CONVENIENCIA LTDA</t>
  </si>
  <si>
    <t xml:space="preserve">PIT STOP V8</t>
  </si>
  <si>
    <t xml:space="preserve">EDNA BARROS RUFINO 98019708120</t>
  </si>
  <si>
    <t xml:space="preserve">MERCEARIA ELVIS</t>
  </si>
  <si>
    <t xml:space="preserve">POLYANNA CORREA DOS ANJOS CASA DE RACAO </t>
  </si>
  <si>
    <t xml:space="preserve">CASA DE RACAO CELEIRO</t>
  </si>
  <si>
    <t xml:space="preserve">CONVENIENCIA DO AMIGAO EIRELLI</t>
  </si>
  <si>
    <t xml:space="preserve">CONVENIENCIA DO AMIGAO</t>
  </si>
  <si>
    <t xml:space="preserve">ROTA BEER LTDA</t>
  </si>
  <si>
    <t xml:space="preserve">ROTA BEER</t>
  </si>
  <si>
    <t xml:space="preserve">SILVA CRUZ COMERCIO DE BEBIDAS LTDA</t>
  </si>
  <si>
    <t xml:space="preserve">PE DE GARRAFA CONVENIENCIA</t>
  </si>
  <si>
    <t xml:space="preserve">CERVEJARIA BODEGA CG LTDA</t>
  </si>
  <si>
    <t xml:space="preserve">BODEGA CG</t>
  </si>
  <si>
    <t xml:space="preserve">SUPERMERCADO SOARES E MIGUEL LTDA</t>
  </si>
  <si>
    <t xml:space="preserve">DISTRIBUIDORA DE BEBIDAS SKINA ERELI</t>
  </si>
  <si>
    <t xml:space="preserve">SKINA BEBIDAS</t>
  </si>
  <si>
    <t xml:space="preserve">CASA DO PET 2 ANIMAIS DE ESTIMACAO LTADA</t>
  </si>
  <si>
    <t xml:space="preserve">CASA DO PET 2</t>
  </si>
  <si>
    <t xml:space="preserve">ROSA MARIA SERAFIM DA COSTA MINIMERCADO </t>
  </si>
  <si>
    <t xml:space="preserve">PEDE VITAMINA EM POTES LTDA</t>
  </si>
  <si>
    <t xml:space="preserve">INPONT VITAMINA</t>
  </si>
  <si>
    <t xml:space="preserve">MAXIFARMA COM DE MEDIC E PERF LTDA</t>
  </si>
  <si>
    <t xml:space="preserve">MAXIFARMA POPULAR</t>
  </si>
  <si>
    <t xml:space="preserve">RONIVALDO FARIAS DE LARA</t>
  </si>
  <si>
    <t xml:space="preserve">MERCEARIA CONVENIENCIA LARA</t>
  </si>
  <si>
    <t xml:space="preserve">MARCELO DE OLIVEIRA GONZAGA 01542347106 </t>
  </si>
  <si>
    <t xml:space="preserve">A EVANDRO SILVA LTDA</t>
  </si>
  <si>
    <t xml:space="preserve">LARANJA DA MATA</t>
  </si>
  <si>
    <t xml:space="preserve">SEDE ZERO BEBIDAS LTDA</t>
  </si>
  <si>
    <t xml:space="preserve">SEDE ZERO BEBIDAS</t>
  </si>
  <si>
    <t xml:space="preserve">AUTO POSTO CASTRO LTDA</t>
  </si>
  <si>
    <t xml:space="preserve">POSTO SEM LIMITE</t>
  </si>
  <si>
    <t xml:space="preserve">CENTRAL DO BRASIL DISTRIBUIDORA LTDA</t>
  </si>
  <si>
    <t xml:space="preserve">CDB DISTRIBUICAO</t>
  </si>
  <si>
    <t xml:space="preserve">TOP VET LTDA</t>
  </si>
  <si>
    <t xml:space="preserve">HUMBERTO VIEIRA</t>
  </si>
  <si>
    <t xml:space="preserve">MINIMERCADO VIEIRA</t>
  </si>
  <si>
    <t xml:space="preserve">PABLO BORGES DRUMONT LTDA</t>
  </si>
  <si>
    <t xml:space="preserve">PANIFICADORA E ACOUGUE KRIATIV</t>
  </si>
  <si>
    <t xml:space="preserve">MERCADO LAIOLA LTDA</t>
  </si>
  <si>
    <t xml:space="preserve">MERCADO LAIOLA</t>
  </si>
  <si>
    <t xml:space="preserve">LUIZ RENATO DIAS GALEANO</t>
  </si>
  <si>
    <t xml:space="preserve">CHEFIA CONVENIENCIA</t>
  </si>
  <si>
    <t xml:space="preserve">VANIA VARGAS BALTA</t>
  </si>
  <si>
    <t xml:space="preserve">MERCEARIA DU PAE</t>
  </si>
  <si>
    <t xml:space="preserve">AKALY BRANDAO DE SOUZA SALES</t>
  </si>
  <si>
    <t xml:space="preserve">PANIFICADORA E CONFEITARIA PAO NOSSO</t>
  </si>
  <si>
    <t xml:space="preserve">MICHELLI LIMA MENDES LTDA</t>
  </si>
  <si>
    <t xml:space="preserve">MERCEARIA LN LTDA</t>
  </si>
  <si>
    <t xml:space="preserve">CLICKBEER EMPORIO E BEBIDAS LTDA</t>
  </si>
  <si>
    <t xml:space="preserve">JULIA FELICIO DE SOUZA</t>
  </si>
  <si>
    <t xml:space="preserve">ADRIANA PILLON DA COSTA 02995908100</t>
  </si>
  <si>
    <t xml:space="preserve">ADRIANA PILLON DA COSTA</t>
  </si>
  <si>
    <t xml:space="preserve">S A CORREA DE BRITO</t>
  </si>
  <si>
    <t xml:space="preserve">QUOKKA BARBECUE ARMAZEM LTDA</t>
  </si>
  <si>
    <t xml:space="preserve">QUOKKA BAR BECUE</t>
  </si>
  <si>
    <t xml:space="preserve">LOJA DE CONVENIENCIAS DUAS NACOES LTDA  </t>
  </si>
  <si>
    <t xml:space="preserve">CONVENINCIA DAS NACOES</t>
  </si>
  <si>
    <t xml:space="preserve">CONVENIENCIA E MERCEARIA MARCELINO EIREL</t>
  </si>
  <si>
    <t xml:space="preserve">CONVENIENCIA MARCELINO</t>
  </si>
  <si>
    <t xml:space="preserve">MALIBU COMERCIO DE BEBIDAS E ALIMENTOS L</t>
  </si>
  <si>
    <t xml:space="preserve">MALIBU CONVENIENCIA</t>
  </si>
  <si>
    <t xml:space="preserve">MALIBU</t>
  </si>
  <si>
    <t xml:space="preserve">ROMUALDO DA SILVA LTDA</t>
  </si>
  <si>
    <t xml:space="preserve">MERCADO E CONV DO ROMA</t>
  </si>
  <si>
    <t xml:space="preserve">DILSON LOPES RODRIGUES</t>
  </si>
  <si>
    <t xml:space="preserve">GIAN MICHEL DA SILVA PAIXAO 05617273175 </t>
  </si>
  <si>
    <t xml:space="preserve">FREE PET</t>
  </si>
  <si>
    <t xml:space="preserve">S F N DE OLIVEIRA LTDA</t>
  </si>
  <si>
    <t xml:space="preserve">PORKS - CAMPO GRANDE</t>
  </si>
  <si>
    <t xml:space="preserve">MINI MERCADO PROSA LTDA</t>
  </si>
  <si>
    <t xml:space="preserve">MINI MERCADO PROSA</t>
  </si>
  <si>
    <t xml:space="preserve">KAYQUE PREVIATE DE SOUZA 10229147151</t>
  </si>
  <si>
    <t xml:space="preserve">REAL PET</t>
  </si>
  <si>
    <t xml:space="preserve">RICARDO SABOYA MONTENEGRO FILHO</t>
  </si>
  <si>
    <t xml:space="preserve">VIVER DO BEM PRODUTOS NATURAIS</t>
  </si>
  <si>
    <t xml:space="preserve">GLORIA APARECIDA ARISPE DA MATA 49700278</t>
  </si>
  <si>
    <t xml:space="preserve">EMPORIO SANTO ANDRE LTDA</t>
  </si>
  <si>
    <t xml:space="preserve">EMPORIO SANTO ANDRE</t>
  </si>
  <si>
    <t xml:space="preserve">JEANE SOUSA DE OLIVEIRA SANTOS</t>
  </si>
  <si>
    <t xml:space="preserve">RACOES PAQUINHA</t>
  </si>
  <si>
    <t xml:space="preserve">FRANCILENE OLIVEIRA DA SILVA</t>
  </si>
  <si>
    <t xml:space="preserve">LATE E MIA CASA DE RACOES</t>
  </si>
  <si>
    <t xml:space="preserve">ADII COMERCIO ATACADISTA DE ALIMENTOS E </t>
  </si>
  <si>
    <t xml:space="preserve">ELAINE NOGUEIRA R DE MORAES</t>
  </si>
  <si>
    <t xml:space="preserve">KARINA KELLY DA SILVA BARROS LTDA</t>
  </si>
  <si>
    <t xml:space="preserve">E DE MELO GENARIO</t>
  </si>
  <si>
    <t xml:space="preserve">CASA DO PRODUTOR</t>
  </si>
  <si>
    <t xml:space="preserve">DROGARIA TABOADO LTDA</t>
  </si>
  <si>
    <t xml:space="preserve">DROGARIA TABOADO</t>
  </si>
  <si>
    <t xml:space="preserve">GLEICI ANNE DA SILVA COSTA</t>
  </si>
  <si>
    <t xml:space="preserve">BEER HAUSE</t>
  </si>
  <si>
    <t xml:space="preserve">JOSE BATISTA DE SALES</t>
  </si>
  <si>
    <t xml:space="preserve">MARCIO DOS SANTOS MENDONCA</t>
  </si>
  <si>
    <t xml:space="preserve">TENDENCIA CELULARES</t>
  </si>
  <si>
    <t xml:space="preserve">TERRA VIVA COMERCIO E REPRE. AGROPECUARI</t>
  </si>
  <si>
    <t xml:space="preserve">TERRA VIVA</t>
  </si>
  <si>
    <t xml:space="preserve">TREVO MIX MERCEARIA E MATERIAL DE CONSTR</t>
  </si>
  <si>
    <t xml:space="preserve">DALVA LEONEL GOMES COMERCIO DE PRODUTOS </t>
  </si>
  <si>
    <t xml:space="preserve">CONVENIENCIA E LANCHONETE PEZINHO NO CHA</t>
  </si>
  <si>
    <t xml:space="preserve">YNENNY VILLCA MAMANI</t>
  </si>
  <si>
    <t xml:space="preserve">COMERCIAL JENIFFER</t>
  </si>
  <si>
    <t xml:space="preserve">ANDRADE E RIBEIRO LTDA</t>
  </si>
  <si>
    <t xml:space="preserve">REI DOS PETS</t>
  </si>
  <si>
    <t xml:space="preserve">IVONE VALENCIO DA SILVA NUNES</t>
  </si>
  <si>
    <t xml:space="preserve">CONVENIENCIA MADRUGA</t>
  </si>
  <si>
    <t xml:space="preserve">DOLFINI E SILVA LTDA</t>
  </si>
  <si>
    <t xml:space="preserve">PORTAL SUPERMERCADO E CONVENIENCIA</t>
  </si>
  <si>
    <t xml:space="preserve">ELEIR DOS SANTOS DE SOUZA TRANSPORTES</t>
  </si>
  <si>
    <t xml:space="preserve">ARI TRANSPORTES</t>
  </si>
  <si>
    <t xml:space="preserve">J P DOS SANTOS OLIVEIRA VETERINARIA</t>
  </si>
  <si>
    <t xml:space="preserve">SAO JOAO CLINICA VETERINARIA</t>
  </si>
  <si>
    <t xml:space="preserve">GABRIEL PATINHO FERREIRA 05695022177</t>
  </si>
  <si>
    <t xml:space="preserve">IZABEL FERREIRA DIAS IORA LTDA</t>
  </si>
  <si>
    <t xml:space="preserve">CONVENIENCIA DA BEL</t>
  </si>
  <si>
    <t xml:space="preserve">GIGLIANE NASCIMBENI GASPAR DA SILVA</t>
  </si>
  <si>
    <t xml:space="preserve">PESCA PET</t>
  </si>
  <si>
    <t xml:space="preserve">CHRYSTIAN LEITE BALBUENA 04784862196</t>
  </si>
  <si>
    <t xml:space="preserve">HAMBURGUERIA CARACOL</t>
  </si>
  <si>
    <t xml:space="preserve">DC BRESSAN  COMERCIO DE CARNES LTDA</t>
  </si>
  <si>
    <t xml:space="preserve">EF CASA DE CARNES</t>
  </si>
  <si>
    <t xml:space="preserve">ADRIANA FERREIRA KUTTERT RODRIGUES EIREL</t>
  </si>
  <si>
    <t xml:space="preserve">PET SHOP PETTRATO</t>
  </si>
  <si>
    <t xml:space="preserve">KETLEN STHEFANY C DA SILVA EIRELI</t>
  </si>
  <si>
    <t xml:space="preserve">ACOUGUE GK</t>
  </si>
  <si>
    <t xml:space="preserve">V F D SOARES LTDA</t>
  </si>
  <si>
    <t xml:space="preserve">SURPERMERCADO SOARES IV</t>
  </si>
  <si>
    <t xml:space="preserve">I DA SILVA ROBEIRO EIRELI</t>
  </si>
  <si>
    <t xml:space="preserve">MERCADO NOVA ITAMARATI</t>
  </si>
  <si>
    <t xml:space="preserve">NOSSOS DOTES COM DE PROD DEFUMADOS LTDA </t>
  </si>
  <si>
    <t xml:space="preserve">NOSSOS DOTES</t>
  </si>
  <si>
    <t xml:space="preserve">DEISE CRISTINA FERREIRA BRITES 861391851</t>
  </si>
  <si>
    <t xml:space="preserve">BOI VALENTE CASA DE CARNES E FRIOS EIREL</t>
  </si>
  <si>
    <t xml:space="preserve">BOI VALENTE CARNES E FRIOS</t>
  </si>
  <si>
    <t xml:space="preserve">RINALDA DE MELO OLIVEIRA DA SILVA 447998</t>
  </si>
  <si>
    <t xml:space="preserve">BALOQUE COMERCIO DE ALIMENTOS LTDA.</t>
  </si>
  <si>
    <t xml:space="preserve">MERCADO BALOQUE</t>
  </si>
  <si>
    <t xml:space="preserve">OSVALDO MANIEIRO</t>
  </si>
  <si>
    <t xml:space="preserve">CASA DE RACAO NOSSA SENHORA AP</t>
  </si>
  <si>
    <t xml:space="preserve">VALDINEI MARTINS SANTANA</t>
  </si>
  <si>
    <t xml:space="preserve">DINEI CONVENIENCIA</t>
  </si>
  <si>
    <t xml:space="preserve">FELINNE CENTRO MEDICO VETERINARIO LTDA  </t>
  </si>
  <si>
    <t xml:space="preserve">FELINNE E CIA CENTRO MEDICO VETERINARIO </t>
  </si>
  <si>
    <t xml:space="preserve">J P BONDEZAN TORRES LTDA</t>
  </si>
  <si>
    <t xml:space="preserve">BONDEZAN E DURAN LTDA</t>
  </si>
  <si>
    <t xml:space="preserve">WISLEY MACHADO FERREIRA</t>
  </si>
  <si>
    <t xml:space="preserve">MIBIS CONVENIENCIA</t>
  </si>
  <si>
    <t xml:space="preserve">EVALDO SILVA DE JESUS</t>
  </si>
  <si>
    <t xml:space="preserve">ARG COMERCIO DE ALIMENTICIOS EIRELLI</t>
  </si>
  <si>
    <t xml:space="preserve">ANTONIO CARLOS ZANARDO</t>
  </si>
  <si>
    <t xml:space="preserve">LATE</t>
  </si>
  <si>
    <t xml:space="preserve">COMERCIO DE ALIMENTOS JMS EIRELI</t>
  </si>
  <si>
    <t xml:space="preserve">ELTON SOLER FURTADO</t>
  </si>
  <si>
    <t xml:space="preserve">PETISCAO PET SHOP</t>
  </si>
  <si>
    <t xml:space="preserve">CASA DA ROCA AGROPECUARIA LTDA</t>
  </si>
  <si>
    <t xml:space="preserve">AGRO CASA DA ROCA</t>
  </si>
  <si>
    <t xml:space="preserve">CASA DAS RACOES E PET SHOP SANTA ROSA</t>
  </si>
  <si>
    <t xml:space="preserve">PET SHOP SANTA ROSA</t>
  </si>
  <si>
    <t xml:space="preserve">MATHEUS DE PAULA PEIXOTO</t>
  </si>
  <si>
    <t xml:space="preserve">STC NUTRICAO ANIMAL</t>
  </si>
  <si>
    <t xml:space="preserve">W E K ESTETICA ANIMAL</t>
  </si>
  <si>
    <t xml:space="preserve">KAROLINE BATISTA</t>
  </si>
  <si>
    <t xml:space="preserve">MARTINS ACOUGUE E CONVENIENCIA LTDA</t>
  </si>
  <si>
    <t xml:space="preserve">MARTINS ACOUGUE E CONVENIENCIA</t>
  </si>
  <si>
    <t xml:space="preserve">VAGNER APARECIDO VENTURA ESPINDOLA</t>
  </si>
  <si>
    <t xml:space="preserve">PADARIA MANA</t>
  </si>
  <si>
    <t xml:space="preserve">V A V ESPINOZA LTDA</t>
  </si>
  <si>
    <t xml:space="preserve">PABLO HENRIQUE BOAZAL</t>
  </si>
  <si>
    <t xml:space="preserve">BOAZAL</t>
  </si>
  <si>
    <t xml:space="preserve">MINIMERCADO COLIBRI LTDA</t>
  </si>
  <si>
    <t xml:space="preserve">ILZO TRAGUETTO SOBRINHO</t>
  </si>
  <si>
    <t xml:space="preserve">MAMMA MIA PIZZAS E STICKS</t>
  </si>
  <si>
    <t xml:space="preserve">MERCADO QUALI MAIS LTDA</t>
  </si>
  <si>
    <t xml:space="preserve">SUPERMERCADO QUALI MAIS</t>
  </si>
  <si>
    <t xml:space="preserve">ERICSON SOLER BENITES 00354672150</t>
  </si>
  <si>
    <t xml:space="preserve">SOLER CONVENIENCIA</t>
  </si>
  <si>
    <t xml:space="preserve">ABR SALGADOS LTDA</t>
  </si>
  <si>
    <t xml:space="preserve">CONVENIENCIA ALOOY</t>
  </si>
  <si>
    <t xml:space="preserve">AGROPAR COM.DE GRAOS</t>
  </si>
  <si>
    <t xml:space="preserve">AGROPAR</t>
  </si>
  <si>
    <t xml:space="preserve">BRAKOM CONVENIENCIA EIRELI</t>
  </si>
  <si>
    <t xml:space="preserve">BRAKOM CONVENIENCIA</t>
  </si>
  <si>
    <t xml:space="preserve">MARCOS DA SILVA ALBRES</t>
  </si>
  <si>
    <t xml:space="preserve">CONVENIENCIAS ASAKAHA</t>
  </si>
  <si>
    <t xml:space="preserve">LUCIMAR APARECIDA SILVA MARCILIANO</t>
  </si>
  <si>
    <t xml:space="preserve">LUCIMAR CHOCONETOS</t>
  </si>
  <si>
    <t xml:space="preserve">EVERTON SILVA SANTOS</t>
  </si>
  <si>
    <t xml:space="preserve">CONVENIENCIA LONDRINA</t>
  </si>
  <si>
    <t xml:space="preserve">PAULA THAIS MOREIRA MAGRO</t>
  </si>
  <si>
    <t xml:space="preserve">EMERGENCIA MERCEARIA E CONVENI</t>
  </si>
  <si>
    <t xml:space="preserve">LEONARDO PIRES NUNES DE SOUZA</t>
  </si>
  <si>
    <t xml:space="preserve">MERCADO MADU</t>
  </si>
  <si>
    <t xml:space="preserve">PET VET MEDICINA ANIMAL LTDA</t>
  </si>
  <si>
    <t xml:space="preserve">PET VET</t>
  </si>
  <si>
    <t xml:space="preserve">MERCADO RALDI</t>
  </si>
  <si>
    <t xml:space="preserve">CNP TABACARIA E CONVENIENCIA LTDA</t>
  </si>
  <si>
    <t xml:space="preserve">LA MAFIA CONVENIENCIA E TABACA</t>
  </si>
  <si>
    <t xml:space="preserve">MAURICIO FLORES R DE CASTRO</t>
  </si>
  <si>
    <t xml:space="preserve">FLORES</t>
  </si>
  <si>
    <t xml:space="preserve">JEFERSON DOS SANTOS NEVES 03794591160</t>
  </si>
  <si>
    <t xml:space="preserve">CONVENIENCIA MULLER</t>
  </si>
  <si>
    <t xml:space="preserve">CLINICA VET LAMBLEM GARCIA LTDA</t>
  </si>
  <si>
    <t xml:space="preserve">GALERA ANIMAL</t>
  </si>
  <si>
    <t xml:space="preserve">BARLEY E FOOD LTDA</t>
  </si>
  <si>
    <t xml:space="preserve">BARLEY BAR</t>
  </si>
  <si>
    <t xml:space="preserve">COMERCIAL FEITOSA PARENTE LTDA</t>
  </si>
  <si>
    <t xml:space="preserve">MERCEARIA PARENTE</t>
  </si>
  <si>
    <t xml:space="preserve">WIVIANE TIBURCO DE ALMEIDA</t>
  </si>
  <si>
    <t xml:space="preserve">ARCA DE NOE PET SHOP MS</t>
  </si>
  <si>
    <t xml:space="preserve">PETS ROGER LTDA</t>
  </si>
  <si>
    <t xml:space="preserve">PETS ROGER</t>
  </si>
  <si>
    <t xml:space="preserve">AGRO PET CATIGUA</t>
  </si>
  <si>
    <t xml:space="preserve">KELI FERREIRA MARIM 01742941150</t>
  </si>
  <si>
    <t xml:space="preserve">COMERCIO ALVORADA</t>
  </si>
  <si>
    <t xml:space="preserve">JAHINY LOPES RODRIGUES</t>
  </si>
  <si>
    <t xml:space="preserve">ZANDONA PET SHOP</t>
  </si>
  <si>
    <t xml:space="preserve">BLO SUPERMERCADO LTDA</t>
  </si>
  <si>
    <t xml:space="preserve">MERCADO MEINS LTDA</t>
  </si>
  <si>
    <t xml:space="preserve">MERCADO MINES</t>
  </si>
  <si>
    <t xml:space="preserve">COMERCIAL A A K J LTDA</t>
  </si>
  <si>
    <t xml:space="preserve">COMERCIAL A.A.K.J LTDA</t>
  </si>
  <si>
    <t xml:space="preserve"> MERCADO DANTAS</t>
  </si>
  <si>
    <t xml:space="preserve">COMERCIO DE ALIMENTOS DANTAS E LIMA LTDA</t>
  </si>
  <si>
    <t xml:space="preserve">NATA AIAS CUNHA GOMES</t>
  </si>
  <si>
    <t xml:space="preserve">HUGO HUMBERTO DOS SANTOS PORTO</t>
  </si>
  <si>
    <t xml:space="preserve">HUGAO HOT DOG</t>
  </si>
  <si>
    <t xml:space="preserve">KEILA SIMONE KOPROWSKI</t>
  </si>
  <si>
    <t xml:space="preserve">XXXXXXX</t>
  </si>
  <si>
    <t xml:space="preserve">ANA PAULA BARBOSA DE BENS 06804922166</t>
  </si>
  <si>
    <t xml:space="preserve">CHACARA BENS PESQUE PAGUE</t>
  </si>
  <si>
    <t xml:space="preserve">VALERIA DE OLIVEIRA SOARES MARCELINO</t>
  </si>
  <si>
    <t xml:space="preserve">VALERIA DE OLIVEIRA SOARES MAR</t>
  </si>
  <si>
    <t xml:space="preserve">SUPREMO SALGADINHOS LTDA</t>
  </si>
  <si>
    <t xml:space="preserve">SUPREMO SALGADINHOS</t>
  </si>
  <si>
    <t xml:space="preserve">VICTOR HUGO OLIVEIRA TLAES</t>
  </si>
  <si>
    <t xml:space="preserve">DISTRIBUIDORA TRES BARRAS LTDA</t>
  </si>
  <si>
    <t xml:space="preserve">JAQUELINE CAMARA DE SOUZA</t>
  </si>
  <si>
    <t xml:space="preserve">MERCEARIA E PANIFICADORA HARMONIA</t>
  </si>
  <si>
    <t xml:space="preserve">43.740.685 WILSON APARECIDO MARTINS DE O</t>
  </si>
  <si>
    <t xml:space="preserve">ELEN CRISTINA CARVALHO</t>
  </si>
  <si>
    <t xml:space="preserve">CONVENIENCIA OJUARA</t>
  </si>
  <si>
    <t xml:space="preserve">SUPERMERCADO POINT LTDA</t>
  </si>
  <si>
    <t xml:space="preserve">DIXER DISTRIBUIDORA DE BEBIDAS SA</t>
  </si>
  <si>
    <t xml:space="preserve">COCA COLA FEMSA</t>
  </si>
  <si>
    <t xml:space="preserve">B.A.H. COMERCIO DE ALIMENTOS LTDA</t>
  </si>
  <si>
    <t xml:space="preserve">B.A.H. LICENCIADO</t>
  </si>
  <si>
    <t xml:space="preserve">VICTOR EMANUEL FERREIRA ARAUJO</t>
  </si>
  <si>
    <t xml:space="preserve">MARIA DE LIMA MENDES</t>
  </si>
  <si>
    <t xml:space="preserve">S LOROS FARMACIAS LTDA</t>
  </si>
  <si>
    <t xml:space="preserve">PANIFICADORA E CONF AMAZONAS MS LTDA</t>
  </si>
  <si>
    <t xml:space="preserve">PANIFICADORA AMAZONAS</t>
  </si>
  <si>
    <t xml:space="preserve">ADEMIR PEREIRA DOS SANTOS</t>
  </si>
  <si>
    <t xml:space="preserve">RUSTICO PBA</t>
  </si>
  <si>
    <t xml:space="preserve">CLEBERSON CLEITON DA SILVA</t>
  </si>
  <si>
    <t xml:space="preserve">CITY MERCADO</t>
  </si>
  <si>
    <t xml:space="preserve">MINI MERCADO SILVA LTDA</t>
  </si>
  <si>
    <t xml:space="preserve">SOUZA E RIOS COM DE MEDICAMENTOS LTDA</t>
  </si>
  <si>
    <t xml:space="preserve">FARMACIA PARANAIBA</t>
  </si>
  <si>
    <t xml:space="preserve">PADARIA PAO QUENTE</t>
  </si>
  <si>
    <t xml:space="preserve">ROGERIO SANTIAGO PERUSSO LTDA ME</t>
  </si>
  <si>
    <t xml:space="preserve">PE E PE CONVENIENCIA</t>
  </si>
  <si>
    <t xml:space="preserve">JEDIELSON SILVA BRANDAO 72594446149</t>
  </si>
  <si>
    <t xml:space="preserve">CONVENIENCIA J SILVA</t>
  </si>
  <si>
    <t xml:space="preserve">FW COMERCIO DE CARNES LTDA</t>
  </si>
  <si>
    <t xml:space="preserve">VILLE BOVINE II</t>
  </si>
  <si>
    <t xml:space="preserve">ZIG BEER CONVENIENCIA LTDA</t>
  </si>
  <si>
    <t xml:space="preserve">ZIG BEER</t>
  </si>
  <si>
    <t xml:space="preserve">EVA MICHELLE CHADID TORRES</t>
  </si>
  <si>
    <t xml:space="preserve">MERCADO CASCATINHA</t>
  </si>
  <si>
    <t xml:space="preserve">FARMA FRANCA LTDA</t>
  </si>
  <si>
    <t xml:space="preserve">ULTRAFARMA</t>
  </si>
  <si>
    <t xml:space="preserve">FERNANDA DA SILVA LIMA 03668603138</t>
  </si>
  <si>
    <t xml:space="preserve">LUCIETTO SEVERGNINI BARBOSA LTDA</t>
  </si>
  <si>
    <t xml:space="preserve">GESICA GALANTE</t>
  </si>
  <si>
    <t xml:space="preserve">FS NUTRICAO ANIMAL</t>
  </si>
  <si>
    <t xml:space="preserve">INGRID SUELEN DE MACEDO AGUIAR LTDA</t>
  </si>
  <si>
    <t xml:space="preserve">BENITA CONDORI VARGAS 71731851146</t>
  </si>
  <si>
    <t xml:space="preserve">MELHORAMENTOS CMPC LTDA</t>
  </si>
  <si>
    <t xml:space="preserve">CAIEIRAS</t>
  </si>
  <si>
    <t xml:space="preserve">MELHORAMENTOS</t>
  </si>
  <si>
    <t xml:space="preserve">YULIZA ANAI ALCON COCA</t>
  </si>
  <si>
    <t xml:space="preserve">COMERCIAL GAROTO</t>
  </si>
  <si>
    <t xml:space="preserve">POINT BEER CONVENIENCIA LTDA</t>
  </si>
  <si>
    <t xml:space="preserve">POINT BEER CONVENIENCIA</t>
  </si>
  <si>
    <t xml:space="preserve">CLAYTON FABIANO DA SILVA</t>
  </si>
  <si>
    <t xml:space="preserve">MERCADO PONTO FACIL LTDA</t>
  </si>
  <si>
    <t xml:space="preserve">MERCADO FACIL</t>
  </si>
  <si>
    <t xml:space="preserve">DENILSON DE LEAO BAMBIL</t>
  </si>
  <si>
    <t xml:space="preserve">COMERCIAL JF LTDA</t>
  </si>
  <si>
    <t xml:space="preserve">JF COVENIECIA</t>
  </si>
  <si>
    <t xml:space="preserve">BIBIANA PERES BENITES</t>
  </si>
  <si>
    <t xml:space="preserve">RAMOS E RODRIGUES LTDA</t>
  </si>
  <si>
    <t xml:space="preserve">FLAVIA ALVES DOS SANTOS</t>
  </si>
  <si>
    <t xml:space="preserve">SOUZA E CARVALHO LTDA</t>
  </si>
  <si>
    <t xml:space="preserve">CONVENIENCIA W11</t>
  </si>
  <si>
    <t xml:space="preserve">KEILA DE OLIVEIRA ZANGIROLAMI</t>
  </si>
  <si>
    <t xml:space="preserve">TUTI MINI MERCADO</t>
  </si>
  <si>
    <t xml:space="preserve">LAN ADVANCE CONVENIENCIA LTDA</t>
  </si>
  <si>
    <t xml:space="preserve">LAN ADVANCE</t>
  </si>
  <si>
    <t xml:space="preserve">MERCADO PAGUE POUCO LTDA</t>
  </si>
  <si>
    <t xml:space="preserve">ADILSON FREITAS VALDEZ 99097710120</t>
  </si>
  <si>
    <t xml:space="preserve">DISTRIBUIDORA DE BEBIDAS DO DILL</t>
  </si>
  <si>
    <t xml:space="preserve">YGOR WILLIAN SOUZA DA SILVA</t>
  </si>
  <si>
    <t xml:space="preserve">NOSSO EMPORIO LTDA</t>
  </si>
  <si>
    <t xml:space="preserve">CONVENIENCIA 24H LTDA</t>
  </si>
  <si>
    <t xml:space="preserve">CONVENIENCIA 24H</t>
  </si>
  <si>
    <t xml:space="preserve">G G CAMPOS DA CUNHA</t>
  </si>
  <si>
    <t xml:space="preserve">CONVENIENCIA PIT STOP</t>
  </si>
  <si>
    <t xml:space="preserve">MERCEARIA RK LTDA</t>
  </si>
  <si>
    <t xml:space="preserve">MERCEARIA RK</t>
  </si>
  <si>
    <t xml:space="preserve">MATHEUS HENRIQUE SILVA DE PAULA LTDA</t>
  </si>
  <si>
    <t xml:space="preserve">HIPER FRIOS</t>
  </si>
  <si>
    <t xml:space="preserve">JOAO ANTONIO VALENSUELA 79955902172</t>
  </si>
  <si>
    <t xml:space="preserve">MERCEARIA 12 DE JUNHO</t>
  </si>
  <si>
    <t xml:space="preserve">FARO FINO LTDA</t>
  </si>
  <si>
    <t xml:space="preserve">FARO FINO</t>
  </si>
  <si>
    <t xml:space="preserve">O S PRESTACAO DE SERVICOS LTDA</t>
  </si>
  <si>
    <t xml:space="preserve">O S PRESTACAO DE SERVICO</t>
  </si>
  <si>
    <t xml:space="preserve">SUPERMERCADO SAIDERA EXPRESS LTDA</t>
  </si>
  <si>
    <t xml:space="preserve">SUPERMERCADO SAIDERA</t>
  </si>
  <si>
    <t xml:space="preserve">JULIETA</t>
  </si>
  <si>
    <t xml:space="preserve">RESTAURANTE E PIZZARIA LTDA</t>
  </si>
  <si>
    <t xml:space="preserve">PIZZA 67</t>
  </si>
  <si>
    <t xml:space="preserve">BRUNA IRIS TUPIKIN</t>
  </si>
  <si>
    <t xml:space="preserve">DOUTORA PET</t>
  </si>
  <si>
    <t xml:space="preserve">PAULINA CHOQUE GADA</t>
  </si>
  <si>
    <t xml:space="preserve">COMERCIAL PAULINA</t>
  </si>
  <si>
    <t xml:space="preserve">DANI DISTRIBUIDORA DE ALIMENTOS LTDA</t>
  </si>
  <si>
    <t xml:space="preserve">ERICA DA SILVA FELISBINO</t>
  </si>
  <si>
    <t xml:space="preserve">BARATAO MINI MERCADO</t>
  </si>
  <si>
    <t xml:space="preserve">J J P - COMERCIO VAREJISTA DE FRUTAS E V</t>
  </si>
  <si>
    <t xml:space="preserve">LOTUS TRANSPORTES LTDA</t>
  </si>
  <si>
    <t xml:space="preserve">TREZE BAR CAMPO GRANDE LTDA</t>
  </si>
  <si>
    <t xml:space="preserve">TREZE BAR CAMPO GRANDE</t>
  </si>
  <si>
    <t xml:space="preserve">PAULO CESAR FERREIRA</t>
  </si>
  <si>
    <t xml:space="preserve">WILLIAM FERREIRA DOS SANTOS</t>
  </si>
  <si>
    <t xml:space="preserve">PRO CAMPO AGROPECUARIA</t>
  </si>
  <si>
    <t xml:space="preserve">NOGOLE CONVENIENCIA LTDA</t>
  </si>
  <si>
    <t xml:space="preserve">NO GOLE</t>
  </si>
  <si>
    <t xml:space="preserve">DANUZA MARIA OLIVEIRA CANNO LTDA</t>
  </si>
  <si>
    <t xml:space="preserve">FARMARCOS D.J.A.</t>
  </si>
  <si>
    <t xml:space="preserve">MOACYR GOMES JUNIOR</t>
  </si>
  <si>
    <t xml:space="preserve">BROTHERS PET CASA DE RACOES</t>
  </si>
  <si>
    <t xml:space="preserve">FLAVIA VASCONCELOS MARQUES DE FREITAS</t>
  </si>
  <si>
    <t xml:space="preserve">FRUTARIA PAGUE POUCO</t>
  </si>
  <si>
    <t xml:space="preserve">RAFAEL ALEXANDRE TRIPOLI PRUDENTE</t>
  </si>
  <si>
    <t xml:space="preserve">SAO COSME E DAMIAO CONVENIENCIA LTDA</t>
  </si>
  <si>
    <t xml:space="preserve">BRZ BEER</t>
  </si>
  <si>
    <t xml:space="preserve">ADAILSON DA SILVA FRANCA</t>
  </si>
  <si>
    <t xml:space="preserve">CONVENIENCIA ESPLANADA</t>
  </si>
  <si>
    <t xml:space="preserve">CANAA COMERCIAL DE ALIMENTOS LTDA</t>
  </si>
  <si>
    <t xml:space="preserve">MERCADO ILHA GRANDE LTDA</t>
  </si>
  <si>
    <t xml:space="preserve">MERCADO ILHA GRANDE</t>
  </si>
  <si>
    <t xml:space="preserve">ALEX CONVENIENCIA</t>
  </si>
  <si>
    <t xml:space="preserve">ALVES CONVENIENCIA</t>
  </si>
  <si>
    <t xml:space="preserve">RESTAURANTE TALISMA CASA VERDE LTDA</t>
  </si>
  <si>
    <t xml:space="preserve">RESTAURANTE TALISMA CASA VERDE</t>
  </si>
  <si>
    <t xml:space="preserve">PC MARTINS LTDA</t>
  </si>
  <si>
    <t xml:space="preserve">VALENTIN CONVENIENCIA</t>
  </si>
  <si>
    <t xml:space="preserve">WM AZAMBUJA</t>
  </si>
  <si>
    <t xml:space="preserve">MERCADO YAHVEH LTDA</t>
  </si>
  <si>
    <t xml:space="preserve">JOCY CLEIA TEBALDI NOGUEIRA</t>
  </si>
  <si>
    <t xml:space="preserve">MERCEARIA NOVA OPCAO</t>
  </si>
  <si>
    <t xml:space="preserve">ALINE VEGA PACIENCIA</t>
  </si>
  <si>
    <t xml:space="preserve">PATAS D LUXO</t>
  </si>
  <si>
    <t xml:space="preserve">LOPES E GOMES PRODUTOS ALIMENTICIOS LTDA</t>
  </si>
  <si>
    <t xml:space="preserve">BATAGUASSU DROGARIAS R.A LTDA</t>
  </si>
  <si>
    <t xml:space="preserve">M S YOMEKURA LTDA</t>
  </si>
  <si>
    <t xml:space="preserve">MERCADO NOSSA SENHORA APARECID</t>
  </si>
  <si>
    <t xml:space="preserve">ISAQUE MACHADO DE SOUZA</t>
  </si>
  <si>
    <t xml:space="preserve">CONVENIENCIA E MERCEARIA MDS</t>
  </si>
  <si>
    <t xml:space="preserve">DONTECHEF CONSULTORIO</t>
  </si>
  <si>
    <t xml:space="preserve">VET DONTECHEF</t>
  </si>
  <si>
    <t xml:space="preserve">JOSE EDUARDO CACERES</t>
  </si>
  <si>
    <t xml:space="preserve">CASA DE CARNE NOSSA SENHORA AP</t>
  </si>
  <si>
    <t xml:space="preserve">MERCADO PAVANELI</t>
  </si>
  <si>
    <t xml:space="preserve">LUCIMAR CERQUEIRA TOMAZ MACHADO 01255147</t>
  </si>
  <si>
    <t xml:space="preserve">MERCADO E CONVENIENCIA BOM DIA</t>
  </si>
  <si>
    <t xml:space="preserve">SUPERMERCADO MIYAKE</t>
  </si>
  <si>
    <t xml:space="preserve">J A G GRANCE CASA DE CARNES</t>
  </si>
  <si>
    <t xml:space="preserve">MARCOS VICTOR ROCHA DA SILVA</t>
  </si>
  <si>
    <t xml:space="preserve">ROSANA DA SILVA RODRIGUES</t>
  </si>
  <si>
    <t xml:space="preserve">PIX CONVENIENCIA</t>
  </si>
  <si>
    <t xml:space="preserve">PEDRO HENRIQUE HONORATO 06154511108</t>
  </si>
  <si>
    <t xml:space="preserve">DIVORCIOS BAR E CONVENIENCIA</t>
  </si>
  <si>
    <t xml:space="preserve">J C ALVES DOS SANTOS LTDA</t>
  </si>
  <si>
    <t xml:space="preserve">EXPRESSO MERCADO E CONVENIENCIA LTDA</t>
  </si>
  <si>
    <t xml:space="preserve">CONVENIENCIA EXPRESSO</t>
  </si>
  <si>
    <t xml:space="preserve">COW BEER CONVENIENCIA DE BEBIDAS</t>
  </si>
  <si>
    <t xml:space="preserve">COW BEER</t>
  </si>
  <si>
    <t xml:space="preserve">DEUS E ARAUJO LTDA</t>
  </si>
  <si>
    <t xml:space="preserve">FORT FRIOS</t>
  </si>
  <si>
    <t xml:space="preserve">SEVERINA BAR E COMERCIO DE  BEBIDAS LTDA</t>
  </si>
  <si>
    <t xml:space="preserve">SEVERINA</t>
  </si>
  <si>
    <t xml:space="preserve">GAETA E MERCADO COMERCIO DE BEBIDAS E AL</t>
  </si>
  <si>
    <t xml:space="preserve">CONVENIENCIA DO GAETA</t>
  </si>
  <si>
    <t xml:space="preserve">LIDIANE APARECIDA DA SILVA DE OLIVEIRA  </t>
  </si>
  <si>
    <t xml:space="preserve">PONTES CONVENIENCIA</t>
  </si>
  <si>
    <t xml:space="preserve">VANIA MARIA SIQUEIRA DA SILVA</t>
  </si>
  <si>
    <t xml:space="preserve">MERCEARIA BELA</t>
  </si>
  <si>
    <t xml:space="preserve">CHR PARTICIPACOES LTDA</t>
  </si>
  <si>
    <t xml:space="preserve">FAZENDA CHURRASCADA</t>
  </si>
  <si>
    <t xml:space="preserve">L F DOS SANTOS BARATO LTDA</t>
  </si>
  <si>
    <t xml:space="preserve">BARBARIDADE</t>
  </si>
  <si>
    <t xml:space="preserve">CASA DO PET 3 ANIMAIS DE ESTIMACAO LTDA </t>
  </si>
  <si>
    <t xml:space="preserve">MERCADO SANTA RITA CARACOL LTDA</t>
  </si>
  <si>
    <t xml:space="preserve">CARVALHO E MEDINA LTDA</t>
  </si>
  <si>
    <t xml:space="preserve">RODRIGO DE OLIVEIRA OZORIO</t>
  </si>
  <si>
    <t xml:space="preserve">MERCEARIA E CONVENIENCIA POPAI</t>
  </si>
  <si>
    <t xml:space="preserve">D A DA SILVA COMERCIO DE ALIMENTOS</t>
  </si>
  <si>
    <t xml:space="preserve">CASA DE CARNE RONDON</t>
  </si>
  <si>
    <t xml:space="preserve">MATILDES DE SOUZA MARINHO</t>
  </si>
  <si>
    <t xml:space="preserve">FURUCHO TSUKUMI E CIA CAFETERIA LTDA</t>
  </si>
  <si>
    <t xml:space="preserve">GO COFFEE</t>
  </si>
  <si>
    <t xml:space="preserve">BARBEARIA 2VR LTDA</t>
  </si>
  <si>
    <t xml:space="preserve">DG PRODUCOES LTDA</t>
  </si>
  <si>
    <t xml:space="preserve">DG PRODUCOES</t>
  </si>
  <si>
    <t xml:space="preserve">COMERCIO VAREJISTA DE ALIMENTOS BATISTA </t>
  </si>
  <si>
    <t xml:space="preserve">MERCADO GIOM</t>
  </si>
  <si>
    <t xml:space="preserve">CRISTIANE FERREIRA DOS SANTOS</t>
  </si>
  <si>
    <t xml:space="preserve">DIZAO CONVENIENCIA</t>
  </si>
  <si>
    <t xml:space="preserve">EDERSON SCHRODER</t>
  </si>
  <si>
    <t xml:space="preserve">ABSOLUT HOOKAH</t>
  </si>
  <si>
    <t xml:space="preserve">MAIRA APARECIDA GUIMARAES DA CRUZ 008404</t>
  </si>
  <si>
    <t xml:space="preserve">MINEIRINHO CONVENIENCIA</t>
  </si>
  <si>
    <t xml:space="preserve">ADRIANO DIAS</t>
  </si>
  <si>
    <t xml:space="preserve">COMERCIAL PALERMO LTDA</t>
  </si>
  <si>
    <t xml:space="preserve">COMERCIAL PALERMO SECOS E MOLHADOS</t>
  </si>
  <si>
    <t xml:space="preserve">LUZINETE LUISA DA COSTA</t>
  </si>
  <si>
    <t xml:space="preserve">MERCEARIA PARAISO DO LAGEADO</t>
  </si>
  <si>
    <t xml:space="preserve">JOSE RIBEIRO DA SILVA JUNIOR</t>
  </si>
  <si>
    <t xml:space="preserve">NONIELA COELHO SILVA</t>
  </si>
  <si>
    <t xml:space="preserve">CONVENIENCIA DOURADAO</t>
  </si>
  <si>
    <t xml:space="preserve">ROSELY DA COSTA NANTES 87860244187</t>
  </si>
  <si>
    <t xml:space="preserve">TAMIRES OLIVEIRA DE ARRUDA</t>
  </si>
  <si>
    <t xml:space="preserve">JCX SUPERMERCADOS LTDA</t>
  </si>
  <si>
    <t xml:space="preserve">SUPERMERCADO PINHEIRO</t>
  </si>
  <si>
    <t xml:space="preserve">MARCELO LEONEL ALVAREZ ALVAREZ</t>
  </si>
  <si>
    <t xml:space="preserve">COMERCIAL MARCELO</t>
  </si>
  <si>
    <t xml:space="preserve">RENATO MICHEL MONGE HATTENE</t>
  </si>
  <si>
    <t xml:space="preserve">PEDRO ROQUE DE CAMPOS LEMES</t>
  </si>
  <si>
    <t xml:space="preserve">ESTACAO TRES LAGOAS LTDA</t>
  </si>
  <si>
    <t xml:space="preserve">ESTACAO</t>
  </si>
  <si>
    <t xml:space="preserve">TAVARES E SOARES COM DE GENEROS ALIM LT </t>
  </si>
  <si>
    <t xml:space="preserve">CALIOPE APARECIDA ARGERIM</t>
  </si>
  <si>
    <t xml:space="preserve">ESCRITORIO CONVENIENCIA</t>
  </si>
  <si>
    <t xml:space="preserve">COMERCIO DE ALIMENTOS DANTAS E CIA LTDA </t>
  </si>
  <si>
    <t xml:space="preserve">O G M COMERCIO DE MEDICAMENTOS L</t>
  </si>
  <si>
    <t xml:space="preserve">MORENA FARMA</t>
  </si>
  <si>
    <t xml:space="preserve">ANGELA MARIA DE ARRUDA</t>
  </si>
  <si>
    <t xml:space="preserve">ZOOTOPIA PET SHOP</t>
  </si>
  <si>
    <t xml:space="preserve">GOLDEN COMERCIO REPRESENTACAO LTDA</t>
  </si>
  <si>
    <t xml:space="preserve">GOLDEN AGROPET</t>
  </si>
  <si>
    <t xml:space="preserve">M ARCARI MERCEARIA LTDA</t>
  </si>
  <si>
    <t xml:space="preserve">DIEGO AUGUSTO DE OLIVEIRA SANTOS LIOCALO</t>
  </si>
  <si>
    <t xml:space="preserve">REI DA LINGUICA</t>
  </si>
  <si>
    <t xml:space="preserve">FRANCIELE CRUZ ROCHA</t>
  </si>
  <si>
    <t xml:space="preserve">CONV TAMBEER</t>
  </si>
  <si>
    <t xml:space="preserve">AFTER LOUNGE LTDA</t>
  </si>
  <si>
    <t xml:space="preserve">EL PATRON HOOKAH LOUNGE</t>
  </si>
  <si>
    <t xml:space="preserve">MARIANE ALEM COEVA</t>
  </si>
  <si>
    <t xml:space="preserve">WILSON VINICIUS DE OLIVEIRA SHILDT 08746</t>
  </si>
  <si>
    <t xml:space="preserve">REVIS SOLUCOES INTEGRADAS</t>
  </si>
  <si>
    <t xml:space="preserve">ABEL IVAR GONZALEZ DERENE</t>
  </si>
  <si>
    <t xml:space="preserve">SUPER ARCA</t>
  </si>
  <si>
    <t xml:space="preserve">W F MENDONCA DA SILVA</t>
  </si>
  <si>
    <t xml:space="preserve">MERCADO E CONVENIENCIA MENDONCA</t>
  </si>
  <si>
    <t xml:space="preserve">CAROLINE APARECIDA CORDEIRO</t>
  </si>
  <si>
    <t xml:space="preserve">SILIANE BITENCOURT PEREIRA 06723818180  </t>
  </si>
  <si>
    <t xml:space="preserve">SILIANE BITENCOURT PEREIRA 06723818180</t>
  </si>
  <si>
    <t xml:space="preserve">3M DO BRASIL LTDA.</t>
  </si>
  <si>
    <t xml:space="preserve">SUMARE</t>
  </si>
  <si>
    <t xml:space="preserve">3M DO BRASIL</t>
  </si>
  <si>
    <t xml:space="preserve">3M DO BRASIL LTDA</t>
  </si>
  <si>
    <t xml:space="preserve">BOM PRINCIPIO</t>
  </si>
  <si>
    <t xml:space="preserve">3M</t>
  </si>
  <si>
    <t xml:space="preserve">EVANDRO PAULO PERETTI</t>
  </si>
  <si>
    <t xml:space="preserve">VIVA A CERVEJA CONVENIENCIA</t>
  </si>
  <si>
    <t xml:space="preserve">PHARMA LTDA</t>
  </si>
  <si>
    <t xml:space="preserve">DROGARIA 7PHARMA</t>
  </si>
  <si>
    <t xml:space="preserve">BRUNA FRANCO FLORIO ARAMBURU</t>
  </si>
  <si>
    <t xml:space="preserve">MILENA MARAN DE SOUZA</t>
  </si>
  <si>
    <t xml:space="preserve">IMPORIO PET</t>
  </si>
  <si>
    <t xml:space="preserve">BEM TE VI CAFE LTDA</t>
  </si>
  <si>
    <t xml:space="preserve">BEM TE VI CAFE</t>
  </si>
  <si>
    <t xml:space="preserve">JOSE FERREIRA CAMPOS</t>
  </si>
  <si>
    <t xml:space="preserve">MERCEARIA DM</t>
  </si>
  <si>
    <t xml:space="preserve">NS MINI MERCADO LTDA</t>
  </si>
  <si>
    <t xml:space="preserve">NS MINI MERCADO</t>
  </si>
  <si>
    <t xml:space="preserve">JOAO VICTOR DE MACEDO</t>
  </si>
  <si>
    <t xml:space="preserve">RACOES PET</t>
  </si>
  <si>
    <t xml:space="preserve">MERCADO PRIMOS LTDA</t>
  </si>
  <si>
    <t xml:space="preserve">MERCADO PRIMOS</t>
  </si>
  <si>
    <t xml:space="preserve">LDM PRODUTOS AGROPECUARIOS LTDA</t>
  </si>
  <si>
    <t xml:space="preserve">AGRO FORT</t>
  </si>
  <si>
    <t xml:space="preserve">MERCADO MOM JURE</t>
  </si>
  <si>
    <t xml:space="preserve">SANDRO ALEX AQUINO DE ARRUDA</t>
  </si>
  <si>
    <t xml:space="preserve">CONVENIENCIA NORTH PARK</t>
  </si>
  <si>
    <t xml:space="preserve">JOSE ROBERTO DA SILVA</t>
  </si>
  <si>
    <t xml:space="preserve">MERCADORIA GALVAO</t>
  </si>
  <si>
    <t xml:space="preserve">ANDRESSA FURTADO ALVES</t>
  </si>
  <si>
    <t xml:space="preserve">AK CONVENIENCIA E MERCEARIA</t>
  </si>
  <si>
    <t xml:space="preserve">VICENTE RAMON COLMAN BENITEZ 75341697120</t>
  </si>
  <si>
    <t xml:space="preserve">JESSICA GUANEZ FAUSTO</t>
  </si>
  <si>
    <t xml:space="preserve">JESSICA TRANSPORTE E CONVENIEN</t>
  </si>
  <si>
    <t xml:space="preserve">TANIA MARIA FRANCISCA GOMES DE ARAUJO</t>
  </si>
  <si>
    <t xml:space="preserve">MERCEARIA EMILLY</t>
  </si>
  <si>
    <t xml:space="preserve">JN MERCEARIA</t>
  </si>
  <si>
    <t xml:space="preserve">FLAVIA A DOS SANTOS</t>
  </si>
  <si>
    <t xml:space="preserve">ESQUENTA COMERCIO DE BEBIDAS LTDA</t>
  </si>
  <si>
    <t xml:space="preserve">ESQUENTA CONV E TABACARIA</t>
  </si>
  <si>
    <t xml:space="preserve">CAPI BAR LTDA</t>
  </si>
  <si>
    <t xml:space="preserve">CAPIVAS</t>
  </si>
  <si>
    <t xml:space="preserve">ROTA CONVENIENCIA</t>
  </si>
  <si>
    <t xml:space="preserve">RCG RESTAURANTE E LANCHONETE LTDA</t>
  </si>
  <si>
    <t xml:space="preserve">RESTAURANTE PLATINAO</t>
  </si>
  <si>
    <t xml:space="preserve">DUARTE CONVENIENCIA LTDA</t>
  </si>
  <si>
    <t xml:space="preserve">M D CONVENIENCIA</t>
  </si>
  <si>
    <t xml:space="preserve">HERLON BARCELOS CEOLIN LTDA</t>
  </si>
  <si>
    <t xml:space="preserve">BONAFRUTA</t>
  </si>
  <si>
    <t xml:space="preserve">ALONSO ALONSO LTDA</t>
  </si>
  <si>
    <t xml:space="preserve">CONVEX</t>
  </si>
  <si>
    <t xml:space="preserve">GUTIERREZ EMILIO PRODUTOS ALIMENTOS LTDA</t>
  </si>
  <si>
    <t xml:space="preserve">MERCADO ZERO 67</t>
  </si>
  <si>
    <t xml:space="preserve">ADRIANA SOUZA ANDRADE CASTANHA</t>
  </si>
  <si>
    <t xml:space="preserve">CONVENIENCIA AMPM POSTO OPIRAN</t>
  </si>
  <si>
    <t xml:space="preserve">REDE FAMILIA CONV E MERCEARIA LTDA</t>
  </si>
  <si>
    <t xml:space="preserve">REDE FAMILIA</t>
  </si>
  <si>
    <t xml:space="preserve">REDE FAMILIA CONVENIENCIA E MERCEARIA LT</t>
  </si>
  <si>
    <t xml:space="preserve">REDE FAMILIA FILIAL</t>
  </si>
  <si>
    <t xml:space="preserve">VITAEURO COMERCIO DE ALIMENTOS LTDA</t>
  </si>
  <si>
    <t xml:space="preserve">5A SUPERMERCADOS</t>
  </si>
  <si>
    <t xml:space="preserve">MERCADO VEM QUE TEM</t>
  </si>
  <si>
    <t xml:space="preserve">M A VALENCUELA MINIMERCADO</t>
  </si>
  <si>
    <t xml:space="preserve">MINIMERCADO MULTIMARCAS</t>
  </si>
  <si>
    <t xml:space="preserve">LCG CONVENIENCIA LTDA</t>
  </si>
  <si>
    <t xml:space="preserve">ALEXANDRA LINDOMARA DA SILVA</t>
  </si>
  <si>
    <t xml:space="preserve">GALLO MERCEARIA CONVENIENCIA E TRANSPOR </t>
  </si>
  <si>
    <t xml:space="preserve">GALLO MERCEARIA E CONVENIENCIA</t>
  </si>
  <si>
    <t xml:space="preserve">RURAL PRODUTOS AGROPECUARIO LTDA</t>
  </si>
  <si>
    <t xml:space="preserve">RURAL PET PRODUTOS</t>
  </si>
  <si>
    <t xml:space="preserve">ARIANE MIRANDA VALE 04799395190</t>
  </si>
  <si>
    <t xml:space="preserve">MARINALVA SANTANA DA SILVA</t>
  </si>
  <si>
    <t xml:space="preserve">MERCADO E CONVENIENCIA MAJU</t>
  </si>
  <si>
    <t xml:space="preserve">TOP CERV DISTRIBUIDORA E ORGANIZACAO</t>
  </si>
  <si>
    <t xml:space="preserve">TOP CERV CONVENIENCIA</t>
  </si>
  <si>
    <t xml:space="preserve">LEVMIX RACOES LTDA</t>
  </si>
  <si>
    <t xml:space="preserve">EWERTON FARIA</t>
  </si>
  <si>
    <t xml:space="preserve">FARIA</t>
  </si>
  <si>
    <t xml:space="preserve">PANIFICADORA E CONFEITARIA YAHWEH LTDA  </t>
  </si>
  <si>
    <t xml:space="preserve">PANIFICADORA E CONFEITARIA YAH</t>
  </si>
  <si>
    <t xml:space="preserve">CONVENIENCIA CORUJAO</t>
  </si>
  <si>
    <t xml:space="preserve">J M M DISTRIBUIDORA DE ALIMENT</t>
  </si>
  <si>
    <t xml:space="preserve">MOACYR ANTONIO SALVADOR</t>
  </si>
  <si>
    <t xml:space="preserve">PADARIA SALVADOR</t>
  </si>
  <si>
    <t xml:space="preserve">JRA LOJA DE CONVENIENCIA LTDA</t>
  </si>
  <si>
    <t xml:space="preserve">JOTA BEER</t>
  </si>
  <si>
    <t xml:space="preserve">D H DE OLIVEIRA SANTOS SILVA BAR</t>
  </si>
  <si>
    <t xml:space="preserve">HOUSE 67</t>
  </si>
  <si>
    <t xml:space="preserve">POSTO DA FONTE LTDA</t>
  </si>
  <si>
    <t xml:space="preserve">POSTO DA FONTE</t>
  </si>
  <si>
    <t xml:space="preserve">MERCADO BOA SORTE LTDA</t>
  </si>
  <si>
    <t xml:space="preserve">SPITZ PET CENTER LTDA</t>
  </si>
  <si>
    <t xml:space="preserve">SPITZ PET CENTER</t>
  </si>
  <si>
    <t xml:space="preserve">MILLION CHARLES</t>
  </si>
  <si>
    <t xml:space="preserve">TEM DE TUDO CONVIVENCIA</t>
  </si>
  <si>
    <t xml:space="preserve">ARIEL VILLAZANTE PEREIRA</t>
  </si>
  <si>
    <t xml:space="preserve">MERCIARIA LUNA E ARYA</t>
  </si>
  <si>
    <t xml:space="preserve">SEVEN BOUTIQUE DE CARNES LTDA</t>
  </si>
  <si>
    <t xml:space="preserve">SEVEN BOUTIQUE DE CARNES</t>
  </si>
  <si>
    <t xml:space="preserve">OI TOTO PET SHOP LTDA</t>
  </si>
  <si>
    <t xml:space="preserve">CM COMERCIO DE ALIMENTOS LTDA</t>
  </si>
  <si>
    <t xml:space="preserve">CASA DA LINGUICA</t>
  </si>
  <si>
    <t xml:space="preserve">ITA COMERCIO E SERVICOS LTDA</t>
  </si>
  <si>
    <t xml:space="preserve">ITA</t>
  </si>
  <si>
    <t xml:space="preserve">MFS PET SHOP LTDA</t>
  </si>
  <si>
    <t xml:space="preserve">PELUDINHOS PET SHOP</t>
  </si>
  <si>
    <t xml:space="preserve">LAVENIR COFFEE LTDA</t>
  </si>
  <si>
    <t xml:space="preserve">AUTO CAR E PUB LTDA</t>
  </si>
  <si>
    <t xml:space="preserve">AUTO CAR E PUB</t>
  </si>
  <si>
    <t xml:space="preserve">LIZ MARIELA GONZALEZ RODRIGUEZ</t>
  </si>
  <si>
    <t xml:space="preserve">CONVENIENCIA DO QUATI</t>
  </si>
  <si>
    <t xml:space="preserve">ANIMAL PET STORE COMERCIO DE RACOES LTDA</t>
  </si>
  <si>
    <t xml:space="preserve">ANIMAL PET</t>
  </si>
  <si>
    <t xml:space="preserve">VIENATTI COMERCIO LTDA</t>
  </si>
  <si>
    <t xml:space="preserve">VIENATTI</t>
  </si>
  <si>
    <t xml:space="preserve">KIG 2 CONVENIENCIA LTDA</t>
  </si>
  <si>
    <t xml:space="preserve">YOLO CONVENIENCIA</t>
  </si>
  <si>
    <t xml:space="preserve">DISTRIBUIDORA 67 LTDA</t>
  </si>
  <si>
    <t xml:space="preserve">DISTRIBUIDORA 67</t>
  </si>
  <si>
    <t xml:space="preserve">MARILET ALMEIDA GOMES</t>
  </si>
  <si>
    <t xml:space="preserve">MERCADO MINAS</t>
  </si>
  <si>
    <t xml:space="preserve">SERVRURAL LTDA</t>
  </si>
  <si>
    <t xml:space="preserve">SERV RURAL</t>
  </si>
  <si>
    <t xml:space="preserve">LUIZ FELIPE PEREIRA DE GONCALVES</t>
  </si>
  <si>
    <t xml:space="preserve">BANCA DA NACI</t>
  </si>
  <si>
    <t xml:space="preserve">JULIANA GOMES DE SOUZA</t>
  </si>
  <si>
    <t xml:space="preserve">JOSE HENRIQUE ARRUDA SAMPAIO DO CARMO</t>
  </si>
  <si>
    <t xml:space="preserve">DREAM BURGER HAMBURGUERIA ARTE</t>
  </si>
  <si>
    <t xml:space="preserve">OLIVIA ROOFTOP LTDA</t>
  </si>
  <si>
    <t xml:space="preserve">OLIVIA ROOFTOP</t>
  </si>
  <si>
    <t xml:space="preserve">NOVO DIA COMERCIO  DE PRODUTO LTDA</t>
  </si>
  <si>
    <t xml:space="preserve">JG COMERCIO DE PROD FARMACEURICO LTDA</t>
  </si>
  <si>
    <t xml:space="preserve">DROGARIA CENTRAL</t>
  </si>
  <si>
    <t xml:space="preserve">RENAN MONTEIRO DA SILVA 05206013196</t>
  </si>
  <si>
    <t xml:space="preserve">CONVENIENCIA DO RENAN</t>
  </si>
  <si>
    <t xml:space="preserve">EMPORIO DA VILA</t>
  </si>
  <si>
    <t xml:space="preserve">SPECIALE CONVENIENCIA E PADARIA LTDA</t>
  </si>
  <si>
    <t xml:space="preserve">SPECIALE PADARIA</t>
  </si>
  <si>
    <t xml:space="preserve">EMPORIO DULAR</t>
  </si>
  <si>
    <t xml:space="preserve">DIORGENES M V FARIAS</t>
  </si>
  <si>
    <t xml:space="preserve">MERCADO PRIME</t>
  </si>
  <si>
    <t xml:space="preserve">HOTEL E RESTAURANTE TALISMA LTDA</t>
  </si>
  <si>
    <t xml:space="preserve">HOTEL TALISMA</t>
  </si>
  <si>
    <t xml:space="preserve">PAULA DE LIMA BRANDAO</t>
  </si>
  <si>
    <t xml:space="preserve">MERCADO FIORAMONTE LTDA</t>
  </si>
  <si>
    <t xml:space="preserve">MERCADO FIORAMONTE</t>
  </si>
  <si>
    <t xml:space="preserve">DVILLE MERCADO ACOUGUE E CONVENIENCIA LT</t>
  </si>
  <si>
    <t xml:space="preserve">DVILLE MERCADO ACOUGUE E CONVENIENCIA</t>
  </si>
  <si>
    <t xml:space="preserve">JAQUELINE GOMES DE MORAIS</t>
  </si>
  <si>
    <t xml:space="preserve">DOLCE PET RACOES</t>
  </si>
  <si>
    <t xml:space="preserve">R B LACERDA E CIA LTDA</t>
  </si>
  <si>
    <t xml:space="preserve">ACODE AQUI MERCADO EXPRESS</t>
  </si>
  <si>
    <t xml:space="preserve">DIJORGE SOUZA SANTOS 07606658188</t>
  </si>
  <si>
    <t xml:space="preserve">BUNKER DESTILARIA E COMERCIO LTDA</t>
  </si>
  <si>
    <t xml:space="preserve">BUNKER</t>
  </si>
  <si>
    <t xml:space="preserve">ANTONIO TAVARES DE MELO</t>
  </si>
  <si>
    <t xml:space="preserve">VT RACOES E ACESSORIOS  LTDA</t>
  </si>
  <si>
    <t xml:space="preserve">ANIMALERO PET STORE</t>
  </si>
  <si>
    <t xml:space="preserve">SILMARA ANGELICA QUISPE ESCOBAR</t>
  </si>
  <si>
    <t xml:space="preserve">COMERCIAL SILMARA</t>
  </si>
  <si>
    <t xml:space="preserve">EDIVAL FRANCISCO TAVARES LTDA</t>
  </si>
  <si>
    <t xml:space="preserve">AMAMBAI EMBALAGENS</t>
  </si>
  <si>
    <t xml:space="preserve">T M DE ANDRADE MARINHO LTDA</t>
  </si>
  <si>
    <t xml:space="preserve">AGROPECUARIA NOVIDADE DO CAMPO</t>
  </si>
  <si>
    <t xml:space="preserve">J F C LEAL CONVENIENCIA LTDA</t>
  </si>
  <si>
    <t xml:space="preserve">POSTO SENA</t>
  </si>
  <si>
    <t xml:space="preserve">MOREIRA E LUNARDI COMERCIO DE ALI LTDA  </t>
  </si>
  <si>
    <t xml:space="preserve">BOM AMIGOVET LTDA</t>
  </si>
  <si>
    <t xml:space="preserve">BOM AMIGO VET</t>
  </si>
  <si>
    <t xml:space="preserve">ROSELI CHAMORRO RUIZ CHARAO 03312744180 </t>
  </si>
  <si>
    <t xml:space="preserve">MERCADO TNI</t>
  </si>
  <si>
    <t xml:space="preserve">MAKRO ATACADISTA S/A</t>
  </si>
  <si>
    <t xml:space="preserve">MAKRO</t>
  </si>
  <si>
    <t xml:space="preserve">JULIENE DA SILVA AMORIM 04207710183</t>
  </si>
  <si>
    <t xml:space="preserve">JULIENE DA SILVA AMORIM</t>
  </si>
  <si>
    <t xml:space="preserve">CLISLEY DE SOUZA SANTO</t>
  </si>
  <si>
    <t xml:space="preserve">MERCEARIA SANTO</t>
  </si>
  <si>
    <t xml:space="preserve">DISTRIBUIDORA GREEN SOUK LTDA</t>
  </si>
  <si>
    <t xml:space="preserve">GREEN SOUK</t>
  </si>
  <si>
    <t xml:space="preserve">PETMAIS LTDA</t>
  </si>
  <si>
    <t xml:space="preserve">CABANA CONVENIENCIA LTDA</t>
  </si>
  <si>
    <t xml:space="preserve">RAFAEL ROSA DE ANDRADE</t>
  </si>
  <si>
    <t xml:space="preserve">GE RACOES</t>
  </si>
  <si>
    <t xml:space="preserve">ALVES E DEMAMANN CAFE LTDA</t>
  </si>
  <si>
    <t xml:space="preserve">JOAO A PEREIRA</t>
  </si>
  <si>
    <t xml:space="preserve">SACOLAO TIRADENTE</t>
  </si>
  <si>
    <t xml:space="preserve">JULIANA DOS SANTOS COSTA</t>
  </si>
  <si>
    <t xml:space="preserve">MERCEARIA DA JU</t>
  </si>
  <si>
    <t xml:space="preserve">EMIRANTES TABACARIA</t>
  </si>
  <si>
    <t xml:space="preserve">MAINE STEFANI CARVALHO NATAL LTDA</t>
  </si>
  <si>
    <t xml:space="preserve">M E M CONVENIENCIA E DISTRIBUIDORA</t>
  </si>
  <si>
    <t xml:space="preserve">ROBERTA AMORIM VIEIRA</t>
  </si>
  <si>
    <t xml:space="preserve">67 PET</t>
  </si>
  <si>
    <t xml:space="preserve">JJL CAFE SHOW LTDA</t>
  </si>
  <si>
    <t xml:space="preserve">CAFETERIA E PADARIA CAFE SHOW</t>
  </si>
  <si>
    <t xml:space="preserve">SUPERMERCADO COSTA LTDA</t>
  </si>
  <si>
    <t xml:space="preserve">MERCADO E CASA DE CARNE OURO NEGRO LTDA </t>
  </si>
  <si>
    <t xml:space="preserve">CASA DE CARNE OURO NEGRO</t>
  </si>
  <si>
    <t xml:space="preserve">FLAVIO DA SILVA DE GODOY</t>
  </si>
  <si>
    <t xml:space="preserve">MERCADO GODOY</t>
  </si>
  <si>
    <t xml:space="preserve">JCRP COMERCIO TRANSPORTES E LOGISTICA L </t>
  </si>
  <si>
    <t xml:space="preserve">KARMA DECOR</t>
  </si>
  <si>
    <t xml:space="preserve">MERCADO SKINAO VARIEDADES LTDA</t>
  </si>
  <si>
    <t xml:space="preserve">MERCADO SKINAO</t>
  </si>
  <si>
    <t xml:space="preserve">LUCIANE COSTA NOGUEIRA LEAL</t>
  </si>
  <si>
    <t xml:space="preserve">NOGUEIRAS 67</t>
  </si>
  <si>
    <t xml:space="preserve">MERCADO E ACOUGUE BOM GOSTO LTDA</t>
  </si>
  <si>
    <t xml:space="preserve">MARCELO AUGUSTO ZANSTO BEGNHOSSI</t>
  </si>
  <si>
    <t xml:space="preserve">BEN VET PET SHOP</t>
  </si>
  <si>
    <t xml:space="preserve">MAGAZINE LUIZA S/A</t>
  </si>
  <si>
    <t xml:space="preserve">MAGAZINE LUIZA</t>
  </si>
  <si>
    <t xml:space="preserve">ACVR CENTRO DE ESTETICA LTDA</t>
  </si>
  <si>
    <t xml:space="preserve">BARBEARIA A BANCA TAMANDARE</t>
  </si>
  <si>
    <t xml:space="preserve">MELKE E CORREIA COMERCIO DE ALIMENTOS LT</t>
  </si>
  <si>
    <t xml:space="preserve">OLIVIA EMPORIO</t>
  </si>
  <si>
    <t xml:space="preserve">DRESCH WITT E CIA PET SHOP LTDA</t>
  </si>
  <si>
    <t xml:space="preserve">ASSOC FAMILIAS PUNIFIC PAZ MUNDIAL</t>
  </si>
  <si>
    <t xml:space="preserve">ASSOCIACAO FAMIL.UNIF.PAZ MUND</t>
  </si>
  <si>
    <t xml:space="preserve">RICARDO COMERCIO DE PRODUTOS ALIMENTICIO</t>
  </si>
  <si>
    <t xml:space="preserve">MERCADINHO DE CASA</t>
  </si>
  <si>
    <t xml:space="preserve">EDNEI SOUZA CLARANHAN</t>
  </si>
  <si>
    <t xml:space="preserve">AGROPET NEI DOG</t>
  </si>
  <si>
    <t xml:space="preserve">PATEZ E FRANCA COM DE BEBIDAS LTDA</t>
  </si>
  <si>
    <t xml:space="preserve">LETICIA OLIVEIRA DE PAULA LTDA</t>
  </si>
  <si>
    <t xml:space="preserve">ROBSON FERNANDES PEREIRA</t>
  </si>
  <si>
    <t xml:space="preserve">MERCADO ROBINHO</t>
  </si>
  <si>
    <t xml:space="preserve">EDGARD NOGUEIRA BUENO</t>
  </si>
  <si>
    <t xml:space="preserve">REDE UNIAO PET</t>
  </si>
  <si>
    <t xml:space="preserve">SAFRA SUPERMERCADO LTDA</t>
  </si>
  <si>
    <t xml:space="preserve">SAFRA SUPERMERCADO</t>
  </si>
  <si>
    <t xml:space="preserve">RESTAURANTE TALISMA CAMPO GRANDE LTDA</t>
  </si>
  <si>
    <t xml:space="preserve">RESTAURANTE TALISMA CAMPO GRAN</t>
  </si>
  <si>
    <t xml:space="preserve">R A CONVENIENCIA LTDA</t>
  </si>
  <si>
    <t xml:space="preserve">R A CONVENIENCIA</t>
  </si>
  <si>
    <t xml:space="preserve">CHAVES CAFETERIA E CONVENIENCIA LTDA</t>
  </si>
  <si>
    <t xml:space="preserve">CHAVES CAFETERIA CONVENIENCIA</t>
  </si>
  <si>
    <t xml:space="preserve">CAMILLA PRADO COSTA LEME</t>
  </si>
  <si>
    <t xml:space="preserve">PETMI</t>
  </si>
  <si>
    <t xml:space="preserve">COMERCIO DO SILVA COMERCIO DE ALIMENTOS </t>
  </si>
  <si>
    <t xml:space="preserve">MERCADO DO SILVA</t>
  </si>
  <si>
    <t xml:space="preserve">SEU MERCADO NO CONDOMINIO LTDA</t>
  </si>
  <si>
    <t xml:space="preserve">SEU MERCADO NO MERCADO</t>
  </si>
  <si>
    <t xml:space="preserve">POSTO MARCELO P DE SOUZA LTDA</t>
  </si>
  <si>
    <t xml:space="preserve">POSTO JM PAULISTA</t>
  </si>
  <si>
    <t xml:space="preserve">D MENEZES LTDA</t>
  </si>
  <si>
    <t xml:space="preserve">MERCADO GIRASSOL LTDA</t>
  </si>
  <si>
    <t xml:space="preserve">MERCADO GIRASSOL</t>
  </si>
  <si>
    <t xml:space="preserve">AMOR DE PATAS LTDA</t>
  </si>
  <si>
    <t xml:space="preserve">AMOR DE PATAS</t>
  </si>
  <si>
    <t xml:space="preserve">ALIMENTOS SAUDAVEIS LTDA</t>
  </si>
  <si>
    <t xml:space="preserve">CAFE BARES LANCHES DI MATTEO</t>
  </si>
  <si>
    <t xml:space="preserve">CASTELLUM TRANSPORTE LTDA</t>
  </si>
  <si>
    <t xml:space="preserve">ANDRE LIBERTY</t>
  </si>
  <si>
    <t xml:space="preserve">COMERCIAL DE ALIMENTOS MEDINA LTDA</t>
  </si>
  <si>
    <t xml:space="preserve">MERCADO E CONVENIENCIA IDEAL</t>
  </si>
  <si>
    <t xml:space="preserve">CASA DE CARNES DA FAMILIA LTDA</t>
  </si>
  <si>
    <t xml:space="preserve">CASA DE CARNES DA FAMILIA</t>
  </si>
  <si>
    <t xml:space="preserve">CONVENIENCIA POINT BEER LTDA</t>
  </si>
  <si>
    <t xml:space="preserve">CONVENIENCIA POINT BEER 2</t>
  </si>
  <si>
    <t xml:space="preserve">TANI CRISTINA  SANTANA</t>
  </si>
  <si>
    <t xml:space="preserve">MERCADO DA TANI</t>
  </si>
  <si>
    <t xml:space="preserve">RAQUEL APARECIDA GONCALVES DA SILVA</t>
  </si>
  <si>
    <t xml:space="preserve">FESTA E CIA CONVENIENCIA</t>
  </si>
  <si>
    <t xml:space="preserve">ADRIANA DA SILVA CABANHA DE MATOS 936552</t>
  </si>
  <si>
    <t xml:space="preserve">SUPERMERCADO VILA REAL LTDA</t>
  </si>
  <si>
    <t xml:space="preserve">SUPERMERCADO VILA REAL</t>
  </si>
  <si>
    <t xml:space="preserve">PEDRO HENRIQUE SANTOS DE SOUZ</t>
  </si>
  <si>
    <t xml:space="preserve">LIVIA MARIA MAGALHAES RAVAGLIA</t>
  </si>
  <si>
    <t xml:space="preserve">AGROMIX</t>
  </si>
  <si>
    <t xml:space="preserve">JOSE LOPES BORGES LTDA</t>
  </si>
  <si>
    <t xml:space="preserve">SUPERMERCADO A E V</t>
  </si>
  <si>
    <t xml:space="preserve">JULIANA DE FREITAS CALORE</t>
  </si>
  <si>
    <t xml:space="preserve">PARADA OBRIGATORIA</t>
  </si>
  <si>
    <t xml:space="preserve">KAIO VITOR GONCALVES DA SILVA</t>
  </si>
  <si>
    <t xml:space="preserve">CONVENIENCIA JV</t>
  </si>
  <si>
    <t xml:space="preserve">DAYANE LIMA CARAMALAC CAVALCA</t>
  </si>
  <si>
    <t xml:space="preserve">NSF MINIMERCADO LTDA</t>
  </si>
  <si>
    <t xml:space="preserve">NSF MERCADO</t>
  </si>
  <si>
    <t xml:space="preserve">K &amp; M INDUSTRIA QUIMICA LTDA</t>
  </si>
  <si>
    <t xml:space="preserve">PAULINIA</t>
  </si>
  <si>
    <t xml:space="preserve">TUPI CONVENIENCIA LTDA</t>
  </si>
  <si>
    <t xml:space="preserve">TUPI CONVENIENCIA</t>
  </si>
  <si>
    <t xml:space="preserve">COPASUL COMERCIO VAREJISTAS DE COMBUSTIV</t>
  </si>
  <si>
    <t xml:space="preserve">INOVA</t>
  </si>
  <si>
    <t xml:space="preserve">PATRICIA DO AMARAL DIAS</t>
  </si>
  <si>
    <t xml:space="preserve">ANIMAL CENTER CLINICA VETER</t>
  </si>
  <si>
    <t xml:space="preserve">PF ALIMENTOS LTDA</t>
  </si>
  <si>
    <t xml:space="preserve">JK</t>
  </si>
  <si>
    <t xml:space="preserve">ASSIS NETO CONVENIENCIA LTDA</t>
  </si>
  <si>
    <t xml:space="preserve">FERREIRA CONVENIENCIA</t>
  </si>
  <si>
    <t xml:space="preserve">BEER HOUSE COMECIO LTDA</t>
  </si>
  <si>
    <t xml:space="preserve">BEER HOUSE CONVENIENCIA</t>
  </si>
  <si>
    <t xml:space="preserve">GELATTOS PICOLES LTDA</t>
  </si>
  <si>
    <t xml:space="preserve">SORVETERIA GELATTOS</t>
  </si>
  <si>
    <t xml:space="preserve">MERCADO E CONVENIENCIAS L.B. LTDA</t>
  </si>
  <si>
    <t xml:space="preserve">MERCADO E CONVENIENIAS L.B.</t>
  </si>
  <si>
    <t xml:space="preserve">MINI MERCADOS MS LTDA</t>
  </si>
  <si>
    <t xml:space="preserve">MINI MERCADOS MS</t>
  </si>
  <si>
    <t xml:space="preserve">ROSANA AVILA PAZ PEREIRA</t>
  </si>
  <si>
    <t xml:space="preserve">OX HEADE</t>
  </si>
  <si>
    <t xml:space="preserve">MERCADO E ACOUGUE SANTA MARTA LTDA</t>
  </si>
  <si>
    <t xml:space="preserve">ACOUGUE SANTA MARTA</t>
  </si>
  <si>
    <t xml:space="preserve">GERSON DE ARRUDA</t>
  </si>
  <si>
    <t xml:space="preserve">TOCA DO URSO CONVENIENCIA</t>
  </si>
  <si>
    <t xml:space="preserve">OZILENE MARTINIANO RIBAS</t>
  </si>
  <si>
    <t xml:space="preserve">BERA DO FORNO</t>
  </si>
  <si>
    <t xml:space="preserve">ALANDER TORRES ALVES</t>
  </si>
  <si>
    <t xml:space="preserve">CASA DE CARNE BOI GRANDE</t>
  </si>
  <si>
    <t xml:space="preserve">DIEGO DE OLIVEIRA ROCHA</t>
  </si>
  <si>
    <t xml:space="preserve">T P DE FREITAS DROGARIA LTDA</t>
  </si>
  <si>
    <t xml:space="preserve">DROGARIA FREITAS</t>
  </si>
  <si>
    <t xml:space="preserve">MARIA SALETE DOS SANTOS REIS</t>
  </si>
  <si>
    <t xml:space="preserve">MERCEARIA MATHEUS</t>
  </si>
  <si>
    <t xml:space="preserve">GELADOS CONVENIENCIA LTDA</t>
  </si>
  <si>
    <t xml:space="preserve">PRIME BEER</t>
  </si>
  <si>
    <t xml:space="preserve">COMERCIO DE CARNES E MERCEARIA LTDA</t>
  </si>
  <si>
    <t xml:space="preserve">KEYLA FRANCISCO JORDAO 98763709104</t>
  </si>
  <si>
    <t xml:space="preserve">MERCEARIA E CASA CLARANHANS</t>
  </si>
  <si>
    <t xml:space="preserve">GABRIELLY MOREIRA DIEMER DE LIMA</t>
  </si>
  <si>
    <t xml:space="preserve">RESTAURANTE SALSA E PIMENTA</t>
  </si>
  <si>
    <t xml:space="preserve">RODOBENS COMUNICA€AO EMPRESARIAL LTDA</t>
  </si>
  <si>
    <t xml:space="preserve">SAO JOSE DO RIO PRETO</t>
  </si>
  <si>
    <t xml:space="preserve">RODOBENS COMUNICA€AO EMPRESARI</t>
  </si>
  <si>
    <t xml:space="preserve">INSTITUTO IMAM</t>
  </si>
  <si>
    <t xml:space="preserve">MERCEARIA E CONVENIENCIA CARPES LTDA</t>
  </si>
  <si>
    <t xml:space="preserve">TANIA BELEN HUANACOTA ACARAPI</t>
  </si>
  <si>
    <t xml:space="preserve">FLL CONSTRUCOES</t>
  </si>
  <si>
    <t xml:space="preserve">TECHNE ENGENHARIA</t>
  </si>
  <si>
    <t xml:space="preserve">CONSTRUAGRO MATERIAS DE CONSTRUCAO E AGR</t>
  </si>
  <si>
    <t xml:space="preserve">CONSTRUAGRO</t>
  </si>
  <si>
    <t xml:space="preserve">O A R MERCADO AVENIDA LTDA</t>
  </si>
  <si>
    <t xml:space="preserve">BP COMERCIO DE ALIMENTOS LTDA</t>
  </si>
  <si>
    <t xml:space="preserve">CAROLINE PIRES BENEDITTE</t>
  </si>
  <si>
    <t xml:space="preserve">K9COVENIECIA</t>
  </si>
  <si>
    <t xml:space="preserve">JOYCE DE SOUZA FRANCO</t>
  </si>
  <si>
    <t xml:space="preserve">PLUTAO CONVENIENCIA LTDA</t>
  </si>
  <si>
    <t xml:space="preserve">JOSIMAR L RAMOS LTDA</t>
  </si>
  <si>
    <t xml:space="preserve">SHOPPING DA CARNE</t>
  </si>
  <si>
    <t xml:space="preserve">ROSINU SUPERMERCADOS LTDA</t>
  </si>
  <si>
    <t xml:space="preserve">ROSINU SUPERMERCADOS</t>
  </si>
  <si>
    <t xml:space="preserve">KS SUPERMERCADOS LTDA</t>
  </si>
  <si>
    <t xml:space="preserve">CASA DE CARNES SILVA LTDA</t>
  </si>
  <si>
    <t xml:space="preserve">EDWIN CRUZ LLUSCO LTDA</t>
  </si>
  <si>
    <t xml:space="preserve">MERCEARIA LLUSCO</t>
  </si>
  <si>
    <t xml:space="preserve">PETZCO PETSHOP LTDA</t>
  </si>
  <si>
    <t xml:space="preserve">PADOCA DO REI PANIFICADORA E CONFEITARIA</t>
  </si>
  <si>
    <t xml:space="preserve">PADOCA DO REI</t>
  </si>
  <si>
    <t xml:space="preserve">GUISSO E GONCALVES LTDA</t>
  </si>
  <si>
    <t xml:space="preserve">CARAMELO MERCADO PET</t>
  </si>
  <si>
    <t xml:space="preserve">MENEGHETTI E SIMOES LTDA</t>
  </si>
  <si>
    <t xml:space="preserve">PET SHOP FOCINHOS E CIA</t>
  </si>
  <si>
    <t xml:space="preserve">INGRID MERCADO E TRANSPORTES LTDA</t>
  </si>
  <si>
    <t xml:space="preserve">MERCADO MARTELLO</t>
  </si>
  <si>
    <t xml:space="preserve">FAVARETTO RACOES LTDA</t>
  </si>
  <si>
    <t xml:space="preserve">GIOVANI HENRIQUE RAMIRES</t>
  </si>
  <si>
    <t xml:space="preserve">GIOVANI HENRIQUE</t>
  </si>
  <si>
    <t xml:space="preserve">CANTINHO DA GELADA  LTDA</t>
  </si>
  <si>
    <t xml:space="preserve">GELADA . COM</t>
  </si>
  <si>
    <t xml:space="preserve">NELSON ARGENTINO JUNIOR LTDA</t>
  </si>
  <si>
    <t xml:space="preserve">OKAMOTO MEDICAMENTOS LTDA</t>
  </si>
  <si>
    <t xml:space="preserve">DROGARIA POPULAR SAUDE FARMA FILIAL 2</t>
  </si>
  <si>
    <t xml:space="preserve">ALGO MAIS BEER COMERCIO DE BEBIDAS LTDA </t>
  </si>
  <si>
    <t xml:space="preserve">EMPORIO BEER</t>
  </si>
  <si>
    <t xml:space="preserve">N C DE ALMEIDA SUPERMERCADO</t>
  </si>
  <si>
    <t xml:space="preserve">SILVIO SOUZA DA SILVA LTDA</t>
  </si>
  <si>
    <t xml:space="preserve">L.C.O DA SILVA CONVENIENCIA LTDA</t>
  </si>
  <si>
    <t xml:space="preserve">TOP CERV</t>
  </si>
  <si>
    <t xml:space="preserve">ELIAS NADIN EL HAGE</t>
  </si>
  <si>
    <t xml:space="preserve">MERCADO TEIXEIRA 2</t>
  </si>
  <si>
    <t xml:space="preserve">ADRIANA BENTO</t>
  </si>
  <si>
    <t xml:space="preserve">ADRIANA SACOLAO</t>
  </si>
  <si>
    <t xml:space="preserve">TAG RESTAURANTE E CONVENIENCIA LTDA</t>
  </si>
  <si>
    <t xml:space="preserve">TAG</t>
  </si>
  <si>
    <t xml:space="preserve">UNIAO COMERCIO DE ALIMENTOS LTDA</t>
  </si>
  <si>
    <t xml:space="preserve">UNIAO SUPERMERCADO</t>
  </si>
  <si>
    <t xml:space="preserve">AGRONUTRI PET SHOP LTDA</t>
  </si>
  <si>
    <t xml:space="preserve">AGRONUTRI PETSHOP</t>
  </si>
  <si>
    <t xml:space="preserve">LARISSA DOS SANTOS MANCUZO</t>
  </si>
  <si>
    <t xml:space="preserve">PLANET AGROPET</t>
  </si>
  <si>
    <t xml:space="preserve">MARIA FLORES GUTIERREZ</t>
  </si>
  <si>
    <t xml:space="preserve">COMERCIAL GUTIERREZ</t>
  </si>
  <si>
    <t xml:space="preserve">EURO SUPERMARKET LTDA</t>
  </si>
  <si>
    <t xml:space="preserve">EURO SUPERMARKET</t>
  </si>
  <si>
    <t xml:space="preserve">LEO ATACAREJO</t>
  </si>
  <si>
    <t xml:space="preserve">LUIZ FERNANDO ANDRADE FERREIRA</t>
  </si>
  <si>
    <t xml:space="preserve">OGF COMERCIO DE BEBIDAS LTDA</t>
  </si>
  <si>
    <t xml:space="preserve">AMADO BAR</t>
  </si>
  <si>
    <t xml:space="preserve">BORGES E NAVARROS LTDA</t>
  </si>
  <si>
    <t xml:space="preserve">A BANCA TRES BARRAS</t>
  </si>
  <si>
    <t xml:space="preserve">SEC COM ATACADISTA DE ALIM PARA ANIMAIS </t>
  </si>
  <si>
    <t xml:space="preserve">SEC RACOES E CIA</t>
  </si>
  <si>
    <t xml:space="preserve">COMERCIAL SR DE ALIMENTOS</t>
  </si>
  <si>
    <t xml:space="preserve">MERCADO POPULAR 2</t>
  </si>
  <si>
    <t xml:space="preserve">SIDERVAL DIAS GARAHI LTDA</t>
  </si>
  <si>
    <t xml:space="preserve">PIT STOP V8 CONVENIENCIA LTDA</t>
  </si>
  <si>
    <t xml:space="preserve">PIT STOP V8 CONVENIENCIA</t>
  </si>
  <si>
    <t xml:space="preserve">M N CORREA TRANSPORTES</t>
  </si>
  <si>
    <t xml:space="preserve">MARCAL TRANSPORTES</t>
  </si>
  <si>
    <t xml:space="preserve">LINCOLN SILVA DUARTE</t>
  </si>
  <si>
    <t xml:space="preserve">NATALIA DA SILVA GARCIA GAUTO</t>
  </si>
  <si>
    <t xml:space="preserve">FRANCO RACOES</t>
  </si>
  <si>
    <t xml:space="preserve">SUPERMERCADO BIG</t>
  </si>
  <si>
    <t xml:space="preserve">50.093.997 DIVINO ALBERTO LIMA DOS SANTO</t>
  </si>
  <si>
    <t xml:space="preserve">JOSUE CASTRO CABREIRA</t>
  </si>
  <si>
    <t xml:space="preserve">C H G ANDRES LTDA</t>
  </si>
  <si>
    <t xml:space="preserve">FAMILIA ANIMAL LTDA</t>
  </si>
  <si>
    <t xml:space="preserve">HENDRIO LUAN VARANDA DE OLIVEIRA</t>
  </si>
  <si>
    <t xml:space="preserve">ACAI DO HENDRIO</t>
  </si>
  <si>
    <t xml:space="preserve">TOP MIX CONVENIENCIAS LTDA</t>
  </si>
  <si>
    <t xml:space="preserve">TOP MIX</t>
  </si>
  <si>
    <t xml:space="preserve">PAULO HENRIQUE SILVA SOUZA</t>
  </si>
  <si>
    <t xml:space="preserve">DANTAS IIII</t>
  </si>
  <si>
    <t xml:space="preserve">AUREA V. DE LIMA</t>
  </si>
  <si>
    <t xml:space="preserve">MERCADO VENCESLAU</t>
  </si>
  <si>
    <t xml:space="preserve">MERCADO BENJAMIM</t>
  </si>
  <si>
    <t xml:space="preserve">SORRETINHO ALIMENTOS LTDA</t>
  </si>
  <si>
    <t xml:space="preserve">BR FRIOS MERCADO</t>
  </si>
  <si>
    <t xml:space="preserve">BRASFORT EPIS E FERRAMENTA LTDA</t>
  </si>
  <si>
    <t xml:space="preserve">EMPORIO NAURA</t>
  </si>
  <si>
    <t xml:space="preserve">SHEYLA BEATRIZ ANDRADE DE OLIVEIRA</t>
  </si>
  <si>
    <t xml:space="preserve">EMPORIO EQUILIBRIO CEREAIS INT</t>
  </si>
  <si>
    <t xml:space="preserve">MERCEARIA E CONVENIENCIA DO CABECA LTDA </t>
  </si>
  <si>
    <t xml:space="preserve">MERCEARIA E CONVENIENCIA DO CA</t>
  </si>
  <si>
    <t xml:space="preserve">RD VARIEDADES</t>
  </si>
  <si>
    <t xml:space="preserve">MERCADO E DISTRIBUIDORA DE BEBIDAS SANTA</t>
  </si>
  <si>
    <t xml:space="preserve">MERCADO SANTANA S BEER</t>
  </si>
  <si>
    <t xml:space="preserve">CAMPOS COMERCIO E SERVICOS LTDA</t>
  </si>
  <si>
    <t xml:space="preserve">COMERCIAL CAMPOS</t>
  </si>
  <si>
    <t xml:space="preserve">BOMBRIL SA</t>
  </si>
  <si>
    <t xml:space="preserve">BOMBRIL</t>
  </si>
  <si>
    <t xml:space="preserve">CEREALISTA RURAL LTDA</t>
  </si>
  <si>
    <t xml:space="preserve">CEREALISTA RURAL</t>
  </si>
  <si>
    <t xml:space="preserve">CONVENIENCIA JUMBO LTDA</t>
  </si>
  <si>
    <t xml:space="preserve">CONVENIENCIA JUMBO</t>
  </si>
  <si>
    <t xml:space="preserve">CONVENIENCIA POSTO 10 LTDA</t>
  </si>
  <si>
    <t xml:space="preserve">CONVENIENCIA POSTO 10</t>
  </si>
  <si>
    <t xml:space="preserve">AGROSHOP LTDA</t>
  </si>
  <si>
    <t xml:space="preserve">AGROSHOP</t>
  </si>
  <si>
    <t xml:space="preserve">SE COMERCIO DE ALIMENTOS LTDA</t>
  </si>
  <si>
    <t xml:space="preserve">COMERCIAL DE ALIMENTOS ROSEIRAL LTDA</t>
  </si>
  <si>
    <t xml:space="preserve">COMERCIAL ROSEIRAL</t>
  </si>
  <si>
    <t xml:space="preserve">JAQUELINE DE ALENCAR PULEO LTDA</t>
  </si>
  <si>
    <t xml:space="preserve">MERCADO MEGABOX</t>
  </si>
  <si>
    <t xml:space="preserve">AMALIA SANDRA BUENO DE MENEZES POTOTSKI </t>
  </si>
  <si>
    <t xml:space="preserve">AGROMAX</t>
  </si>
  <si>
    <t xml:space="preserve">MKE RACOES LTDA</t>
  </si>
  <si>
    <t xml:space="preserve">MKE RACOES</t>
  </si>
  <si>
    <t xml:space="preserve">PET DOLLY LTDA</t>
  </si>
  <si>
    <t xml:space="preserve">PET DOLLY</t>
  </si>
  <si>
    <t xml:space="preserve">MARIA ROSARIA RAINERI PIRES</t>
  </si>
  <si>
    <t xml:space="preserve">RESTAURANTE BOA MESA</t>
  </si>
  <si>
    <t xml:space="preserve">LISANDRA YOSHIE HIZA KELOTA</t>
  </si>
  <si>
    <t xml:space="preserve">CONVENIENCIA WORZONE</t>
  </si>
  <si>
    <t xml:space="preserve">CRS BRANDS INDUSTRIA E COMERCIO LTDA</t>
  </si>
  <si>
    <t xml:space="preserve">CRS BRANDS</t>
  </si>
  <si>
    <t xml:space="preserve">MERCADO BIONDO LTDA</t>
  </si>
  <si>
    <t xml:space="preserve">MINI MERCADO BIONDO</t>
  </si>
  <si>
    <t xml:space="preserve">HEINZ BRASIL S.A</t>
  </si>
  <si>
    <t xml:space="preserve">NEROPOLIS</t>
  </si>
  <si>
    <t xml:space="preserve">HEINZ BRASIL</t>
  </si>
  <si>
    <t xml:space="preserve">HEINZ BRASIL S.A.</t>
  </si>
  <si>
    <t xml:space="preserve">BLUMENAU</t>
  </si>
  <si>
    <t xml:space="preserve">MILTON FRANCO TAPIA</t>
  </si>
  <si>
    <t xml:space="preserve">COMERCIAL MILTON</t>
  </si>
  <si>
    <t xml:space="preserve">FMG ALIMENTOS LTDA</t>
  </si>
  <si>
    <t xml:space="preserve">LUCIANO ALVES RODRIGUES</t>
  </si>
  <si>
    <t xml:space="preserve">CONVENIENCIA RODRIGUES</t>
  </si>
  <si>
    <t xml:space="preserve">VALDEIR SANTANA</t>
  </si>
  <si>
    <t xml:space="preserve">ESQUINA DO SALGADO</t>
  </si>
  <si>
    <t xml:space="preserve">AGRO FORTE PET E AGRO LTDA</t>
  </si>
  <si>
    <t xml:space="preserve">AGRO FORTE</t>
  </si>
  <si>
    <t xml:space="preserve">MINIMERCADO SILVESTRIN LTDA</t>
  </si>
  <si>
    <t xml:space="preserve">CONVENIENCIA SUB ZERO</t>
  </si>
  <si>
    <t xml:space="preserve">JUMA SUPERMERCADO</t>
  </si>
  <si>
    <t xml:space="preserve">MERCADO WASABI</t>
  </si>
  <si>
    <t xml:space="preserve">PET CENTER LTDA</t>
  </si>
  <si>
    <t xml:space="preserve">PET SHOP CENTER</t>
  </si>
  <si>
    <t xml:space="preserve">MERCADO BRASAO LTDA</t>
  </si>
  <si>
    <t xml:space="preserve">NICOLE CAMPOS DE OLIVEIRA</t>
  </si>
  <si>
    <t xml:space="preserve">MENDES CONVENIENCIA LTDA</t>
  </si>
  <si>
    <t xml:space="preserve">FERRATO CONVENIENCIA</t>
  </si>
  <si>
    <t xml:space="preserve">LUIZ GUILHERME ORTIZ NASCIMENTO</t>
  </si>
  <si>
    <t xml:space="preserve">LG CONVENIENCIA</t>
  </si>
  <si>
    <t xml:space="preserve">MANA PADARIA E CONVENIENCIA</t>
  </si>
  <si>
    <t xml:space="preserve"> MERCEARIA PACARA</t>
  </si>
  <si>
    <t xml:space="preserve">MARTELOZO COMERCIO DE CEREAIS</t>
  </si>
  <si>
    <t xml:space="preserve">LL DE PAULA COMERCIO DE ALIMENTOS LTDA  </t>
  </si>
  <si>
    <t xml:space="preserve">LL DE PAULA COMERCIO</t>
  </si>
  <si>
    <t xml:space="preserve">J D V CATANHO DA SILVA</t>
  </si>
  <si>
    <t xml:space="preserve">MERCADO J D V LTDA</t>
  </si>
  <si>
    <t xml:space="preserve">LOVEPETS PETSHOP E CLINICA VETERINARIA L</t>
  </si>
  <si>
    <t xml:space="preserve">MUNIZ E DIAS CONVENIENCIA LTDA</t>
  </si>
  <si>
    <t xml:space="preserve">MUNIZ CONVENIENCIA</t>
  </si>
  <si>
    <t xml:space="preserve">MERCADO LM LTDA</t>
  </si>
  <si>
    <t xml:space="preserve">SUPERMERCADO KR MERCEARIA</t>
  </si>
  <si>
    <t xml:space="preserve">ANDRE LUIS FREITAS MAIA LTDA</t>
  </si>
  <si>
    <t xml:space="preserve">CANECAO CONVENIENCIA</t>
  </si>
  <si>
    <t xml:space="preserve">MEGA COMERCIO DE ALIMENTOS LTDA</t>
  </si>
  <si>
    <t xml:space="preserve">MEGA SUPERMERCADO</t>
  </si>
  <si>
    <t xml:space="preserve">ALONSO E VALENCA BAR E RESTAURANTE LTDA </t>
  </si>
  <si>
    <t xml:space="preserve">PORKS</t>
  </si>
  <si>
    <t xml:space="preserve">AGROCAMPO INSUMOS AGRICOLAS LTDA</t>
  </si>
  <si>
    <t xml:space="preserve">AGRO CAMPO</t>
  </si>
  <si>
    <t xml:space="preserve">RAFAEL DE BARROS</t>
  </si>
  <si>
    <t xml:space="preserve">BOI GRILL CASA SE CARNE E CONVENIENCIA  </t>
  </si>
  <si>
    <t xml:space="preserve">BOI GRIL CASA DE CARNE</t>
  </si>
  <si>
    <t xml:space="preserve">ADRIA ALIMENTOS DO BRASIL LTDA</t>
  </si>
  <si>
    <t xml:space="preserve">BASILAR</t>
  </si>
  <si>
    <t xml:space="preserve">ZABET</t>
  </si>
  <si>
    <t xml:space="preserve">TREVO ALIMENTOS</t>
  </si>
  <si>
    <t xml:space="preserve">MARCOS VINICIUS BENITES DE ANDRADE</t>
  </si>
  <si>
    <t xml:space="preserve">BENITES BURGUER</t>
  </si>
  <si>
    <t xml:space="preserve">ANDERSON APARECIDO CLAUDINO DA SILVA</t>
  </si>
  <si>
    <t xml:space="preserve">MERCEARIA E CONV. TERRA MEDIA</t>
  </si>
  <si>
    <t xml:space="preserve">FERNANDA SANT ANNA DA SILVA</t>
  </si>
  <si>
    <t xml:space="preserve">JAUDO AMORIM DE ANDRADE</t>
  </si>
  <si>
    <t xml:space="preserve">51.503.823 SCHIRLEY SILVERIO DE SOUZA</t>
  </si>
  <si>
    <t xml:space="preserve">NO GRAU CONVENINENCIA</t>
  </si>
  <si>
    <t xml:space="preserve">QUICA GASTROBAR LTDA</t>
  </si>
  <si>
    <t xml:space="preserve">QUICA GASTROBAR</t>
  </si>
  <si>
    <t xml:space="preserve">RENAN LAVAGNOLI DA SILVA</t>
  </si>
  <si>
    <t xml:space="preserve">ALEXSANDER NUNES DA COSTA</t>
  </si>
  <si>
    <t xml:space="preserve">MINI MERCADO MK</t>
  </si>
  <si>
    <t xml:space="preserve">DANIELA CRISTINA DE LIMA FERREIRA</t>
  </si>
  <si>
    <t xml:space="preserve">CONVENIENCIA TOCA DA RAPOSA</t>
  </si>
  <si>
    <t xml:space="preserve">PONTO NOBRE DA CARNE ALIMENTOS LTDA</t>
  </si>
  <si>
    <t xml:space="preserve">ANA JULIA OLIVEIRA LEAL</t>
  </si>
  <si>
    <t xml:space="preserve">BIANA PRODUTOS ORG.E CONVENC</t>
  </si>
  <si>
    <t xml:space="preserve">VINICIUS ANTUNES BORGES</t>
  </si>
  <si>
    <t xml:space="preserve">TAPERAS RACOES</t>
  </si>
  <si>
    <t xml:space="preserve">AP DOS SANTOS TRANSPORTES</t>
  </si>
  <si>
    <t xml:space="preserve">AMARILDO PINHEIRO TRANSPORTES</t>
  </si>
  <si>
    <t xml:space="preserve">NORTAO CONVENIENCIA E MERCEARIA LTDA</t>
  </si>
  <si>
    <t xml:space="preserve">NORTAO CONVENIENCIA E MERCEARIA</t>
  </si>
  <si>
    <t xml:space="preserve">REDE IPE MARACAJU POSTO DE SERVICOS LTDA</t>
  </si>
  <si>
    <t xml:space="preserve">REDE IPE MARACAJU</t>
  </si>
  <si>
    <t xml:space="preserve">IRMAOS CARDOSO LTDA</t>
  </si>
  <si>
    <t xml:space="preserve">PREST SERV JUNDIAI TRANSP E SERV LTDA</t>
  </si>
  <si>
    <t xml:space="preserve">ALIMENTOS MANA LTDA</t>
  </si>
  <si>
    <t xml:space="preserve">ALIMENTOS MANA</t>
  </si>
  <si>
    <t xml:space="preserve">LUNARDI E VARGAS SUPERMERCADO LTDA</t>
  </si>
  <si>
    <t xml:space="preserve">LUNARDI E VARGAS</t>
  </si>
  <si>
    <t xml:space="preserve">SANTTINO GASTROBAR</t>
  </si>
  <si>
    <t xml:space="preserve">SANTINNO GASTROBAR</t>
  </si>
  <si>
    <t xml:space="preserve">LINO ROLANDO ARAMAYO LTDA</t>
  </si>
  <si>
    <t xml:space="preserve">BRABO DISTRIBUIDOR</t>
  </si>
  <si>
    <t xml:space="preserve">A E M MINI MARKET LTDA</t>
  </si>
  <si>
    <t xml:space="preserve">ONII RIO BRILHANTE</t>
  </si>
  <si>
    <t xml:space="preserve">MARCOS LOPES DA SILVA FILHO</t>
  </si>
  <si>
    <t xml:space="preserve">CASA DE CARNE MARQUINHO</t>
  </si>
  <si>
    <t xml:space="preserve">ATACADAO DA RACAO LTDA</t>
  </si>
  <si>
    <t xml:space="preserve">ATACADAO DA RACAO</t>
  </si>
  <si>
    <t xml:space="preserve">FERNANDO JOSE DE ARAUJO</t>
  </si>
  <si>
    <t xml:space="preserve">MERCADO BARATINHO</t>
  </si>
  <si>
    <t xml:space="preserve">KELI CRISTINA DOS SANTOS</t>
  </si>
  <si>
    <t xml:space="preserve">IVC REPRESENTACAO COMERCIAL</t>
  </si>
  <si>
    <t xml:space="preserve">MERCADO IVC</t>
  </si>
  <si>
    <t xml:space="preserve">JOHNNY RIBEIRO DE ALMEIDA</t>
  </si>
  <si>
    <t xml:space="preserve">PET E GATO LTDA</t>
  </si>
  <si>
    <t xml:space="preserve">PET E GATO</t>
  </si>
  <si>
    <t xml:space="preserve">PAES E PAHINS LTDA</t>
  </si>
  <si>
    <t xml:space="preserve">VIENNA BARBEARIA</t>
  </si>
  <si>
    <t xml:space="preserve">FIVE EXPRESS COMERCIO DE BEBIDAS LTDA</t>
  </si>
  <si>
    <t xml:space="preserve">FIVE CONVENIENCIA</t>
  </si>
  <si>
    <t xml:space="preserve">NADIR KRAWCZAK</t>
  </si>
  <si>
    <t xml:space="preserve">CONVENIENCIA PLANALTO</t>
  </si>
  <si>
    <t xml:space="preserve">MANGOLE CONVENIENCIA LTDA.</t>
  </si>
  <si>
    <t xml:space="preserve">MANGOLE CONVENIENCIA</t>
  </si>
  <si>
    <t xml:space="preserve">NOGUEIRA SUPERMERCADO LTDA</t>
  </si>
  <si>
    <t xml:space="preserve">EMPORIO DO CAMPO SUPERMERCADO</t>
  </si>
  <si>
    <t xml:space="preserve">MANA COMERCIO DE ALIMENTOS AG LTDA</t>
  </si>
  <si>
    <t xml:space="preserve">MANA ALIMENTOS</t>
  </si>
  <si>
    <t xml:space="preserve">LEAO E INACIO LTDA</t>
  </si>
  <si>
    <t xml:space="preserve">LEAO GALERIA DA CARNE</t>
  </si>
  <si>
    <t xml:space="preserve">HOMMEPET NASCIMENTO E VIGANO LTDA</t>
  </si>
  <si>
    <t xml:space="preserve">PET HOMME</t>
  </si>
  <si>
    <t xml:space="preserve">EZEQUIEL G BUQUE</t>
  </si>
  <si>
    <t xml:space="preserve">ANTONIO JULIANO DA COSTA PRDO</t>
  </si>
  <si>
    <t xml:space="preserve">REGINA APARECIDA DE PAULA</t>
  </si>
  <si>
    <t xml:space="preserve">PROPETS</t>
  </si>
  <si>
    <t xml:space="preserve">MOCOCA S.A. PRODUTOS ALIMENTICIOS</t>
  </si>
  <si>
    <t xml:space="preserve">MOCOCA</t>
  </si>
  <si>
    <t xml:space="preserve">ANILTON FAGUNDES DE CARVALHO</t>
  </si>
  <si>
    <t xml:space="preserve">RACOES DO PITOCA</t>
  </si>
  <si>
    <t xml:space="preserve">CENTRO DE TREINAMENTO STAR LTDA</t>
  </si>
  <si>
    <t xml:space="preserve">CT STAR ACADEMIA</t>
  </si>
  <si>
    <t xml:space="preserve">MAGDA APARECIDA DIAS CARDOSO</t>
  </si>
  <si>
    <t xml:space="preserve">DOM ZE CONVENIENCIA</t>
  </si>
  <si>
    <t xml:space="preserve">SHALOM TRANSPORTES LTDA</t>
  </si>
  <si>
    <t xml:space="preserve">SHALOM TRANSPORTES</t>
  </si>
  <si>
    <t xml:space="preserve">TRASNPORTES VIDALI LTDA</t>
  </si>
  <si>
    <t xml:space="preserve">VIDALI</t>
  </si>
  <si>
    <t xml:space="preserve">UATA BAR LTDA</t>
  </si>
  <si>
    <t xml:space="preserve">UATAHELL</t>
  </si>
  <si>
    <t xml:space="preserve">SUPERMERCADO BOMBOCADO LTDA</t>
  </si>
  <si>
    <t xml:space="preserve">SUPERMERCADO BOMBOCADO</t>
  </si>
  <si>
    <t xml:space="preserve">NUBIA GABRIELA VIEIRA GRACIANO DE BARROS</t>
  </si>
  <si>
    <t xml:space="preserve">PODEROSA MAKE</t>
  </si>
  <si>
    <t xml:space="preserve">APARECIDA DE FATIMA ALVES</t>
  </si>
  <si>
    <t xml:space="preserve">APARECIDA DE FATIMA</t>
  </si>
  <si>
    <t xml:space="preserve">CONVENIENCIA E CONFEITARIA PRACA</t>
  </si>
  <si>
    <t xml:space="preserve">CONVENIENCIA E CONFEITARIA PRA</t>
  </si>
  <si>
    <t xml:space="preserve">GUILHERME JOSE MAROCHIO SANDIM LTDA</t>
  </si>
  <si>
    <t xml:space="preserve">MS PET</t>
  </si>
  <si>
    <t xml:space="preserve">M A KUHN LTDA</t>
  </si>
  <si>
    <t xml:space="preserve">SUPERMERCADO LOOK</t>
  </si>
  <si>
    <t xml:space="preserve">A B GOMES LTDA</t>
  </si>
  <si>
    <t xml:space="preserve">CONVENIENCIA DO NEGO</t>
  </si>
  <si>
    <t xml:space="preserve">OLIVEIRA E MENK LTDA</t>
  </si>
  <si>
    <t xml:space="preserve">MADAME PET</t>
  </si>
  <si>
    <t xml:space="preserve">DIST DE ALIMENTOS FRANCISCO IKEDA LTDA  </t>
  </si>
  <si>
    <t xml:space="preserve">DISTRIBUIDORA IKEDA</t>
  </si>
  <si>
    <t xml:space="preserve">NATALY CASTILLO DE OSINAGA</t>
  </si>
  <si>
    <t xml:space="preserve">COMERCIAL NATALY</t>
  </si>
  <si>
    <t xml:space="preserve">FOSCANCHES ALIMENTOS SAUDAVEIS LTDA</t>
  </si>
  <si>
    <t xml:space="preserve">CIPO ALIMENTOS SAUDAVEIS</t>
  </si>
  <si>
    <t xml:space="preserve">SOARES E DELMONDES COM DE BEBIDAS LTDA  </t>
  </si>
  <si>
    <t xml:space="preserve">VITORIA BEER</t>
  </si>
  <si>
    <t xml:space="preserve">ESPACO GRILL CHURRASCARIA LTDA</t>
  </si>
  <si>
    <t xml:space="preserve">ESPACO GRILL CHURRASCARIA</t>
  </si>
  <si>
    <t xml:space="preserve">MICHEL LUIZ MOLINARI CAMPOS</t>
  </si>
  <si>
    <t xml:space="preserve">ROTA ANIMAL</t>
  </si>
  <si>
    <t xml:space="preserve">COMPRE BEM PRODUTOS ALIMENTICIOS LTDA</t>
  </si>
  <si>
    <t xml:space="preserve">7 PHARMA</t>
  </si>
  <si>
    <t xml:space="preserve">OLIVEIRA HIPER CENTER LTDA</t>
  </si>
  <si>
    <t xml:space="preserve">DANIELA CRISTINA DOS SANTOS LTDA</t>
  </si>
  <si>
    <t xml:space="preserve">CONVENIENCIA DO ADRIANO</t>
  </si>
  <si>
    <t xml:space="preserve">LUIZ GUSTAVO CASTAGNAZZI</t>
  </si>
  <si>
    <t xml:space="preserve">LE COMERCIO DE FRIOS LTDA</t>
  </si>
  <si>
    <t xml:space="preserve">SETE PHARMA 4</t>
  </si>
  <si>
    <t xml:space="preserve">MARIO LAURA VILLCA</t>
  </si>
  <si>
    <t xml:space="preserve">COMERCIAL LAURA</t>
  </si>
  <si>
    <t xml:space="preserve">MIRTA BEATRIZ DE BARROS DA PE</t>
  </si>
  <si>
    <t xml:space="preserve">LAIS DOS SANTOS MACHADO</t>
  </si>
  <si>
    <t xml:space="preserve">CAIMAN AGROPECUARIA LTDA</t>
  </si>
  <si>
    <t xml:space="preserve">ESTANCIA CAIMAM</t>
  </si>
  <si>
    <t xml:space="preserve">PET ON SHOP LTDA</t>
  </si>
  <si>
    <t xml:space="preserve">PET ON</t>
  </si>
  <si>
    <t xml:space="preserve">AMERICAN BAR LTDA</t>
  </si>
  <si>
    <t xml:space="preserve">BAR DA PISCINA</t>
  </si>
  <si>
    <t xml:space="preserve">ITALIANOS SORVETE LTDA</t>
  </si>
  <si>
    <t xml:space="preserve">JHONATANN JAIRO SENA ANTUNES</t>
  </si>
  <si>
    <t xml:space="preserve">DKING CONVENIENCIANA ANTUNES</t>
  </si>
  <si>
    <t xml:space="preserve">JEZIEL DA SILVA LTDA</t>
  </si>
  <si>
    <t xml:space="preserve">JV HORTIFRUTTI LJ3</t>
  </si>
  <si>
    <t xml:space="preserve">N AGUILAR ROMERO LTDA</t>
  </si>
  <si>
    <t xml:space="preserve">SUPERMERCADO ESCOBAR</t>
  </si>
  <si>
    <t xml:space="preserve">ALVORADA PET SHOP LTDA</t>
  </si>
  <si>
    <t xml:space="preserve">ALVORADA PET SHOP</t>
  </si>
  <si>
    <t xml:space="preserve">JOAO PEDRO LOURO MARTINS LTDA</t>
  </si>
  <si>
    <t xml:space="preserve">TIGRAO MAIS UM</t>
  </si>
  <si>
    <t xml:space="preserve">OLIVEIRA E CIA COMERCIO DE GENEROS ALIME</t>
  </si>
  <si>
    <t xml:space="preserve">MADALENO MERCADO</t>
  </si>
  <si>
    <t xml:space="preserve">B P DO NASCIMENTO LTDA</t>
  </si>
  <si>
    <t xml:space="preserve">VILLA BEEF</t>
  </si>
  <si>
    <t xml:space="preserve">THAYS DA SILVA GOMES LTDA</t>
  </si>
  <si>
    <t xml:space="preserve">RESTAURANTE ROTA 267</t>
  </si>
  <si>
    <t xml:space="preserve">COLPO COMERCIO DE FRIOS LTDA</t>
  </si>
  <si>
    <t xml:space="preserve">VIP FRIOS</t>
  </si>
  <si>
    <t xml:space="preserve">SILVIA E PAULINO FARMACIA E DROGARIA</t>
  </si>
  <si>
    <t xml:space="preserve">FARMASILVIA</t>
  </si>
  <si>
    <t xml:space="preserve">CARLOS SANCHES</t>
  </si>
  <si>
    <t xml:space="preserve">SONIA HUANCA LEON</t>
  </si>
  <si>
    <t xml:space="preserve">MERC SONIA</t>
  </si>
  <si>
    <t xml:space="preserve">TACHINHA SUPERMERCADO LTDA</t>
  </si>
  <si>
    <t xml:space="preserve">ZENATUR TRANSPORTES DE CARGAS LTDA</t>
  </si>
  <si>
    <t xml:space="preserve">DIADEMA</t>
  </si>
  <si>
    <t xml:space="preserve">ZENATUR</t>
  </si>
  <si>
    <t xml:space="preserve">HYPERPANA SUPERMERCADO LTDA</t>
  </si>
  <si>
    <t xml:space="preserve">HIPER PAM SUPERMERCADO</t>
  </si>
  <si>
    <t xml:space="preserve">MICHELLY C COUTINHO LTDA</t>
  </si>
  <si>
    <t xml:space="preserve">AMANDA DA SILVA ALVES</t>
  </si>
  <si>
    <t xml:space="preserve">CHALE GRILL LTDA</t>
  </si>
  <si>
    <t xml:space="preserve">CHALE GRILL</t>
  </si>
  <si>
    <t xml:space="preserve">SUPERMERCADO SKINAO LTDA</t>
  </si>
  <si>
    <t xml:space="preserve">EASY EXPRESS LTDA ME</t>
  </si>
  <si>
    <t xml:space="preserve">EASY MART</t>
  </si>
  <si>
    <t xml:space="preserve">JAMILET SCARLEN CUELLAR ALVAR</t>
  </si>
  <si>
    <t xml:space="preserve">M.A COMERCIO DE BEBIDAS E TABACOS LTDA  </t>
  </si>
  <si>
    <t xml:space="preserve">M.A COMERCIO DE BEBIDAS E TABACOS</t>
  </si>
  <si>
    <t xml:space="preserve">EVANIR ABREU DE SOUZA</t>
  </si>
  <si>
    <t xml:space="preserve">STERCE CONTIN FISH PET LTDA</t>
  </si>
  <si>
    <t xml:space="preserve">FISH PET</t>
  </si>
  <si>
    <t xml:space="preserve">MERCADO E ACOUGUE COSTELAO LTDA</t>
  </si>
  <si>
    <t xml:space="preserve">FARMACIA NOGUEIRA E LOTES LTDA</t>
  </si>
  <si>
    <t xml:space="preserve">POPULAR FARMA</t>
  </si>
  <si>
    <t xml:space="preserve">NUTRIAGRO NUTRICAO ANIMAL LTDA</t>
  </si>
  <si>
    <t xml:space="preserve">NUTRIAGRO</t>
  </si>
  <si>
    <t xml:space="preserve">CRYSTIAN V M RAMOS LTDA</t>
  </si>
  <si>
    <t xml:space="preserve">MINHA QUINTANDINHA</t>
  </si>
  <si>
    <t xml:space="preserve">JESSICA FREITAS DIAS ME</t>
  </si>
  <si>
    <t xml:space="preserve">CASA DE CARNES ROGERINHO</t>
  </si>
  <si>
    <t xml:space="preserve">JV MINI MERCADO LTDA</t>
  </si>
  <si>
    <t xml:space="preserve">PROSA BEER</t>
  </si>
  <si>
    <t xml:space="preserve">EDER DIEGO JOSE DA SILVA</t>
  </si>
  <si>
    <t xml:space="preserve">AQUELE PET</t>
  </si>
  <si>
    <t xml:space="preserve">EMR COMERCIO BAR E BEBIDAS LTDA</t>
  </si>
  <si>
    <t xml:space="preserve">PIPA</t>
  </si>
  <si>
    <t xml:space="preserve">PANIFICADORA AGAPE LTDA</t>
  </si>
  <si>
    <t xml:space="preserve">PANIFICADORA AGAPE</t>
  </si>
  <si>
    <t xml:space="preserve">LOPES SUPERMERCADOS LTDA</t>
  </si>
  <si>
    <t xml:space="preserve">SUPERMERCADOS PROENCA</t>
  </si>
  <si>
    <t xml:space="preserve">KEITH DAIANA HURTADO ROCA</t>
  </si>
  <si>
    <t xml:space="preserve">LUCIMARE REVERSE LTDA</t>
  </si>
  <si>
    <t xml:space="preserve">MERCADINHO AZUL 2</t>
  </si>
  <si>
    <t xml:space="preserve">COMERCIAL DOCES FESTAS EMBALAGENS RRE LT</t>
  </si>
  <si>
    <t xml:space="preserve">GLEICE ELLEN DA SILVA TORRES LTDA</t>
  </si>
  <si>
    <t xml:space="preserve">JV HORTIFRUTTI LJ2</t>
  </si>
  <si>
    <t xml:space="preserve">CLEUSA SOARES CHAVES DE ALMEI</t>
  </si>
  <si>
    <t xml:space="preserve">YENNY MARGARITA LUZ CHUQUIMIA</t>
  </si>
  <si>
    <t xml:space="preserve">MARCELLA RADEKE DE ORNELAS</t>
  </si>
  <si>
    <t xml:space="preserve">GFE COMERCIAL LTDA</t>
  </si>
  <si>
    <t xml:space="preserve">RESTAURANTE E CHURRASCARIA</t>
  </si>
  <si>
    <t xml:space="preserve">MS LICITACOES COMERCIO E SERVICOS LTDA  </t>
  </si>
  <si>
    <t xml:space="preserve">MS LICITACOES</t>
  </si>
  <si>
    <t xml:space="preserve">BRUNO MATEUS SILVA DE SOUZA</t>
  </si>
  <si>
    <t xml:space="preserve">CASA DE RACOES</t>
  </si>
  <si>
    <t xml:space="preserve">SANTANA E CIA COMERCIO DE BEBIDAS LTDA  </t>
  </si>
  <si>
    <t xml:space="preserve">BAR DO TITIO</t>
  </si>
  <si>
    <t xml:space="preserve">R VIEIRA DIAS DE OLIVEIRA LTDA</t>
  </si>
  <si>
    <t xml:space="preserve">CONSTRUAGRO 23 DE SALMO</t>
  </si>
  <si>
    <t xml:space="preserve">SUPERMERCADO DOIS IRMAOS LTDA</t>
  </si>
  <si>
    <t xml:space="preserve">SUPERMERCADO LEAO COMERCIO DE ALIMENTOS </t>
  </si>
  <si>
    <t xml:space="preserve">SUPERMERCADO LEAO</t>
  </si>
  <si>
    <t xml:space="preserve">LINO CONVENIENCIA LTDA</t>
  </si>
  <si>
    <t xml:space="preserve">LINO CONVENIENCIA</t>
  </si>
  <si>
    <t xml:space="preserve">SCALLA PRODUTOS MEDICOS E HOSPITALARES L</t>
  </si>
  <si>
    <t xml:space="preserve">SCALLA PRODUTOS MEDICOS E HOSPITALARES</t>
  </si>
  <si>
    <t xml:space="preserve">MARAJA COMERCIO DE BEBIDAS LTDA</t>
  </si>
  <si>
    <t xml:space="preserve">MATEUS E CIA LTDA</t>
  </si>
  <si>
    <t xml:space="preserve">SABOR DIVINO CONVENIENCIA</t>
  </si>
  <si>
    <t xml:space="preserve">SUDOESTE CESTAS BASICAS LTDA</t>
  </si>
  <si>
    <t xml:space="preserve">SUDOESTE CESTAS BASICAS</t>
  </si>
  <si>
    <t xml:space="preserve">CAROLINE DE OLIVEIRA MATOS MART</t>
  </si>
  <si>
    <t xml:space="preserve">CAROLINE DE OLIVEIRA MATOS</t>
  </si>
  <si>
    <t xml:space="preserve">MARCOS SILVA CARDOSO</t>
  </si>
  <si>
    <t xml:space="preserve">CONVENIENCIA NEVADA</t>
  </si>
  <si>
    <t xml:space="preserve">THIAGO CUPERTINO DE SOUZA</t>
  </si>
  <si>
    <t xml:space="preserve">VANESSA DOS SANTOS GOMES</t>
  </si>
  <si>
    <t xml:space="preserve">CONV.PARADA OBRIGATORIA</t>
  </si>
  <si>
    <t xml:space="preserve">PETSHOP DA MANA LTDA</t>
  </si>
  <si>
    <t xml:space="preserve">PETSHOP DA MANA</t>
  </si>
  <si>
    <t xml:space="preserve">LAURA APARECIDA DA SILVA SUPERMERCADO</t>
  </si>
  <si>
    <t xml:space="preserve">MERCEARIA E CONVENIENCIA AVENIDA LTDA</t>
  </si>
  <si>
    <t xml:space="preserve">ZENIR CARVALHO RODRIGUES</t>
  </si>
  <si>
    <t xml:space="preserve">UILSON APARECIDO ULIAN E CIA LTDA</t>
  </si>
  <si>
    <t xml:space="preserve">SUPERMERCADO ULIAN</t>
  </si>
  <si>
    <t xml:space="preserve">LIDER COMERCIAL DE ALIMENTOS LTDA</t>
  </si>
  <si>
    <t xml:space="preserve">SUPERMERCADO SANTA CRUZ</t>
  </si>
  <si>
    <t xml:space="preserve">RENAN FLAVIO ALMEIDA MARTINS</t>
  </si>
  <si>
    <t xml:space="preserve">RENAN FLAVIO A MARTINS</t>
  </si>
  <si>
    <t xml:space="preserve">ANIZ E CHIARELLO LTDA</t>
  </si>
  <si>
    <t xml:space="preserve">ANIZ PET</t>
  </si>
  <si>
    <t xml:space="preserve">FLAVIO VILARIM MOREIRA</t>
  </si>
  <si>
    <t xml:space="preserve">VITALIS FARMA</t>
  </si>
  <si>
    <t xml:space="preserve">VITALIS FARMA LTDA</t>
  </si>
  <si>
    <t xml:space="preserve">FARMACIA SOLOAGUA</t>
  </si>
  <si>
    <t xml:space="preserve">UNIAO FARMA LTDA</t>
  </si>
  <si>
    <t xml:space="preserve">VITALIS FARMA 02</t>
  </si>
  <si>
    <t xml:space="preserve">VINICIUS DA SILVA NUNES VIANA</t>
  </si>
  <si>
    <t xml:space="preserve">SOBERANA PETSHOP</t>
  </si>
  <si>
    <t xml:space="preserve">EMPORIO CATARINENSE CONVENIENCIA LTDA</t>
  </si>
  <si>
    <t xml:space="preserve">EMPORIO CATARINENSE</t>
  </si>
  <si>
    <t xml:space="preserve">M LIMA DOS SANTOS LTDA</t>
  </si>
  <si>
    <t xml:space="preserve">SUPERMERCADO D SANTOS</t>
  </si>
  <si>
    <t xml:space="preserve">DROGARIA PRECO POPULAR LTDA</t>
  </si>
  <si>
    <t xml:space="preserve">DROGARIA PRECO MAIS POPULAR</t>
  </si>
  <si>
    <t xml:space="preserve">C S CELERI LTDA</t>
  </si>
  <si>
    <t xml:space="preserve">CASA DE CARNE PREDILETA</t>
  </si>
  <si>
    <t xml:space="preserve">PORTAL SUPERMERCADO E CONV LTDA</t>
  </si>
  <si>
    <t xml:space="preserve">PORTAL SUPERMERCADO</t>
  </si>
  <si>
    <t xml:space="preserve">TRIUNFANTE BRASIL DIST DE ALIMENTOS S.A </t>
  </si>
  <si>
    <t xml:space="preserve">CAMPINAS</t>
  </si>
  <si>
    <t xml:space="preserve">TRIUNFANTE CORPORATIVO</t>
  </si>
  <si>
    <t xml:space="preserve">TRIUNFANTE BRASIL DISTRIBUIDORA DE ALIME</t>
  </si>
  <si>
    <t xml:space="preserve">TRIUNFANTE MATOGROSSENSE ALIMENTOS</t>
  </si>
  <si>
    <t xml:space="preserve">MILENIO COMERCIO DE ALIMENTOS</t>
  </si>
  <si>
    <t xml:space="preserve">EDISON MARTINS DUARTE</t>
  </si>
  <si>
    <t xml:space="preserve">G7 HOME MARKET LTDA</t>
  </si>
  <si>
    <t xml:space="preserve">LAVANDERIA E CONVENIENCIA SILVEIRA LTDA </t>
  </si>
  <si>
    <t xml:space="preserve">COMERCIAL BOA ESPERANCA</t>
  </si>
  <si>
    <t xml:space="preserve">JESSICA GRACIOSO OLIVEIRA BATISTOTE</t>
  </si>
  <si>
    <t xml:space="preserve">MINI CONVENIENCIA E MERCEARIA</t>
  </si>
  <si>
    <t xml:space="preserve">MMM CONVENIENCIA E SUPLEMENTOS LTDA</t>
  </si>
  <si>
    <t xml:space="preserve">MERCADO AEROPORTO COM ALI BEB LTDA</t>
  </si>
  <si>
    <t xml:space="preserve">MERCADO AEROPORTO</t>
  </si>
  <si>
    <t xml:space="preserve">PIX PET LTDA</t>
  </si>
  <si>
    <t xml:space="preserve">UNIAO PET</t>
  </si>
  <si>
    <t xml:space="preserve">PIX PET CENTRO</t>
  </si>
  <si>
    <t xml:space="preserve">PIX PET AGRO</t>
  </si>
  <si>
    <t xml:space="preserve">PIX PET YPE</t>
  </si>
  <si>
    <t xml:space="preserve">PIX PET PARANAPUNGA</t>
  </si>
  <si>
    <t xml:space="preserve">PIX PET SANTOS DUMONT</t>
  </si>
  <si>
    <t xml:space="preserve">PIX PET COLINOS</t>
  </si>
  <si>
    <t xml:space="preserve">PIX PET YAMAGUTI</t>
  </si>
  <si>
    <t xml:space="preserve">CLAUDIA DE FATIMA TRIVELATO LTDA</t>
  </si>
  <si>
    <t xml:space="preserve">CLARA CARNES</t>
  </si>
  <si>
    <t xml:space="preserve">ERIKA MAGALHAES RODRIGUES LIRA</t>
  </si>
  <si>
    <t xml:space="preserve">JOSE PEREIRA DAMASCENO</t>
  </si>
  <si>
    <t xml:space="preserve">PARAISO BAR LTDA</t>
  </si>
  <si>
    <t xml:space="preserve">LUANA ALVES DIAS FELIX DA SILVA</t>
  </si>
  <si>
    <t xml:space="preserve">ADEGA SOBERANA</t>
  </si>
  <si>
    <t xml:space="preserve">J M LUBRIFICANTES E PECAS</t>
  </si>
  <si>
    <t xml:space="preserve">A R DA SILVA</t>
  </si>
  <si>
    <t xml:space="preserve">E DE S GENUARIO E R DE S MARCUZZO LTDA  </t>
  </si>
  <si>
    <t xml:space="preserve">ZP CASA DE CARNE E CONVENIENCIA LTDA</t>
  </si>
  <si>
    <t xml:space="preserve">CASA DE CARNE E COV. MARTINES</t>
  </si>
  <si>
    <t xml:space="preserve">SAMUEL VENTURA CASTEDO  LTDA</t>
  </si>
  <si>
    <t xml:space="preserve">PATINHAS PET SHOP</t>
  </si>
  <si>
    <t xml:space="preserve">CACHORRAO PET LTDA</t>
  </si>
  <si>
    <t xml:space="preserve">CACHORRAO</t>
  </si>
  <si>
    <t xml:space="preserve">GISELE FRAJADO</t>
  </si>
  <si>
    <t xml:space="preserve">GISELE HAIR</t>
  </si>
  <si>
    <t xml:space="preserve">SUELLEN IRACI GONCALVES DA COSTA RABELO </t>
  </si>
  <si>
    <t xml:space="preserve">CONVENIENCIA BARONE</t>
  </si>
  <si>
    <t xml:space="preserve">ANA PAULA DA SILVA</t>
  </si>
  <si>
    <t xml:space="preserve">VITORIA LANCHES</t>
  </si>
  <si>
    <t xml:space="preserve">ENZO COMERCIO DE CARNE LTDA</t>
  </si>
  <si>
    <t xml:space="preserve">ENZO COMERCIO DE CARNE</t>
  </si>
  <si>
    <t xml:space="preserve">RAQUEL MARIA SAMPAIO</t>
  </si>
  <si>
    <t xml:space="preserve">LIMPE MAIS PRODUTOS PARA LIMPE</t>
  </si>
  <si>
    <t xml:space="preserve">MERCEARIA AMIGAO LTDA</t>
  </si>
  <si>
    <t xml:space="preserve">COMERCIO E VAREJISTA DE MERCADO</t>
  </si>
  <si>
    <t xml:space="preserve">KATIA DE SOUZA GONCALVES</t>
  </si>
  <si>
    <t xml:space="preserve">AGROSELA ESPETARIA E CHOPERIA LTDA</t>
  </si>
  <si>
    <t xml:space="preserve">AGROSELA ESPETARIA</t>
  </si>
  <si>
    <t xml:space="preserve">GLAUCIA RAMOS DA SILVA</t>
  </si>
  <si>
    <t xml:space="preserve">ART PAO</t>
  </si>
  <si>
    <t xml:space="preserve">RPV DE OLIVEIRA COMERCIO LTDA</t>
  </si>
  <si>
    <t xml:space="preserve">BOM DE COMPRA</t>
  </si>
  <si>
    <t xml:space="preserve">CONVENIENCIA DO LAGO LTDA</t>
  </si>
  <si>
    <t xml:space="preserve">CONVENIENCIA DO LAGO</t>
  </si>
  <si>
    <t xml:space="preserve">PET SHOP AGROPECUARIA PET TRATO LTDA</t>
  </si>
  <si>
    <t xml:space="preserve">PET SHOP CANUTO LTDA</t>
  </si>
  <si>
    <t xml:space="preserve">PET CANUTO</t>
  </si>
  <si>
    <t xml:space="preserve">RIO BRANCO FESTAS E EMBALAGENS LTDA</t>
  </si>
  <si>
    <t xml:space="preserve">RIO BRANCO FESTA</t>
  </si>
  <si>
    <t xml:space="preserve">CHARLES AVALOS</t>
  </si>
  <si>
    <t xml:space="preserve">MARSUL ATACADISTA</t>
  </si>
  <si>
    <t xml:space="preserve">A M DA SILVA LTDA</t>
  </si>
  <si>
    <t xml:space="preserve">FARMA IZANOPOLIS</t>
  </si>
  <si>
    <t xml:space="preserve">OK BAR LTDA</t>
  </si>
  <si>
    <t xml:space="preserve">MA DONNA BAR</t>
  </si>
  <si>
    <t xml:space="preserve">CONVENIENCIA AFONSO PENA LTDA</t>
  </si>
  <si>
    <t xml:space="preserve">CONVENIENCIA ROUXINOL LTDA</t>
  </si>
  <si>
    <t xml:space="preserve">CONVENIENCIA ROUXINOL</t>
  </si>
  <si>
    <t xml:space="preserve">CASA DE RACAO NOVA TRES LAGOAS LTDA</t>
  </si>
  <si>
    <t xml:space="preserve">CASA DE RACAO NOVA TRES LAGOAS</t>
  </si>
  <si>
    <t xml:space="preserve">MERCADO VERDAO DA COLINA LTDA</t>
  </si>
  <si>
    <t xml:space="preserve">MERCADO VERDAO DA COLINA</t>
  </si>
  <si>
    <t xml:space="preserve">LCB LIMA LTDA</t>
  </si>
  <si>
    <t xml:space="preserve">DOCE MISTURA</t>
  </si>
  <si>
    <t xml:space="preserve">CONVENIENCIA DANUBIO LTDA</t>
  </si>
  <si>
    <t xml:space="preserve">CONVENIENCIA DANUBIO</t>
  </si>
  <si>
    <t xml:space="preserve">CONVENIENCIA ECOLOGICO</t>
  </si>
  <si>
    <t xml:space="preserve">HM CONVENIENCIA E MINI MERCADO TIGRAO 1 </t>
  </si>
  <si>
    <t xml:space="preserve">POSTO TIGRAO</t>
  </si>
  <si>
    <t xml:space="preserve">MERCEARIA BAHIA</t>
  </si>
  <si>
    <t xml:space="preserve">CONVENIENCIA SAO LUCAS LTDA</t>
  </si>
  <si>
    <t xml:space="preserve">CONVENIENCIA SAO LUCAS</t>
  </si>
  <si>
    <t xml:space="preserve">CONVENIENCIA IMPERIAL LTDA</t>
  </si>
  <si>
    <t xml:space="preserve">FAM LOCACAO COM E TRANSPORTES LTDA</t>
  </si>
  <si>
    <t xml:space="preserve">OSASCO</t>
  </si>
  <si>
    <t xml:space="preserve">FAM TRANSPORTE</t>
  </si>
  <si>
    <t xml:space="preserve">RENAN OVANDO SILVA DE ALMEIDA LTDA</t>
  </si>
  <si>
    <t xml:space="preserve">CASA DE RACOES FAVARETTO 4</t>
  </si>
  <si>
    <t xml:space="preserve">PRIMOS BOUTIQUE CARNES ESPECIAIS</t>
  </si>
  <si>
    <t xml:space="preserve">PRIMOS BOUTIQUE CARNES ESPECIA</t>
  </si>
  <si>
    <t xml:space="preserve">M F DE SOUZA LTDA</t>
  </si>
  <si>
    <t xml:space="preserve">EMERSON SALAZAR CORREA LTDA</t>
  </si>
  <si>
    <t xml:space="preserve">CONVENIENCIA PREMIUM LTDA</t>
  </si>
  <si>
    <t xml:space="preserve">CONVENIENCIA PREMIUM</t>
  </si>
  <si>
    <t xml:space="preserve">CONVENIENCIA TRES FIGUEIRAS LTDA</t>
  </si>
  <si>
    <t xml:space="preserve">MARYANE SANTOS DE OLIVEIRA</t>
  </si>
  <si>
    <t xml:space="preserve">REDE UNIAO PET YPE</t>
  </si>
  <si>
    <t xml:space="preserve">MEGA MAX PARANAIBA LTDA</t>
  </si>
  <si>
    <t xml:space="preserve">MEGA MAX</t>
  </si>
  <si>
    <t xml:space="preserve">POSTO FAROESTE LTDA</t>
  </si>
  <si>
    <t xml:space="preserve">POSTO FAROESTE</t>
  </si>
  <si>
    <t xml:space="preserve">MERCADO E PANIFICADORA PEIXOTO LTDA</t>
  </si>
  <si>
    <t xml:space="preserve">MERCADO PEIXOTO</t>
  </si>
  <si>
    <t xml:space="preserve">EMPORIO FACIL LTDA</t>
  </si>
  <si>
    <t xml:space="preserve">MINHA QUITANDINHA</t>
  </si>
  <si>
    <t xml:space="preserve">GRANDE CONV CONVENIENCIA LTDA</t>
  </si>
  <si>
    <t xml:space="preserve">MERCADO NEGREIRO LTDA</t>
  </si>
  <si>
    <t xml:space="preserve">MERCADO NEGREIRO</t>
  </si>
  <si>
    <t xml:space="preserve">AGROCULTURAS PET SHOP LTDA</t>
  </si>
  <si>
    <t xml:space="preserve">AGROCULTURAS</t>
  </si>
  <si>
    <t xml:space="preserve">J S M ESCOBAR</t>
  </si>
  <si>
    <t xml:space="preserve">TOP PAES LTDA</t>
  </si>
  <si>
    <t xml:space="preserve">TOP PAES</t>
  </si>
  <si>
    <t xml:space="preserve">MARILEIDE ALMEIDA DOS SANTOS</t>
  </si>
  <si>
    <t xml:space="preserve">COMERCIAL CROCODILO</t>
  </si>
  <si>
    <t xml:space="preserve">MISTURA BAR</t>
  </si>
  <si>
    <t xml:space="preserve">MERCADO LUVISA</t>
  </si>
  <si>
    <t xml:space="preserve">ATACADINHO 1 DE MAIO</t>
  </si>
  <si>
    <t xml:space="preserve">WESLEN AMANCIO ALVES</t>
  </si>
  <si>
    <t xml:space="preserve">ROSALINO DOS SANTOS ARCANJO</t>
  </si>
  <si>
    <t xml:space="preserve">LUCAS RODRIGUES DUARTE</t>
  </si>
  <si>
    <t xml:space="preserve">DUARTE CONVENIENCIA</t>
  </si>
  <si>
    <t xml:space="preserve">PGM MESQUITA LTDA</t>
  </si>
  <si>
    <t xml:space="preserve">DROGARIA MEGA POPULAR</t>
  </si>
  <si>
    <t xml:space="preserve">JOSE GERALDO MORAES</t>
  </si>
  <si>
    <t xml:space="preserve">2L RACOES</t>
  </si>
  <si>
    <t xml:space="preserve">MERCADO IDEAL PALACIO LTDA</t>
  </si>
  <si>
    <t xml:space="preserve">PET BAND DOG LTDA</t>
  </si>
  <si>
    <t xml:space="preserve">PET BANDOG</t>
  </si>
  <si>
    <t xml:space="preserve">CENTER FRIOS CONVENIENCIA E ACOUGUE LTDA</t>
  </si>
  <si>
    <t xml:space="preserve">CENTER FRIOS CONVENIENCIA E AC</t>
  </si>
  <si>
    <t xml:space="preserve">NATYANELE ROMERO ROCHA VIEIRA</t>
  </si>
  <si>
    <t xml:space="preserve">IPERUM CONVENIENCIA</t>
  </si>
  <si>
    <t xml:space="preserve">ANA PAULA LOPES DE OLIVEIRA</t>
  </si>
  <si>
    <t xml:space="preserve">E M S INDUSTRIA FARMACEUTICA</t>
  </si>
  <si>
    <t xml:space="preserve">BUGRA LTDA</t>
  </si>
  <si>
    <t xml:space="preserve">BUGRA PADOCA E PASTAS</t>
  </si>
  <si>
    <t xml:space="preserve">REDE PRIME SUPERMERCADO LTDA</t>
  </si>
  <si>
    <t xml:space="preserve">REDE PRIME SUPERMERCADOS</t>
  </si>
  <si>
    <t xml:space="preserve">V I B COMERCIO DE BEBIBAS</t>
  </si>
  <si>
    <t xml:space="preserve">BEBES CONVENICIA</t>
  </si>
  <si>
    <t xml:space="preserve">MERCADO DO WAGAO LTDA</t>
  </si>
  <si>
    <t xml:space="preserve">MERCADO DO WAGAO</t>
  </si>
  <si>
    <t xml:space="preserve">FELIPE IZAQUE SOARES</t>
  </si>
  <si>
    <t xml:space="preserve">HF RACAOES</t>
  </si>
  <si>
    <t xml:space="preserve">BAFFS CONVENIENCIA RITA VIEIRA LTDA</t>
  </si>
  <si>
    <t xml:space="preserve">CONVENIENCIA AMPM</t>
  </si>
  <si>
    <t xml:space="preserve">BAFFS CONVENIENCIA COSTA E SILVA LTDA</t>
  </si>
  <si>
    <t xml:space="preserve">IMPERIO CONVENIENCIA LTDA</t>
  </si>
  <si>
    <t xml:space="preserve">IPERERIO CONVENIENCIA</t>
  </si>
  <si>
    <t xml:space="preserve">MULTIMARCAS COMERCIO DE BE LTD</t>
  </si>
  <si>
    <t xml:space="preserve">MULTIMARCAS COMERCIO DE BEBIDAS LTDA</t>
  </si>
  <si>
    <t xml:space="preserve">MULTIMARCAS</t>
  </si>
  <si>
    <t xml:space="preserve">MULTIMARCAS COMERCIO DE BEBIDAS</t>
  </si>
  <si>
    <t xml:space="preserve">EXPRESSO ARACATUBA TRANSP LOGISTICA LTDA</t>
  </si>
  <si>
    <t xml:space="preserve">EXPRESSO ARACATUBA LTDA</t>
  </si>
  <si>
    <t xml:space="preserve">EXPRESSO ARACATUBA SA</t>
  </si>
  <si>
    <t xml:space="preserve">EXPRESSO ARACATUBA E LOGISTICA LTDA</t>
  </si>
  <si>
    <t xml:space="preserve">BAFFS CONVENIENCIA MATO GROSSO LTDA</t>
  </si>
  <si>
    <t xml:space="preserve">R.K.HOTEIS E TURISMO LTDA</t>
  </si>
  <si>
    <t xml:space="preserve">POUSADA CAIMAN</t>
  </si>
  <si>
    <t xml:space="preserve">J C G ARGUELHO E L R B CASANOVA LTDA</t>
  </si>
  <si>
    <t xml:space="preserve">AGROPET AVENIDA</t>
  </si>
  <si>
    <t xml:space="preserve">RICARDO F. PERES LTDA</t>
  </si>
  <si>
    <t xml:space="preserve">RVSG COMERCIO VAREJISTA DE PROD ALIM</t>
  </si>
  <si>
    <t xml:space="preserve">LLMS</t>
  </si>
  <si>
    <t xml:space="preserve">RAQUEL U DE SOUZA</t>
  </si>
  <si>
    <t xml:space="preserve">SENHORA CONVENIENCIA</t>
  </si>
  <si>
    <t xml:space="preserve">LEAL E CARVALHO LTDA</t>
  </si>
  <si>
    <t xml:space="preserve">FUTURO AGRO E PET LTDA</t>
  </si>
  <si>
    <t xml:space="preserve">FUTURO AGRO E PET</t>
  </si>
  <si>
    <t xml:space="preserve">MERCADO E CONVENIENCIA SAO JOAO LTDA</t>
  </si>
  <si>
    <t xml:space="preserve">MERCADO E CONVENIENCIA SAO JOA</t>
  </si>
  <si>
    <t xml:space="preserve">RUBI RACOES LTDA</t>
  </si>
  <si>
    <t xml:space="preserve">RUBI RACOES</t>
  </si>
  <si>
    <t xml:space="preserve">LIDERA CONVENICIA MINIMERCADO LTDA</t>
  </si>
  <si>
    <t xml:space="preserve">K9 CONVENIENCIA</t>
  </si>
  <si>
    <t xml:space="preserve">RAFAEL MARQUES DE MOURA</t>
  </si>
  <si>
    <t xml:space="preserve">DISTRI. CONVENIENCIA ROLLIM</t>
  </si>
  <si>
    <t xml:space="preserve">MARIA DO CARMO DE SOUZA</t>
  </si>
  <si>
    <t xml:space="preserve">CONVENIENCIA SOUZA</t>
  </si>
  <si>
    <t xml:space="preserve">LARA SUPERMERCADO</t>
  </si>
  <si>
    <t xml:space="preserve">LUCIANE SMOLEK OLAH</t>
  </si>
  <si>
    <t xml:space="preserve">LUCIANA SMOLEK OLAH</t>
  </si>
  <si>
    <t xml:space="preserve">COMERCIAL REAL LTDA</t>
  </si>
  <si>
    <t xml:space="preserve">GODOY CAFES LTDA</t>
  </si>
  <si>
    <t xml:space="preserve">ULTRA COFFEE</t>
  </si>
  <si>
    <t xml:space="preserve">L E D SUPERMERCADO LTDA</t>
  </si>
  <si>
    <t xml:space="preserve">NOVO EMPORIO DO CAMPO SUPERMERCADO</t>
  </si>
  <si>
    <t xml:space="preserve">ARNALDO ALVES PANIAGO JUNIOR</t>
  </si>
  <si>
    <t xml:space="preserve">BARU CONVENIENCIA</t>
  </si>
  <si>
    <t xml:space="preserve">IVAR APARECIDO MONTEIRO</t>
  </si>
  <si>
    <t xml:space="preserve">JJ MERCADO LTDA</t>
  </si>
  <si>
    <t xml:space="preserve">JJ MERCADO</t>
  </si>
  <si>
    <t xml:space="preserve">L DE OLIVEIRA VELASQUES LTDA</t>
  </si>
  <si>
    <t xml:space="preserve">NUTRICAMPO PRODUTOS AGROPECUARIOS LTDA  </t>
  </si>
  <si>
    <t xml:space="preserve">MIRA OTM TRANSPORTES LTDA</t>
  </si>
  <si>
    <t xml:space="preserve">MIRA</t>
  </si>
  <si>
    <t xml:space="preserve">ESTEIO LTDA</t>
  </si>
  <si>
    <t xml:space="preserve">STEAK HOUSE ESTEIO</t>
  </si>
  <si>
    <t xml:space="preserve">CASA DE RACAO VILA ALEGRE LTDA</t>
  </si>
  <si>
    <t xml:space="preserve">PONTO DA CARNE COMERCIO DE CARNES LTDA  </t>
  </si>
  <si>
    <t xml:space="preserve">MERCADO MOYA LTDA</t>
  </si>
  <si>
    <t xml:space="preserve">CASA DE RACAO SKINA 67 LTDA</t>
  </si>
  <si>
    <t xml:space="preserve">LINDOMAR RODRIGUES DE SOUZA</t>
  </si>
  <si>
    <t xml:space="preserve">BOM GOSTO COMERCIO DE ALIMENTOS LTDA</t>
  </si>
  <si>
    <t xml:space="preserve">BOM GOSTO COMERCIO DE ALIMENTO</t>
  </si>
  <si>
    <t xml:space="preserve">SUPERMERCADO E C BORGES LTDA</t>
  </si>
  <si>
    <t xml:space="preserve">MEG JARDIM</t>
  </si>
  <si>
    <t xml:space="preserve">ANTONIO FRANCISCO DE SOUSA GA</t>
  </si>
  <si>
    <t xml:space="preserve">ALINE R FUKUDA</t>
  </si>
  <si>
    <t xml:space="preserve">VETALI VETERINARIA</t>
  </si>
  <si>
    <t xml:space="preserve">MERCADO MF LTDA</t>
  </si>
  <si>
    <t xml:space="preserve">MERCADO MF</t>
  </si>
  <si>
    <t xml:space="preserve">CONVENIENCIA DO BALINHA LTDA</t>
  </si>
  <si>
    <t xml:space="preserve">CONVENIENCIA DO BALINHA</t>
  </si>
  <si>
    <t xml:space="preserve">CONVENIENCIA CAMPO DOURADO</t>
  </si>
  <si>
    <t xml:space="preserve">CONVENIENCIA TAMBORY 4</t>
  </si>
  <si>
    <t xml:space="preserve">UPA ATACADO E VAREJO DE BEBIDAS LTDA</t>
  </si>
  <si>
    <t xml:space="preserve">UPA ATACADO E VAREJO DE BEBIDAS</t>
  </si>
  <si>
    <t xml:space="preserve">LS TRANSPORTES E LOCACAO LTDA</t>
  </si>
  <si>
    <t xml:space="preserve">JANKO - LS TRANSPORTES</t>
  </si>
  <si>
    <t xml:space="preserve">ANGELO ANTONIO VICINENSCKI</t>
  </si>
  <si>
    <t xml:space="preserve">IMPACTO BEER CONVENIENCIA</t>
  </si>
  <si>
    <t xml:space="preserve">SUPER MERCADO DA DUQUE LTDA</t>
  </si>
  <si>
    <t xml:space="preserve">MERCADAO DA DUQUE</t>
  </si>
  <si>
    <t xml:space="preserve">LUIS ANTONIO DE ALMEIDA LOBO LTDA</t>
  </si>
  <si>
    <t xml:space="preserve">MANIA DE GATO E DOG CARE LTDA</t>
  </si>
  <si>
    <t xml:space="preserve">DENES LUIZ DA SILVA</t>
  </si>
  <si>
    <t xml:space="preserve">G</t>
  </si>
  <si>
    <t xml:space="preserve">SERV JA COMERCIO DE BEBIDAS LTDA</t>
  </si>
  <si>
    <t xml:space="preserve">NEW BEER CONVENIENCIA LTDA</t>
  </si>
  <si>
    <t xml:space="preserve">MEW BEER CONVENIENCIA</t>
  </si>
  <si>
    <t xml:space="preserve">OLIVEIRA E CAMPOS SUPERMERCADO LTDA</t>
  </si>
  <si>
    <t xml:space="preserve">KARLOS COMERCIO E SERVICOS</t>
  </si>
  <si>
    <t xml:space="preserve">KARLOS IMPORT</t>
  </si>
  <si>
    <t xml:space="preserve">LETICIA VIEIRA DA SILVA</t>
  </si>
  <si>
    <t xml:space="preserve">MERCADINHO NEIDE</t>
  </si>
  <si>
    <t xml:space="preserve">JAQUELINE ANGELICA DE SOUZA</t>
  </si>
  <si>
    <t xml:space="preserve">CASA BAHIA COMERCIAL LTDA</t>
  </si>
  <si>
    <t xml:space="preserve">CASAS BAHIA</t>
  </si>
  <si>
    <t xml:space="preserve">CASAS BHAIA</t>
  </si>
  <si>
    <t xml:space="preserve">CASA BAHIA</t>
  </si>
  <si>
    <t xml:space="preserve">L M MAGALHAES LTDA</t>
  </si>
  <si>
    <t xml:space="preserve">MERCADO FACILITY</t>
  </si>
  <si>
    <t xml:space="preserve">FABIANA CRISTALDO AVALHAES</t>
  </si>
  <si>
    <t xml:space="preserve">BM MERCADO LTDA</t>
  </si>
  <si>
    <t xml:space="preserve">ABIMAEL H DOS S SILVA LTDA</t>
  </si>
  <si>
    <t xml:space="preserve">ABC MERCADO</t>
  </si>
  <si>
    <t xml:space="preserve">JULIENE LUZ DA SILVA</t>
  </si>
  <si>
    <t xml:space="preserve">EMPORIO MANJU</t>
  </si>
  <si>
    <t xml:space="preserve">CONVENIENCIA E MERCEARIA V10 LTDA</t>
  </si>
  <si>
    <t xml:space="preserve">CONVENIENCIA V10</t>
  </si>
  <si>
    <t xml:space="preserve">MERCADO PROGRESSO LTDA</t>
  </si>
  <si>
    <t xml:space="preserve">GABRIELE MACEDO SILVA</t>
  </si>
  <si>
    <t xml:space="preserve">MERCADO FRUTARIA E GAS DO BELLO LTDA</t>
  </si>
  <si>
    <t xml:space="preserve">JUAREZ GODOY LOUREIRO JUNIOR</t>
  </si>
  <si>
    <t xml:space="preserve">CASA DE CARNE E MERCADO BOI GORDO LTDA  </t>
  </si>
  <si>
    <t xml:space="preserve">CASA DE CARNE E MERCADO BOI GORDO</t>
  </si>
  <si>
    <t xml:space="preserve">SILVIA EUGENIA ESCOBAR APAZA LTDA</t>
  </si>
  <si>
    <t xml:space="preserve">COMERCIAL SILVIA ESCOBAR</t>
  </si>
  <si>
    <t xml:space="preserve">MANINHO CONVENIENCIA E DIST LTDA</t>
  </si>
  <si>
    <t xml:space="preserve">MANINHO BERR</t>
  </si>
  <si>
    <t xml:space="preserve">V LUNARDELLO DA SILVA LTDA</t>
  </si>
  <si>
    <t xml:space="preserve">ALEMAO SUPERMERCADO</t>
  </si>
  <si>
    <t xml:space="preserve">CELMA ANTUNES SOUSA</t>
  </si>
  <si>
    <t xml:space="preserve">ERIKA FERREIRA SOUZA</t>
  </si>
  <si>
    <t xml:space="preserve">SORVETERIA SABOR GELADO</t>
  </si>
  <si>
    <t xml:space="preserve">EDMILSON MARQUES CHARAO JUNIOR</t>
  </si>
  <si>
    <t xml:space="preserve">MERCADO CHARAO</t>
  </si>
  <si>
    <t xml:space="preserve">MERCADO E CONVENIENCIA RK LTDA</t>
  </si>
  <si>
    <t xml:space="preserve">RK CONVENIENCIA</t>
  </si>
  <si>
    <t xml:space="preserve">CK MERCEARIA E CONVENIENCIA LTDA</t>
  </si>
  <si>
    <t xml:space="preserve">M SOUZA DE ARAUJO LTDA</t>
  </si>
  <si>
    <t xml:space="preserve">REDE BEM DROGARIA LTDA</t>
  </si>
  <si>
    <t xml:space="preserve">REDE BEM</t>
  </si>
  <si>
    <t xml:space="preserve">A E F DOS SANTOS CASA DE CARNES</t>
  </si>
  <si>
    <t xml:space="preserve">LISAM CASA DE CARNE E MERCEARI</t>
  </si>
  <si>
    <t xml:space="preserve">CANDIA E CARDOSO COM DE ALIMENTOS LTDA  </t>
  </si>
  <si>
    <t xml:space="preserve">CANDIA E CARDOSO</t>
  </si>
  <si>
    <t xml:space="preserve">COMERCIAL RIOS</t>
  </si>
  <si>
    <t xml:space="preserve">RESTAURANTE UNIAO  DE BATAGUASSU LTDA</t>
  </si>
  <si>
    <t xml:space="preserve">SILVIO CESAR PEREIRA DE JESUS</t>
  </si>
  <si>
    <t xml:space="preserve">MINI MERCADO TUTI 2</t>
  </si>
  <si>
    <t xml:space="preserve">MD CASA DE CARNE E CONVENIENCIA LTDA</t>
  </si>
  <si>
    <t xml:space="preserve">MD CASA DE CARNE</t>
  </si>
  <si>
    <t xml:space="preserve">MATHEUS GIMENES PEREIRA</t>
  </si>
  <si>
    <t xml:space="preserve">MERCADO CASA NOSTRA</t>
  </si>
  <si>
    <t xml:space="preserve">NUNES EXPRESS VENDA LTDA</t>
  </si>
  <si>
    <t xml:space="preserve">GO EXPRESS</t>
  </si>
  <si>
    <t xml:space="preserve">JOSE AUBISMA LIMA</t>
  </si>
  <si>
    <t xml:space="preserve">SUPERMERCADO MARIANO LTDA</t>
  </si>
  <si>
    <t xml:space="preserve">MINI MERCADO FREITAS LTDA</t>
  </si>
  <si>
    <t xml:space="preserve">COMERCIO VAREGISTA DE MERCADOR</t>
  </si>
  <si>
    <t xml:space="preserve">DISTRIBUIDORA DE BEBIDAS E ALIMENTOS ALV</t>
  </si>
  <si>
    <t xml:space="preserve">N.P DA SILVA &amp; CIA LTDA</t>
  </si>
  <si>
    <t xml:space="preserve">BRAZ COSTA SANTIAGO</t>
  </si>
  <si>
    <t xml:space="preserve">ANIMALLE</t>
  </si>
  <si>
    <t xml:space="preserve">CIA LECO DE POD ALIMENTICIOS</t>
  </si>
  <si>
    <t xml:space="preserve">LECO</t>
  </si>
  <si>
    <t xml:space="preserve">ABNER LUIZ LIMA MARINHO LTDA</t>
  </si>
  <si>
    <t xml:space="preserve">NEVADA</t>
  </si>
  <si>
    <t xml:space="preserve">CARGILL AGRICOLA SA</t>
  </si>
  <si>
    <t xml:space="preserve">CARGILL</t>
  </si>
  <si>
    <t xml:space="preserve">CAUA RODRIGUES DIAS</t>
  </si>
  <si>
    <t xml:space="preserve">CAUA PET SHOP</t>
  </si>
  <si>
    <t xml:space="preserve">RAIMUNDO NONATO FERNANDES LIM</t>
  </si>
  <si>
    <t xml:space="preserve">LUCIMARA LEITE JUSTINO DE SOUZA</t>
  </si>
  <si>
    <t xml:space="preserve">EMPRESA DE TRANSPORTES ATLAS LTDA</t>
  </si>
  <si>
    <t xml:space="preserve">TRANSP ATLAS</t>
  </si>
  <si>
    <t xml:space="preserve">N E RAMOS MAMANI</t>
  </si>
  <si>
    <t xml:space="preserve">COMERCIAL NELSON</t>
  </si>
  <si>
    <t xml:space="preserve">J E T FARMACIA LTDA</t>
  </si>
  <si>
    <t xml:space="preserve">CONSULTE FARMA</t>
  </si>
  <si>
    <t xml:space="preserve">ORLANDO PEDRO GALICIANI</t>
  </si>
  <si>
    <t xml:space="preserve">DML COMERCIO DE ALIMENTOS LTDA</t>
  </si>
  <si>
    <t xml:space="preserve">60.759.913 REGINALDO FIGUEIREDO DA SILVA</t>
  </si>
  <si>
    <t xml:space="preserve">L K M ALENCAR LTDA</t>
  </si>
  <si>
    <t xml:space="preserve">CENTRO OESTE MERCADO E CONVENIENCIA</t>
  </si>
  <si>
    <t xml:space="preserve">INSTITUICAO ADVENTISTA C B ED A SOCIAL  </t>
  </si>
  <si>
    <t xml:space="preserve">HOSPITAL DO PENFIGO</t>
  </si>
  <si>
    <t xml:space="preserve">NV CONVENIENCIA LTDA</t>
  </si>
  <si>
    <t xml:space="preserve">NV CONVENIENCIA</t>
  </si>
  <si>
    <t xml:space="preserve">EDUARDO W. S. FLORES</t>
  </si>
  <si>
    <t xml:space="preserve">SUPERMERCADO PEROLA 2</t>
  </si>
  <si>
    <t xml:space="preserve">AB BRASIL IND COM ALIMENTOS LTDA</t>
  </si>
  <si>
    <t xml:space="preserve">PEDERNEIRAS</t>
  </si>
  <si>
    <t xml:space="preserve">AB BRASIL</t>
  </si>
  <si>
    <t xml:space="preserve">ZE RACOES LTDA</t>
  </si>
  <si>
    <t xml:space="preserve">SOLYMP PRODUTOS E SERVICOS LTDA</t>
  </si>
  <si>
    <t xml:space="preserve">SOLYMP PRODUTOS DE LIMPEZA</t>
  </si>
  <si>
    <t xml:space="preserve">DAIANA PILOTTI GRABNER</t>
  </si>
  <si>
    <t xml:space="preserve">AGRO BEER CONVENIENCIA</t>
  </si>
  <si>
    <t xml:space="preserve">UNILEVER DO BRASIL LTDA</t>
  </si>
  <si>
    <t xml:space="preserve">UNILEVER BRASIL LTDA</t>
  </si>
  <si>
    <t xml:space="preserve">UNILEVER DO BRASIL - P</t>
  </si>
  <si>
    <t xml:space="preserve">LUCIANA BARBOSA DIAS</t>
  </si>
  <si>
    <t xml:space="preserve">M SUELI MAGRO LTDA.</t>
  </si>
  <si>
    <t xml:space="preserve">MERCADO NAVA</t>
  </si>
  <si>
    <t xml:space="preserve">AGUIA COMERCIO DE ALIMENTOS LTDA</t>
  </si>
  <si>
    <t xml:space="preserve">AGUIA SUPERMERCADO</t>
  </si>
  <si>
    <t xml:space="preserve">AGUIA SUPERMERCADO 2</t>
  </si>
  <si>
    <t xml:space="preserve">SPAL INDUSTRIA BRASILEIRA DE BEBIDAS SA </t>
  </si>
  <si>
    <t xml:space="preserve">BARATAO SUPERMERCADO LTDA</t>
  </si>
  <si>
    <t xml:space="preserve">BARATAO SUPERMERCADO</t>
  </si>
  <si>
    <t xml:space="preserve">RESTAURANTE TERRAU LTDA</t>
  </si>
  <si>
    <t xml:space="preserve">CONV TERRAU LTDA</t>
  </si>
  <si>
    <t xml:space="preserve">JHENNYFER GODOY DE OLIVEIRA LTDA</t>
  </si>
  <si>
    <t xml:space="preserve">MERCADO BRAVOS</t>
  </si>
  <si>
    <t xml:space="preserve">E ELISIO TEIXEIRA</t>
  </si>
  <si>
    <t xml:space="preserve">CONVENIENCIA EXPRESS 67 LTDA</t>
  </si>
  <si>
    <t xml:space="preserve">CONVENIENCIA EXPRESS 67</t>
  </si>
  <si>
    <t xml:space="preserve">61.400.995 VALDEMIR SENA</t>
  </si>
  <si>
    <t xml:space="preserve">VALDEMIR SENA</t>
  </si>
  <si>
    <t xml:space="preserve">MERCADO IPANEMA LTDA</t>
  </si>
  <si>
    <t xml:space="preserve">VICTORIA SILVA DE PAULA</t>
  </si>
  <si>
    <t xml:space="preserve">61.673.191 NORBERTO DE ALMEIDA</t>
  </si>
  <si>
    <t xml:space="preserve">NORBERTO DE ALMEIDA</t>
  </si>
  <si>
    <t xml:space="preserve">G BERNARDES CORREA DA SILVA LTDA</t>
  </si>
  <si>
    <t xml:space="preserve">CARRAPATEIRA SUPERMERCADO LTDA</t>
  </si>
  <si>
    <t xml:space="preserve">RESTAURANTE TERRAU SIDROLANDIA LTDA</t>
  </si>
  <si>
    <t xml:space="preserve">RESTAURANTE TERRAU SIDROLANDIA</t>
  </si>
  <si>
    <t xml:space="preserve">SUPERMERCADO AMERICA LTDA</t>
  </si>
  <si>
    <t xml:space="preserve">CENTRAL DA CERVEJA E ALIMENTOS LTDA</t>
  </si>
  <si>
    <t xml:space="preserve">CENTRAL DA CERVEJA</t>
  </si>
  <si>
    <t xml:space="preserve">DP COMERCIO DE CARNE E ALIMENTOS LTDA</t>
  </si>
  <si>
    <t xml:space="preserve">MERCADO ABBA</t>
  </si>
  <si>
    <t xml:space="preserve">M M PENTEADO MERCADO LTDA</t>
  </si>
  <si>
    <t xml:space="preserve">MERCADO TOP</t>
  </si>
  <si>
    <t xml:space="preserve">JOSE LEANDRO DOS SANTOS</t>
  </si>
  <si>
    <t xml:space="preserve">JOSE LEANDRO DOS SANT</t>
  </si>
  <si>
    <t xml:space="preserve">P S COMERCIO E SERVICOS FARMACEUTICOS LT</t>
  </si>
  <si>
    <t xml:space="preserve">DROGARIAS MAXI POPULAR</t>
  </si>
  <si>
    <t xml:space="preserve">JENISVALDO RODR8GUES DA SILVA</t>
  </si>
  <si>
    <t xml:space="preserve">PARAIBA CONVENIENCIA</t>
  </si>
  <si>
    <t xml:space="preserve">62.386.670 LUAN MENESES CARVALHO</t>
  </si>
  <si>
    <t xml:space="preserve">LUAN MENESES CARVALHO</t>
  </si>
  <si>
    <t xml:space="preserve">COMERCIAL DE ALIMENTOS CARREFOUR S/A</t>
  </si>
  <si>
    <t xml:space="preserve">CARREFOUR</t>
  </si>
  <si>
    <t xml:space="preserve">LAURA SUZANA BRITO BARBERY</t>
  </si>
  <si>
    <t xml:space="preserve">RACOES PATAS E PELOS</t>
  </si>
  <si>
    <t xml:space="preserve">THAYNARA LOPES FERREIRA RIBEIRO LTDA</t>
  </si>
  <si>
    <t xml:space="preserve">PAULO CESAR SHINOHARA DE ALMEIDA FILHO L</t>
  </si>
  <si>
    <t xml:space="preserve">MONALYZA NUNES MACHADO SOARES</t>
  </si>
  <si>
    <t xml:space="preserve">PET SHOP DIAS LTDA</t>
  </si>
  <si>
    <t xml:space="preserve">PETSHOP DIAS</t>
  </si>
  <si>
    <t xml:space="preserve">ALTEMIRE DA SILVA BATISTA</t>
  </si>
  <si>
    <t xml:space="preserve">SHOPPING PET PARANAIBA LTDA</t>
  </si>
  <si>
    <t xml:space="preserve">PET SHOPPING PARANAIBA</t>
  </si>
  <si>
    <t xml:space="preserve">J. ORTIZ DE CAMARGO LTDA</t>
  </si>
  <si>
    <t xml:space="preserve">CONVENIENCIA E MERCADO DO JOCA</t>
  </si>
  <si>
    <t xml:space="preserve">LEVE FACIL</t>
  </si>
  <si>
    <t xml:space="preserve">MARANNI E MARQUES LTDA</t>
  </si>
  <si>
    <t xml:space="preserve">PIT STOP PARATI CONVENIENCIA</t>
  </si>
  <si>
    <t xml:space="preserve">FABIOLA SOLIZ HUARACHI</t>
  </si>
  <si>
    <t xml:space="preserve">MERCADO ERNESTINA</t>
  </si>
  <si>
    <t xml:space="preserve">KATIANA DE SOUZA MOREIRA</t>
  </si>
  <si>
    <t xml:space="preserve">DUCOCO ALIMENTOS S/A.</t>
  </si>
  <si>
    <t xml:space="preserve">LINHARES</t>
  </si>
  <si>
    <t xml:space="preserve">DU COCO AGRICOLA S.A.</t>
  </si>
  <si>
    <t xml:space="preserve">INGRID DOS SANTOS NASCIMENTO</t>
  </si>
  <si>
    <t xml:space="preserve">WANDERSON ALVES DA SILVA</t>
  </si>
  <si>
    <t xml:space="preserve">PEROLA ALIMENTOS LTDA</t>
  </si>
  <si>
    <t xml:space="preserve">PEROLA SUPERMERCADO</t>
  </si>
  <si>
    <t xml:space="preserve">MARS DISTRIBUIDORA LTDA</t>
  </si>
  <si>
    <t xml:space="preserve">EXTREMA</t>
  </si>
  <si>
    <t xml:space="preserve">S P ANEZ DO NASCIMENTO CHALEGA LTDA</t>
  </si>
  <si>
    <t xml:space="preserve">NOVIDADE IN PET</t>
  </si>
  <si>
    <t xml:space="preserve">MARIA EDUARDA OLIVEIRA PUCENA</t>
  </si>
  <si>
    <t xml:space="preserve">COMERCIO DE BEBIDAS E CONVENIENCIA CRV L</t>
  </si>
  <si>
    <t xml:space="preserve">MARISA RODRIGUES ALVES</t>
  </si>
  <si>
    <t xml:space="preserve">ANTONIO ALVES ROCHA LTDA</t>
  </si>
  <si>
    <t xml:space="preserve">PADARIA ALVES PAN</t>
  </si>
  <si>
    <t xml:space="preserve">CAMIL ALIMENTOS S.A.</t>
  </si>
  <si>
    <t xml:space="preserve">NAVEGANTES</t>
  </si>
  <si>
    <t xml:space="preserve">CAMIL ALIMENTOS</t>
  </si>
  <si>
    <t xml:space="preserve">VITORIA RODRIGUES AZAMBUJA</t>
  </si>
  <si>
    <t xml:space="preserve">T OBAL SANCHES JUNIOR LTDA</t>
  </si>
  <si>
    <t xml:space="preserve">COMERCIAL A R RESTAURANTES LTDA</t>
  </si>
  <si>
    <t xml:space="preserve">RESTAURANTE DA ANDORINHA</t>
  </si>
  <si>
    <t xml:space="preserve">CW BAR E RESTAURANTE LTDA</t>
  </si>
  <si>
    <t xml:space="preserve">SUPERMERCADO ESSENCIAL LTDA</t>
  </si>
  <si>
    <t xml:space="preserve">MERCADO ESSENCIAL</t>
  </si>
  <si>
    <t xml:space="preserve">EDER SANTANA DE MORAIS</t>
  </si>
  <si>
    <t xml:space="preserve">MINI MERCADO ROUXINOIS</t>
  </si>
  <si>
    <t xml:space="preserve">A CAROLINA RACHID CARNEIRO LEAO E LOPES </t>
  </si>
  <si>
    <t xml:space="preserve">O FRANGAO MERCADO</t>
  </si>
  <si>
    <t xml:space="preserve">LUIZ CARLOS ALVES ANDRADINA</t>
  </si>
  <si>
    <t xml:space="preserve">JOAO VITOR M. CAETANO</t>
  </si>
  <si>
    <t xml:space="preserve">SANTOS CONVENIENCIA E MERCEARIA LTDA</t>
  </si>
  <si>
    <t xml:space="preserve">PRIME CONVENIENCIA E MERCEARIA</t>
  </si>
  <si>
    <t xml:space="preserve">HUDSON RIBAS DE OLIVEIRA</t>
  </si>
  <si>
    <t xml:space="preserve">JANINE RODRIGUES VAIS MORAES</t>
  </si>
  <si>
    <t xml:space="preserve">SUPERMERCADO DA FAMILIA LTDA</t>
  </si>
  <si>
    <t xml:space="preserve">PADOVAN VILELA COMERCIO DE BEBIDAS LTDA </t>
  </si>
  <si>
    <t xml:space="preserve">V8 SERVE FESTA E DELIVERY</t>
  </si>
  <si>
    <t xml:space="preserve">JOAO PEDRO SILVA SOARES</t>
  </si>
  <si>
    <t xml:space="preserve">DOM SOARES SUPERMERCADO</t>
  </si>
  <si>
    <t xml:space="preserve">HENRIQUE VERANEZA</t>
  </si>
  <si>
    <t xml:space="preserve">JUND PESCA</t>
  </si>
  <si>
    <t xml:space="preserve">EMBALATEC INDUSTRIAL LTDA</t>
  </si>
  <si>
    <t xml:space="preserve">MOGI GUACU</t>
  </si>
  <si>
    <t xml:space="preserve">LUIS PEDRO NASSAR SCALISE</t>
  </si>
  <si>
    <t xml:space="preserve">BAR PELE VERMELHA</t>
  </si>
  <si>
    <t xml:space="preserve">BAR E MERCEARIA BASSO LTDA</t>
  </si>
  <si>
    <t xml:space="preserve">BAR E MERCEARIA BASSO</t>
  </si>
  <si>
    <t xml:space="preserve">MERCADO PANIF JATEI</t>
  </si>
  <si>
    <t xml:space="preserve">MIRO COMERCIO REPRESENTACAO LTDA</t>
  </si>
  <si>
    <t xml:space="preserve">COMERCIO MIRO</t>
  </si>
  <si>
    <t xml:space="preserve">OSMAR SANCHES SILVA</t>
  </si>
  <si>
    <t xml:space="preserve">NOVO MUNDO MATERIAIS PARA CONS</t>
  </si>
  <si>
    <t xml:space="preserve">COOPERATIVA AGROPECUARIA SAO GABRIEL DO </t>
  </si>
  <si>
    <t xml:space="preserve">SUPER COOASGO RV</t>
  </si>
  <si>
    <t xml:space="preserve">COOP AGROP SAO GABRIEL DO OESTE COOASGO </t>
  </si>
  <si>
    <t xml:space="preserve">COOP AGROP SAO GABRIEL DO OESTE COOASCO </t>
  </si>
  <si>
    <t xml:space="preserve">DALLE GRAVE E MARIOTTI LTDA EPP</t>
  </si>
  <si>
    <t xml:space="preserve">PRISMA COSMETICOS</t>
  </si>
  <si>
    <t xml:space="preserve">DALLE GRAVE E MARIOTTI LTDA</t>
  </si>
  <si>
    <t xml:space="preserve">MERCADO DOMINGUES LTDA</t>
  </si>
  <si>
    <t xml:space="preserve">LEILA PEREIRA BARROS</t>
  </si>
  <si>
    <t xml:space="preserve">SYDNEI CAMARA VIEIRA</t>
  </si>
  <si>
    <t xml:space="preserve">GIANCARLO CASARIN</t>
  </si>
  <si>
    <t xml:space="preserve">CAFE BREAK</t>
  </si>
  <si>
    <t xml:space="preserve">H DOIS COMERCIO ALIMENTOS LTDA</t>
  </si>
  <si>
    <t xml:space="preserve">JC DA SILVA MERCEARIA</t>
  </si>
  <si>
    <t xml:space="preserve">MERCEARIA SANTA CARMINHA</t>
  </si>
  <si>
    <t xml:space="preserve">JOSE ALVES DOS ANJOS MERCEARIA</t>
  </si>
  <si>
    <t xml:space="preserve">PAULO JOSE DOS SANTOS</t>
  </si>
  <si>
    <t xml:space="preserve">AGROPECUARIA CANAA</t>
  </si>
  <si>
    <t xml:space="preserve">EDEGAR ALMEIDA REZENDE E CIA LTDA</t>
  </si>
  <si>
    <t xml:space="preserve">FARMACIA KAPITAL</t>
  </si>
  <si>
    <t xml:space="preserve">MARCELO QUEIROZ DE SOUSA</t>
  </si>
  <si>
    <t xml:space="preserve">CANDIDO E PINTO LTDA</t>
  </si>
  <si>
    <t xml:space="preserve">JOVANI E JOVANI LTDA ME</t>
  </si>
  <si>
    <t xml:space="preserve">ELIANE PEREIRA MENDONCA SANCHES</t>
  </si>
  <si>
    <t xml:space="preserve">MERCEARIA RIO NEGRO</t>
  </si>
  <si>
    <t xml:space="preserve">CIRURGICA FRANCOMED LTDA</t>
  </si>
  <si>
    <t xml:space="preserve">CIRURGICA FRANCOMED</t>
  </si>
  <si>
    <t xml:space="preserve">ARQUIMEDES FURTADO DA SILVA</t>
  </si>
  <si>
    <t xml:space="preserve">SUPERMERCADO FERPADI LTDA</t>
  </si>
  <si>
    <t xml:space="preserve">CASA 2 IRMAOS</t>
  </si>
  <si>
    <t xml:space="preserve">MERCADO VIRISSIMO LTDA</t>
  </si>
  <si>
    <t xml:space="preserve">MERCADO VERISSIMO</t>
  </si>
  <si>
    <t xml:space="preserve">LUCELIA DE SOUZA</t>
  </si>
  <si>
    <t xml:space="preserve">PANIFICADO MARACANA</t>
  </si>
  <si>
    <t xml:space="preserve">SUPERMERCADO REGENTAO LTDA</t>
  </si>
  <si>
    <t xml:space="preserve">SM REGENTAO</t>
  </si>
  <si>
    <t xml:space="preserve">LUIZ CARLOS DA SILVA RESTAURANTE</t>
  </si>
  <si>
    <t xml:space="preserve">ESPETOS SAO LUIZ</t>
  </si>
  <si>
    <t xml:space="preserve">ELIAS LONGO</t>
  </si>
  <si>
    <t xml:space="preserve">EDIVIM GRUTKA RABEL</t>
  </si>
  <si>
    <t xml:space="preserve">BOM GOSTO COM DE ALIMENTOS LTDA</t>
  </si>
  <si>
    <t xml:space="preserve">PROLIMP PROT LIMP ESTOF LTDA</t>
  </si>
  <si>
    <t xml:space="preserve">PROLIMP</t>
  </si>
  <si>
    <t xml:space="preserve">SALATTA E SUGANO LTDA</t>
  </si>
  <si>
    <t xml:space="preserve">FRUTELLI COM DE FRUTAS E LEG</t>
  </si>
  <si>
    <t xml:space="preserve">MAURO DELEVATTI</t>
  </si>
  <si>
    <t xml:space="preserve">PANIFICADORA PAO FRANCES LTDA</t>
  </si>
  <si>
    <t xml:space="preserve">PANIFICADORA PAO FRANCES</t>
  </si>
  <si>
    <t xml:space="preserve">A S SOUZA E CIA LTDA</t>
  </si>
  <si>
    <t xml:space="preserve">MERCADINHO CHIKREN</t>
  </si>
  <si>
    <t xml:space="preserve">PANIFICADORA E CONFEITARIA CABOCLA LTDA </t>
  </si>
  <si>
    <t xml:space="preserve">PANF MANACIAL</t>
  </si>
  <si>
    <t xml:space="preserve">SERPA E SERPA LTDA</t>
  </si>
  <si>
    <t xml:space="preserve">SERPA DIST CONV</t>
  </si>
  <si>
    <t xml:space="preserve">F V MOTA E CIA LTDA</t>
  </si>
  <si>
    <t xml:space="preserve">NELI MARTINS GONZALEZ GIL</t>
  </si>
  <si>
    <t xml:space="preserve">MEREIRA E GALO LTDA EPP</t>
  </si>
  <si>
    <t xml:space="preserve">SEMENTES MOREIRA</t>
  </si>
  <si>
    <t xml:space="preserve">JOAO LUIZ BUENO</t>
  </si>
  <si>
    <t xml:space="preserve">PALLADAR RESTAURANTE E HOTEL</t>
  </si>
  <si>
    <t xml:space="preserve">SANTOS E STEIMER LTDA</t>
  </si>
  <si>
    <t xml:space="preserve">BALLET ISADORA DUCAN</t>
  </si>
  <si>
    <t xml:space="preserve">PANIF BREAD'S PALACE LTDA</t>
  </si>
  <si>
    <t xml:space="preserve">PANIFICADORA BREAD'S PALACE</t>
  </si>
  <si>
    <t xml:space="preserve">ARNALDO SATURNINO SILVA</t>
  </si>
  <si>
    <t xml:space="preserve">PERALTA E ECHEVERRIA COM ALIMENTOS LTDA </t>
  </si>
  <si>
    <t xml:space="preserve">GASTAO E KILO</t>
  </si>
  <si>
    <t xml:space="preserve">ROCHA FORTE COMERCIO DE ALIMENTOS LTDA  </t>
  </si>
  <si>
    <t xml:space="preserve">HIGASHI E CIA LTDA</t>
  </si>
  <si>
    <t xml:space="preserve">HELENA ROSANE BERGAMO SILVA</t>
  </si>
  <si>
    <t xml:space="preserve">PIZZARIA SENZALA</t>
  </si>
  <si>
    <t xml:space="preserve">HELTON COLOMBO E CIA LTDA EPP</t>
  </si>
  <si>
    <t xml:space="preserve">REST COLOMBO</t>
  </si>
  <si>
    <t xml:space="preserve">IRMAOS MUNIZ LTDA</t>
  </si>
  <si>
    <t xml:space="preserve">IRMAOS MUNIZ</t>
  </si>
  <si>
    <t xml:space="preserve">GUIMARAES E TOMITAO LTDA</t>
  </si>
  <si>
    <t xml:space="preserve">PAO GOSTOSO PAD.E CONFEITARIA</t>
  </si>
  <si>
    <t xml:space="preserve">WALDINEY VIEIRA DOS SANTOS</t>
  </si>
  <si>
    <t xml:space="preserve">FRUT.DA CIDA</t>
  </si>
  <si>
    <t xml:space="preserve">S 3 COMERCIO PRODUTOS ALIMENTICIOS LTDA </t>
  </si>
  <si>
    <t xml:space="preserve">S3</t>
  </si>
  <si>
    <t xml:space="preserve">VISAGIS S. A. IND ALIMENTICIAS</t>
  </si>
  <si>
    <t xml:space="preserve">ITAPEVI</t>
  </si>
  <si>
    <t xml:space="preserve">VISAGIS</t>
  </si>
  <si>
    <t xml:space="preserve">FEISCHMANN</t>
  </si>
  <si>
    <t xml:space="preserve">J.MACEDO S.A.</t>
  </si>
  <si>
    <t xml:space="preserve">DONA BENTA</t>
  </si>
  <si>
    <t xml:space="preserve">J.MACEDO S.A</t>
  </si>
  <si>
    <t xml:space="preserve">JOSE CARLOS MILANEZI E CIA LTDA</t>
  </si>
  <si>
    <t xml:space="preserve">APARECIDO VICENTE DA SILVA</t>
  </si>
  <si>
    <t xml:space="preserve">SACOLAO IDEAL</t>
  </si>
  <si>
    <t xml:space="preserve">NASSER SAFA AHMAD</t>
  </si>
  <si>
    <t xml:space="preserve">SUPERMERCADO LUMARU LTDA</t>
  </si>
  <si>
    <t xml:space="preserve">CAFE BEBE BEM LTDA</t>
  </si>
  <si>
    <t xml:space="preserve">CAFE AGRICULTOR</t>
  </si>
  <si>
    <t xml:space="preserve">PANIF E CONF GOBBI HOFFMANN LTDA</t>
  </si>
  <si>
    <t xml:space="preserve">PAO MORENO</t>
  </si>
  <si>
    <t xml:space="preserve">INACIO E BARBOSA LTDA</t>
  </si>
  <si>
    <t xml:space="preserve">SM BRASILEIRO</t>
  </si>
  <si>
    <t xml:space="preserve">RODO PIZZA LTDA</t>
  </si>
  <si>
    <t xml:space="preserve">RODO PIZZA</t>
  </si>
  <si>
    <t xml:space="preserve">MERCEARIA FRUTARIA CRUZALTENSE LTDA</t>
  </si>
  <si>
    <t xml:space="preserve">REGINA APARECIDA RAMOS DE PAULA</t>
  </si>
  <si>
    <t xml:space="preserve">J S AMORIM GENEROS ALIMENTICIOS</t>
  </si>
  <si>
    <t xml:space="preserve">MERCEARIA E AUTO EL AMORIM</t>
  </si>
  <si>
    <t xml:space="preserve">CLINICA VET CENTRO OESTE CENTRO ADEST LT</t>
  </si>
  <si>
    <t xml:space="preserve">CLINICA VETERINARIA CENTRO OESTE</t>
  </si>
  <si>
    <t xml:space="preserve">LUZ E SLAVEC LTDA</t>
  </si>
  <si>
    <t xml:space="preserve">FARMACIA NOSSA SENHORA DA SAUDE</t>
  </si>
  <si>
    <t xml:space="preserve">SAUDE MAIS ECONOMIA</t>
  </si>
  <si>
    <t xml:space="preserve">GILMAR PEREIRA DE ALMEIDA E CIA LTDA</t>
  </si>
  <si>
    <t xml:space="preserve">GELASIUS</t>
  </si>
  <si>
    <t xml:space="preserve">SOZZI E COSTA LTDA</t>
  </si>
  <si>
    <t xml:space="preserve">KOPROWSKI E KOPROWSKI LTDA</t>
  </si>
  <si>
    <t xml:space="preserve">COMERCIAL KARIMA II</t>
  </si>
  <si>
    <t xml:space="preserve">RODRIGUES E RODRIGUES LTDA</t>
  </si>
  <si>
    <t xml:space="preserve">ADEMIR ANTONIO BARELLA</t>
  </si>
  <si>
    <t xml:space="preserve">MERCEARIA E ACOUGUE VITORIA</t>
  </si>
  <si>
    <t xml:space="preserve">ACOUGUE E MERC BELEM</t>
  </si>
  <si>
    <t xml:space="preserve">SIND DOS TRAB AREAS DE ENFERMAGEM MS</t>
  </si>
  <si>
    <t xml:space="preserve">SIEMS</t>
  </si>
  <si>
    <t xml:space="preserve">PANIFICADORA DOCE MAGIA LTDA</t>
  </si>
  <si>
    <t xml:space="preserve">PANIFICADORA DOCE MAGIA</t>
  </si>
  <si>
    <t xml:space="preserve">SILVA E ALBA LTDA</t>
  </si>
  <si>
    <t xml:space="preserve">MERCADO ALBA</t>
  </si>
  <si>
    <t xml:space="preserve">OPCAO LIVRARIA E PAPELARIA LTDA</t>
  </si>
  <si>
    <t xml:space="preserve">REGINA FRANCISCA DIAS</t>
  </si>
  <si>
    <t xml:space="preserve">MERCADINHO DIAS</t>
  </si>
  <si>
    <t xml:space="preserve">JOAO CARDOSO PEREIRA</t>
  </si>
  <si>
    <t xml:space="preserve">SORVETERIA LM LTDA</t>
  </si>
  <si>
    <t xml:space="preserve">SORVETERIA LM</t>
  </si>
  <si>
    <t xml:space="preserve">NILZA DE SOUZA</t>
  </si>
  <si>
    <t xml:space="preserve">GILBERTO MARTINS DORNELES</t>
  </si>
  <si>
    <t xml:space="preserve">MARLENE SANTOS FALCAO</t>
  </si>
  <si>
    <t xml:space="preserve">FRIGAO DISTR COM E REPR DE FRIOS LTDA</t>
  </si>
  <si>
    <t xml:space="preserve">LANCHONETE HELIOS</t>
  </si>
  <si>
    <t xml:space="preserve">MASSER MEDICAMENTOS E PERFUMARIA LTDA</t>
  </si>
  <si>
    <t xml:space="preserve">APARECIDA PAREDES AMARILHA DE MEDEIROS  </t>
  </si>
  <si>
    <t xml:space="preserve">BAR LANCHONETE DO PONTO LTDA</t>
  </si>
  <si>
    <t xml:space="preserve">LANCHONETE</t>
  </si>
  <si>
    <t xml:space="preserve">LUIZ CARLOS PERRES</t>
  </si>
  <si>
    <t xml:space="preserve">COM E DIST DE BEBIDAS CONFIANCA LTDA</t>
  </si>
  <si>
    <t xml:space="preserve">COMERCIAL E DIST BEBIDAS CONFIANCA LTDA </t>
  </si>
  <si>
    <t xml:space="preserve">DISTRIBUIDORA CONFIANCA</t>
  </si>
  <si>
    <t xml:space="preserve">NEIVA ZULMIRA THEODORO</t>
  </si>
  <si>
    <t xml:space="preserve">NOSSO HOTEL</t>
  </si>
  <si>
    <t xml:space="preserve">COMERCIO DE CEREAIS PANOFF LTDA</t>
  </si>
  <si>
    <t xml:space="preserve">SUPERMERCADO PANOFF</t>
  </si>
  <si>
    <t xml:space="preserve">PANOFF CENTER</t>
  </si>
  <si>
    <t xml:space="preserve">GRIMALDO BORGES DE FREITAS</t>
  </si>
  <si>
    <t xml:space="preserve">DROGARIA UNIFARMA</t>
  </si>
  <si>
    <t xml:space="preserve">KLESZCZ RANGHETTI E CIA LTDA</t>
  </si>
  <si>
    <t xml:space="preserve">SIDINEY RODRIGUES BOTURA</t>
  </si>
  <si>
    <t xml:space="preserve">DROGARIA SAO LOURENCO LTDA</t>
  </si>
  <si>
    <t xml:space="preserve">DROGARIA IRMAOS MARTINS</t>
  </si>
  <si>
    <t xml:space="preserve">CENTER VIDEO LTDA - E</t>
  </si>
  <si>
    <t xml:space="preserve">CENTER VIDEO</t>
  </si>
  <si>
    <t xml:space="preserve">COMERCIAL PELICANO DE ALIMENTOS LTDA</t>
  </si>
  <si>
    <t xml:space="preserve">RR NOGUEIRA COMERCIO REPRESENTACOES LTDA</t>
  </si>
  <si>
    <t xml:space="preserve">PANIF E CONV DOM GERALDO</t>
  </si>
  <si>
    <t xml:space="preserve">TRIUNFANTE PARANA ALIMENTOS LTDA</t>
  </si>
  <si>
    <t xml:space="preserve">TRIUNFANTE PINHAIS</t>
  </si>
  <si>
    <t xml:space="preserve">CELEIRO PROD AGROP LTDA</t>
  </si>
  <si>
    <t xml:space="preserve">JOSE FERREIRA SANTANA</t>
  </si>
  <si>
    <t xml:space="preserve">INST BARUKI DE EDUCACAO E CULTURA LTDA  </t>
  </si>
  <si>
    <t xml:space="preserve">COLEGIO OBJETIVO</t>
  </si>
  <si>
    <t xml:space="preserve">KL CONVENIENCIA E FRIOS LTDA</t>
  </si>
  <si>
    <t xml:space="preserve">ACOUGUE MERCEARIA RIO GRANDE LTDA</t>
  </si>
  <si>
    <t xml:space="preserve">ACOUG E MERC RIO G DO SUL</t>
  </si>
  <si>
    <t xml:space="preserve">J S FERREIRA E CIA LTDA</t>
  </si>
  <si>
    <t xml:space="preserve">EURIPEDES KAZUKO GRAUTH</t>
  </si>
  <si>
    <t xml:space="preserve">BOM JESUS DISTRIBUICAO E LOGISTICA LTDA </t>
  </si>
  <si>
    <t xml:space="preserve">ATACADO BOM JESUS</t>
  </si>
  <si>
    <t xml:space="preserve">LUZIA MAIDANA DA ROCHA</t>
  </si>
  <si>
    <t xml:space="preserve">IVANIL FIGUEIREDO RAIMUNDO</t>
  </si>
  <si>
    <t xml:space="preserve">IVANIL REPRESENTACAO</t>
  </si>
  <si>
    <t xml:space="preserve">JOARI FERREIRA BARBOSA</t>
  </si>
  <si>
    <t xml:space="preserve">KASULKE AGRO IND. E COMERCIO LTDA</t>
  </si>
  <si>
    <t xml:space="preserve">KASULKE</t>
  </si>
  <si>
    <t xml:space="preserve">ANJOS HOFFMANN LTDA</t>
  </si>
  <si>
    <t xml:space="preserve">LANCH MARAVILHA</t>
  </si>
  <si>
    <t xml:space="preserve">MARIO APARECIDO DOS SANTOS</t>
  </si>
  <si>
    <t xml:space="preserve">M.C. CARNES</t>
  </si>
  <si>
    <t xml:space="preserve">ISHI E CIA LTDA</t>
  </si>
  <si>
    <t xml:space="preserve">PANIFICADORA PECORA</t>
  </si>
  <si>
    <t xml:space="preserve">BENASSI COM DE GEN ALIMENTICIOS LTDA</t>
  </si>
  <si>
    <t xml:space="preserve">SHOP</t>
  </si>
  <si>
    <t xml:space="preserve">F MORAGAS</t>
  </si>
  <si>
    <t xml:space="preserve">COMERCIO DE COMBUSTIVEIS NORBEOIL LTDA  </t>
  </si>
  <si>
    <t xml:space="preserve">PANIF.IMACULADA CONCEICAO</t>
  </si>
  <si>
    <t xml:space="preserve">GIVANILDE MORAES DOS SANTOS</t>
  </si>
  <si>
    <t xml:space="preserve">MORENA MEL MODAS</t>
  </si>
  <si>
    <t xml:space="preserve">J F FERNANDES</t>
  </si>
  <si>
    <t xml:space="preserve">CANTINA DO 47 BJ</t>
  </si>
  <si>
    <t xml:space="preserve">SUPERMERCADO SERRANO LTDA</t>
  </si>
  <si>
    <t xml:space="preserve">SUPERMERCADO SERRANO</t>
  </si>
  <si>
    <t xml:space="preserve">INDUSTRIA DE MOVEIS SERRA NEGRA LTDA</t>
  </si>
  <si>
    <t xml:space="preserve">PORTAL ITATIBA</t>
  </si>
  <si>
    <t xml:space="preserve">MELO E GRANJA LTDA</t>
  </si>
  <si>
    <t xml:space="preserve">MARIA JUDITE NEVES DA SILVA</t>
  </si>
  <si>
    <t xml:space="preserve">CICERO AP.RODRIGUES DA COSTA</t>
  </si>
  <si>
    <t xml:space="preserve">ITAMARATY IND E COMERCIO S/A</t>
  </si>
  <si>
    <t xml:space="preserve">ROLANDIA</t>
  </si>
  <si>
    <t xml:space="preserve">ITAMARATY</t>
  </si>
  <si>
    <t xml:space="preserve">ATACADAO S.A</t>
  </si>
  <si>
    <t xml:space="preserve">REDE ATACADAO </t>
  </si>
  <si>
    <t xml:space="preserve">ATACADAO</t>
  </si>
  <si>
    <t xml:space="preserve">ATACADAO S A</t>
  </si>
  <si>
    <t xml:space="preserve">COOPERATIVA AGROINDUSTRIAL CONSOLATA</t>
  </si>
  <si>
    <t xml:space="preserve">COPACOL</t>
  </si>
  <si>
    <t xml:space="preserve">J S DE LIMA BEBIDAS</t>
  </si>
  <si>
    <t xml:space="preserve">COM DE BEBIDAS LIMA</t>
  </si>
  <si>
    <t xml:space="preserve">LEAO JUNIOR S A</t>
  </si>
  <si>
    <t xml:space="preserve">LEAO JUNIOR</t>
  </si>
  <si>
    <t xml:space="preserve">INST ADVENTISTA SUL BRAS EDUC ASSIST SOC</t>
  </si>
  <si>
    <t xml:space="preserve">PERLIN WANDERLEI LTDA</t>
  </si>
  <si>
    <t xml:space="preserve">RESTAURANTE 267</t>
  </si>
  <si>
    <t xml:space="preserve">EXCELER PLAZA HOTEL LTDA</t>
  </si>
  <si>
    <t xml:space="preserve">EXCELER PLAZA HOTEL</t>
  </si>
  <si>
    <t xml:space="preserve">C VALE COOPERATIVA AGROINDUSTRIAL</t>
  </si>
  <si>
    <t xml:space="preserve">C VALE</t>
  </si>
  <si>
    <t xml:space="preserve">C VALE  COOPERATIVA AGROINDUSTRIAL</t>
  </si>
  <si>
    <t xml:space="preserve">ALIMENTOS ZAELI LTDA</t>
  </si>
  <si>
    <t xml:space="preserve">MERCEARIA GUAPORE</t>
  </si>
  <si>
    <t xml:space="preserve">EXPRESSO MARINGA TRANS LTDA</t>
  </si>
  <si>
    <t xml:space="preserve">EXPRESSO MARINGA</t>
  </si>
  <si>
    <t xml:space="preserve">EXPRESSO MARINGA TRANSPORTES LTDA</t>
  </si>
  <si>
    <t xml:space="preserve">MARINGA TRANSPORTE</t>
  </si>
  <si>
    <t xml:space="preserve">PANIFICADORA E CONFEITARIA FLAMINGO EIRE</t>
  </si>
  <si>
    <t xml:space="preserve">PANIFICADORA FLAMINCO</t>
  </si>
  <si>
    <t xml:space="preserve">CELCIO HAAG</t>
  </si>
  <si>
    <t xml:space="preserve">MAURO ANTONIO PEREIRA FRANCO JUNIOR</t>
  </si>
  <si>
    <t xml:space="preserve">MERCEARIA RENACER</t>
  </si>
  <si>
    <t xml:space="preserve">TRIUNFANTE COM. DE ALIMENTOS LTDA</t>
  </si>
  <si>
    <t xml:space="preserve">TRIUNFANTE COM ALIM LTDA FILIAL</t>
  </si>
  <si>
    <t xml:space="preserve">TRIUNFANTE CAMBE</t>
  </si>
  <si>
    <t xml:space="preserve">DEVILLE HOTEIS E TURISMO LTDA</t>
  </si>
  <si>
    <t xml:space="preserve">COOPERATIVA AGROINDUSTRIAL COPAGRIL</t>
  </si>
  <si>
    <t xml:space="preserve">COPAGRIL</t>
  </si>
  <si>
    <t xml:space="preserve">TOMBINI E CIA LTDA</t>
  </si>
  <si>
    <t xml:space="preserve">TRANSPORTADORA TOMBINI</t>
  </si>
  <si>
    <t xml:space="preserve">PARATI IND COM DE ALIM LTDA</t>
  </si>
  <si>
    <t xml:space="preserve">SAO LOURENCO DO OESTE</t>
  </si>
  <si>
    <t xml:space="preserve">PARATI</t>
  </si>
  <si>
    <t xml:space="preserve">AMACOCO AGUA DE COCO AMAZONIA LTDA</t>
  </si>
  <si>
    <t xml:space="preserve">KERO COCO</t>
  </si>
  <si>
    <t xml:space="preserve">BUNGE ALIMENTOS S/A</t>
  </si>
  <si>
    <t xml:space="preserve">SANTISTA ALIMENTOS</t>
  </si>
  <si>
    <t xml:space="preserve">BRETZKE ALIMENTOS LTDA</t>
  </si>
  <si>
    <t xml:space="preserve">JAQUIRANA</t>
  </si>
  <si>
    <t xml:space="preserve">BRETZKE</t>
  </si>
  <si>
    <t xml:space="preserve">LIDIA PICCINI DE OLIVEIRA</t>
  </si>
  <si>
    <t xml:space="preserve">ISMAEL DE SOUZA GOMES ME</t>
  </si>
  <si>
    <t xml:space="preserve">ALESANDRE BERNARDINO DOS SANTOS</t>
  </si>
  <si>
    <t xml:space="preserve">MERCADO DOS SANTOS</t>
  </si>
  <si>
    <t xml:space="preserve">DIO'LLENS COM PRODUTOS ALIMENTICIOS LTDA</t>
  </si>
  <si>
    <t xml:space="preserve">PANIFICADORA E CONFEITARIA MORISCO LTDA </t>
  </si>
  <si>
    <t xml:space="preserve">KIDELICIA</t>
  </si>
  <si>
    <t xml:space="preserve">GAMA E GAMA LTDA</t>
  </si>
  <si>
    <t xml:space="preserve">ELIANE BUHLER</t>
  </si>
  <si>
    <t xml:space="preserve">MERCADO LARANJEIRA</t>
  </si>
  <si>
    <t xml:space="preserve">AUTONOMISTA DERIVADOS DE PETROLEO LTDA  </t>
  </si>
  <si>
    <t xml:space="preserve">POSTO AUTONOMISTA</t>
  </si>
  <si>
    <t xml:space="preserve">ORIDIO VICENTINI E CIA LTDA</t>
  </si>
  <si>
    <t xml:space="preserve">SUPERMERCADO SPUMONI</t>
  </si>
  <si>
    <t xml:space="preserve">DINA RODRIGUES NASCIMENTO</t>
  </si>
  <si>
    <t xml:space="preserve">SM RODRIGUES</t>
  </si>
  <si>
    <t xml:space="preserve">AILTON GONCALES OLIVEIRA</t>
  </si>
  <si>
    <t xml:space="preserve">CASA DE CARNE MAOP</t>
  </si>
  <si>
    <t xml:space="preserve">J CICERO DA SILVA</t>
  </si>
  <si>
    <t xml:space="preserve">C A MARTINS SOARES</t>
  </si>
  <si>
    <t xml:space="preserve">FRUTARIA DO DUDU</t>
  </si>
  <si>
    <t xml:space="preserve">AFONSO CERVANTE RUIZ</t>
  </si>
  <si>
    <t xml:space="preserve">SM CERVANTES</t>
  </si>
  <si>
    <t xml:space="preserve">BAIS NAVEGACAO E TURISMO LTDA</t>
  </si>
  <si>
    <t xml:space="preserve">COMODORO</t>
  </si>
  <si>
    <t xml:space="preserve">AUTO POSTO APARECIDA DO NORTE LTDA</t>
  </si>
  <si>
    <t xml:space="preserve">AUTO POSTO APA DO NORTE</t>
  </si>
  <si>
    <t xml:space="preserve">POSTO AUTOMOMISTA</t>
  </si>
  <si>
    <t xml:space="preserve">CLAILTON CASTRO DA SILVEIRA</t>
  </si>
  <si>
    <t xml:space="preserve">COMERCIAL CASTRO</t>
  </si>
  <si>
    <t xml:space="preserve">JOSE ALBERTO A GOLZE</t>
  </si>
  <si>
    <t xml:space="preserve">MERCADO CAMBUCA</t>
  </si>
  <si>
    <t xml:space="preserve">VALTER ALVES RODRIGUES</t>
  </si>
  <si>
    <t xml:space="preserve">ASSOCIACAO JULIANO VARELA</t>
  </si>
  <si>
    <t xml:space="preserve">Y C A SUPERMERCADOS LTDA</t>
  </si>
  <si>
    <t xml:space="preserve">SUPERMERCADOS MARTINS</t>
  </si>
  <si>
    <t xml:space="preserve">DROGARIA MARIFARMA LTDA</t>
  </si>
  <si>
    <t xml:space="preserve">DROGARIA MARIFARMA</t>
  </si>
  <si>
    <t xml:space="preserve">NUTRI ALDAM COMERCIO DE RACAO LTDA ME</t>
  </si>
  <si>
    <t xml:space="preserve">CASA DOS PANOS LTDA</t>
  </si>
  <si>
    <t xml:space="preserve">CASA DOS PANOS</t>
  </si>
  <si>
    <t xml:space="preserve">DEUSDETE JOSE DA SILVA</t>
  </si>
  <si>
    <t xml:space="preserve">ROUXINOIS COMERCIO DE ALIMENTOS LTDA</t>
  </si>
  <si>
    <t xml:space="preserve">SEBASTIAO GUILHERME DA SILVA</t>
  </si>
  <si>
    <t xml:space="preserve">MERCADO DO PEIXE</t>
  </si>
  <si>
    <t xml:space="preserve">COMERCIAL MASTER MIX LTDA</t>
  </si>
  <si>
    <t xml:space="preserve">M.M LUSTRES</t>
  </si>
  <si>
    <t xml:space="preserve">C I MORAIS DA COSTA</t>
  </si>
  <si>
    <t xml:space="preserve">FARMACIA GLOBO</t>
  </si>
  <si>
    <t xml:space="preserve">PADOVANI E MENDONCA LTDA</t>
  </si>
  <si>
    <t xml:space="preserve">MERCADO ARCO IRES</t>
  </si>
  <si>
    <t xml:space="preserve">BASTOS E ALMEIDA LTDA</t>
  </si>
  <si>
    <t xml:space="preserve">BOVINAO CONVIENCIAS</t>
  </si>
  <si>
    <t xml:space="preserve">ROSELEI JUSTEN GARCETE</t>
  </si>
  <si>
    <t xml:space="preserve">ADILSO DA LUZ MORAES</t>
  </si>
  <si>
    <t xml:space="preserve">TRANSPAULO</t>
  </si>
  <si>
    <t xml:space="preserve">RAPIDO TRANSPAULO</t>
  </si>
  <si>
    <t xml:space="preserve">ALISUL ALIMENTOS S.A</t>
  </si>
  <si>
    <t xml:space="preserve">GRENDENE SA</t>
  </si>
  <si>
    <t xml:space="preserve">FARROUPILHA</t>
  </si>
  <si>
    <t xml:space="preserve">GRENDENE FILIAL 01</t>
  </si>
  <si>
    <t xml:space="preserve">PARMALAT BRASIL S/A IND DE ALIMENTOS</t>
  </si>
  <si>
    <t xml:space="preserve">PARMALAT</t>
  </si>
  <si>
    <t xml:space="preserve">LAURENTINO ZAMBERLAN</t>
  </si>
  <si>
    <t xml:space="preserve">MERCADO GENTIL</t>
  </si>
  <si>
    <t xml:space="preserve">PANAMA AUTO POSTO LTDA</t>
  </si>
  <si>
    <t xml:space="preserve">AUTO POSTO PANAMA</t>
  </si>
  <si>
    <t xml:space="preserve">M  R  VIERO E CIA LTDA</t>
  </si>
  <si>
    <t xml:space="preserve">POSTO PETROCAMPO</t>
  </si>
  <si>
    <t xml:space="preserve">MONGENOT E LEAL LTDA</t>
  </si>
  <si>
    <t xml:space="preserve">POSTINHO PRIMAVERA</t>
  </si>
  <si>
    <t xml:space="preserve">SUPERMERCADO BOM VIZINHO LTDA</t>
  </si>
  <si>
    <t xml:space="preserve">SUPERMERCADO BOM VIZINHO</t>
  </si>
  <si>
    <t xml:space="preserve">OLINDA NISHIHIRA UEHARA</t>
  </si>
  <si>
    <t xml:space="preserve">MERCEARIA BELARMINO</t>
  </si>
  <si>
    <t xml:space="preserve">ALVES E CESAR LTDA</t>
  </si>
  <si>
    <t xml:space="preserve">COMERCIO COMBUSTIVEIS MAIA BRASIL LTDA  </t>
  </si>
  <si>
    <t xml:space="preserve">POSTO LOCATELLI CIDADE</t>
  </si>
  <si>
    <t xml:space="preserve">CULAU E MEZACASA LTDA</t>
  </si>
  <si>
    <t xml:space="preserve">CHURRASCARIA LACO DE OURO</t>
  </si>
  <si>
    <t xml:space="preserve">LOURENCO RODRIGUES SALOMAQ</t>
  </si>
  <si>
    <t xml:space="preserve">MINI MERCADO FERRAZ LTDA</t>
  </si>
  <si>
    <t xml:space="preserve">MINI MERCADO FERRAZ</t>
  </si>
  <si>
    <t xml:space="preserve">COMERCIAL DE ALIMENTOS RIO VERDE LT</t>
  </si>
  <si>
    <t xml:space="preserve">SM NOGUEIRA III</t>
  </si>
  <si>
    <t xml:space="preserve">ELSON MOREIRA</t>
  </si>
  <si>
    <t xml:space="preserve">DELICIA SEM FIM</t>
  </si>
  <si>
    <t xml:space="preserve">NILO BARBOSA FERNANDES</t>
  </si>
  <si>
    <t xml:space="preserve">MINI MERCADO SAO PAULO</t>
  </si>
  <si>
    <t xml:space="preserve">MARIA XAVIER DOS SANTOS SILVA</t>
  </si>
  <si>
    <t xml:space="preserve">ZAGAIA EMPREENDIMENTOS HOTELEIROS LTDA  </t>
  </si>
  <si>
    <t xml:space="preserve">ZAGAIA RESORT HOTEL</t>
  </si>
  <si>
    <t xml:space="preserve">FARMACIA DE MANIPULACAO SAO BENTO LTDA  </t>
  </si>
  <si>
    <t xml:space="preserve">SAO BENTO MANIPULACAO</t>
  </si>
  <si>
    <t xml:space="preserve">VALMIR SILVEIRA VARGAS</t>
  </si>
  <si>
    <t xml:space="preserve">MERCADO VARGAS</t>
  </si>
  <si>
    <t xml:space="preserve">RAMAO MURO DELFINO</t>
  </si>
  <si>
    <t xml:space="preserve">BRALAR COMERCIO DE ALIMENTOS LTDA</t>
  </si>
  <si>
    <t xml:space="preserve">BRALAR</t>
  </si>
  <si>
    <t xml:space="preserve">APARECIDO FERREIRA DOS SANTOS VARIEDADES</t>
  </si>
  <si>
    <t xml:space="preserve">COMERCIAL UBERABA</t>
  </si>
  <si>
    <t xml:space="preserve">G E DOS SANTOS SOARES LTDA</t>
  </si>
  <si>
    <t xml:space="preserve">BONIFACIO E FERRAZ LTDA ME</t>
  </si>
  <si>
    <t xml:space="preserve">YASMIN FARMA</t>
  </si>
  <si>
    <t xml:space="preserve">EDER CAMPO MEI</t>
  </si>
  <si>
    <t xml:space="preserve">ELAINE VIDAL AMORIM</t>
  </si>
  <si>
    <t xml:space="preserve">MINI MERCADO BOA ESPERANCA</t>
  </si>
  <si>
    <t xml:space="preserve">CARLOS EDUARDO MENDES SANDIM - MEI</t>
  </si>
  <si>
    <t xml:space="preserve">CARLOS EDUARDO</t>
  </si>
  <si>
    <t xml:space="preserve">MERCADO DAIANA LTDA</t>
  </si>
  <si>
    <t xml:space="preserve">MERCADO DAIANA</t>
  </si>
  <si>
    <t xml:space="preserve">COD</t>
  </si>
  <si>
    <t xml:space="preserve">NOME</t>
  </si>
  <si>
    <t xml:space="preserve">COORD</t>
  </si>
  <si>
    <t xml:space="preserve">NOME COORD</t>
  </si>
  <si>
    <t xml:space="preserve">BALCÃO</t>
  </si>
  <si>
    <t xml:space="preserve">GERENCIA</t>
  </si>
  <si>
    <t xml:space="preserve">CLT - JOSE LUCA </t>
  </si>
  <si>
    <t xml:space="preserve">THIAGO - MC.KA  </t>
  </si>
  <si>
    <t xml:space="preserve">CLT - TALITA GO </t>
  </si>
  <si>
    <t xml:space="preserve">PJ - PAULA REGI </t>
  </si>
  <si>
    <t xml:space="preserve">CLT - MAX DOS S </t>
  </si>
  <si>
    <t xml:space="preserve">CLT - CLAUDIMIR </t>
  </si>
  <si>
    <t xml:space="preserve">CLT - RENATA MA </t>
  </si>
  <si>
    <t xml:space="preserve">PJ - FERNANDO A </t>
  </si>
  <si>
    <t xml:space="preserve">CLAUDIO - VAREJ </t>
  </si>
  <si>
    <t xml:space="preserve">CLT - GILBERTO  </t>
  </si>
  <si>
    <t xml:space="preserve">JONATAS - VAREJ </t>
  </si>
  <si>
    <t xml:space="preserve">CLT - TATIANA M </t>
  </si>
  <si>
    <t xml:space="preserve">PJ - NILVANIA L </t>
  </si>
  <si>
    <t xml:space="preserve">CLT - LORENA DA </t>
  </si>
  <si>
    <t xml:space="preserve">CLT - ALCINDO D </t>
  </si>
  <si>
    <t xml:space="preserve">CLT - FABIO APA </t>
  </si>
  <si>
    <t xml:space="preserve">WALTER PEREIRA  </t>
  </si>
  <si>
    <t xml:space="preserve">CLT - TAINARA F </t>
  </si>
  <si>
    <t xml:space="preserve">CLT - WILLIAN V </t>
  </si>
  <si>
    <t xml:space="preserve">PJ - GLEICE DA  </t>
  </si>
  <si>
    <t xml:space="preserve">CLT - MARCELO A </t>
  </si>
  <si>
    <t xml:space="preserve">CLT - PEDRO JOE </t>
  </si>
  <si>
    <t xml:space="preserve">CLT - MAICON DO </t>
  </si>
  <si>
    <t xml:space="preserve">PJ - FABRICIO A </t>
  </si>
  <si>
    <t xml:space="preserve">CLT - DEYSIANE  </t>
  </si>
  <si>
    <t xml:space="preserve">CLT - CLEUCE SA </t>
  </si>
  <si>
    <t xml:space="preserve">CLT - BRUNO DE  </t>
  </si>
  <si>
    <t xml:space="preserve">CLT - CRISTIAN  </t>
  </si>
  <si>
    <t xml:space="preserve">BRUNO DE SOUZA NUNES</t>
  </si>
  <si>
    <t xml:space="preserve">DANIELLE CORTES MORAIS</t>
  </si>
</sst>
</file>

<file path=xl/styles.xml><?xml version="1.0" encoding="utf-8"?>
<styleSheet xmlns="http://schemas.openxmlformats.org/spreadsheetml/2006/main">
  <numFmts count="37">
    <numFmt numFmtId="164" formatCode="General"/>
    <numFmt numFmtId="165" formatCode="\$#,##0.00;&quot;-$&quot;#,##0.00"/>
    <numFmt numFmtId="166" formatCode="\$#,##0.00;&quot;-$&quot;#,##0.00"/>
    <numFmt numFmtId="167" formatCode="_-* #,##0.00\ _€_-;\-* #,##0.00\ _€_-;_-* \-??\ _€_-;_-@_-"/>
    <numFmt numFmtId="168" formatCode="_-* #,##0.00_-;\-* #,##0.00_-;_-* \-??_-;_-@_-"/>
    <numFmt numFmtId="169" formatCode="_(* #,##0.00_);_(* \(#,##0.00\);_(* \-??_);_(@_)"/>
    <numFmt numFmtId="170" formatCode="_-* #,##0.00\ _€_-;\-* #,##0.00\ _€_-;_-* \-??\ _€_-;_-@_-"/>
    <numFmt numFmtId="171" formatCode="#,##0."/>
    <numFmt numFmtId="172" formatCode="\$#."/>
    <numFmt numFmtId="173" formatCode="\$#."/>
    <numFmt numFmtId="174" formatCode="_-\$* #,##0_-;&quot;-$&quot;* #,##0_-;_-\$* \-_-;_-@_-"/>
    <numFmt numFmtId="175" formatCode="0.00000%"/>
    <numFmt numFmtId="176" formatCode="d/mmm/yy"/>
    <numFmt numFmtId="177" formatCode="d\-mmm\-yy"/>
    <numFmt numFmtId="178" formatCode="#.00"/>
    <numFmt numFmtId="179" formatCode="#,##0.00"/>
    <numFmt numFmtId="180" formatCode="#,##0_);[RED]\(#,##0\)"/>
    <numFmt numFmtId="181" formatCode="#,##0.00_);[RED]\(#,##0.00\)"/>
    <numFmt numFmtId="182" formatCode="_-&quot;R$ &quot;* #,##0.00_-;&quot;-R$ &quot;* #,##0.00_-;_-&quot;R$ &quot;* \-??_-;_-@_-"/>
    <numFmt numFmtId="183" formatCode="_(&quot;R$&quot;* #,##0.00_);_(&quot;R$&quot;* \(#,##0.00\);_(&quot;R$&quot;* \-??_);_(@_)"/>
    <numFmt numFmtId="184" formatCode="_-&quot;R$&quot;* #,##0.00_-;&quot;-R$&quot;* #,##0.00_-;_-&quot;R$&quot;* \-??_-;_-@_-"/>
    <numFmt numFmtId="185" formatCode="_(\$* #,##0_);_(\$* \(#,##0\);_(\$* \-_);_(@_)"/>
    <numFmt numFmtId="186" formatCode="\$#,##0.00_);[RED]&quot;($&quot;#,##0.00\)"/>
    <numFmt numFmtId="187" formatCode="_ &quot;$ &quot;* #,##0_ ;_ &quot;$ &quot;* \-#,##0_ ;_ &quot;$ &quot;* \-??_ ;_ @_ "/>
    <numFmt numFmtId="188" formatCode="_ * #,##0_ ;_ * \-#,##0_ ;_ * \-??_ ;_ @_ "/>
    <numFmt numFmtId="189" formatCode="#,##0_);\(#,##0\)"/>
    <numFmt numFmtId="190" formatCode="0.00_)"/>
    <numFmt numFmtId="191" formatCode="d/m/yyyy"/>
    <numFmt numFmtId="192" formatCode="m/d/yyyy"/>
    <numFmt numFmtId="193" formatCode="0%"/>
    <numFmt numFmtId="194" formatCode="0.00%"/>
    <numFmt numFmtId="195" formatCode="#,##0"/>
    <numFmt numFmtId="196" formatCode="_ * #,##0_ ;_ * \-#,##0_ ;_ * \-??_ ;_ @_ "/>
    <numFmt numFmtId="197" formatCode="&quot;R$ &quot;#,##0.00"/>
    <numFmt numFmtId="198" formatCode="m/d/yyyy\ h:mm"/>
    <numFmt numFmtId="199" formatCode="0"/>
    <numFmt numFmtId="200" formatCode="&quot;R$ &quot;#,##0"/>
  </numFmts>
  <fonts count="6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2"/>
    </font>
    <font>
      <sz val="8"/>
      <name val="Times New Roman"/>
      <family val="1"/>
      <charset val="1"/>
    </font>
    <font>
      <sz val="8"/>
      <name val="Times New Roman"/>
      <family val="1"/>
    </font>
    <font>
      <i val="true"/>
      <sz val="10"/>
      <color rgb="FF003366"/>
      <name val="Arial"/>
      <family val="2"/>
      <charset val="1"/>
    </font>
    <font>
      <i val="true"/>
      <sz val="10"/>
      <color rgb="FF003366"/>
      <name val="Arial"/>
      <family val="2"/>
    </font>
    <font>
      <b val="true"/>
      <sz val="8"/>
      <name val="Arial"/>
      <family val="2"/>
      <charset val="1"/>
    </font>
    <font>
      <sz val="10"/>
      <name val="MS Sans Serif"/>
      <family val="2"/>
      <charset val="1"/>
    </font>
    <font>
      <sz val="10"/>
      <name val="MS Sans Serif"/>
      <family val="2"/>
    </font>
    <font>
      <sz val="8"/>
      <name val="Arial"/>
      <family val="2"/>
      <charset val="1"/>
    </font>
    <font>
      <sz val="8"/>
      <name val="Arial"/>
      <family val="2"/>
    </font>
    <font>
      <b val="true"/>
      <sz val="12"/>
      <name val="Arial"/>
      <family val="2"/>
      <charset val="1"/>
    </font>
    <font>
      <b val="true"/>
      <sz val="12"/>
      <name val="Arial"/>
      <family val="2"/>
    </font>
    <font>
      <sz val="10"/>
      <name val="Courier New"/>
      <family val="3"/>
      <charset val="1"/>
    </font>
    <font>
      <sz val="10"/>
      <name val="Courier New"/>
      <family val="3"/>
    </font>
    <font>
      <sz val="10"/>
      <name val="Times New Roman"/>
      <family val="1"/>
      <charset val="1"/>
    </font>
    <font>
      <sz val="10"/>
      <name val="Times New Roman"/>
      <family val="1"/>
    </font>
    <font>
      <sz val="7"/>
      <name val="Small Fonts"/>
      <family val="2"/>
      <charset val="1"/>
    </font>
    <font>
      <sz val="7"/>
      <name val="Small Fonts"/>
      <family val="2"/>
    </font>
    <font>
      <b val="true"/>
      <i val="true"/>
      <sz val="16"/>
      <name val="Arial"/>
      <family val="2"/>
    </font>
    <font>
      <b val="true"/>
      <i val="true"/>
      <sz val="16"/>
      <name val="Arial"/>
      <family val="0"/>
    </font>
    <font>
      <sz val="11"/>
      <color theme="1"/>
      <name val="Calibri"/>
      <family val="2"/>
    </font>
    <font>
      <sz val="10"/>
      <name val="Verdana"/>
      <family val="2"/>
      <charset val="1"/>
    </font>
    <font>
      <sz val="10"/>
      <name val="Verdana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name val="Arial Narrow"/>
      <family val="2"/>
      <charset val="1"/>
    </font>
    <font>
      <sz val="10"/>
      <name val="Arial Narrow"/>
      <family val="2"/>
    </font>
    <font>
      <b val="true"/>
      <sz val="10"/>
      <name val="MS Sans Serif"/>
      <family val="2"/>
      <charset val="1"/>
    </font>
    <font>
      <b val="true"/>
      <sz val="10"/>
      <name val="MS Sans Serif"/>
      <family val="2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</font>
    <font>
      <b val="true"/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b val="true"/>
      <sz val="12"/>
      <color rgb="FF000000"/>
      <name val="Arial"/>
      <family val="2"/>
      <charset val="1"/>
    </font>
    <font>
      <b val="true"/>
      <sz val="12"/>
      <name val="Arial"/>
      <family val="2"/>
    </font>
    <font>
      <sz val="10"/>
      <color rgb="FF0000FF"/>
      <name val="Arial"/>
      <family val="2"/>
      <charset val="1"/>
    </font>
    <font>
      <sz val="19"/>
      <color rgb="FF3366FF"/>
      <name val="Arial"/>
      <family val="2"/>
      <charset val="1"/>
    </font>
    <font>
      <sz val="19"/>
      <name val="Arial"/>
      <family val="2"/>
    </font>
    <font>
      <sz val="10"/>
      <color rgb="FFFF0000"/>
      <name val="Arial"/>
      <family val="2"/>
      <charset val="1"/>
    </font>
    <font>
      <u val="single"/>
      <sz val="8"/>
      <color rgb="FF0000FF"/>
      <name val="Arial"/>
      <family val="2"/>
      <charset val="1"/>
    </font>
    <font>
      <u val="single"/>
      <sz val="8"/>
      <name val="Arial"/>
      <family val="2"/>
    </font>
    <font>
      <u val="single"/>
      <sz val="12"/>
      <color rgb="FF0000FF"/>
      <name val="Arial"/>
      <family val="2"/>
      <charset val="1"/>
    </font>
    <font>
      <u val="single"/>
      <sz val="12"/>
      <name val="Arial"/>
      <family val="2"/>
    </font>
    <font>
      <b val="true"/>
      <u val="single"/>
      <sz val="14"/>
      <color rgb="FF0000FF"/>
      <name val="Arial Rounded MT Bold"/>
      <family val="2"/>
      <charset val="1"/>
    </font>
    <font>
      <b val="true"/>
      <u val="single"/>
      <sz val="14"/>
      <name val="Arial Rounded MT Bold"/>
      <family val="2"/>
    </font>
    <font>
      <sz val="10"/>
      <color rgb="FF000000"/>
      <name val="Calibri"/>
      <family val="2"/>
      <charset val="1"/>
    </font>
    <font>
      <b val="true"/>
      <u val="double"/>
      <sz val="12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theme="0"/>
      <name val="Calibri"/>
      <family val="2"/>
    </font>
    <font>
      <b val="true"/>
      <sz val="11"/>
      <name val="Calibri"/>
      <family val="2"/>
    </font>
    <font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0C0C0"/>
        <bgColor rgb="FFBDD7EE"/>
      </patternFill>
    </fill>
    <fill>
      <patternFill patternType="solid">
        <fgColor rgb="FFFFFFFF"/>
        <bgColor rgb="FFFFFFCC"/>
      </patternFill>
    </fill>
    <fill>
      <patternFill patternType="solid">
        <fgColor rgb="FFE0E0E0"/>
        <bgColor rgb="FFC6EFCE"/>
      </patternFill>
    </fill>
    <fill>
      <patternFill patternType="solid">
        <fgColor rgb="FFFFFF99"/>
        <bgColor rgb="FFFFEB9C"/>
      </patternFill>
    </fill>
    <fill>
      <patternFill patternType="solid">
        <fgColor rgb="FF00CCFF"/>
        <bgColor rgb="FF33CCCC"/>
      </patternFill>
    </fill>
    <fill>
      <patternFill patternType="solid">
        <fgColor rgb="FFFF99CC"/>
        <bgColor rgb="FFFF8080"/>
      </patternFill>
    </fill>
    <fill>
      <patternFill patternType="solid">
        <fgColor rgb="FFFF8080"/>
        <bgColor rgb="FFFF99CC"/>
      </patternFill>
    </fill>
    <fill>
      <patternFill patternType="solid">
        <fgColor rgb="FFFF0000"/>
        <bgColor rgb="FFC00000"/>
      </patternFill>
    </fill>
    <fill>
      <patternFill patternType="solid">
        <fgColor rgb="FFFFCC00"/>
        <bgColor rgb="FFFFC000"/>
      </patternFill>
    </fill>
    <fill>
      <patternFill patternType="solid">
        <fgColor rgb="FFFF9900"/>
        <bgColor rgb="FFFFC000"/>
      </patternFill>
    </fill>
    <fill>
      <patternFill patternType="solid">
        <fgColor rgb="FFFF6600"/>
        <bgColor rgb="FFFF9900"/>
      </patternFill>
    </fill>
    <fill>
      <patternFill patternType="solid">
        <fgColor rgb="FF339966"/>
        <bgColor rgb="FF008080"/>
      </patternFill>
    </fill>
    <fill>
      <patternFill patternType="solid">
        <fgColor rgb="FF99CC00"/>
        <bgColor rgb="FF92D050"/>
      </patternFill>
    </fill>
    <fill>
      <patternFill patternType="solid">
        <fgColor rgb="FF00FF00"/>
        <bgColor rgb="FF33CCCC"/>
      </patternFill>
    </fill>
    <fill>
      <patternFill patternType="solid">
        <fgColor rgb="FFA6D9FF"/>
        <bgColor rgb="FF99CCFF"/>
      </patternFill>
    </fill>
    <fill>
      <patternFill patternType="solid">
        <fgColor rgb="FFCCFFFF"/>
        <bgColor rgb="FFC6EFCE"/>
      </patternFill>
    </fill>
    <fill>
      <patternFill patternType="solid">
        <fgColor rgb="FF666699"/>
        <bgColor rgb="FF808080"/>
      </patternFill>
    </fill>
    <fill>
      <patternFill patternType="solid">
        <fgColor rgb="FF99CCFF"/>
        <bgColor rgb="FFA6D9FF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00000"/>
        <bgColor rgb="FF9C0006"/>
      </patternFill>
    </fill>
    <fill>
      <patternFill patternType="solid">
        <fgColor rgb="FFF8CBAD"/>
        <bgColor rgb="FFFFC7CE"/>
      </patternFill>
    </fill>
    <fill>
      <patternFill patternType="solid">
        <fgColor rgb="FFBDD7EE"/>
        <bgColor rgb="FFA6D9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CFFFF"/>
      </left>
      <right style="thin">
        <color rgb="FF3366FF"/>
      </right>
      <top style="medium">
        <color rgb="FFCCFFFF"/>
      </top>
      <bottom style="thin">
        <color rgb="FF3366FF"/>
      </bottom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</borders>
  <cellStyleXfs count="7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6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7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8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2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2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3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8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8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2" borderId="0" applyFont="true" applyBorder="false" applyAlignment="true" applyProtection="false">
      <alignment horizontal="general" vertical="bottom" textRotation="0" wrapText="false" indent="0" shrinkToFit="false"/>
    </xf>
    <xf numFmtId="164" fontId="13" fillId="2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6" fillId="0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3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85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87" fontId="0" fillId="0" borderId="0" applyFont="true" applyBorder="false" applyAlignment="true" applyProtection="false">
      <alignment horizontal="general" vertical="bottom" textRotation="0" wrapText="false" indent="0" shrinkToFit="false"/>
    </xf>
    <xf numFmtId="18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applyFont="true" applyBorder="false" applyAlignment="true" applyProtection="false">
      <alignment horizontal="general" vertical="bottom" textRotation="0" wrapText="false" indent="0" shrinkToFit="false"/>
    </xf>
    <xf numFmtId="164" fontId="30" fillId="0" borderId="0" applyFont="true" applyBorder="false" applyAlignment="true" applyProtection="false">
      <alignment horizontal="general" vertical="bottom" textRotation="0" wrapText="false" indent="0" shrinkToFit="false"/>
    </xf>
    <xf numFmtId="164" fontId="31" fillId="0" borderId="0" applyFont="true" applyBorder="false" applyAlignment="true" applyProtection="false">
      <alignment horizontal="general" vertical="bottom" textRotation="0" wrapText="false" indent="0" shrinkToFit="false"/>
    </xf>
    <xf numFmtId="191" fontId="6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91" fontId="6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92" fontId="7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32" fillId="0" borderId="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5" borderId="6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4" fillId="5" borderId="6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6" fillId="5" borderId="6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6" fillId="5" borderId="6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5" fillId="3" borderId="7" applyFont="true" applyBorder="true" applyAlignment="true" applyProtection="false">
      <alignment horizontal="general" vertical="center" textRotation="0" wrapText="false" indent="0" shrinkToFit="false"/>
    </xf>
    <xf numFmtId="164" fontId="34" fillId="5" borderId="6" applyFont="true" applyBorder="true" applyAlignment="true" applyProtection="false">
      <alignment horizontal="left" vertical="center" textRotation="0" wrapText="false" indent="1" shrinkToFit="false"/>
    </xf>
    <xf numFmtId="164" fontId="35" fillId="3" borderId="7" applyFont="true" applyBorder="true" applyAlignment="true" applyProtection="false">
      <alignment horizontal="left" vertical="center" textRotation="0" wrapText="false" indent="1" shrinkToFit="false"/>
    </xf>
    <xf numFmtId="164" fontId="35" fillId="3" borderId="7" applyFont="true" applyBorder="true" applyAlignment="true" applyProtection="false">
      <alignment horizontal="left" vertical="center" textRotation="0" wrapText="false" indent="1" shrinkToFit="false"/>
    </xf>
    <xf numFmtId="164" fontId="35" fillId="3" borderId="7" applyFont="true" applyBorder="true" applyAlignment="true" applyProtection="false">
      <alignment horizontal="left" vertical="center" textRotation="0" wrapText="false" indent="1" shrinkToFit="false"/>
    </xf>
    <xf numFmtId="164" fontId="34" fillId="5" borderId="6" applyFont="true" applyBorder="true" applyAlignment="true" applyProtection="false">
      <alignment horizontal="left" vertical="center" textRotation="0" wrapText="false" indent="1" shrinkToFit="false"/>
    </xf>
    <xf numFmtId="164" fontId="35" fillId="3" borderId="7" applyFont="true" applyBorder="true" applyAlignment="true" applyProtection="false">
      <alignment horizontal="left" vertical="center" textRotation="0" wrapText="false" indent="1" shrinkToFit="false"/>
    </xf>
    <xf numFmtId="164" fontId="35" fillId="3" borderId="7" applyFont="true" applyBorder="true" applyAlignment="true" applyProtection="false">
      <alignment horizontal="left" vertical="center" textRotation="0" wrapText="false" indent="1" shrinkToFit="false"/>
    </xf>
    <xf numFmtId="164" fontId="35" fillId="3" borderId="7" applyFont="true" applyBorder="true" applyAlignment="true" applyProtection="false">
      <alignment horizontal="left" vertical="center" textRotation="0" wrapText="false" indent="1" shrinkToFit="false"/>
    </xf>
    <xf numFmtId="164" fontId="35" fillId="3" borderId="7" applyFont="true" applyBorder="true" applyAlignment="true" applyProtection="false">
      <alignment horizontal="left" vertical="center" textRotation="0" wrapText="false" indent="1" shrinkToFit="false"/>
    </xf>
    <xf numFmtId="164" fontId="35" fillId="3" borderId="7" applyFont="true" applyBorder="true" applyAlignment="true" applyProtection="false">
      <alignment horizontal="left" vertical="center" textRotation="0" wrapText="false" indent="1" shrinkToFit="false"/>
    </xf>
    <xf numFmtId="164" fontId="35" fillId="3" borderId="7" applyFont="true" applyBorder="true" applyAlignment="true" applyProtection="false">
      <alignment horizontal="left" vertical="center" textRotation="0" wrapText="false" indent="1" shrinkToFit="false"/>
    </xf>
    <xf numFmtId="164" fontId="35" fillId="3" borderId="7" applyFont="true" applyBorder="true" applyAlignment="true" applyProtection="false">
      <alignment horizontal="left" vertical="center" textRotation="0" wrapText="false" indent="1" shrinkToFit="false"/>
    </xf>
    <xf numFmtId="164" fontId="34" fillId="5" borderId="6" applyFont="true" applyBorder="true" applyAlignment="true" applyProtection="false">
      <alignment horizontal="left" vertical="top" textRotation="0" wrapText="false" indent="1" shrinkToFit="false"/>
    </xf>
    <xf numFmtId="164" fontId="35" fillId="3" borderId="7" applyFont="true" applyBorder="true" applyAlignment="true" applyProtection="false">
      <alignment horizontal="left" vertical="top" textRotation="0" wrapText="false" indent="1" shrinkToFit="false"/>
    </xf>
    <xf numFmtId="164" fontId="35" fillId="3" borderId="7" applyFont="true" applyBorder="true" applyAlignment="true" applyProtection="false">
      <alignment horizontal="left" vertical="top" textRotation="0" wrapText="false" indent="1" shrinkToFit="false"/>
    </xf>
    <xf numFmtId="164" fontId="35" fillId="3" borderId="7" applyFont="true" applyBorder="true" applyAlignment="true" applyProtection="false">
      <alignment horizontal="left" vertical="top" textRotation="0" wrapText="false" indent="1" shrinkToFit="false"/>
    </xf>
    <xf numFmtId="164" fontId="34" fillId="5" borderId="6" applyFont="true" applyBorder="true" applyAlignment="true" applyProtection="false">
      <alignment horizontal="left" vertical="top" textRotation="0" wrapText="false" indent="1" shrinkToFit="false"/>
    </xf>
    <xf numFmtId="164" fontId="35" fillId="3" borderId="7" applyFont="true" applyBorder="true" applyAlignment="true" applyProtection="false">
      <alignment horizontal="left" vertical="top" textRotation="0" wrapText="false" indent="1" shrinkToFit="false"/>
    </xf>
    <xf numFmtId="164" fontId="35" fillId="3" borderId="7" applyFont="true" applyBorder="true" applyAlignment="true" applyProtection="false">
      <alignment horizontal="left" vertical="top" textRotation="0" wrapText="false" indent="1" shrinkToFit="false"/>
    </xf>
    <xf numFmtId="164" fontId="35" fillId="3" borderId="7" applyFont="true" applyBorder="true" applyAlignment="true" applyProtection="false">
      <alignment horizontal="left" vertical="top" textRotation="0" wrapText="false" indent="1" shrinkToFit="false"/>
    </xf>
    <xf numFmtId="164" fontId="35" fillId="3" borderId="7" applyFont="true" applyBorder="true" applyAlignment="true" applyProtection="false">
      <alignment horizontal="left" vertical="top" textRotation="0" wrapText="false" indent="1" shrinkToFit="false"/>
    </xf>
    <xf numFmtId="164" fontId="35" fillId="3" borderId="7" applyFont="true" applyBorder="true" applyAlignment="true" applyProtection="false">
      <alignment horizontal="left" vertical="top" textRotation="0" wrapText="false" indent="1" shrinkToFit="false"/>
    </xf>
    <xf numFmtId="164" fontId="35" fillId="3" borderId="7" applyFont="true" applyBorder="true" applyAlignment="true" applyProtection="false">
      <alignment horizontal="left" vertical="top" textRotation="0" wrapText="false" indent="1" shrinkToFit="false"/>
    </xf>
    <xf numFmtId="164" fontId="35" fillId="3" borderId="7" applyFont="true" applyBorder="true" applyAlignment="true" applyProtection="false">
      <alignment horizontal="left" vertical="top" textRotation="0" wrapText="false" indent="1" shrinkToFit="false"/>
    </xf>
    <xf numFmtId="164" fontId="34" fillId="6" borderId="0" applyFont="true" applyBorder="true" applyAlignment="true" applyProtection="false">
      <alignment horizontal="left" vertical="center" textRotation="0" wrapText="false" indent="1" shrinkToFit="false"/>
    </xf>
    <xf numFmtId="164" fontId="34" fillId="6" borderId="0" applyFont="true" applyBorder="true" applyAlignment="true" applyProtection="false">
      <alignment horizontal="left" vertical="center" textRotation="0" wrapText="false" indent="1" shrinkToFit="false"/>
    </xf>
    <xf numFmtId="164" fontId="35" fillId="3" borderId="0" applyFont="true" applyBorder="true" applyAlignment="true" applyProtection="false">
      <alignment horizontal="left" vertical="center" textRotation="0" wrapText="false" indent="1" shrinkToFit="false"/>
    </xf>
    <xf numFmtId="164" fontId="37" fillId="7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7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8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8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9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9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10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10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11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11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12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12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13" borderId="6" applyFont="true" applyBorder="true" applyAlignment="true" applyProtection="false">
      <alignment horizontal="right" vertical="center" textRotation="0" wrapText="false" indent="0" shrinkToFit="false"/>
    </xf>
    <xf numFmtId="164" fontId="38" fillId="13" borderId="7" applyFont="true" applyBorder="true" applyAlignment="true" applyProtection="false">
      <alignment horizontal="right" vertical="center" textRotation="0" wrapText="false" indent="0" shrinkToFit="false"/>
    </xf>
    <xf numFmtId="164" fontId="38" fillId="13" borderId="7" applyFont="true" applyBorder="true" applyAlignment="true" applyProtection="false">
      <alignment horizontal="right" vertical="center" textRotation="0" wrapText="false" indent="0" shrinkToFit="false"/>
    </xf>
    <xf numFmtId="164" fontId="38" fillId="13" borderId="7" applyFont="true" applyBorder="true" applyAlignment="true" applyProtection="false">
      <alignment horizontal="right" vertical="center" textRotation="0" wrapText="false" indent="0" shrinkToFit="false"/>
    </xf>
    <xf numFmtId="164" fontId="37" fillId="13" borderId="6" applyFont="true" applyBorder="true" applyAlignment="true" applyProtection="false">
      <alignment horizontal="right" vertical="center" textRotation="0" wrapText="false" indent="0" shrinkToFit="false"/>
    </xf>
    <xf numFmtId="164" fontId="38" fillId="13" borderId="7" applyFont="true" applyBorder="true" applyAlignment="true" applyProtection="false">
      <alignment horizontal="right" vertical="center" textRotation="0" wrapText="false" indent="0" shrinkToFit="false"/>
    </xf>
    <xf numFmtId="164" fontId="38" fillId="13" borderId="7" applyFont="true" applyBorder="true" applyAlignment="true" applyProtection="false">
      <alignment horizontal="right" vertical="center" textRotation="0" wrapText="false" indent="0" shrinkToFit="false"/>
    </xf>
    <xf numFmtId="164" fontId="38" fillId="13" borderId="7" applyFont="true" applyBorder="true" applyAlignment="true" applyProtection="false">
      <alignment horizontal="right" vertical="center" textRotation="0" wrapText="false" indent="0" shrinkToFit="false"/>
    </xf>
    <xf numFmtId="164" fontId="38" fillId="13" borderId="7" applyFont="true" applyBorder="true" applyAlignment="true" applyProtection="false">
      <alignment horizontal="right" vertical="center" textRotation="0" wrapText="false" indent="0" shrinkToFit="false"/>
    </xf>
    <xf numFmtId="164" fontId="38" fillId="13" borderId="7" applyFont="true" applyBorder="true" applyAlignment="true" applyProtection="false">
      <alignment horizontal="right" vertical="center" textRotation="0" wrapText="false" indent="0" shrinkToFit="false"/>
    </xf>
    <xf numFmtId="164" fontId="38" fillId="13" borderId="7" applyFont="true" applyBorder="true" applyAlignment="true" applyProtection="false">
      <alignment horizontal="right" vertical="center" textRotation="0" wrapText="false" indent="0" shrinkToFit="false"/>
    </xf>
    <xf numFmtId="164" fontId="38" fillId="13" borderId="7" applyFont="true" applyBorder="true" applyAlignment="true" applyProtection="false">
      <alignment horizontal="right" vertical="center" textRotation="0" wrapText="false" indent="0" shrinkToFit="false"/>
    </xf>
    <xf numFmtId="164" fontId="37" fillId="14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14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15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15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4" fillId="16" borderId="8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4" fillId="16" borderId="8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5" fillId="3" borderId="9" applyFont="true" applyBorder="true" applyAlignment="true" applyProtection="false">
      <alignment horizontal="left" vertical="center" textRotation="0" wrapText="false" indent="1" shrinkToFit="false"/>
    </xf>
    <xf numFmtId="164" fontId="37" fillId="17" borderId="0" applyFont="true" applyBorder="true" applyAlignment="true" applyProtection="false">
      <alignment horizontal="left" vertical="center" textRotation="0" wrapText="false" indent="1" shrinkToFit="false"/>
    </xf>
    <xf numFmtId="164" fontId="37" fillId="17" borderId="0" applyFont="true" applyBorder="true" applyAlignment="true" applyProtection="false">
      <alignment horizontal="left" vertical="center" textRotation="0" wrapText="false" indent="1" shrinkToFit="false"/>
    </xf>
    <xf numFmtId="164" fontId="38" fillId="3" borderId="0" applyFont="true" applyBorder="true" applyAlignment="true" applyProtection="false">
      <alignment horizontal="left" vertical="center" textRotation="0" wrapText="false" indent="1" shrinkToFit="false"/>
    </xf>
    <xf numFmtId="164" fontId="39" fillId="18" borderId="0" applyFont="true" applyBorder="true" applyAlignment="true" applyProtection="false">
      <alignment horizontal="left" vertical="center" textRotation="0" wrapText="false" indent="1" shrinkToFit="false"/>
    </xf>
    <xf numFmtId="164" fontId="39" fillId="18" borderId="0" applyFont="true" applyBorder="true" applyAlignment="true" applyProtection="false">
      <alignment horizontal="left" vertical="center" textRotation="0" wrapText="false" indent="1" shrinkToFit="false"/>
    </xf>
    <xf numFmtId="164" fontId="40" fillId="3" borderId="0" applyFont="true" applyBorder="true" applyAlignment="true" applyProtection="false">
      <alignment horizontal="left" vertical="center" textRotation="0" wrapText="false" indent="1" shrinkToFit="false"/>
    </xf>
    <xf numFmtId="164" fontId="37" fillId="6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6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17" borderId="0" applyFont="true" applyBorder="true" applyAlignment="true" applyProtection="false">
      <alignment horizontal="left" vertical="center" textRotation="0" wrapText="false" indent="1" shrinkToFit="false"/>
    </xf>
    <xf numFmtId="164" fontId="37" fillId="17" borderId="0" applyFont="true" applyBorder="true" applyAlignment="true" applyProtection="false">
      <alignment horizontal="left" vertical="center" textRotation="0" wrapText="false" indent="1" shrinkToFit="false"/>
    </xf>
    <xf numFmtId="164" fontId="38" fillId="3" borderId="0" applyFont="true" applyBorder="true" applyAlignment="true" applyProtection="false">
      <alignment horizontal="left" vertical="center" textRotation="0" wrapText="false" indent="1" shrinkToFit="false"/>
    </xf>
    <xf numFmtId="164" fontId="37" fillId="6" borderId="0" applyFont="true" applyBorder="true" applyAlignment="true" applyProtection="false">
      <alignment horizontal="left" vertical="center" textRotation="0" wrapText="false" indent="1" shrinkToFit="false"/>
    </xf>
    <xf numFmtId="164" fontId="37" fillId="6" borderId="0" applyFont="true" applyBorder="true" applyAlignment="true" applyProtection="false">
      <alignment horizontal="left" vertical="center" textRotation="0" wrapText="false" indent="1" shrinkToFit="false"/>
    </xf>
    <xf numFmtId="164" fontId="38" fillId="3" borderId="0" applyFont="true" applyBorder="true" applyAlignment="true" applyProtection="false">
      <alignment horizontal="left" vertical="center" textRotation="0" wrapText="false" indent="1" shrinkToFit="false"/>
    </xf>
    <xf numFmtId="164" fontId="4" fillId="18" borderId="6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4" fillId="18" borderId="6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4" fillId="18" borderId="6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4" fillId="18" borderId="6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4" fillId="6" borderId="6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4" fillId="6" borderId="6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4" fillId="6" borderId="6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4" fillId="6" borderId="6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4" fillId="19" borderId="6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4" fillId="19" borderId="6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4" fillId="19" borderId="6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4" fillId="19" borderId="6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4" fillId="17" borderId="6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4" fillId="17" borderId="6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5" fillId="3" borderId="7" applyFont="true" applyBorder="true" applyAlignment="true" applyProtection="false">
      <alignment horizontal="left" vertical="center" textRotation="0" wrapText="false" indent="1" shrinkToFit="false"/>
    </xf>
    <xf numFmtId="164" fontId="4" fillId="17" borderId="6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4" fillId="17" borderId="6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5" fillId="3" borderId="7" applyFont="true" applyBorder="true" applyAlignment="true" applyProtection="false">
      <alignment horizontal="left" vertical="top" textRotation="0" wrapText="false" indent="1" shrinkToFit="false"/>
    </xf>
    <xf numFmtId="164" fontId="37" fillId="20" borderId="6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7" fillId="20" borderId="6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41" fillId="20" borderId="6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41" fillId="20" borderId="6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8" fillId="3" borderId="7" applyFont="true" applyBorder="true" applyAlignment="true" applyProtection="false">
      <alignment horizontal="general" vertical="center" textRotation="0" wrapText="false" indent="0" shrinkToFit="false"/>
    </xf>
    <xf numFmtId="164" fontId="37" fillId="20" borderId="6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7" fillId="20" borderId="6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7" fillId="20" borderId="6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7" fillId="20" borderId="6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7" fillId="17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17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41" fillId="17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41" fillId="17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7" fillId="6" borderId="6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7" fillId="6" borderId="6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8" fillId="3" borderId="7" applyFont="true" applyBorder="true" applyAlignment="true" applyProtection="false">
      <alignment horizontal="left" vertical="center" textRotation="0" wrapText="false" indent="1" shrinkToFit="false"/>
    </xf>
    <xf numFmtId="164" fontId="37" fillId="6" borderId="6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7" fillId="6" borderId="6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38" fillId="3" borderId="7" applyFont="true" applyBorder="true" applyAlignment="true" applyProtection="false">
      <alignment horizontal="left" vertical="top" textRotation="0" wrapText="false" indent="1" shrinkToFit="false"/>
    </xf>
    <xf numFmtId="164" fontId="42" fillId="21" borderId="0" applyFont="true" applyBorder="true" applyAlignment="true" applyProtection="false">
      <alignment horizontal="left" vertical="center" textRotation="0" wrapText="false" indent="1" shrinkToFit="false"/>
    </xf>
    <xf numFmtId="164" fontId="42" fillId="21" borderId="0" applyFont="true" applyBorder="true" applyAlignment="true" applyProtection="false">
      <alignment horizontal="left" vertical="center" textRotation="0" wrapText="false" indent="1" shrinkToFit="false"/>
    </xf>
    <xf numFmtId="164" fontId="43" fillId="3" borderId="0" applyFont="true" applyBorder="true" applyAlignment="true" applyProtection="false">
      <alignment horizontal="left" vertical="center" textRotation="0" wrapText="false" indent="1" shrinkToFit="false"/>
    </xf>
    <xf numFmtId="164" fontId="44" fillId="17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44" fillId="17" borderId="6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64" fontId="38" fillId="3" borderId="7" applyFont="true" applyBorder="true" applyAlignment="true" applyProtection="false">
      <alignment horizontal="right" vertical="center" textRotation="0" wrapText="false" indent="0" shrinkToFit="false"/>
    </xf>
    <xf numFmtId="188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8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6" fontId="5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5" fillId="0" borderId="0" applyFont="true" applyBorder="false" applyAlignment="true" applyProtection="false">
      <alignment horizontal="general" vertical="bottom" textRotation="0" wrapText="false" indent="0" shrinkToFit="false"/>
    </xf>
    <xf numFmtId="164" fontId="45" fillId="0" borderId="0" applyFont="true" applyBorder="false" applyAlignment="true" applyProtection="false">
      <alignment horizontal="general" vertical="bottom" textRotation="0" wrapText="false" indent="0" shrinkToFit="false"/>
    </xf>
    <xf numFmtId="164" fontId="46" fillId="0" borderId="0" applyFont="true" applyBorder="false" applyAlignment="true" applyProtection="false">
      <alignment horizontal="general" vertical="bottom" textRotation="0" wrapText="false" indent="0" shrinkToFit="false"/>
    </xf>
    <xf numFmtId="164" fontId="47" fillId="0" borderId="0" applyFont="true" applyBorder="false" applyAlignment="true" applyProtection="false">
      <alignment horizontal="general" vertical="bottom" textRotation="0" wrapText="false" indent="0" shrinkToFit="false"/>
    </xf>
    <xf numFmtId="164" fontId="47" fillId="0" borderId="0" applyFont="true" applyBorder="false" applyAlignment="true" applyProtection="false">
      <alignment horizontal="general" vertical="bottom" textRotation="0" wrapText="false" indent="0" shrinkToFit="false"/>
    </xf>
    <xf numFmtId="164" fontId="48" fillId="0" borderId="0" applyFont="true" applyBorder="false" applyAlignment="true" applyProtection="false">
      <alignment horizontal="general" vertical="bottom" textRotation="0" wrapText="false" indent="0" shrinkToFit="false"/>
    </xf>
    <xf numFmtId="164" fontId="48" fillId="0" borderId="0" applyFont="true" applyBorder="false" applyAlignment="true" applyProtection="false">
      <alignment horizontal="general" vertical="bottom" textRotation="0" wrapText="false" indent="0" shrinkToFit="false"/>
    </xf>
    <xf numFmtId="164" fontId="48" fillId="0" borderId="0" applyFont="true" applyBorder="false" applyAlignment="true" applyProtection="false">
      <alignment horizontal="general" vertical="bottom" textRotation="0" wrapText="false" indent="0" shrinkToFit="false"/>
    </xf>
    <xf numFmtId="164" fontId="48" fillId="0" borderId="0" applyFont="true" applyBorder="false" applyAlignment="true" applyProtection="false">
      <alignment horizontal="general" vertical="bottom" textRotation="0" wrapText="false" indent="0" shrinkToFit="false"/>
    </xf>
    <xf numFmtId="164" fontId="49" fillId="0" borderId="0" applyFont="true" applyBorder="false" applyAlignment="true" applyProtection="false">
      <alignment horizontal="general" vertical="bottom" textRotation="0" wrapText="false" indent="0" shrinkToFit="false"/>
    </xf>
    <xf numFmtId="164" fontId="49" fillId="0" borderId="0" applyFont="true" applyBorder="false" applyAlignment="true" applyProtection="false">
      <alignment horizontal="general" vertical="bottom" textRotation="0" wrapText="false" indent="0" shrinkToFit="false"/>
    </xf>
    <xf numFmtId="164" fontId="5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2" fillId="2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7" fontId="5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4" fontId="53" fillId="0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7" fontId="53" fillId="0" borderId="10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98" fontId="5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6" fillId="2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2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9" fontId="5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5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0" fontId="57" fillId="0" borderId="10" xfId="14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51" fillId="0" borderId="10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94" fontId="57" fillId="0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4" fontId="57" fillId="0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57" fillId="0" borderId="1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57" fillId="23" borderId="1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4" fontId="57" fillId="24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17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93" fontId="0" fillId="0" borderId="0" xfId="19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209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99" fontId="28" fillId="0" borderId="0" xfId="209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20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20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28" fillId="0" borderId="0" xfId="209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9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25" fillId="0" borderId="0" xfId="15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5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58" fillId="9" borderId="0" xfId="15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51" fillId="0" borderId="0" xfId="15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15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9" fontId="28" fillId="0" borderId="0" xfId="20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28" fillId="0" borderId="0" xfId="15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7" fontId="5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56" fillId="2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2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2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5" xfId="17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9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line" xfId="20"/>
    <cellStyle name="2line 2" xfId="21"/>
    <cellStyle name="2line 3" xfId="22"/>
    <cellStyle name="args.style" xfId="23"/>
    <cellStyle name="args.style 2" xfId="24"/>
    <cellStyle name="args.style 3" xfId="25"/>
    <cellStyle name="blue" xfId="26"/>
    <cellStyle name="blue 2" xfId="27"/>
    <cellStyle name="blue 3" xfId="28"/>
    <cellStyle name="Calc Currency (0)" xfId="29"/>
    <cellStyle name="Calc Currency (0) 2" xfId="30"/>
    <cellStyle name="Calc Currency (0) 3" xfId="31"/>
    <cellStyle name="Calc Currency (2)" xfId="32"/>
    <cellStyle name="Calc Currency (2) 2" xfId="33"/>
    <cellStyle name="Calc Currency (2) 3" xfId="34"/>
    <cellStyle name="Calc Percent (0)" xfId="35"/>
    <cellStyle name="Calc Percent (0) 2" xfId="36"/>
    <cellStyle name="Calc Percent (0) 3" xfId="37"/>
    <cellStyle name="Calc Percent (1)" xfId="38"/>
    <cellStyle name="Calc Percent (1) 2" xfId="39"/>
    <cellStyle name="Calc Percent (1) 3" xfId="40"/>
    <cellStyle name="Calc Percent (2)" xfId="41"/>
    <cellStyle name="Calc Percent (2) 2" xfId="42"/>
    <cellStyle name="Calc Percent (2) 3" xfId="43"/>
    <cellStyle name="Calc Units (0)" xfId="44"/>
    <cellStyle name="Calc Units (0) 2" xfId="45"/>
    <cellStyle name="Calc Units (0) 3" xfId="46"/>
    <cellStyle name="Calc Units (1)" xfId="47"/>
    <cellStyle name="Calc Units (1) 2" xfId="48"/>
    <cellStyle name="Calc Units (1) 3" xfId="49"/>
    <cellStyle name="Calc Units (2)" xfId="50"/>
    <cellStyle name="Calc Units (2) 2" xfId="51"/>
    <cellStyle name="Calc Units (2) 3" xfId="52"/>
    <cellStyle name="Column_Title" xfId="53"/>
    <cellStyle name="Comma 2" xfId="54"/>
    <cellStyle name="Comma 2 2" xfId="55"/>
    <cellStyle name="Comma 2 2 2" xfId="56"/>
    <cellStyle name="Comma 2 2 3" xfId="57"/>
    <cellStyle name="Comma 2 3" xfId="58"/>
    <cellStyle name="Comma 2 3 2" xfId="59"/>
    <cellStyle name="Comma 2 3 3" xfId="60"/>
    <cellStyle name="Comma 2 4" xfId="61"/>
    <cellStyle name="Comma 2 5" xfId="62"/>
    <cellStyle name="Comma 3" xfId="63"/>
    <cellStyle name="Comma 3 2" xfId="64"/>
    <cellStyle name="Comma 3 2 2" xfId="65"/>
    <cellStyle name="Comma 3 2 3" xfId="66"/>
    <cellStyle name="Comma 3 3" xfId="67"/>
    <cellStyle name="Comma 3 4" xfId="68"/>
    <cellStyle name="Comma 6" xfId="69"/>
    <cellStyle name="Comma 6 2" xfId="70"/>
    <cellStyle name="Comma 6 3" xfId="71"/>
    <cellStyle name="Comma0" xfId="72"/>
    <cellStyle name="Comma0 2" xfId="73"/>
    <cellStyle name="Comma0 3" xfId="74"/>
    <cellStyle name="Currency0" xfId="75"/>
    <cellStyle name="Currency0 2" xfId="76"/>
    <cellStyle name="Currency0 3" xfId="77"/>
    <cellStyle name="Curreî™y [0]_SEXH8_SEXH9" xfId="78"/>
    <cellStyle name="custom" xfId="79"/>
    <cellStyle name="custom 2" xfId="80"/>
    <cellStyle name="custom 3" xfId="81"/>
    <cellStyle name="Date" xfId="82"/>
    <cellStyle name="Date 2" xfId="83"/>
    <cellStyle name="Date 3" xfId="84"/>
    <cellStyle name="Fixed" xfId="85"/>
    <cellStyle name="Fixed 2" xfId="86"/>
    <cellStyle name="Fixed 3" xfId="87"/>
    <cellStyle name="Grey" xfId="88"/>
    <cellStyle name="Grey 2" xfId="89"/>
    <cellStyle name="Grey 3" xfId="90"/>
    <cellStyle name="Header1" xfId="91"/>
    <cellStyle name="Header1 10" xfId="92"/>
    <cellStyle name="Header1 11" xfId="93"/>
    <cellStyle name="Header1 12" xfId="94"/>
    <cellStyle name="Header1 13" xfId="95"/>
    <cellStyle name="Header1 14" xfId="96"/>
    <cellStyle name="Header1 15" xfId="97"/>
    <cellStyle name="Header1 16" xfId="98"/>
    <cellStyle name="Header1 2" xfId="99"/>
    <cellStyle name="Header1 2 10" xfId="100"/>
    <cellStyle name="Header1 2 11" xfId="101"/>
    <cellStyle name="Header1 2 12" xfId="102"/>
    <cellStyle name="Header1 2 13" xfId="103"/>
    <cellStyle name="Header1 2 14" xfId="104"/>
    <cellStyle name="Header1 2 2" xfId="105"/>
    <cellStyle name="Header1 2 3" xfId="106"/>
    <cellStyle name="Header1 2 4" xfId="107"/>
    <cellStyle name="Header1 2 5" xfId="108"/>
    <cellStyle name="Header1 2 6" xfId="109"/>
    <cellStyle name="Header1 2 7" xfId="110"/>
    <cellStyle name="Header1 2 8" xfId="111"/>
    <cellStyle name="Header1 2 9" xfId="112"/>
    <cellStyle name="Header1 3" xfId="113"/>
    <cellStyle name="Header1 4" xfId="114"/>
    <cellStyle name="Header1 5" xfId="115"/>
    <cellStyle name="Header1 6" xfId="116"/>
    <cellStyle name="Header1 7" xfId="117"/>
    <cellStyle name="Header1 8" xfId="118"/>
    <cellStyle name="Header1 9" xfId="119"/>
    <cellStyle name="Header2" xfId="120"/>
    <cellStyle name="Header2 2" xfId="121"/>
    <cellStyle name="Header2 2 2" xfId="122"/>
    <cellStyle name="Header2 2 3" xfId="123"/>
    <cellStyle name="Header2 2 4" xfId="124"/>
    <cellStyle name="Header2 2 5" xfId="125"/>
    <cellStyle name="Header2 3" xfId="126"/>
    <cellStyle name="Header2 4" xfId="127"/>
    <cellStyle name="Header2 5" xfId="128"/>
    <cellStyle name="Header2 6" xfId="129"/>
    <cellStyle name="Header2 7" xfId="130"/>
    <cellStyle name="Indefinido" xfId="131"/>
    <cellStyle name="Indefinido 2" xfId="132"/>
    <cellStyle name="Indefinido 3" xfId="133"/>
    <cellStyle name="Input [yellow]" xfId="134"/>
    <cellStyle name="Input [yellow] 10" xfId="135"/>
    <cellStyle name="Input [yellow] 11" xfId="136"/>
    <cellStyle name="Input [yellow] 12" xfId="137"/>
    <cellStyle name="Input [yellow] 2" xfId="138"/>
    <cellStyle name="Input [yellow] 3" xfId="139"/>
    <cellStyle name="Input [yellow] 4" xfId="140"/>
    <cellStyle name="Input [yellow] 5" xfId="141"/>
    <cellStyle name="Input [yellow] 6" xfId="142"/>
    <cellStyle name="Input [yellow] 7" xfId="143"/>
    <cellStyle name="Input [yellow] 8" xfId="144"/>
    <cellStyle name="Input [yellow] 9" xfId="145"/>
    <cellStyle name="Millares_laroux" xfId="146"/>
    <cellStyle name="Milliers [0]_!!!GO" xfId="147"/>
    <cellStyle name="Milliers_!!!GO" xfId="148"/>
    <cellStyle name="Moeda 2" xfId="149"/>
    <cellStyle name="Moeda 2 2" xfId="150"/>
    <cellStyle name="Moeda 2 2 2" xfId="151"/>
    <cellStyle name="Moeda 2 2 3" xfId="152"/>
    <cellStyle name="Moeda 2 3" xfId="153"/>
    <cellStyle name="Moeda 2 4" xfId="154"/>
    <cellStyle name="Moeda 2 5" xfId="155"/>
    <cellStyle name="Moeda 3" xfId="156"/>
    <cellStyle name="Moeda 3 2" xfId="157"/>
    <cellStyle name="Moeda 4" xfId="158"/>
    <cellStyle name="Moeda 5" xfId="159"/>
    <cellStyle name="Moeda 6" xfId="160"/>
    <cellStyle name="Moneda [0]_laroux" xfId="161"/>
    <cellStyle name="Moneda_laroux" xfId="162"/>
    <cellStyle name="Monétaire [0]_!!!GO" xfId="163"/>
    <cellStyle name="Monétaire_!!!GO" xfId="164"/>
    <cellStyle name="New Times Roman" xfId="165"/>
    <cellStyle name="New Times Roman 2" xfId="166"/>
    <cellStyle name="New Times Roman 3" xfId="167"/>
    <cellStyle name="no dec" xfId="168"/>
    <cellStyle name="no dec 2" xfId="169"/>
    <cellStyle name="no dec 3" xfId="170"/>
    <cellStyle name="Normal - Style1" xfId="171"/>
    <cellStyle name="Normal - Style1 10 2" xfId="172"/>
    <cellStyle name="Normal - Style1 10 2 2" xfId="173"/>
    <cellStyle name="Normal - Style1 10 2 3" xfId="174"/>
    <cellStyle name="Normal - Style1 2" xfId="175"/>
    <cellStyle name="Normal - Style1 3" xfId="176"/>
    <cellStyle name="Normal 10" xfId="177"/>
    <cellStyle name="Normal 10 2" xfId="178"/>
    <cellStyle name="Normal 10 3" xfId="179"/>
    <cellStyle name="Normal 11" xfId="180"/>
    <cellStyle name="Normal 12" xfId="181"/>
    <cellStyle name="Normal 13" xfId="182"/>
    <cellStyle name="Normal 14" xfId="183"/>
    <cellStyle name="Normal 15" xfId="184"/>
    <cellStyle name="Normal 16" xfId="185"/>
    <cellStyle name="Normal 17" xfId="186"/>
    <cellStyle name="Normal 18" xfId="187"/>
    <cellStyle name="Normal 19" xfId="188"/>
    <cellStyle name="Normal 2" xfId="189"/>
    <cellStyle name="Normal 2 2" xfId="190"/>
    <cellStyle name="Normal 2 2 2" xfId="191"/>
    <cellStyle name="Normal 2 2 3" xfId="192"/>
    <cellStyle name="Normal 2 3" xfId="193"/>
    <cellStyle name="Normal 2 4" xfId="194"/>
    <cellStyle name="Normal 2 5" xfId="195"/>
    <cellStyle name="Normal 20" xfId="196"/>
    <cellStyle name="Normal 21" xfId="197"/>
    <cellStyle name="Normal 22" xfId="198"/>
    <cellStyle name="Normal 23" xfId="199"/>
    <cellStyle name="Normal 24" xfId="200"/>
    <cellStyle name="Normal 25" xfId="201"/>
    <cellStyle name="Normal 26" xfId="202"/>
    <cellStyle name="Normal 27" xfId="203"/>
    <cellStyle name="Normal 28" xfId="204"/>
    <cellStyle name="Normal 29" xfId="205"/>
    <cellStyle name="Normal 3" xfId="206"/>
    <cellStyle name="Normal 3 2" xfId="207"/>
    <cellStyle name="Normal 3 3" xfId="208"/>
    <cellStyle name="Normal 30" xfId="209"/>
    <cellStyle name="Normal 31" xfId="210"/>
    <cellStyle name="Normal 4" xfId="211"/>
    <cellStyle name="Normal 4 2" xfId="212"/>
    <cellStyle name="Normal 4 2 2" xfId="213"/>
    <cellStyle name="Normal 4 2 3" xfId="214"/>
    <cellStyle name="Normal 4 3" xfId="215"/>
    <cellStyle name="Normal 4 3 2" xfId="216"/>
    <cellStyle name="Normal 4 3 3" xfId="217"/>
    <cellStyle name="Normal 4 4" xfId="218"/>
    <cellStyle name="Normal 4 5" xfId="219"/>
    <cellStyle name="Normal 5" xfId="220"/>
    <cellStyle name="Normal 5 2" xfId="221"/>
    <cellStyle name="Normal 5 3" xfId="222"/>
    <cellStyle name="Normal 6" xfId="223"/>
    <cellStyle name="Normal 6 2" xfId="224"/>
    <cellStyle name="Normal 6 2 2" xfId="225"/>
    <cellStyle name="Normal 6 2 3" xfId="226"/>
    <cellStyle name="Normal 6 3" xfId="227"/>
    <cellStyle name="Normal 6 4" xfId="228"/>
    <cellStyle name="Normal 7" xfId="229"/>
    <cellStyle name="Normal 7 2" xfId="230"/>
    <cellStyle name="Normal 7 3" xfId="231"/>
    <cellStyle name="Normal 8" xfId="232"/>
    <cellStyle name="Normal 8 2" xfId="233"/>
    <cellStyle name="Normal 8 3" xfId="234"/>
    <cellStyle name="Normal 9" xfId="235"/>
    <cellStyle name="Normal 9 2" xfId="236"/>
    <cellStyle name="Normal 9 3" xfId="237"/>
    <cellStyle name="Notas" xfId="238"/>
    <cellStyle name="Notas 2" xfId="239"/>
    <cellStyle name="Notas 3" xfId="240"/>
    <cellStyle name="per.style" xfId="241"/>
    <cellStyle name="per.style 2" xfId="242"/>
    <cellStyle name="per.style 3" xfId="243"/>
    <cellStyle name="Percent 2" xfId="244"/>
    <cellStyle name="Percent 2 2" xfId="245"/>
    <cellStyle name="Percent 2 2 2" xfId="246"/>
    <cellStyle name="Percent 2 2 3" xfId="247"/>
    <cellStyle name="Percent 2 3" xfId="248"/>
    <cellStyle name="Percent 2 4" xfId="249"/>
    <cellStyle name="Percent 3" xfId="250"/>
    <cellStyle name="Percent 3 2" xfId="251"/>
    <cellStyle name="Percent 3 3" xfId="252"/>
    <cellStyle name="Percent 4" xfId="253"/>
    <cellStyle name="Percent 4 2" xfId="254"/>
    <cellStyle name="Percent 4 3" xfId="255"/>
    <cellStyle name="Percent 5" xfId="256"/>
    <cellStyle name="Percent 5 2" xfId="257"/>
    <cellStyle name="Percent 5 3" xfId="258"/>
    <cellStyle name="Percent 6" xfId="259"/>
    <cellStyle name="Percent 6 2" xfId="260"/>
    <cellStyle name="Percent 6 3" xfId="261"/>
    <cellStyle name="Percent [2]" xfId="262"/>
    <cellStyle name="Percent [2] 2" xfId="263"/>
    <cellStyle name="Percent [2] 3" xfId="264"/>
    <cellStyle name="Porcentagem 2" xfId="265"/>
    <cellStyle name="Porcentagem 2 2" xfId="266"/>
    <cellStyle name="Porcentagem 2 3" xfId="267"/>
    <cellStyle name="Porcentagem 3" xfId="268"/>
    <cellStyle name="Porcentagem 4" xfId="269"/>
    <cellStyle name="PSChar" xfId="270"/>
    <cellStyle name="PSChar 2" xfId="271"/>
    <cellStyle name="PSChar 3" xfId="272"/>
    <cellStyle name="PSDate" xfId="273"/>
    <cellStyle name="PSDate 2" xfId="274"/>
    <cellStyle name="PSDate 3" xfId="275"/>
    <cellStyle name="PSDec" xfId="276"/>
    <cellStyle name="PSDec 2" xfId="277"/>
    <cellStyle name="PSDec 3" xfId="278"/>
    <cellStyle name="PSHeading" xfId="279"/>
    <cellStyle name="PSHeading 2" xfId="280"/>
    <cellStyle name="PSHeading 3" xfId="281"/>
    <cellStyle name="PSInt" xfId="282"/>
    <cellStyle name="PSInt 2" xfId="283"/>
    <cellStyle name="PSInt 3" xfId="284"/>
    <cellStyle name="PSSpacer" xfId="285"/>
    <cellStyle name="PSSpacer 2" xfId="286"/>
    <cellStyle name="PSSpacer 3" xfId="287"/>
    <cellStyle name="Rows" xfId="288"/>
    <cellStyle name="Rows 10" xfId="289"/>
    <cellStyle name="Rows 11" xfId="290"/>
    <cellStyle name="Rows 12" xfId="291"/>
    <cellStyle name="Rows 2" xfId="292"/>
    <cellStyle name="Rows 2 2" xfId="293"/>
    <cellStyle name="Rows 2 3" xfId="294"/>
    <cellStyle name="Rows 2 4" xfId="295"/>
    <cellStyle name="Rows 2 5" xfId="296"/>
    <cellStyle name="Rows 2 6" xfId="297"/>
    <cellStyle name="Rows 2 7" xfId="298"/>
    <cellStyle name="Rows 2 8" xfId="299"/>
    <cellStyle name="Rows 2 9" xfId="300"/>
    <cellStyle name="Rows 3" xfId="301"/>
    <cellStyle name="Rows 4" xfId="302"/>
    <cellStyle name="Rows 5" xfId="303"/>
    <cellStyle name="Rows 6" xfId="304"/>
    <cellStyle name="Rows 7" xfId="305"/>
    <cellStyle name="Rows 8" xfId="306"/>
    <cellStyle name="Rows 9" xfId="307"/>
    <cellStyle name="SAPBEXaggData" xfId="308"/>
    <cellStyle name="SAPBEXaggData 10" xfId="309"/>
    <cellStyle name="SAPBEXaggData 11" xfId="310"/>
    <cellStyle name="SAPBEXaggData 12" xfId="311"/>
    <cellStyle name="SAPBEXaggData 2" xfId="312"/>
    <cellStyle name="SAPBEXaggData 3" xfId="313"/>
    <cellStyle name="SAPBEXaggData 4" xfId="314"/>
    <cellStyle name="SAPBEXaggData 5" xfId="315"/>
    <cellStyle name="SAPBEXaggData 6" xfId="316"/>
    <cellStyle name="SAPBEXaggData 7" xfId="317"/>
    <cellStyle name="SAPBEXaggData 8" xfId="318"/>
    <cellStyle name="SAPBEXaggData 9" xfId="319"/>
    <cellStyle name="SAPBEXaggDataEmph" xfId="320"/>
    <cellStyle name="SAPBEXaggDataEmph 10" xfId="321"/>
    <cellStyle name="SAPBEXaggDataEmph 11" xfId="322"/>
    <cellStyle name="SAPBEXaggDataEmph 12" xfId="323"/>
    <cellStyle name="SAPBEXaggDataEmph 2" xfId="324"/>
    <cellStyle name="SAPBEXaggDataEmph 3" xfId="325"/>
    <cellStyle name="SAPBEXaggDataEmph 4" xfId="326"/>
    <cellStyle name="SAPBEXaggDataEmph 5" xfId="327"/>
    <cellStyle name="SAPBEXaggDataEmph 6" xfId="328"/>
    <cellStyle name="SAPBEXaggDataEmph 7" xfId="329"/>
    <cellStyle name="SAPBEXaggDataEmph 8" xfId="330"/>
    <cellStyle name="SAPBEXaggDataEmph 9" xfId="331"/>
    <cellStyle name="SAPBEXaggItem" xfId="332"/>
    <cellStyle name="SAPBEXaggItem 10" xfId="333"/>
    <cellStyle name="SAPBEXaggItem 11" xfId="334"/>
    <cellStyle name="SAPBEXaggItem 12" xfId="335"/>
    <cellStyle name="SAPBEXaggItem 2" xfId="336"/>
    <cellStyle name="SAPBEXaggItem 3" xfId="337"/>
    <cellStyle name="SAPBEXaggItem 4" xfId="338"/>
    <cellStyle name="SAPBEXaggItem 5" xfId="339"/>
    <cellStyle name="SAPBEXaggItem 6" xfId="340"/>
    <cellStyle name="SAPBEXaggItem 7" xfId="341"/>
    <cellStyle name="SAPBEXaggItem 8" xfId="342"/>
    <cellStyle name="SAPBEXaggItem 9" xfId="343"/>
    <cellStyle name="SAPBEXaggItemX" xfId="344"/>
    <cellStyle name="SAPBEXaggItemX 10" xfId="345"/>
    <cellStyle name="SAPBEXaggItemX 11" xfId="346"/>
    <cellStyle name="SAPBEXaggItemX 12" xfId="347"/>
    <cellStyle name="SAPBEXaggItemX 2" xfId="348"/>
    <cellStyle name="SAPBEXaggItemX 3" xfId="349"/>
    <cellStyle name="SAPBEXaggItemX 4" xfId="350"/>
    <cellStyle name="SAPBEXaggItemX 5" xfId="351"/>
    <cellStyle name="SAPBEXaggItemX 6" xfId="352"/>
    <cellStyle name="SAPBEXaggItemX 7" xfId="353"/>
    <cellStyle name="SAPBEXaggItemX 8" xfId="354"/>
    <cellStyle name="SAPBEXaggItemX 9" xfId="355"/>
    <cellStyle name="SAPBEXchaText" xfId="356"/>
    <cellStyle name="SAPBEXchaText 2" xfId="357"/>
    <cellStyle name="SAPBEXchaText 3" xfId="358"/>
    <cellStyle name="SAPBEXexcBad7" xfId="359"/>
    <cellStyle name="SAPBEXexcBad7 10" xfId="360"/>
    <cellStyle name="SAPBEXexcBad7 11" xfId="361"/>
    <cellStyle name="SAPBEXexcBad7 12" xfId="362"/>
    <cellStyle name="SAPBEXexcBad7 2" xfId="363"/>
    <cellStyle name="SAPBEXexcBad7 3" xfId="364"/>
    <cellStyle name="SAPBEXexcBad7 4" xfId="365"/>
    <cellStyle name="SAPBEXexcBad7 5" xfId="366"/>
    <cellStyle name="SAPBEXexcBad7 6" xfId="367"/>
    <cellStyle name="SAPBEXexcBad7 7" xfId="368"/>
    <cellStyle name="SAPBEXexcBad7 8" xfId="369"/>
    <cellStyle name="SAPBEXexcBad7 9" xfId="370"/>
    <cellStyle name="SAPBEXexcBad8" xfId="371"/>
    <cellStyle name="SAPBEXexcBad8 10" xfId="372"/>
    <cellStyle name="SAPBEXexcBad8 11" xfId="373"/>
    <cellStyle name="SAPBEXexcBad8 12" xfId="374"/>
    <cellStyle name="SAPBEXexcBad8 2" xfId="375"/>
    <cellStyle name="SAPBEXexcBad8 3" xfId="376"/>
    <cellStyle name="SAPBEXexcBad8 4" xfId="377"/>
    <cellStyle name="SAPBEXexcBad8 5" xfId="378"/>
    <cellStyle name="SAPBEXexcBad8 6" xfId="379"/>
    <cellStyle name="SAPBEXexcBad8 7" xfId="380"/>
    <cellStyle name="SAPBEXexcBad8 8" xfId="381"/>
    <cellStyle name="SAPBEXexcBad8 9" xfId="382"/>
    <cellStyle name="SAPBEXexcBad9" xfId="383"/>
    <cellStyle name="SAPBEXexcBad9 10" xfId="384"/>
    <cellStyle name="SAPBEXexcBad9 11" xfId="385"/>
    <cellStyle name="SAPBEXexcBad9 12" xfId="386"/>
    <cellStyle name="SAPBEXexcBad9 2" xfId="387"/>
    <cellStyle name="SAPBEXexcBad9 3" xfId="388"/>
    <cellStyle name="SAPBEXexcBad9 4" xfId="389"/>
    <cellStyle name="SAPBEXexcBad9 5" xfId="390"/>
    <cellStyle name="SAPBEXexcBad9 6" xfId="391"/>
    <cellStyle name="SAPBEXexcBad9 7" xfId="392"/>
    <cellStyle name="SAPBEXexcBad9 8" xfId="393"/>
    <cellStyle name="SAPBEXexcBad9 9" xfId="394"/>
    <cellStyle name="SAPBEXexcCritical4" xfId="395"/>
    <cellStyle name="SAPBEXexcCritical4 10" xfId="396"/>
    <cellStyle name="SAPBEXexcCritical4 11" xfId="397"/>
    <cellStyle name="SAPBEXexcCritical4 12" xfId="398"/>
    <cellStyle name="SAPBEXexcCritical4 2" xfId="399"/>
    <cellStyle name="SAPBEXexcCritical4 3" xfId="400"/>
    <cellStyle name="SAPBEXexcCritical4 4" xfId="401"/>
    <cellStyle name="SAPBEXexcCritical4 5" xfId="402"/>
    <cellStyle name="SAPBEXexcCritical4 6" xfId="403"/>
    <cellStyle name="SAPBEXexcCritical4 7" xfId="404"/>
    <cellStyle name="SAPBEXexcCritical4 8" xfId="405"/>
    <cellStyle name="SAPBEXexcCritical4 9" xfId="406"/>
    <cellStyle name="SAPBEXexcCritical5" xfId="407"/>
    <cellStyle name="SAPBEXexcCritical5 10" xfId="408"/>
    <cellStyle name="SAPBEXexcCritical5 11" xfId="409"/>
    <cellStyle name="SAPBEXexcCritical5 12" xfId="410"/>
    <cellStyle name="SAPBEXexcCritical5 2" xfId="411"/>
    <cellStyle name="SAPBEXexcCritical5 3" xfId="412"/>
    <cellStyle name="SAPBEXexcCritical5 4" xfId="413"/>
    <cellStyle name="SAPBEXexcCritical5 5" xfId="414"/>
    <cellStyle name="SAPBEXexcCritical5 6" xfId="415"/>
    <cellStyle name="SAPBEXexcCritical5 7" xfId="416"/>
    <cellStyle name="SAPBEXexcCritical5 8" xfId="417"/>
    <cellStyle name="SAPBEXexcCritical5 9" xfId="418"/>
    <cellStyle name="SAPBEXexcCritical6" xfId="419"/>
    <cellStyle name="SAPBEXexcCritical6 10" xfId="420"/>
    <cellStyle name="SAPBEXexcCritical6 11" xfId="421"/>
    <cellStyle name="SAPBEXexcCritical6 12" xfId="422"/>
    <cellStyle name="SAPBEXexcCritical6 2" xfId="423"/>
    <cellStyle name="SAPBEXexcCritical6 3" xfId="424"/>
    <cellStyle name="SAPBEXexcCritical6 4" xfId="425"/>
    <cellStyle name="SAPBEXexcCritical6 5" xfId="426"/>
    <cellStyle name="SAPBEXexcCritical6 6" xfId="427"/>
    <cellStyle name="SAPBEXexcCritical6 7" xfId="428"/>
    <cellStyle name="SAPBEXexcCritical6 8" xfId="429"/>
    <cellStyle name="SAPBEXexcCritical6 9" xfId="430"/>
    <cellStyle name="SAPBEXexcGood1" xfId="431"/>
    <cellStyle name="SAPBEXexcGood1 10" xfId="432"/>
    <cellStyle name="SAPBEXexcGood1 11" xfId="433"/>
    <cellStyle name="SAPBEXexcGood1 12" xfId="434"/>
    <cellStyle name="SAPBEXexcGood1 2" xfId="435"/>
    <cellStyle name="SAPBEXexcGood1 3" xfId="436"/>
    <cellStyle name="SAPBEXexcGood1 4" xfId="437"/>
    <cellStyle name="SAPBEXexcGood1 5" xfId="438"/>
    <cellStyle name="SAPBEXexcGood1 6" xfId="439"/>
    <cellStyle name="SAPBEXexcGood1 7" xfId="440"/>
    <cellStyle name="SAPBEXexcGood1 8" xfId="441"/>
    <cellStyle name="SAPBEXexcGood1 9" xfId="442"/>
    <cellStyle name="SAPBEXexcGood2" xfId="443"/>
    <cellStyle name="SAPBEXexcGood2 10" xfId="444"/>
    <cellStyle name="SAPBEXexcGood2 11" xfId="445"/>
    <cellStyle name="SAPBEXexcGood2 12" xfId="446"/>
    <cellStyle name="SAPBEXexcGood2 2" xfId="447"/>
    <cellStyle name="SAPBEXexcGood2 3" xfId="448"/>
    <cellStyle name="SAPBEXexcGood2 4" xfId="449"/>
    <cellStyle name="SAPBEXexcGood2 5" xfId="450"/>
    <cellStyle name="SAPBEXexcGood2 6" xfId="451"/>
    <cellStyle name="SAPBEXexcGood2 7" xfId="452"/>
    <cellStyle name="SAPBEXexcGood2 8" xfId="453"/>
    <cellStyle name="SAPBEXexcGood2 9" xfId="454"/>
    <cellStyle name="SAPBEXexcGood3" xfId="455"/>
    <cellStyle name="SAPBEXexcGood3 10" xfId="456"/>
    <cellStyle name="SAPBEXexcGood3 11" xfId="457"/>
    <cellStyle name="SAPBEXexcGood3 12" xfId="458"/>
    <cellStyle name="SAPBEXexcGood3 2" xfId="459"/>
    <cellStyle name="SAPBEXexcGood3 3" xfId="460"/>
    <cellStyle name="SAPBEXexcGood3 4" xfId="461"/>
    <cellStyle name="SAPBEXexcGood3 5" xfId="462"/>
    <cellStyle name="SAPBEXexcGood3 6" xfId="463"/>
    <cellStyle name="SAPBEXexcGood3 7" xfId="464"/>
    <cellStyle name="SAPBEXexcGood3 8" xfId="465"/>
    <cellStyle name="SAPBEXexcGood3 9" xfId="466"/>
    <cellStyle name="SAPBEXfilterDrill" xfId="467"/>
    <cellStyle name="SAPBEXfilterDrill 10" xfId="468"/>
    <cellStyle name="SAPBEXfilterDrill 11" xfId="469"/>
    <cellStyle name="SAPBEXfilterDrill 12" xfId="470"/>
    <cellStyle name="SAPBEXfilterDrill 13" xfId="471"/>
    <cellStyle name="SAPBEXfilterDrill 14" xfId="472"/>
    <cellStyle name="SAPBEXfilterDrill 15" xfId="473"/>
    <cellStyle name="SAPBEXfilterDrill 16" xfId="474"/>
    <cellStyle name="SAPBEXfilterDrill 2" xfId="475"/>
    <cellStyle name="SAPBEXfilterDrill 3" xfId="476"/>
    <cellStyle name="SAPBEXfilterDrill 4" xfId="477"/>
    <cellStyle name="SAPBEXfilterDrill 5" xfId="478"/>
    <cellStyle name="SAPBEXfilterDrill 6" xfId="479"/>
    <cellStyle name="SAPBEXfilterDrill 7" xfId="480"/>
    <cellStyle name="SAPBEXfilterDrill 8" xfId="481"/>
    <cellStyle name="SAPBEXfilterDrill 9" xfId="482"/>
    <cellStyle name="SAPBEXfilterItem" xfId="483"/>
    <cellStyle name="SAPBEXfilterItem 2" xfId="484"/>
    <cellStyle name="SAPBEXfilterItem 3" xfId="485"/>
    <cellStyle name="SAPBEXfilterText" xfId="486"/>
    <cellStyle name="SAPBEXfilterText 2" xfId="487"/>
    <cellStyle name="SAPBEXfilterText 3" xfId="488"/>
    <cellStyle name="SAPBEXformats" xfId="489"/>
    <cellStyle name="SAPBEXformats 10" xfId="490"/>
    <cellStyle name="SAPBEXformats 11" xfId="491"/>
    <cellStyle name="SAPBEXformats 12" xfId="492"/>
    <cellStyle name="SAPBEXformats 2" xfId="493"/>
    <cellStyle name="SAPBEXformats 3" xfId="494"/>
    <cellStyle name="SAPBEXformats 4" xfId="495"/>
    <cellStyle name="SAPBEXformats 5" xfId="496"/>
    <cellStyle name="SAPBEXformats 6" xfId="497"/>
    <cellStyle name="SAPBEXformats 7" xfId="498"/>
    <cellStyle name="SAPBEXformats 8" xfId="499"/>
    <cellStyle name="SAPBEXformats 9" xfId="500"/>
    <cellStyle name="SAPBEXheaderItem" xfId="501"/>
    <cellStyle name="SAPBEXheaderItem 2" xfId="502"/>
    <cellStyle name="SAPBEXheaderItem 3" xfId="503"/>
    <cellStyle name="SAPBEXheaderText" xfId="504"/>
    <cellStyle name="SAPBEXheaderText 2" xfId="505"/>
    <cellStyle name="SAPBEXheaderText 3" xfId="506"/>
    <cellStyle name="SAPBEXHLevel0" xfId="507"/>
    <cellStyle name="SAPBEXHLevel0 10" xfId="508"/>
    <cellStyle name="SAPBEXHLevel0 11" xfId="509"/>
    <cellStyle name="SAPBEXHLevel0 12" xfId="510"/>
    <cellStyle name="SAPBEXHLevel0 2" xfId="511"/>
    <cellStyle name="SAPBEXHLevel0 3" xfId="512"/>
    <cellStyle name="SAPBEXHLevel0 4" xfId="513"/>
    <cellStyle name="SAPBEXHLevel0 5" xfId="514"/>
    <cellStyle name="SAPBEXHLevel0 6" xfId="515"/>
    <cellStyle name="SAPBEXHLevel0 7" xfId="516"/>
    <cellStyle name="SAPBEXHLevel0 8" xfId="517"/>
    <cellStyle name="SAPBEXHLevel0 9" xfId="518"/>
    <cellStyle name="SAPBEXHLevel0X" xfId="519"/>
    <cellStyle name="SAPBEXHLevel0X 10" xfId="520"/>
    <cellStyle name="SAPBEXHLevel0X 11" xfId="521"/>
    <cellStyle name="SAPBEXHLevel0X 12" xfId="522"/>
    <cellStyle name="SAPBEXHLevel0X 2" xfId="523"/>
    <cellStyle name="SAPBEXHLevel0X 3" xfId="524"/>
    <cellStyle name="SAPBEXHLevel0X 4" xfId="525"/>
    <cellStyle name="SAPBEXHLevel0X 5" xfId="526"/>
    <cellStyle name="SAPBEXHLevel0X 6" xfId="527"/>
    <cellStyle name="SAPBEXHLevel0X 7" xfId="528"/>
    <cellStyle name="SAPBEXHLevel0X 8" xfId="529"/>
    <cellStyle name="SAPBEXHLevel0X 9" xfId="530"/>
    <cellStyle name="SAPBEXHLevel1" xfId="531"/>
    <cellStyle name="SAPBEXHLevel1 10" xfId="532"/>
    <cellStyle name="SAPBEXHLevel1 11" xfId="533"/>
    <cellStyle name="SAPBEXHLevel1 12" xfId="534"/>
    <cellStyle name="SAPBEXHLevel1 2" xfId="535"/>
    <cellStyle name="SAPBEXHLevel1 3" xfId="536"/>
    <cellStyle name="SAPBEXHLevel1 4" xfId="537"/>
    <cellStyle name="SAPBEXHLevel1 5" xfId="538"/>
    <cellStyle name="SAPBEXHLevel1 6" xfId="539"/>
    <cellStyle name="SAPBEXHLevel1 7" xfId="540"/>
    <cellStyle name="SAPBEXHLevel1 8" xfId="541"/>
    <cellStyle name="SAPBEXHLevel1 9" xfId="542"/>
    <cellStyle name="SAPBEXHLevel1X" xfId="543"/>
    <cellStyle name="SAPBEXHLevel1X 10" xfId="544"/>
    <cellStyle name="SAPBEXHLevel1X 11" xfId="545"/>
    <cellStyle name="SAPBEXHLevel1X 12" xfId="546"/>
    <cellStyle name="SAPBEXHLevel1X 2" xfId="547"/>
    <cellStyle name="SAPBEXHLevel1X 3" xfId="548"/>
    <cellStyle name="SAPBEXHLevel1X 4" xfId="549"/>
    <cellStyle name="SAPBEXHLevel1X 5" xfId="550"/>
    <cellStyle name="SAPBEXHLevel1X 6" xfId="551"/>
    <cellStyle name="SAPBEXHLevel1X 7" xfId="552"/>
    <cellStyle name="SAPBEXHLevel1X 8" xfId="553"/>
    <cellStyle name="SAPBEXHLevel1X 9" xfId="554"/>
    <cellStyle name="SAPBEXHLevel2" xfId="555"/>
    <cellStyle name="SAPBEXHLevel2 10" xfId="556"/>
    <cellStyle name="SAPBEXHLevel2 11" xfId="557"/>
    <cellStyle name="SAPBEXHLevel2 12" xfId="558"/>
    <cellStyle name="SAPBEXHLevel2 2" xfId="559"/>
    <cellStyle name="SAPBEXHLevel2 3" xfId="560"/>
    <cellStyle name="SAPBEXHLevel2 4" xfId="561"/>
    <cellStyle name="SAPBEXHLevel2 5" xfId="562"/>
    <cellStyle name="SAPBEXHLevel2 6" xfId="563"/>
    <cellStyle name="SAPBEXHLevel2 7" xfId="564"/>
    <cellStyle name="SAPBEXHLevel2 8" xfId="565"/>
    <cellStyle name="SAPBEXHLevel2 9" xfId="566"/>
    <cellStyle name="SAPBEXHLevel2X" xfId="567"/>
    <cellStyle name="SAPBEXHLevel2X 10" xfId="568"/>
    <cellStyle name="SAPBEXHLevel2X 11" xfId="569"/>
    <cellStyle name="SAPBEXHLevel2X 12" xfId="570"/>
    <cellStyle name="SAPBEXHLevel2X 2" xfId="571"/>
    <cellStyle name="SAPBEXHLevel2X 3" xfId="572"/>
    <cellStyle name="SAPBEXHLevel2X 4" xfId="573"/>
    <cellStyle name="SAPBEXHLevel2X 5" xfId="574"/>
    <cellStyle name="SAPBEXHLevel2X 6" xfId="575"/>
    <cellStyle name="SAPBEXHLevel2X 7" xfId="576"/>
    <cellStyle name="SAPBEXHLevel2X 8" xfId="577"/>
    <cellStyle name="SAPBEXHLevel2X 9" xfId="578"/>
    <cellStyle name="SAPBEXHLevel3" xfId="579"/>
    <cellStyle name="SAPBEXHLevel3 10" xfId="580"/>
    <cellStyle name="SAPBEXHLevel3 11" xfId="581"/>
    <cellStyle name="SAPBEXHLevel3 12" xfId="582"/>
    <cellStyle name="SAPBEXHLevel3 2" xfId="583"/>
    <cellStyle name="SAPBEXHLevel3 3" xfId="584"/>
    <cellStyle name="SAPBEXHLevel3 4" xfId="585"/>
    <cellStyle name="SAPBEXHLevel3 5" xfId="586"/>
    <cellStyle name="SAPBEXHLevel3 6" xfId="587"/>
    <cellStyle name="SAPBEXHLevel3 7" xfId="588"/>
    <cellStyle name="SAPBEXHLevel3 8" xfId="589"/>
    <cellStyle name="SAPBEXHLevel3 9" xfId="590"/>
    <cellStyle name="SAPBEXHLevel3X" xfId="591"/>
    <cellStyle name="SAPBEXHLevel3X 10" xfId="592"/>
    <cellStyle name="SAPBEXHLevel3X 11" xfId="593"/>
    <cellStyle name="SAPBEXHLevel3X 12" xfId="594"/>
    <cellStyle name="SAPBEXHLevel3X 2" xfId="595"/>
    <cellStyle name="SAPBEXHLevel3X 3" xfId="596"/>
    <cellStyle name="SAPBEXHLevel3X 4" xfId="597"/>
    <cellStyle name="SAPBEXHLevel3X 5" xfId="598"/>
    <cellStyle name="SAPBEXHLevel3X 6" xfId="599"/>
    <cellStyle name="SAPBEXHLevel3X 7" xfId="600"/>
    <cellStyle name="SAPBEXHLevel3X 8" xfId="601"/>
    <cellStyle name="SAPBEXHLevel3X 9" xfId="602"/>
    <cellStyle name="SAPBEXresData" xfId="603"/>
    <cellStyle name="SAPBEXresData 10" xfId="604"/>
    <cellStyle name="SAPBEXresData 11" xfId="605"/>
    <cellStyle name="SAPBEXresData 12" xfId="606"/>
    <cellStyle name="SAPBEXresData 2" xfId="607"/>
    <cellStyle name="SAPBEXresData 3" xfId="608"/>
    <cellStyle name="SAPBEXresData 4" xfId="609"/>
    <cellStyle name="SAPBEXresData 5" xfId="610"/>
    <cellStyle name="SAPBEXresData 6" xfId="611"/>
    <cellStyle name="SAPBEXresData 7" xfId="612"/>
    <cellStyle name="SAPBEXresData 8" xfId="613"/>
    <cellStyle name="SAPBEXresData 9" xfId="614"/>
    <cellStyle name="SAPBEXresDataEmph" xfId="615"/>
    <cellStyle name="SAPBEXresDataEmph 10" xfId="616"/>
    <cellStyle name="SAPBEXresDataEmph 11" xfId="617"/>
    <cellStyle name="SAPBEXresDataEmph 12" xfId="618"/>
    <cellStyle name="SAPBEXresDataEmph 2" xfId="619"/>
    <cellStyle name="SAPBEXresDataEmph 3" xfId="620"/>
    <cellStyle name="SAPBEXresDataEmph 4" xfId="621"/>
    <cellStyle name="SAPBEXresDataEmph 5" xfId="622"/>
    <cellStyle name="SAPBEXresDataEmph 6" xfId="623"/>
    <cellStyle name="SAPBEXresDataEmph 7" xfId="624"/>
    <cellStyle name="SAPBEXresDataEmph 8" xfId="625"/>
    <cellStyle name="SAPBEXresDataEmph 9" xfId="626"/>
    <cellStyle name="SAPBEXresItem" xfId="627"/>
    <cellStyle name="SAPBEXresItem 10" xfId="628"/>
    <cellStyle name="SAPBEXresItem 11" xfId="629"/>
    <cellStyle name="SAPBEXresItem 12" xfId="630"/>
    <cellStyle name="SAPBEXresItem 2" xfId="631"/>
    <cellStyle name="SAPBEXresItem 3" xfId="632"/>
    <cellStyle name="SAPBEXresItem 4" xfId="633"/>
    <cellStyle name="SAPBEXresItem 5" xfId="634"/>
    <cellStyle name="SAPBEXresItem 6" xfId="635"/>
    <cellStyle name="SAPBEXresItem 7" xfId="636"/>
    <cellStyle name="SAPBEXresItem 8" xfId="637"/>
    <cellStyle name="SAPBEXresItem 9" xfId="638"/>
    <cellStyle name="SAPBEXresItemX" xfId="639"/>
    <cellStyle name="SAPBEXresItemX 10" xfId="640"/>
    <cellStyle name="SAPBEXresItemX 11" xfId="641"/>
    <cellStyle name="SAPBEXresItemX 12" xfId="642"/>
    <cellStyle name="SAPBEXresItemX 2" xfId="643"/>
    <cellStyle name="SAPBEXresItemX 3" xfId="644"/>
    <cellStyle name="SAPBEXresItemX 4" xfId="645"/>
    <cellStyle name="SAPBEXresItemX 5" xfId="646"/>
    <cellStyle name="SAPBEXresItemX 6" xfId="647"/>
    <cellStyle name="SAPBEXresItemX 7" xfId="648"/>
    <cellStyle name="SAPBEXresItemX 8" xfId="649"/>
    <cellStyle name="SAPBEXresItemX 9" xfId="650"/>
    <cellStyle name="SAPBEXstdData" xfId="651"/>
    <cellStyle name="SAPBEXstdData 10" xfId="652"/>
    <cellStyle name="SAPBEXstdData 11" xfId="653"/>
    <cellStyle name="SAPBEXstdData 12" xfId="654"/>
    <cellStyle name="SAPBEXstdData 2" xfId="655"/>
    <cellStyle name="SAPBEXstdData 3" xfId="656"/>
    <cellStyle name="SAPBEXstdData 4" xfId="657"/>
    <cellStyle name="SAPBEXstdData 5" xfId="658"/>
    <cellStyle name="SAPBEXstdData 6" xfId="659"/>
    <cellStyle name="SAPBEXstdData 7" xfId="660"/>
    <cellStyle name="SAPBEXstdData 8" xfId="661"/>
    <cellStyle name="SAPBEXstdData 9" xfId="662"/>
    <cellStyle name="SAPBEXstdDataEmph" xfId="663"/>
    <cellStyle name="SAPBEXstdDataEmph 10" xfId="664"/>
    <cellStyle name="SAPBEXstdDataEmph 11" xfId="665"/>
    <cellStyle name="SAPBEXstdDataEmph 12" xfId="666"/>
    <cellStyle name="SAPBEXstdDataEmph 2" xfId="667"/>
    <cellStyle name="SAPBEXstdDataEmph 3" xfId="668"/>
    <cellStyle name="SAPBEXstdDataEmph 4" xfId="669"/>
    <cellStyle name="SAPBEXstdDataEmph 5" xfId="670"/>
    <cellStyle name="SAPBEXstdDataEmph 6" xfId="671"/>
    <cellStyle name="SAPBEXstdDataEmph 7" xfId="672"/>
    <cellStyle name="SAPBEXstdDataEmph 8" xfId="673"/>
    <cellStyle name="SAPBEXstdDataEmph 9" xfId="674"/>
    <cellStyle name="SAPBEXstdItem" xfId="675"/>
    <cellStyle name="SAPBEXstdItem 10" xfId="676"/>
    <cellStyle name="SAPBEXstdItem 11" xfId="677"/>
    <cellStyle name="SAPBEXstdItem 12" xfId="678"/>
    <cellStyle name="SAPBEXstdItem 2" xfId="679"/>
    <cellStyle name="SAPBEXstdItem 3" xfId="680"/>
    <cellStyle name="SAPBEXstdItem 4" xfId="681"/>
    <cellStyle name="SAPBEXstdItem 5" xfId="682"/>
    <cellStyle name="SAPBEXstdItem 6" xfId="683"/>
    <cellStyle name="SAPBEXstdItem 7" xfId="684"/>
    <cellStyle name="SAPBEXstdItem 8" xfId="685"/>
    <cellStyle name="SAPBEXstdItem 9" xfId="686"/>
    <cellStyle name="SAPBEXstdItemX" xfId="687"/>
    <cellStyle name="SAPBEXstdItemX 10" xfId="688"/>
    <cellStyle name="SAPBEXstdItemX 11" xfId="689"/>
    <cellStyle name="SAPBEXstdItemX 12" xfId="690"/>
    <cellStyle name="SAPBEXstdItemX 2" xfId="691"/>
    <cellStyle name="SAPBEXstdItemX 3" xfId="692"/>
    <cellStyle name="SAPBEXstdItemX 4" xfId="693"/>
    <cellStyle name="SAPBEXstdItemX 5" xfId="694"/>
    <cellStyle name="SAPBEXstdItemX 6" xfId="695"/>
    <cellStyle name="SAPBEXstdItemX 7" xfId="696"/>
    <cellStyle name="SAPBEXstdItemX 8" xfId="697"/>
    <cellStyle name="SAPBEXstdItemX 9" xfId="698"/>
    <cellStyle name="SAPBEXtitle" xfId="699"/>
    <cellStyle name="SAPBEXtitle 2" xfId="700"/>
    <cellStyle name="SAPBEXtitle 3" xfId="701"/>
    <cellStyle name="SAPBEXundefined" xfId="702"/>
    <cellStyle name="SAPBEXundefined 10" xfId="703"/>
    <cellStyle name="SAPBEXundefined 11" xfId="704"/>
    <cellStyle name="SAPBEXundefined 12" xfId="705"/>
    <cellStyle name="SAPBEXundefined 2" xfId="706"/>
    <cellStyle name="SAPBEXundefined 3" xfId="707"/>
    <cellStyle name="SAPBEXundefined 4" xfId="708"/>
    <cellStyle name="SAPBEXundefined 5" xfId="709"/>
    <cellStyle name="SAPBEXundefined 6" xfId="710"/>
    <cellStyle name="SAPBEXundefined 7" xfId="711"/>
    <cellStyle name="SAPBEXundefined 8" xfId="712"/>
    <cellStyle name="SAPBEXundefined 9" xfId="713"/>
    <cellStyle name="STANDARD" xfId="714"/>
    <cellStyle name="STANDARD 2" xfId="715"/>
    <cellStyle name="STANDARD 3" xfId="716"/>
    <cellStyle name="Subrayado" xfId="717"/>
    <cellStyle name="Subrayado 2" xfId="718"/>
    <cellStyle name="Subrayado 3" xfId="719"/>
    <cellStyle name="Subtitulos" xfId="720"/>
    <cellStyle name="Subtitulos 2" xfId="721"/>
    <cellStyle name="Subtitulos 3" xfId="722"/>
    <cellStyle name="Subtitulos 4" xfId="723"/>
    <cellStyle name="Subtitulos 5" xfId="724"/>
    <cellStyle name="Subtitulos 6" xfId="725"/>
    <cellStyle name="TITULOS" xfId="726"/>
    <cellStyle name="TITULOS 2" xfId="727"/>
    <cellStyle name="TITULOS 3" xfId="728"/>
    <cellStyle name="Vírgula 2" xfId="729"/>
    <cellStyle name="Vírgula 2 2" xfId="730"/>
    <cellStyle name="Vírgula 2 3" xfId="731"/>
    <cellStyle name="Vírgula 3" xfId="732"/>
    <cellStyle name="Vírgula 3 2" xfId="733"/>
    <cellStyle name="Vírgula 3 3" xfId="734"/>
    <cellStyle name="Œ…‹æØ‚è [0.00]_laroux" xfId="735"/>
    <cellStyle name="Œ…‹æØ‚è_laroux" xfId="736"/>
  </cellStyles>
  <dxfs count="24">
    <dxf>
      <fill>
        <patternFill patternType="solid">
          <fgColor rgb="FFC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ont>
        <color rgb="FFC00000"/>
      </font>
      <numFmt numFmtId="164" formatCode="General"/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6500"/>
      </font>
      <numFmt numFmtId="164" formatCode="General"/>
      <fill>
        <patternFill>
          <bgColor rgb="FFFFEB9C"/>
        </patternFill>
      </fill>
    </dxf>
    <dxf>
      <font>
        <color rgb="FF006100"/>
      </font>
      <numFmt numFmtId="164" formatCode="General"/>
      <fill>
        <patternFill>
          <bgColor rgb="FFC6EF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006100"/>
      </font>
      <numFmt numFmtId="164" formatCode="General"/>
      <fill>
        <patternFill>
          <bgColor rgb="FFC6EFCE"/>
        </patternFill>
      </fill>
    </dxf>
    <dxf>
      <font>
        <color rgb="FF9C6500"/>
      </font>
      <numFmt numFmtId="164" formatCode="General"/>
      <fill>
        <patternFill>
          <bgColor rgb="FFFFEB9C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6500"/>
      </font>
      <numFmt numFmtId="164" formatCode="General"/>
      <fill>
        <patternFill>
          <bgColor rgb="FFFFEB9C"/>
        </patternFill>
      </fill>
    </dxf>
    <dxf>
      <font>
        <color rgb="FF006100"/>
      </font>
      <numFmt numFmtId="164" formatCode="General"/>
      <fill>
        <patternFill>
          <bgColor rgb="FFC6EF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C0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A6D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EB9C"/>
      <rgbColor rgb="FF00FFFF"/>
      <rgbColor rgb="FF800080"/>
      <rgbColor rgb="FFC00000"/>
      <rgbColor rgb="FF008080"/>
      <rgbColor rgb="FF0000FF"/>
      <rgbColor rgb="FF00CCFF"/>
      <rgbColor rgb="FFE0E0E0"/>
      <rgbColor rgb="FFC6EFCE"/>
      <rgbColor rgb="FFFFFF99"/>
      <rgbColor rgb="FF99CCFF"/>
      <rgbColor rgb="FFFF99CC"/>
      <rgbColor rgb="FFFFC7CE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2D05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customXml" Target="../customXml/item2.xml"/><Relationship Id="rId3" Type="http://schemas.openxmlformats.org/officeDocument/2006/relationships/customXml" Target="../customXml/item3.xml"/><Relationship Id="rId4" Type="http://schemas.openxmlformats.org/officeDocument/2006/relationships/customXml" Target="../customXml/item4.xml"/><Relationship Id="rId5" Type="http://schemas.openxmlformats.org/officeDocument/2006/relationships/customXml" Target="../customXml/item5.xml"/><Relationship Id="rId6" Type="http://schemas.openxmlformats.org/officeDocument/2006/relationships/customXml" Target="../customXml/item6.xml"/><Relationship Id="rId7" Type="http://schemas.openxmlformats.org/officeDocument/2006/relationships/customXml" Target="../customXml/item7.xml"/><Relationship Id="rId8" Type="http://schemas.openxmlformats.org/officeDocument/2006/relationships/customXml" Target="../customXml/item8.xml"/><Relationship Id="rId9" Type="http://schemas.openxmlformats.org/officeDocument/2006/relationships/customXml" Target="../customXml/item9.xml"/><Relationship Id="rId10" Type="http://schemas.openxmlformats.org/officeDocument/2006/relationships/customXml" Target="../customXml/item10.xml"/><Relationship Id="rId11" Type="http://schemas.openxmlformats.org/officeDocument/2006/relationships/customXml" Target="../customXml/item11.xml"/><Relationship Id="rId12" Type="http://schemas.openxmlformats.org/officeDocument/2006/relationships/customXml" Target="../customXml/item12.xml"/><Relationship Id="rId13" Type="http://schemas.openxmlformats.org/officeDocument/2006/relationships/customXml" Target="../customXml/item13.xml"/><Relationship Id="rId14" Type="http://schemas.openxmlformats.org/officeDocument/2006/relationships/customXml" Target="../customXml/item14.xml"/><Relationship Id="rId15" Type="http://schemas.openxmlformats.org/officeDocument/2006/relationships/customXml" Target="../customXml/item15.xml"/><Relationship Id="rId16" Type="http://schemas.openxmlformats.org/officeDocument/2006/relationships/customXml" Target="../customXml/item16.xml"/><Relationship Id="rId17" Type="http://schemas.openxmlformats.org/officeDocument/2006/relationships/customXml" Target="../customXml/item17.xml"/><Relationship Id="rId18" Type="http://schemas.openxmlformats.org/officeDocument/2006/relationships/customXml" Target="../customXml/item18.xml"/><Relationship Id="rId19" Type="http://schemas.openxmlformats.org/officeDocument/2006/relationships/customXml" Target="../customXml/item19.xml"/><Relationship Id="rId20" Type="http://schemas.openxmlformats.org/officeDocument/2006/relationships/customXml" Target="../customXml/item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worksheet" Target="worksheets/sheet1.xml"/><Relationship Id="rId24" Type="http://schemas.openxmlformats.org/officeDocument/2006/relationships/worksheet" Target="worksheets/sheet2.xml"/><Relationship Id="rId25" Type="http://schemas.openxmlformats.org/officeDocument/2006/relationships/worksheet" Target="worksheets/sheet3.xml"/><Relationship Id="rId26" Type="http://schemas.openxmlformats.org/officeDocument/2006/relationships/worksheet" Target="worksheets/sheet4.xml"/><Relationship Id="rId27" Type="http://schemas.openxmlformats.org/officeDocument/2006/relationships/worksheet" Target="worksheets/sheet5.xml"/><Relationship Id="rId28" Type="http://schemas.openxmlformats.org/officeDocument/2006/relationships/worksheet" Target="worksheets/sheet6.xml"/><Relationship Id="rId29" Type="http://schemas.openxmlformats.org/officeDocument/2006/relationships/worksheet" Target="worksheets/sheet7.xml"/><Relationship Id="rId30" Type="http://schemas.openxmlformats.org/officeDocument/2006/relationships/sharedStrings" Target="sharedStrings.xml"/><Relationship Id="rId31" Type="http://schemas.openxmlformats.org/officeDocument/2006/relationships/connections" Target="connections.xml"/><Relationship Id="rId32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42480</xdr:colOff>
      <xdr:row>0</xdr:row>
      <xdr:rowOff>325440</xdr:rowOff>
    </xdr:from>
    <xdr:to>
      <xdr:col>0</xdr:col>
      <xdr:colOff>1312200</xdr:colOff>
      <xdr:row>1</xdr:row>
      <xdr:rowOff>109440</xdr:rowOff>
    </xdr:to>
    <xdr:pic>
      <xdr:nvPicPr>
        <xdr:cNvPr id="1" name="Imagem 4"/>
        <xdr:cNvPicPr/>
      </xdr:nvPicPr>
      <xdr:blipFill>
        <a:blip r:embed="rId1"/>
        <a:stretch/>
      </xdr:blipFill>
      <xdr:spPr>
        <a:xfrm>
          <a:off x="42480" y="325440"/>
          <a:ext cx="1269720" cy="18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1295280</xdr:colOff>
      <xdr:row>0</xdr:row>
      <xdr:rowOff>127080</xdr:rowOff>
    </xdr:from>
    <xdr:to>
      <xdr:col>0</xdr:col>
      <xdr:colOff>1991880</xdr:colOff>
      <xdr:row>1</xdr:row>
      <xdr:rowOff>238320</xdr:rowOff>
    </xdr:to>
    <xdr:pic>
      <xdr:nvPicPr>
        <xdr:cNvPr id="2" name="Imagem 3"/>
        <xdr:cNvPicPr/>
      </xdr:nvPicPr>
      <xdr:blipFill>
        <a:blip r:embed="rId2"/>
        <a:stretch/>
      </xdr:blipFill>
      <xdr:spPr>
        <a:xfrm>
          <a:off x="1295280" y="127080"/>
          <a:ext cx="696600" cy="507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lientes_mcd3" displayName="clientes_mcd3" ref="A1:G19160" headerRowCount="1" totalsRowCount="0" totalsRowShown="0">
  <autoFilter ref="A1:G19160">
    <filterColumn colId="0">
      <filters>
        <filter val="REDE ABV"/>
      </filters>
    </filterColumn>
  </autoFilter>
  <tableColumns count="7">
    <tableColumn id="1" name="CNPJ"/>
    <tableColumn id="2" name="Razao"/>
    <tableColumn id="3" name="Cidade"/>
    <tableColumn id="4" name="Rede"/>
    <tableColumn id="5" name="Fantasia"/>
    <tableColumn id="6" name="VALOR"/>
    <tableColumn id="7" name="A FATURAR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hoje12_319_rep7" displayName="hoje12_319_rep7" ref="A1:P762" headerRowCount="1" totalsRowCount="0" totalsRowShown="0">
  <tableColumns count="16">
    <tableColumn id="1" name="RANK"/>
    <tableColumn id="2" name="CNPJ"/>
    <tableColumn id="3" name="RAZÃO SOCIAL"/>
    <tableColumn id="4" name="CIDADE"/>
    <tableColumn id="5" name="ENDEREÇO"/>
    <tableColumn id="6" name="PESO BRUTO"/>
    <tableColumn id="7" name="CAIXA"/>
    <tableColumn id="8" name="VALOR"/>
    <tableColumn id="9" name="%PB"/>
    <tableColumn id="10" name="%CX"/>
    <tableColumn id="11" name="%VLR"/>
    <tableColumn id="12" name="%ACP"/>
    <tableColumn id="13" name="%ACG"/>
    <tableColumn id="14" name="REP"/>
    <tableColumn id="15" name="PR MED"/>
    <tableColumn id="16" name="CENSO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hoje12_326_ana9" displayName="hoje12_326_ana9" ref="A1:M1572" headerRowCount="1" totalsRowCount="0" totalsRowShown="0">
  <autoFilter ref="A1:M1572"/>
  <tableColumns count="13">
    <tableColumn id="1" name="Cod Prod"/>
    <tableColumn id="2" name="Desc Prod"/>
    <tableColumn id="3" name="Total Vlr"/>
    <tableColumn id="4" name="Desc $"/>
    <tableColumn id="5" name="Qtde"/>
    <tableColumn id="6" name="Vlr Und"/>
    <tableColumn id="7" name="%D.Maxi"/>
    <tableColumn id="8" name="%D.Pedido"/>
    <tableColumn id="9" name="%DM"/>
    <tableColumn id="10" name="Dif $"/>
    <tableColumn id="11" name="Nº Pedido"/>
    <tableColumn id="12" name="Rep"/>
    <tableColumn id="13" name="CNPJ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hoje12_326_sp8" displayName="hoje12_326_sp8" ref="A1:V107" headerRowCount="1" totalsRowCount="0" totalsRowShown="0">
  <autoFilter ref="A1:V107"/>
  <tableColumns count="22">
    <tableColumn id="1" name="PEDIDO.SETOR"/>
    <tableColumn id="2" name="PEDIDO"/>
    <tableColumn id="3" name="RAZÃO"/>
    <tableColumn id="4" name="CNPJ"/>
    <tableColumn id="5" name="MARGEM"/>
    <tableColumn id="6" name="CFOP"/>
    <tableColumn id="7" name="PORTADOR"/>
    <tableColumn id="8" name="LISTA"/>
    <tableColumn id="9" name="SALDO DMC"/>
    <tableColumn id="10" name="TROCAS"/>
    <tableColumn id="11" name="TOTAL PEDIDO"/>
    <tableColumn id="12" name="PRAZOS"/>
    <tableColumn id="13" name="SITUAÇÃO"/>
    <tableColumn id="14" name="DIG IMP"/>
    <tableColumn id="15" name="PROGRAMADO"/>
    <tableColumn id="16" name="P.BRUTO"/>
    <tableColumn id="17" name="SETOR"/>
    <tableColumn id="18" name="USUARIO"/>
    <tableColumn id="19" name="REG"/>
    <tableColumn id="20" name="QTD CX"/>
    <tableColumn id="21" name="CIDADE"/>
    <tableColumn id="22" name="MOV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M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D16" activeCellId="0" sqref="D16"/>
    </sheetView>
  </sheetViews>
  <sheetFormatPr defaultColWidth="9.109375" defaultRowHeight="13.8" customHeight="false" zeroHeight="false" outlineLevelRow="0" outlineLevelCol="0"/>
  <cols>
    <col collapsed="false" customWidth="true" hidden="false" outlineLevel="0" max="1" min="1" style="1" width="31"/>
    <col collapsed="false" customWidth="true" hidden="false" outlineLevel="0" max="2" min="2" style="1" width="12.56"/>
    <col collapsed="false" customWidth="true" hidden="false" outlineLevel="0" max="3" min="3" style="1" width="14.11"/>
    <col collapsed="false" customWidth="true" hidden="false" outlineLevel="0" max="4" min="4" style="1" width="17.11"/>
    <col collapsed="false" customWidth="true" hidden="false" outlineLevel="0" max="5" min="5" style="1" width="18.88"/>
    <col collapsed="false" customWidth="true" hidden="false" outlineLevel="0" max="6" min="6" style="1" width="16.67"/>
    <col collapsed="false" customWidth="true" hidden="false" outlineLevel="0" max="7" min="7" style="1" width="13.56"/>
    <col collapsed="false" customWidth="true" hidden="false" outlineLevel="0" max="8" min="8" style="1" width="12.56"/>
    <col collapsed="false" customWidth="true" hidden="false" outlineLevel="0" max="9" min="9" style="1" width="16.89"/>
    <col collapsed="false" customWidth="true" hidden="false" outlineLevel="0" max="10" min="10" style="1" width="15.66"/>
    <col collapsed="false" customWidth="true" hidden="false" outlineLevel="0" max="11" min="11" style="1" width="16.44"/>
    <col collapsed="false" customWidth="true" hidden="false" outlineLevel="0" max="12" min="12" style="1" width="16"/>
    <col collapsed="false" customWidth="true" hidden="false" outlineLevel="0" max="13" min="13" style="1" width="26.11"/>
    <col collapsed="false" customWidth="false" hidden="false" outlineLevel="0" max="16384" min="14" style="1" width="9.11"/>
  </cols>
  <sheetData>
    <row r="1" s="7" customFormat="true" ht="31.2" hidden="false" customHeight="true" outlineLevel="0" collapsed="false">
      <c r="A1" s="2"/>
      <c r="B1" s="3" t="s">
        <v>0</v>
      </c>
      <c r="C1" s="3"/>
      <c r="D1" s="4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4" t="s">
        <v>8</v>
      </c>
      <c r="L1" s="4" t="s">
        <v>9</v>
      </c>
      <c r="M1" s="6" t="s">
        <v>10</v>
      </c>
    </row>
    <row r="2" s="7" customFormat="true" ht="31.2" hidden="false" customHeight="true" outlineLevel="0" collapsed="false">
      <c r="A2" s="2"/>
      <c r="B2" s="3" t="s">
        <v>11</v>
      </c>
      <c r="C2" s="3"/>
      <c r="D2" s="8" t="n">
        <f aca="false">SUBTOTAL(9,D4:D29)</f>
        <v>3500696.63512</v>
      </c>
      <c r="E2" s="8" t="n">
        <f aca="false">SUBTOTAL(9,E4:E29)</f>
        <v>2569994.70675</v>
      </c>
      <c r="F2" s="8" t="n">
        <f aca="false">SUBTOTAL(9,F4:F29)</f>
        <v>3538158.91</v>
      </c>
      <c r="G2" s="9" t="n">
        <f aca="false">IFERROR(F2/D2,0)</f>
        <v>1.01070137712139</v>
      </c>
      <c r="H2" s="9" t="n">
        <f aca="false">IFERROR(F2/E2,0)</f>
        <v>1.37671836471381</v>
      </c>
      <c r="I2" s="10" t="n">
        <f aca="false">SUBTOTAL(9,I4:I23)</f>
        <v>270973.56</v>
      </c>
      <c r="J2" s="10" t="n">
        <f aca="false">SUBTOTAL(9,J4:J29)</f>
        <v>484199.797940001</v>
      </c>
      <c r="K2" s="9" t="n">
        <f aca="false">(F2+I2)/D2</f>
        <v>1.08810698755947</v>
      </c>
      <c r="L2" s="9" t="n">
        <f aca="false">(F2+I2)/E2</f>
        <v>1.48215576475525</v>
      </c>
      <c r="M2" s="11" t="n">
        <v>46239.3582053241</v>
      </c>
    </row>
    <row r="3" customFormat="false" ht="13.8" hidden="false" customHeight="false" outlineLevel="0" collapsed="false">
      <c r="A3" s="12" t="s">
        <v>12</v>
      </c>
      <c r="B3" s="13" t="s">
        <v>13</v>
      </c>
      <c r="C3" s="13" t="s">
        <v>14</v>
      </c>
      <c r="D3" s="13" t="s">
        <v>1</v>
      </c>
      <c r="E3" s="13" t="s">
        <v>2</v>
      </c>
      <c r="F3" s="12" t="s">
        <v>15</v>
      </c>
      <c r="G3" s="12" t="s">
        <v>4</v>
      </c>
      <c r="H3" s="12" t="s">
        <v>5</v>
      </c>
      <c r="I3" s="12" t="s">
        <v>6</v>
      </c>
      <c r="J3" s="12" t="s">
        <v>16</v>
      </c>
      <c r="K3" s="13" t="s">
        <v>17</v>
      </c>
      <c r="L3" s="13" t="s">
        <v>17</v>
      </c>
    </row>
    <row r="4" customFormat="false" ht="13.8" hidden="false" customHeight="false" outlineLevel="0" collapsed="false">
      <c r="A4" s="14" t="s">
        <v>18</v>
      </c>
      <c r="B4" s="15" t="n">
        <v>906</v>
      </c>
      <c r="C4" s="16" t="n">
        <v>507</v>
      </c>
      <c r="D4" s="17" t="n">
        <v>884542.962790001</v>
      </c>
      <c r="E4" s="17" t="n">
        <v>950000</v>
      </c>
      <c r="F4" s="18" t="n">
        <f aca="false">SUMIFS(redes!$F:$F,redes!$D:$D,'Top Redes'!A4)</f>
        <v>1095922.39</v>
      </c>
      <c r="G4" s="19" t="n">
        <f aca="false">IFERROR(F4/D4,0)</f>
        <v>1.23897022089608</v>
      </c>
      <c r="H4" s="20" t="n">
        <f aca="false">IFERROR(F4/E4,0)</f>
        <v>1.15360251578947</v>
      </c>
      <c r="I4" s="21" t="n">
        <f aca="false">SUMIFS(redes!$G:$G,redes!$D:$D,'Top Redes'!A4)</f>
        <v>178.56</v>
      </c>
      <c r="J4" s="22" t="n">
        <f aca="false">IF(D4-F4-I4&lt;=0,0,D4-F4-I4)</f>
        <v>0</v>
      </c>
      <c r="K4" s="23" t="n">
        <f aca="false">IFERROR((F4+I4)/E4,0)</f>
        <v>1.15379047368421</v>
      </c>
      <c r="L4" s="23" t="n">
        <f aca="false">IFERROR((F4+I4)/D4,0)</f>
        <v>1.23917208785734</v>
      </c>
    </row>
    <row r="5" customFormat="false" ht="13.8" hidden="false" customHeight="false" outlineLevel="0" collapsed="false">
      <c r="A5" s="14" t="s">
        <v>19</v>
      </c>
      <c r="B5" s="15" t="n">
        <v>906</v>
      </c>
      <c r="C5" s="16" t="n">
        <v>721</v>
      </c>
      <c r="D5" s="17" t="n">
        <v>624018.30218</v>
      </c>
      <c r="E5" s="17" t="n">
        <v>566915.448333333</v>
      </c>
      <c r="F5" s="18" t="n">
        <f aca="false">SUMIFS(redes!$F:$F,redes!$D:$D,'Top Redes'!A5)</f>
        <v>579604.12</v>
      </c>
      <c r="G5" s="19" t="n">
        <f aca="false">IFERROR(F5/D5,0)</f>
        <v>0.928825513570933</v>
      </c>
      <c r="H5" s="20" t="n">
        <f aca="false">IFERROR(F5/E5,0)</f>
        <v>1.0223819472621</v>
      </c>
      <c r="I5" s="21" t="n">
        <f aca="false">SUMIFS(redes!$G:$G,redes!$D:$D,'Top Redes'!A5)</f>
        <v>1607.04</v>
      </c>
      <c r="J5" s="22" t="n">
        <f aca="false">IF(D5-F5-I5&lt;=0,0,D5-F5-I5)</f>
        <v>42807.1421800001</v>
      </c>
      <c r="K5" s="23" t="n">
        <f aca="false">IFERROR((F5+I5)/E5,0)</f>
        <v>1.02521665569124</v>
      </c>
      <c r="L5" s="23" t="n">
        <f aca="false">IFERROR((F5+I5)/D5,0)</f>
        <v>0.931400822651429</v>
      </c>
    </row>
    <row r="6" customFormat="false" ht="13.8" hidden="false" customHeight="false" outlineLevel="0" collapsed="false">
      <c r="A6" s="14" t="s">
        <v>20</v>
      </c>
      <c r="B6" s="15" t="n">
        <v>906</v>
      </c>
      <c r="C6" s="16" t="n">
        <v>202</v>
      </c>
      <c r="D6" s="17" t="n">
        <v>406248.886758333</v>
      </c>
      <c r="E6" s="17" t="n">
        <v>106400.077833333</v>
      </c>
      <c r="F6" s="18" t="n">
        <f aca="false">SUMIFS(redes!$F:$F,redes!$D:$D,'Top Redes'!A6)</f>
        <v>328342.09</v>
      </c>
      <c r="G6" s="19" t="n">
        <f aca="false">IFERROR(F6/D6,0)</f>
        <v>0.80822889785621</v>
      </c>
      <c r="H6" s="20" t="n">
        <f aca="false">IFERROR(F6/E6,0)</f>
        <v>3.08591964109575</v>
      </c>
      <c r="I6" s="21" t="n">
        <f aca="false">SUMIFS(redes!$G:$G,redes!$D:$D,'Top Redes'!A6)</f>
        <v>0</v>
      </c>
      <c r="J6" s="22" t="n">
        <f aca="false">IF(D6-F6-I6&lt;=0,0,D6-F6-I6)</f>
        <v>77906.7967583334</v>
      </c>
      <c r="K6" s="23" t="n">
        <f aca="false">IFERROR((F6+I6)/E6,0)</f>
        <v>3.08591964109575</v>
      </c>
      <c r="L6" s="23" t="n">
        <f aca="false">IFERROR((F6+I6)/D6,0)</f>
        <v>0.80822889785621</v>
      </c>
    </row>
    <row r="7" customFormat="false" ht="13.8" hidden="false" customHeight="false" outlineLevel="0" collapsed="false">
      <c r="A7" s="16" t="s">
        <v>21</v>
      </c>
      <c r="B7" s="15" t="n">
        <v>902</v>
      </c>
      <c r="C7" s="16" t="n">
        <v>714</v>
      </c>
      <c r="D7" s="17" t="n">
        <v>132472.22554</v>
      </c>
      <c r="E7" s="17" t="n">
        <v>149533.3202</v>
      </c>
      <c r="F7" s="18" t="n">
        <f aca="false">SUMIFS(redes!$F:$F,redes!$D:$D,'Top Redes'!A7)</f>
        <v>76993.12</v>
      </c>
      <c r="G7" s="19" t="n">
        <f aca="false">IFERROR(F7/D7,0)</f>
        <v>0.581201981669372</v>
      </c>
      <c r="H7" s="20" t="n">
        <f aca="false">IFERROR(F7/E7,0)</f>
        <v>0.514889389849848</v>
      </c>
      <c r="I7" s="21" t="n">
        <f aca="false">SUMIFS(redes!$G:$G,redes!$D:$D,'Top Redes'!A7)</f>
        <v>0</v>
      </c>
      <c r="J7" s="22" t="n">
        <f aca="false">IF(D7-F7-I7&lt;=0,0,D7-F7-I7)</f>
        <v>55479.10554</v>
      </c>
      <c r="K7" s="23" t="n">
        <f aca="false">IFERROR((F7+I7)/E7,0)</f>
        <v>0.514889389849848</v>
      </c>
      <c r="L7" s="23" t="n">
        <f aca="false">IFERROR((F7+I7)/D7,0)</f>
        <v>0.581201981669372</v>
      </c>
    </row>
    <row r="8" customFormat="false" ht="13.8" hidden="false" customHeight="false" outlineLevel="0" collapsed="false">
      <c r="A8" s="14" t="s">
        <v>22</v>
      </c>
      <c r="B8" s="15" t="n">
        <v>906</v>
      </c>
      <c r="C8" s="16" t="n">
        <v>211</v>
      </c>
      <c r="D8" s="17" t="n">
        <v>335377.6607</v>
      </c>
      <c r="E8" s="17" t="n">
        <v>209584.187566667</v>
      </c>
      <c r="F8" s="18" t="n">
        <f aca="false">SUMIFS(redes!$F:$F,redes!$D:$D,'Top Redes'!A8)</f>
        <v>234458.93</v>
      </c>
      <c r="G8" s="19" t="n">
        <f aca="false">IFERROR(F8/D8,0)</f>
        <v>0.69908928791094</v>
      </c>
      <c r="H8" s="20" t="n">
        <f aca="false">IFERROR(F8/E8,0)</f>
        <v>1.11868616006835</v>
      </c>
      <c r="I8" s="21" t="n">
        <f aca="false">SUMIFS(redes!$G:$G,redes!$D:$D,'Top Redes'!A8)</f>
        <v>714.24</v>
      </c>
      <c r="J8" s="22" t="n">
        <f aca="false">IF(D8-F8-I8&lt;=0,0,D8-F8-I8)</f>
        <v>100204.4907</v>
      </c>
      <c r="K8" s="23" t="n">
        <f aca="false">IFERROR((F8+I8)/E8,0)</f>
        <v>1.12209405075082</v>
      </c>
      <c r="L8" s="23" t="n">
        <f aca="false">IFERROR((F8+I8)/D8,0)</f>
        <v>0.701218946751392</v>
      </c>
    </row>
    <row r="9" customFormat="false" ht="13.8" hidden="false" customHeight="false" outlineLevel="0" collapsed="false">
      <c r="A9" s="14" t="s">
        <v>23</v>
      </c>
      <c r="B9" s="15" t="n">
        <v>906</v>
      </c>
      <c r="C9" s="16" t="n">
        <v>507</v>
      </c>
      <c r="D9" s="17" t="n">
        <v>160890.05766</v>
      </c>
      <c r="E9" s="17" t="n">
        <v>137621.685033333</v>
      </c>
      <c r="F9" s="18" t="n">
        <f aca="false">SUMIFS(redes!$F:$F,redes!$D:$D,'Top Redes'!A9)</f>
        <v>218408.82</v>
      </c>
      <c r="G9" s="19" t="n">
        <f aca="false">IFERROR(F9/D9,0)</f>
        <v>1.35750352244606</v>
      </c>
      <c r="H9" s="20" t="n">
        <f aca="false">IFERROR(F9/E9,0)</f>
        <v>1.58702329467263</v>
      </c>
      <c r="I9" s="21" t="n">
        <f aca="false">SUMIFS(redes!$G:$G,redes!$D:$D,'Top Redes'!A9)</f>
        <v>5986.12</v>
      </c>
      <c r="J9" s="22" t="n">
        <f aca="false">IF(D9-F9-I9&lt;=0,0,D9-F9-I9)</f>
        <v>0</v>
      </c>
      <c r="K9" s="23" t="n">
        <f aca="false">IFERROR((F9+I9)/E9,0)</f>
        <v>1.63052021885686</v>
      </c>
      <c r="L9" s="23" t="n">
        <f aca="false">IFERROR((F9+I9)/D9,0)</f>
        <v>1.39470979912383</v>
      </c>
    </row>
    <row r="10" customFormat="false" ht="13.8" hidden="false" customHeight="false" outlineLevel="0" collapsed="false">
      <c r="A10" s="14" t="s">
        <v>24</v>
      </c>
      <c r="B10" s="15" t="n">
        <v>906</v>
      </c>
      <c r="C10" s="16" t="n">
        <v>702</v>
      </c>
      <c r="D10" s="17" t="n">
        <v>81473.54014</v>
      </c>
      <c r="E10" s="17" t="n">
        <v>76001.9866666667</v>
      </c>
      <c r="F10" s="18" t="n">
        <f aca="false">SUMIFS(redes!$F:$F,redes!$D:$D,'Top Redes'!A10)</f>
        <v>114704.09</v>
      </c>
      <c r="G10" s="19" t="n">
        <f aca="false">IFERROR(F10/D10,0)</f>
        <v>1.4078692272718</v>
      </c>
      <c r="H10" s="20" t="n">
        <f aca="false">IFERROR(F10/E10,0)</f>
        <v>1.50922489043707</v>
      </c>
      <c r="I10" s="21" t="n">
        <f aca="false">SUMIFS(redes!$G:$G,redes!$D:$D,'Top Redes'!A10)</f>
        <v>35827.92</v>
      </c>
      <c r="J10" s="22" t="n">
        <f aca="false">IF(D10-F10-I10&lt;=0,0,D10-F10-I10)</f>
        <v>0</v>
      </c>
      <c r="K10" s="23" t="n">
        <f aca="false">IFERROR((F10+I10)/E10,0)</f>
        <v>1.98063256767498</v>
      </c>
      <c r="L10" s="23" t="n">
        <f aca="false">IFERROR((F10+I10)/D10,0)</f>
        <v>1.84761837697654</v>
      </c>
    </row>
    <row r="11" customFormat="false" ht="13.8" hidden="false" customHeight="false" outlineLevel="0" collapsed="false">
      <c r="A11" s="14" t="s">
        <v>25</v>
      </c>
      <c r="B11" s="15" t="n">
        <v>902</v>
      </c>
      <c r="C11" s="16" t="n">
        <v>703</v>
      </c>
      <c r="D11" s="17" t="n">
        <v>119452.20395</v>
      </c>
      <c r="E11" s="17" t="n">
        <v>37318.6244</v>
      </c>
      <c r="F11" s="18" t="n">
        <f aca="false">SUMIFS(redes!$F:$F,redes!$D:$D,'Top Redes'!A11)</f>
        <v>136574.5</v>
      </c>
      <c r="G11" s="19" t="n">
        <f aca="false">IFERROR(F11/D11,0)</f>
        <v>1.14334014345325</v>
      </c>
      <c r="H11" s="20" t="n">
        <f aca="false">IFERROR(F11/E11,0)</f>
        <v>3.65968741334421</v>
      </c>
      <c r="I11" s="21" t="n">
        <f aca="false">SUMIFS(redes!$G:$G,redes!$D:$D,'Top Redes'!A11)</f>
        <v>42877.97</v>
      </c>
      <c r="J11" s="22" t="n">
        <f aca="false">IF(D11-F11-I11&lt;=0,0,D11-F11-I11)</f>
        <v>0</v>
      </c>
      <c r="K11" s="23" t="n">
        <f aca="false">IFERROR((F11+I11)/E11,0)</f>
        <v>4.80865714868097</v>
      </c>
      <c r="L11" s="23" t="n">
        <f aca="false">IFERROR((F11+I11)/D11,0)</f>
        <v>1.50229517803719</v>
      </c>
    </row>
    <row r="12" customFormat="false" ht="13.8" hidden="false" customHeight="false" outlineLevel="0" collapsed="false">
      <c r="A12" s="14" t="s">
        <v>26</v>
      </c>
      <c r="B12" s="15" t="n">
        <v>910</v>
      </c>
      <c r="C12" s="16" t="n">
        <v>718</v>
      </c>
      <c r="D12" s="17" t="n">
        <v>58236.697</v>
      </c>
      <c r="E12" s="17" t="n">
        <v>0</v>
      </c>
      <c r="F12" s="18" t="n">
        <f aca="false">SUMIFS(redes!$F:$F,redes!$D:$D,'Top Redes'!A12)</f>
        <v>131593.66</v>
      </c>
      <c r="G12" s="19" t="n">
        <f aca="false">IFERROR(F12/D12,0)</f>
        <v>2.25963467673999</v>
      </c>
      <c r="H12" s="20" t="n">
        <f aca="false">IFERROR(F12/E12,0)</f>
        <v>0</v>
      </c>
      <c r="I12" s="21" t="n">
        <f aca="false">SUMIFS(redes!$G:$G,redes!$D:$D,'Top Redes'!A12)</f>
        <v>150067.11</v>
      </c>
      <c r="J12" s="22" t="n">
        <f aca="false">IF(D12-F12-I12&lt;=0,0,D12-F12-I12)</f>
        <v>0</v>
      </c>
      <c r="K12" s="23" t="n">
        <f aca="false">IFERROR((F12+I12)/E12,0)</f>
        <v>0</v>
      </c>
      <c r="L12" s="23" t="n">
        <f aca="false">IFERROR((F12+I12)/D12,0)</f>
        <v>4.83648257043149</v>
      </c>
    </row>
    <row r="13" customFormat="false" ht="13.8" hidden="false" customHeight="false" outlineLevel="0" collapsed="false">
      <c r="A13" s="14" t="s">
        <v>27</v>
      </c>
      <c r="B13" s="15" t="n">
        <v>902</v>
      </c>
      <c r="C13" s="16" t="n">
        <v>708</v>
      </c>
      <c r="D13" s="17" t="n">
        <v>52298.3323</v>
      </c>
      <c r="E13" s="17" t="n">
        <v>52781.34925</v>
      </c>
      <c r="F13" s="18" t="n">
        <f aca="false">SUMIFS(redes!$F:$F,redes!$D:$D,'Top Redes'!A13)</f>
        <v>54084.81</v>
      </c>
      <c r="G13" s="19" t="n">
        <f aca="false">IFERROR(F13/D13,0)</f>
        <v>1.03415936266863</v>
      </c>
      <c r="H13" s="20" t="n">
        <f aca="false">IFERROR(F13/E13,0)</f>
        <v>1.02469547990951</v>
      </c>
      <c r="I13" s="21" t="n">
        <f aca="false">SUMIFS(redes!$G:$G,redes!$D:$D,'Top Redes'!A13)</f>
        <v>2443.72</v>
      </c>
      <c r="J13" s="22" t="n">
        <f aca="false">IF(D13-F13-I13&lt;=0,0,D13-F13-I13)</f>
        <v>0</v>
      </c>
      <c r="K13" s="23" t="n">
        <f aca="false">IFERROR((F13+I13)/E13,0)</f>
        <v>1.0709944100188</v>
      </c>
      <c r="L13" s="23" t="n">
        <f aca="false">IFERROR((F13+I13)/D13,0)</f>
        <v>1.08088590044773</v>
      </c>
    </row>
    <row r="14" customFormat="false" ht="13.8" hidden="false" customHeight="false" outlineLevel="0" collapsed="false">
      <c r="A14" s="16" t="s">
        <v>28</v>
      </c>
      <c r="B14" s="15" t="n">
        <v>902</v>
      </c>
      <c r="C14" s="16" t="n">
        <v>709</v>
      </c>
      <c r="D14" s="17" t="n">
        <v>47842.230975</v>
      </c>
      <c r="E14" s="17" t="n">
        <v>0</v>
      </c>
      <c r="F14" s="18" t="n">
        <f aca="false">SUMIFS(redes!$F:$F,redes!$D:$D,'Top Redes'!A14)</f>
        <v>0</v>
      </c>
      <c r="G14" s="19" t="n">
        <f aca="false">IFERROR(F14/D14,0)</f>
        <v>0</v>
      </c>
      <c r="H14" s="20" t="n">
        <f aca="false">IFERROR(F14/E14,0)</f>
        <v>0</v>
      </c>
      <c r="I14" s="21" t="n">
        <f aca="false">SUMIFS(redes!$G:$G,redes!$D:$D,'Top Redes'!A14)</f>
        <v>0</v>
      </c>
      <c r="J14" s="22" t="n">
        <f aca="false">IF(D14-F14-I14&lt;=0,0,D14-F14-I14)</f>
        <v>47842.230975</v>
      </c>
      <c r="K14" s="23" t="n">
        <f aca="false">IFERROR((F14+I14)/E14,0)</f>
        <v>0</v>
      </c>
      <c r="L14" s="23" t="n">
        <f aca="false">IFERROR((F14+I14)/D14,0)</f>
        <v>0</v>
      </c>
    </row>
    <row r="15" customFormat="false" ht="13.8" hidden="false" customHeight="false" outlineLevel="0" collapsed="false">
      <c r="A15" s="16" t="s">
        <v>29</v>
      </c>
      <c r="B15" s="15" t="n">
        <v>902</v>
      </c>
      <c r="C15" s="16" t="n">
        <v>703</v>
      </c>
      <c r="D15" s="17" t="n">
        <v>53050.67048</v>
      </c>
      <c r="E15" s="17" t="n">
        <v>51861.4604666667</v>
      </c>
      <c r="F15" s="18" t="n">
        <f aca="false">SUMIFS(redes!$F:$F,redes!$D:$D,'Top Redes'!A15)</f>
        <v>69939.55</v>
      </c>
      <c r="G15" s="19" t="n">
        <f aca="false">IFERROR(F15/D15,0)</f>
        <v>1.31835374307601</v>
      </c>
      <c r="H15" s="20" t="n">
        <f aca="false">IFERROR(F15/E15,0)</f>
        <v>1.34858427376824</v>
      </c>
      <c r="I15" s="21" t="n">
        <f aca="false">SUMIFS(redes!$G:$G,redes!$D:$D,'Top Redes'!A15)</f>
        <v>29397.13</v>
      </c>
      <c r="J15" s="22" t="n">
        <f aca="false">IF(D15-F15-I15&lt;=0,0,D15-F15-I15)</f>
        <v>0</v>
      </c>
      <c r="K15" s="23" t="n">
        <f aca="false">IFERROR((F15+I15)/E15,0)</f>
        <v>1.91542388328704</v>
      </c>
      <c r="L15" s="23" t="n">
        <f aca="false">IFERROR((F15+I15)/D15,0)</f>
        <v>1.87248679613672</v>
      </c>
    </row>
    <row r="16" customFormat="false" ht="13.8" hidden="false" customHeight="false" outlineLevel="0" collapsed="false">
      <c r="A16" s="14" t="s">
        <v>30</v>
      </c>
      <c r="B16" s="15" t="n">
        <v>910</v>
      </c>
      <c r="C16" s="16" t="n">
        <v>710</v>
      </c>
      <c r="D16" s="17" t="n">
        <v>107170.42605</v>
      </c>
      <c r="E16" s="17" t="n">
        <v>0</v>
      </c>
      <c r="F16" s="18" t="n">
        <f aca="false">SUMIFS(redes!$F:$F,redes!$D:$D,'Top Redes'!A16)</f>
        <v>175918.17</v>
      </c>
      <c r="G16" s="19" t="n">
        <f aca="false">IFERROR(F16/D16,0)</f>
        <v>1.64148055096773</v>
      </c>
      <c r="H16" s="20" t="n">
        <f aca="false">IFERROR(F16/E16,0)</f>
        <v>0</v>
      </c>
      <c r="I16" s="21" t="n">
        <f aca="false">SUMIFS(redes!$G:$G,redes!$D:$D,'Top Redes'!A16)</f>
        <v>0</v>
      </c>
      <c r="J16" s="22" t="n">
        <f aca="false">IF(D16-F16-I16&lt;=0,0,D16-F16-I16)</f>
        <v>0</v>
      </c>
      <c r="K16" s="23" t="n">
        <f aca="false">IFERROR((F16+I16)/E16,0)</f>
        <v>0</v>
      </c>
      <c r="L16" s="23" t="n">
        <f aca="false">IFERROR((F16+I16)/D16,0)</f>
        <v>1.64148055096773</v>
      </c>
    </row>
    <row r="17" customFormat="false" ht="13.8" hidden="false" customHeight="false" outlineLevel="0" collapsed="false">
      <c r="A17" s="16" t="s">
        <v>31</v>
      </c>
      <c r="B17" s="15" t="n">
        <v>902</v>
      </c>
      <c r="C17" s="16" t="n">
        <v>711</v>
      </c>
      <c r="D17" s="17" t="n">
        <v>48220.6903866667</v>
      </c>
      <c r="E17" s="17" t="n">
        <v>23122.8612</v>
      </c>
      <c r="F17" s="18" t="n">
        <f aca="false">SUMIFS(redes!$F:$F,redes!$D:$D,'Top Redes'!A17)</f>
        <v>10946.14</v>
      </c>
      <c r="G17" s="19" t="n">
        <f aca="false">IFERROR(F17/D17,0)</f>
        <v>0.227000897586209</v>
      </c>
      <c r="H17" s="20" t="n">
        <f aca="false">IFERROR(F17/E17,0)</f>
        <v>0.473390377830923</v>
      </c>
      <c r="I17" s="21" t="n">
        <f aca="false">SUMIFS(redes!$G:$G,redes!$D:$D,'Top Redes'!A17)</f>
        <v>879.28</v>
      </c>
      <c r="J17" s="22" t="n">
        <f aca="false">IF(D17-F17-I17&lt;=0,0,D17-F17-I17)</f>
        <v>36395.2703866667</v>
      </c>
      <c r="K17" s="23" t="n">
        <f aca="false">IFERROR((F17+I17)/E17,0)</f>
        <v>0.511416813763515</v>
      </c>
      <c r="L17" s="23" t="n">
        <f aca="false">IFERROR((F17+I17)/D17,0)</f>
        <v>0.245235393877102</v>
      </c>
    </row>
    <row r="18" customFormat="false" ht="13.8" hidden="false" customHeight="false" outlineLevel="0" collapsed="false">
      <c r="A18" s="14" t="s">
        <v>32</v>
      </c>
      <c r="B18" s="15" t="n">
        <v>910</v>
      </c>
      <c r="C18" s="16" t="n">
        <v>712</v>
      </c>
      <c r="D18" s="17" t="n">
        <v>51183.55792</v>
      </c>
      <c r="E18" s="17" t="n">
        <v>37415.5970333333</v>
      </c>
      <c r="F18" s="18" t="n">
        <f aca="false">SUMIFS(redes!$F:$F,redes!$D:$D,'Top Redes'!A18)</f>
        <v>32927.71</v>
      </c>
      <c r="G18" s="19" t="n">
        <f aca="false">IFERROR(F18/D18,0)</f>
        <v>0.643325930007954</v>
      </c>
      <c r="H18" s="20" t="n">
        <f aca="false">IFERROR(F18/E18,0)</f>
        <v>0.880053042335926</v>
      </c>
      <c r="I18" s="21" t="n">
        <f aca="false">SUMIFS(redes!$G:$G,redes!$D:$D,'Top Redes'!A18)</f>
        <v>357.12</v>
      </c>
      <c r="J18" s="22" t="n">
        <f aca="false">IF(D18-F18-I18&lt;=0,0,D18-F18-I18)</f>
        <v>17898.72792</v>
      </c>
      <c r="K18" s="23" t="n">
        <f aca="false">IFERROR((F18+I18)/E18,0)</f>
        <v>0.88959772499011</v>
      </c>
      <c r="L18" s="23" t="n">
        <f aca="false">IFERROR((F18+I18)/D18,0)</f>
        <v>0.650303170639764</v>
      </c>
    </row>
    <row r="19" customFormat="false" ht="13.8" hidden="false" customHeight="false" outlineLevel="0" collapsed="false">
      <c r="A19" s="16" t="s">
        <v>33</v>
      </c>
      <c r="B19" s="15" t="n">
        <v>910</v>
      </c>
      <c r="C19" s="16" t="n">
        <v>710</v>
      </c>
      <c r="D19" s="17" t="n">
        <v>53172.7037</v>
      </c>
      <c r="E19" s="17" t="n">
        <v>0</v>
      </c>
      <c r="F19" s="18" t="n">
        <f aca="false">SUMIFS(redes!$F:$F,redes!$D:$D,'Top Redes'!A19)</f>
        <v>0</v>
      </c>
      <c r="G19" s="19" t="n">
        <f aca="false">IFERROR(F19/D19,0)</f>
        <v>0</v>
      </c>
      <c r="H19" s="20" t="n">
        <f aca="false">IFERROR(F19/E19,0)</f>
        <v>0</v>
      </c>
      <c r="I19" s="21" t="n">
        <f aca="false">SUMIFS(redes!$G:$G,redes!$D:$D,'Top Redes'!A19)</f>
        <v>0</v>
      </c>
      <c r="J19" s="22" t="n">
        <f aca="false">IF(D19-F19-I19&lt;=0,0,D19-F19-I19)</f>
        <v>53172.7037</v>
      </c>
      <c r="K19" s="23" t="n">
        <f aca="false">IFERROR((F19+I19)/E19,0)</f>
        <v>0</v>
      </c>
      <c r="L19" s="23" t="n">
        <f aca="false">IFERROR((F19+I19)/D19,0)</f>
        <v>0</v>
      </c>
    </row>
    <row r="20" customFormat="false" ht="13.8" hidden="false" customHeight="false" outlineLevel="0" collapsed="false">
      <c r="A20" s="16" t="s">
        <v>34</v>
      </c>
      <c r="B20" s="15" t="n">
        <v>902</v>
      </c>
      <c r="C20" s="16" t="n">
        <v>714</v>
      </c>
      <c r="D20" s="17" t="n">
        <v>27961.82062</v>
      </c>
      <c r="E20" s="17" t="n">
        <v>0</v>
      </c>
      <c r="F20" s="18" t="n">
        <f aca="false">SUMIFS(redes!$F:$F,redes!$D:$D,'Top Redes'!A20)</f>
        <v>26414.98</v>
      </c>
      <c r="G20" s="19" t="n">
        <f aca="false">IFERROR(F20/D20,0)</f>
        <v>0.944680260952192</v>
      </c>
      <c r="H20" s="20" t="n">
        <f aca="false">IFERROR(F20/E20,0)</f>
        <v>0</v>
      </c>
      <c r="I20" s="21" t="n">
        <f aca="false">SUMIFS(redes!$G:$G,redes!$D:$D,'Top Redes'!A20)</f>
        <v>0</v>
      </c>
      <c r="J20" s="22" t="n">
        <f aca="false">IF(D20-F20-I20&lt;=0,0,D20-F20-I20)</f>
        <v>1546.84062000001</v>
      </c>
      <c r="K20" s="23" t="n">
        <f aca="false">IFERROR((F20+I20)/E20,0)</f>
        <v>0</v>
      </c>
      <c r="L20" s="23" t="n">
        <f aca="false">IFERROR((F20+I20)/D20,0)</f>
        <v>0.944680260952192</v>
      </c>
    </row>
    <row r="21" customFormat="false" ht="13.8" hidden="false" customHeight="false" outlineLevel="0" collapsed="false">
      <c r="A21" s="16" t="s">
        <v>35</v>
      </c>
      <c r="B21" s="15" t="n">
        <v>906</v>
      </c>
      <c r="C21" s="16" t="n">
        <v>721</v>
      </c>
      <c r="D21" s="17" t="n">
        <v>79348.95708</v>
      </c>
      <c r="E21" s="17" t="n">
        <v>14055.9409666667</v>
      </c>
      <c r="F21" s="18" t="n">
        <f aca="false">SUMIFS(redes!$F:$F,redes!$D:$D,'Top Redes'!A21)</f>
        <v>70610.2</v>
      </c>
      <c r="G21" s="19" t="n">
        <f aca="false">IFERROR(F21/D21,0)</f>
        <v>0.889869288752094</v>
      </c>
      <c r="H21" s="20" t="n">
        <f aca="false">IFERROR(F21/E21,0)</f>
        <v>5.02351284538333</v>
      </c>
      <c r="I21" s="21" t="n">
        <f aca="false">SUMIFS(redes!$G:$G,redes!$D:$D,'Top Redes'!A21)</f>
        <v>357.12</v>
      </c>
      <c r="J21" s="22" t="n">
        <f aca="false">IF(D21-F21-I21&lt;=0,0,D21-F21-I21)</f>
        <v>8381.63707999998</v>
      </c>
      <c r="K21" s="23" t="n">
        <f aca="false">IFERROR((F21+I21)/E21,0)</f>
        <v>5.04891989574353</v>
      </c>
      <c r="L21" s="23" t="n">
        <f aca="false">IFERROR((F21+I21)/D21,0)</f>
        <v>0.894369915012877</v>
      </c>
    </row>
    <row r="22" customFormat="false" ht="13.8" hidden="false" customHeight="false" outlineLevel="0" collapsed="false">
      <c r="A22" s="16" t="s">
        <v>36</v>
      </c>
      <c r="B22" s="15" t="n">
        <v>910</v>
      </c>
      <c r="C22" s="16" t="n">
        <v>704</v>
      </c>
      <c r="D22" s="17" t="n">
        <v>29575.9985</v>
      </c>
      <c r="E22" s="17" t="n">
        <v>56689.6</v>
      </c>
      <c r="F22" s="18" t="n">
        <f aca="false">SUMIFS(redes!$F:$F,redes!$D:$D,'Top Redes'!A22)</f>
        <v>13282.68</v>
      </c>
      <c r="G22" s="19" t="n">
        <f aca="false">IFERROR(F22/D22,0)</f>
        <v>0.449103349798993</v>
      </c>
      <c r="H22" s="20" t="n">
        <f aca="false">IFERROR(F22/E22,0)</f>
        <v>0.234305410516215</v>
      </c>
      <c r="I22" s="21" t="n">
        <f aca="false">SUMIFS(redes!$G:$G,redes!$D:$D,'Top Redes'!A22)</f>
        <v>0</v>
      </c>
      <c r="J22" s="22" t="n">
        <f aca="false">IF(D22-F22-I22&lt;=0,0,D22-F22-I22)</f>
        <v>16293.3185</v>
      </c>
      <c r="K22" s="23" t="n">
        <f aca="false">IFERROR((F22+I22)/E22,0)</f>
        <v>0.234305410516215</v>
      </c>
      <c r="L22" s="23" t="n">
        <f aca="false">IFERROR((F22+I22)/D22,0)</f>
        <v>0.449103349798993</v>
      </c>
    </row>
    <row r="23" customFormat="false" ht="13.8" hidden="false" customHeight="false" outlineLevel="0" collapsed="false">
      <c r="A23" s="16" t="s">
        <v>37</v>
      </c>
      <c r="B23" s="15" t="n">
        <v>902</v>
      </c>
      <c r="C23" s="16" t="n">
        <v>708</v>
      </c>
      <c r="D23" s="17" t="n">
        <v>27465.830285</v>
      </c>
      <c r="E23" s="17" t="n">
        <v>0</v>
      </c>
      <c r="F23" s="18" t="n">
        <f aca="false">SUMIFS(redes!$F:$F,redes!$D:$D,'Top Redes'!A23)</f>
        <v>55368.47</v>
      </c>
      <c r="G23" s="19" t="n">
        <f aca="false">IFERROR(F23/D23,0)</f>
        <v>2.01590374022804</v>
      </c>
      <c r="H23" s="20" t="n">
        <f aca="false">IFERROR(F23/E23,0)</f>
        <v>0</v>
      </c>
      <c r="I23" s="21" t="n">
        <f aca="false">SUMIFS(redes!$G:$G,redes!$D:$D,'Top Redes'!A23)</f>
        <v>280.23</v>
      </c>
      <c r="J23" s="22" t="n">
        <f aca="false">IF(D23-F23-I23&lt;=0,0,D23-F23-I23)</f>
        <v>0</v>
      </c>
      <c r="K23" s="23" t="n">
        <f aca="false">IFERROR((F23+I23)/E23,0)</f>
        <v>0</v>
      </c>
      <c r="L23" s="23" t="n">
        <f aca="false">IFERROR((F23+I23)/D23,0)</f>
        <v>2.02610659945684</v>
      </c>
    </row>
    <row r="24" customFormat="false" ht="13.8" hidden="false" customHeight="false" outlineLevel="0" collapsed="false">
      <c r="A24" s="14" t="s">
        <v>38</v>
      </c>
      <c r="B24" s="15" t="n">
        <v>906</v>
      </c>
      <c r="C24" s="16" t="n">
        <v>702</v>
      </c>
      <c r="D24" s="17" t="n">
        <v>64577.796525</v>
      </c>
      <c r="E24" s="17" t="n">
        <v>50039.2629333333</v>
      </c>
      <c r="F24" s="18" t="n">
        <f aca="false">SUMIFS(redes!$F:$F,redes!$D:$D,'Top Redes'!A24)</f>
        <v>82220.93</v>
      </c>
      <c r="G24" s="19" t="n">
        <f aca="false">IFERROR(F24/D24,0)</f>
        <v>1.27320742460096</v>
      </c>
      <c r="H24" s="20" t="n">
        <f aca="false">IFERROR(F24/E24,0)</f>
        <v>1.64312831924687</v>
      </c>
      <c r="I24" s="21" t="n">
        <f aca="false">SUMIFS(redes!$G:$G,redes!$D:$D,'Top Redes'!A24)</f>
        <v>5713.96</v>
      </c>
      <c r="J24" s="22" t="n">
        <f aca="false">IF(D24-F24-I24&lt;=0,0,D24-F24-I24)</f>
        <v>0</v>
      </c>
      <c r="K24" s="23" t="n">
        <f aca="false">IFERROR((F24+I24)/E24,0)</f>
        <v>1.75731785092747</v>
      </c>
      <c r="L24" s="23" t="n">
        <f aca="false">IFERROR((F24+I24)/D24,0)</f>
        <v>1.3616892296094</v>
      </c>
    </row>
    <row r="25" customFormat="false" ht="13.8" hidden="false" customHeight="false" outlineLevel="0" collapsed="false">
      <c r="A25" s="16" t="s">
        <v>39</v>
      </c>
      <c r="B25" s="15" t="n">
        <v>910</v>
      </c>
      <c r="C25" s="16" t="n">
        <v>704</v>
      </c>
      <c r="D25" s="17" t="n">
        <v>56115.0835800001</v>
      </c>
      <c r="E25" s="17" t="n">
        <v>50653.3048666666</v>
      </c>
      <c r="F25" s="18" t="n">
        <f aca="false">SUMIFS(redes!$F:$F,redes!$D:$D,'Top Redes'!A25)</f>
        <v>29843.55</v>
      </c>
      <c r="G25" s="19" t="n">
        <f aca="false">IFERROR(F25/D25,0)</f>
        <v>0.531827596005515</v>
      </c>
      <c r="H25" s="20" t="n">
        <f aca="false">IFERROR(F25/E25,0)</f>
        <v>0.589172810709122</v>
      </c>
      <c r="I25" s="21" t="n">
        <f aca="false">SUMIFS(redes!$G:$G,redes!$D:$D,'Top Redes'!A25)</f>
        <v>0</v>
      </c>
      <c r="J25" s="22" t="n">
        <f aca="false">IF(D25-F25-I25&lt;=0,0,D25-F25-I25)</f>
        <v>26271.5335800001</v>
      </c>
      <c r="K25" s="23" t="n">
        <f aca="false">IFERROR((F25+I25)/E25,0)</f>
        <v>0.589172810709122</v>
      </c>
      <c r="L25" s="23" t="n">
        <f aca="false">IFERROR((F25+I25)/D25,0)</f>
        <v>0.531827596005515</v>
      </c>
    </row>
    <row r="26" customFormat="false" ht="13.8" hidden="false" customHeight="false" outlineLevel="0" collapsed="false">
      <c r="A26" s="24"/>
    </row>
    <row r="27" customFormat="false" ht="13.8" hidden="false" customHeight="false" outlineLevel="0" collapsed="false">
      <c r="A27" s="24"/>
    </row>
    <row r="28" customFormat="false" ht="13.8" hidden="false" customHeight="false" outlineLevel="0" collapsed="false">
      <c r="A28" s="24"/>
    </row>
    <row r="29" customFormat="false" ht="13.8" hidden="false" customHeight="false" outlineLevel="0" collapsed="false">
      <c r="A29" s="24"/>
    </row>
    <row r="30" customFormat="false" ht="13.8" hidden="false" customHeight="false" outlineLevel="0" collapsed="false">
      <c r="A30" s="24"/>
    </row>
    <row r="31" customFormat="false" ht="13.8" hidden="false" customHeight="false" outlineLevel="0" collapsed="false">
      <c r="A31" s="24"/>
    </row>
    <row r="32" customFormat="false" ht="13.8" hidden="false" customHeight="false" outlineLevel="0" collapsed="false">
      <c r="A32" s="24"/>
    </row>
    <row r="33" customFormat="false" ht="13.8" hidden="false" customHeight="false" outlineLevel="0" collapsed="false">
      <c r="A33" s="24"/>
    </row>
    <row r="34" customFormat="false" ht="13.8" hidden="false" customHeight="false" outlineLevel="0" collapsed="false">
      <c r="A34" s="24"/>
    </row>
    <row r="35" customFormat="false" ht="14.4" hidden="false" customHeight="false" outlineLevel="0" collapsed="false">
      <c r="A35" s="24"/>
      <c r="E35" s="25"/>
      <c r="F35" s="25"/>
    </row>
    <row r="36" customFormat="false" ht="14.4" hidden="false" customHeight="false" outlineLevel="0" collapsed="false">
      <c r="A36" s="24"/>
      <c r="E36" s="25"/>
      <c r="F36" s="25"/>
    </row>
    <row r="37" customFormat="false" ht="14.4" hidden="false" customHeight="false" outlineLevel="0" collapsed="false">
      <c r="A37" s="24"/>
      <c r="F37" s="26"/>
    </row>
    <row r="38" customFormat="false" ht="13.8" hidden="false" customHeight="false" outlineLevel="0" collapsed="false">
      <c r="A38" s="24"/>
    </row>
    <row r="39" customFormat="false" ht="13.8" hidden="false" customHeight="false" outlineLevel="0" collapsed="false">
      <c r="A39" s="24"/>
    </row>
    <row r="40" customFormat="false" ht="13.8" hidden="false" customHeight="false" outlineLevel="0" collapsed="false">
      <c r="A40" s="24"/>
    </row>
    <row r="41" customFormat="false" ht="13.8" hidden="false" customHeight="false" outlineLevel="0" collapsed="false">
      <c r="A41" s="24"/>
    </row>
    <row r="42" customFormat="false" ht="13.8" hidden="false" customHeight="false" outlineLevel="0" collapsed="false">
      <c r="A42" s="24"/>
    </row>
    <row r="43" customFormat="false" ht="13.8" hidden="false" customHeight="false" outlineLevel="0" collapsed="false">
      <c r="A43" s="24"/>
    </row>
    <row r="44" customFormat="false" ht="13.8" hidden="false" customHeight="false" outlineLevel="0" collapsed="false">
      <c r="A44" s="24"/>
    </row>
    <row r="45" customFormat="false" ht="13.8" hidden="false" customHeight="false" outlineLevel="0" collapsed="false">
      <c r="A45" s="24"/>
    </row>
    <row r="46" customFormat="false" ht="13.8" hidden="false" customHeight="false" outlineLevel="0" collapsed="false">
      <c r="A46" s="24"/>
    </row>
    <row r="47" customFormat="false" ht="13.8" hidden="false" customHeight="false" outlineLevel="0" collapsed="false">
      <c r="A47" s="24"/>
    </row>
    <row r="48" customFormat="false" ht="13.8" hidden="false" customHeight="false" outlineLevel="0" collapsed="false">
      <c r="A48" s="24"/>
    </row>
    <row r="49" customFormat="false" ht="13.8" hidden="false" customHeight="false" outlineLevel="0" collapsed="false">
      <c r="A49" s="24"/>
    </row>
    <row r="50" customFormat="false" ht="13.8" hidden="false" customHeight="false" outlineLevel="0" collapsed="false">
      <c r="A50" s="24"/>
    </row>
    <row r="51" customFormat="false" ht="13.8" hidden="false" customHeight="false" outlineLevel="0" collapsed="false">
      <c r="A51" s="24"/>
    </row>
    <row r="52" customFormat="false" ht="13.8" hidden="false" customHeight="false" outlineLevel="0" collapsed="false">
      <c r="A52" s="24"/>
    </row>
    <row r="53" customFormat="false" ht="13.8" hidden="false" customHeight="false" outlineLevel="0" collapsed="false">
      <c r="A53" s="24"/>
    </row>
    <row r="54" customFormat="false" ht="13.8" hidden="false" customHeight="false" outlineLevel="0" collapsed="false">
      <c r="A54" s="24"/>
    </row>
    <row r="55" customFormat="false" ht="13.8" hidden="false" customHeight="false" outlineLevel="0" collapsed="false">
      <c r="A55" s="24"/>
    </row>
    <row r="56" customFormat="false" ht="13.8" hidden="false" customHeight="false" outlineLevel="0" collapsed="false">
      <c r="A56" s="24"/>
    </row>
    <row r="57" customFormat="false" ht="13.8" hidden="false" customHeight="false" outlineLevel="0" collapsed="false">
      <c r="A57" s="24"/>
    </row>
    <row r="58" customFormat="false" ht="13.8" hidden="false" customHeight="false" outlineLevel="0" collapsed="false">
      <c r="A58" s="24"/>
    </row>
    <row r="59" customFormat="false" ht="13.8" hidden="false" customHeight="false" outlineLevel="0" collapsed="false">
      <c r="A59" s="24"/>
    </row>
    <row r="60" customFormat="false" ht="13.8" hidden="false" customHeight="false" outlineLevel="0" collapsed="false">
      <c r="A60" s="24"/>
    </row>
    <row r="61" customFormat="false" ht="13.8" hidden="false" customHeight="false" outlineLevel="0" collapsed="false">
      <c r="A61" s="24"/>
    </row>
    <row r="62" customFormat="false" ht="13.8" hidden="false" customHeight="false" outlineLevel="0" collapsed="false">
      <c r="A62" s="24"/>
    </row>
    <row r="63" customFormat="false" ht="13.8" hidden="false" customHeight="false" outlineLevel="0" collapsed="false">
      <c r="A63" s="24"/>
    </row>
    <row r="64" customFormat="false" ht="13.8" hidden="false" customHeight="false" outlineLevel="0" collapsed="false">
      <c r="A64" s="24"/>
    </row>
    <row r="65" customFormat="false" ht="13.8" hidden="false" customHeight="false" outlineLevel="0" collapsed="false">
      <c r="A65" s="24"/>
    </row>
    <row r="66" customFormat="false" ht="13.8" hidden="false" customHeight="false" outlineLevel="0" collapsed="false">
      <c r="A66" s="24"/>
    </row>
    <row r="67" customFormat="false" ht="13.8" hidden="false" customHeight="false" outlineLevel="0" collapsed="false">
      <c r="A67" s="24"/>
    </row>
    <row r="68" customFormat="false" ht="13.8" hidden="false" customHeight="false" outlineLevel="0" collapsed="false">
      <c r="A68" s="24"/>
    </row>
    <row r="69" customFormat="false" ht="13.8" hidden="false" customHeight="false" outlineLevel="0" collapsed="false">
      <c r="A69" s="24"/>
    </row>
    <row r="70" customFormat="false" ht="13.8" hidden="false" customHeight="false" outlineLevel="0" collapsed="false">
      <c r="A70" s="24"/>
    </row>
    <row r="71" customFormat="false" ht="13.8" hidden="false" customHeight="false" outlineLevel="0" collapsed="false">
      <c r="A71" s="24"/>
    </row>
    <row r="72" customFormat="false" ht="13.8" hidden="false" customHeight="false" outlineLevel="0" collapsed="false">
      <c r="A72" s="24"/>
    </row>
    <row r="73" customFormat="false" ht="13.8" hidden="false" customHeight="false" outlineLevel="0" collapsed="false">
      <c r="A73" s="24"/>
    </row>
    <row r="74" customFormat="false" ht="13.8" hidden="false" customHeight="false" outlineLevel="0" collapsed="false">
      <c r="A74" s="24"/>
    </row>
    <row r="75" customFormat="false" ht="13.8" hidden="false" customHeight="false" outlineLevel="0" collapsed="false">
      <c r="A75" s="24"/>
    </row>
    <row r="76" customFormat="false" ht="13.8" hidden="false" customHeight="false" outlineLevel="0" collapsed="false">
      <c r="A76" s="24"/>
    </row>
    <row r="77" customFormat="false" ht="13.8" hidden="false" customHeight="false" outlineLevel="0" collapsed="false">
      <c r="A77" s="24"/>
    </row>
    <row r="78" customFormat="false" ht="13.8" hidden="false" customHeight="false" outlineLevel="0" collapsed="false">
      <c r="A78" s="24"/>
    </row>
    <row r="79" customFormat="false" ht="13.8" hidden="false" customHeight="false" outlineLevel="0" collapsed="false">
      <c r="A79" s="24"/>
    </row>
    <row r="80" customFormat="false" ht="13.8" hidden="false" customHeight="false" outlineLevel="0" collapsed="false">
      <c r="A80" s="24"/>
    </row>
    <row r="81" customFormat="false" ht="13.8" hidden="false" customHeight="false" outlineLevel="0" collapsed="false">
      <c r="A81" s="24"/>
    </row>
    <row r="82" customFormat="false" ht="13.8" hidden="false" customHeight="false" outlineLevel="0" collapsed="false">
      <c r="A82" s="24"/>
    </row>
    <row r="83" customFormat="false" ht="13.8" hidden="false" customHeight="false" outlineLevel="0" collapsed="false">
      <c r="A83" s="24"/>
    </row>
    <row r="84" customFormat="false" ht="13.8" hidden="false" customHeight="false" outlineLevel="0" collapsed="false">
      <c r="A84" s="24"/>
    </row>
    <row r="85" customFormat="false" ht="13.8" hidden="false" customHeight="false" outlineLevel="0" collapsed="false">
      <c r="A85" s="24"/>
    </row>
    <row r="86" customFormat="false" ht="13.8" hidden="false" customHeight="false" outlineLevel="0" collapsed="false">
      <c r="A86" s="24"/>
    </row>
    <row r="87" customFormat="false" ht="13.8" hidden="false" customHeight="false" outlineLevel="0" collapsed="false">
      <c r="A87" s="24"/>
    </row>
    <row r="88" customFormat="false" ht="13.8" hidden="false" customHeight="false" outlineLevel="0" collapsed="false">
      <c r="A88" s="24"/>
    </row>
    <row r="89" customFormat="false" ht="13.8" hidden="false" customHeight="false" outlineLevel="0" collapsed="false">
      <c r="A89" s="24"/>
    </row>
    <row r="90" customFormat="false" ht="13.8" hidden="false" customHeight="false" outlineLevel="0" collapsed="false">
      <c r="A90" s="24"/>
    </row>
    <row r="91" customFormat="false" ht="13.8" hidden="false" customHeight="false" outlineLevel="0" collapsed="false">
      <c r="A91" s="24"/>
    </row>
    <row r="92" customFormat="false" ht="13.8" hidden="false" customHeight="false" outlineLevel="0" collapsed="false">
      <c r="A92" s="24"/>
    </row>
    <row r="93" customFormat="false" ht="13.8" hidden="false" customHeight="false" outlineLevel="0" collapsed="false">
      <c r="A93" s="24"/>
    </row>
    <row r="94" customFormat="false" ht="13.8" hidden="false" customHeight="false" outlineLevel="0" collapsed="false">
      <c r="A94" s="24"/>
    </row>
    <row r="95" customFormat="false" ht="13.8" hidden="false" customHeight="false" outlineLevel="0" collapsed="false">
      <c r="A95" s="24"/>
    </row>
    <row r="96" customFormat="false" ht="13.8" hidden="false" customHeight="false" outlineLevel="0" collapsed="false">
      <c r="A96" s="24"/>
    </row>
    <row r="97" customFormat="false" ht="13.8" hidden="false" customHeight="false" outlineLevel="0" collapsed="false">
      <c r="A97" s="24"/>
    </row>
    <row r="98" customFormat="false" ht="13.8" hidden="false" customHeight="false" outlineLevel="0" collapsed="false">
      <c r="A98" s="24"/>
    </row>
    <row r="99" customFormat="false" ht="13.8" hidden="false" customHeight="false" outlineLevel="0" collapsed="false">
      <c r="A99" s="24"/>
    </row>
    <row r="100" customFormat="false" ht="13.8" hidden="false" customHeight="false" outlineLevel="0" collapsed="false">
      <c r="A100" s="24"/>
    </row>
    <row r="101" customFormat="false" ht="13.8" hidden="false" customHeight="false" outlineLevel="0" collapsed="false">
      <c r="A101" s="24"/>
    </row>
    <row r="102" customFormat="false" ht="13.8" hidden="false" customHeight="false" outlineLevel="0" collapsed="false">
      <c r="A102" s="24"/>
    </row>
    <row r="103" customFormat="false" ht="13.8" hidden="false" customHeight="false" outlineLevel="0" collapsed="false">
      <c r="A103" s="24"/>
    </row>
    <row r="104" customFormat="false" ht="13.8" hidden="false" customHeight="false" outlineLevel="0" collapsed="false">
      <c r="A104" s="24"/>
    </row>
    <row r="105" customFormat="false" ht="13.8" hidden="false" customHeight="false" outlineLevel="0" collapsed="false">
      <c r="A105" s="24"/>
    </row>
    <row r="106" customFormat="false" ht="13.8" hidden="false" customHeight="false" outlineLevel="0" collapsed="false">
      <c r="A106" s="24"/>
    </row>
    <row r="107" customFormat="false" ht="13.8" hidden="false" customHeight="false" outlineLevel="0" collapsed="false">
      <c r="A107" s="24"/>
    </row>
    <row r="108" customFormat="false" ht="13.8" hidden="false" customHeight="false" outlineLevel="0" collapsed="false">
      <c r="A108" s="24"/>
    </row>
    <row r="109" customFormat="false" ht="13.8" hidden="false" customHeight="false" outlineLevel="0" collapsed="false">
      <c r="A109" s="24"/>
    </row>
    <row r="110" customFormat="false" ht="13.8" hidden="false" customHeight="false" outlineLevel="0" collapsed="false">
      <c r="A110" s="24"/>
    </row>
    <row r="111" customFormat="false" ht="13.8" hidden="false" customHeight="false" outlineLevel="0" collapsed="false">
      <c r="A111" s="24"/>
    </row>
    <row r="112" customFormat="false" ht="13.8" hidden="false" customHeight="false" outlineLevel="0" collapsed="false">
      <c r="A112" s="24"/>
    </row>
    <row r="113" customFormat="false" ht="13.8" hidden="false" customHeight="false" outlineLevel="0" collapsed="false">
      <c r="A113" s="24"/>
    </row>
    <row r="114" customFormat="false" ht="13.8" hidden="false" customHeight="false" outlineLevel="0" collapsed="false">
      <c r="A114" s="24"/>
    </row>
    <row r="115" customFormat="false" ht="13.8" hidden="false" customHeight="false" outlineLevel="0" collapsed="false">
      <c r="A115" s="24"/>
    </row>
    <row r="116" customFormat="false" ht="13.8" hidden="false" customHeight="false" outlineLevel="0" collapsed="false">
      <c r="A116" s="24"/>
    </row>
    <row r="117" customFormat="false" ht="13.8" hidden="false" customHeight="false" outlineLevel="0" collapsed="false">
      <c r="A117" s="24"/>
    </row>
    <row r="118" customFormat="false" ht="13.8" hidden="false" customHeight="false" outlineLevel="0" collapsed="false">
      <c r="A118" s="24"/>
    </row>
    <row r="119" customFormat="false" ht="13.8" hidden="false" customHeight="false" outlineLevel="0" collapsed="false">
      <c r="A119" s="24"/>
    </row>
    <row r="120" customFormat="false" ht="13.8" hidden="false" customHeight="false" outlineLevel="0" collapsed="false">
      <c r="A120" s="24"/>
    </row>
    <row r="121" customFormat="false" ht="13.8" hidden="false" customHeight="false" outlineLevel="0" collapsed="false">
      <c r="A121" s="24"/>
    </row>
    <row r="122" customFormat="false" ht="13.8" hidden="false" customHeight="false" outlineLevel="0" collapsed="false">
      <c r="A122" s="24"/>
    </row>
    <row r="123" customFormat="false" ht="13.8" hidden="false" customHeight="false" outlineLevel="0" collapsed="false">
      <c r="A123" s="24"/>
    </row>
    <row r="124" customFormat="false" ht="13.8" hidden="false" customHeight="false" outlineLevel="0" collapsed="false">
      <c r="A124" s="24"/>
    </row>
    <row r="125" customFormat="false" ht="13.8" hidden="false" customHeight="false" outlineLevel="0" collapsed="false">
      <c r="A125" s="24"/>
    </row>
    <row r="126" customFormat="false" ht="13.8" hidden="false" customHeight="false" outlineLevel="0" collapsed="false">
      <c r="A126" s="24"/>
    </row>
    <row r="127" customFormat="false" ht="13.8" hidden="false" customHeight="false" outlineLevel="0" collapsed="false">
      <c r="A127" s="24"/>
    </row>
    <row r="128" customFormat="false" ht="13.8" hidden="false" customHeight="false" outlineLevel="0" collapsed="false">
      <c r="A128" s="24"/>
    </row>
    <row r="129" customFormat="false" ht="13.8" hidden="false" customHeight="false" outlineLevel="0" collapsed="false">
      <c r="A129" s="24"/>
    </row>
    <row r="130" customFormat="false" ht="13.8" hidden="false" customHeight="false" outlineLevel="0" collapsed="false">
      <c r="A130" s="24"/>
    </row>
    <row r="131" customFormat="false" ht="13.8" hidden="false" customHeight="false" outlineLevel="0" collapsed="false">
      <c r="A131" s="24"/>
    </row>
    <row r="132" customFormat="false" ht="13.8" hidden="false" customHeight="false" outlineLevel="0" collapsed="false">
      <c r="A132" s="24"/>
    </row>
    <row r="133" customFormat="false" ht="13.8" hidden="false" customHeight="false" outlineLevel="0" collapsed="false">
      <c r="A133" s="24"/>
    </row>
    <row r="134" customFormat="false" ht="13.8" hidden="false" customHeight="false" outlineLevel="0" collapsed="false">
      <c r="A134" s="24"/>
    </row>
    <row r="135" customFormat="false" ht="13.8" hidden="false" customHeight="false" outlineLevel="0" collapsed="false">
      <c r="A135" s="24"/>
    </row>
    <row r="136" customFormat="false" ht="13.8" hidden="false" customHeight="false" outlineLevel="0" collapsed="false">
      <c r="A136" s="24"/>
    </row>
    <row r="137" customFormat="false" ht="13.8" hidden="false" customHeight="false" outlineLevel="0" collapsed="false">
      <c r="A137" s="24"/>
    </row>
    <row r="138" customFormat="false" ht="13.8" hidden="false" customHeight="false" outlineLevel="0" collapsed="false">
      <c r="A138" s="24"/>
    </row>
    <row r="139" customFormat="false" ht="13.8" hidden="false" customHeight="false" outlineLevel="0" collapsed="false">
      <c r="A139" s="24"/>
    </row>
    <row r="140" customFormat="false" ht="13.8" hidden="false" customHeight="false" outlineLevel="0" collapsed="false">
      <c r="A140" s="24"/>
    </row>
    <row r="141" customFormat="false" ht="13.8" hidden="false" customHeight="false" outlineLevel="0" collapsed="false">
      <c r="A141" s="24"/>
    </row>
    <row r="142" customFormat="false" ht="13.8" hidden="false" customHeight="false" outlineLevel="0" collapsed="false">
      <c r="A142" s="24"/>
    </row>
    <row r="143" customFormat="false" ht="13.8" hidden="false" customHeight="false" outlineLevel="0" collapsed="false">
      <c r="A143" s="24"/>
    </row>
    <row r="144" customFormat="false" ht="13.8" hidden="false" customHeight="false" outlineLevel="0" collapsed="false">
      <c r="A144" s="24"/>
    </row>
    <row r="145" customFormat="false" ht="13.8" hidden="false" customHeight="false" outlineLevel="0" collapsed="false">
      <c r="A145" s="24"/>
    </row>
    <row r="146" customFormat="false" ht="13.8" hidden="false" customHeight="false" outlineLevel="0" collapsed="false">
      <c r="A146" s="24"/>
    </row>
    <row r="147" customFormat="false" ht="13.8" hidden="false" customHeight="false" outlineLevel="0" collapsed="false">
      <c r="A147" s="24"/>
    </row>
    <row r="148" customFormat="false" ht="13.8" hidden="false" customHeight="false" outlineLevel="0" collapsed="false">
      <c r="A148" s="24"/>
    </row>
    <row r="149" customFormat="false" ht="13.8" hidden="false" customHeight="false" outlineLevel="0" collapsed="false">
      <c r="A149" s="24"/>
    </row>
    <row r="150" customFormat="false" ht="13.8" hidden="false" customHeight="false" outlineLevel="0" collapsed="false">
      <c r="A150" s="24"/>
    </row>
    <row r="151" customFormat="false" ht="13.8" hidden="false" customHeight="false" outlineLevel="0" collapsed="false">
      <c r="A151" s="24"/>
    </row>
    <row r="152" customFormat="false" ht="13.8" hidden="false" customHeight="false" outlineLevel="0" collapsed="false">
      <c r="A152" s="24"/>
    </row>
    <row r="153" customFormat="false" ht="13.8" hidden="false" customHeight="false" outlineLevel="0" collapsed="false">
      <c r="A153" s="24"/>
    </row>
    <row r="154" customFormat="false" ht="13.8" hidden="false" customHeight="false" outlineLevel="0" collapsed="false">
      <c r="A154" s="24"/>
    </row>
    <row r="155" customFormat="false" ht="13.8" hidden="false" customHeight="false" outlineLevel="0" collapsed="false">
      <c r="A155" s="24"/>
    </row>
    <row r="156" customFormat="false" ht="13.8" hidden="false" customHeight="false" outlineLevel="0" collapsed="false">
      <c r="A156" s="24"/>
    </row>
    <row r="157" customFormat="false" ht="13.8" hidden="false" customHeight="false" outlineLevel="0" collapsed="false">
      <c r="A157" s="24"/>
    </row>
    <row r="158" customFormat="false" ht="13.8" hidden="false" customHeight="false" outlineLevel="0" collapsed="false">
      <c r="A158" s="24"/>
    </row>
    <row r="159" customFormat="false" ht="13.8" hidden="false" customHeight="false" outlineLevel="0" collapsed="false">
      <c r="A159" s="24"/>
    </row>
    <row r="160" customFormat="false" ht="13.8" hidden="false" customHeight="false" outlineLevel="0" collapsed="false">
      <c r="A160" s="24"/>
    </row>
    <row r="161" customFormat="false" ht="13.8" hidden="false" customHeight="false" outlineLevel="0" collapsed="false">
      <c r="A161" s="24"/>
    </row>
    <row r="162" customFormat="false" ht="13.8" hidden="false" customHeight="false" outlineLevel="0" collapsed="false">
      <c r="A162" s="24"/>
    </row>
    <row r="163" customFormat="false" ht="13.8" hidden="false" customHeight="false" outlineLevel="0" collapsed="false">
      <c r="A163" s="24"/>
    </row>
    <row r="164" customFormat="false" ht="13.8" hidden="false" customHeight="false" outlineLevel="0" collapsed="false">
      <c r="A164" s="24"/>
    </row>
    <row r="165" customFormat="false" ht="13.8" hidden="false" customHeight="false" outlineLevel="0" collapsed="false">
      <c r="A165" s="24"/>
    </row>
    <row r="166" customFormat="false" ht="13.8" hidden="false" customHeight="false" outlineLevel="0" collapsed="false">
      <c r="A166" s="24"/>
    </row>
    <row r="167" customFormat="false" ht="13.8" hidden="false" customHeight="false" outlineLevel="0" collapsed="false">
      <c r="A167" s="24"/>
    </row>
    <row r="168" customFormat="false" ht="13.8" hidden="false" customHeight="false" outlineLevel="0" collapsed="false">
      <c r="A168" s="24"/>
    </row>
    <row r="169" customFormat="false" ht="13.8" hidden="false" customHeight="false" outlineLevel="0" collapsed="false">
      <c r="A169" s="24"/>
    </row>
    <row r="170" customFormat="false" ht="13.8" hidden="false" customHeight="false" outlineLevel="0" collapsed="false">
      <c r="A170" s="24"/>
    </row>
    <row r="171" customFormat="false" ht="13.8" hidden="false" customHeight="false" outlineLevel="0" collapsed="false">
      <c r="A171" s="24"/>
    </row>
    <row r="172" customFormat="false" ht="13.8" hidden="false" customHeight="false" outlineLevel="0" collapsed="false">
      <c r="A172" s="24"/>
    </row>
    <row r="173" customFormat="false" ht="13.8" hidden="false" customHeight="false" outlineLevel="0" collapsed="false">
      <c r="A173" s="24"/>
    </row>
    <row r="174" customFormat="false" ht="13.8" hidden="false" customHeight="false" outlineLevel="0" collapsed="false">
      <c r="A174" s="24"/>
    </row>
    <row r="175" customFormat="false" ht="13.8" hidden="false" customHeight="false" outlineLevel="0" collapsed="false">
      <c r="A175" s="24"/>
    </row>
    <row r="176" customFormat="false" ht="13.8" hidden="false" customHeight="false" outlineLevel="0" collapsed="false">
      <c r="A176" s="24"/>
    </row>
    <row r="177" customFormat="false" ht="13.8" hidden="false" customHeight="false" outlineLevel="0" collapsed="false">
      <c r="A177" s="24"/>
    </row>
    <row r="178" customFormat="false" ht="13.8" hidden="false" customHeight="false" outlineLevel="0" collapsed="false">
      <c r="A178" s="24"/>
    </row>
    <row r="179" customFormat="false" ht="13.8" hidden="false" customHeight="false" outlineLevel="0" collapsed="false">
      <c r="A179" s="24"/>
    </row>
    <row r="180" customFormat="false" ht="13.8" hidden="false" customHeight="false" outlineLevel="0" collapsed="false">
      <c r="A180" s="24"/>
    </row>
    <row r="181" customFormat="false" ht="13.8" hidden="false" customHeight="false" outlineLevel="0" collapsed="false">
      <c r="A181" s="24"/>
    </row>
    <row r="182" customFormat="false" ht="13.8" hidden="false" customHeight="false" outlineLevel="0" collapsed="false">
      <c r="A182" s="24"/>
    </row>
    <row r="183" customFormat="false" ht="13.8" hidden="false" customHeight="false" outlineLevel="0" collapsed="false">
      <c r="A183" s="24"/>
    </row>
    <row r="184" customFormat="false" ht="13.8" hidden="false" customHeight="false" outlineLevel="0" collapsed="false">
      <c r="A184" s="24"/>
    </row>
    <row r="185" customFormat="false" ht="13.8" hidden="false" customHeight="false" outlineLevel="0" collapsed="false">
      <c r="A185" s="24"/>
    </row>
    <row r="186" customFormat="false" ht="13.8" hidden="false" customHeight="false" outlineLevel="0" collapsed="false">
      <c r="A186" s="24"/>
    </row>
    <row r="187" customFormat="false" ht="13.8" hidden="false" customHeight="false" outlineLevel="0" collapsed="false">
      <c r="A187" s="24"/>
    </row>
    <row r="188" customFormat="false" ht="13.8" hidden="false" customHeight="false" outlineLevel="0" collapsed="false">
      <c r="A188" s="24"/>
    </row>
    <row r="189" customFormat="false" ht="13.8" hidden="false" customHeight="false" outlineLevel="0" collapsed="false">
      <c r="A189" s="24"/>
    </row>
    <row r="190" customFormat="false" ht="13.8" hidden="false" customHeight="false" outlineLevel="0" collapsed="false">
      <c r="A190" s="24"/>
    </row>
    <row r="191" customFormat="false" ht="13.8" hidden="false" customHeight="false" outlineLevel="0" collapsed="false">
      <c r="A191" s="24"/>
    </row>
    <row r="192" customFormat="false" ht="13.8" hidden="false" customHeight="false" outlineLevel="0" collapsed="false">
      <c r="A192" s="24"/>
    </row>
    <row r="193" customFormat="false" ht="13.8" hidden="false" customHeight="false" outlineLevel="0" collapsed="false">
      <c r="A193" s="24"/>
    </row>
    <row r="194" customFormat="false" ht="13.8" hidden="false" customHeight="false" outlineLevel="0" collapsed="false">
      <c r="A194" s="24"/>
    </row>
    <row r="195" customFormat="false" ht="13.8" hidden="false" customHeight="false" outlineLevel="0" collapsed="false">
      <c r="A195" s="24"/>
    </row>
    <row r="196" customFormat="false" ht="13.8" hidden="false" customHeight="false" outlineLevel="0" collapsed="false">
      <c r="A196" s="24"/>
    </row>
    <row r="197" customFormat="false" ht="13.8" hidden="false" customHeight="false" outlineLevel="0" collapsed="false">
      <c r="A197" s="24"/>
    </row>
    <row r="198" customFormat="false" ht="13.8" hidden="false" customHeight="false" outlineLevel="0" collapsed="false">
      <c r="A198" s="24"/>
    </row>
    <row r="199" customFormat="false" ht="13.8" hidden="false" customHeight="false" outlineLevel="0" collapsed="false">
      <c r="A199" s="24"/>
    </row>
    <row r="200" customFormat="false" ht="13.8" hidden="false" customHeight="false" outlineLevel="0" collapsed="false">
      <c r="A200" s="24"/>
    </row>
    <row r="201" customFormat="false" ht="13.8" hidden="false" customHeight="false" outlineLevel="0" collapsed="false">
      <c r="A201" s="24"/>
    </row>
    <row r="202" customFormat="false" ht="13.8" hidden="false" customHeight="false" outlineLevel="0" collapsed="false">
      <c r="A202" s="24"/>
    </row>
    <row r="203" customFormat="false" ht="13.8" hidden="false" customHeight="false" outlineLevel="0" collapsed="false">
      <c r="A203" s="24"/>
    </row>
    <row r="204" customFormat="false" ht="13.8" hidden="false" customHeight="false" outlineLevel="0" collapsed="false">
      <c r="A204" s="24"/>
    </row>
    <row r="205" customFormat="false" ht="13.8" hidden="false" customHeight="false" outlineLevel="0" collapsed="false">
      <c r="A205" s="24"/>
    </row>
    <row r="206" customFormat="false" ht="13.8" hidden="false" customHeight="false" outlineLevel="0" collapsed="false">
      <c r="A206" s="24"/>
    </row>
    <row r="207" customFormat="false" ht="13.8" hidden="false" customHeight="false" outlineLevel="0" collapsed="false">
      <c r="A207" s="24"/>
    </row>
    <row r="208" customFormat="false" ht="13.8" hidden="false" customHeight="false" outlineLevel="0" collapsed="false">
      <c r="A208" s="24"/>
    </row>
    <row r="209" customFormat="false" ht="13.8" hidden="false" customHeight="false" outlineLevel="0" collapsed="false">
      <c r="A209" s="24"/>
    </row>
    <row r="210" customFormat="false" ht="13.8" hidden="false" customHeight="false" outlineLevel="0" collapsed="false">
      <c r="A210" s="24"/>
    </row>
    <row r="211" customFormat="false" ht="13.8" hidden="false" customHeight="false" outlineLevel="0" collapsed="false">
      <c r="A211" s="24"/>
    </row>
    <row r="212" customFormat="false" ht="13.8" hidden="false" customHeight="false" outlineLevel="0" collapsed="false">
      <c r="A212" s="24"/>
    </row>
    <row r="213" customFormat="false" ht="13.8" hidden="false" customHeight="false" outlineLevel="0" collapsed="false">
      <c r="A213" s="24"/>
    </row>
    <row r="214" customFormat="false" ht="13.8" hidden="false" customHeight="false" outlineLevel="0" collapsed="false">
      <c r="A214" s="24"/>
    </row>
    <row r="215" customFormat="false" ht="13.8" hidden="false" customHeight="false" outlineLevel="0" collapsed="false">
      <c r="A215" s="24"/>
    </row>
    <row r="216" customFormat="false" ht="13.8" hidden="false" customHeight="false" outlineLevel="0" collapsed="false">
      <c r="A216" s="24"/>
    </row>
    <row r="217" customFormat="false" ht="13.8" hidden="false" customHeight="false" outlineLevel="0" collapsed="false">
      <c r="A217" s="24"/>
    </row>
    <row r="218" customFormat="false" ht="13.8" hidden="false" customHeight="false" outlineLevel="0" collapsed="false">
      <c r="A218" s="24"/>
    </row>
    <row r="219" customFormat="false" ht="13.8" hidden="false" customHeight="false" outlineLevel="0" collapsed="false">
      <c r="A219" s="24"/>
    </row>
    <row r="220" customFormat="false" ht="13.8" hidden="false" customHeight="false" outlineLevel="0" collapsed="false">
      <c r="A220" s="24"/>
    </row>
    <row r="221" customFormat="false" ht="13.8" hidden="false" customHeight="false" outlineLevel="0" collapsed="false">
      <c r="A221" s="24"/>
    </row>
    <row r="222" customFormat="false" ht="13.8" hidden="false" customHeight="false" outlineLevel="0" collapsed="false">
      <c r="A222" s="24"/>
    </row>
    <row r="223" customFormat="false" ht="13.8" hidden="false" customHeight="false" outlineLevel="0" collapsed="false">
      <c r="A223" s="24"/>
    </row>
    <row r="224" customFormat="false" ht="13.8" hidden="false" customHeight="false" outlineLevel="0" collapsed="false">
      <c r="A224" s="24"/>
    </row>
    <row r="225" customFormat="false" ht="13.8" hidden="false" customHeight="false" outlineLevel="0" collapsed="false">
      <c r="A225" s="24"/>
    </row>
    <row r="226" customFormat="false" ht="13.8" hidden="false" customHeight="false" outlineLevel="0" collapsed="false">
      <c r="A226" s="24"/>
    </row>
    <row r="227" customFormat="false" ht="13.8" hidden="false" customHeight="false" outlineLevel="0" collapsed="false">
      <c r="A227" s="24"/>
    </row>
    <row r="228" customFormat="false" ht="13.8" hidden="false" customHeight="false" outlineLevel="0" collapsed="false">
      <c r="A228" s="24"/>
    </row>
    <row r="229" customFormat="false" ht="13.8" hidden="false" customHeight="false" outlineLevel="0" collapsed="false">
      <c r="A229" s="24"/>
    </row>
    <row r="230" customFormat="false" ht="13.8" hidden="false" customHeight="false" outlineLevel="0" collapsed="false">
      <c r="A230" s="24"/>
    </row>
    <row r="231" customFormat="false" ht="13.8" hidden="false" customHeight="false" outlineLevel="0" collapsed="false">
      <c r="A231" s="24"/>
    </row>
    <row r="232" customFormat="false" ht="13.8" hidden="false" customHeight="false" outlineLevel="0" collapsed="false">
      <c r="A232" s="24"/>
    </row>
    <row r="233" customFormat="false" ht="13.8" hidden="false" customHeight="false" outlineLevel="0" collapsed="false">
      <c r="A233" s="24"/>
    </row>
    <row r="234" customFormat="false" ht="13.8" hidden="false" customHeight="false" outlineLevel="0" collapsed="false">
      <c r="A234" s="24"/>
    </row>
    <row r="235" customFormat="false" ht="13.8" hidden="false" customHeight="false" outlineLevel="0" collapsed="false">
      <c r="A235" s="24"/>
    </row>
    <row r="236" customFormat="false" ht="13.8" hidden="false" customHeight="false" outlineLevel="0" collapsed="false">
      <c r="A236" s="24"/>
    </row>
    <row r="237" customFormat="false" ht="13.8" hidden="false" customHeight="false" outlineLevel="0" collapsed="false">
      <c r="A237" s="24"/>
    </row>
    <row r="238" customFormat="false" ht="13.8" hidden="false" customHeight="false" outlineLevel="0" collapsed="false">
      <c r="A238" s="24"/>
    </row>
    <row r="239" customFormat="false" ht="13.8" hidden="false" customHeight="false" outlineLevel="0" collapsed="false">
      <c r="A239" s="24"/>
    </row>
    <row r="240" customFormat="false" ht="13.8" hidden="false" customHeight="false" outlineLevel="0" collapsed="false">
      <c r="A240" s="24"/>
    </row>
    <row r="241" customFormat="false" ht="13.8" hidden="false" customHeight="false" outlineLevel="0" collapsed="false">
      <c r="A241" s="24"/>
    </row>
    <row r="242" customFormat="false" ht="13.8" hidden="false" customHeight="false" outlineLevel="0" collapsed="false">
      <c r="A242" s="24"/>
    </row>
    <row r="243" customFormat="false" ht="13.8" hidden="false" customHeight="false" outlineLevel="0" collapsed="false">
      <c r="A243" s="24"/>
    </row>
    <row r="244" customFormat="false" ht="13.8" hidden="false" customHeight="false" outlineLevel="0" collapsed="false">
      <c r="A244" s="24"/>
    </row>
    <row r="245" customFormat="false" ht="13.8" hidden="false" customHeight="false" outlineLevel="0" collapsed="false">
      <c r="A245" s="24"/>
    </row>
    <row r="246" customFormat="false" ht="13.8" hidden="false" customHeight="false" outlineLevel="0" collapsed="false">
      <c r="A246" s="24"/>
    </row>
    <row r="247" customFormat="false" ht="13.8" hidden="false" customHeight="false" outlineLevel="0" collapsed="false">
      <c r="A247" s="24"/>
    </row>
    <row r="248" customFormat="false" ht="13.8" hidden="false" customHeight="false" outlineLevel="0" collapsed="false">
      <c r="A248" s="24"/>
    </row>
    <row r="249" customFormat="false" ht="13.8" hidden="false" customHeight="false" outlineLevel="0" collapsed="false">
      <c r="A249" s="24"/>
    </row>
    <row r="250" customFormat="false" ht="13.8" hidden="false" customHeight="false" outlineLevel="0" collapsed="false">
      <c r="A250" s="24"/>
    </row>
    <row r="251" customFormat="false" ht="13.8" hidden="false" customHeight="false" outlineLevel="0" collapsed="false">
      <c r="A251" s="24"/>
    </row>
    <row r="252" customFormat="false" ht="13.8" hidden="false" customHeight="false" outlineLevel="0" collapsed="false">
      <c r="A252" s="24"/>
    </row>
    <row r="253" customFormat="false" ht="13.8" hidden="false" customHeight="false" outlineLevel="0" collapsed="false">
      <c r="A253" s="24"/>
    </row>
    <row r="254" customFormat="false" ht="13.8" hidden="false" customHeight="false" outlineLevel="0" collapsed="false">
      <c r="A254" s="24"/>
    </row>
    <row r="255" customFormat="false" ht="13.8" hidden="false" customHeight="false" outlineLevel="0" collapsed="false">
      <c r="A255" s="24"/>
    </row>
    <row r="256" customFormat="false" ht="13.8" hidden="false" customHeight="false" outlineLevel="0" collapsed="false">
      <c r="A256" s="24"/>
    </row>
    <row r="257" customFormat="false" ht="13.8" hidden="false" customHeight="false" outlineLevel="0" collapsed="false">
      <c r="A257" s="24"/>
    </row>
    <row r="258" customFormat="false" ht="13.8" hidden="false" customHeight="false" outlineLevel="0" collapsed="false">
      <c r="A258" s="24"/>
    </row>
    <row r="259" customFormat="false" ht="13.8" hidden="false" customHeight="false" outlineLevel="0" collapsed="false">
      <c r="A259" s="24"/>
    </row>
    <row r="260" customFormat="false" ht="13.8" hidden="false" customHeight="false" outlineLevel="0" collapsed="false">
      <c r="A260" s="24"/>
    </row>
    <row r="261" customFormat="false" ht="13.8" hidden="false" customHeight="false" outlineLevel="0" collapsed="false">
      <c r="A261" s="24"/>
    </row>
    <row r="262" customFormat="false" ht="13.8" hidden="false" customHeight="false" outlineLevel="0" collapsed="false">
      <c r="A262" s="24"/>
    </row>
    <row r="263" customFormat="false" ht="13.8" hidden="false" customHeight="false" outlineLevel="0" collapsed="false">
      <c r="A263" s="24"/>
    </row>
    <row r="264" customFormat="false" ht="13.8" hidden="false" customHeight="false" outlineLevel="0" collapsed="false">
      <c r="A264" s="24"/>
    </row>
    <row r="265" customFormat="false" ht="13.8" hidden="false" customHeight="false" outlineLevel="0" collapsed="false">
      <c r="A265" s="24"/>
    </row>
    <row r="266" customFormat="false" ht="13.8" hidden="false" customHeight="false" outlineLevel="0" collapsed="false">
      <c r="A266" s="24"/>
    </row>
    <row r="267" customFormat="false" ht="13.8" hidden="false" customHeight="false" outlineLevel="0" collapsed="false">
      <c r="A267" s="24"/>
    </row>
    <row r="268" customFormat="false" ht="13.8" hidden="false" customHeight="false" outlineLevel="0" collapsed="false">
      <c r="A268" s="24"/>
    </row>
    <row r="269" customFormat="false" ht="13.8" hidden="false" customHeight="false" outlineLevel="0" collapsed="false">
      <c r="A269" s="24"/>
    </row>
    <row r="270" customFormat="false" ht="13.8" hidden="false" customHeight="false" outlineLevel="0" collapsed="false">
      <c r="A270" s="24"/>
    </row>
    <row r="271" customFormat="false" ht="13.8" hidden="false" customHeight="false" outlineLevel="0" collapsed="false">
      <c r="A271" s="24"/>
    </row>
    <row r="272" customFormat="false" ht="13.8" hidden="false" customHeight="false" outlineLevel="0" collapsed="false">
      <c r="A272" s="24"/>
    </row>
    <row r="273" customFormat="false" ht="13.8" hidden="false" customHeight="false" outlineLevel="0" collapsed="false">
      <c r="A273" s="24"/>
    </row>
    <row r="274" customFormat="false" ht="13.8" hidden="false" customHeight="false" outlineLevel="0" collapsed="false">
      <c r="A274" s="24"/>
    </row>
    <row r="275" customFormat="false" ht="13.8" hidden="false" customHeight="false" outlineLevel="0" collapsed="false">
      <c r="A275" s="24"/>
    </row>
    <row r="276" customFormat="false" ht="13.8" hidden="false" customHeight="false" outlineLevel="0" collapsed="false">
      <c r="A276" s="24"/>
    </row>
    <row r="277" customFormat="false" ht="13.8" hidden="false" customHeight="false" outlineLevel="0" collapsed="false">
      <c r="A277" s="24"/>
    </row>
    <row r="278" customFormat="false" ht="13.8" hidden="false" customHeight="false" outlineLevel="0" collapsed="false">
      <c r="A278" s="24"/>
    </row>
    <row r="279" customFormat="false" ht="13.8" hidden="false" customHeight="false" outlineLevel="0" collapsed="false">
      <c r="A279" s="24"/>
    </row>
    <row r="280" customFormat="false" ht="13.8" hidden="false" customHeight="false" outlineLevel="0" collapsed="false">
      <c r="A280" s="24"/>
    </row>
    <row r="281" customFormat="false" ht="13.8" hidden="false" customHeight="false" outlineLevel="0" collapsed="false">
      <c r="A281" s="24"/>
    </row>
    <row r="282" customFormat="false" ht="13.8" hidden="false" customHeight="false" outlineLevel="0" collapsed="false">
      <c r="A282" s="24"/>
    </row>
    <row r="283" customFormat="false" ht="13.8" hidden="false" customHeight="false" outlineLevel="0" collapsed="false">
      <c r="A283" s="24"/>
    </row>
    <row r="284" customFormat="false" ht="13.8" hidden="false" customHeight="false" outlineLevel="0" collapsed="false">
      <c r="A284" s="24"/>
    </row>
    <row r="285" customFormat="false" ht="13.8" hidden="false" customHeight="false" outlineLevel="0" collapsed="false">
      <c r="A285" s="24"/>
    </row>
    <row r="286" customFormat="false" ht="13.8" hidden="false" customHeight="false" outlineLevel="0" collapsed="false">
      <c r="A286" s="24"/>
    </row>
    <row r="287" customFormat="false" ht="13.8" hidden="false" customHeight="false" outlineLevel="0" collapsed="false">
      <c r="A287" s="24"/>
    </row>
    <row r="288" customFormat="false" ht="13.8" hidden="false" customHeight="false" outlineLevel="0" collapsed="false">
      <c r="A288" s="24"/>
    </row>
    <row r="289" customFormat="false" ht="13.8" hidden="false" customHeight="false" outlineLevel="0" collapsed="false">
      <c r="A289" s="24"/>
    </row>
    <row r="290" customFormat="false" ht="13.8" hidden="false" customHeight="false" outlineLevel="0" collapsed="false">
      <c r="A290" s="24"/>
    </row>
    <row r="291" customFormat="false" ht="13.8" hidden="false" customHeight="false" outlineLevel="0" collapsed="false">
      <c r="A291" s="24"/>
    </row>
    <row r="292" customFormat="false" ht="13.8" hidden="false" customHeight="false" outlineLevel="0" collapsed="false">
      <c r="A292" s="24"/>
    </row>
    <row r="293" customFormat="false" ht="13.8" hidden="false" customHeight="false" outlineLevel="0" collapsed="false">
      <c r="A293" s="24"/>
    </row>
    <row r="294" customFormat="false" ht="13.8" hidden="false" customHeight="false" outlineLevel="0" collapsed="false">
      <c r="A294" s="24"/>
    </row>
    <row r="295" customFormat="false" ht="13.8" hidden="false" customHeight="false" outlineLevel="0" collapsed="false">
      <c r="A295" s="24"/>
    </row>
    <row r="296" customFormat="false" ht="13.8" hidden="false" customHeight="false" outlineLevel="0" collapsed="false">
      <c r="A296" s="24"/>
    </row>
    <row r="297" customFormat="false" ht="13.8" hidden="false" customHeight="false" outlineLevel="0" collapsed="false">
      <c r="A297" s="24"/>
    </row>
    <row r="298" customFormat="false" ht="13.8" hidden="false" customHeight="false" outlineLevel="0" collapsed="false">
      <c r="A298" s="24"/>
    </row>
    <row r="299" customFormat="false" ht="13.8" hidden="false" customHeight="false" outlineLevel="0" collapsed="false">
      <c r="A299" s="24"/>
    </row>
    <row r="300" customFormat="false" ht="13.8" hidden="false" customHeight="false" outlineLevel="0" collapsed="false">
      <c r="A300" s="24"/>
    </row>
    <row r="301" customFormat="false" ht="13.8" hidden="false" customHeight="false" outlineLevel="0" collapsed="false">
      <c r="A301" s="24"/>
    </row>
    <row r="302" customFormat="false" ht="13.8" hidden="false" customHeight="false" outlineLevel="0" collapsed="false">
      <c r="A302" s="24"/>
    </row>
    <row r="303" customFormat="false" ht="13.8" hidden="false" customHeight="false" outlineLevel="0" collapsed="false">
      <c r="A303" s="24"/>
    </row>
    <row r="304" customFormat="false" ht="13.8" hidden="false" customHeight="false" outlineLevel="0" collapsed="false">
      <c r="A304" s="24"/>
    </row>
    <row r="305" customFormat="false" ht="13.8" hidden="false" customHeight="false" outlineLevel="0" collapsed="false">
      <c r="A305" s="24"/>
    </row>
    <row r="306" customFormat="false" ht="13.8" hidden="false" customHeight="false" outlineLevel="0" collapsed="false">
      <c r="A306" s="24"/>
    </row>
    <row r="307" customFormat="false" ht="13.8" hidden="false" customHeight="false" outlineLevel="0" collapsed="false">
      <c r="A307" s="24"/>
    </row>
    <row r="308" customFormat="false" ht="13.8" hidden="false" customHeight="false" outlineLevel="0" collapsed="false">
      <c r="A308" s="24"/>
    </row>
    <row r="309" customFormat="false" ht="13.8" hidden="false" customHeight="false" outlineLevel="0" collapsed="false">
      <c r="A309" s="24"/>
    </row>
    <row r="310" customFormat="false" ht="13.8" hidden="false" customHeight="false" outlineLevel="0" collapsed="false">
      <c r="A310" s="24"/>
    </row>
    <row r="311" customFormat="false" ht="13.8" hidden="false" customHeight="false" outlineLevel="0" collapsed="false">
      <c r="A311" s="24"/>
    </row>
    <row r="312" customFormat="false" ht="13.8" hidden="false" customHeight="false" outlineLevel="0" collapsed="false">
      <c r="A312" s="24"/>
    </row>
    <row r="313" customFormat="false" ht="13.8" hidden="false" customHeight="false" outlineLevel="0" collapsed="false">
      <c r="A313" s="24"/>
    </row>
    <row r="314" customFormat="false" ht="13.8" hidden="false" customHeight="false" outlineLevel="0" collapsed="false">
      <c r="A314" s="24"/>
    </row>
    <row r="315" customFormat="false" ht="13.8" hidden="false" customHeight="false" outlineLevel="0" collapsed="false">
      <c r="A315" s="24"/>
    </row>
    <row r="316" customFormat="false" ht="13.8" hidden="false" customHeight="false" outlineLevel="0" collapsed="false">
      <c r="A316" s="24"/>
    </row>
    <row r="317" customFormat="false" ht="13.8" hidden="false" customHeight="false" outlineLevel="0" collapsed="false">
      <c r="A317" s="24"/>
    </row>
    <row r="318" customFormat="false" ht="13.8" hidden="false" customHeight="false" outlineLevel="0" collapsed="false">
      <c r="A318" s="24"/>
    </row>
    <row r="319" customFormat="false" ht="13.8" hidden="false" customHeight="false" outlineLevel="0" collapsed="false">
      <c r="A319" s="24"/>
    </row>
    <row r="320" customFormat="false" ht="13.8" hidden="false" customHeight="false" outlineLevel="0" collapsed="false">
      <c r="A320" s="24"/>
    </row>
    <row r="321" customFormat="false" ht="13.8" hidden="false" customHeight="false" outlineLevel="0" collapsed="false">
      <c r="A321" s="24"/>
    </row>
    <row r="322" customFormat="false" ht="13.8" hidden="false" customHeight="false" outlineLevel="0" collapsed="false">
      <c r="A322" s="24"/>
    </row>
    <row r="323" customFormat="false" ht="13.8" hidden="false" customHeight="false" outlineLevel="0" collapsed="false">
      <c r="A323" s="24"/>
    </row>
    <row r="324" customFormat="false" ht="13.8" hidden="false" customHeight="false" outlineLevel="0" collapsed="false">
      <c r="A324" s="24"/>
    </row>
    <row r="325" customFormat="false" ht="13.8" hidden="false" customHeight="false" outlineLevel="0" collapsed="false">
      <c r="A325" s="24"/>
    </row>
    <row r="326" customFormat="false" ht="13.8" hidden="false" customHeight="false" outlineLevel="0" collapsed="false">
      <c r="A326" s="24"/>
    </row>
    <row r="327" customFormat="false" ht="13.8" hidden="false" customHeight="false" outlineLevel="0" collapsed="false">
      <c r="A327" s="24"/>
    </row>
    <row r="328" customFormat="false" ht="13.8" hidden="false" customHeight="false" outlineLevel="0" collapsed="false">
      <c r="A328" s="24"/>
    </row>
    <row r="329" customFormat="false" ht="13.8" hidden="false" customHeight="false" outlineLevel="0" collapsed="false">
      <c r="A329" s="24"/>
    </row>
    <row r="330" customFormat="false" ht="13.8" hidden="false" customHeight="false" outlineLevel="0" collapsed="false">
      <c r="A330" s="24"/>
    </row>
    <row r="331" customFormat="false" ht="13.8" hidden="false" customHeight="false" outlineLevel="0" collapsed="false">
      <c r="A331" s="24"/>
    </row>
    <row r="332" customFormat="false" ht="13.8" hidden="false" customHeight="false" outlineLevel="0" collapsed="false">
      <c r="A332" s="24"/>
    </row>
    <row r="333" customFormat="false" ht="13.8" hidden="false" customHeight="false" outlineLevel="0" collapsed="false">
      <c r="A333" s="24"/>
    </row>
    <row r="334" customFormat="false" ht="13.8" hidden="false" customHeight="false" outlineLevel="0" collapsed="false">
      <c r="A334" s="24"/>
    </row>
    <row r="335" customFormat="false" ht="13.8" hidden="false" customHeight="false" outlineLevel="0" collapsed="false">
      <c r="A335" s="24"/>
    </row>
    <row r="336" customFormat="false" ht="13.8" hidden="false" customHeight="false" outlineLevel="0" collapsed="false">
      <c r="A336" s="24"/>
    </row>
    <row r="337" customFormat="false" ht="13.8" hidden="false" customHeight="false" outlineLevel="0" collapsed="false">
      <c r="A337" s="24"/>
    </row>
    <row r="338" customFormat="false" ht="13.8" hidden="false" customHeight="false" outlineLevel="0" collapsed="false">
      <c r="A338" s="24"/>
    </row>
    <row r="339" customFormat="false" ht="13.8" hidden="false" customHeight="false" outlineLevel="0" collapsed="false">
      <c r="A339" s="24"/>
    </row>
    <row r="340" customFormat="false" ht="13.8" hidden="false" customHeight="false" outlineLevel="0" collapsed="false">
      <c r="A340" s="24"/>
    </row>
    <row r="341" customFormat="false" ht="13.8" hidden="false" customHeight="false" outlineLevel="0" collapsed="false">
      <c r="A341" s="24"/>
    </row>
    <row r="342" customFormat="false" ht="13.8" hidden="false" customHeight="false" outlineLevel="0" collapsed="false">
      <c r="A342" s="24"/>
    </row>
    <row r="343" customFormat="false" ht="13.8" hidden="false" customHeight="false" outlineLevel="0" collapsed="false">
      <c r="A343" s="24"/>
    </row>
    <row r="344" customFormat="false" ht="13.8" hidden="false" customHeight="false" outlineLevel="0" collapsed="false">
      <c r="A344" s="24"/>
    </row>
    <row r="345" customFormat="false" ht="13.8" hidden="false" customHeight="false" outlineLevel="0" collapsed="false">
      <c r="A345" s="24"/>
    </row>
    <row r="346" customFormat="false" ht="13.8" hidden="false" customHeight="false" outlineLevel="0" collapsed="false">
      <c r="A346" s="24"/>
    </row>
    <row r="347" customFormat="false" ht="13.8" hidden="false" customHeight="false" outlineLevel="0" collapsed="false">
      <c r="A347" s="24"/>
    </row>
    <row r="348" customFormat="false" ht="13.8" hidden="false" customHeight="false" outlineLevel="0" collapsed="false">
      <c r="A348" s="24"/>
    </row>
    <row r="349" customFormat="false" ht="13.8" hidden="false" customHeight="false" outlineLevel="0" collapsed="false">
      <c r="A349" s="24"/>
    </row>
    <row r="350" customFormat="false" ht="13.8" hidden="false" customHeight="false" outlineLevel="0" collapsed="false">
      <c r="A350" s="24"/>
    </row>
    <row r="351" customFormat="false" ht="13.8" hidden="false" customHeight="false" outlineLevel="0" collapsed="false">
      <c r="A351" s="24"/>
    </row>
    <row r="352" customFormat="false" ht="13.8" hidden="false" customHeight="false" outlineLevel="0" collapsed="false">
      <c r="A352" s="24"/>
    </row>
    <row r="353" customFormat="false" ht="13.8" hidden="false" customHeight="false" outlineLevel="0" collapsed="false">
      <c r="A353" s="24"/>
    </row>
    <row r="354" customFormat="false" ht="13.8" hidden="false" customHeight="false" outlineLevel="0" collapsed="false">
      <c r="A354" s="24"/>
    </row>
    <row r="355" customFormat="false" ht="13.8" hidden="false" customHeight="false" outlineLevel="0" collapsed="false">
      <c r="A355" s="24"/>
    </row>
    <row r="356" customFormat="false" ht="13.8" hidden="false" customHeight="false" outlineLevel="0" collapsed="false">
      <c r="A356" s="24"/>
    </row>
    <row r="357" customFormat="false" ht="13.8" hidden="false" customHeight="false" outlineLevel="0" collapsed="false">
      <c r="A357" s="24"/>
    </row>
    <row r="358" customFormat="false" ht="13.8" hidden="false" customHeight="false" outlineLevel="0" collapsed="false">
      <c r="A358" s="24"/>
    </row>
    <row r="359" customFormat="false" ht="13.8" hidden="false" customHeight="false" outlineLevel="0" collapsed="false">
      <c r="A359" s="24"/>
    </row>
    <row r="360" customFormat="false" ht="13.8" hidden="false" customHeight="false" outlineLevel="0" collapsed="false">
      <c r="A360" s="24"/>
    </row>
    <row r="361" customFormat="false" ht="13.8" hidden="false" customHeight="false" outlineLevel="0" collapsed="false">
      <c r="A361" s="24"/>
    </row>
    <row r="362" customFormat="false" ht="13.8" hidden="false" customHeight="false" outlineLevel="0" collapsed="false">
      <c r="A362" s="24"/>
    </row>
    <row r="363" customFormat="false" ht="13.8" hidden="false" customHeight="false" outlineLevel="0" collapsed="false">
      <c r="A363" s="24"/>
    </row>
    <row r="364" customFormat="false" ht="13.8" hidden="false" customHeight="false" outlineLevel="0" collapsed="false">
      <c r="A364" s="24"/>
    </row>
    <row r="365" customFormat="false" ht="13.8" hidden="false" customHeight="false" outlineLevel="0" collapsed="false">
      <c r="A365" s="24"/>
    </row>
    <row r="366" customFormat="false" ht="13.8" hidden="false" customHeight="false" outlineLevel="0" collapsed="false">
      <c r="A366" s="24"/>
    </row>
    <row r="367" customFormat="false" ht="13.8" hidden="false" customHeight="false" outlineLevel="0" collapsed="false">
      <c r="A367" s="24"/>
    </row>
    <row r="368" customFormat="false" ht="13.8" hidden="false" customHeight="false" outlineLevel="0" collapsed="false">
      <c r="A368" s="24"/>
    </row>
    <row r="369" customFormat="false" ht="13.8" hidden="false" customHeight="false" outlineLevel="0" collapsed="false">
      <c r="A369" s="24"/>
    </row>
    <row r="370" customFormat="false" ht="13.8" hidden="false" customHeight="false" outlineLevel="0" collapsed="false">
      <c r="A370" s="24"/>
    </row>
    <row r="371" customFormat="false" ht="13.8" hidden="false" customHeight="false" outlineLevel="0" collapsed="false">
      <c r="A371" s="24"/>
    </row>
    <row r="372" customFormat="false" ht="13.8" hidden="false" customHeight="false" outlineLevel="0" collapsed="false">
      <c r="A372" s="24"/>
    </row>
    <row r="373" customFormat="false" ht="13.8" hidden="false" customHeight="false" outlineLevel="0" collapsed="false">
      <c r="A373" s="24"/>
    </row>
    <row r="374" customFormat="false" ht="13.8" hidden="false" customHeight="false" outlineLevel="0" collapsed="false">
      <c r="A374" s="24"/>
    </row>
    <row r="375" customFormat="false" ht="13.8" hidden="false" customHeight="false" outlineLevel="0" collapsed="false">
      <c r="A375" s="24"/>
    </row>
    <row r="376" customFormat="false" ht="13.8" hidden="false" customHeight="false" outlineLevel="0" collapsed="false">
      <c r="A376" s="24"/>
    </row>
    <row r="377" customFormat="false" ht="13.8" hidden="false" customHeight="false" outlineLevel="0" collapsed="false">
      <c r="A377" s="24"/>
    </row>
    <row r="378" customFormat="false" ht="13.8" hidden="false" customHeight="false" outlineLevel="0" collapsed="false">
      <c r="A378" s="24"/>
    </row>
    <row r="379" customFormat="false" ht="13.8" hidden="false" customHeight="false" outlineLevel="0" collapsed="false">
      <c r="A379" s="24"/>
    </row>
  </sheetData>
  <autoFilter ref="A3:M25"/>
  <mergeCells count="2">
    <mergeCell ref="B1:C1"/>
    <mergeCell ref="B2:C2"/>
  </mergeCells>
  <conditionalFormatting sqref="F4:F25">
    <cfRule type="cellIs" priority="2" operator="lessThan" aboveAverage="0" equalAverage="0" bottom="0" percent="0" rank="0" text="" dxfId="12">
      <formula>0</formula>
    </cfRule>
  </conditionalFormatting>
  <conditionalFormatting sqref="G2:H2 H4:H25">
    <cfRule type="cellIs" priority="3" operator="lessThan" aboveAverage="0" equalAverage="0" bottom="0" percent="0" rank="0" text="" dxfId="13">
      <formula>0.8</formula>
    </cfRule>
    <cfRule type="cellIs" priority="4" operator="between" aboveAverage="0" equalAverage="0" bottom="0" percent="0" rank="0" text="" dxfId="14">
      <formula>0.8</formula>
      <formula>1</formula>
    </cfRule>
    <cfRule type="cellIs" priority="5" operator="greaterThanOrEqual" aboveAverage="0" equalAverage="0" bottom="0" percent="0" rank="0" text="" dxfId="15">
      <formula>1</formula>
    </cfRule>
  </conditionalFormatting>
  <conditionalFormatting sqref="G4:G25">
    <cfRule type="cellIs" priority="6" operator="lessThan" aboveAverage="0" equalAverage="0" bottom="0" percent="0" rank="0" text="" dxfId="16">
      <formula>0.8</formula>
    </cfRule>
    <cfRule type="cellIs" priority="7" operator="greaterThanOrEqual" aboveAverage="0" equalAverage="0" bottom="0" percent="0" rank="0" text="" dxfId="17">
      <formula>1</formula>
    </cfRule>
    <cfRule type="cellIs" priority="8" operator="between" aboveAverage="0" equalAverage="0" bottom="0" percent="0" rank="0" text="" dxfId="18">
      <formula>0.8</formula>
      <formula>1</formula>
    </cfRule>
  </conditionalFormatting>
  <conditionalFormatting sqref="K2:L2">
    <cfRule type="cellIs" priority="9" operator="lessThan" aboveAverage="0" equalAverage="0" bottom="0" percent="0" rank="0" text="" dxfId="19">
      <formula>0.8</formula>
    </cfRule>
    <cfRule type="cellIs" priority="10" operator="between" aboveAverage="0" equalAverage="0" bottom="0" percent="0" rank="0" text="" dxfId="20">
      <formula>0.8</formula>
      <formula>1</formula>
    </cfRule>
    <cfRule type="cellIs" priority="11" operator="greaterThanOrEqual" aboveAverage="0" equalAverage="0" bottom="0" percent="0" rank="0" text="" dxfId="21">
      <formula>1</formula>
    </cfRule>
  </conditionalFormatting>
  <printOptions headings="false" gridLines="false" gridLinesSet="true" horizontalCentered="true" verticalCentered="false"/>
  <pageMargins left="0.196527777777778" right="0.196527777777778" top="0.196527777777778" bottom="0.196527777777778" header="0.511811023622047" footer="0"/>
  <pageSetup paperSize="77" scale="8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&amp;N&amp;R&amp;F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V10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7" activeCellId="0" sqref="D17"/>
    </sheetView>
  </sheetViews>
  <sheetFormatPr defaultColWidth="9.109375" defaultRowHeight="13.2" customHeight="false" zeroHeight="false" outlineLevelRow="0" outlineLevelCol="0"/>
  <cols>
    <col collapsed="false" customWidth="true" hidden="false" outlineLevel="0" max="1" min="1" style="27" width="20.11"/>
    <col collapsed="false" customWidth="true" hidden="false" outlineLevel="0" max="2" min="2" style="27" width="13"/>
    <col collapsed="false" customWidth="true" hidden="false" outlineLevel="0" max="3" min="3" style="27" width="26.88"/>
    <col collapsed="false" customWidth="true" hidden="false" outlineLevel="0" max="4" min="4" style="28" width="15.11"/>
    <col collapsed="false" customWidth="true" hidden="false" outlineLevel="0" max="5" min="5" style="27" width="12.11"/>
    <col collapsed="false" customWidth="true" hidden="false" outlineLevel="0" max="6" min="6" style="27" width="8.22"/>
    <col collapsed="false" customWidth="true" hidden="false" outlineLevel="0" max="7" min="7" style="27" width="13.67"/>
    <col collapsed="false" customWidth="true" hidden="false" outlineLevel="0" max="8" min="8" style="27" width="8.22"/>
    <col collapsed="false" customWidth="true" hidden="false" outlineLevel="0" max="9" min="9" style="27" width="14.33"/>
    <col collapsed="false" customWidth="true" hidden="false" outlineLevel="0" max="10" min="10" style="27" width="10.56"/>
    <col collapsed="false" customWidth="true" hidden="false" outlineLevel="0" max="11" min="11" style="27" width="16.56"/>
    <col collapsed="false" customWidth="true" hidden="false" outlineLevel="0" max="12" min="12" style="27" width="11.11"/>
    <col collapsed="false" customWidth="true" hidden="false" outlineLevel="0" max="13" min="13" style="27" width="12.56"/>
    <col collapsed="false" customWidth="true" hidden="false" outlineLevel="0" max="14" min="14" style="27" width="11"/>
    <col collapsed="false" customWidth="true" hidden="false" outlineLevel="0" max="15" min="15" style="27" width="17.22"/>
    <col collapsed="false" customWidth="true" hidden="false" outlineLevel="0" max="16" min="16" style="27" width="11.56"/>
    <col collapsed="false" customWidth="true" hidden="false" outlineLevel="0" max="17" min="17" style="27" width="9.21"/>
    <col collapsed="false" customWidth="true" hidden="false" outlineLevel="0" max="18" min="18" style="27" width="11.89"/>
    <col collapsed="false" customWidth="true" hidden="false" outlineLevel="0" max="19" min="19" style="27" width="7.11"/>
    <col collapsed="false" customWidth="true" hidden="false" outlineLevel="0" max="20" min="20" style="27" width="10.11"/>
    <col collapsed="false" customWidth="true" hidden="false" outlineLevel="0" max="21" min="21" style="27" width="28.67"/>
    <col collapsed="false" customWidth="true" hidden="false" outlineLevel="0" max="22" min="22" style="27" width="8.11"/>
    <col collapsed="false" customWidth="true" hidden="false" outlineLevel="0" max="23" min="23" style="27" width="18.34"/>
    <col collapsed="false" customWidth="false" hidden="false" outlineLevel="0" max="16384" min="24" style="27" width="9.11"/>
  </cols>
  <sheetData>
    <row r="1" customFormat="false" ht="13.8" hidden="false" customHeight="false" outlineLevel="0" collapsed="false">
      <c r="A1" s="29" t="s">
        <v>40</v>
      </c>
      <c r="B1" s="29" t="s">
        <v>41</v>
      </c>
      <c r="C1" s="30" t="s">
        <v>42</v>
      </c>
      <c r="D1" s="31" t="s">
        <v>43</v>
      </c>
      <c r="E1" s="30" t="s">
        <v>44</v>
      </c>
      <c r="F1" s="30" t="s">
        <v>45</v>
      </c>
      <c r="G1" s="30" t="s">
        <v>46</v>
      </c>
      <c r="H1" s="30" t="s">
        <v>47</v>
      </c>
      <c r="I1" s="30" t="s">
        <v>48</v>
      </c>
      <c r="J1" s="30" t="s">
        <v>49</v>
      </c>
      <c r="K1" s="30" t="s">
        <v>50</v>
      </c>
      <c r="L1" s="30" t="s">
        <v>51</v>
      </c>
      <c r="M1" s="30" t="s">
        <v>52</v>
      </c>
      <c r="N1" s="30" t="s">
        <v>53</v>
      </c>
      <c r="O1" s="30" t="s">
        <v>54</v>
      </c>
      <c r="P1" s="30" t="s">
        <v>55</v>
      </c>
      <c r="Q1" s="30" t="s">
        <v>56</v>
      </c>
      <c r="R1" s="30" t="s">
        <v>57</v>
      </c>
      <c r="S1" s="30" t="s">
        <v>58</v>
      </c>
      <c r="T1" s="30" t="s">
        <v>59</v>
      </c>
      <c r="U1" s="30" t="s">
        <v>60</v>
      </c>
      <c r="V1" s="30" t="s">
        <v>61</v>
      </c>
    </row>
    <row r="2" customFormat="false" ht="13.2" hidden="false" customHeight="false" outlineLevel="0" collapsed="false">
      <c r="A2" s="27" t="str">
        <f aca="false">OFFSET(hoje12_326_sp8,1,1,1,1)&amp;"."&amp;OFFSET(hoje12_326_sp8,1,16,1,1)</f>
        <v>1067.135</v>
      </c>
      <c r="B2" s="27" t="n">
        <v>1067</v>
      </c>
      <c r="C2" s="32" t="s">
        <v>62</v>
      </c>
      <c r="D2" s="33" t="n">
        <v>7691695000144</v>
      </c>
      <c r="E2" s="32" t="s">
        <v>63</v>
      </c>
      <c r="F2" s="32" t="s">
        <v>64</v>
      </c>
      <c r="G2" s="32" t="s">
        <v>65</v>
      </c>
      <c r="H2" s="32" t="s">
        <v>66</v>
      </c>
      <c r="I2" s="32" t="s">
        <v>67</v>
      </c>
      <c r="J2" s="32" t="s">
        <v>68</v>
      </c>
      <c r="K2" s="32" t="n">
        <v>451.56</v>
      </c>
      <c r="L2" s="32" t="s">
        <v>69</v>
      </c>
      <c r="M2" s="32" t="s">
        <v>70</v>
      </c>
      <c r="N2" s="32" t="s">
        <v>71</v>
      </c>
      <c r="O2" s="32" t="s">
        <v>72</v>
      </c>
      <c r="P2" s="32" t="s">
        <v>73</v>
      </c>
      <c r="Q2" s="32" t="n">
        <v>135</v>
      </c>
      <c r="R2" s="32" t="s">
        <v>74</v>
      </c>
      <c r="S2" s="32" t="s">
        <v>75</v>
      </c>
      <c r="T2" s="32" t="s">
        <v>76</v>
      </c>
      <c r="U2" s="32" t="s">
        <v>77</v>
      </c>
      <c r="V2" s="32" t="s">
        <v>78</v>
      </c>
    </row>
    <row r="3" customFormat="false" ht="13.2" hidden="false" customHeight="false" outlineLevel="0" collapsed="false">
      <c r="A3" s="27" t="str">
        <f aca="false">OFFSET(hoje12_326_sp8,2,1,1,1)&amp;"."&amp;OFFSET(hoje12_326_sp8,2,16,1,1)</f>
        <v>211001.211</v>
      </c>
      <c r="B3" s="27" t="n">
        <v>211001</v>
      </c>
      <c r="C3" s="32" t="s">
        <v>79</v>
      </c>
      <c r="D3" s="33" t="n">
        <v>12887219000303</v>
      </c>
      <c r="E3" s="32" t="s">
        <v>80</v>
      </c>
      <c r="F3" s="32" t="s">
        <v>81</v>
      </c>
      <c r="G3" s="32" t="s">
        <v>65</v>
      </c>
      <c r="H3" s="32" t="s">
        <v>66</v>
      </c>
      <c r="I3" s="32" t="s">
        <v>68</v>
      </c>
      <c r="J3" s="32" t="s">
        <v>68</v>
      </c>
      <c r="K3" s="32" t="n">
        <v>178.56</v>
      </c>
      <c r="L3" s="32" t="s">
        <v>82</v>
      </c>
      <c r="M3" s="32" t="s">
        <v>83</v>
      </c>
      <c r="N3" s="32" t="s">
        <v>84</v>
      </c>
      <c r="O3" s="32" t="s">
        <v>72</v>
      </c>
      <c r="P3" s="32" t="s">
        <v>85</v>
      </c>
      <c r="Q3" s="32" t="n">
        <v>211</v>
      </c>
      <c r="R3" s="32" t="s">
        <v>86</v>
      </c>
      <c r="S3" s="32" t="s">
        <v>87</v>
      </c>
      <c r="T3" s="32" t="s">
        <v>88</v>
      </c>
      <c r="U3" s="32" t="s">
        <v>89</v>
      </c>
      <c r="V3" s="32" t="s">
        <v>90</v>
      </c>
    </row>
    <row r="4" customFormat="false" ht="13.2" hidden="false" customHeight="false" outlineLevel="0" collapsed="false">
      <c r="A4" s="27" t="str">
        <f aca="false">OFFSET(hoje12_326_sp8,3,1,1,1)&amp;"."&amp;OFFSET(hoje12_326_sp8,3,16,1,1)</f>
        <v>211002.211</v>
      </c>
      <c r="B4" s="27" t="n">
        <v>211002</v>
      </c>
      <c r="C4" s="32" t="s">
        <v>91</v>
      </c>
      <c r="D4" s="33" t="n">
        <v>12887219000567</v>
      </c>
      <c r="E4" s="32" t="s">
        <v>80</v>
      </c>
      <c r="F4" s="32" t="s">
        <v>81</v>
      </c>
      <c r="G4" s="32" t="s">
        <v>65</v>
      </c>
      <c r="H4" s="32" t="s">
        <v>66</v>
      </c>
      <c r="I4" s="32" t="s">
        <v>68</v>
      </c>
      <c r="J4" s="32" t="s">
        <v>68</v>
      </c>
      <c r="K4" s="32" t="n">
        <v>178.56</v>
      </c>
      <c r="L4" s="32" t="s">
        <v>82</v>
      </c>
      <c r="M4" s="32" t="s">
        <v>83</v>
      </c>
      <c r="N4" s="32" t="s">
        <v>84</v>
      </c>
      <c r="O4" s="32" t="s">
        <v>72</v>
      </c>
      <c r="P4" s="32" t="s">
        <v>85</v>
      </c>
      <c r="Q4" s="32" t="n">
        <v>211</v>
      </c>
      <c r="R4" s="32" t="s">
        <v>86</v>
      </c>
      <c r="S4" s="32" t="s">
        <v>92</v>
      </c>
      <c r="T4" s="32" t="s">
        <v>88</v>
      </c>
      <c r="U4" s="32" t="s">
        <v>89</v>
      </c>
      <c r="V4" s="32" t="s">
        <v>90</v>
      </c>
    </row>
    <row r="5" customFormat="false" ht="13.2" hidden="false" customHeight="false" outlineLevel="0" collapsed="false">
      <c r="A5" s="27" t="str">
        <f aca="false">OFFSET(hoje12_326_sp8,4,1,1,1)&amp;"."&amp;OFFSET(hoje12_326_sp8,4,16,1,1)</f>
        <v>211003.211</v>
      </c>
      <c r="B5" s="27" t="n">
        <v>211003</v>
      </c>
      <c r="C5" s="32" t="s">
        <v>79</v>
      </c>
      <c r="D5" s="33" t="n">
        <v>12887219000214</v>
      </c>
      <c r="E5" s="32" t="s">
        <v>80</v>
      </c>
      <c r="F5" s="32" t="s">
        <v>81</v>
      </c>
      <c r="G5" s="32" t="s">
        <v>65</v>
      </c>
      <c r="H5" s="32" t="s">
        <v>66</v>
      </c>
      <c r="I5" s="32" t="s">
        <v>68</v>
      </c>
      <c r="J5" s="32" t="s">
        <v>68</v>
      </c>
      <c r="K5" s="32" t="n">
        <v>178.56</v>
      </c>
      <c r="L5" s="32" t="s">
        <v>82</v>
      </c>
      <c r="M5" s="32" t="s">
        <v>83</v>
      </c>
      <c r="N5" s="32" t="s">
        <v>84</v>
      </c>
      <c r="O5" s="32" t="s">
        <v>72</v>
      </c>
      <c r="P5" s="32" t="s">
        <v>85</v>
      </c>
      <c r="Q5" s="32" t="n">
        <v>211</v>
      </c>
      <c r="R5" s="32" t="s">
        <v>86</v>
      </c>
      <c r="S5" s="32" t="s">
        <v>93</v>
      </c>
      <c r="T5" s="32" t="s">
        <v>88</v>
      </c>
      <c r="U5" s="32" t="s">
        <v>89</v>
      </c>
      <c r="V5" s="32" t="s">
        <v>90</v>
      </c>
    </row>
    <row r="6" customFormat="false" ht="13.2" hidden="false" customHeight="false" outlineLevel="0" collapsed="false">
      <c r="A6" s="27" t="str">
        <f aca="false">OFFSET(hoje12_326_sp8,5,1,1,1)&amp;"."&amp;OFFSET(hoje12_326_sp8,5,16,1,1)</f>
        <v>211004.211</v>
      </c>
      <c r="B6" s="27" t="n">
        <v>211004</v>
      </c>
      <c r="C6" s="32" t="s">
        <v>79</v>
      </c>
      <c r="D6" s="33" t="n">
        <v>12887219000133</v>
      </c>
      <c r="E6" s="32" t="s">
        <v>80</v>
      </c>
      <c r="F6" s="32" t="s">
        <v>81</v>
      </c>
      <c r="G6" s="32" t="s">
        <v>65</v>
      </c>
      <c r="H6" s="32" t="s">
        <v>66</v>
      </c>
      <c r="I6" s="32" t="s">
        <v>68</v>
      </c>
      <c r="J6" s="32" t="s">
        <v>68</v>
      </c>
      <c r="K6" s="32" t="n">
        <v>178.56</v>
      </c>
      <c r="L6" s="32" t="s">
        <v>82</v>
      </c>
      <c r="M6" s="32" t="s">
        <v>83</v>
      </c>
      <c r="N6" s="32" t="s">
        <v>84</v>
      </c>
      <c r="O6" s="32" t="s">
        <v>72</v>
      </c>
      <c r="P6" s="32" t="s">
        <v>85</v>
      </c>
      <c r="Q6" s="32" t="n">
        <v>211</v>
      </c>
      <c r="R6" s="32" t="s">
        <v>86</v>
      </c>
      <c r="S6" s="32" t="s">
        <v>94</v>
      </c>
      <c r="T6" s="32" t="s">
        <v>88</v>
      </c>
      <c r="U6" s="32" t="s">
        <v>89</v>
      </c>
      <c r="V6" s="32" t="s">
        <v>90</v>
      </c>
    </row>
    <row r="7" customFormat="false" ht="13.2" hidden="false" customHeight="false" outlineLevel="0" collapsed="false">
      <c r="A7" s="27" t="str">
        <f aca="false">OFFSET(hoje12_326_sp8,6,1,1,1)&amp;"."&amp;OFFSET(hoje12_326_sp8,6,16,1,1)</f>
        <v>600.507</v>
      </c>
      <c r="B7" s="27" t="n">
        <v>600</v>
      </c>
      <c r="C7" s="32" t="s">
        <v>95</v>
      </c>
      <c r="D7" s="33" t="n">
        <v>20335148000275</v>
      </c>
      <c r="E7" s="32" t="s">
        <v>96</v>
      </c>
      <c r="F7" s="32" t="s">
        <v>81</v>
      </c>
      <c r="G7" s="32" t="s">
        <v>65</v>
      </c>
      <c r="H7" s="32" t="s">
        <v>66</v>
      </c>
      <c r="I7" s="32" t="s">
        <v>97</v>
      </c>
      <c r="J7" s="32" t="s">
        <v>68</v>
      </c>
      <c r="K7" s="32" t="n">
        <v>2814.5</v>
      </c>
      <c r="L7" s="32" t="s">
        <v>98</v>
      </c>
      <c r="M7" s="32" t="s">
        <v>83</v>
      </c>
      <c r="N7" s="32" t="s">
        <v>99</v>
      </c>
      <c r="O7" s="32" t="s">
        <v>72</v>
      </c>
      <c r="P7" s="32" t="s">
        <v>100</v>
      </c>
      <c r="Q7" s="32" t="n">
        <v>507</v>
      </c>
      <c r="R7" s="32" t="s">
        <v>74</v>
      </c>
      <c r="S7" s="32" t="s">
        <v>101</v>
      </c>
      <c r="T7" s="32" t="s">
        <v>102</v>
      </c>
      <c r="U7" s="32" t="s">
        <v>103</v>
      </c>
      <c r="V7" s="32" t="s">
        <v>90</v>
      </c>
    </row>
    <row r="8" customFormat="false" ht="13.2" hidden="false" customHeight="false" outlineLevel="0" collapsed="false">
      <c r="A8" s="27" t="str">
        <f aca="false">OFFSET(hoje12_326_sp8,7,1,1,1)&amp;"."&amp;OFFSET(hoje12_326_sp8,7,16,1,1)</f>
        <v>601.507</v>
      </c>
      <c r="B8" s="27" t="n">
        <v>601</v>
      </c>
      <c r="C8" s="32" t="s">
        <v>95</v>
      </c>
      <c r="D8" s="33" t="n">
        <v>20335148000194</v>
      </c>
      <c r="E8" s="32" t="s">
        <v>96</v>
      </c>
      <c r="F8" s="32" t="s">
        <v>81</v>
      </c>
      <c r="G8" s="32" t="s">
        <v>65</v>
      </c>
      <c r="H8" s="32" t="s">
        <v>66</v>
      </c>
      <c r="I8" s="32" t="s">
        <v>97</v>
      </c>
      <c r="J8" s="32" t="s">
        <v>68</v>
      </c>
      <c r="K8" s="32" t="n">
        <v>2814.5</v>
      </c>
      <c r="L8" s="32" t="s">
        <v>98</v>
      </c>
      <c r="M8" s="32" t="s">
        <v>83</v>
      </c>
      <c r="N8" s="32" t="s">
        <v>99</v>
      </c>
      <c r="O8" s="32" t="s">
        <v>72</v>
      </c>
      <c r="P8" s="32" t="s">
        <v>100</v>
      </c>
      <c r="Q8" s="32" t="n">
        <v>507</v>
      </c>
      <c r="R8" s="32" t="s">
        <v>74</v>
      </c>
      <c r="S8" s="32" t="s">
        <v>101</v>
      </c>
      <c r="T8" s="32" t="s">
        <v>102</v>
      </c>
      <c r="U8" s="32" t="s">
        <v>103</v>
      </c>
      <c r="V8" s="32" t="s">
        <v>90</v>
      </c>
    </row>
    <row r="9" customFormat="false" ht="13.2" hidden="false" customHeight="false" outlineLevel="0" collapsed="false">
      <c r="A9" s="27" t="str">
        <f aca="false">OFFSET(hoje12_326_sp8,8,1,1,1)&amp;"."&amp;OFFSET(hoje12_326_sp8,8,16,1,1)</f>
        <v>507001.507</v>
      </c>
      <c r="B9" s="27" t="n">
        <v>507001</v>
      </c>
      <c r="C9" s="32" t="s">
        <v>95</v>
      </c>
      <c r="D9" s="33" t="n">
        <v>20335148000194</v>
      </c>
      <c r="E9" s="32" t="s">
        <v>80</v>
      </c>
      <c r="F9" s="32" t="s">
        <v>81</v>
      </c>
      <c r="G9" s="32" t="s">
        <v>65</v>
      </c>
      <c r="H9" s="32" t="s">
        <v>66</v>
      </c>
      <c r="I9" s="32" t="s">
        <v>68</v>
      </c>
      <c r="J9" s="32" t="s">
        <v>68</v>
      </c>
      <c r="K9" s="32" t="n">
        <v>178.56</v>
      </c>
      <c r="L9" s="32" t="s">
        <v>82</v>
      </c>
      <c r="M9" s="32" t="s">
        <v>83</v>
      </c>
      <c r="N9" s="32" t="s">
        <v>84</v>
      </c>
      <c r="O9" s="32" t="s">
        <v>72</v>
      </c>
      <c r="P9" s="32" t="s">
        <v>85</v>
      </c>
      <c r="Q9" s="32" t="n">
        <v>507</v>
      </c>
      <c r="R9" s="32" t="s">
        <v>86</v>
      </c>
      <c r="S9" s="32" t="s">
        <v>101</v>
      </c>
      <c r="T9" s="32" t="s">
        <v>88</v>
      </c>
      <c r="U9" s="32" t="s">
        <v>103</v>
      </c>
      <c r="V9" s="32" t="s">
        <v>90</v>
      </c>
    </row>
    <row r="10" customFormat="false" ht="13.2" hidden="false" customHeight="false" outlineLevel="0" collapsed="false">
      <c r="A10" s="27" t="str">
        <f aca="false">OFFSET(hoje12_326_sp8,9,1,1,1)&amp;"."&amp;OFFSET(hoje12_326_sp8,9,16,1,1)</f>
        <v>507002.507</v>
      </c>
      <c r="B10" s="27" t="n">
        <v>507002</v>
      </c>
      <c r="C10" s="32" t="s">
        <v>95</v>
      </c>
      <c r="D10" s="33" t="n">
        <v>20335148000275</v>
      </c>
      <c r="E10" s="32" t="s">
        <v>80</v>
      </c>
      <c r="F10" s="32" t="s">
        <v>81</v>
      </c>
      <c r="G10" s="32" t="s">
        <v>65</v>
      </c>
      <c r="H10" s="32" t="s">
        <v>66</v>
      </c>
      <c r="I10" s="32" t="s">
        <v>68</v>
      </c>
      <c r="J10" s="32" t="s">
        <v>68</v>
      </c>
      <c r="K10" s="32" t="n">
        <v>178.56</v>
      </c>
      <c r="L10" s="32" t="s">
        <v>82</v>
      </c>
      <c r="M10" s="32" t="s">
        <v>83</v>
      </c>
      <c r="N10" s="32" t="s">
        <v>84</v>
      </c>
      <c r="O10" s="32" t="s">
        <v>72</v>
      </c>
      <c r="P10" s="32" t="s">
        <v>85</v>
      </c>
      <c r="Q10" s="32" t="n">
        <v>507</v>
      </c>
      <c r="R10" s="32" t="s">
        <v>86</v>
      </c>
      <c r="S10" s="32" t="s">
        <v>101</v>
      </c>
      <c r="T10" s="32" t="s">
        <v>88</v>
      </c>
      <c r="U10" s="32" t="s">
        <v>103</v>
      </c>
      <c r="V10" s="32" t="s">
        <v>90</v>
      </c>
    </row>
    <row r="11" customFormat="false" ht="13.2" hidden="false" customHeight="false" outlineLevel="0" collapsed="false">
      <c r="A11" s="27" t="str">
        <f aca="false">OFFSET(hoje12_326_sp8,10,1,1,1)&amp;"."&amp;OFFSET(hoje12_326_sp8,10,16,1,1)</f>
        <v>507003.507</v>
      </c>
      <c r="B11" s="27" t="n">
        <v>507003</v>
      </c>
      <c r="C11" s="32" t="s">
        <v>104</v>
      </c>
      <c r="D11" s="33" t="n">
        <v>4757459000519</v>
      </c>
      <c r="E11" s="32" t="s">
        <v>80</v>
      </c>
      <c r="F11" s="32" t="s">
        <v>81</v>
      </c>
      <c r="G11" s="32" t="s">
        <v>65</v>
      </c>
      <c r="H11" s="32" t="s">
        <v>66</v>
      </c>
      <c r="I11" s="32" t="s">
        <v>68</v>
      </c>
      <c r="J11" s="32" t="s">
        <v>68</v>
      </c>
      <c r="K11" s="32" t="n">
        <v>178.56</v>
      </c>
      <c r="L11" s="32" t="s">
        <v>105</v>
      </c>
      <c r="M11" s="32" t="s">
        <v>83</v>
      </c>
      <c r="N11" s="32" t="s">
        <v>84</v>
      </c>
      <c r="O11" s="32" t="s">
        <v>72</v>
      </c>
      <c r="P11" s="32" t="s">
        <v>85</v>
      </c>
      <c r="Q11" s="32" t="n">
        <v>507</v>
      </c>
      <c r="R11" s="32" t="s">
        <v>86</v>
      </c>
      <c r="S11" s="32" t="s">
        <v>106</v>
      </c>
      <c r="T11" s="32" t="s">
        <v>88</v>
      </c>
      <c r="U11" s="32" t="s">
        <v>107</v>
      </c>
      <c r="V11" s="32" t="s">
        <v>90</v>
      </c>
    </row>
    <row r="12" customFormat="false" ht="13.2" hidden="false" customHeight="false" outlineLevel="0" collapsed="false">
      <c r="A12" s="27" t="str">
        <f aca="false">OFFSET(hoje12_326_sp8,11,1,1,1)&amp;"."&amp;OFFSET(hoje12_326_sp8,11,16,1,1)</f>
        <v>1240.702</v>
      </c>
      <c r="B12" s="27" t="n">
        <v>1240</v>
      </c>
      <c r="C12" s="32" t="s">
        <v>108</v>
      </c>
      <c r="D12" s="33" t="n">
        <v>35831943000140</v>
      </c>
      <c r="E12" s="32" t="s">
        <v>109</v>
      </c>
      <c r="F12" s="32" t="s">
        <v>81</v>
      </c>
      <c r="G12" s="32" t="s">
        <v>65</v>
      </c>
      <c r="H12" s="32" t="s">
        <v>66</v>
      </c>
      <c r="I12" s="32" t="s">
        <v>110</v>
      </c>
      <c r="J12" s="32" t="s">
        <v>68</v>
      </c>
      <c r="K12" s="32" t="n">
        <v>790.72</v>
      </c>
      <c r="L12" s="32" t="s">
        <v>111</v>
      </c>
      <c r="M12" s="32" t="s">
        <v>83</v>
      </c>
      <c r="N12" s="32" t="s">
        <v>99</v>
      </c>
      <c r="O12" s="32" t="s">
        <v>72</v>
      </c>
      <c r="P12" s="32" t="s">
        <v>112</v>
      </c>
      <c r="Q12" s="32" t="n">
        <v>702</v>
      </c>
      <c r="R12" s="32" t="s">
        <v>113</v>
      </c>
      <c r="S12" s="32" t="s">
        <v>114</v>
      </c>
      <c r="T12" s="32" t="s">
        <v>115</v>
      </c>
      <c r="U12" s="32" t="s">
        <v>77</v>
      </c>
      <c r="V12" s="32" t="s">
        <v>90</v>
      </c>
    </row>
    <row r="13" customFormat="false" ht="13.2" hidden="false" customHeight="false" outlineLevel="0" collapsed="false">
      <c r="A13" s="27" t="str">
        <f aca="false">OFFSET(hoje12_326_sp8,12,1,1,1)&amp;"."&amp;OFFSET(hoje12_326_sp8,12,16,1,1)</f>
        <v>1241.702</v>
      </c>
      <c r="B13" s="27" t="n">
        <v>1241</v>
      </c>
      <c r="C13" s="32" t="s">
        <v>108</v>
      </c>
      <c r="D13" s="33" t="n">
        <v>35831943000302</v>
      </c>
      <c r="E13" s="32" t="s">
        <v>109</v>
      </c>
      <c r="F13" s="32" t="s">
        <v>81</v>
      </c>
      <c r="G13" s="32" t="s">
        <v>65</v>
      </c>
      <c r="H13" s="32" t="s">
        <v>66</v>
      </c>
      <c r="I13" s="32" t="s">
        <v>110</v>
      </c>
      <c r="J13" s="32" t="s">
        <v>68</v>
      </c>
      <c r="K13" s="32" t="n">
        <v>790.72</v>
      </c>
      <c r="L13" s="32" t="s">
        <v>111</v>
      </c>
      <c r="M13" s="32" t="s">
        <v>83</v>
      </c>
      <c r="N13" s="32" t="s">
        <v>99</v>
      </c>
      <c r="O13" s="32" t="s">
        <v>72</v>
      </c>
      <c r="P13" s="32" t="s">
        <v>112</v>
      </c>
      <c r="Q13" s="32" t="n">
        <v>702</v>
      </c>
      <c r="R13" s="32" t="s">
        <v>113</v>
      </c>
      <c r="S13" s="32" t="s">
        <v>114</v>
      </c>
      <c r="T13" s="32" t="s">
        <v>115</v>
      </c>
      <c r="U13" s="32" t="s">
        <v>77</v>
      </c>
      <c r="V13" s="32" t="s">
        <v>90</v>
      </c>
    </row>
    <row r="14" customFormat="false" ht="13.2" hidden="false" customHeight="false" outlineLevel="0" collapsed="false">
      <c r="A14" s="27" t="str">
        <f aca="false">OFFSET(hoje12_326_sp8,13,1,1,1)&amp;"."&amp;OFFSET(hoje12_326_sp8,13,16,1,1)</f>
        <v>1242.702</v>
      </c>
      <c r="B14" s="27" t="n">
        <v>1242</v>
      </c>
      <c r="C14" s="32" t="s">
        <v>108</v>
      </c>
      <c r="D14" s="33" t="n">
        <v>35831943000493</v>
      </c>
      <c r="E14" s="32" t="s">
        <v>109</v>
      </c>
      <c r="F14" s="32" t="s">
        <v>81</v>
      </c>
      <c r="G14" s="32" t="s">
        <v>65</v>
      </c>
      <c r="H14" s="32" t="s">
        <v>66</v>
      </c>
      <c r="I14" s="32" t="s">
        <v>110</v>
      </c>
      <c r="J14" s="32" t="s">
        <v>68</v>
      </c>
      <c r="K14" s="32" t="n">
        <v>790.72</v>
      </c>
      <c r="L14" s="32" t="s">
        <v>111</v>
      </c>
      <c r="M14" s="32" t="s">
        <v>83</v>
      </c>
      <c r="N14" s="32" t="s">
        <v>99</v>
      </c>
      <c r="O14" s="32" t="s">
        <v>72</v>
      </c>
      <c r="P14" s="32" t="s">
        <v>112</v>
      </c>
      <c r="Q14" s="32" t="n">
        <v>702</v>
      </c>
      <c r="R14" s="32" t="s">
        <v>113</v>
      </c>
      <c r="S14" s="32" t="s">
        <v>116</v>
      </c>
      <c r="T14" s="32" t="s">
        <v>115</v>
      </c>
      <c r="U14" s="32" t="s">
        <v>117</v>
      </c>
      <c r="V14" s="32" t="s">
        <v>90</v>
      </c>
    </row>
    <row r="15" customFormat="false" ht="13.2" hidden="false" customHeight="false" outlineLevel="0" collapsed="false">
      <c r="A15" s="27" t="str">
        <f aca="false">OFFSET(hoje12_326_sp8,14,1,1,1)&amp;"."&amp;OFFSET(hoje12_326_sp8,14,16,1,1)</f>
        <v>1243.702</v>
      </c>
      <c r="B15" s="27" t="n">
        <v>1243</v>
      </c>
      <c r="C15" s="32" t="s">
        <v>108</v>
      </c>
      <c r="D15" s="33" t="n">
        <v>35831943000574</v>
      </c>
      <c r="E15" s="32" t="s">
        <v>109</v>
      </c>
      <c r="F15" s="32" t="s">
        <v>81</v>
      </c>
      <c r="G15" s="32" t="s">
        <v>65</v>
      </c>
      <c r="H15" s="32" t="s">
        <v>66</v>
      </c>
      <c r="I15" s="32" t="s">
        <v>110</v>
      </c>
      <c r="J15" s="32" t="s">
        <v>68</v>
      </c>
      <c r="K15" s="32" t="n">
        <v>790.72</v>
      </c>
      <c r="L15" s="32" t="s">
        <v>111</v>
      </c>
      <c r="M15" s="32" t="s">
        <v>83</v>
      </c>
      <c r="N15" s="32" t="s">
        <v>99</v>
      </c>
      <c r="O15" s="32" t="s">
        <v>72</v>
      </c>
      <c r="P15" s="32" t="s">
        <v>112</v>
      </c>
      <c r="Q15" s="32" t="n">
        <v>702</v>
      </c>
      <c r="R15" s="32" t="s">
        <v>113</v>
      </c>
      <c r="S15" s="32" t="s">
        <v>118</v>
      </c>
      <c r="T15" s="32" t="s">
        <v>115</v>
      </c>
      <c r="U15" s="32" t="s">
        <v>77</v>
      </c>
      <c r="V15" s="32" t="s">
        <v>90</v>
      </c>
    </row>
    <row r="16" customFormat="false" ht="13.2" hidden="false" customHeight="false" outlineLevel="0" collapsed="false">
      <c r="A16" s="27" t="str">
        <f aca="false">OFFSET(hoje12_326_sp8,15,1,1,1)&amp;"."&amp;OFFSET(hoje12_326_sp8,15,16,1,1)</f>
        <v>1244.702</v>
      </c>
      <c r="B16" s="27" t="n">
        <v>1244</v>
      </c>
      <c r="C16" s="32" t="s">
        <v>108</v>
      </c>
      <c r="D16" s="33" t="n">
        <v>35831943000736</v>
      </c>
      <c r="E16" s="32" t="s">
        <v>119</v>
      </c>
      <c r="F16" s="32" t="s">
        <v>81</v>
      </c>
      <c r="G16" s="32" t="s">
        <v>65</v>
      </c>
      <c r="H16" s="32" t="s">
        <v>66</v>
      </c>
      <c r="I16" s="32" t="s">
        <v>110</v>
      </c>
      <c r="J16" s="32" t="s">
        <v>68</v>
      </c>
      <c r="K16" s="32" t="n">
        <v>665.32</v>
      </c>
      <c r="L16" s="32" t="s">
        <v>111</v>
      </c>
      <c r="M16" s="32" t="s">
        <v>83</v>
      </c>
      <c r="N16" s="32" t="s">
        <v>99</v>
      </c>
      <c r="O16" s="32" t="s">
        <v>72</v>
      </c>
      <c r="P16" s="32" t="s">
        <v>120</v>
      </c>
      <c r="Q16" s="32" t="n">
        <v>702</v>
      </c>
      <c r="R16" s="32" t="s">
        <v>113</v>
      </c>
      <c r="S16" s="32" t="s">
        <v>75</v>
      </c>
      <c r="T16" s="32" t="s">
        <v>121</v>
      </c>
      <c r="U16" s="32" t="s">
        <v>77</v>
      </c>
      <c r="V16" s="32" t="s">
        <v>90</v>
      </c>
    </row>
    <row r="17" customFormat="false" ht="13.2" hidden="false" customHeight="false" outlineLevel="0" collapsed="false">
      <c r="A17" s="27" t="str">
        <f aca="false">OFFSET(hoje12_326_sp8,16,1,1,1)&amp;"."&amp;OFFSET(hoje12_326_sp8,16,16,1,1)</f>
        <v>1245.702</v>
      </c>
      <c r="B17" s="27" t="n">
        <v>1245</v>
      </c>
      <c r="C17" s="32" t="s">
        <v>108</v>
      </c>
      <c r="D17" s="33" t="n">
        <v>35831943000906</v>
      </c>
      <c r="E17" s="32" t="s">
        <v>122</v>
      </c>
      <c r="F17" s="32" t="s">
        <v>81</v>
      </c>
      <c r="G17" s="32" t="s">
        <v>65</v>
      </c>
      <c r="H17" s="32" t="s">
        <v>123</v>
      </c>
      <c r="I17" s="32" t="s">
        <v>110</v>
      </c>
      <c r="J17" s="32" t="s">
        <v>68</v>
      </c>
      <c r="K17" s="32" t="n">
        <v>853.6</v>
      </c>
      <c r="L17" s="32" t="s">
        <v>111</v>
      </c>
      <c r="M17" s="32" t="s">
        <v>83</v>
      </c>
      <c r="N17" s="32" t="s">
        <v>99</v>
      </c>
      <c r="O17" s="32" t="s">
        <v>72</v>
      </c>
      <c r="P17" s="32" t="s">
        <v>124</v>
      </c>
      <c r="Q17" s="32" t="n">
        <v>702</v>
      </c>
      <c r="R17" s="32" t="s">
        <v>113</v>
      </c>
      <c r="S17" s="32" t="s">
        <v>125</v>
      </c>
      <c r="T17" s="32" t="s">
        <v>126</v>
      </c>
      <c r="U17" s="32" t="s">
        <v>127</v>
      </c>
      <c r="V17" s="32" t="s">
        <v>90</v>
      </c>
    </row>
    <row r="18" customFormat="false" ht="13.2" hidden="false" customHeight="false" outlineLevel="0" collapsed="false">
      <c r="A18" s="27" t="str">
        <f aca="false">OFFSET(hoje12_326_sp8,17,1,1,1)&amp;"."&amp;OFFSET(hoje12_326_sp8,17,16,1,1)</f>
        <v>1246.702</v>
      </c>
      <c r="B18" s="27" t="n">
        <v>1246</v>
      </c>
      <c r="C18" s="32" t="s">
        <v>108</v>
      </c>
      <c r="D18" s="33" t="n">
        <v>35831943000221</v>
      </c>
      <c r="E18" s="32" t="s">
        <v>122</v>
      </c>
      <c r="F18" s="32" t="s">
        <v>81</v>
      </c>
      <c r="G18" s="32" t="s">
        <v>65</v>
      </c>
      <c r="H18" s="32" t="s">
        <v>66</v>
      </c>
      <c r="I18" s="32" t="s">
        <v>110</v>
      </c>
      <c r="J18" s="32" t="s">
        <v>68</v>
      </c>
      <c r="K18" s="32" t="n">
        <v>853.6</v>
      </c>
      <c r="L18" s="32" t="s">
        <v>111</v>
      </c>
      <c r="M18" s="32" t="s">
        <v>83</v>
      </c>
      <c r="N18" s="32" t="s">
        <v>99</v>
      </c>
      <c r="O18" s="32" t="s">
        <v>72</v>
      </c>
      <c r="P18" s="32" t="s">
        <v>124</v>
      </c>
      <c r="Q18" s="32" t="n">
        <v>702</v>
      </c>
      <c r="R18" s="32" t="s">
        <v>113</v>
      </c>
      <c r="S18" s="32" t="s">
        <v>128</v>
      </c>
      <c r="T18" s="32" t="s">
        <v>126</v>
      </c>
      <c r="U18" s="32" t="s">
        <v>129</v>
      </c>
      <c r="V18" s="32" t="s">
        <v>90</v>
      </c>
    </row>
    <row r="19" customFormat="false" ht="13.2" hidden="false" customHeight="false" outlineLevel="0" collapsed="false">
      <c r="A19" s="27" t="str">
        <f aca="false">OFFSET(hoje12_326_sp8,18,1,1,1)&amp;"."&amp;OFFSET(hoje12_326_sp8,18,16,1,1)</f>
        <v>1247.702</v>
      </c>
      <c r="B19" s="27" t="n">
        <v>1247</v>
      </c>
      <c r="C19" s="32" t="s">
        <v>130</v>
      </c>
      <c r="D19" s="33" t="n">
        <v>9531413001815</v>
      </c>
      <c r="E19" s="32" t="s">
        <v>131</v>
      </c>
      <c r="F19" s="32" t="s">
        <v>81</v>
      </c>
      <c r="G19" s="32" t="s">
        <v>65</v>
      </c>
      <c r="H19" s="32" t="s">
        <v>132</v>
      </c>
      <c r="I19" s="32" t="s">
        <v>133</v>
      </c>
      <c r="J19" s="32" t="s">
        <v>68</v>
      </c>
      <c r="K19" s="32" t="n">
        <v>52378.94</v>
      </c>
      <c r="L19" s="32" t="s">
        <v>134</v>
      </c>
      <c r="M19" s="32" t="s">
        <v>135</v>
      </c>
      <c r="N19" s="32" t="s">
        <v>99</v>
      </c>
      <c r="O19" s="32" t="s">
        <v>72</v>
      </c>
      <c r="P19" s="32" t="s">
        <v>136</v>
      </c>
      <c r="Q19" s="32" t="n">
        <v>702</v>
      </c>
      <c r="R19" s="32" t="s">
        <v>74</v>
      </c>
      <c r="S19" s="32" t="s">
        <v>137</v>
      </c>
      <c r="T19" s="32" t="s">
        <v>138</v>
      </c>
      <c r="U19" s="32" t="s">
        <v>139</v>
      </c>
      <c r="V19" s="32" t="s">
        <v>90</v>
      </c>
    </row>
    <row r="20" customFormat="false" ht="13.2" hidden="false" customHeight="false" outlineLevel="0" collapsed="false">
      <c r="A20" s="27" t="str">
        <f aca="false">OFFSET(hoje12_326_sp8,19,1,1,1)&amp;"."&amp;OFFSET(hoje12_326_sp8,19,16,1,1)</f>
        <v>1248.702</v>
      </c>
      <c r="B20" s="27" t="n">
        <v>1248</v>
      </c>
      <c r="C20" s="32" t="s">
        <v>130</v>
      </c>
      <c r="D20" s="33" t="n">
        <v>9531413000339</v>
      </c>
      <c r="E20" s="32" t="s">
        <v>140</v>
      </c>
      <c r="F20" s="32" t="s">
        <v>81</v>
      </c>
      <c r="G20" s="32" t="s">
        <v>65</v>
      </c>
      <c r="H20" s="32" t="s">
        <v>66</v>
      </c>
      <c r="I20" s="32" t="s">
        <v>141</v>
      </c>
      <c r="J20" s="32" t="s">
        <v>68</v>
      </c>
      <c r="K20" s="32" t="n">
        <v>10134.23</v>
      </c>
      <c r="L20" s="32" t="s">
        <v>82</v>
      </c>
      <c r="M20" s="32" t="s">
        <v>135</v>
      </c>
      <c r="N20" s="32" t="s">
        <v>99</v>
      </c>
      <c r="O20" s="32" t="s">
        <v>72</v>
      </c>
      <c r="P20" s="32" t="s">
        <v>142</v>
      </c>
      <c r="Q20" s="32" t="n">
        <v>702</v>
      </c>
      <c r="R20" s="32" t="s">
        <v>74</v>
      </c>
      <c r="S20" s="32" t="s">
        <v>143</v>
      </c>
      <c r="T20" s="32" t="s">
        <v>144</v>
      </c>
      <c r="U20" s="32" t="s">
        <v>77</v>
      </c>
      <c r="V20" s="32" t="s">
        <v>90</v>
      </c>
    </row>
    <row r="21" customFormat="false" ht="13.2" hidden="false" customHeight="false" outlineLevel="0" collapsed="false">
      <c r="A21" s="27" t="str">
        <f aca="false">OFFSET(hoje12_326_sp8,20,1,1,1)&amp;"."&amp;OFFSET(hoje12_326_sp8,20,16,1,1)</f>
        <v>1249.702</v>
      </c>
      <c r="B21" s="27" t="n">
        <v>1249</v>
      </c>
      <c r="C21" s="32" t="s">
        <v>130</v>
      </c>
      <c r="D21" s="33" t="n">
        <v>9531413001491</v>
      </c>
      <c r="E21" s="32" t="s">
        <v>145</v>
      </c>
      <c r="F21" s="32" t="s">
        <v>81</v>
      </c>
      <c r="G21" s="32" t="s">
        <v>65</v>
      </c>
      <c r="H21" s="32" t="s">
        <v>66</v>
      </c>
      <c r="I21" s="32" t="s">
        <v>146</v>
      </c>
      <c r="J21" s="32" t="s">
        <v>68</v>
      </c>
      <c r="K21" s="32" t="n">
        <v>3860.85</v>
      </c>
      <c r="L21" s="32" t="s">
        <v>82</v>
      </c>
      <c r="M21" s="32" t="s">
        <v>83</v>
      </c>
      <c r="N21" s="32" t="s">
        <v>99</v>
      </c>
      <c r="O21" s="32" t="s">
        <v>72</v>
      </c>
      <c r="P21" s="32" t="s">
        <v>147</v>
      </c>
      <c r="Q21" s="32" t="n">
        <v>702</v>
      </c>
      <c r="R21" s="32" t="s">
        <v>74</v>
      </c>
      <c r="S21" s="32" t="s">
        <v>75</v>
      </c>
      <c r="T21" s="32" t="s">
        <v>148</v>
      </c>
      <c r="U21" s="32" t="s">
        <v>77</v>
      </c>
      <c r="V21" s="32" t="s">
        <v>90</v>
      </c>
    </row>
    <row r="22" customFormat="false" ht="13.2" hidden="false" customHeight="false" outlineLevel="0" collapsed="false">
      <c r="A22" s="27" t="str">
        <f aca="false">OFFSET(hoje12_326_sp8,21,1,1,1)&amp;"."&amp;OFFSET(hoje12_326_sp8,21,16,1,1)</f>
        <v>1250.702</v>
      </c>
      <c r="B22" s="27" t="n">
        <v>1250</v>
      </c>
      <c r="C22" s="32" t="s">
        <v>130</v>
      </c>
      <c r="D22" s="33" t="n">
        <v>9531413001068</v>
      </c>
      <c r="E22" s="32" t="s">
        <v>149</v>
      </c>
      <c r="F22" s="32" t="s">
        <v>81</v>
      </c>
      <c r="G22" s="32" t="s">
        <v>65</v>
      </c>
      <c r="H22" s="32" t="s">
        <v>66</v>
      </c>
      <c r="I22" s="32" t="s">
        <v>150</v>
      </c>
      <c r="J22" s="32" t="s">
        <v>68</v>
      </c>
      <c r="K22" s="32" t="n">
        <v>3621.15</v>
      </c>
      <c r="L22" s="32" t="s">
        <v>82</v>
      </c>
      <c r="M22" s="32" t="s">
        <v>135</v>
      </c>
      <c r="N22" s="32" t="s">
        <v>99</v>
      </c>
      <c r="O22" s="32" t="s">
        <v>72</v>
      </c>
      <c r="P22" s="32" t="s">
        <v>151</v>
      </c>
      <c r="Q22" s="32" t="n">
        <v>702</v>
      </c>
      <c r="R22" s="32" t="s">
        <v>74</v>
      </c>
      <c r="S22" s="32" t="s">
        <v>152</v>
      </c>
      <c r="T22" s="32" t="s">
        <v>153</v>
      </c>
      <c r="U22" s="32" t="s">
        <v>154</v>
      </c>
      <c r="V22" s="32" t="s">
        <v>90</v>
      </c>
    </row>
    <row r="23" customFormat="false" ht="13.2" hidden="false" customHeight="false" outlineLevel="0" collapsed="false">
      <c r="A23" s="27" t="str">
        <f aca="false">OFFSET(hoje12_326_sp8,22,1,1,1)&amp;"."&amp;OFFSET(hoje12_326_sp8,22,16,1,1)</f>
        <v>1251.702</v>
      </c>
      <c r="B23" s="27" t="n">
        <v>1251</v>
      </c>
      <c r="C23" s="32" t="s">
        <v>130</v>
      </c>
      <c r="D23" s="33" t="n">
        <v>9531413000258</v>
      </c>
      <c r="E23" s="32" t="s">
        <v>155</v>
      </c>
      <c r="F23" s="32" t="s">
        <v>81</v>
      </c>
      <c r="G23" s="32" t="s">
        <v>65</v>
      </c>
      <c r="H23" s="32" t="s">
        <v>66</v>
      </c>
      <c r="I23" s="32" t="s">
        <v>156</v>
      </c>
      <c r="J23" s="32" t="s">
        <v>68</v>
      </c>
      <c r="K23" s="32" t="n">
        <v>1207.44</v>
      </c>
      <c r="L23" s="32" t="s">
        <v>82</v>
      </c>
      <c r="M23" s="32" t="s">
        <v>135</v>
      </c>
      <c r="N23" s="32" t="s">
        <v>99</v>
      </c>
      <c r="O23" s="32" t="s">
        <v>72</v>
      </c>
      <c r="P23" s="32" t="s">
        <v>157</v>
      </c>
      <c r="Q23" s="32" t="n">
        <v>702</v>
      </c>
      <c r="R23" s="32" t="s">
        <v>74</v>
      </c>
      <c r="S23" s="32" t="s">
        <v>158</v>
      </c>
      <c r="T23" s="32" t="s">
        <v>159</v>
      </c>
      <c r="U23" s="32" t="s">
        <v>77</v>
      </c>
      <c r="V23" s="32" t="s">
        <v>90</v>
      </c>
    </row>
    <row r="24" customFormat="false" ht="13.2" hidden="false" customHeight="false" outlineLevel="0" collapsed="false">
      <c r="A24" s="27" t="str">
        <f aca="false">OFFSET(hoje12_326_sp8,23,1,1,1)&amp;"."&amp;OFFSET(hoje12_326_sp8,23,16,1,1)</f>
        <v>1252.702</v>
      </c>
      <c r="B24" s="27" t="n">
        <v>1252</v>
      </c>
      <c r="C24" s="32" t="s">
        <v>130</v>
      </c>
      <c r="D24" s="33" t="n">
        <v>9531413000762</v>
      </c>
      <c r="E24" s="32" t="s">
        <v>160</v>
      </c>
      <c r="F24" s="32" t="s">
        <v>81</v>
      </c>
      <c r="G24" s="32" t="s">
        <v>65</v>
      </c>
      <c r="H24" s="32" t="s">
        <v>66</v>
      </c>
      <c r="I24" s="32" t="s">
        <v>161</v>
      </c>
      <c r="J24" s="32" t="s">
        <v>68</v>
      </c>
      <c r="K24" s="32" t="n">
        <v>3681.46</v>
      </c>
      <c r="L24" s="32" t="s">
        <v>82</v>
      </c>
      <c r="M24" s="32" t="s">
        <v>135</v>
      </c>
      <c r="N24" s="32" t="s">
        <v>99</v>
      </c>
      <c r="O24" s="32" t="s">
        <v>72</v>
      </c>
      <c r="P24" s="32" t="s">
        <v>162</v>
      </c>
      <c r="Q24" s="32" t="n">
        <v>702</v>
      </c>
      <c r="R24" s="32" t="s">
        <v>74</v>
      </c>
      <c r="S24" s="32" t="s">
        <v>158</v>
      </c>
      <c r="T24" s="32" t="s">
        <v>163</v>
      </c>
      <c r="U24" s="32" t="s">
        <v>77</v>
      </c>
      <c r="V24" s="32" t="s">
        <v>90</v>
      </c>
    </row>
    <row r="25" customFormat="false" ht="13.2" hidden="false" customHeight="false" outlineLevel="0" collapsed="false">
      <c r="A25" s="27" t="str">
        <f aca="false">OFFSET(hoje12_326_sp8,24,1,1,1)&amp;"."&amp;OFFSET(hoje12_326_sp8,24,16,1,1)</f>
        <v>1254.702</v>
      </c>
      <c r="B25" s="27" t="n">
        <v>1254</v>
      </c>
      <c r="C25" s="32" t="s">
        <v>130</v>
      </c>
      <c r="D25" s="33" t="n">
        <v>9531413000681</v>
      </c>
      <c r="E25" s="32" t="s">
        <v>164</v>
      </c>
      <c r="F25" s="32" t="s">
        <v>81</v>
      </c>
      <c r="G25" s="32" t="s">
        <v>65</v>
      </c>
      <c r="H25" s="32" t="s">
        <v>66</v>
      </c>
      <c r="I25" s="32" t="s">
        <v>165</v>
      </c>
      <c r="J25" s="32" t="s">
        <v>68</v>
      </c>
      <c r="K25" s="32" t="n">
        <v>1102.68</v>
      </c>
      <c r="L25" s="32" t="s">
        <v>82</v>
      </c>
      <c r="M25" s="32" t="s">
        <v>135</v>
      </c>
      <c r="N25" s="32" t="s">
        <v>99</v>
      </c>
      <c r="O25" s="32" t="s">
        <v>72</v>
      </c>
      <c r="P25" s="32" t="s">
        <v>166</v>
      </c>
      <c r="Q25" s="32" t="n">
        <v>702</v>
      </c>
      <c r="R25" s="32" t="s">
        <v>74</v>
      </c>
      <c r="S25" s="32" t="s">
        <v>167</v>
      </c>
      <c r="T25" s="32" t="s">
        <v>168</v>
      </c>
      <c r="U25" s="32" t="s">
        <v>77</v>
      </c>
      <c r="V25" s="32" t="s">
        <v>90</v>
      </c>
    </row>
    <row r="26" customFormat="false" ht="13.2" hidden="false" customHeight="false" outlineLevel="0" collapsed="false">
      <c r="A26" s="27" t="str">
        <f aca="false">OFFSET(hoje12_326_sp8,25,1,1,1)&amp;"."&amp;OFFSET(hoje12_326_sp8,25,16,1,1)</f>
        <v>1255.702</v>
      </c>
      <c r="B26" s="27" t="n">
        <v>1255</v>
      </c>
      <c r="C26" s="32" t="s">
        <v>130</v>
      </c>
      <c r="D26" s="33" t="n">
        <v>9531413001220</v>
      </c>
      <c r="E26" s="32" t="s">
        <v>169</v>
      </c>
      <c r="F26" s="32" t="s">
        <v>81</v>
      </c>
      <c r="G26" s="32" t="s">
        <v>65</v>
      </c>
      <c r="H26" s="32" t="s">
        <v>66</v>
      </c>
      <c r="I26" s="32" t="s">
        <v>170</v>
      </c>
      <c r="J26" s="32" t="s">
        <v>68</v>
      </c>
      <c r="K26" s="32" t="n">
        <v>2215.04</v>
      </c>
      <c r="L26" s="32" t="s">
        <v>82</v>
      </c>
      <c r="M26" s="32" t="s">
        <v>83</v>
      </c>
      <c r="N26" s="32" t="s">
        <v>99</v>
      </c>
      <c r="O26" s="32" t="s">
        <v>72</v>
      </c>
      <c r="P26" s="32" t="s">
        <v>171</v>
      </c>
      <c r="Q26" s="32" t="n">
        <v>702</v>
      </c>
      <c r="R26" s="32" t="s">
        <v>74</v>
      </c>
      <c r="S26" s="32" t="s">
        <v>172</v>
      </c>
      <c r="T26" s="32" t="s">
        <v>173</v>
      </c>
      <c r="U26" s="32" t="s">
        <v>77</v>
      </c>
      <c r="V26" s="32" t="s">
        <v>90</v>
      </c>
    </row>
    <row r="27" customFormat="false" ht="13.2" hidden="false" customHeight="false" outlineLevel="0" collapsed="false">
      <c r="A27" s="27" t="str">
        <f aca="false">OFFSET(hoje12_326_sp8,26,1,1,1)&amp;"."&amp;OFFSET(hoje12_326_sp8,26,16,1,1)</f>
        <v>1256.702</v>
      </c>
      <c r="B27" s="27" t="n">
        <v>1256</v>
      </c>
      <c r="C27" s="32" t="s">
        <v>130</v>
      </c>
      <c r="D27" s="33" t="n">
        <v>9531413001300</v>
      </c>
      <c r="E27" s="32" t="s">
        <v>174</v>
      </c>
      <c r="F27" s="32" t="s">
        <v>81</v>
      </c>
      <c r="G27" s="32" t="s">
        <v>65</v>
      </c>
      <c r="H27" s="32" t="s">
        <v>66</v>
      </c>
      <c r="I27" s="32" t="s">
        <v>175</v>
      </c>
      <c r="J27" s="32" t="s">
        <v>68</v>
      </c>
      <c r="K27" s="32" t="n">
        <v>4175.43</v>
      </c>
      <c r="L27" s="32" t="s">
        <v>82</v>
      </c>
      <c r="M27" s="32" t="s">
        <v>135</v>
      </c>
      <c r="N27" s="32" t="s">
        <v>99</v>
      </c>
      <c r="O27" s="32" t="s">
        <v>72</v>
      </c>
      <c r="P27" s="32" t="s">
        <v>176</v>
      </c>
      <c r="Q27" s="32" t="n">
        <v>702</v>
      </c>
      <c r="R27" s="32" t="s">
        <v>74</v>
      </c>
      <c r="S27" s="32" t="s">
        <v>177</v>
      </c>
      <c r="T27" s="32" t="s">
        <v>178</v>
      </c>
      <c r="U27" s="32" t="s">
        <v>77</v>
      </c>
      <c r="V27" s="32" t="s">
        <v>90</v>
      </c>
    </row>
    <row r="28" customFormat="false" ht="13.2" hidden="false" customHeight="false" outlineLevel="0" collapsed="false">
      <c r="A28" s="27" t="str">
        <f aca="false">OFFSET(hoje12_326_sp8,27,1,1,1)&amp;"."&amp;OFFSET(hoje12_326_sp8,27,16,1,1)</f>
        <v>1257.702</v>
      </c>
      <c r="B28" s="27" t="n">
        <v>1257</v>
      </c>
      <c r="C28" s="32" t="s">
        <v>130</v>
      </c>
      <c r="D28" s="33" t="n">
        <v>9531413000177</v>
      </c>
      <c r="E28" s="32" t="s">
        <v>179</v>
      </c>
      <c r="F28" s="32" t="s">
        <v>81</v>
      </c>
      <c r="G28" s="32" t="s">
        <v>65</v>
      </c>
      <c r="H28" s="32" t="s">
        <v>66</v>
      </c>
      <c r="I28" s="32" t="s">
        <v>180</v>
      </c>
      <c r="J28" s="32" t="s">
        <v>68</v>
      </c>
      <c r="K28" s="32" t="n">
        <v>3000.47</v>
      </c>
      <c r="L28" s="32" t="s">
        <v>82</v>
      </c>
      <c r="M28" s="32" t="s">
        <v>135</v>
      </c>
      <c r="N28" s="32" t="s">
        <v>99</v>
      </c>
      <c r="O28" s="32" t="s">
        <v>72</v>
      </c>
      <c r="P28" s="32" t="s">
        <v>181</v>
      </c>
      <c r="Q28" s="32" t="n">
        <v>702</v>
      </c>
      <c r="R28" s="32" t="s">
        <v>74</v>
      </c>
      <c r="S28" s="32" t="s">
        <v>158</v>
      </c>
      <c r="T28" s="32" t="s">
        <v>182</v>
      </c>
      <c r="U28" s="32" t="s">
        <v>77</v>
      </c>
      <c r="V28" s="32" t="s">
        <v>90</v>
      </c>
    </row>
    <row r="29" customFormat="false" ht="13.2" hidden="false" customHeight="false" outlineLevel="0" collapsed="false">
      <c r="A29" s="27" t="str">
        <f aca="false">OFFSET(hoje12_326_sp8,28,1,1,1)&amp;"."&amp;OFFSET(hoje12_326_sp8,28,16,1,1)</f>
        <v>1258.702</v>
      </c>
      <c r="B29" s="27" t="n">
        <v>1258</v>
      </c>
      <c r="C29" s="32" t="s">
        <v>130</v>
      </c>
      <c r="D29" s="33" t="n">
        <v>9531413000410</v>
      </c>
      <c r="E29" s="32" t="s">
        <v>183</v>
      </c>
      <c r="F29" s="32" t="s">
        <v>81</v>
      </c>
      <c r="G29" s="32" t="s">
        <v>65</v>
      </c>
      <c r="H29" s="32" t="s">
        <v>66</v>
      </c>
      <c r="I29" s="32" t="s">
        <v>184</v>
      </c>
      <c r="J29" s="32" t="s">
        <v>68</v>
      </c>
      <c r="K29" s="32" t="n">
        <v>2829.17</v>
      </c>
      <c r="L29" s="32" t="s">
        <v>82</v>
      </c>
      <c r="M29" s="32" t="s">
        <v>135</v>
      </c>
      <c r="N29" s="32" t="s">
        <v>99</v>
      </c>
      <c r="O29" s="32" t="s">
        <v>72</v>
      </c>
      <c r="P29" s="32" t="s">
        <v>185</v>
      </c>
      <c r="Q29" s="32" t="n">
        <v>702</v>
      </c>
      <c r="R29" s="32" t="s">
        <v>74</v>
      </c>
      <c r="S29" s="32" t="s">
        <v>177</v>
      </c>
      <c r="T29" s="32" t="s">
        <v>186</v>
      </c>
      <c r="U29" s="32" t="s">
        <v>77</v>
      </c>
      <c r="V29" s="32" t="s">
        <v>90</v>
      </c>
    </row>
    <row r="30" customFormat="false" ht="13.2" hidden="false" customHeight="false" outlineLevel="0" collapsed="false">
      <c r="A30" s="27" t="str">
        <f aca="false">OFFSET(hoje12_326_sp8,29,1,1,1)&amp;"."&amp;OFFSET(hoje12_326_sp8,29,16,1,1)</f>
        <v>702001.702</v>
      </c>
      <c r="B30" s="27" t="n">
        <v>702001</v>
      </c>
      <c r="C30" s="32" t="s">
        <v>108</v>
      </c>
      <c r="D30" s="33" t="n">
        <v>35831943000655</v>
      </c>
      <c r="E30" s="32" t="s">
        <v>80</v>
      </c>
      <c r="F30" s="32" t="s">
        <v>81</v>
      </c>
      <c r="G30" s="32" t="s">
        <v>65</v>
      </c>
      <c r="H30" s="32" t="s">
        <v>66</v>
      </c>
      <c r="I30" s="32" t="s">
        <v>68</v>
      </c>
      <c r="J30" s="32" t="s">
        <v>68</v>
      </c>
      <c r="K30" s="32" t="n">
        <v>178.56</v>
      </c>
      <c r="L30" s="32" t="s">
        <v>111</v>
      </c>
      <c r="M30" s="32" t="s">
        <v>83</v>
      </c>
      <c r="N30" s="32" t="s">
        <v>84</v>
      </c>
      <c r="O30" s="32" t="s">
        <v>72</v>
      </c>
      <c r="P30" s="32" t="s">
        <v>85</v>
      </c>
      <c r="Q30" s="32" t="n">
        <v>702</v>
      </c>
      <c r="R30" s="32" t="s">
        <v>86</v>
      </c>
      <c r="S30" s="32" t="s">
        <v>114</v>
      </c>
      <c r="T30" s="32" t="s">
        <v>88</v>
      </c>
      <c r="U30" s="32" t="s">
        <v>77</v>
      </c>
      <c r="V30" s="32" t="s">
        <v>90</v>
      </c>
    </row>
    <row r="31" customFormat="false" ht="13.2" hidden="false" customHeight="false" outlineLevel="0" collapsed="false">
      <c r="A31" s="27" t="str">
        <f aca="false">OFFSET(hoje12_326_sp8,30,1,1,1)&amp;"."&amp;OFFSET(hoje12_326_sp8,30,16,1,1)</f>
        <v>2406.703</v>
      </c>
      <c r="B31" s="27" t="n">
        <v>2406</v>
      </c>
      <c r="C31" s="32" t="s">
        <v>187</v>
      </c>
      <c r="D31" s="33" t="n">
        <v>1274396000390</v>
      </c>
      <c r="E31" s="32" t="s">
        <v>188</v>
      </c>
      <c r="F31" s="32" t="s">
        <v>81</v>
      </c>
      <c r="G31" s="32" t="s">
        <v>65</v>
      </c>
      <c r="H31" s="32" t="s">
        <v>66</v>
      </c>
      <c r="I31" s="32" t="s">
        <v>189</v>
      </c>
      <c r="J31" s="32" t="s">
        <v>68</v>
      </c>
      <c r="K31" s="32" t="n">
        <v>2092.12</v>
      </c>
      <c r="L31" s="32" t="s">
        <v>111</v>
      </c>
      <c r="M31" s="32" t="s">
        <v>83</v>
      </c>
      <c r="N31" s="32" t="s">
        <v>71</v>
      </c>
      <c r="O31" s="32" t="s">
        <v>72</v>
      </c>
      <c r="P31" s="32" t="s">
        <v>190</v>
      </c>
      <c r="Q31" s="32" t="n">
        <v>703</v>
      </c>
      <c r="R31" s="32" t="s">
        <v>113</v>
      </c>
      <c r="S31" s="32" t="s">
        <v>191</v>
      </c>
      <c r="T31" s="32" t="s">
        <v>102</v>
      </c>
      <c r="U31" s="32" t="s">
        <v>192</v>
      </c>
      <c r="V31" s="32" t="s">
        <v>90</v>
      </c>
    </row>
    <row r="32" customFormat="false" ht="13.2" hidden="false" customHeight="false" outlineLevel="0" collapsed="false">
      <c r="A32" s="27" t="str">
        <f aca="false">OFFSET(hoje12_326_sp8,31,1,1,1)&amp;"."&amp;OFFSET(hoje12_326_sp8,31,16,1,1)</f>
        <v>2407.703</v>
      </c>
      <c r="B32" s="27" t="n">
        <v>2407</v>
      </c>
      <c r="C32" s="32" t="s">
        <v>187</v>
      </c>
      <c r="D32" s="33" t="n">
        <v>1274396000209</v>
      </c>
      <c r="E32" s="32" t="s">
        <v>193</v>
      </c>
      <c r="F32" s="32" t="s">
        <v>81</v>
      </c>
      <c r="G32" s="32" t="s">
        <v>65</v>
      </c>
      <c r="H32" s="32" t="s">
        <v>66</v>
      </c>
      <c r="I32" s="32" t="s">
        <v>194</v>
      </c>
      <c r="J32" s="32" t="s">
        <v>68</v>
      </c>
      <c r="K32" s="32" t="n">
        <v>2261.91</v>
      </c>
      <c r="L32" s="32" t="s">
        <v>111</v>
      </c>
      <c r="M32" s="32" t="s">
        <v>83</v>
      </c>
      <c r="N32" s="32" t="s">
        <v>71</v>
      </c>
      <c r="O32" s="32" t="s">
        <v>72</v>
      </c>
      <c r="P32" s="32" t="s">
        <v>195</v>
      </c>
      <c r="Q32" s="32" t="n">
        <v>703</v>
      </c>
      <c r="R32" s="32" t="s">
        <v>113</v>
      </c>
      <c r="S32" s="32" t="s">
        <v>191</v>
      </c>
      <c r="T32" s="32" t="s">
        <v>196</v>
      </c>
      <c r="U32" s="32" t="s">
        <v>197</v>
      </c>
      <c r="V32" s="32" t="s">
        <v>90</v>
      </c>
    </row>
    <row r="33" customFormat="false" ht="13.2" hidden="false" customHeight="false" outlineLevel="0" collapsed="false">
      <c r="A33" s="27" t="str">
        <f aca="false">OFFSET(hoje12_326_sp8,32,1,1,1)&amp;"."&amp;OFFSET(hoje12_326_sp8,32,16,1,1)</f>
        <v>2408.703</v>
      </c>
      <c r="B33" s="27" t="n">
        <v>2408</v>
      </c>
      <c r="C33" s="32" t="s">
        <v>187</v>
      </c>
      <c r="D33" s="33" t="n">
        <v>1274396000632</v>
      </c>
      <c r="E33" s="32" t="s">
        <v>198</v>
      </c>
      <c r="F33" s="32" t="s">
        <v>81</v>
      </c>
      <c r="G33" s="32" t="s">
        <v>65</v>
      </c>
      <c r="H33" s="32" t="s">
        <v>66</v>
      </c>
      <c r="I33" s="32" t="s">
        <v>199</v>
      </c>
      <c r="J33" s="32" t="s">
        <v>68</v>
      </c>
      <c r="K33" s="32" t="n">
        <v>5755.34</v>
      </c>
      <c r="L33" s="32" t="s">
        <v>111</v>
      </c>
      <c r="M33" s="32" t="s">
        <v>83</v>
      </c>
      <c r="N33" s="32" t="s">
        <v>71</v>
      </c>
      <c r="O33" s="32" t="s">
        <v>72</v>
      </c>
      <c r="P33" s="32" t="s">
        <v>200</v>
      </c>
      <c r="Q33" s="32" t="n">
        <v>703</v>
      </c>
      <c r="R33" s="32" t="s">
        <v>113</v>
      </c>
      <c r="S33" s="32" t="s">
        <v>191</v>
      </c>
      <c r="T33" s="32" t="s">
        <v>201</v>
      </c>
      <c r="U33" s="32" t="s">
        <v>197</v>
      </c>
      <c r="V33" s="32" t="s">
        <v>90</v>
      </c>
    </row>
    <row r="34" customFormat="false" ht="13.2" hidden="false" customHeight="false" outlineLevel="0" collapsed="false">
      <c r="A34" s="27" t="str">
        <f aca="false">OFFSET(hoje12_326_sp8,33,1,1,1)&amp;"."&amp;OFFSET(hoje12_326_sp8,33,16,1,1)</f>
        <v>2409.703</v>
      </c>
      <c r="B34" s="27" t="n">
        <v>2409</v>
      </c>
      <c r="C34" s="32" t="s">
        <v>187</v>
      </c>
      <c r="D34" s="33" t="n">
        <v>1274396000713</v>
      </c>
      <c r="E34" s="32" t="s">
        <v>202</v>
      </c>
      <c r="F34" s="32" t="s">
        <v>81</v>
      </c>
      <c r="G34" s="32" t="s">
        <v>65</v>
      </c>
      <c r="H34" s="32" t="s">
        <v>66</v>
      </c>
      <c r="I34" s="32" t="s">
        <v>203</v>
      </c>
      <c r="J34" s="32" t="s">
        <v>68</v>
      </c>
      <c r="K34" s="32" t="n">
        <v>1878.93</v>
      </c>
      <c r="L34" s="32" t="s">
        <v>111</v>
      </c>
      <c r="M34" s="32" t="s">
        <v>83</v>
      </c>
      <c r="N34" s="32" t="s">
        <v>71</v>
      </c>
      <c r="O34" s="32" t="s">
        <v>72</v>
      </c>
      <c r="P34" s="32" t="s">
        <v>204</v>
      </c>
      <c r="Q34" s="32" t="n">
        <v>703</v>
      </c>
      <c r="R34" s="32" t="s">
        <v>113</v>
      </c>
      <c r="S34" s="32" t="s">
        <v>205</v>
      </c>
      <c r="T34" s="32" t="s">
        <v>206</v>
      </c>
      <c r="U34" s="32" t="s">
        <v>207</v>
      </c>
      <c r="V34" s="32" t="s">
        <v>90</v>
      </c>
    </row>
    <row r="35" customFormat="false" ht="13.2" hidden="false" customHeight="false" outlineLevel="0" collapsed="false">
      <c r="A35" s="27" t="str">
        <f aca="false">OFFSET(hoje12_326_sp8,34,1,1,1)&amp;"."&amp;OFFSET(hoje12_326_sp8,34,16,1,1)</f>
        <v>2410.703</v>
      </c>
      <c r="B35" s="27" t="n">
        <v>2410</v>
      </c>
      <c r="C35" s="32" t="s">
        <v>187</v>
      </c>
      <c r="D35" s="33" t="n">
        <v>1274396000802</v>
      </c>
      <c r="E35" s="32" t="s">
        <v>208</v>
      </c>
      <c r="F35" s="32" t="s">
        <v>81</v>
      </c>
      <c r="G35" s="32" t="s">
        <v>65</v>
      </c>
      <c r="H35" s="32" t="s">
        <v>66</v>
      </c>
      <c r="I35" s="32" t="s">
        <v>209</v>
      </c>
      <c r="J35" s="32" t="s">
        <v>68</v>
      </c>
      <c r="K35" s="32" t="n">
        <v>2248.86</v>
      </c>
      <c r="L35" s="32" t="s">
        <v>111</v>
      </c>
      <c r="M35" s="32" t="s">
        <v>83</v>
      </c>
      <c r="N35" s="32" t="s">
        <v>71</v>
      </c>
      <c r="O35" s="32" t="s">
        <v>72</v>
      </c>
      <c r="P35" s="32" t="s">
        <v>210</v>
      </c>
      <c r="Q35" s="32" t="n">
        <v>703</v>
      </c>
      <c r="R35" s="32" t="s">
        <v>113</v>
      </c>
      <c r="S35" s="32" t="s">
        <v>211</v>
      </c>
      <c r="T35" s="32" t="s">
        <v>212</v>
      </c>
      <c r="U35" s="32" t="s">
        <v>213</v>
      </c>
      <c r="V35" s="32" t="s">
        <v>90</v>
      </c>
    </row>
    <row r="36" customFormat="false" ht="13.2" hidden="false" customHeight="false" outlineLevel="0" collapsed="false">
      <c r="A36" s="27" t="str">
        <f aca="false">OFFSET(hoje12_326_sp8,35,1,1,1)&amp;"."&amp;OFFSET(hoje12_326_sp8,35,16,1,1)</f>
        <v>2412.703</v>
      </c>
      <c r="B36" s="27" t="n">
        <v>2412</v>
      </c>
      <c r="C36" s="32" t="s">
        <v>187</v>
      </c>
      <c r="D36" s="33" t="n">
        <v>1274396001019</v>
      </c>
      <c r="E36" s="32" t="s">
        <v>214</v>
      </c>
      <c r="F36" s="32" t="s">
        <v>81</v>
      </c>
      <c r="G36" s="32" t="s">
        <v>65</v>
      </c>
      <c r="H36" s="32" t="s">
        <v>66</v>
      </c>
      <c r="I36" s="32" t="s">
        <v>215</v>
      </c>
      <c r="J36" s="32" t="s">
        <v>68</v>
      </c>
      <c r="K36" s="32" t="n">
        <v>3849.11</v>
      </c>
      <c r="L36" s="32" t="s">
        <v>111</v>
      </c>
      <c r="M36" s="32" t="s">
        <v>83</v>
      </c>
      <c r="N36" s="32" t="s">
        <v>71</v>
      </c>
      <c r="O36" s="32" t="s">
        <v>72</v>
      </c>
      <c r="P36" s="32" t="s">
        <v>216</v>
      </c>
      <c r="Q36" s="32" t="n">
        <v>703</v>
      </c>
      <c r="R36" s="32" t="s">
        <v>113</v>
      </c>
      <c r="S36" s="32" t="s">
        <v>191</v>
      </c>
      <c r="T36" s="32" t="s">
        <v>217</v>
      </c>
      <c r="U36" s="32" t="s">
        <v>192</v>
      </c>
      <c r="V36" s="32" t="s">
        <v>90</v>
      </c>
    </row>
    <row r="37" customFormat="false" ht="13.2" hidden="false" customHeight="false" outlineLevel="0" collapsed="false">
      <c r="A37" s="27" t="str">
        <f aca="false">OFFSET(hoje12_326_sp8,36,1,1,1)&amp;"."&amp;OFFSET(hoje12_326_sp8,36,16,1,1)</f>
        <v>2413.703</v>
      </c>
      <c r="B37" s="27" t="n">
        <v>2413</v>
      </c>
      <c r="C37" s="32" t="s">
        <v>187</v>
      </c>
      <c r="D37" s="33" t="n">
        <v>1274396000985</v>
      </c>
      <c r="E37" s="32" t="s">
        <v>218</v>
      </c>
      <c r="F37" s="32" t="s">
        <v>81</v>
      </c>
      <c r="G37" s="32" t="s">
        <v>65</v>
      </c>
      <c r="H37" s="32" t="s">
        <v>66</v>
      </c>
      <c r="I37" s="32" t="s">
        <v>219</v>
      </c>
      <c r="J37" s="32" t="s">
        <v>68</v>
      </c>
      <c r="K37" s="32" t="n">
        <v>3360.54</v>
      </c>
      <c r="L37" s="32" t="s">
        <v>111</v>
      </c>
      <c r="M37" s="32" t="s">
        <v>83</v>
      </c>
      <c r="N37" s="32" t="s">
        <v>71</v>
      </c>
      <c r="O37" s="32" t="s">
        <v>72</v>
      </c>
      <c r="P37" s="32" t="s">
        <v>220</v>
      </c>
      <c r="Q37" s="32" t="n">
        <v>703</v>
      </c>
      <c r="R37" s="32" t="s">
        <v>113</v>
      </c>
      <c r="S37" s="32" t="s">
        <v>205</v>
      </c>
      <c r="T37" s="32" t="s">
        <v>221</v>
      </c>
      <c r="U37" s="32" t="s">
        <v>207</v>
      </c>
      <c r="V37" s="32" t="s">
        <v>90</v>
      </c>
    </row>
    <row r="38" customFormat="false" ht="13.2" hidden="false" customHeight="false" outlineLevel="0" collapsed="false">
      <c r="A38" s="27" t="str">
        <f aca="false">OFFSET(hoje12_326_sp8,37,1,1,1)&amp;"."&amp;OFFSET(hoje12_326_sp8,37,16,1,1)</f>
        <v>2416.703</v>
      </c>
      <c r="B38" s="27" t="n">
        <v>2416</v>
      </c>
      <c r="C38" s="32" t="s">
        <v>222</v>
      </c>
      <c r="D38" s="33" t="n">
        <v>5348350000167</v>
      </c>
      <c r="E38" s="32" t="s">
        <v>223</v>
      </c>
      <c r="F38" s="32" t="s">
        <v>81</v>
      </c>
      <c r="G38" s="32" t="s">
        <v>65</v>
      </c>
      <c r="H38" s="32" t="s">
        <v>66</v>
      </c>
      <c r="I38" s="32" t="s">
        <v>224</v>
      </c>
      <c r="J38" s="32" t="s">
        <v>68</v>
      </c>
      <c r="K38" s="32" t="n">
        <v>1701.86</v>
      </c>
      <c r="L38" s="32" t="s">
        <v>111</v>
      </c>
      <c r="M38" s="32" t="s">
        <v>83</v>
      </c>
      <c r="N38" s="32" t="s">
        <v>71</v>
      </c>
      <c r="O38" s="32" t="s">
        <v>72</v>
      </c>
      <c r="P38" s="32" t="s">
        <v>225</v>
      </c>
      <c r="Q38" s="32" t="n">
        <v>703</v>
      </c>
      <c r="R38" s="32" t="s">
        <v>113</v>
      </c>
      <c r="S38" s="32" t="s">
        <v>226</v>
      </c>
      <c r="T38" s="32" t="s">
        <v>227</v>
      </c>
      <c r="U38" s="32" t="s">
        <v>192</v>
      </c>
      <c r="V38" s="32" t="s">
        <v>90</v>
      </c>
    </row>
    <row r="39" customFormat="false" ht="13.2" hidden="false" customHeight="false" outlineLevel="0" collapsed="false">
      <c r="A39" s="27" t="str">
        <f aca="false">OFFSET(hoje12_326_sp8,38,1,1,1)&amp;"."&amp;OFFSET(hoje12_326_sp8,38,16,1,1)</f>
        <v>2417.703</v>
      </c>
      <c r="B39" s="27" t="n">
        <v>2417</v>
      </c>
      <c r="C39" s="32" t="s">
        <v>222</v>
      </c>
      <c r="D39" s="33" t="n">
        <v>5348350000248</v>
      </c>
      <c r="E39" s="32" t="s">
        <v>228</v>
      </c>
      <c r="F39" s="32" t="s">
        <v>81</v>
      </c>
      <c r="G39" s="32" t="s">
        <v>65</v>
      </c>
      <c r="H39" s="32" t="s">
        <v>66</v>
      </c>
      <c r="I39" s="32" t="s">
        <v>229</v>
      </c>
      <c r="J39" s="32" t="s">
        <v>68</v>
      </c>
      <c r="K39" s="32" t="n">
        <v>1678.18</v>
      </c>
      <c r="L39" s="32" t="s">
        <v>111</v>
      </c>
      <c r="M39" s="32" t="s">
        <v>83</v>
      </c>
      <c r="N39" s="32" t="s">
        <v>71</v>
      </c>
      <c r="O39" s="32" t="s">
        <v>72</v>
      </c>
      <c r="P39" s="32" t="s">
        <v>230</v>
      </c>
      <c r="Q39" s="32" t="n">
        <v>703</v>
      </c>
      <c r="R39" s="32" t="s">
        <v>113</v>
      </c>
      <c r="S39" s="32" t="s">
        <v>226</v>
      </c>
      <c r="T39" s="32" t="s">
        <v>231</v>
      </c>
      <c r="U39" s="32" t="s">
        <v>192</v>
      </c>
      <c r="V39" s="32" t="s">
        <v>90</v>
      </c>
    </row>
    <row r="40" customFormat="false" ht="13.2" hidden="false" customHeight="false" outlineLevel="0" collapsed="false">
      <c r="A40" s="27" t="str">
        <f aca="false">OFFSET(hoje12_326_sp8,39,1,1,1)&amp;"."&amp;OFFSET(hoje12_326_sp8,39,16,1,1)</f>
        <v>2418.703</v>
      </c>
      <c r="B40" s="27" t="n">
        <v>2418</v>
      </c>
      <c r="C40" s="32" t="s">
        <v>222</v>
      </c>
      <c r="D40" s="33" t="n">
        <v>5348350000329</v>
      </c>
      <c r="E40" s="32" t="s">
        <v>232</v>
      </c>
      <c r="F40" s="32" t="s">
        <v>81</v>
      </c>
      <c r="G40" s="32" t="s">
        <v>65</v>
      </c>
      <c r="H40" s="32" t="s">
        <v>66</v>
      </c>
      <c r="I40" s="32" t="s">
        <v>233</v>
      </c>
      <c r="J40" s="32" t="s">
        <v>68</v>
      </c>
      <c r="K40" s="32" t="n">
        <v>2429.87</v>
      </c>
      <c r="L40" s="32" t="s">
        <v>111</v>
      </c>
      <c r="M40" s="32" t="s">
        <v>83</v>
      </c>
      <c r="N40" s="32" t="s">
        <v>71</v>
      </c>
      <c r="O40" s="32" t="s">
        <v>72</v>
      </c>
      <c r="P40" s="32" t="s">
        <v>234</v>
      </c>
      <c r="Q40" s="32" t="n">
        <v>703</v>
      </c>
      <c r="R40" s="32" t="s">
        <v>113</v>
      </c>
      <c r="S40" s="32" t="s">
        <v>226</v>
      </c>
      <c r="T40" s="32" t="s">
        <v>235</v>
      </c>
      <c r="U40" s="32" t="s">
        <v>197</v>
      </c>
      <c r="V40" s="32" t="s">
        <v>90</v>
      </c>
    </row>
    <row r="41" customFormat="false" ht="13.2" hidden="false" customHeight="false" outlineLevel="0" collapsed="false">
      <c r="A41" s="27" t="str">
        <f aca="false">OFFSET(hoje12_326_sp8,40,1,1,1)&amp;"."&amp;OFFSET(hoje12_326_sp8,40,16,1,1)</f>
        <v>2419.703</v>
      </c>
      <c r="B41" s="27" t="n">
        <v>2419</v>
      </c>
      <c r="C41" s="32" t="s">
        <v>222</v>
      </c>
      <c r="D41" s="33" t="n">
        <v>5348350000400</v>
      </c>
      <c r="E41" s="32" t="s">
        <v>236</v>
      </c>
      <c r="F41" s="32" t="s">
        <v>81</v>
      </c>
      <c r="G41" s="32" t="s">
        <v>65</v>
      </c>
      <c r="H41" s="32" t="s">
        <v>66</v>
      </c>
      <c r="I41" s="32" t="s">
        <v>237</v>
      </c>
      <c r="J41" s="32" t="s">
        <v>68</v>
      </c>
      <c r="K41" s="32" t="n">
        <v>1837.88</v>
      </c>
      <c r="L41" s="32" t="s">
        <v>111</v>
      </c>
      <c r="M41" s="32" t="s">
        <v>83</v>
      </c>
      <c r="N41" s="32" t="s">
        <v>71</v>
      </c>
      <c r="O41" s="32" t="s">
        <v>72</v>
      </c>
      <c r="P41" s="32" t="s">
        <v>238</v>
      </c>
      <c r="Q41" s="32" t="n">
        <v>703</v>
      </c>
      <c r="R41" s="32" t="s">
        <v>113</v>
      </c>
      <c r="S41" s="32" t="s">
        <v>226</v>
      </c>
      <c r="T41" s="32" t="s">
        <v>239</v>
      </c>
      <c r="U41" s="32" t="s">
        <v>197</v>
      </c>
      <c r="V41" s="32" t="s">
        <v>90</v>
      </c>
    </row>
    <row r="42" customFormat="false" ht="13.2" hidden="false" customHeight="false" outlineLevel="0" collapsed="false">
      <c r="A42" s="27" t="str">
        <f aca="false">OFFSET(hoje12_326_sp8,41,1,1,1)&amp;"."&amp;OFFSET(hoje12_326_sp8,41,16,1,1)</f>
        <v>2420.703</v>
      </c>
      <c r="B42" s="27" t="n">
        <v>2420</v>
      </c>
      <c r="C42" s="32" t="s">
        <v>240</v>
      </c>
      <c r="D42" s="33" t="n">
        <v>19851425000132</v>
      </c>
      <c r="E42" s="32" t="s">
        <v>241</v>
      </c>
      <c r="F42" s="32" t="s">
        <v>81</v>
      </c>
      <c r="G42" s="32" t="s">
        <v>65</v>
      </c>
      <c r="H42" s="32" t="s">
        <v>66</v>
      </c>
      <c r="I42" s="32" t="s">
        <v>242</v>
      </c>
      <c r="J42" s="32" t="s">
        <v>68</v>
      </c>
      <c r="K42" s="32" t="n">
        <v>1688.63</v>
      </c>
      <c r="L42" s="32" t="s">
        <v>243</v>
      </c>
      <c r="M42" s="32" t="s">
        <v>83</v>
      </c>
      <c r="N42" s="32" t="s">
        <v>71</v>
      </c>
      <c r="O42" s="32" t="s">
        <v>72</v>
      </c>
      <c r="P42" s="32" t="s">
        <v>244</v>
      </c>
      <c r="Q42" s="32" t="n">
        <v>703</v>
      </c>
      <c r="R42" s="32" t="s">
        <v>74</v>
      </c>
      <c r="S42" s="32" t="s">
        <v>205</v>
      </c>
      <c r="T42" s="32" t="s">
        <v>231</v>
      </c>
      <c r="U42" s="32" t="s">
        <v>207</v>
      </c>
      <c r="V42" s="32" t="s">
        <v>90</v>
      </c>
    </row>
    <row r="43" customFormat="false" ht="13.2" hidden="false" customHeight="false" outlineLevel="0" collapsed="false">
      <c r="A43" s="27" t="str">
        <f aca="false">OFFSET(hoje12_326_sp8,42,1,1,1)&amp;"."&amp;OFFSET(hoje12_326_sp8,42,16,1,1)</f>
        <v>2424.703</v>
      </c>
      <c r="B43" s="27" t="n">
        <v>2424</v>
      </c>
      <c r="C43" s="32" t="s">
        <v>245</v>
      </c>
      <c r="D43" s="33" t="n">
        <v>14071909000145</v>
      </c>
      <c r="E43" s="32" t="s">
        <v>246</v>
      </c>
      <c r="F43" s="32" t="s">
        <v>81</v>
      </c>
      <c r="G43" s="32" t="s">
        <v>65</v>
      </c>
      <c r="H43" s="32" t="s">
        <v>66</v>
      </c>
      <c r="I43" s="32" t="s">
        <v>247</v>
      </c>
      <c r="J43" s="32" t="s">
        <v>68</v>
      </c>
      <c r="K43" s="32" t="n">
        <v>24976.42</v>
      </c>
      <c r="L43" s="32" t="s">
        <v>248</v>
      </c>
      <c r="M43" s="32" t="s">
        <v>83</v>
      </c>
      <c r="N43" s="32" t="s">
        <v>99</v>
      </c>
      <c r="O43" s="32" t="s">
        <v>72</v>
      </c>
      <c r="P43" s="32" t="s">
        <v>249</v>
      </c>
      <c r="Q43" s="32" t="n">
        <v>703</v>
      </c>
      <c r="R43" s="32" t="s">
        <v>74</v>
      </c>
      <c r="S43" s="32" t="s">
        <v>226</v>
      </c>
      <c r="T43" s="32" t="s">
        <v>250</v>
      </c>
      <c r="U43" s="32" t="s">
        <v>197</v>
      </c>
      <c r="V43" s="32" t="s">
        <v>90</v>
      </c>
    </row>
    <row r="44" customFormat="false" ht="13.2" hidden="false" customHeight="false" outlineLevel="0" collapsed="false">
      <c r="A44" s="27" t="str">
        <f aca="false">OFFSET(hoje12_326_sp8,43,1,1,1)&amp;"."&amp;OFFSET(hoje12_326_sp8,43,16,1,1)</f>
        <v>2431.703</v>
      </c>
      <c r="B44" s="27" t="n">
        <v>2431</v>
      </c>
      <c r="C44" s="32" t="s">
        <v>222</v>
      </c>
      <c r="D44" s="33" t="n">
        <v>5348350000167</v>
      </c>
      <c r="E44" s="32" t="s">
        <v>251</v>
      </c>
      <c r="F44" s="32" t="s">
        <v>81</v>
      </c>
      <c r="G44" s="32" t="s">
        <v>65</v>
      </c>
      <c r="H44" s="32" t="s">
        <v>66</v>
      </c>
      <c r="I44" s="32" t="s">
        <v>252</v>
      </c>
      <c r="J44" s="32" t="s">
        <v>68</v>
      </c>
      <c r="K44" s="32" t="n">
        <v>19904.12</v>
      </c>
      <c r="L44" s="32" t="s">
        <v>111</v>
      </c>
      <c r="M44" s="32" t="s">
        <v>83</v>
      </c>
      <c r="N44" s="32" t="s">
        <v>99</v>
      </c>
      <c r="O44" s="32" t="s">
        <v>72</v>
      </c>
      <c r="P44" s="32" t="s">
        <v>253</v>
      </c>
      <c r="Q44" s="32" t="n">
        <v>703</v>
      </c>
      <c r="R44" s="32" t="s">
        <v>74</v>
      </c>
      <c r="S44" s="32" t="s">
        <v>226</v>
      </c>
      <c r="T44" s="32" t="s">
        <v>254</v>
      </c>
      <c r="U44" s="32" t="s">
        <v>192</v>
      </c>
      <c r="V44" s="32" t="s">
        <v>90</v>
      </c>
    </row>
    <row r="45" customFormat="false" ht="13.2" hidden="false" customHeight="false" outlineLevel="0" collapsed="false">
      <c r="A45" s="27" t="str">
        <f aca="false">OFFSET(hoje12_326_sp8,44,1,1,1)&amp;"."&amp;OFFSET(hoje12_326_sp8,44,16,1,1)</f>
        <v>2432.703</v>
      </c>
      <c r="B45" s="27" t="n">
        <v>2432</v>
      </c>
      <c r="C45" s="32" t="s">
        <v>222</v>
      </c>
      <c r="D45" s="33" t="n">
        <v>5348350000248</v>
      </c>
      <c r="E45" s="32" t="s">
        <v>255</v>
      </c>
      <c r="F45" s="32" t="s">
        <v>81</v>
      </c>
      <c r="G45" s="32" t="s">
        <v>65</v>
      </c>
      <c r="H45" s="32" t="s">
        <v>66</v>
      </c>
      <c r="I45" s="32" t="s">
        <v>256</v>
      </c>
      <c r="J45" s="32" t="s">
        <v>68</v>
      </c>
      <c r="K45" s="32" t="n">
        <v>953.27</v>
      </c>
      <c r="L45" s="32" t="s">
        <v>111</v>
      </c>
      <c r="M45" s="32" t="s">
        <v>83</v>
      </c>
      <c r="N45" s="32" t="s">
        <v>99</v>
      </c>
      <c r="O45" s="32" t="s">
        <v>72</v>
      </c>
      <c r="P45" s="32" t="s">
        <v>257</v>
      </c>
      <c r="Q45" s="32" t="n">
        <v>703</v>
      </c>
      <c r="R45" s="32" t="s">
        <v>113</v>
      </c>
      <c r="S45" s="32" t="s">
        <v>226</v>
      </c>
      <c r="T45" s="32" t="s">
        <v>258</v>
      </c>
      <c r="U45" s="32" t="s">
        <v>192</v>
      </c>
      <c r="V45" s="32" t="s">
        <v>90</v>
      </c>
    </row>
    <row r="46" customFormat="false" ht="13.2" hidden="false" customHeight="false" outlineLevel="0" collapsed="false">
      <c r="A46" s="27" t="str">
        <f aca="false">OFFSET(hoje12_326_sp8,45,1,1,1)&amp;"."&amp;OFFSET(hoje12_326_sp8,45,16,1,1)</f>
        <v>2433.703</v>
      </c>
      <c r="B46" s="27" t="n">
        <v>2433</v>
      </c>
      <c r="C46" s="32" t="s">
        <v>187</v>
      </c>
      <c r="D46" s="33" t="n">
        <v>1274396000632</v>
      </c>
      <c r="E46" s="32" t="s">
        <v>259</v>
      </c>
      <c r="F46" s="32" t="s">
        <v>81</v>
      </c>
      <c r="G46" s="32" t="s">
        <v>65</v>
      </c>
      <c r="H46" s="32" t="s">
        <v>66</v>
      </c>
      <c r="I46" s="32" t="s">
        <v>260</v>
      </c>
      <c r="J46" s="32" t="s">
        <v>68</v>
      </c>
      <c r="K46" s="32" t="n">
        <v>8382.3</v>
      </c>
      <c r="L46" s="32" t="s">
        <v>111</v>
      </c>
      <c r="M46" s="32" t="s">
        <v>83</v>
      </c>
      <c r="N46" s="32" t="s">
        <v>99</v>
      </c>
      <c r="O46" s="32" t="s">
        <v>72</v>
      </c>
      <c r="P46" s="32" t="s">
        <v>261</v>
      </c>
      <c r="Q46" s="32" t="n">
        <v>703</v>
      </c>
      <c r="R46" s="32" t="s">
        <v>113</v>
      </c>
      <c r="S46" s="32" t="s">
        <v>191</v>
      </c>
      <c r="T46" s="32" t="s">
        <v>262</v>
      </c>
      <c r="U46" s="32" t="s">
        <v>197</v>
      </c>
      <c r="V46" s="32" t="s">
        <v>90</v>
      </c>
    </row>
    <row r="47" customFormat="false" ht="13.2" hidden="false" customHeight="false" outlineLevel="0" collapsed="false">
      <c r="A47" s="27" t="str">
        <f aca="false">OFFSET(hoje12_326_sp8,46,1,1,1)&amp;"."&amp;OFFSET(hoje12_326_sp8,46,16,1,1)</f>
        <v>2434.703</v>
      </c>
      <c r="B47" s="27" t="n">
        <v>2434</v>
      </c>
      <c r="C47" s="32" t="s">
        <v>187</v>
      </c>
      <c r="D47" s="33" t="n">
        <v>1274396000209</v>
      </c>
      <c r="E47" s="32" t="s">
        <v>263</v>
      </c>
      <c r="F47" s="32" t="s">
        <v>81</v>
      </c>
      <c r="G47" s="32" t="s">
        <v>65</v>
      </c>
      <c r="H47" s="32" t="s">
        <v>66</v>
      </c>
      <c r="I47" s="32" t="s">
        <v>264</v>
      </c>
      <c r="J47" s="32" t="s">
        <v>68</v>
      </c>
      <c r="K47" s="32" t="n">
        <v>789.63</v>
      </c>
      <c r="L47" s="32" t="s">
        <v>111</v>
      </c>
      <c r="M47" s="32" t="s">
        <v>83</v>
      </c>
      <c r="N47" s="32" t="s">
        <v>99</v>
      </c>
      <c r="O47" s="32" t="s">
        <v>72</v>
      </c>
      <c r="P47" s="32" t="s">
        <v>265</v>
      </c>
      <c r="Q47" s="32" t="n">
        <v>703</v>
      </c>
      <c r="R47" s="32" t="s">
        <v>113</v>
      </c>
      <c r="S47" s="32" t="s">
        <v>191</v>
      </c>
      <c r="T47" s="32" t="s">
        <v>266</v>
      </c>
      <c r="U47" s="32" t="s">
        <v>197</v>
      </c>
      <c r="V47" s="32" t="s">
        <v>90</v>
      </c>
    </row>
    <row r="48" customFormat="false" ht="13.2" hidden="false" customHeight="false" outlineLevel="0" collapsed="false">
      <c r="A48" s="27" t="str">
        <f aca="false">OFFSET(hoje12_326_sp8,47,1,1,1)&amp;"."&amp;OFFSET(hoje12_326_sp8,47,16,1,1)</f>
        <v>2435.703</v>
      </c>
      <c r="B48" s="27" t="n">
        <v>2435</v>
      </c>
      <c r="C48" s="32" t="s">
        <v>187</v>
      </c>
      <c r="D48" s="33" t="n">
        <v>1274396000390</v>
      </c>
      <c r="E48" s="32" t="s">
        <v>267</v>
      </c>
      <c r="F48" s="32" t="s">
        <v>81</v>
      </c>
      <c r="G48" s="32" t="s">
        <v>65</v>
      </c>
      <c r="H48" s="32" t="s">
        <v>66</v>
      </c>
      <c r="I48" s="32" t="s">
        <v>268</v>
      </c>
      <c r="J48" s="32" t="s">
        <v>68</v>
      </c>
      <c r="K48" s="32" t="n">
        <v>848.55</v>
      </c>
      <c r="L48" s="32" t="s">
        <v>111</v>
      </c>
      <c r="M48" s="32" t="s">
        <v>83</v>
      </c>
      <c r="N48" s="32" t="s">
        <v>99</v>
      </c>
      <c r="O48" s="32" t="s">
        <v>72</v>
      </c>
      <c r="P48" s="32" t="s">
        <v>269</v>
      </c>
      <c r="Q48" s="32" t="n">
        <v>703</v>
      </c>
      <c r="R48" s="32" t="s">
        <v>113</v>
      </c>
      <c r="S48" s="32" t="s">
        <v>191</v>
      </c>
      <c r="T48" s="32" t="s">
        <v>258</v>
      </c>
      <c r="U48" s="32" t="s">
        <v>192</v>
      </c>
      <c r="V48" s="32" t="s">
        <v>90</v>
      </c>
    </row>
    <row r="49" customFormat="false" ht="13.2" hidden="false" customHeight="false" outlineLevel="0" collapsed="false">
      <c r="A49" s="27" t="str">
        <f aca="false">OFFSET(hoje12_326_sp8,48,1,1,1)&amp;"."&amp;OFFSET(hoje12_326_sp8,48,16,1,1)</f>
        <v>2436.703</v>
      </c>
      <c r="B49" s="27" t="n">
        <v>2436</v>
      </c>
      <c r="C49" s="32" t="s">
        <v>187</v>
      </c>
      <c r="D49" s="33" t="n">
        <v>1274396000713</v>
      </c>
      <c r="E49" s="32" t="s">
        <v>270</v>
      </c>
      <c r="F49" s="32" t="s">
        <v>81</v>
      </c>
      <c r="G49" s="32" t="s">
        <v>65</v>
      </c>
      <c r="H49" s="32" t="s">
        <v>66</v>
      </c>
      <c r="I49" s="32" t="s">
        <v>271</v>
      </c>
      <c r="J49" s="32" t="s">
        <v>68</v>
      </c>
      <c r="K49" s="32" t="n">
        <v>733.22</v>
      </c>
      <c r="L49" s="32" t="s">
        <v>111</v>
      </c>
      <c r="M49" s="32" t="s">
        <v>83</v>
      </c>
      <c r="N49" s="32" t="s">
        <v>99</v>
      </c>
      <c r="O49" s="32" t="s">
        <v>72</v>
      </c>
      <c r="P49" s="32" t="s">
        <v>272</v>
      </c>
      <c r="Q49" s="32" t="n">
        <v>703</v>
      </c>
      <c r="R49" s="32" t="s">
        <v>113</v>
      </c>
      <c r="S49" s="32" t="s">
        <v>205</v>
      </c>
      <c r="T49" s="32" t="s">
        <v>273</v>
      </c>
      <c r="U49" s="32" t="s">
        <v>207</v>
      </c>
      <c r="V49" s="32" t="s">
        <v>90</v>
      </c>
    </row>
    <row r="50" customFormat="false" ht="13.2" hidden="false" customHeight="false" outlineLevel="0" collapsed="false">
      <c r="A50" s="27" t="str">
        <f aca="false">OFFSET(hoje12_326_sp8,49,1,1,1)&amp;"."&amp;OFFSET(hoje12_326_sp8,49,16,1,1)</f>
        <v>2437.703</v>
      </c>
      <c r="B50" s="27" t="n">
        <v>2437</v>
      </c>
      <c r="C50" s="32" t="s">
        <v>187</v>
      </c>
      <c r="D50" s="33" t="n">
        <v>1274396000802</v>
      </c>
      <c r="E50" s="32" t="s">
        <v>274</v>
      </c>
      <c r="F50" s="32" t="s">
        <v>81</v>
      </c>
      <c r="G50" s="32" t="s">
        <v>65</v>
      </c>
      <c r="H50" s="32" t="s">
        <v>66</v>
      </c>
      <c r="I50" s="32" t="s">
        <v>275</v>
      </c>
      <c r="J50" s="32" t="s">
        <v>68</v>
      </c>
      <c r="K50" s="32" t="n">
        <v>1088.21</v>
      </c>
      <c r="L50" s="32" t="s">
        <v>111</v>
      </c>
      <c r="M50" s="32" t="s">
        <v>83</v>
      </c>
      <c r="N50" s="32" t="s">
        <v>99</v>
      </c>
      <c r="O50" s="32" t="s">
        <v>72</v>
      </c>
      <c r="P50" s="32" t="s">
        <v>276</v>
      </c>
      <c r="Q50" s="32" t="n">
        <v>703</v>
      </c>
      <c r="R50" s="32" t="s">
        <v>113</v>
      </c>
      <c r="S50" s="32" t="s">
        <v>211</v>
      </c>
      <c r="T50" s="32" t="s">
        <v>277</v>
      </c>
      <c r="U50" s="32" t="s">
        <v>213</v>
      </c>
      <c r="V50" s="32" t="s">
        <v>90</v>
      </c>
    </row>
    <row r="51" customFormat="false" ht="13.2" hidden="false" customHeight="false" outlineLevel="0" collapsed="false">
      <c r="A51" s="27" t="str">
        <f aca="false">OFFSET(hoje12_326_sp8,50,1,1,1)&amp;"."&amp;OFFSET(hoje12_326_sp8,50,16,1,1)</f>
        <v>2438.703</v>
      </c>
      <c r="B51" s="27" t="n">
        <v>2438</v>
      </c>
      <c r="C51" s="32" t="s">
        <v>187</v>
      </c>
      <c r="D51" s="33" t="n">
        <v>1274396000985</v>
      </c>
      <c r="E51" s="32" t="s">
        <v>278</v>
      </c>
      <c r="F51" s="32" t="s">
        <v>81</v>
      </c>
      <c r="G51" s="32" t="s">
        <v>65</v>
      </c>
      <c r="H51" s="32" t="s">
        <v>66</v>
      </c>
      <c r="I51" s="32" t="s">
        <v>279</v>
      </c>
      <c r="J51" s="32" t="s">
        <v>68</v>
      </c>
      <c r="K51" s="32" t="n">
        <v>1152.74</v>
      </c>
      <c r="L51" s="32" t="s">
        <v>111</v>
      </c>
      <c r="M51" s="32" t="s">
        <v>83</v>
      </c>
      <c r="N51" s="32" t="s">
        <v>99</v>
      </c>
      <c r="O51" s="32" t="s">
        <v>72</v>
      </c>
      <c r="P51" s="32" t="s">
        <v>280</v>
      </c>
      <c r="Q51" s="32" t="n">
        <v>703</v>
      </c>
      <c r="R51" s="32" t="s">
        <v>113</v>
      </c>
      <c r="S51" s="32" t="s">
        <v>205</v>
      </c>
      <c r="T51" s="32" t="s">
        <v>281</v>
      </c>
      <c r="U51" s="32" t="s">
        <v>207</v>
      </c>
      <c r="V51" s="32" t="s">
        <v>90</v>
      </c>
    </row>
    <row r="52" customFormat="false" ht="13.2" hidden="false" customHeight="false" outlineLevel="0" collapsed="false">
      <c r="A52" s="27" t="str">
        <f aca="false">OFFSET(hoje12_326_sp8,51,1,1,1)&amp;"."&amp;OFFSET(hoje12_326_sp8,51,16,1,1)</f>
        <v>2439.703</v>
      </c>
      <c r="B52" s="27" t="n">
        <v>2439</v>
      </c>
      <c r="C52" s="32" t="s">
        <v>187</v>
      </c>
      <c r="D52" s="33" t="n">
        <v>1274396001019</v>
      </c>
      <c r="E52" s="32" t="s">
        <v>282</v>
      </c>
      <c r="F52" s="32" t="s">
        <v>81</v>
      </c>
      <c r="G52" s="32" t="s">
        <v>65</v>
      </c>
      <c r="H52" s="32" t="s">
        <v>66</v>
      </c>
      <c r="I52" s="32" t="s">
        <v>283</v>
      </c>
      <c r="J52" s="32" t="s">
        <v>68</v>
      </c>
      <c r="K52" s="32" t="n">
        <v>7900.83</v>
      </c>
      <c r="L52" s="32" t="s">
        <v>111</v>
      </c>
      <c r="M52" s="32" t="s">
        <v>83</v>
      </c>
      <c r="N52" s="32" t="s">
        <v>99</v>
      </c>
      <c r="O52" s="32" t="s">
        <v>72</v>
      </c>
      <c r="P52" s="32" t="s">
        <v>284</v>
      </c>
      <c r="Q52" s="32" t="n">
        <v>703</v>
      </c>
      <c r="R52" s="32" t="s">
        <v>113</v>
      </c>
      <c r="S52" s="32" t="s">
        <v>191</v>
      </c>
      <c r="T52" s="32" t="s">
        <v>285</v>
      </c>
      <c r="U52" s="32" t="s">
        <v>192</v>
      </c>
      <c r="V52" s="32" t="s">
        <v>90</v>
      </c>
    </row>
    <row r="53" customFormat="false" ht="13.2" hidden="false" customHeight="false" outlineLevel="0" collapsed="false">
      <c r="A53" s="27" t="str">
        <f aca="false">OFFSET(hoje12_326_sp8,52,1,1,1)&amp;"."&amp;OFFSET(hoje12_326_sp8,52,16,1,1)</f>
        <v>2440.703</v>
      </c>
      <c r="B53" s="27" t="n">
        <v>2440</v>
      </c>
      <c r="C53" s="32" t="s">
        <v>222</v>
      </c>
      <c r="D53" s="33" t="n">
        <v>5348350000329</v>
      </c>
      <c r="E53" s="32" t="s">
        <v>286</v>
      </c>
      <c r="F53" s="32" t="s">
        <v>81</v>
      </c>
      <c r="G53" s="32" t="s">
        <v>65</v>
      </c>
      <c r="H53" s="32" t="s">
        <v>66</v>
      </c>
      <c r="I53" s="32" t="s">
        <v>256</v>
      </c>
      <c r="J53" s="32" t="s">
        <v>68</v>
      </c>
      <c r="K53" s="32" t="n">
        <v>891.95</v>
      </c>
      <c r="L53" s="32" t="s">
        <v>111</v>
      </c>
      <c r="M53" s="32" t="s">
        <v>83</v>
      </c>
      <c r="N53" s="32" t="s">
        <v>99</v>
      </c>
      <c r="O53" s="32" t="s">
        <v>72</v>
      </c>
      <c r="P53" s="32" t="s">
        <v>287</v>
      </c>
      <c r="Q53" s="32" t="n">
        <v>703</v>
      </c>
      <c r="R53" s="32" t="s">
        <v>113</v>
      </c>
      <c r="S53" s="32" t="s">
        <v>226</v>
      </c>
      <c r="T53" s="32" t="s">
        <v>266</v>
      </c>
      <c r="U53" s="32" t="s">
        <v>197</v>
      </c>
      <c r="V53" s="32" t="s">
        <v>90</v>
      </c>
    </row>
    <row r="54" customFormat="false" ht="13.2" hidden="false" customHeight="false" outlineLevel="0" collapsed="false">
      <c r="A54" s="27" t="str">
        <f aca="false">OFFSET(hoje12_326_sp8,53,1,1,1)&amp;"."&amp;OFFSET(hoje12_326_sp8,53,16,1,1)</f>
        <v>2441.703</v>
      </c>
      <c r="B54" s="27" t="n">
        <v>2441</v>
      </c>
      <c r="C54" s="32" t="s">
        <v>288</v>
      </c>
      <c r="D54" s="33" t="n">
        <v>19222566000196</v>
      </c>
      <c r="E54" s="32" t="s">
        <v>289</v>
      </c>
      <c r="F54" s="32" t="s">
        <v>81</v>
      </c>
      <c r="G54" s="32" t="s">
        <v>65</v>
      </c>
      <c r="H54" s="32" t="s">
        <v>66</v>
      </c>
      <c r="I54" s="32" t="s">
        <v>290</v>
      </c>
      <c r="J54" s="32" t="s">
        <v>68</v>
      </c>
      <c r="K54" s="32" t="n">
        <v>514.5</v>
      </c>
      <c r="L54" s="32" t="s">
        <v>291</v>
      </c>
      <c r="M54" s="32" t="s">
        <v>135</v>
      </c>
      <c r="N54" s="32" t="s">
        <v>99</v>
      </c>
      <c r="O54" s="32" t="s">
        <v>72</v>
      </c>
      <c r="P54" s="32" t="s">
        <v>292</v>
      </c>
      <c r="Q54" s="32" t="n">
        <v>703</v>
      </c>
      <c r="R54" s="32" t="s">
        <v>74</v>
      </c>
      <c r="S54" s="32" t="s">
        <v>226</v>
      </c>
      <c r="T54" s="32" t="s">
        <v>293</v>
      </c>
      <c r="U54" s="32" t="s">
        <v>192</v>
      </c>
      <c r="V54" s="32" t="s">
        <v>90</v>
      </c>
    </row>
    <row r="55" customFormat="false" ht="13.2" hidden="false" customHeight="false" outlineLevel="0" collapsed="false">
      <c r="A55" s="27" t="str">
        <f aca="false">OFFSET(hoje12_326_sp8,54,1,1,1)&amp;"."&amp;OFFSET(hoje12_326_sp8,54,16,1,1)</f>
        <v>703001.703</v>
      </c>
      <c r="B55" s="27" t="n">
        <v>703001</v>
      </c>
      <c r="C55" s="32" t="s">
        <v>187</v>
      </c>
      <c r="D55" s="33" t="n">
        <v>1274396000632</v>
      </c>
      <c r="E55" s="32" t="s">
        <v>80</v>
      </c>
      <c r="F55" s="32" t="s">
        <v>81</v>
      </c>
      <c r="G55" s="32" t="s">
        <v>65</v>
      </c>
      <c r="H55" s="32" t="s">
        <v>66</v>
      </c>
      <c r="I55" s="32" t="s">
        <v>68</v>
      </c>
      <c r="J55" s="32" t="s">
        <v>68</v>
      </c>
      <c r="K55" s="32" t="n">
        <v>178.56</v>
      </c>
      <c r="L55" s="32" t="s">
        <v>111</v>
      </c>
      <c r="M55" s="32" t="s">
        <v>83</v>
      </c>
      <c r="N55" s="32" t="s">
        <v>84</v>
      </c>
      <c r="O55" s="32" t="s">
        <v>72</v>
      </c>
      <c r="P55" s="32" t="s">
        <v>85</v>
      </c>
      <c r="Q55" s="32" t="n">
        <v>703</v>
      </c>
      <c r="R55" s="32" t="s">
        <v>86</v>
      </c>
      <c r="S55" s="32" t="s">
        <v>191</v>
      </c>
      <c r="T55" s="32" t="s">
        <v>88</v>
      </c>
      <c r="U55" s="32" t="s">
        <v>197</v>
      </c>
      <c r="V55" s="32" t="s">
        <v>90</v>
      </c>
    </row>
    <row r="56" customFormat="false" ht="13.2" hidden="false" customHeight="false" outlineLevel="0" collapsed="false">
      <c r="A56" s="27" t="str">
        <f aca="false">OFFSET(hoje12_326_sp8,55,1,1,1)&amp;"."&amp;OFFSET(hoje12_326_sp8,55,16,1,1)</f>
        <v>703002.703</v>
      </c>
      <c r="B56" s="27" t="n">
        <v>703002</v>
      </c>
      <c r="C56" s="32" t="s">
        <v>187</v>
      </c>
      <c r="D56" s="33" t="n">
        <v>1274396000985</v>
      </c>
      <c r="E56" s="32" t="s">
        <v>80</v>
      </c>
      <c r="F56" s="32" t="s">
        <v>81</v>
      </c>
      <c r="G56" s="32" t="s">
        <v>65</v>
      </c>
      <c r="H56" s="32" t="s">
        <v>66</v>
      </c>
      <c r="I56" s="32" t="s">
        <v>68</v>
      </c>
      <c r="J56" s="32" t="s">
        <v>68</v>
      </c>
      <c r="K56" s="32" t="n">
        <v>178.56</v>
      </c>
      <c r="L56" s="32" t="s">
        <v>111</v>
      </c>
      <c r="M56" s="32" t="s">
        <v>83</v>
      </c>
      <c r="N56" s="32" t="s">
        <v>84</v>
      </c>
      <c r="O56" s="32" t="s">
        <v>72</v>
      </c>
      <c r="P56" s="32" t="s">
        <v>85</v>
      </c>
      <c r="Q56" s="32" t="n">
        <v>703</v>
      </c>
      <c r="R56" s="32" t="s">
        <v>86</v>
      </c>
      <c r="S56" s="32" t="s">
        <v>205</v>
      </c>
      <c r="T56" s="32" t="s">
        <v>88</v>
      </c>
      <c r="U56" s="32" t="s">
        <v>207</v>
      </c>
      <c r="V56" s="32" t="s">
        <v>90</v>
      </c>
    </row>
    <row r="57" customFormat="false" ht="13.2" hidden="false" customHeight="false" outlineLevel="0" collapsed="false">
      <c r="A57" s="27" t="str">
        <f aca="false">OFFSET(hoje12_326_sp8,56,1,1,1)&amp;"."&amp;OFFSET(hoje12_326_sp8,56,16,1,1)</f>
        <v>703003.703</v>
      </c>
      <c r="B57" s="27" t="n">
        <v>703003</v>
      </c>
      <c r="C57" s="32" t="s">
        <v>187</v>
      </c>
      <c r="D57" s="33" t="n">
        <v>1274396001019</v>
      </c>
      <c r="E57" s="32" t="s">
        <v>80</v>
      </c>
      <c r="F57" s="32" t="s">
        <v>81</v>
      </c>
      <c r="G57" s="32" t="s">
        <v>65</v>
      </c>
      <c r="H57" s="32" t="s">
        <v>66</v>
      </c>
      <c r="I57" s="32" t="s">
        <v>68</v>
      </c>
      <c r="J57" s="32" t="s">
        <v>68</v>
      </c>
      <c r="K57" s="32" t="n">
        <v>178.56</v>
      </c>
      <c r="L57" s="32" t="s">
        <v>111</v>
      </c>
      <c r="M57" s="32" t="s">
        <v>83</v>
      </c>
      <c r="N57" s="32" t="s">
        <v>84</v>
      </c>
      <c r="O57" s="32" t="s">
        <v>72</v>
      </c>
      <c r="P57" s="32" t="s">
        <v>85</v>
      </c>
      <c r="Q57" s="32" t="n">
        <v>703</v>
      </c>
      <c r="R57" s="32" t="s">
        <v>86</v>
      </c>
      <c r="S57" s="32" t="s">
        <v>191</v>
      </c>
      <c r="T57" s="32" t="s">
        <v>88</v>
      </c>
      <c r="U57" s="32" t="s">
        <v>192</v>
      </c>
      <c r="V57" s="32" t="s">
        <v>90</v>
      </c>
    </row>
    <row r="58" customFormat="false" ht="13.2" hidden="false" customHeight="false" outlineLevel="0" collapsed="false">
      <c r="A58" s="27" t="str">
        <f aca="false">OFFSET(hoje12_326_sp8,57,1,1,1)&amp;"."&amp;OFFSET(hoje12_326_sp8,57,16,1,1)</f>
        <v>703004.703</v>
      </c>
      <c r="B58" s="27" t="n">
        <v>703004</v>
      </c>
      <c r="C58" s="32" t="s">
        <v>294</v>
      </c>
      <c r="D58" s="33" t="n">
        <v>1547436000168</v>
      </c>
      <c r="E58" s="32" t="s">
        <v>295</v>
      </c>
      <c r="F58" s="32" t="s">
        <v>81</v>
      </c>
      <c r="G58" s="32" t="s">
        <v>65</v>
      </c>
      <c r="H58" s="32" t="s">
        <v>66</v>
      </c>
      <c r="I58" s="32" t="s">
        <v>68</v>
      </c>
      <c r="J58" s="32" t="s">
        <v>68</v>
      </c>
      <c r="K58" s="32" t="n">
        <v>183.54</v>
      </c>
      <c r="L58" s="32" t="s">
        <v>111</v>
      </c>
      <c r="M58" s="32" t="s">
        <v>83</v>
      </c>
      <c r="N58" s="32" t="s">
        <v>84</v>
      </c>
      <c r="O58" s="32" t="s">
        <v>72</v>
      </c>
      <c r="P58" s="32" t="s">
        <v>85</v>
      </c>
      <c r="Q58" s="32" t="n">
        <v>703</v>
      </c>
      <c r="R58" s="32" t="s">
        <v>86</v>
      </c>
      <c r="S58" s="32" t="s">
        <v>205</v>
      </c>
      <c r="T58" s="32" t="s">
        <v>88</v>
      </c>
      <c r="U58" s="32" t="s">
        <v>296</v>
      </c>
      <c r="V58" s="32" t="s">
        <v>90</v>
      </c>
    </row>
    <row r="59" customFormat="false" ht="13.2" hidden="false" customHeight="false" outlineLevel="0" collapsed="false">
      <c r="A59" s="27" t="str">
        <f aca="false">OFFSET(hoje12_326_sp8,58,1,1,1)&amp;"."&amp;OFFSET(hoje12_326_sp8,58,16,1,1)</f>
        <v>704001.704</v>
      </c>
      <c r="B59" s="27" t="n">
        <v>704001</v>
      </c>
      <c r="C59" s="32" t="s">
        <v>297</v>
      </c>
      <c r="D59" s="33" t="n">
        <v>5027616000170</v>
      </c>
      <c r="E59" s="32" t="s">
        <v>80</v>
      </c>
      <c r="F59" s="32" t="s">
        <v>81</v>
      </c>
      <c r="G59" s="32" t="s">
        <v>65</v>
      </c>
      <c r="H59" s="32" t="s">
        <v>66</v>
      </c>
      <c r="I59" s="32" t="s">
        <v>68</v>
      </c>
      <c r="J59" s="32" t="s">
        <v>68</v>
      </c>
      <c r="K59" s="32" t="n">
        <v>178.56</v>
      </c>
      <c r="L59" s="32" t="s">
        <v>111</v>
      </c>
      <c r="M59" s="32" t="s">
        <v>83</v>
      </c>
      <c r="N59" s="32" t="s">
        <v>84</v>
      </c>
      <c r="O59" s="32" t="s">
        <v>72</v>
      </c>
      <c r="P59" s="32" t="s">
        <v>85</v>
      </c>
      <c r="Q59" s="32" t="n">
        <v>704</v>
      </c>
      <c r="R59" s="32" t="s">
        <v>86</v>
      </c>
      <c r="S59" s="32" t="s">
        <v>298</v>
      </c>
      <c r="T59" s="32" t="s">
        <v>88</v>
      </c>
      <c r="U59" s="32" t="s">
        <v>299</v>
      </c>
      <c r="V59" s="32" t="s">
        <v>90</v>
      </c>
    </row>
    <row r="60" customFormat="false" ht="13.2" hidden="false" customHeight="false" outlineLevel="0" collapsed="false">
      <c r="A60" s="27" t="str">
        <f aca="false">OFFSET(hoje12_326_sp8,59,1,1,1)&amp;"."&amp;OFFSET(hoje12_326_sp8,59,16,1,1)</f>
        <v>2745.704</v>
      </c>
      <c r="B60" s="27" t="n">
        <v>2745</v>
      </c>
      <c r="C60" s="32" t="s">
        <v>300</v>
      </c>
      <c r="D60" s="33" t="n">
        <v>6813685001496</v>
      </c>
      <c r="E60" s="32" t="s">
        <v>301</v>
      </c>
      <c r="F60" s="32" t="s">
        <v>81</v>
      </c>
      <c r="G60" s="32" t="s">
        <v>302</v>
      </c>
      <c r="H60" s="32" t="s">
        <v>66</v>
      </c>
      <c r="I60" s="32" t="s">
        <v>303</v>
      </c>
      <c r="J60" s="32" t="s">
        <v>68</v>
      </c>
      <c r="K60" s="32" t="n">
        <v>90755.04</v>
      </c>
      <c r="L60" s="32" t="s">
        <v>304</v>
      </c>
      <c r="M60" s="32" t="s">
        <v>70</v>
      </c>
      <c r="N60" s="32" t="s">
        <v>305</v>
      </c>
      <c r="O60" s="32" t="s">
        <v>72</v>
      </c>
      <c r="P60" s="32" t="s">
        <v>306</v>
      </c>
      <c r="Q60" s="32" t="n">
        <v>704</v>
      </c>
      <c r="R60" s="32" t="s">
        <v>113</v>
      </c>
      <c r="S60" s="32" t="s">
        <v>307</v>
      </c>
      <c r="T60" s="32" t="s">
        <v>308</v>
      </c>
      <c r="U60" s="32" t="s">
        <v>309</v>
      </c>
      <c r="V60" s="32" t="s">
        <v>78</v>
      </c>
    </row>
    <row r="61" customFormat="false" ht="13.2" hidden="false" customHeight="false" outlineLevel="0" collapsed="false">
      <c r="A61" s="27" t="str">
        <f aca="false">OFFSET(hoje12_326_sp8,60,1,1,1)&amp;"."&amp;OFFSET(hoje12_326_sp8,60,16,1,1)</f>
        <v>2746.704</v>
      </c>
      <c r="B61" s="27" t="n">
        <v>2746</v>
      </c>
      <c r="C61" s="32" t="s">
        <v>300</v>
      </c>
      <c r="D61" s="33" t="n">
        <v>6813685001496</v>
      </c>
      <c r="E61" s="32" t="s">
        <v>310</v>
      </c>
      <c r="F61" s="32" t="s">
        <v>311</v>
      </c>
      <c r="G61" s="32" t="s">
        <v>312</v>
      </c>
      <c r="H61" s="32" t="s">
        <v>66</v>
      </c>
      <c r="I61" s="32" t="s">
        <v>313</v>
      </c>
      <c r="J61" s="32" t="s">
        <v>68</v>
      </c>
      <c r="K61" s="32" t="n">
        <v>1628.4</v>
      </c>
      <c r="L61" s="32" t="s">
        <v>304</v>
      </c>
      <c r="M61" s="32" t="s">
        <v>70</v>
      </c>
      <c r="N61" s="32" t="s">
        <v>305</v>
      </c>
      <c r="O61" s="32" t="s">
        <v>72</v>
      </c>
      <c r="P61" s="32" t="s">
        <v>314</v>
      </c>
      <c r="Q61" s="32" t="n">
        <v>704</v>
      </c>
      <c r="R61" s="32" t="s">
        <v>113</v>
      </c>
      <c r="S61" s="32" t="s">
        <v>307</v>
      </c>
      <c r="T61" s="32" t="s">
        <v>315</v>
      </c>
      <c r="U61" s="32" t="s">
        <v>309</v>
      </c>
      <c r="V61" s="32" t="s">
        <v>78</v>
      </c>
    </row>
    <row r="62" customFormat="false" ht="13.2" hidden="false" customHeight="false" outlineLevel="0" collapsed="false">
      <c r="A62" s="27" t="str">
        <f aca="false">OFFSET(hoje12_326_sp8,61,1,1,1)&amp;"."&amp;OFFSET(hoje12_326_sp8,61,16,1,1)</f>
        <v>2747.704</v>
      </c>
      <c r="B62" s="27" t="n">
        <v>2747</v>
      </c>
      <c r="C62" s="32" t="s">
        <v>300</v>
      </c>
      <c r="D62" s="33" t="n">
        <v>6813685001577</v>
      </c>
      <c r="E62" s="32" t="s">
        <v>316</v>
      </c>
      <c r="F62" s="32" t="s">
        <v>81</v>
      </c>
      <c r="G62" s="32" t="s">
        <v>302</v>
      </c>
      <c r="H62" s="32" t="s">
        <v>66</v>
      </c>
      <c r="I62" s="32" t="s">
        <v>317</v>
      </c>
      <c r="J62" s="32" t="s">
        <v>68</v>
      </c>
      <c r="K62" s="32" t="n">
        <v>57683.67</v>
      </c>
      <c r="L62" s="32" t="s">
        <v>304</v>
      </c>
      <c r="M62" s="32" t="s">
        <v>70</v>
      </c>
      <c r="N62" s="32" t="s">
        <v>305</v>
      </c>
      <c r="O62" s="32" t="s">
        <v>72</v>
      </c>
      <c r="P62" s="32" t="s">
        <v>318</v>
      </c>
      <c r="Q62" s="32" t="n">
        <v>704</v>
      </c>
      <c r="R62" s="32" t="s">
        <v>113</v>
      </c>
      <c r="S62" s="32" t="s">
        <v>319</v>
      </c>
      <c r="T62" s="32" t="s">
        <v>320</v>
      </c>
      <c r="U62" s="32" t="s">
        <v>139</v>
      </c>
      <c r="V62" s="32" t="s">
        <v>78</v>
      </c>
    </row>
    <row r="63" customFormat="false" ht="13.2" hidden="false" customHeight="false" outlineLevel="0" collapsed="false">
      <c r="A63" s="27" t="str">
        <f aca="false">OFFSET(hoje12_326_sp8,62,1,1,1)&amp;"."&amp;OFFSET(hoje12_326_sp8,62,16,1,1)</f>
        <v>3249.705</v>
      </c>
      <c r="B63" s="27" t="n">
        <v>3249</v>
      </c>
      <c r="C63" s="32" t="s">
        <v>321</v>
      </c>
      <c r="D63" s="33" t="n">
        <v>15901440000197</v>
      </c>
      <c r="E63" s="32" t="s">
        <v>322</v>
      </c>
      <c r="F63" s="32" t="s">
        <v>81</v>
      </c>
      <c r="G63" s="32" t="s">
        <v>65</v>
      </c>
      <c r="H63" s="32" t="s">
        <v>66</v>
      </c>
      <c r="I63" s="32" t="s">
        <v>323</v>
      </c>
      <c r="J63" s="32" t="s">
        <v>68</v>
      </c>
      <c r="K63" s="32" t="n">
        <v>9244.88</v>
      </c>
      <c r="L63" s="32" t="s">
        <v>324</v>
      </c>
      <c r="M63" s="32" t="s">
        <v>83</v>
      </c>
      <c r="N63" s="32" t="s">
        <v>99</v>
      </c>
      <c r="O63" s="32" t="s">
        <v>72</v>
      </c>
      <c r="P63" s="32" t="s">
        <v>325</v>
      </c>
      <c r="Q63" s="32" t="n">
        <v>705</v>
      </c>
      <c r="R63" s="32" t="s">
        <v>74</v>
      </c>
      <c r="S63" s="32" t="s">
        <v>326</v>
      </c>
      <c r="T63" s="32" t="s">
        <v>327</v>
      </c>
      <c r="U63" s="32" t="s">
        <v>328</v>
      </c>
      <c r="V63" s="32" t="s">
        <v>90</v>
      </c>
    </row>
    <row r="64" customFormat="false" ht="13.2" hidden="false" customHeight="false" outlineLevel="0" collapsed="false">
      <c r="A64" s="27" t="str">
        <f aca="false">OFFSET(hoje12_326_sp8,63,1,1,1)&amp;"."&amp;OFFSET(hoje12_326_sp8,63,16,1,1)</f>
        <v>3270.705</v>
      </c>
      <c r="B64" s="27" t="n">
        <v>3270</v>
      </c>
      <c r="C64" s="32" t="s">
        <v>329</v>
      </c>
      <c r="D64" s="33" t="n">
        <v>20064302000130</v>
      </c>
      <c r="E64" s="32" t="s">
        <v>330</v>
      </c>
      <c r="F64" s="32" t="s">
        <v>81</v>
      </c>
      <c r="G64" s="32" t="s">
        <v>65</v>
      </c>
      <c r="H64" s="32" t="s">
        <v>132</v>
      </c>
      <c r="I64" s="32" t="s">
        <v>331</v>
      </c>
      <c r="J64" s="32" t="s">
        <v>68</v>
      </c>
      <c r="K64" s="32" t="n">
        <v>552.18</v>
      </c>
      <c r="L64" s="32" t="s">
        <v>332</v>
      </c>
      <c r="M64" s="32" t="s">
        <v>83</v>
      </c>
      <c r="N64" s="32" t="s">
        <v>305</v>
      </c>
      <c r="O64" s="32" t="s">
        <v>72</v>
      </c>
      <c r="P64" s="32" t="s">
        <v>333</v>
      </c>
      <c r="Q64" s="32" t="n">
        <v>705</v>
      </c>
      <c r="R64" s="32" t="s">
        <v>113</v>
      </c>
      <c r="S64" s="32" t="s">
        <v>334</v>
      </c>
      <c r="T64" s="32" t="s">
        <v>335</v>
      </c>
      <c r="U64" s="32" t="s">
        <v>336</v>
      </c>
      <c r="V64" s="32" t="s">
        <v>90</v>
      </c>
    </row>
    <row r="65" customFormat="false" ht="13.2" hidden="false" customHeight="false" outlineLevel="0" collapsed="false">
      <c r="A65" s="27" t="str">
        <f aca="false">OFFSET(hoje12_326_sp8,64,1,1,1)&amp;"."&amp;OFFSET(hoje12_326_sp8,64,16,1,1)</f>
        <v>3277.705</v>
      </c>
      <c r="B65" s="27" t="n">
        <v>3277</v>
      </c>
      <c r="C65" s="32" t="s">
        <v>337</v>
      </c>
      <c r="D65" s="33" t="n">
        <v>15508682000115</v>
      </c>
      <c r="E65" s="32" t="s">
        <v>338</v>
      </c>
      <c r="F65" s="32" t="s">
        <v>81</v>
      </c>
      <c r="G65" s="32" t="s">
        <v>65</v>
      </c>
      <c r="H65" s="32" t="s">
        <v>66</v>
      </c>
      <c r="I65" s="32" t="s">
        <v>339</v>
      </c>
      <c r="J65" s="32" t="s">
        <v>68</v>
      </c>
      <c r="K65" s="32" t="n">
        <v>8148.76</v>
      </c>
      <c r="L65" s="32" t="s">
        <v>248</v>
      </c>
      <c r="M65" s="32" t="s">
        <v>83</v>
      </c>
      <c r="N65" s="32" t="s">
        <v>84</v>
      </c>
      <c r="O65" s="32" t="s">
        <v>72</v>
      </c>
      <c r="P65" s="32" t="s">
        <v>340</v>
      </c>
      <c r="Q65" s="32" t="n">
        <v>705</v>
      </c>
      <c r="R65" s="32" t="s">
        <v>74</v>
      </c>
      <c r="S65" s="32" t="s">
        <v>326</v>
      </c>
      <c r="T65" s="32" t="s">
        <v>341</v>
      </c>
      <c r="U65" s="32" t="s">
        <v>342</v>
      </c>
      <c r="V65" s="32" t="s">
        <v>90</v>
      </c>
    </row>
    <row r="66" customFormat="false" ht="13.2" hidden="false" customHeight="false" outlineLevel="0" collapsed="false">
      <c r="A66" s="27" t="str">
        <f aca="false">OFFSET(hoje12_326_sp8,65,1,1,1)&amp;"."&amp;OFFSET(hoje12_326_sp8,65,16,1,1)</f>
        <v>705001.705</v>
      </c>
      <c r="B66" s="27" t="n">
        <v>705001</v>
      </c>
      <c r="C66" s="32" t="s">
        <v>343</v>
      </c>
      <c r="D66" s="33" t="n">
        <v>12934721000158</v>
      </c>
      <c r="E66" s="32" t="s">
        <v>80</v>
      </c>
      <c r="F66" s="32" t="s">
        <v>81</v>
      </c>
      <c r="G66" s="32" t="s">
        <v>65</v>
      </c>
      <c r="H66" s="32" t="s">
        <v>66</v>
      </c>
      <c r="I66" s="32" t="s">
        <v>68</v>
      </c>
      <c r="J66" s="32" t="s">
        <v>68</v>
      </c>
      <c r="K66" s="32" t="n">
        <v>178.56</v>
      </c>
      <c r="L66" s="32" t="s">
        <v>82</v>
      </c>
      <c r="M66" s="32" t="s">
        <v>83</v>
      </c>
      <c r="N66" s="32" t="s">
        <v>84</v>
      </c>
      <c r="O66" s="32" t="s">
        <v>72</v>
      </c>
      <c r="P66" s="32" t="s">
        <v>85</v>
      </c>
      <c r="Q66" s="32" t="n">
        <v>705</v>
      </c>
      <c r="R66" s="32" t="s">
        <v>86</v>
      </c>
      <c r="S66" s="32" t="s">
        <v>334</v>
      </c>
      <c r="T66" s="32" t="s">
        <v>88</v>
      </c>
      <c r="U66" s="32" t="s">
        <v>336</v>
      </c>
      <c r="V66" s="32" t="s">
        <v>90</v>
      </c>
    </row>
    <row r="67" customFormat="false" ht="13.2" hidden="false" customHeight="false" outlineLevel="0" collapsed="false">
      <c r="A67" s="27" t="str">
        <f aca="false">OFFSET(hoje12_326_sp8,66,1,1,1)&amp;"."&amp;OFFSET(hoje12_326_sp8,66,16,1,1)</f>
        <v>2606.708</v>
      </c>
      <c r="B67" s="27" t="n">
        <v>2606</v>
      </c>
      <c r="C67" s="32" t="s">
        <v>344</v>
      </c>
      <c r="D67" s="33" t="n">
        <v>37532249000158</v>
      </c>
      <c r="E67" s="32" t="s">
        <v>345</v>
      </c>
      <c r="F67" s="32" t="s">
        <v>81</v>
      </c>
      <c r="G67" s="32" t="s">
        <v>65</v>
      </c>
      <c r="H67" s="32" t="s">
        <v>66</v>
      </c>
      <c r="I67" s="32" t="s">
        <v>346</v>
      </c>
      <c r="J67" s="32" t="s">
        <v>68</v>
      </c>
      <c r="K67" s="32" t="n">
        <v>1273.03</v>
      </c>
      <c r="L67" s="32" t="s">
        <v>347</v>
      </c>
      <c r="M67" s="32" t="s">
        <v>83</v>
      </c>
      <c r="N67" s="32" t="s">
        <v>305</v>
      </c>
      <c r="O67" s="32" t="s">
        <v>72</v>
      </c>
      <c r="P67" s="32" t="s">
        <v>348</v>
      </c>
      <c r="Q67" s="32" t="n">
        <v>708</v>
      </c>
      <c r="R67" s="32" t="s">
        <v>113</v>
      </c>
      <c r="S67" s="32" t="s">
        <v>349</v>
      </c>
      <c r="T67" s="32" t="s">
        <v>350</v>
      </c>
      <c r="U67" s="32" t="s">
        <v>351</v>
      </c>
      <c r="V67" s="32" t="s">
        <v>90</v>
      </c>
    </row>
    <row r="68" customFormat="false" ht="13.2" hidden="false" customHeight="false" outlineLevel="0" collapsed="false">
      <c r="A68" s="27" t="str">
        <f aca="false">OFFSET(hoje12_326_sp8,67,1,1,1)&amp;"."&amp;OFFSET(hoje12_326_sp8,67,16,1,1)</f>
        <v>2609.708</v>
      </c>
      <c r="B68" s="27" t="n">
        <v>2609</v>
      </c>
      <c r="C68" s="32" t="s">
        <v>352</v>
      </c>
      <c r="D68" s="33" t="n">
        <v>1602811000125</v>
      </c>
      <c r="E68" s="32" t="s">
        <v>353</v>
      </c>
      <c r="F68" s="32" t="s">
        <v>81</v>
      </c>
      <c r="G68" s="32" t="s">
        <v>65</v>
      </c>
      <c r="H68" s="32" t="s">
        <v>66</v>
      </c>
      <c r="I68" s="32" t="s">
        <v>354</v>
      </c>
      <c r="J68" s="32" t="s">
        <v>68</v>
      </c>
      <c r="K68" s="32" t="n">
        <v>613.11</v>
      </c>
      <c r="L68" s="32" t="s">
        <v>347</v>
      </c>
      <c r="M68" s="32" t="s">
        <v>83</v>
      </c>
      <c r="N68" s="32" t="s">
        <v>84</v>
      </c>
      <c r="O68" s="32" t="s">
        <v>72</v>
      </c>
      <c r="P68" s="32" t="s">
        <v>355</v>
      </c>
      <c r="Q68" s="32" t="n">
        <v>708</v>
      </c>
      <c r="R68" s="32" t="s">
        <v>74</v>
      </c>
      <c r="S68" s="32" t="s">
        <v>125</v>
      </c>
      <c r="T68" s="32" t="s">
        <v>356</v>
      </c>
      <c r="U68" s="32" t="s">
        <v>357</v>
      </c>
      <c r="V68" s="32" t="s">
        <v>90</v>
      </c>
    </row>
    <row r="69" customFormat="false" ht="13.2" hidden="false" customHeight="false" outlineLevel="0" collapsed="false">
      <c r="A69" s="27" t="str">
        <f aca="false">OFFSET(hoje12_326_sp8,68,1,1,1)&amp;"."&amp;OFFSET(hoje12_326_sp8,68,16,1,1)</f>
        <v>2625.708</v>
      </c>
      <c r="B69" s="27" t="n">
        <v>2625</v>
      </c>
      <c r="C69" s="32" t="s">
        <v>358</v>
      </c>
      <c r="D69" s="33" t="n">
        <v>3735605000119</v>
      </c>
      <c r="E69" s="32" t="s">
        <v>359</v>
      </c>
      <c r="F69" s="32" t="s">
        <v>81</v>
      </c>
      <c r="G69" s="32" t="s">
        <v>65</v>
      </c>
      <c r="H69" s="32" t="s">
        <v>66</v>
      </c>
      <c r="I69" s="32" t="s">
        <v>360</v>
      </c>
      <c r="J69" s="32" t="s">
        <v>68</v>
      </c>
      <c r="K69" s="32" t="n">
        <v>3269.23</v>
      </c>
      <c r="L69" s="32" t="s">
        <v>332</v>
      </c>
      <c r="M69" s="32" t="s">
        <v>83</v>
      </c>
      <c r="N69" s="32" t="s">
        <v>99</v>
      </c>
      <c r="O69" s="32" t="s">
        <v>72</v>
      </c>
      <c r="P69" s="32" t="s">
        <v>361</v>
      </c>
      <c r="Q69" s="32" t="n">
        <v>708</v>
      </c>
      <c r="R69" s="32" t="s">
        <v>74</v>
      </c>
      <c r="S69" s="32" t="s">
        <v>125</v>
      </c>
      <c r="T69" s="32" t="s">
        <v>362</v>
      </c>
      <c r="U69" s="32" t="s">
        <v>357</v>
      </c>
      <c r="V69" s="32" t="s">
        <v>90</v>
      </c>
    </row>
    <row r="70" customFormat="false" ht="13.2" hidden="false" customHeight="false" outlineLevel="0" collapsed="false">
      <c r="A70" s="27" t="str">
        <f aca="false">OFFSET(hoje12_326_sp8,69,1,1,1)&amp;"."&amp;OFFSET(hoje12_326_sp8,69,16,1,1)</f>
        <v>2626.708</v>
      </c>
      <c r="B70" s="27" t="n">
        <v>2626</v>
      </c>
      <c r="C70" s="32" t="s">
        <v>363</v>
      </c>
      <c r="D70" s="33" t="n">
        <v>19088260000199</v>
      </c>
      <c r="E70" s="32" t="s">
        <v>364</v>
      </c>
      <c r="F70" s="32" t="s">
        <v>81</v>
      </c>
      <c r="G70" s="32" t="s">
        <v>65</v>
      </c>
      <c r="H70" s="32" t="s">
        <v>66</v>
      </c>
      <c r="I70" s="32" t="s">
        <v>365</v>
      </c>
      <c r="J70" s="32" t="s">
        <v>68</v>
      </c>
      <c r="K70" s="32" t="n">
        <v>3530.91</v>
      </c>
      <c r="L70" s="32" t="s">
        <v>111</v>
      </c>
      <c r="M70" s="32" t="s">
        <v>83</v>
      </c>
      <c r="N70" s="32" t="s">
        <v>99</v>
      </c>
      <c r="O70" s="32" t="s">
        <v>72</v>
      </c>
      <c r="P70" s="32" t="s">
        <v>366</v>
      </c>
      <c r="Q70" s="32" t="n">
        <v>708</v>
      </c>
      <c r="R70" s="32" t="s">
        <v>74</v>
      </c>
      <c r="S70" s="32" t="s">
        <v>125</v>
      </c>
      <c r="T70" s="32" t="s">
        <v>367</v>
      </c>
      <c r="U70" s="32" t="s">
        <v>357</v>
      </c>
      <c r="V70" s="32" t="s">
        <v>90</v>
      </c>
    </row>
    <row r="71" customFormat="false" ht="13.2" hidden="false" customHeight="false" outlineLevel="0" collapsed="false">
      <c r="A71" s="27" t="str">
        <f aca="false">OFFSET(hoje12_326_sp8,70,1,1,1)&amp;"."&amp;OFFSET(hoje12_326_sp8,70,16,1,1)</f>
        <v>2628.708</v>
      </c>
      <c r="B71" s="27" t="n">
        <v>2628</v>
      </c>
      <c r="C71" s="32" t="s">
        <v>368</v>
      </c>
      <c r="D71" s="33" t="n">
        <v>43437785000177</v>
      </c>
      <c r="E71" s="32" t="s">
        <v>369</v>
      </c>
      <c r="F71" s="32" t="s">
        <v>81</v>
      </c>
      <c r="G71" s="32" t="s">
        <v>65</v>
      </c>
      <c r="H71" s="32" t="s">
        <v>66</v>
      </c>
      <c r="I71" s="32" t="s">
        <v>370</v>
      </c>
      <c r="J71" s="32" t="s">
        <v>68</v>
      </c>
      <c r="K71" s="32" t="n">
        <v>2265.16</v>
      </c>
      <c r="L71" s="32" t="s">
        <v>332</v>
      </c>
      <c r="M71" s="32" t="s">
        <v>83</v>
      </c>
      <c r="N71" s="32" t="s">
        <v>99</v>
      </c>
      <c r="O71" s="32" t="s">
        <v>72</v>
      </c>
      <c r="P71" s="32" t="s">
        <v>371</v>
      </c>
      <c r="Q71" s="32" t="n">
        <v>708</v>
      </c>
      <c r="R71" s="32" t="s">
        <v>74</v>
      </c>
      <c r="S71" s="32" t="s">
        <v>125</v>
      </c>
      <c r="T71" s="32" t="s">
        <v>372</v>
      </c>
      <c r="U71" s="32" t="s">
        <v>127</v>
      </c>
      <c r="V71" s="32" t="s">
        <v>90</v>
      </c>
    </row>
    <row r="72" customFormat="false" ht="13.2" hidden="false" customHeight="false" outlineLevel="0" collapsed="false">
      <c r="A72" s="27" t="str">
        <f aca="false">OFFSET(hoje12_326_sp8,71,1,1,1)&amp;"."&amp;OFFSET(hoje12_326_sp8,71,16,1,1)</f>
        <v>2648.708</v>
      </c>
      <c r="B72" s="27" t="n">
        <v>2648</v>
      </c>
      <c r="C72" s="32" t="s">
        <v>373</v>
      </c>
      <c r="D72" s="33" t="n">
        <v>5327650000160</v>
      </c>
      <c r="E72" s="32" t="s">
        <v>374</v>
      </c>
      <c r="F72" s="32" t="s">
        <v>81</v>
      </c>
      <c r="G72" s="32" t="s">
        <v>65</v>
      </c>
      <c r="H72" s="32" t="s">
        <v>66</v>
      </c>
      <c r="I72" s="32" t="s">
        <v>375</v>
      </c>
      <c r="J72" s="32" t="s">
        <v>68</v>
      </c>
      <c r="K72" s="32" t="n">
        <v>104.71</v>
      </c>
      <c r="L72" s="32" t="s">
        <v>347</v>
      </c>
      <c r="M72" s="32" t="s">
        <v>135</v>
      </c>
      <c r="N72" s="32" t="s">
        <v>99</v>
      </c>
      <c r="O72" s="32" t="s">
        <v>72</v>
      </c>
      <c r="P72" s="32" t="s">
        <v>376</v>
      </c>
      <c r="Q72" s="32" t="n">
        <v>708</v>
      </c>
      <c r="R72" s="32" t="s">
        <v>74</v>
      </c>
      <c r="S72" s="32" t="s">
        <v>125</v>
      </c>
      <c r="T72" s="32" t="s">
        <v>335</v>
      </c>
      <c r="U72" s="32" t="s">
        <v>377</v>
      </c>
      <c r="V72" s="32" t="s">
        <v>90</v>
      </c>
    </row>
    <row r="73" customFormat="false" ht="13.2" hidden="false" customHeight="false" outlineLevel="0" collapsed="false">
      <c r="A73" s="27" t="str">
        <f aca="false">OFFSET(hoje12_326_sp8,72,1,1,1)&amp;"."&amp;OFFSET(hoje12_326_sp8,72,16,1,1)</f>
        <v>2649.708</v>
      </c>
      <c r="B73" s="27" t="n">
        <v>2649</v>
      </c>
      <c r="C73" s="32" t="s">
        <v>378</v>
      </c>
      <c r="D73" s="33" t="n">
        <v>5318045000122</v>
      </c>
      <c r="E73" s="32" t="s">
        <v>379</v>
      </c>
      <c r="F73" s="32" t="s">
        <v>81</v>
      </c>
      <c r="G73" s="32" t="s">
        <v>65</v>
      </c>
      <c r="H73" s="32" t="s">
        <v>66</v>
      </c>
      <c r="I73" s="32" t="s">
        <v>380</v>
      </c>
      <c r="J73" s="32" t="s">
        <v>68</v>
      </c>
      <c r="K73" s="32" t="n">
        <v>280.23</v>
      </c>
      <c r="L73" s="32" t="s">
        <v>347</v>
      </c>
      <c r="M73" s="32" t="s">
        <v>135</v>
      </c>
      <c r="N73" s="32" t="s">
        <v>99</v>
      </c>
      <c r="O73" s="32" t="s">
        <v>72</v>
      </c>
      <c r="P73" s="32" t="s">
        <v>381</v>
      </c>
      <c r="Q73" s="32" t="n">
        <v>708</v>
      </c>
      <c r="R73" s="32" t="s">
        <v>74</v>
      </c>
      <c r="S73" s="32" t="s">
        <v>125</v>
      </c>
      <c r="T73" s="32" t="s">
        <v>382</v>
      </c>
      <c r="U73" s="32" t="s">
        <v>377</v>
      </c>
      <c r="V73" s="32" t="s">
        <v>90</v>
      </c>
    </row>
    <row r="74" customFormat="false" ht="13.2" hidden="false" customHeight="false" outlineLevel="0" collapsed="false">
      <c r="A74" s="27" t="str">
        <f aca="false">OFFSET(hoje12_326_sp8,73,1,1,1)&amp;"."&amp;OFFSET(hoje12_326_sp8,73,16,1,1)</f>
        <v>2650.708</v>
      </c>
      <c r="B74" s="27" t="n">
        <v>2650</v>
      </c>
      <c r="C74" s="32" t="s">
        <v>383</v>
      </c>
      <c r="D74" s="33" t="n">
        <v>49540108000166</v>
      </c>
      <c r="E74" s="32" t="s">
        <v>384</v>
      </c>
      <c r="F74" s="32" t="s">
        <v>81</v>
      </c>
      <c r="G74" s="32" t="s">
        <v>302</v>
      </c>
      <c r="H74" s="32" t="s">
        <v>385</v>
      </c>
      <c r="I74" s="32" t="s">
        <v>386</v>
      </c>
      <c r="J74" s="32" t="s">
        <v>68</v>
      </c>
      <c r="K74" s="32" t="n">
        <v>141.79</v>
      </c>
      <c r="L74" s="32" t="s">
        <v>304</v>
      </c>
      <c r="M74" s="32" t="s">
        <v>70</v>
      </c>
      <c r="N74" s="32" t="s">
        <v>99</v>
      </c>
      <c r="O74" s="32" t="s">
        <v>72</v>
      </c>
      <c r="P74" s="32" t="s">
        <v>387</v>
      </c>
      <c r="Q74" s="32" t="n">
        <v>708</v>
      </c>
      <c r="R74" s="32" t="s">
        <v>74</v>
      </c>
      <c r="S74" s="32" t="s">
        <v>125</v>
      </c>
      <c r="T74" s="32" t="s">
        <v>388</v>
      </c>
      <c r="U74" s="32" t="s">
        <v>389</v>
      </c>
      <c r="V74" s="32" t="s">
        <v>90</v>
      </c>
    </row>
    <row r="75" customFormat="false" ht="13.2" hidden="false" customHeight="false" outlineLevel="0" collapsed="false">
      <c r="A75" s="27" t="str">
        <f aca="false">OFFSET(hoje12_326_sp8,74,1,1,1)&amp;"."&amp;OFFSET(hoje12_326_sp8,74,16,1,1)</f>
        <v>2651.708</v>
      </c>
      <c r="B75" s="27" t="n">
        <v>2651</v>
      </c>
      <c r="C75" s="32" t="s">
        <v>390</v>
      </c>
      <c r="D75" s="33" t="n">
        <v>8650875000140</v>
      </c>
      <c r="E75" s="32" t="s">
        <v>391</v>
      </c>
      <c r="F75" s="32" t="s">
        <v>81</v>
      </c>
      <c r="G75" s="32" t="s">
        <v>302</v>
      </c>
      <c r="H75" s="32" t="s">
        <v>385</v>
      </c>
      <c r="I75" s="32" t="s">
        <v>392</v>
      </c>
      <c r="J75" s="32" t="s">
        <v>68</v>
      </c>
      <c r="K75" s="32" t="n">
        <v>100.02</v>
      </c>
      <c r="L75" s="32" t="s">
        <v>304</v>
      </c>
      <c r="M75" s="32" t="s">
        <v>70</v>
      </c>
      <c r="N75" s="32" t="s">
        <v>99</v>
      </c>
      <c r="O75" s="32" t="s">
        <v>72</v>
      </c>
      <c r="P75" s="32" t="s">
        <v>393</v>
      </c>
      <c r="Q75" s="32" t="n">
        <v>708</v>
      </c>
      <c r="R75" s="32" t="s">
        <v>74</v>
      </c>
      <c r="S75" s="32" t="s">
        <v>125</v>
      </c>
      <c r="T75" s="32" t="s">
        <v>394</v>
      </c>
      <c r="U75" s="32" t="s">
        <v>127</v>
      </c>
      <c r="V75" s="32" t="s">
        <v>90</v>
      </c>
    </row>
    <row r="76" customFormat="false" ht="13.2" hidden="false" customHeight="false" outlineLevel="0" collapsed="false">
      <c r="A76" s="27" t="str">
        <f aca="false">OFFSET(hoje12_326_sp8,75,1,1,1)&amp;"."&amp;OFFSET(hoje12_326_sp8,75,16,1,1)</f>
        <v>2652.708</v>
      </c>
      <c r="B76" s="27" t="n">
        <v>2652</v>
      </c>
      <c r="C76" s="32" t="s">
        <v>395</v>
      </c>
      <c r="D76" s="33" t="n">
        <v>40242188000107</v>
      </c>
      <c r="E76" s="32" t="s">
        <v>396</v>
      </c>
      <c r="F76" s="32" t="s">
        <v>81</v>
      </c>
      <c r="G76" s="32" t="s">
        <v>65</v>
      </c>
      <c r="H76" s="32" t="s">
        <v>385</v>
      </c>
      <c r="I76" s="32" t="s">
        <v>397</v>
      </c>
      <c r="J76" s="32" t="s">
        <v>68</v>
      </c>
      <c r="K76" s="32" t="n">
        <v>102.65</v>
      </c>
      <c r="L76" s="32" t="s">
        <v>347</v>
      </c>
      <c r="M76" s="32" t="s">
        <v>70</v>
      </c>
      <c r="N76" s="32" t="s">
        <v>99</v>
      </c>
      <c r="O76" s="32" t="s">
        <v>72</v>
      </c>
      <c r="P76" s="32" t="s">
        <v>398</v>
      </c>
      <c r="Q76" s="32" t="n">
        <v>708</v>
      </c>
      <c r="R76" s="32" t="s">
        <v>74</v>
      </c>
      <c r="S76" s="32" t="s">
        <v>125</v>
      </c>
      <c r="T76" s="32" t="s">
        <v>399</v>
      </c>
      <c r="U76" s="32" t="s">
        <v>127</v>
      </c>
      <c r="V76" s="32" t="s">
        <v>90</v>
      </c>
    </row>
    <row r="77" customFormat="false" ht="13.2" hidden="false" customHeight="false" outlineLevel="0" collapsed="false">
      <c r="A77" s="27" t="str">
        <f aca="false">OFFSET(hoje12_326_sp8,76,1,1,1)&amp;"."&amp;OFFSET(hoje12_326_sp8,76,16,1,1)</f>
        <v>2653.708</v>
      </c>
      <c r="B77" s="27" t="n">
        <v>2653</v>
      </c>
      <c r="C77" s="32" t="s">
        <v>400</v>
      </c>
      <c r="D77" s="33" t="n">
        <v>26827733000198</v>
      </c>
      <c r="E77" s="32" t="s">
        <v>401</v>
      </c>
      <c r="F77" s="32" t="s">
        <v>81</v>
      </c>
      <c r="G77" s="32" t="s">
        <v>65</v>
      </c>
      <c r="H77" s="32" t="s">
        <v>385</v>
      </c>
      <c r="I77" s="32" t="s">
        <v>402</v>
      </c>
      <c r="J77" s="32" t="s">
        <v>68</v>
      </c>
      <c r="K77" s="32" t="n">
        <v>320.85</v>
      </c>
      <c r="L77" s="32" t="s">
        <v>347</v>
      </c>
      <c r="M77" s="32" t="s">
        <v>135</v>
      </c>
      <c r="N77" s="32" t="s">
        <v>99</v>
      </c>
      <c r="O77" s="32" t="s">
        <v>72</v>
      </c>
      <c r="P77" s="32" t="s">
        <v>403</v>
      </c>
      <c r="Q77" s="32" t="n">
        <v>708</v>
      </c>
      <c r="R77" s="32" t="s">
        <v>74</v>
      </c>
      <c r="S77" s="32" t="s">
        <v>125</v>
      </c>
      <c r="T77" s="32" t="s">
        <v>404</v>
      </c>
      <c r="U77" s="32" t="s">
        <v>405</v>
      </c>
      <c r="V77" s="32" t="s">
        <v>90</v>
      </c>
    </row>
    <row r="78" customFormat="false" ht="13.2" hidden="false" customHeight="false" outlineLevel="0" collapsed="false">
      <c r="A78" s="27" t="str">
        <f aca="false">OFFSET(hoje12_326_sp8,77,1,1,1)&amp;"."&amp;OFFSET(hoje12_326_sp8,77,16,1,1)</f>
        <v>2654.708</v>
      </c>
      <c r="B78" s="27" t="n">
        <v>2654</v>
      </c>
      <c r="C78" s="32" t="s">
        <v>406</v>
      </c>
      <c r="D78" s="33" t="n">
        <v>7317095000110</v>
      </c>
      <c r="E78" s="32" t="s">
        <v>407</v>
      </c>
      <c r="F78" s="32" t="s">
        <v>81</v>
      </c>
      <c r="G78" s="32" t="s">
        <v>65</v>
      </c>
      <c r="H78" s="32" t="s">
        <v>385</v>
      </c>
      <c r="I78" s="32" t="s">
        <v>408</v>
      </c>
      <c r="J78" s="32" t="s">
        <v>68</v>
      </c>
      <c r="K78" s="32" t="n">
        <v>256.39</v>
      </c>
      <c r="L78" s="32" t="s">
        <v>111</v>
      </c>
      <c r="M78" s="32" t="s">
        <v>135</v>
      </c>
      <c r="N78" s="32" t="s">
        <v>99</v>
      </c>
      <c r="O78" s="32" t="s">
        <v>72</v>
      </c>
      <c r="P78" s="32" t="s">
        <v>409</v>
      </c>
      <c r="Q78" s="32" t="n">
        <v>708</v>
      </c>
      <c r="R78" s="32" t="s">
        <v>74</v>
      </c>
      <c r="S78" s="32" t="s">
        <v>125</v>
      </c>
      <c r="T78" s="32" t="s">
        <v>410</v>
      </c>
      <c r="U78" s="32" t="s">
        <v>405</v>
      </c>
      <c r="V78" s="32" t="s">
        <v>90</v>
      </c>
    </row>
    <row r="79" customFormat="false" ht="13.2" hidden="false" customHeight="false" outlineLevel="0" collapsed="false">
      <c r="A79" s="27" t="str">
        <f aca="false">OFFSET(hoje12_326_sp8,78,1,1,1)&amp;"."&amp;OFFSET(hoje12_326_sp8,78,16,1,1)</f>
        <v>2655.708</v>
      </c>
      <c r="B79" s="27" t="n">
        <v>2655</v>
      </c>
      <c r="C79" s="32" t="s">
        <v>411</v>
      </c>
      <c r="D79" s="33" t="n">
        <v>24196029000159</v>
      </c>
      <c r="E79" s="32" t="s">
        <v>412</v>
      </c>
      <c r="F79" s="32" t="s">
        <v>81</v>
      </c>
      <c r="G79" s="32" t="s">
        <v>302</v>
      </c>
      <c r="H79" s="32" t="s">
        <v>132</v>
      </c>
      <c r="I79" s="32" t="s">
        <v>413</v>
      </c>
      <c r="J79" s="32" t="s">
        <v>68</v>
      </c>
      <c r="K79" s="32" t="n">
        <v>100.3</v>
      </c>
      <c r="L79" s="32" t="s">
        <v>304</v>
      </c>
      <c r="M79" s="32" t="s">
        <v>70</v>
      </c>
      <c r="N79" s="32" t="s">
        <v>99</v>
      </c>
      <c r="O79" s="32" t="s">
        <v>72</v>
      </c>
      <c r="P79" s="32" t="s">
        <v>414</v>
      </c>
      <c r="Q79" s="32" t="n">
        <v>708</v>
      </c>
      <c r="R79" s="32" t="s">
        <v>74</v>
      </c>
      <c r="S79" s="32" t="s">
        <v>125</v>
      </c>
      <c r="T79" s="32" t="s">
        <v>335</v>
      </c>
      <c r="U79" s="32" t="s">
        <v>357</v>
      </c>
      <c r="V79" s="32" t="s">
        <v>90</v>
      </c>
    </row>
    <row r="80" customFormat="false" ht="13.2" hidden="false" customHeight="false" outlineLevel="0" collapsed="false">
      <c r="A80" s="27" t="str">
        <f aca="false">OFFSET(hoje12_326_sp8,79,1,1,1)&amp;"."&amp;OFFSET(hoje12_326_sp8,79,16,1,1)</f>
        <v>2657.708</v>
      </c>
      <c r="B80" s="27" t="n">
        <v>2657</v>
      </c>
      <c r="C80" s="32" t="s">
        <v>415</v>
      </c>
      <c r="D80" s="33" t="n">
        <v>19621681000133</v>
      </c>
      <c r="E80" s="32" t="s">
        <v>416</v>
      </c>
      <c r="F80" s="32" t="s">
        <v>81</v>
      </c>
      <c r="G80" s="32" t="s">
        <v>65</v>
      </c>
      <c r="H80" s="32" t="s">
        <v>66</v>
      </c>
      <c r="I80" s="32" t="s">
        <v>417</v>
      </c>
      <c r="J80" s="32" t="s">
        <v>68</v>
      </c>
      <c r="K80" s="32" t="n">
        <v>126.5</v>
      </c>
      <c r="L80" s="32" t="s">
        <v>347</v>
      </c>
      <c r="M80" s="32" t="s">
        <v>70</v>
      </c>
      <c r="N80" s="32" t="s">
        <v>99</v>
      </c>
      <c r="O80" s="32" t="s">
        <v>72</v>
      </c>
      <c r="P80" s="32" t="s">
        <v>418</v>
      </c>
      <c r="Q80" s="32" t="n">
        <v>708</v>
      </c>
      <c r="R80" s="32" t="s">
        <v>74</v>
      </c>
      <c r="S80" s="32" t="s">
        <v>125</v>
      </c>
      <c r="T80" s="32" t="s">
        <v>419</v>
      </c>
      <c r="U80" s="32" t="s">
        <v>377</v>
      </c>
      <c r="V80" s="32" t="s">
        <v>90</v>
      </c>
    </row>
    <row r="81" customFormat="false" ht="13.2" hidden="false" customHeight="false" outlineLevel="0" collapsed="false">
      <c r="A81" s="27" t="str">
        <f aca="false">OFFSET(hoje12_326_sp8,80,1,1,1)&amp;"."&amp;OFFSET(hoje12_326_sp8,80,16,1,1)</f>
        <v>2659.708</v>
      </c>
      <c r="B81" s="27" t="n">
        <v>2659</v>
      </c>
      <c r="C81" s="32" t="s">
        <v>358</v>
      </c>
      <c r="D81" s="33" t="n">
        <v>3735605000119</v>
      </c>
      <c r="E81" s="32" t="s">
        <v>420</v>
      </c>
      <c r="F81" s="32" t="s">
        <v>81</v>
      </c>
      <c r="G81" s="32" t="s">
        <v>65</v>
      </c>
      <c r="H81" s="32" t="s">
        <v>66</v>
      </c>
      <c r="I81" s="32" t="s">
        <v>421</v>
      </c>
      <c r="J81" s="32" t="s">
        <v>68</v>
      </c>
      <c r="K81" s="32" t="n">
        <v>108.1</v>
      </c>
      <c r="L81" s="32" t="s">
        <v>347</v>
      </c>
      <c r="M81" s="32" t="s">
        <v>83</v>
      </c>
      <c r="N81" s="32" t="s">
        <v>99</v>
      </c>
      <c r="O81" s="32" t="s">
        <v>72</v>
      </c>
      <c r="P81" s="32" t="s">
        <v>422</v>
      </c>
      <c r="Q81" s="32" t="n">
        <v>708</v>
      </c>
      <c r="R81" s="32" t="s">
        <v>74</v>
      </c>
      <c r="S81" s="32" t="s">
        <v>125</v>
      </c>
      <c r="T81" s="32" t="s">
        <v>423</v>
      </c>
      <c r="U81" s="32" t="s">
        <v>357</v>
      </c>
      <c r="V81" s="32" t="s">
        <v>90</v>
      </c>
    </row>
    <row r="82" customFormat="false" ht="13.2" hidden="false" customHeight="false" outlineLevel="0" collapsed="false">
      <c r="A82" s="27" t="str">
        <f aca="false">OFFSET(hoje12_326_sp8,81,1,1,1)&amp;"."&amp;OFFSET(hoje12_326_sp8,81,16,1,1)</f>
        <v>2660.708</v>
      </c>
      <c r="B82" s="27" t="n">
        <v>2660</v>
      </c>
      <c r="C82" s="32" t="s">
        <v>363</v>
      </c>
      <c r="D82" s="33" t="n">
        <v>19088260000199</v>
      </c>
      <c r="E82" s="32" t="s">
        <v>424</v>
      </c>
      <c r="F82" s="32" t="s">
        <v>81</v>
      </c>
      <c r="G82" s="32" t="s">
        <v>65</v>
      </c>
      <c r="H82" s="32" t="s">
        <v>66</v>
      </c>
      <c r="I82" s="32" t="s">
        <v>425</v>
      </c>
      <c r="J82" s="32" t="s">
        <v>68</v>
      </c>
      <c r="K82" s="32" t="n">
        <v>106.54</v>
      </c>
      <c r="L82" s="32" t="s">
        <v>347</v>
      </c>
      <c r="M82" s="32" t="s">
        <v>135</v>
      </c>
      <c r="N82" s="32" t="s">
        <v>99</v>
      </c>
      <c r="O82" s="32" t="s">
        <v>72</v>
      </c>
      <c r="P82" s="32" t="s">
        <v>422</v>
      </c>
      <c r="Q82" s="32" t="n">
        <v>708</v>
      </c>
      <c r="R82" s="32" t="s">
        <v>74</v>
      </c>
      <c r="S82" s="32" t="s">
        <v>125</v>
      </c>
      <c r="T82" s="32" t="s">
        <v>423</v>
      </c>
      <c r="U82" s="32" t="s">
        <v>357</v>
      </c>
      <c r="V82" s="32" t="s">
        <v>90</v>
      </c>
    </row>
    <row r="83" customFormat="false" ht="13.2" hidden="false" customHeight="false" outlineLevel="0" collapsed="false">
      <c r="A83" s="27" t="str">
        <f aca="false">OFFSET(hoje12_326_sp8,82,1,1,1)&amp;"."&amp;OFFSET(hoje12_326_sp8,82,16,1,1)</f>
        <v>2661.708</v>
      </c>
      <c r="B83" s="27" t="n">
        <v>2661</v>
      </c>
      <c r="C83" s="32" t="s">
        <v>426</v>
      </c>
      <c r="D83" s="33" t="n">
        <v>59844699000119</v>
      </c>
      <c r="E83" s="32" t="s">
        <v>427</v>
      </c>
      <c r="F83" s="32" t="s">
        <v>81</v>
      </c>
      <c r="G83" s="32" t="s">
        <v>302</v>
      </c>
      <c r="H83" s="32" t="s">
        <v>385</v>
      </c>
      <c r="I83" s="32" t="s">
        <v>428</v>
      </c>
      <c r="J83" s="32" t="s">
        <v>68</v>
      </c>
      <c r="K83" s="32" t="n">
        <v>907.18</v>
      </c>
      <c r="L83" s="32" t="s">
        <v>304</v>
      </c>
      <c r="M83" s="32" t="s">
        <v>70</v>
      </c>
      <c r="N83" s="32" t="s">
        <v>99</v>
      </c>
      <c r="O83" s="32" t="s">
        <v>72</v>
      </c>
      <c r="P83" s="32" t="s">
        <v>429</v>
      </c>
      <c r="Q83" s="32" t="n">
        <v>708</v>
      </c>
      <c r="R83" s="32" t="s">
        <v>74</v>
      </c>
      <c r="S83" s="32" t="s">
        <v>125</v>
      </c>
      <c r="T83" s="32" t="s">
        <v>430</v>
      </c>
      <c r="U83" s="32" t="s">
        <v>357</v>
      </c>
      <c r="V83" s="32" t="s">
        <v>90</v>
      </c>
    </row>
    <row r="84" customFormat="false" ht="13.2" hidden="false" customHeight="false" outlineLevel="0" collapsed="false">
      <c r="A84" s="27" t="str">
        <f aca="false">OFFSET(hoje12_326_sp8,83,1,1,1)&amp;"."&amp;OFFSET(hoje12_326_sp8,83,16,1,1)</f>
        <v>708001.708</v>
      </c>
      <c r="B84" s="27" t="n">
        <v>708001</v>
      </c>
      <c r="C84" s="32" t="s">
        <v>358</v>
      </c>
      <c r="D84" s="33" t="n">
        <v>3735605000119</v>
      </c>
      <c r="E84" s="32" t="s">
        <v>295</v>
      </c>
      <c r="F84" s="32" t="s">
        <v>81</v>
      </c>
      <c r="G84" s="32" t="s">
        <v>65</v>
      </c>
      <c r="H84" s="32" t="s">
        <v>66</v>
      </c>
      <c r="I84" s="32" t="s">
        <v>68</v>
      </c>
      <c r="J84" s="32" t="s">
        <v>68</v>
      </c>
      <c r="K84" s="32" t="n">
        <v>183.54</v>
      </c>
      <c r="L84" s="32" t="s">
        <v>111</v>
      </c>
      <c r="M84" s="32" t="s">
        <v>83</v>
      </c>
      <c r="N84" s="32" t="s">
        <v>84</v>
      </c>
      <c r="O84" s="32" t="s">
        <v>72</v>
      </c>
      <c r="P84" s="32" t="s">
        <v>85</v>
      </c>
      <c r="Q84" s="32" t="n">
        <v>708</v>
      </c>
      <c r="R84" s="32" t="s">
        <v>86</v>
      </c>
      <c r="S84" s="32" t="s">
        <v>125</v>
      </c>
      <c r="T84" s="32" t="s">
        <v>88</v>
      </c>
      <c r="U84" s="32" t="s">
        <v>357</v>
      </c>
      <c r="V84" s="32" t="s">
        <v>90</v>
      </c>
    </row>
    <row r="85" customFormat="false" ht="13.2" hidden="false" customHeight="false" outlineLevel="0" collapsed="false">
      <c r="A85" s="27" t="str">
        <f aca="false">OFFSET(hoje12_326_sp8,84,1,1,1)&amp;"."&amp;OFFSET(hoje12_326_sp8,84,16,1,1)</f>
        <v>708002.708</v>
      </c>
      <c r="B85" s="27" t="n">
        <v>708002</v>
      </c>
      <c r="C85" s="32" t="s">
        <v>363</v>
      </c>
      <c r="D85" s="33" t="n">
        <v>19088260000199</v>
      </c>
      <c r="E85" s="32" t="s">
        <v>80</v>
      </c>
      <c r="F85" s="32" t="s">
        <v>81</v>
      </c>
      <c r="G85" s="32" t="s">
        <v>65</v>
      </c>
      <c r="H85" s="32" t="s">
        <v>66</v>
      </c>
      <c r="I85" s="32" t="s">
        <v>68</v>
      </c>
      <c r="J85" s="32" t="s">
        <v>68</v>
      </c>
      <c r="K85" s="32" t="n">
        <v>178.56</v>
      </c>
      <c r="L85" s="32" t="s">
        <v>111</v>
      </c>
      <c r="M85" s="32" t="s">
        <v>83</v>
      </c>
      <c r="N85" s="32" t="s">
        <v>84</v>
      </c>
      <c r="O85" s="32" t="s">
        <v>72</v>
      </c>
      <c r="P85" s="32" t="s">
        <v>85</v>
      </c>
      <c r="Q85" s="32" t="n">
        <v>708</v>
      </c>
      <c r="R85" s="32" t="s">
        <v>86</v>
      </c>
      <c r="S85" s="32" t="s">
        <v>125</v>
      </c>
      <c r="T85" s="32" t="s">
        <v>88</v>
      </c>
      <c r="U85" s="32" t="s">
        <v>357</v>
      </c>
      <c r="V85" s="32" t="s">
        <v>90</v>
      </c>
    </row>
    <row r="86" customFormat="false" ht="13.2" hidden="false" customHeight="false" outlineLevel="0" collapsed="false">
      <c r="A86" s="27" t="str">
        <f aca="false">OFFSET(hoje12_326_sp8,85,1,1,1)&amp;"."&amp;OFFSET(hoje12_326_sp8,85,16,1,1)</f>
        <v>708003.708</v>
      </c>
      <c r="B86" s="27" t="n">
        <v>708003</v>
      </c>
      <c r="C86" s="32" t="s">
        <v>368</v>
      </c>
      <c r="D86" s="33" t="n">
        <v>43437785000177</v>
      </c>
      <c r="E86" s="32" t="s">
        <v>80</v>
      </c>
      <c r="F86" s="32" t="s">
        <v>81</v>
      </c>
      <c r="G86" s="32" t="s">
        <v>65</v>
      </c>
      <c r="H86" s="32" t="s">
        <v>66</v>
      </c>
      <c r="I86" s="32" t="s">
        <v>68</v>
      </c>
      <c r="J86" s="32" t="s">
        <v>68</v>
      </c>
      <c r="K86" s="32" t="n">
        <v>178.56</v>
      </c>
      <c r="L86" s="32" t="s">
        <v>111</v>
      </c>
      <c r="M86" s="32" t="s">
        <v>83</v>
      </c>
      <c r="N86" s="32" t="s">
        <v>84</v>
      </c>
      <c r="O86" s="32" t="s">
        <v>72</v>
      </c>
      <c r="P86" s="32" t="s">
        <v>85</v>
      </c>
      <c r="Q86" s="32" t="n">
        <v>708</v>
      </c>
      <c r="R86" s="32" t="s">
        <v>86</v>
      </c>
      <c r="S86" s="32" t="s">
        <v>125</v>
      </c>
      <c r="T86" s="32" t="s">
        <v>88</v>
      </c>
      <c r="U86" s="32" t="s">
        <v>127</v>
      </c>
      <c r="V86" s="32" t="s">
        <v>90</v>
      </c>
    </row>
    <row r="87" customFormat="false" ht="13.2" hidden="false" customHeight="false" outlineLevel="0" collapsed="false">
      <c r="A87" s="27" t="str">
        <f aca="false">OFFSET(hoje12_326_sp8,86,1,1,1)&amp;"."&amp;OFFSET(hoje12_326_sp8,86,16,1,1)</f>
        <v>1482.710</v>
      </c>
      <c r="B87" s="27" t="n">
        <v>1482</v>
      </c>
      <c r="C87" s="32" t="s">
        <v>297</v>
      </c>
      <c r="D87" s="33" t="n">
        <v>5027616000170</v>
      </c>
      <c r="E87" s="32" t="s">
        <v>431</v>
      </c>
      <c r="F87" s="32" t="s">
        <v>81</v>
      </c>
      <c r="G87" s="32" t="s">
        <v>65</v>
      </c>
      <c r="H87" s="32" t="s">
        <v>66</v>
      </c>
      <c r="I87" s="32" t="s">
        <v>432</v>
      </c>
      <c r="J87" s="32" t="s">
        <v>68</v>
      </c>
      <c r="K87" s="32" t="n">
        <v>27064.61</v>
      </c>
      <c r="L87" s="32" t="s">
        <v>111</v>
      </c>
      <c r="M87" s="32" t="s">
        <v>83</v>
      </c>
      <c r="N87" s="32" t="s">
        <v>99</v>
      </c>
      <c r="O87" s="32" t="s">
        <v>72</v>
      </c>
      <c r="P87" s="32" t="s">
        <v>433</v>
      </c>
      <c r="Q87" s="32" t="n">
        <v>710</v>
      </c>
      <c r="R87" s="32" t="s">
        <v>74</v>
      </c>
      <c r="S87" s="32" t="s">
        <v>298</v>
      </c>
      <c r="T87" s="32" t="s">
        <v>434</v>
      </c>
      <c r="U87" s="32" t="s">
        <v>299</v>
      </c>
      <c r="V87" s="32" t="s">
        <v>90</v>
      </c>
    </row>
    <row r="88" customFormat="false" ht="13.2" hidden="false" customHeight="false" outlineLevel="0" collapsed="false">
      <c r="A88" s="27" t="str">
        <f aca="false">OFFSET(hoje12_326_sp8,87,1,1,1)&amp;"."&amp;OFFSET(hoje12_326_sp8,87,16,1,1)</f>
        <v>1486.710</v>
      </c>
      <c r="B88" s="27" t="n">
        <v>1486</v>
      </c>
      <c r="C88" s="32" t="s">
        <v>435</v>
      </c>
      <c r="D88" s="33" t="n">
        <v>37570181000100</v>
      </c>
      <c r="E88" s="32" t="s">
        <v>436</v>
      </c>
      <c r="F88" s="32" t="s">
        <v>81</v>
      </c>
      <c r="G88" s="32" t="s">
        <v>65</v>
      </c>
      <c r="H88" s="32" t="s">
        <v>66</v>
      </c>
      <c r="I88" s="32" t="s">
        <v>437</v>
      </c>
      <c r="J88" s="32" t="s">
        <v>68</v>
      </c>
      <c r="K88" s="32" t="n">
        <v>27120.86</v>
      </c>
      <c r="L88" s="32" t="s">
        <v>438</v>
      </c>
      <c r="M88" s="32" t="s">
        <v>135</v>
      </c>
      <c r="N88" s="32" t="s">
        <v>99</v>
      </c>
      <c r="O88" s="32" t="s">
        <v>72</v>
      </c>
      <c r="P88" s="32" t="s">
        <v>439</v>
      </c>
      <c r="Q88" s="32" t="n">
        <v>710</v>
      </c>
      <c r="R88" s="32" t="s">
        <v>74</v>
      </c>
      <c r="S88" s="32" t="s">
        <v>298</v>
      </c>
      <c r="T88" s="32" t="s">
        <v>440</v>
      </c>
      <c r="U88" s="32" t="s">
        <v>299</v>
      </c>
      <c r="V88" s="32" t="s">
        <v>90</v>
      </c>
    </row>
    <row r="89" customFormat="false" ht="13.2" hidden="false" customHeight="false" outlineLevel="0" collapsed="false">
      <c r="A89" s="27" t="str">
        <f aca="false">OFFSET(hoje12_326_sp8,88,1,1,1)&amp;"."&amp;OFFSET(hoje12_326_sp8,88,16,1,1)</f>
        <v>1487.710</v>
      </c>
      <c r="B89" s="27" t="n">
        <v>1487</v>
      </c>
      <c r="C89" s="32" t="s">
        <v>435</v>
      </c>
      <c r="D89" s="33" t="n">
        <v>37570181000100</v>
      </c>
      <c r="E89" s="32" t="s">
        <v>109</v>
      </c>
      <c r="F89" s="32" t="s">
        <v>311</v>
      </c>
      <c r="G89" s="32" t="s">
        <v>312</v>
      </c>
      <c r="H89" s="32" t="s">
        <v>66</v>
      </c>
      <c r="I89" s="32" t="s">
        <v>441</v>
      </c>
      <c r="J89" s="32" t="s">
        <v>68</v>
      </c>
      <c r="K89" s="32" t="n">
        <v>702.01</v>
      </c>
      <c r="L89" s="32" t="s">
        <v>304</v>
      </c>
      <c r="M89" s="32" t="s">
        <v>135</v>
      </c>
      <c r="N89" s="32" t="s">
        <v>99</v>
      </c>
      <c r="O89" s="32" t="s">
        <v>72</v>
      </c>
      <c r="P89" s="32" t="s">
        <v>442</v>
      </c>
      <c r="Q89" s="32" t="n">
        <v>710</v>
      </c>
      <c r="R89" s="32" t="s">
        <v>74</v>
      </c>
      <c r="S89" s="32" t="s">
        <v>298</v>
      </c>
      <c r="T89" s="32" t="s">
        <v>443</v>
      </c>
      <c r="U89" s="32" t="s">
        <v>299</v>
      </c>
      <c r="V89" s="32" t="s">
        <v>90</v>
      </c>
    </row>
    <row r="90" customFormat="false" ht="13.2" hidden="false" customHeight="false" outlineLevel="0" collapsed="false">
      <c r="A90" s="27" t="str">
        <f aca="false">OFFSET(hoje12_326_sp8,89,1,1,1)&amp;"."&amp;OFFSET(hoje12_326_sp8,89,16,1,1)</f>
        <v>1488.710</v>
      </c>
      <c r="B90" s="27" t="n">
        <v>1488</v>
      </c>
      <c r="C90" s="32" t="s">
        <v>444</v>
      </c>
      <c r="D90" s="33" t="n">
        <v>551975000531</v>
      </c>
      <c r="E90" s="32" t="s">
        <v>445</v>
      </c>
      <c r="F90" s="32" t="s">
        <v>81</v>
      </c>
      <c r="G90" s="32" t="s">
        <v>65</v>
      </c>
      <c r="H90" s="32" t="s">
        <v>66</v>
      </c>
      <c r="I90" s="32" t="s">
        <v>446</v>
      </c>
      <c r="J90" s="32" t="s">
        <v>68</v>
      </c>
      <c r="K90" s="32" t="n">
        <v>8140.26</v>
      </c>
      <c r="L90" s="32" t="s">
        <v>82</v>
      </c>
      <c r="M90" s="32" t="s">
        <v>135</v>
      </c>
      <c r="N90" s="32" t="s">
        <v>99</v>
      </c>
      <c r="O90" s="32" t="s">
        <v>72</v>
      </c>
      <c r="P90" s="32" t="s">
        <v>447</v>
      </c>
      <c r="Q90" s="32" t="n">
        <v>710</v>
      </c>
      <c r="R90" s="32" t="s">
        <v>74</v>
      </c>
      <c r="S90" s="32" t="s">
        <v>298</v>
      </c>
      <c r="T90" s="32" t="s">
        <v>182</v>
      </c>
      <c r="U90" s="32" t="s">
        <v>448</v>
      </c>
      <c r="V90" s="32" t="s">
        <v>90</v>
      </c>
    </row>
    <row r="91" customFormat="false" ht="13.2" hidden="false" customHeight="false" outlineLevel="0" collapsed="false">
      <c r="A91" s="27" t="str">
        <f aca="false">OFFSET(hoje12_326_sp8,90,1,1,1)&amp;"."&amp;OFFSET(hoje12_326_sp8,90,16,1,1)</f>
        <v>2459.711</v>
      </c>
      <c r="B91" s="27" t="n">
        <v>2459</v>
      </c>
      <c r="C91" s="32" t="s">
        <v>449</v>
      </c>
      <c r="D91" s="33" t="n">
        <v>33768854000171</v>
      </c>
      <c r="E91" s="32" t="s">
        <v>450</v>
      </c>
      <c r="F91" s="32" t="s">
        <v>81</v>
      </c>
      <c r="G91" s="32" t="s">
        <v>65</v>
      </c>
      <c r="H91" s="32" t="s">
        <v>66</v>
      </c>
      <c r="I91" s="32" t="s">
        <v>451</v>
      </c>
      <c r="J91" s="32" t="s">
        <v>68</v>
      </c>
      <c r="K91" s="32" t="n">
        <v>700.72</v>
      </c>
      <c r="L91" s="32" t="s">
        <v>347</v>
      </c>
      <c r="M91" s="32" t="s">
        <v>83</v>
      </c>
      <c r="N91" s="32" t="s">
        <v>71</v>
      </c>
      <c r="O91" s="32" t="s">
        <v>72</v>
      </c>
      <c r="P91" s="32" t="s">
        <v>452</v>
      </c>
      <c r="Q91" s="32" t="n">
        <v>711</v>
      </c>
      <c r="R91" s="32" t="s">
        <v>74</v>
      </c>
      <c r="S91" s="32" t="s">
        <v>453</v>
      </c>
      <c r="T91" s="32" t="s">
        <v>454</v>
      </c>
      <c r="U91" s="32" t="s">
        <v>89</v>
      </c>
      <c r="V91" s="32" t="s">
        <v>90</v>
      </c>
    </row>
    <row r="92" customFormat="false" ht="13.2" hidden="false" customHeight="false" outlineLevel="0" collapsed="false">
      <c r="A92" s="27" t="str">
        <f aca="false">OFFSET(hoje12_326_sp8,91,1,1,1)&amp;"."&amp;OFFSET(hoje12_326_sp8,91,16,1,1)</f>
        <v>711001.711</v>
      </c>
      <c r="B92" s="27" t="n">
        <v>711001</v>
      </c>
      <c r="C92" s="32" t="s">
        <v>449</v>
      </c>
      <c r="D92" s="33" t="n">
        <v>33768854000171</v>
      </c>
      <c r="E92" s="32" t="s">
        <v>80</v>
      </c>
      <c r="F92" s="32" t="s">
        <v>81</v>
      </c>
      <c r="G92" s="32" t="s">
        <v>65</v>
      </c>
      <c r="H92" s="32" t="s">
        <v>66</v>
      </c>
      <c r="I92" s="32" t="s">
        <v>68</v>
      </c>
      <c r="J92" s="32" t="s">
        <v>68</v>
      </c>
      <c r="K92" s="32" t="n">
        <v>178.56</v>
      </c>
      <c r="L92" s="32" t="s">
        <v>82</v>
      </c>
      <c r="M92" s="32" t="s">
        <v>83</v>
      </c>
      <c r="N92" s="32" t="s">
        <v>84</v>
      </c>
      <c r="O92" s="32" t="s">
        <v>72</v>
      </c>
      <c r="P92" s="32" t="s">
        <v>85</v>
      </c>
      <c r="Q92" s="32" t="n">
        <v>711</v>
      </c>
      <c r="R92" s="32" t="s">
        <v>86</v>
      </c>
      <c r="S92" s="32" t="s">
        <v>453</v>
      </c>
      <c r="T92" s="32" t="s">
        <v>88</v>
      </c>
      <c r="U92" s="32" t="s">
        <v>89</v>
      </c>
      <c r="V92" s="32" t="s">
        <v>90</v>
      </c>
    </row>
    <row r="93" customFormat="false" ht="13.2" hidden="false" customHeight="false" outlineLevel="0" collapsed="false">
      <c r="A93" s="27" t="str">
        <f aca="false">OFFSET(hoje12_326_sp8,92,1,1,1)&amp;"."&amp;OFFSET(hoje12_326_sp8,92,16,1,1)</f>
        <v>2478.711</v>
      </c>
      <c r="B93" s="27" t="n">
        <v>2478</v>
      </c>
      <c r="C93" s="32" t="s">
        <v>455</v>
      </c>
      <c r="D93" s="33" t="n">
        <v>53091979000117</v>
      </c>
      <c r="E93" s="32" t="s">
        <v>456</v>
      </c>
      <c r="F93" s="32" t="s">
        <v>81</v>
      </c>
      <c r="G93" s="32" t="s">
        <v>65</v>
      </c>
      <c r="H93" s="32" t="s">
        <v>132</v>
      </c>
      <c r="I93" s="32" t="s">
        <v>457</v>
      </c>
      <c r="J93" s="32" t="s">
        <v>68</v>
      </c>
      <c r="K93" s="32" t="n">
        <v>201.56</v>
      </c>
      <c r="L93" s="32" t="s">
        <v>347</v>
      </c>
      <c r="M93" s="32" t="s">
        <v>70</v>
      </c>
      <c r="N93" s="32" t="s">
        <v>99</v>
      </c>
      <c r="O93" s="32" t="s">
        <v>72</v>
      </c>
      <c r="P93" s="32" t="s">
        <v>458</v>
      </c>
      <c r="Q93" s="32" t="n">
        <v>711</v>
      </c>
      <c r="R93" s="32" t="s">
        <v>74</v>
      </c>
      <c r="S93" s="32" t="s">
        <v>459</v>
      </c>
      <c r="T93" s="32" t="s">
        <v>460</v>
      </c>
      <c r="U93" s="32" t="s">
        <v>89</v>
      </c>
      <c r="V93" s="32" t="s">
        <v>78</v>
      </c>
    </row>
    <row r="94" customFormat="false" ht="13.2" hidden="false" customHeight="false" outlineLevel="0" collapsed="false">
      <c r="A94" s="27" t="str">
        <f aca="false">OFFSET(hoje12_326_sp8,93,1,1,1)&amp;"."&amp;OFFSET(hoje12_326_sp8,93,16,1,1)</f>
        <v>712001.712</v>
      </c>
      <c r="B94" s="27" t="n">
        <v>712001</v>
      </c>
      <c r="C94" s="32" t="s">
        <v>461</v>
      </c>
      <c r="D94" s="33" t="n">
        <v>33168717000449</v>
      </c>
      <c r="E94" s="32" t="s">
        <v>80</v>
      </c>
      <c r="F94" s="32" t="s">
        <v>81</v>
      </c>
      <c r="G94" s="32" t="s">
        <v>65</v>
      </c>
      <c r="H94" s="32" t="s">
        <v>66</v>
      </c>
      <c r="I94" s="32" t="s">
        <v>68</v>
      </c>
      <c r="J94" s="32" t="s">
        <v>68</v>
      </c>
      <c r="K94" s="32" t="n">
        <v>178.56</v>
      </c>
      <c r="L94" s="32" t="s">
        <v>111</v>
      </c>
      <c r="M94" s="32" t="s">
        <v>83</v>
      </c>
      <c r="N94" s="32" t="s">
        <v>84</v>
      </c>
      <c r="O94" s="32" t="s">
        <v>72</v>
      </c>
      <c r="P94" s="32" t="s">
        <v>85</v>
      </c>
      <c r="Q94" s="32" t="n">
        <v>712</v>
      </c>
      <c r="R94" s="32" t="s">
        <v>86</v>
      </c>
      <c r="S94" s="32" t="s">
        <v>462</v>
      </c>
      <c r="T94" s="32" t="s">
        <v>88</v>
      </c>
      <c r="U94" s="32" t="s">
        <v>463</v>
      </c>
      <c r="V94" s="32" t="s">
        <v>90</v>
      </c>
    </row>
    <row r="95" customFormat="false" ht="13.2" hidden="false" customHeight="false" outlineLevel="0" collapsed="false">
      <c r="A95" s="27" t="str">
        <f aca="false">OFFSET(hoje12_326_sp8,94,1,1,1)&amp;"."&amp;OFFSET(hoje12_326_sp8,94,16,1,1)</f>
        <v>712002.712</v>
      </c>
      <c r="B95" s="27" t="n">
        <v>712002</v>
      </c>
      <c r="C95" s="32" t="s">
        <v>461</v>
      </c>
      <c r="D95" s="33" t="n">
        <v>33168717000104</v>
      </c>
      <c r="E95" s="32" t="s">
        <v>80</v>
      </c>
      <c r="F95" s="32" t="s">
        <v>81</v>
      </c>
      <c r="G95" s="32" t="s">
        <v>65</v>
      </c>
      <c r="H95" s="32" t="s">
        <v>66</v>
      </c>
      <c r="I95" s="32" t="s">
        <v>68</v>
      </c>
      <c r="J95" s="32" t="s">
        <v>68</v>
      </c>
      <c r="K95" s="32" t="n">
        <v>178.56</v>
      </c>
      <c r="L95" s="32" t="s">
        <v>82</v>
      </c>
      <c r="M95" s="32" t="s">
        <v>83</v>
      </c>
      <c r="N95" s="32" t="s">
        <v>84</v>
      </c>
      <c r="O95" s="32" t="s">
        <v>72</v>
      </c>
      <c r="P95" s="32" t="s">
        <v>85</v>
      </c>
      <c r="Q95" s="32" t="n">
        <v>712</v>
      </c>
      <c r="R95" s="32" t="s">
        <v>86</v>
      </c>
      <c r="S95" s="32" t="s">
        <v>462</v>
      </c>
      <c r="T95" s="32" t="s">
        <v>88</v>
      </c>
      <c r="U95" s="32" t="s">
        <v>464</v>
      </c>
      <c r="V95" s="32" t="s">
        <v>90</v>
      </c>
    </row>
    <row r="96" customFormat="false" ht="13.2" hidden="false" customHeight="false" outlineLevel="0" collapsed="false">
      <c r="A96" s="27" t="str">
        <f aca="false">OFFSET(hoje12_326_sp8,95,1,1,1)&amp;"."&amp;OFFSET(hoje12_326_sp8,95,16,1,1)</f>
        <v>494.715</v>
      </c>
      <c r="B96" s="27" t="n">
        <v>494</v>
      </c>
      <c r="C96" s="32" t="s">
        <v>465</v>
      </c>
      <c r="D96" s="33" t="n">
        <v>15489834000180</v>
      </c>
      <c r="E96" s="32" t="s">
        <v>466</v>
      </c>
      <c r="F96" s="32" t="s">
        <v>81</v>
      </c>
      <c r="G96" s="32" t="s">
        <v>65</v>
      </c>
      <c r="H96" s="32" t="s">
        <v>66</v>
      </c>
      <c r="I96" s="32" t="s">
        <v>467</v>
      </c>
      <c r="J96" s="32" t="s">
        <v>68</v>
      </c>
      <c r="K96" s="32" t="n">
        <v>19952.78</v>
      </c>
      <c r="L96" s="32" t="s">
        <v>111</v>
      </c>
      <c r="M96" s="32" t="s">
        <v>135</v>
      </c>
      <c r="N96" s="32" t="s">
        <v>99</v>
      </c>
      <c r="O96" s="32" t="s">
        <v>72</v>
      </c>
      <c r="P96" s="32" t="s">
        <v>468</v>
      </c>
      <c r="Q96" s="32" t="n">
        <v>715</v>
      </c>
      <c r="R96" s="32" t="s">
        <v>74</v>
      </c>
      <c r="S96" s="32" t="s">
        <v>469</v>
      </c>
      <c r="T96" s="32" t="s">
        <v>470</v>
      </c>
      <c r="U96" s="32" t="s">
        <v>103</v>
      </c>
      <c r="V96" s="32" t="s">
        <v>90</v>
      </c>
    </row>
    <row r="97" customFormat="false" ht="13.2" hidden="false" customHeight="false" outlineLevel="0" collapsed="false">
      <c r="A97" s="27" t="str">
        <f aca="false">OFFSET(hoje12_326_sp8,96,1,1,1)&amp;"."&amp;OFFSET(hoje12_326_sp8,96,16,1,1)</f>
        <v>721001.721</v>
      </c>
      <c r="B97" s="27" t="n">
        <v>721001</v>
      </c>
      <c r="C97" s="32" t="s">
        <v>471</v>
      </c>
      <c r="D97" s="33" t="n">
        <v>2318826001281</v>
      </c>
      <c r="E97" s="32" t="s">
        <v>80</v>
      </c>
      <c r="F97" s="32" t="s">
        <v>81</v>
      </c>
      <c r="G97" s="32" t="s">
        <v>65</v>
      </c>
      <c r="H97" s="32" t="s">
        <v>66</v>
      </c>
      <c r="I97" s="32" t="s">
        <v>68</v>
      </c>
      <c r="J97" s="32" t="s">
        <v>68</v>
      </c>
      <c r="K97" s="32" t="n">
        <v>178.56</v>
      </c>
      <c r="L97" s="32" t="s">
        <v>111</v>
      </c>
      <c r="M97" s="32" t="s">
        <v>83</v>
      </c>
      <c r="N97" s="32" t="s">
        <v>84</v>
      </c>
      <c r="O97" s="32" t="s">
        <v>72</v>
      </c>
      <c r="P97" s="32" t="s">
        <v>85</v>
      </c>
      <c r="Q97" s="32" t="n">
        <v>721</v>
      </c>
      <c r="R97" s="32" t="s">
        <v>86</v>
      </c>
      <c r="S97" s="32" t="s">
        <v>211</v>
      </c>
      <c r="T97" s="32" t="s">
        <v>88</v>
      </c>
      <c r="U97" s="32" t="s">
        <v>213</v>
      </c>
      <c r="V97" s="32" t="s">
        <v>90</v>
      </c>
    </row>
    <row r="98" customFormat="false" ht="13.2" hidden="false" customHeight="false" outlineLevel="0" collapsed="false">
      <c r="A98" s="27" t="str">
        <f aca="false">OFFSET(hoje12_326_sp8,97,1,1,1)&amp;"."&amp;OFFSET(hoje12_326_sp8,97,16,1,1)</f>
        <v>721002.721</v>
      </c>
      <c r="B98" s="27" t="n">
        <v>721002</v>
      </c>
      <c r="C98" s="32" t="s">
        <v>471</v>
      </c>
      <c r="D98" s="33" t="n">
        <v>2318826001010</v>
      </c>
      <c r="E98" s="32" t="s">
        <v>80</v>
      </c>
      <c r="F98" s="32" t="s">
        <v>81</v>
      </c>
      <c r="G98" s="32" t="s">
        <v>65</v>
      </c>
      <c r="H98" s="32" t="s">
        <v>66</v>
      </c>
      <c r="I98" s="32" t="s">
        <v>68</v>
      </c>
      <c r="J98" s="32" t="s">
        <v>68</v>
      </c>
      <c r="K98" s="32" t="n">
        <v>178.56</v>
      </c>
      <c r="L98" s="32" t="s">
        <v>111</v>
      </c>
      <c r="M98" s="32" t="s">
        <v>83</v>
      </c>
      <c r="N98" s="32" t="s">
        <v>84</v>
      </c>
      <c r="O98" s="32" t="s">
        <v>72</v>
      </c>
      <c r="P98" s="32" t="s">
        <v>85</v>
      </c>
      <c r="Q98" s="32" t="n">
        <v>721</v>
      </c>
      <c r="R98" s="32" t="s">
        <v>86</v>
      </c>
      <c r="S98" s="32" t="s">
        <v>472</v>
      </c>
      <c r="T98" s="32" t="s">
        <v>88</v>
      </c>
      <c r="U98" s="32" t="s">
        <v>473</v>
      </c>
      <c r="V98" s="32" t="s">
        <v>90</v>
      </c>
    </row>
    <row r="99" customFormat="false" ht="13.2" hidden="false" customHeight="false" outlineLevel="0" collapsed="false">
      <c r="A99" s="27" t="str">
        <f aca="false">OFFSET(hoje12_326_sp8,98,1,1,1)&amp;"."&amp;OFFSET(hoje12_326_sp8,98,16,1,1)</f>
        <v>721003.721</v>
      </c>
      <c r="B99" s="27" t="n">
        <v>721003</v>
      </c>
      <c r="C99" s="32" t="s">
        <v>471</v>
      </c>
      <c r="D99" s="33" t="n">
        <v>2318826000390</v>
      </c>
      <c r="E99" s="32" t="s">
        <v>80</v>
      </c>
      <c r="F99" s="32" t="s">
        <v>81</v>
      </c>
      <c r="G99" s="32" t="s">
        <v>65</v>
      </c>
      <c r="H99" s="32" t="s">
        <v>66</v>
      </c>
      <c r="I99" s="32" t="s">
        <v>68</v>
      </c>
      <c r="J99" s="32" t="s">
        <v>68</v>
      </c>
      <c r="K99" s="32" t="n">
        <v>178.56</v>
      </c>
      <c r="L99" s="32" t="s">
        <v>111</v>
      </c>
      <c r="M99" s="32" t="s">
        <v>83</v>
      </c>
      <c r="N99" s="32" t="s">
        <v>84</v>
      </c>
      <c r="O99" s="32" t="s">
        <v>72</v>
      </c>
      <c r="P99" s="32" t="s">
        <v>85</v>
      </c>
      <c r="Q99" s="32" t="n">
        <v>721</v>
      </c>
      <c r="R99" s="32" t="s">
        <v>86</v>
      </c>
      <c r="S99" s="32" t="s">
        <v>334</v>
      </c>
      <c r="T99" s="32" t="s">
        <v>88</v>
      </c>
      <c r="U99" s="32" t="s">
        <v>336</v>
      </c>
      <c r="V99" s="32" t="s">
        <v>90</v>
      </c>
    </row>
    <row r="100" customFormat="false" ht="13.2" hidden="false" customHeight="false" outlineLevel="0" collapsed="false">
      <c r="A100" s="27" t="str">
        <f aca="false">OFFSET(hoje12_326_sp8,99,1,1,1)&amp;"."&amp;OFFSET(hoje12_326_sp8,99,16,1,1)</f>
        <v>721004.721</v>
      </c>
      <c r="B100" s="27" t="n">
        <v>721004</v>
      </c>
      <c r="C100" s="32" t="s">
        <v>471</v>
      </c>
      <c r="D100" s="33" t="n">
        <v>2318826000633</v>
      </c>
      <c r="E100" s="32" t="s">
        <v>80</v>
      </c>
      <c r="F100" s="32" t="s">
        <v>81</v>
      </c>
      <c r="G100" s="32" t="s">
        <v>65</v>
      </c>
      <c r="H100" s="32" t="s">
        <v>66</v>
      </c>
      <c r="I100" s="32" t="s">
        <v>68</v>
      </c>
      <c r="J100" s="32" t="s">
        <v>68</v>
      </c>
      <c r="K100" s="32" t="n">
        <v>178.56</v>
      </c>
      <c r="L100" s="32" t="s">
        <v>111</v>
      </c>
      <c r="M100" s="32" t="s">
        <v>83</v>
      </c>
      <c r="N100" s="32" t="s">
        <v>84</v>
      </c>
      <c r="O100" s="32" t="s">
        <v>72</v>
      </c>
      <c r="P100" s="32" t="s">
        <v>85</v>
      </c>
      <c r="Q100" s="32" t="n">
        <v>721</v>
      </c>
      <c r="R100" s="32" t="s">
        <v>86</v>
      </c>
      <c r="S100" s="32" t="s">
        <v>474</v>
      </c>
      <c r="T100" s="32" t="s">
        <v>88</v>
      </c>
      <c r="U100" s="32" t="s">
        <v>475</v>
      </c>
      <c r="V100" s="32" t="s">
        <v>90</v>
      </c>
    </row>
    <row r="101" customFormat="false" ht="13.2" hidden="false" customHeight="false" outlineLevel="0" collapsed="false">
      <c r="A101" s="27" t="str">
        <f aca="false">OFFSET(hoje12_326_sp8,100,1,1,1)&amp;"."&amp;OFFSET(hoje12_326_sp8,100,16,1,1)</f>
        <v>721005.721</v>
      </c>
      <c r="B101" s="27" t="n">
        <v>721005</v>
      </c>
      <c r="C101" s="32" t="s">
        <v>471</v>
      </c>
      <c r="D101" s="33" t="n">
        <v>2318826000714</v>
      </c>
      <c r="E101" s="32" t="s">
        <v>80</v>
      </c>
      <c r="F101" s="32" t="s">
        <v>81</v>
      </c>
      <c r="G101" s="32" t="s">
        <v>65</v>
      </c>
      <c r="H101" s="32" t="s">
        <v>66</v>
      </c>
      <c r="I101" s="32" t="s">
        <v>68</v>
      </c>
      <c r="J101" s="32" t="s">
        <v>68</v>
      </c>
      <c r="K101" s="32" t="n">
        <v>178.56</v>
      </c>
      <c r="L101" s="32" t="s">
        <v>111</v>
      </c>
      <c r="M101" s="32" t="s">
        <v>83</v>
      </c>
      <c r="N101" s="32" t="s">
        <v>84</v>
      </c>
      <c r="O101" s="32" t="s">
        <v>72</v>
      </c>
      <c r="P101" s="32" t="s">
        <v>85</v>
      </c>
      <c r="Q101" s="32" t="n">
        <v>721</v>
      </c>
      <c r="R101" s="32" t="s">
        <v>86</v>
      </c>
      <c r="S101" s="32" t="s">
        <v>474</v>
      </c>
      <c r="T101" s="32" t="s">
        <v>88</v>
      </c>
      <c r="U101" s="32" t="s">
        <v>213</v>
      </c>
      <c r="V101" s="32" t="s">
        <v>90</v>
      </c>
    </row>
    <row r="102" customFormat="false" ht="13.2" hidden="false" customHeight="false" outlineLevel="0" collapsed="false">
      <c r="A102" s="27" t="str">
        <f aca="false">OFFSET(hoje12_326_sp8,101,1,1,1)&amp;"."&amp;OFFSET(hoje12_326_sp8,101,16,1,1)</f>
        <v>721006.721</v>
      </c>
      <c r="B102" s="27" t="n">
        <v>721006</v>
      </c>
      <c r="C102" s="32" t="s">
        <v>476</v>
      </c>
      <c r="D102" s="33" t="n">
        <v>9473933000928</v>
      </c>
      <c r="E102" s="32" t="s">
        <v>80</v>
      </c>
      <c r="F102" s="32" t="s">
        <v>81</v>
      </c>
      <c r="G102" s="32" t="s">
        <v>65</v>
      </c>
      <c r="H102" s="32" t="s">
        <v>66</v>
      </c>
      <c r="I102" s="32" t="s">
        <v>68</v>
      </c>
      <c r="J102" s="32" t="s">
        <v>68</v>
      </c>
      <c r="K102" s="32" t="n">
        <v>178.56</v>
      </c>
      <c r="L102" s="32" t="s">
        <v>82</v>
      </c>
      <c r="M102" s="32" t="s">
        <v>83</v>
      </c>
      <c r="N102" s="32" t="s">
        <v>84</v>
      </c>
      <c r="O102" s="32" t="s">
        <v>72</v>
      </c>
      <c r="P102" s="32" t="s">
        <v>85</v>
      </c>
      <c r="Q102" s="32" t="n">
        <v>721</v>
      </c>
      <c r="R102" s="32" t="s">
        <v>86</v>
      </c>
      <c r="S102" s="32" t="s">
        <v>477</v>
      </c>
      <c r="T102" s="32" t="s">
        <v>88</v>
      </c>
      <c r="U102" s="32" t="s">
        <v>478</v>
      </c>
      <c r="V102" s="32" t="s">
        <v>90</v>
      </c>
    </row>
    <row r="103" customFormat="false" ht="13.2" hidden="false" customHeight="false" outlineLevel="0" collapsed="false">
      <c r="A103" s="27" t="str">
        <f aca="false">OFFSET(hoje12_326_sp8,102,1,1,1)&amp;"."&amp;OFFSET(hoje12_326_sp8,102,16,1,1)</f>
        <v>721007.721</v>
      </c>
      <c r="B103" s="27" t="n">
        <v>721007</v>
      </c>
      <c r="C103" s="32" t="s">
        <v>476</v>
      </c>
      <c r="D103" s="33" t="n">
        <v>9473933000170</v>
      </c>
      <c r="E103" s="32" t="s">
        <v>80</v>
      </c>
      <c r="F103" s="32" t="s">
        <v>81</v>
      </c>
      <c r="G103" s="32" t="s">
        <v>65</v>
      </c>
      <c r="H103" s="32" t="s">
        <v>66</v>
      </c>
      <c r="I103" s="32" t="s">
        <v>68</v>
      </c>
      <c r="J103" s="32" t="s">
        <v>68</v>
      </c>
      <c r="K103" s="32" t="n">
        <v>178.56</v>
      </c>
      <c r="L103" s="32" t="s">
        <v>82</v>
      </c>
      <c r="M103" s="32" t="s">
        <v>83</v>
      </c>
      <c r="N103" s="32" t="s">
        <v>84</v>
      </c>
      <c r="O103" s="32" t="s">
        <v>72</v>
      </c>
      <c r="P103" s="32" t="s">
        <v>85</v>
      </c>
      <c r="Q103" s="32" t="n">
        <v>721</v>
      </c>
      <c r="R103" s="32" t="s">
        <v>86</v>
      </c>
      <c r="S103" s="32" t="s">
        <v>477</v>
      </c>
      <c r="T103" s="32" t="s">
        <v>88</v>
      </c>
      <c r="U103" s="32" t="s">
        <v>478</v>
      </c>
      <c r="V103" s="32" t="s">
        <v>90</v>
      </c>
    </row>
    <row r="104" customFormat="false" ht="13.2" hidden="false" customHeight="false" outlineLevel="0" collapsed="false">
      <c r="A104" s="27" t="str">
        <f aca="false">OFFSET(hoje12_326_sp8,103,1,1,1)&amp;"."&amp;OFFSET(hoje12_326_sp8,103,16,1,1)</f>
        <v>721008.721</v>
      </c>
      <c r="B104" s="27" t="n">
        <v>721008</v>
      </c>
      <c r="C104" s="32" t="s">
        <v>471</v>
      </c>
      <c r="D104" s="33" t="n">
        <v>2318826001109</v>
      </c>
      <c r="E104" s="32" t="s">
        <v>80</v>
      </c>
      <c r="F104" s="32" t="s">
        <v>81</v>
      </c>
      <c r="G104" s="32" t="s">
        <v>65</v>
      </c>
      <c r="H104" s="32" t="s">
        <v>66</v>
      </c>
      <c r="I104" s="32" t="s">
        <v>68</v>
      </c>
      <c r="J104" s="32" t="s">
        <v>68</v>
      </c>
      <c r="K104" s="32" t="n">
        <v>178.56</v>
      </c>
      <c r="L104" s="32" t="s">
        <v>111</v>
      </c>
      <c r="M104" s="32" t="s">
        <v>83</v>
      </c>
      <c r="N104" s="32" t="s">
        <v>84</v>
      </c>
      <c r="O104" s="32" t="s">
        <v>72</v>
      </c>
      <c r="P104" s="32" t="s">
        <v>85</v>
      </c>
      <c r="Q104" s="32" t="n">
        <v>721</v>
      </c>
      <c r="R104" s="32" t="s">
        <v>86</v>
      </c>
      <c r="S104" s="32" t="s">
        <v>137</v>
      </c>
      <c r="T104" s="32" t="s">
        <v>88</v>
      </c>
      <c r="U104" s="32" t="s">
        <v>139</v>
      </c>
      <c r="V104" s="32" t="s">
        <v>90</v>
      </c>
    </row>
    <row r="105" customFormat="false" ht="13.2" hidden="false" customHeight="false" outlineLevel="0" collapsed="false">
      <c r="A105" s="27" t="str">
        <f aca="false">OFFSET(hoje12_326_sp8,104,1,1,1)&amp;"."&amp;OFFSET(hoje12_326_sp8,104,16,1,1)</f>
        <v>721009.721</v>
      </c>
      <c r="B105" s="27" t="n">
        <v>721009</v>
      </c>
      <c r="C105" s="32" t="s">
        <v>471</v>
      </c>
      <c r="D105" s="33" t="n">
        <v>2318826000986</v>
      </c>
      <c r="E105" s="32" t="s">
        <v>80</v>
      </c>
      <c r="F105" s="32" t="s">
        <v>81</v>
      </c>
      <c r="G105" s="32" t="s">
        <v>65</v>
      </c>
      <c r="H105" s="32" t="s">
        <v>66</v>
      </c>
      <c r="I105" s="32" t="s">
        <v>68</v>
      </c>
      <c r="J105" s="32" t="s">
        <v>68</v>
      </c>
      <c r="K105" s="32" t="n">
        <v>178.56</v>
      </c>
      <c r="L105" s="32" t="s">
        <v>111</v>
      </c>
      <c r="M105" s="32" t="s">
        <v>83</v>
      </c>
      <c r="N105" s="32" t="s">
        <v>84</v>
      </c>
      <c r="O105" s="32" t="s">
        <v>72</v>
      </c>
      <c r="P105" s="32" t="s">
        <v>85</v>
      </c>
      <c r="Q105" s="32" t="n">
        <v>721</v>
      </c>
      <c r="R105" s="32" t="s">
        <v>86</v>
      </c>
      <c r="S105" s="32" t="s">
        <v>472</v>
      </c>
      <c r="T105" s="32" t="s">
        <v>88</v>
      </c>
      <c r="U105" s="32" t="s">
        <v>473</v>
      </c>
      <c r="V105" s="32" t="s">
        <v>90</v>
      </c>
    </row>
    <row r="106" customFormat="false" ht="13.2" hidden="false" customHeight="false" outlineLevel="0" collapsed="false">
      <c r="A106" s="27" t="str">
        <f aca="false">OFFSET(hoje12_326_sp8,105,1,1,1)&amp;"."&amp;OFFSET(hoje12_326_sp8,105,16,1,1)</f>
        <v>721010.721</v>
      </c>
      <c r="B106" s="27" t="n">
        <v>721010</v>
      </c>
      <c r="C106" s="32" t="s">
        <v>471</v>
      </c>
      <c r="D106" s="33" t="n">
        <v>2318826000129</v>
      </c>
      <c r="E106" s="32" t="s">
        <v>80</v>
      </c>
      <c r="F106" s="32" t="s">
        <v>81</v>
      </c>
      <c r="G106" s="32" t="s">
        <v>65</v>
      </c>
      <c r="H106" s="32" t="s">
        <v>66</v>
      </c>
      <c r="I106" s="32" t="s">
        <v>68</v>
      </c>
      <c r="J106" s="32" t="s">
        <v>68</v>
      </c>
      <c r="K106" s="32" t="n">
        <v>178.56</v>
      </c>
      <c r="L106" s="32" t="s">
        <v>111</v>
      </c>
      <c r="M106" s="32" t="s">
        <v>83</v>
      </c>
      <c r="N106" s="32" t="s">
        <v>84</v>
      </c>
      <c r="O106" s="32" t="s">
        <v>72</v>
      </c>
      <c r="P106" s="32" t="s">
        <v>85</v>
      </c>
      <c r="Q106" s="32" t="n">
        <v>721</v>
      </c>
      <c r="R106" s="32" t="s">
        <v>86</v>
      </c>
      <c r="S106" s="32" t="s">
        <v>474</v>
      </c>
      <c r="T106" s="32" t="s">
        <v>88</v>
      </c>
      <c r="U106" s="32" t="s">
        <v>475</v>
      </c>
      <c r="V106" s="32" t="s">
        <v>90</v>
      </c>
    </row>
    <row r="107" customFormat="false" ht="13.2" hidden="false" customHeight="false" outlineLevel="0" collapsed="false">
      <c r="A107" s="27" t="str">
        <f aca="false">OFFSET(hoje12_326_sp8,106,1,1,1)&amp;"."&amp;OFFSET(hoje12_326_sp8,106,16,1,1)</f>
        <v>721011.721</v>
      </c>
      <c r="B107" s="27" t="n">
        <v>721011</v>
      </c>
      <c r="C107" s="32" t="s">
        <v>471</v>
      </c>
      <c r="D107" s="33" t="n">
        <v>2318826000200</v>
      </c>
      <c r="E107" s="32" t="s">
        <v>80</v>
      </c>
      <c r="F107" s="32" t="s">
        <v>81</v>
      </c>
      <c r="G107" s="32" t="s">
        <v>65</v>
      </c>
      <c r="H107" s="32" t="s">
        <v>66</v>
      </c>
      <c r="I107" s="32" t="s">
        <v>68</v>
      </c>
      <c r="J107" s="32" t="s">
        <v>68</v>
      </c>
      <c r="K107" s="32" t="n">
        <v>178.56</v>
      </c>
      <c r="L107" s="32" t="s">
        <v>111</v>
      </c>
      <c r="M107" s="32" t="s">
        <v>83</v>
      </c>
      <c r="N107" s="32" t="s">
        <v>84</v>
      </c>
      <c r="O107" s="32" t="s">
        <v>72</v>
      </c>
      <c r="P107" s="32" t="s">
        <v>85</v>
      </c>
      <c r="Q107" s="32" t="n">
        <v>721</v>
      </c>
      <c r="R107" s="32" t="s">
        <v>86</v>
      </c>
      <c r="S107" s="32" t="s">
        <v>479</v>
      </c>
      <c r="T107" s="32" t="s">
        <v>88</v>
      </c>
      <c r="U107" s="32" t="s">
        <v>139</v>
      </c>
      <c r="V107" s="32" t="s">
        <v>90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76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9" activeCellId="0" sqref="E9"/>
    </sheetView>
  </sheetViews>
  <sheetFormatPr defaultColWidth="9.109375" defaultRowHeight="14.4" customHeight="false" zeroHeight="false" outlineLevelRow="0" outlineLevelCol="1"/>
  <cols>
    <col collapsed="false" customWidth="true" hidden="false" outlineLevel="0" max="1" min="1" style="34" width="6"/>
    <col collapsed="false" customWidth="true" hidden="false" outlineLevel="0" max="2" min="2" style="35" width="16.77"/>
    <col collapsed="false" customWidth="true" hidden="false" outlineLevel="0" max="3" min="3" style="34" width="29.66"/>
    <col collapsed="false" customWidth="true" hidden="false" outlineLevel="0" max="4" min="4" style="34" width="18.11"/>
    <col collapsed="false" customWidth="true" hidden="false" outlineLevel="0" max="5" min="5" style="34" width="24.78"/>
    <col collapsed="false" customWidth="true" hidden="false" outlineLevel="0" max="6" min="6" style="34" width="12.44"/>
    <col collapsed="false" customWidth="true" hidden="false" outlineLevel="0" max="7" min="7" style="34" width="6.44"/>
    <col collapsed="false" customWidth="true" hidden="false" outlineLevel="0" max="8" min="8" style="36" width="14.56"/>
    <col collapsed="false" customWidth="true" hidden="false" outlineLevel="1" max="9" min="9" style="34" width="6.11"/>
    <col collapsed="false" customWidth="true" hidden="false" outlineLevel="1" max="11" min="10" style="34" width="6.67"/>
    <col collapsed="false" customWidth="true" hidden="false" outlineLevel="1" max="13" min="12" style="34" width="7.77"/>
    <col collapsed="false" customWidth="true" hidden="false" outlineLevel="0" max="14" min="14" style="34" width="4.44"/>
    <col collapsed="false" customWidth="true" hidden="false" outlineLevel="1" max="15" min="15" style="34" width="8.11"/>
    <col collapsed="false" customWidth="true" hidden="false" outlineLevel="1" max="16" min="16" style="34" width="7"/>
    <col collapsed="false" customWidth="true" hidden="false" outlineLevel="0" max="17" min="17" style="34" width="16.67"/>
    <col collapsed="false" customWidth="true" hidden="false" outlineLevel="0" max="18" min="18" style="34" width="5.56"/>
    <col collapsed="false" customWidth="true" hidden="false" outlineLevel="0" max="19" min="19" style="34" width="16.67"/>
    <col collapsed="false" customWidth="false" hidden="false" outlineLevel="0" max="16384" min="20" style="34" width="9.11"/>
  </cols>
  <sheetData>
    <row r="1" customFormat="false" ht="14.4" hidden="false" customHeight="false" outlineLevel="0" collapsed="false">
      <c r="A1" s="34" t="s">
        <v>480</v>
      </c>
      <c r="B1" s="35" t="s">
        <v>43</v>
      </c>
      <c r="C1" s="34" t="s">
        <v>481</v>
      </c>
      <c r="D1" s="34" t="s">
        <v>60</v>
      </c>
      <c r="E1" s="34" t="s">
        <v>482</v>
      </c>
      <c r="F1" s="34" t="s">
        <v>483</v>
      </c>
      <c r="G1" s="34" t="s">
        <v>484</v>
      </c>
      <c r="H1" s="36" t="s">
        <v>485</v>
      </c>
      <c r="I1" s="34" t="s">
        <v>486</v>
      </c>
      <c r="J1" s="34" t="s">
        <v>487</v>
      </c>
      <c r="K1" s="34" t="s">
        <v>488</v>
      </c>
      <c r="L1" s="34" t="s">
        <v>489</v>
      </c>
      <c r="M1" s="34" t="s">
        <v>490</v>
      </c>
      <c r="N1" s="34" t="s">
        <v>491</v>
      </c>
      <c r="O1" s="34" t="s">
        <v>492</v>
      </c>
      <c r="P1" s="34" t="s">
        <v>493</v>
      </c>
      <c r="Q1" s="37" t="n">
        <f aca="false">SUM(H:H)</f>
        <v>4600515.03</v>
      </c>
      <c r="R1" s="38" t="n">
        <f aca="false">COUNT(A:A)</f>
        <v>761</v>
      </c>
      <c r="S1" s="39" t="n">
        <f aca="false">SUBTOTAL(9,H:H)</f>
        <v>4600515.03</v>
      </c>
    </row>
    <row r="2" customFormat="false" ht="14.4" hidden="false" customHeight="false" outlineLevel="0" collapsed="false">
      <c r="A2" s="34" t="n">
        <v>1</v>
      </c>
      <c r="B2" s="35" t="n">
        <v>4757459000519</v>
      </c>
      <c r="C2" s="34" t="s">
        <v>494</v>
      </c>
      <c r="D2" s="34" t="s">
        <v>107</v>
      </c>
      <c r="E2" s="34" t="s">
        <v>495</v>
      </c>
      <c r="F2" s="34" t="n">
        <v>32505</v>
      </c>
      <c r="G2" s="34" t="n">
        <v>5516</v>
      </c>
      <c r="H2" s="40" t="n">
        <v>1097650.09</v>
      </c>
      <c r="I2" s="34" t="n">
        <v>23.4</v>
      </c>
      <c r="J2" s="34" t="n">
        <v>23.32</v>
      </c>
      <c r="K2" s="34" t="n">
        <v>23.85</v>
      </c>
      <c r="L2" s="34" t="n">
        <v>23.85</v>
      </c>
      <c r="M2" s="34" t="n">
        <v>23.85</v>
      </c>
      <c r="N2" s="34" t="n">
        <v>507</v>
      </c>
      <c r="O2" s="34" t="n">
        <v>0</v>
      </c>
      <c r="P2" s="34" t="s">
        <v>496</v>
      </c>
    </row>
    <row r="3" customFormat="false" ht="14.4" hidden="false" customHeight="false" outlineLevel="0" collapsed="false">
      <c r="A3" s="34" t="n">
        <v>2</v>
      </c>
      <c r="B3" s="35" t="n">
        <v>2318826000200</v>
      </c>
      <c r="C3" s="34" t="s">
        <v>471</v>
      </c>
      <c r="D3" s="34" t="s">
        <v>139</v>
      </c>
      <c r="E3" s="34" t="s">
        <v>497</v>
      </c>
      <c r="F3" s="34" t="n">
        <v>6811</v>
      </c>
      <c r="G3" s="34" t="n">
        <v>874</v>
      </c>
      <c r="H3" s="40" t="n">
        <v>221339.41</v>
      </c>
      <c r="I3" s="34" t="n">
        <v>4.9</v>
      </c>
      <c r="J3" s="34" t="n">
        <v>3.69</v>
      </c>
      <c r="K3" s="34" t="n">
        <v>4.81</v>
      </c>
      <c r="L3" s="34" t="n">
        <v>28.67</v>
      </c>
      <c r="M3" s="34" t="n">
        <v>28.67</v>
      </c>
      <c r="N3" s="34" t="n">
        <v>721</v>
      </c>
      <c r="O3" s="34" t="n">
        <v>0</v>
      </c>
      <c r="P3" s="34" t="s">
        <v>498</v>
      </c>
    </row>
    <row r="4" customFormat="false" ht="14.4" hidden="false" customHeight="false" outlineLevel="0" collapsed="false">
      <c r="A4" s="34" t="n">
        <v>3</v>
      </c>
      <c r="B4" s="35" t="n">
        <v>4822179000113</v>
      </c>
      <c r="C4" s="34" t="s">
        <v>499</v>
      </c>
      <c r="D4" s="34" t="s">
        <v>77</v>
      </c>
      <c r="E4" s="34" t="s">
        <v>500</v>
      </c>
      <c r="F4" s="34" t="n">
        <v>6245</v>
      </c>
      <c r="G4" s="34" t="n">
        <v>900</v>
      </c>
      <c r="H4" s="40" t="n">
        <v>175918.17</v>
      </c>
      <c r="I4" s="34" t="n">
        <v>4.49</v>
      </c>
      <c r="J4" s="34" t="n">
        <v>3.8</v>
      </c>
      <c r="K4" s="34" t="n">
        <v>3.82</v>
      </c>
      <c r="L4" s="34" t="n">
        <v>32.49</v>
      </c>
      <c r="M4" s="34" t="n">
        <v>32.49</v>
      </c>
      <c r="N4" s="34" t="n">
        <v>301</v>
      </c>
      <c r="O4" s="34" t="n">
        <v>0</v>
      </c>
      <c r="P4" s="34" t="s">
        <v>501</v>
      </c>
    </row>
    <row r="5" customFormat="false" ht="14.4" hidden="false" customHeight="false" outlineLevel="0" collapsed="false">
      <c r="A5" s="34" t="n">
        <v>4</v>
      </c>
      <c r="B5" s="35" t="n">
        <v>20335148000194</v>
      </c>
      <c r="C5" s="34" t="s">
        <v>502</v>
      </c>
      <c r="D5" s="34" t="s">
        <v>103</v>
      </c>
      <c r="E5" s="34" t="s">
        <v>503</v>
      </c>
      <c r="F5" s="34" t="n">
        <v>2980</v>
      </c>
      <c r="G5" s="34" t="n">
        <v>651</v>
      </c>
      <c r="H5" s="40" t="n">
        <v>113356.7</v>
      </c>
      <c r="I5" s="34" t="n">
        <v>2.14</v>
      </c>
      <c r="J5" s="34" t="n">
        <v>2.75</v>
      </c>
      <c r="K5" s="34" t="n">
        <v>2.46</v>
      </c>
      <c r="L5" s="34" t="n">
        <v>34.95</v>
      </c>
      <c r="M5" s="34" t="n">
        <v>34.95</v>
      </c>
      <c r="N5" s="34" t="n">
        <v>507</v>
      </c>
      <c r="O5" s="34" t="n">
        <v>0</v>
      </c>
      <c r="P5" s="34" t="s">
        <v>504</v>
      </c>
    </row>
    <row r="6" customFormat="false" ht="14.4" hidden="false" customHeight="false" outlineLevel="0" collapsed="false">
      <c r="A6" s="34" t="n">
        <v>5</v>
      </c>
      <c r="B6" s="35" t="n">
        <v>20335148000275</v>
      </c>
      <c r="C6" s="34" t="s">
        <v>502</v>
      </c>
      <c r="D6" s="34" t="s">
        <v>103</v>
      </c>
      <c r="E6" s="34" t="s">
        <v>505</v>
      </c>
      <c r="F6" s="34" t="n">
        <v>5456</v>
      </c>
      <c r="G6" s="34" t="n">
        <v>575</v>
      </c>
      <c r="H6" s="40" t="n">
        <v>105295.06</v>
      </c>
      <c r="I6" s="34" t="n">
        <v>3.92</v>
      </c>
      <c r="J6" s="34" t="n">
        <v>2.43</v>
      </c>
      <c r="K6" s="34" t="n">
        <v>2.28</v>
      </c>
      <c r="L6" s="34" t="n">
        <v>37.24</v>
      </c>
      <c r="M6" s="34" t="n">
        <v>37.24</v>
      </c>
      <c r="N6" s="34" t="n">
        <v>507</v>
      </c>
      <c r="O6" s="34" t="n">
        <v>0</v>
      </c>
      <c r="P6" s="34" t="s">
        <v>504</v>
      </c>
    </row>
    <row r="7" customFormat="false" ht="14.4" hidden="false" customHeight="false" outlineLevel="0" collapsed="false">
      <c r="A7" s="34" t="n">
        <v>6</v>
      </c>
      <c r="B7" s="35" t="n">
        <v>12887219000133</v>
      </c>
      <c r="C7" s="34" t="s">
        <v>506</v>
      </c>
      <c r="D7" s="34" t="s">
        <v>89</v>
      </c>
      <c r="E7" s="34" t="s">
        <v>507</v>
      </c>
      <c r="F7" s="34" t="n">
        <v>4425</v>
      </c>
      <c r="G7" s="34" t="n">
        <v>1278</v>
      </c>
      <c r="H7" s="40" t="n">
        <v>100366.21</v>
      </c>
      <c r="I7" s="34" t="n">
        <v>3.18</v>
      </c>
      <c r="J7" s="34" t="n">
        <v>5.4</v>
      </c>
      <c r="K7" s="34" t="n">
        <v>2.18</v>
      </c>
      <c r="L7" s="34" t="n">
        <v>39.42</v>
      </c>
      <c r="M7" s="34" t="n">
        <v>39.42</v>
      </c>
      <c r="N7" s="34" t="n">
        <v>211</v>
      </c>
      <c r="O7" s="34" t="n">
        <v>0</v>
      </c>
      <c r="P7" s="34" t="s">
        <v>504</v>
      </c>
    </row>
    <row r="8" customFormat="false" ht="14.4" hidden="false" customHeight="false" outlineLevel="0" collapsed="false">
      <c r="A8" s="34" t="n">
        <v>7</v>
      </c>
      <c r="B8" s="35" t="n">
        <v>9401283000158</v>
      </c>
      <c r="C8" s="34" t="s">
        <v>508</v>
      </c>
      <c r="D8" s="34" t="s">
        <v>103</v>
      </c>
      <c r="E8" s="34" t="s">
        <v>509</v>
      </c>
      <c r="F8" s="34" t="n">
        <v>2681</v>
      </c>
      <c r="G8" s="34" t="n">
        <v>273</v>
      </c>
      <c r="H8" s="40" t="n">
        <v>91720.46</v>
      </c>
      <c r="I8" s="34" t="n">
        <v>1.93</v>
      </c>
      <c r="J8" s="34" t="n">
        <v>1.15</v>
      </c>
      <c r="K8" s="34" t="n">
        <v>1.99</v>
      </c>
      <c r="L8" s="34" t="n">
        <v>41.42</v>
      </c>
      <c r="M8" s="34" t="n">
        <v>41.42</v>
      </c>
      <c r="N8" s="34" t="n">
        <v>715</v>
      </c>
      <c r="O8" s="34" t="n">
        <v>0</v>
      </c>
      <c r="P8" s="34" t="s">
        <v>510</v>
      </c>
    </row>
    <row r="9" customFormat="false" ht="14.4" hidden="false" customHeight="false" outlineLevel="0" collapsed="false">
      <c r="A9" s="34" t="n">
        <v>8</v>
      </c>
      <c r="B9" s="35" t="n">
        <v>2318826000633</v>
      </c>
      <c r="C9" s="34" t="s">
        <v>471</v>
      </c>
      <c r="D9" s="34" t="s">
        <v>475</v>
      </c>
      <c r="E9" s="34" t="s">
        <v>511</v>
      </c>
      <c r="F9" s="34" t="n">
        <v>1925</v>
      </c>
      <c r="G9" s="34" t="n">
        <v>395</v>
      </c>
      <c r="H9" s="40" t="n">
        <v>84468.68</v>
      </c>
      <c r="I9" s="34" t="n">
        <v>1.38</v>
      </c>
      <c r="J9" s="34" t="n">
        <v>1.66</v>
      </c>
      <c r="K9" s="34" t="n">
        <v>1.83</v>
      </c>
      <c r="L9" s="34" t="n">
        <v>43.25</v>
      </c>
      <c r="M9" s="34" t="n">
        <v>43.25</v>
      </c>
      <c r="N9" s="34" t="n">
        <v>721</v>
      </c>
      <c r="O9" s="34" t="n">
        <v>0</v>
      </c>
      <c r="P9" s="34" t="s">
        <v>498</v>
      </c>
    </row>
    <row r="10" customFormat="false" ht="14.4" hidden="false" customHeight="false" outlineLevel="0" collapsed="false">
      <c r="A10" s="34" t="n">
        <v>9</v>
      </c>
      <c r="B10" s="35" t="n">
        <v>6813685001496</v>
      </c>
      <c r="C10" s="34" t="s">
        <v>512</v>
      </c>
      <c r="D10" s="34" t="s">
        <v>309</v>
      </c>
      <c r="E10" s="34" t="s">
        <v>513</v>
      </c>
      <c r="F10" s="34" t="n">
        <v>2231</v>
      </c>
      <c r="G10" s="34" t="n">
        <v>374</v>
      </c>
      <c r="H10" s="40" t="n">
        <v>78869.4</v>
      </c>
      <c r="I10" s="34" t="n">
        <v>1.6</v>
      </c>
      <c r="J10" s="34" t="n">
        <v>1.58</v>
      </c>
      <c r="K10" s="34" t="n">
        <v>1.71</v>
      </c>
      <c r="L10" s="34" t="n">
        <v>44.97</v>
      </c>
      <c r="M10" s="34" t="n">
        <v>44.97</v>
      </c>
      <c r="N10" s="34" t="n">
        <v>704</v>
      </c>
      <c r="O10" s="34" t="n">
        <v>0</v>
      </c>
      <c r="P10" s="34" t="s">
        <v>504</v>
      </c>
    </row>
    <row r="11" customFormat="false" ht="14.4" hidden="false" customHeight="false" outlineLevel="0" collapsed="false">
      <c r="A11" s="34" t="n">
        <v>10</v>
      </c>
      <c r="B11" s="35" t="n">
        <v>12887219000214</v>
      </c>
      <c r="C11" s="34" t="s">
        <v>506</v>
      </c>
      <c r="D11" s="34" t="s">
        <v>89</v>
      </c>
      <c r="E11" s="34" t="s">
        <v>514</v>
      </c>
      <c r="F11" s="34" t="n">
        <v>2297</v>
      </c>
      <c r="G11" s="34" t="n">
        <v>536</v>
      </c>
      <c r="H11" s="40" t="n">
        <v>66607.84</v>
      </c>
      <c r="I11" s="34" t="n">
        <v>1.65</v>
      </c>
      <c r="J11" s="34" t="n">
        <v>2.26</v>
      </c>
      <c r="K11" s="34" t="n">
        <v>1.44</v>
      </c>
      <c r="L11" s="34" t="n">
        <v>46.42</v>
      </c>
      <c r="M11" s="34" t="n">
        <v>46.42</v>
      </c>
      <c r="N11" s="34" t="n">
        <v>211</v>
      </c>
      <c r="O11" s="34" t="n">
        <v>0</v>
      </c>
      <c r="P11" s="34" t="s">
        <v>504</v>
      </c>
    </row>
    <row r="12" customFormat="false" ht="14.4" hidden="false" customHeight="false" outlineLevel="0" collapsed="false">
      <c r="A12" s="34" t="n">
        <v>11</v>
      </c>
      <c r="B12" s="35" t="n">
        <v>2318826001281</v>
      </c>
      <c r="C12" s="34" t="s">
        <v>471</v>
      </c>
      <c r="D12" s="34" t="s">
        <v>213</v>
      </c>
      <c r="E12" s="34" t="s">
        <v>515</v>
      </c>
      <c r="F12" s="34" t="n">
        <v>1621</v>
      </c>
      <c r="G12" s="34" t="n">
        <v>338</v>
      </c>
      <c r="H12" s="40" t="n">
        <v>66399.07</v>
      </c>
      <c r="I12" s="34" t="n">
        <v>1.16</v>
      </c>
      <c r="J12" s="34" t="n">
        <v>1.42</v>
      </c>
      <c r="K12" s="34" t="n">
        <v>1.44</v>
      </c>
      <c r="L12" s="34" t="n">
        <v>47.86</v>
      </c>
      <c r="M12" s="34" t="n">
        <v>47.86</v>
      </c>
      <c r="N12" s="34" t="n">
        <v>721</v>
      </c>
      <c r="O12" s="34" t="n">
        <v>0</v>
      </c>
      <c r="P12" s="34" t="s">
        <v>504</v>
      </c>
    </row>
    <row r="13" customFormat="false" ht="14.4" hidden="false" customHeight="false" outlineLevel="0" collapsed="false">
      <c r="A13" s="34" t="n">
        <v>12</v>
      </c>
      <c r="B13" s="35" t="n">
        <v>2318826000390</v>
      </c>
      <c r="C13" s="34" t="s">
        <v>471</v>
      </c>
      <c r="D13" s="34" t="s">
        <v>336</v>
      </c>
      <c r="E13" s="34" t="s">
        <v>503</v>
      </c>
      <c r="F13" s="34" t="n">
        <v>1820</v>
      </c>
      <c r="G13" s="34" t="n">
        <v>358</v>
      </c>
      <c r="H13" s="40" t="n">
        <v>64515.33</v>
      </c>
      <c r="I13" s="34" t="n">
        <v>1.31</v>
      </c>
      <c r="J13" s="34" t="n">
        <v>1.51</v>
      </c>
      <c r="K13" s="34" t="n">
        <v>1.4</v>
      </c>
      <c r="L13" s="34" t="n">
        <v>49.26</v>
      </c>
      <c r="M13" s="34" t="n">
        <v>49.26</v>
      </c>
      <c r="N13" s="34" t="n">
        <v>721</v>
      </c>
      <c r="O13" s="34" t="n">
        <v>0</v>
      </c>
      <c r="P13" s="34" t="s">
        <v>498</v>
      </c>
    </row>
    <row r="14" customFormat="false" ht="14.4" hidden="false" customHeight="false" outlineLevel="0" collapsed="false">
      <c r="A14" s="34" t="n">
        <v>13</v>
      </c>
      <c r="B14" s="35" t="n">
        <v>19907415000171</v>
      </c>
      <c r="C14" s="34" t="s">
        <v>516</v>
      </c>
      <c r="D14" s="34" t="s">
        <v>473</v>
      </c>
      <c r="E14" s="34" t="s">
        <v>517</v>
      </c>
      <c r="F14" s="34" t="n">
        <v>1575</v>
      </c>
      <c r="G14" s="34" t="n">
        <v>190</v>
      </c>
      <c r="H14" s="40" t="n">
        <v>64466.37</v>
      </c>
      <c r="I14" s="34" t="n">
        <v>1.13</v>
      </c>
      <c r="J14" s="34" t="n">
        <v>0.8</v>
      </c>
      <c r="K14" s="34" t="n">
        <v>1.4</v>
      </c>
      <c r="L14" s="34" t="n">
        <v>50.66</v>
      </c>
      <c r="M14" s="34" t="n">
        <v>50.66</v>
      </c>
      <c r="N14" s="34" t="n">
        <v>718</v>
      </c>
      <c r="O14" s="34" t="n">
        <v>0</v>
      </c>
      <c r="P14" s="34" t="s">
        <v>518</v>
      </c>
    </row>
    <row r="15" customFormat="false" ht="14.4" hidden="false" customHeight="false" outlineLevel="0" collapsed="false">
      <c r="A15" s="34" t="n">
        <v>14</v>
      </c>
      <c r="B15" s="35" t="n">
        <v>18862844000107</v>
      </c>
      <c r="C15" s="34" t="s">
        <v>519</v>
      </c>
      <c r="D15" s="34" t="s">
        <v>139</v>
      </c>
      <c r="E15" s="34" t="s">
        <v>520</v>
      </c>
      <c r="F15" s="34" t="n">
        <v>1834</v>
      </c>
      <c r="G15" s="34" t="n">
        <v>275</v>
      </c>
      <c r="H15" s="40" t="n">
        <v>61092.66</v>
      </c>
      <c r="I15" s="34" t="n">
        <v>1.32</v>
      </c>
      <c r="J15" s="34" t="n">
        <v>1.16</v>
      </c>
      <c r="K15" s="34" t="n">
        <v>1.32</v>
      </c>
      <c r="L15" s="34" t="n">
        <v>51.99</v>
      </c>
      <c r="M15" s="34" t="n">
        <v>51.99</v>
      </c>
      <c r="N15" s="34" t="n">
        <v>714</v>
      </c>
      <c r="O15" s="34" t="n">
        <v>0</v>
      </c>
      <c r="P15" s="34" t="s">
        <v>496</v>
      </c>
    </row>
    <row r="16" customFormat="false" ht="14.4" hidden="false" customHeight="false" outlineLevel="0" collapsed="false">
      <c r="A16" s="34" t="n">
        <v>15</v>
      </c>
      <c r="B16" s="35" t="n">
        <v>2310540000105</v>
      </c>
      <c r="C16" s="34" t="s">
        <v>521</v>
      </c>
      <c r="D16" s="34" t="s">
        <v>473</v>
      </c>
      <c r="E16" s="34" t="s">
        <v>522</v>
      </c>
      <c r="F16" s="34" t="n">
        <v>1373</v>
      </c>
      <c r="G16" s="34" t="n">
        <v>161</v>
      </c>
      <c r="H16" s="40" t="n">
        <v>57189.2</v>
      </c>
      <c r="I16" s="34" t="n">
        <v>0.98</v>
      </c>
      <c r="J16" s="34" t="n">
        <v>0.68</v>
      </c>
      <c r="K16" s="34" t="n">
        <v>1.24</v>
      </c>
      <c r="L16" s="34" t="n">
        <v>53.23</v>
      </c>
      <c r="M16" s="34" t="n">
        <v>53.23</v>
      </c>
      <c r="N16" s="34" t="n">
        <v>718</v>
      </c>
      <c r="O16" s="34" t="n">
        <v>0</v>
      </c>
      <c r="P16" s="34" t="s">
        <v>504</v>
      </c>
    </row>
    <row r="17" customFormat="false" ht="14.4" hidden="false" customHeight="false" outlineLevel="0" collapsed="false">
      <c r="A17" s="34" t="n">
        <v>16</v>
      </c>
      <c r="B17" s="35" t="n">
        <v>43437785000177</v>
      </c>
      <c r="C17" s="34" t="s">
        <v>523</v>
      </c>
      <c r="D17" s="34" t="s">
        <v>127</v>
      </c>
      <c r="E17" s="34" t="s">
        <v>524</v>
      </c>
      <c r="F17" s="34" t="n">
        <v>1788</v>
      </c>
      <c r="G17" s="34" t="n">
        <v>329</v>
      </c>
      <c r="H17" s="40" t="n">
        <v>54084.81</v>
      </c>
      <c r="I17" s="34" t="n">
        <v>1.28</v>
      </c>
      <c r="J17" s="34" t="n">
        <v>1.39</v>
      </c>
      <c r="K17" s="34" t="n">
        <v>1.17</v>
      </c>
      <c r="L17" s="34" t="n">
        <v>54.41</v>
      </c>
      <c r="M17" s="34" t="n">
        <v>54.41</v>
      </c>
      <c r="N17" s="34" t="n">
        <v>708</v>
      </c>
      <c r="O17" s="34" t="n">
        <v>0</v>
      </c>
      <c r="P17" s="34" t="s">
        <v>504</v>
      </c>
    </row>
    <row r="18" customFormat="false" ht="14.4" hidden="false" customHeight="false" outlineLevel="0" collapsed="false">
      <c r="A18" s="34" t="n">
        <v>17</v>
      </c>
      <c r="B18" s="35" t="n">
        <v>5027616000170</v>
      </c>
      <c r="C18" s="34" t="s">
        <v>525</v>
      </c>
      <c r="D18" s="34" t="s">
        <v>299</v>
      </c>
      <c r="E18" s="34" t="s">
        <v>526</v>
      </c>
      <c r="F18" s="34" t="n">
        <v>1216</v>
      </c>
      <c r="G18" s="34" t="n">
        <v>307</v>
      </c>
      <c r="H18" s="40" t="n">
        <v>53193.94</v>
      </c>
      <c r="I18" s="34" t="n">
        <v>0.87</v>
      </c>
      <c r="J18" s="34" t="n">
        <v>1.29</v>
      </c>
      <c r="K18" s="34" t="n">
        <v>1.15</v>
      </c>
      <c r="L18" s="34" t="n">
        <v>55.57</v>
      </c>
      <c r="M18" s="34" t="n">
        <v>55.57</v>
      </c>
      <c r="N18" s="34" t="n">
        <v>710</v>
      </c>
      <c r="O18" s="34" t="n">
        <v>0</v>
      </c>
      <c r="P18" s="34" t="s">
        <v>504</v>
      </c>
    </row>
    <row r="19" customFormat="false" ht="14.4" hidden="false" customHeight="false" outlineLevel="0" collapsed="false">
      <c r="A19" s="34" t="n">
        <v>18</v>
      </c>
      <c r="B19" s="35" t="n">
        <v>6813685001577</v>
      </c>
      <c r="C19" s="34" t="s">
        <v>512</v>
      </c>
      <c r="D19" s="34" t="s">
        <v>139</v>
      </c>
      <c r="E19" s="34" t="s">
        <v>527</v>
      </c>
      <c r="F19" s="34" t="n">
        <v>1486</v>
      </c>
      <c r="G19" s="34" t="n">
        <v>235</v>
      </c>
      <c r="H19" s="40" t="n">
        <v>52724.26</v>
      </c>
      <c r="I19" s="34" t="n">
        <v>1.07</v>
      </c>
      <c r="J19" s="34" t="n">
        <v>0.99</v>
      </c>
      <c r="K19" s="34" t="n">
        <v>1.14</v>
      </c>
      <c r="L19" s="34" t="n">
        <v>56.71</v>
      </c>
      <c r="M19" s="34" t="n">
        <v>56.71</v>
      </c>
      <c r="N19" s="34" t="n">
        <v>704</v>
      </c>
      <c r="O19" s="34" t="n">
        <v>0</v>
      </c>
      <c r="P19" s="34" t="s">
        <v>504</v>
      </c>
    </row>
    <row r="20" customFormat="false" ht="14.4" hidden="false" customHeight="false" outlineLevel="0" collapsed="false">
      <c r="A20" s="34" t="n">
        <v>19</v>
      </c>
      <c r="B20" s="35" t="n">
        <v>9531413001815</v>
      </c>
      <c r="C20" s="34" t="s">
        <v>528</v>
      </c>
      <c r="D20" s="34" t="s">
        <v>139</v>
      </c>
      <c r="E20" s="34" t="s">
        <v>529</v>
      </c>
      <c r="F20" s="34" t="n">
        <v>1467</v>
      </c>
      <c r="G20" s="34" t="n">
        <v>217</v>
      </c>
      <c r="H20" s="40" t="n">
        <v>51614.37</v>
      </c>
      <c r="I20" s="34" t="n">
        <v>1.05</v>
      </c>
      <c r="J20" s="34" t="n">
        <v>0.91</v>
      </c>
      <c r="K20" s="34" t="n">
        <v>1.12</v>
      </c>
      <c r="L20" s="34" t="n">
        <v>57.83</v>
      </c>
      <c r="M20" s="34" t="n">
        <v>57.83</v>
      </c>
      <c r="N20" s="34" t="n">
        <v>702</v>
      </c>
      <c r="O20" s="34" t="n">
        <v>0</v>
      </c>
      <c r="P20" s="34" t="s">
        <v>504</v>
      </c>
    </row>
    <row r="21" customFormat="false" ht="14.4" hidden="false" customHeight="false" outlineLevel="0" collapsed="false">
      <c r="A21" s="34" t="n">
        <v>20</v>
      </c>
      <c r="B21" s="35" t="n">
        <v>1274396000632</v>
      </c>
      <c r="C21" s="34" t="s">
        <v>530</v>
      </c>
      <c r="D21" s="34" t="s">
        <v>197</v>
      </c>
      <c r="E21" s="34" t="s">
        <v>531</v>
      </c>
      <c r="F21" s="34" t="n">
        <v>1832</v>
      </c>
      <c r="G21" s="34" t="n">
        <v>371</v>
      </c>
      <c r="H21" s="40" t="n">
        <v>49122.34</v>
      </c>
      <c r="I21" s="34" t="n">
        <v>1.31</v>
      </c>
      <c r="J21" s="34" t="n">
        <v>1.56</v>
      </c>
      <c r="K21" s="34" t="n">
        <v>1.06</v>
      </c>
      <c r="L21" s="34" t="n">
        <v>58.9</v>
      </c>
      <c r="M21" s="34" t="n">
        <v>58.9</v>
      </c>
      <c r="N21" s="34" t="n">
        <v>703</v>
      </c>
      <c r="O21" s="34" t="n">
        <v>0</v>
      </c>
      <c r="P21" s="34" t="s">
        <v>498</v>
      </c>
    </row>
    <row r="22" customFormat="false" ht="14.4" hidden="false" customHeight="false" outlineLevel="0" collapsed="false">
      <c r="A22" s="34" t="n">
        <v>21</v>
      </c>
      <c r="B22" s="35" t="n">
        <v>5348350000167</v>
      </c>
      <c r="C22" s="34" t="s">
        <v>532</v>
      </c>
      <c r="D22" s="34" t="s">
        <v>192</v>
      </c>
      <c r="E22" s="34" t="s">
        <v>533</v>
      </c>
      <c r="F22" s="34" t="n">
        <v>1430</v>
      </c>
      <c r="G22" s="34" t="n">
        <v>237</v>
      </c>
      <c r="H22" s="40" t="n">
        <v>44277.46</v>
      </c>
      <c r="I22" s="34" t="n">
        <v>1.02</v>
      </c>
      <c r="J22" s="34" t="n">
        <v>1</v>
      </c>
      <c r="K22" s="34" t="n">
        <v>0.96</v>
      </c>
      <c r="L22" s="34" t="n">
        <v>59.86</v>
      </c>
      <c r="M22" s="34" t="n">
        <v>59.86</v>
      </c>
      <c r="N22" s="34" t="n">
        <v>703</v>
      </c>
      <c r="O22" s="34" t="n">
        <v>0</v>
      </c>
      <c r="P22" s="34" t="s">
        <v>496</v>
      </c>
    </row>
    <row r="23" customFormat="false" ht="14.4" hidden="false" customHeight="false" outlineLevel="0" collapsed="false">
      <c r="A23" s="34" t="n">
        <v>22</v>
      </c>
      <c r="B23" s="35" t="n">
        <v>2318826000714</v>
      </c>
      <c r="C23" s="34" t="s">
        <v>471</v>
      </c>
      <c r="D23" s="34" t="s">
        <v>213</v>
      </c>
      <c r="E23" s="34" t="s">
        <v>534</v>
      </c>
      <c r="F23" s="34" t="n">
        <v>1341</v>
      </c>
      <c r="G23" s="34" t="n">
        <v>297</v>
      </c>
      <c r="H23" s="40" t="n">
        <v>42022.57</v>
      </c>
      <c r="I23" s="34" t="n">
        <v>0.96</v>
      </c>
      <c r="J23" s="34" t="n">
        <v>1.25</v>
      </c>
      <c r="K23" s="34" t="n">
        <v>0.91</v>
      </c>
      <c r="L23" s="34" t="n">
        <v>60.78</v>
      </c>
      <c r="M23" s="34" t="n">
        <v>60.78</v>
      </c>
      <c r="N23" s="34" t="n">
        <v>721</v>
      </c>
      <c r="O23" s="34" t="n">
        <v>0</v>
      </c>
      <c r="P23" s="34" t="s">
        <v>498</v>
      </c>
    </row>
    <row r="24" customFormat="false" ht="14.4" hidden="false" customHeight="false" outlineLevel="0" collapsed="false">
      <c r="A24" s="34" t="n">
        <v>23</v>
      </c>
      <c r="B24" s="35" t="n">
        <v>12887219000567</v>
      </c>
      <c r="C24" s="34" t="s">
        <v>535</v>
      </c>
      <c r="D24" s="34" t="s">
        <v>89</v>
      </c>
      <c r="E24" s="34" t="s">
        <v>536</v>
      </c>
      <c r="F24" s="34" t="n">
        <v>1360</v>
      </c>
      <c r="G24" s="34" t="n">
        <v>374</v>
      </c>
      <c r="H24" s="40" t="n">
        <v>40894.29</v>
      </c>
      <c r="I24" s="34" t="n">
        <v>0.97</v>
      </c>
      <c r="J24" s="34" t="n">
        <v>1.58</v>
      </c>
      <c r="K24" s="34" t="n">
        <v>0.88</v>
      </c>
      <c r="L24" s="34" t="n">
        <v>61.67</v>
      </c>
      <c r="M24" s="34" t="n">
        <v>61.67</v>
      </c>
      <c r="N24" s="34" t="n">
        <v>111</v>
      </c>
      <c r="O24" s="34" t="n">
        <v>0</v>
      </c>
      <c r="P24" s="34" t="s">
        <v>504</v>
      </c>
    </row>
    <row r="25" customFormat="false" ht="14.4" hidden="false" customHeight="false" outlineLevel="0" collapsed="false">
      <c r="A25" s="34" t="n">
        <v>24</v>
      </c>
      <c r="B25" s="35" t="n">
        <v>2318826000129</v>
      </c>
      <c r="C25" s="34" t="s">
        <v>471</v>
      </c>
      <c r="D25" s="34" t="s">
        <v>475</v>
      </c>
      <c r="E25" s="34" t="s">
        <v>537</v>
      </c>
      <c r="F25" s="34" t="n">
        <v>1130</v>
      </c>
      <c r="G25" s="34" t="n">
        <v>281</v>
      </c>
      <c r="H25" s="40" t="n">
        <v>40129.08</v>
      </c>
      <c r="I25" s="34" t="n">
        <v>0.81</v>
      </c>
      <c r="J25" s="34" t="n">
        <v>1.18</v>
      </c>
      <c r="K25" s="34" t="n">
        <v>0.87</v>
      </c>
      <c r="L25" s="34" t="n">
        <v>62.54</v>
      </c>
      <c r="M25" s="34" t="n">
        <v>62.54</v>
      </c>
      <c r="N25" s="34" t="n">
        <v>721</v>
      </c>
      <c r="O25" s="34" t="n">
        <v>0</v>
      </c>
      <c r="P25" s="34" t="s">
        <v>498</v>
      </c>
    </row>
    <row r="26" customFormat="false" ht="14.4" hidden="false" customHeight="false" outlineLevel="0" collapsed="false">
      <c r="A26" s="34" t="n">
        <v>25</v>
      </c>
      <c r="B26" s="35" t="n">
        <v>9473933000928</v>
      </c>
      <c r="C26" s="34" t="s">
        <v>476</v>
      </c>
      <c r="D26" s="34" t="s">
        <v>538</v>
      </c>
      <c r="E26" s="34" t="s">
        <v>539</v>
      </c>
      <c r="F26" s="34" t="n">
        <v>1138</v>
      </c>
      <c r="G26" s="34" t="n">
        <v>149</v>
      </c>
      <c r="H26" s="40" t="n">
        <v>37789.36</v>
      </c>
      <c r="I26" s="34" t="n">
        <v>0.81</v>
      </c>
      <c r="J26" s="34" t="n">
        <v>0.63</v>
      </c>
      <c r="K26" s="34" t="n">
        <v>0.82</v>
      </c>
      <c r="L26" s="34" t="n">
        <v>63.36</v>
      </c>
      <c r="M26" s="34" t="n">
        <v>63.36</v>
      </c>
      <c r="N26" s="34" t="n">
        <v>721</v>
      </c>
      <c r="O26" s="34" t="n">
        <v>0</v>
      </c>
      <c r="P26" s="34" t="s">
        <v>504</v>
      </c>
    </row>
    <row r="27" customFormat="false" ht="14.4" hidden="false" customHeight="false" outlineLevel="0" collapsed="false">
      <c r="A27" s="34" t="n">
        <v>26</v>
      </c>
      <c r="B27" s="35" t="n">
        <v>1274396001019</v>
      </c>
      <c r="C27" s="34" t="s">
        <v>530</v>
      </c>
      <c r="D27" s="34" t="s">
        <v>192</v>
      </c>
      <c r="E27" s="34" t="s">
        <v>540</v>
      </c>
      <c r="F27" s="34" t="n">
        <v>1250</v>
      </c>
      <c r="G27" s="34" t="n">
        <v>241</v>
      </c>
      <c r="H27" s="40" t="n">
        <v>35735.35</v>
      </c>
      <c r="I27" s="34" t="n">
        <v>0.9</v>
      </c>
      <c r="J27" s="34" t="n">
        <v>1.01</v>
      </c>
      <c r="K27" s="34" t="n">
        <v>0.77</v>
      </c>
      <c r="L27" s="34" t="n">
        <v>64.14</v>
      </c>
      <c r="M27" s="34" t="n">
        <v>64.14</v>
      </c>
      <c r="N27" s="34" t="n">
        <v>703</v>
      </c>
      <c r="O27" s="34" t="n">
        <v>0</v>
      </c>
      <c r="P27" s="34" t="s">
        <v>498</v>
      </c>
    </row>
    <row r="28" customFormat="false" ht="14.4" hidden="false" customHeight="false" outlineLevel="0" collapsed="false">
      <c r="A28" s="34" t="n">
        <v>27</v>
      </c>
      <c r="B28" s="35" t="n">
        <v>7297361000190</v>
      </c>
      <c r="C28" s="34" t="s">
        <v>541</v>
      </c>
      <c r="D28" s="34" t="s">
        <v>342</v>
      </c>
      <c r="E28" s="34" t="s">
        <v>542</v>
      </c>
      <c r="F28" s="34" t="n">
        <v>756</v>
      </c>
      <c r="G28" s="34" t="n">
        <v>134</v>
      </c>
      <c r="H28" s="40" t="n">
        <v>31078.77</v>
      </c>
      <c r="I28" s="34" t="n">
        <v>0.54</v>
      </c>
      <c r="J28" s="34" t="n">
        <v>0.56</v>
      </c>
      <c r="K28" s="34" t="n">
        <v>0.67</v>
      </c>
      <c r="L28" s="34" t="n">
        <v>64.81</v>
      </c>
      <c r="M28" s="34" t="n">
        <v>64.81</v>
      </c>
      <c r="N28" s="34" t="n">
        <v>705</v>
      </c>
      <c r="O28" s="34" t="n">
        <v>0</v>
      </c>
      <c r="P28" s="34" t="s">
        <v>496</v>
      </c>
    </row>
    <row r="29" customFormat="false" ht="14.4" hidden="false" customHeight="false" outlineLevel="0" collapsed="false">
      <c r="A29" s="34" t="n">
        <v>28</v>
      </c>
      <c r="B29" s="35" t="n">
        <v>18201846000155</v>
      </c>
      <c r="C29" s="34" t="s">
        <v>543</v>
      </c>
      <c r="D29" s="34" t="s">
        <v>448</v>
      </c>
      <c r="E29" s="34" t="s">
        <v>544</v>
      </c>
      <c r="F29" s="34" t="n">
        <v>873</v>
      </c>
      <c r="G29" s="34" t="n">
        <v>114</v>
      </c>
      <c r="H29" s="40" t="n">
        <v>29843.55</v>
      </c>
      <c r="I29" s="34" t="n">
        <v>0.62</v>
      </c>
      <c r="J29" s="34" t="n">
        <v>0.48</v>
      </c>
      <c r="K29" s="34" t="n">
        <v>0.64</v>
      </c>
      <c r="L29" s="34" t="n">
        <v>65.46</v>
      </c>
      <c r="M29" s="34" t="n">
        <v>65.46</v>
      </c>
      <c r="N29" s="34" t="n">
        <v>710</v>
      </c>
      <c r="O29" s="34" t="n">
        <v>0</v>
      </c>
      <c r="P29" s="34" t="s">
        <v>504</v>
      </c>
    </row>
    <row r="30" customFormat="false" ht="14.4" hidden="false" customHeight="false" outlineLevel="0" collapsed="false">
      <c r="A30" s="34" t="n">
        <v>29</v>
      </c>
      <c r="B30" s="35" t="n">
        <v>38448235000113</v>
      </c>
      <c r="C30" s="34" t="s">
        <v>545</v>
      </c>
      <c r="D30" s="34" t="s">
        <v>546</v>
      </c>
      <c r="E30" s="34" t="s">
        <v>547</v>
      </c>
      <c r="F30" s="34" t="n">
        <v>771</v>
      </c>
      <c r="G30" s="34" t="n">
        <v>90</v>
      </c>
      <c r="H30" s="40" t="n">
        <v>27126.98</v>
      </c>
      <c r="I30" s="34" t="n">
        <v>0.55</v>
      </c>
      <c r="J30" s="34" t="n">
        <v>0.38</v>
      </c>
      <c r="K30" s="34" t="n">
        <v>0.58</v>
      </c>
      <c r="L30" s="34" t="n">
        <v>66.05</v>
      </c>
      <c r="M30" s="34" t="n">
        <v>66.05</v>
      </c>
      <c r="N30" s="34" t="n">
        <v>718</v>
      </c>
      <c r="O30" s="34" t="n">
        <v>0</v>
      </c>
      <c r="P30" s="34" t="s">
        <v>510</v>
      </c>
    </row>
    <row r="31" customFormat="false" ht="14.4" hidden="false" customHeight="false" outlineLevel="0" collapsed="false">
      <c r="A31" s="34" t="n">
        <v>30</v>
      </c>
      <c r="B31" s="35" t="n">
        <v>5318045000122</v>
      </c>
      <c r="C31" s="34" t="s">
        <v>378</v>
      </c>
      <c r="D31" s="34" t="s">
        <v>548</v>
      </c>
      <c r="E31" s="34" t="s">
        <v>549</v>
      </c>
      <c r="F31" s="34" t="n">
        <v>614</v>
      </c>
      <c r="G31" s="34" t="n">
        <v>91</v>
      </c>
      <c r="H31" s="40" t="n">
        <v>26641.48</v>
      </c>
      <c r="I31" s="34" t="n">
        <v>0.44</v>
      </c>
      <c r="J31" s="34" t="n">
        <v>0.38</v>
      </c>
      <c r="K31" s="34" t="n">
        <v>0.57</v>
      </c>
      <c r="L31" s="34" t="n">
        <v>66.63</v>
      </c>
      <c r="M31" s="34" t="n">
        <v>66.63</v>
      </c>
      <c r="N31" s="34" t="n">
        <v>708</v>
      </c>
      <c r="O31" s="34" t="n">
        <v>0</v>
      </c>
      <c r="P31" s="34" t="s">
        <v>504</v>
      </c>
    </row>
    <row r="32" customFormat="false" ht="14.4" hidden="false" customHeight="false" outlineLevel="0" collapsed="false">
      <c r="A32" s="34" t="n">
        <v>31</v>
      </c>
      <c r="B32" s="35" t="n">
        <v>12887219000303</v>
      </c>
      <c r="C32" s="34" t="s">
        <v>506</v>
      </c>
      <c r="D32" s="34" t="s">
        <v>89</v>
      </c>
      <c r="E32" s="34" t="s">
        <v>550</v>
      </c>
      <c r="F32" s="34" t="n">
        <v>955</v>
      </c>
      <c r="G32" s="34" t="n">
        <v>198</v>
      </c>
      <c r="H32" s="40" t="n">
        <v>26590.59</v>
      </c>
      <c r="I32" s="34" t="n">
        <v>0.68</v>
      </c>
      <c r="J32" s="34" t="n">
        <v>0.83</v>
      </c>
      <c r="K32" s="34" t="n">
        <v>0.57</v>
      </c>
      <c r="L32" s="34" t="n">
        <v>67.21</v>
      </c>
      <c r="M32" s="34" t="n">
        <v>67.21</v>
      </c>
      <c r="N32" s="34" t="n">
        <v>211</v>
      </c>
      <c r="O32" s="34" t="n">
        <v>0</v>
      </c>
      <c r="P32" s="34" t="s">
        <v>504</v>
      </c>
    </row>
    <row r="33" customFormat="false" ht="14.4" hidden="false" customHeight="false" outlineLevel="0" collapsed="false">
      <c r="A33" s="34" t="n">
        <v>32</v>
      </c>
      <c r="B33" s="35" t="n">
        <v>2318826001109</v>
      </c>
      <c r="C33" s="34" t="s">
        <v>471</v>
      </c>
      <c r="D33" s="34" t="s">
        <v>139</v>
      </c>
      <c r="E33" s="34" t="s">
        <v>551</v>
      </c>
      <c r="F33" s="34" t="n">
        <v>953</v>
      </c>
      <c r="G33" s="34" t="n">
        <v>250</v>
      </c>
      <c r="H33" s="40" t="n">
        <v>26441.07</v>
      </c>
      <c r="I33" s="34" t="n">
        <v>0.68</v>
      </c>
      <c r="J33" s="34" t="n">
        <v>1.05</v>
      </c>
      <c r="K33" s="34" t="n">
        <v>0.57</v>
      </c>
      <c r="L33" s="34" t="n">
        <v>67.78</v>
      </c>
      <c r="M33" s="34" t="n">
        <v>67.78</v>
      </c>
      <c r="N33" s="34" t="n">
        <v>721</v>
      </c>
      <c r="O33" s="34" t="n">
        <v>0</v>
      </c>
      <c r="P33" s="34" t="s">
        <v>504</v>
      </c>
    </row>
    <row r="34" customFormat="false" ht="14.4" hidden="false" customHeight="false" outlineLevel="0" collapsed="false">
      <c r="A34" s="34" t="n">
        <v>33</v>
      </c>
      <c r="B34" s="35" t="n">
        <v>37570181000100</v>
      </c>
      <c r="C34" s="34" t="s">
        <v>552</v>
      </c>
      <c r="D34" s="34" t="s">
        <v>299</v>
      </c>
      <c r="E34" s="34" t="s">
        <v>553</v>
      </c>
      <c r="F34" s="34" t="n">
        <v>825</v>
      </c>
      <c r="G34" s="34" t="n">
        <v>121</v>
      </c>
      <c r="H34" s="40" t="n">
        <v>26415.13</v>
      </c>
      <c r="I34" s="34" t="n">
        <v>0.59</v>
      </c>
      <c r="J34" s="34" t="n">
        <v>0.51</v>
      </c>
      <c r="K34" s="34" t="n">
        <v>0.57</v>
      </c>
      <c r="L34" s="34" t="n">
        <v>68.36</v>
      </c>
      <c r="M34" s="34" t="n">
        <v>68.36</v>
      </c>
      <c r="N34" s="34" t="n">
        <v>710</v>
      </c>
      <c r="O34" s="34" t="n">
        <v>0</v>
      </c>
      <c r="P34" s="34" t="s">
        <v>510</v>
      </c>
    </row>
    <row r="35" customFormat="false" ht="14.4" hidden="false" customHeight="false" outlineLevel="0" collapsed="false">
      <c r="A35" s="34" t="n">
        <v>34</v>
      </c>
      <c r="B35" s="35" t="n">
        <v>15489834000180</v>
      </c>
      <c r="C35" s="34" t="s">
        <v>554</v>
      </c>
      <c r="D35" s="34" t="s">
        <v>103</v>
      </c>
      <c r="E35" s="34" t="s">
        <v>555</v>
      </c>
      <c r="F35" s="34" t="n">
        <v>707</v>
      </c>
      <c r="G35" s="34" t="n">
        <v>103</v>
      </c>
      <c r="H35" s="40" t="n">
        <v>26401.35</v>
      </c>
      <c r="I35" s="34" t="n">
        <v>0.5</v>
      </c>
      <c r="J35" s="34" t="n">
        <v>0.43</v>
      </c>
      <c r="K35" s="34" t="n">
        <v>0.57</v>
      </c>
      <c r="L35" s="34" t="n">
        <v>68.93</v>
      </c>
      <c r="M35" s="34" t="n">
        <v>68.93</v>
      </c>
      <c r="N35" s="34" t="n">
        <v>715</v>
      </c>
      <c r="O35" s="34" t="n">
        <v>0</v>
      </c>
      <c r="P35" s="34" t="s">
        <v>496</v>
      </c>
    </row>
    <row r="36" customFormat="false" ht="14.4" hidden="false" customHeight="false" outlineLevel="0" collapsed="false">
      <c r="A36" s="34" t="n">
        <v>35</v>
      </c>
      <c r="B36" s="35" t="n">
        <v>7719683000695</v>
      </c>
      <c r="C36" s="34" t="s">
        <v>556</v>
      </c>
      <c r="D36" s="34" t="s">
        <v>77</v>
      </c>
      <c r="E36" s="34" t="s">
        <v>557</v>
      </c>
      <c r="F36" s="34" t="n">
        <v>566</v>
      </c>
      <c r="G36" s="34" t="n">
        <v>85</v>
      </c>
      <c r="H36" s="40" t="n">
        <v>24860.61</v>
      </c>
      <c r="I36" s="34" t="n">
        <v>0.4</v>
      </c>
      <c r="J36" s="34" t="n">
        <v>0.35</v>
      </c>
      <c r="K36" s="34" t="n">
        <v>0.54</v>
      </c>
      <c r="L36" s="34" t="n">
        <v>69.47</v>
      </c>
      <c r="M36" s="34" t="n">
        <v>69.47</v>
      </c>
      <c r="N36" s="34" t="n">
        <v>301</v>
      </c>
      <c r="O36" s="34" t="n">
        <v>0</v>
      </c>
      <c r="P36" s="34" t="s">
        <v>504</v>
      </c>
    </row>
    <row r="37" customFormat="false" ht="14.4" hidden="false" customHeight="false" outlineLevel="0" collapsed="false">
      <c r="A37" s="34" t="n">
        <v>36</v>
      </c>
      <c r="B37" s="35" t="n">
        <v>14071909000145</v>
      </c>
      <c r="C37" s="34" t="s">
        <v>558</v>
      </c>
      <c r="D37" s="34" t="s">
        <v>197</v>
      </c>
      <c r="E37" s="34" t="s">
        <v>559</v>
      </c>
      <c r="F37" s="34" t="n">
        <v>662</v>
      </c>
      <c r="G37" s="34" t="n">
        <v>112</v>
      </c>
      <c r="H37" s="40" t="n">
        <v>23562.84</v>
      </c>
      <c r="I37" s="34" t="n">
        <v>0.47</v>
      </c>
      <c r="J37" s="34" t="n">
        <v>0.47</v>
      </c>
      <c r="K37" s="34" t="n">
        <v>0.51</v>
      </c>
      <c r="L37" s="34" t="n">
        <v>69.98</v>
      </c>
      <c r="M37" s="34" t="n">
        <v>69.98</v>
      </c>
      <c r="N37" s="34" t="n">
        <v>703</v>
      </c>
      <c r="O37" s="34" t="n">
        <v>0</v>
      </c>
      <c r="P37" s="34" t="s">
        <v>504</v>
      </c>
    </row>
    <row r="38" customFormat="false" ht="14.4" hidden="false" customHeight="false" outlineLevel="0" collapsed="false">
      <c r="A38" s="34" t="n">
        <v>37</v>
      </c>
      <c r="B38" s="35" t="n">
        <v>9531413001300</v>
      </c>
      <c r="C38" s="34" t="s">
        <v>528</v>
      </c>
      <c r="D38" s="34" t="s">
        <v>77</v>
      </c>
      <c r="E38" s="34" t="s">
        <v>560</v>
      </c>
      <c r="F38" s="34" t="n">
        <v>629</v>
      </c>
      <c r="G38" s="34" t="n">
        <v>90</v>
      </c>
      <c r="H38" s="40" t="n">
        <v>23499.8</v>
      </c>
      <c r="I38" s="34" t="n">
        <v>0.45</v>
      </c>
      <c r="J38" s="34" t="n">
        <v>0.38</v>
      </c>
      <c r="K38" s="34" t="n">
        <v>0.51</v>
      </c>
      <c r="L38" s="34" t="n">
        <v>70.49</v>
      </c>
      <c r="M38" s="34" t="n">
        <v>70.49</v>
      </c>
      <c r="N38" s="34" t="n">
        <v>702</v>
      </c>
      <c r="O38" s="34" t="n">
        <v>0</v>
      </c>
      <c r="P38" s="34" t="s">
        <v>496</v>
      </c>
    </row>
    <row r="39" customFormat="false" ht="14.4" hidden="false" customHeight="false" outlineLevel="0" collapsed="false">
      <c r="A39" s="34" t="n">
        <v>38</v>
      </c>
      <c r="B39" s="35" t="n">
        <v>54516133001892</v>
      </c>
      <c r="C39" s="34" t="s">
        <v>561</v>
      </c>
      <c r="D39" s="34" t="s">
        <v>562</v>
      </c>
      <c r="E39" s="34" t="s">
        <v>563</v>
      </c>
      <c r="F39" s="34" t="n">
        <v>536</v>
      </c>
      <c r="G39" s="34" t="n">
        <v>84</v>
      </c>
      <c r="H39" s="40" t="n">
        <v>22080.57</v>
      </c>
      <c r="I39" s="34" t="n">
        <v>0.38</v>
      </c>
      <c r="J39" s="34" t="n">
        <v>0.35</v>
      </c>
      <c r="K39" s="34" t="n">
        <v>0.47</v>
      </c>
      <c r="L39" s="34" t="n">
        <v>70.97</v>
      </c>
      <c r="M39" s="34" t="n">
        <v>70.97</v>
      </c>
      <c r="N39" s="34" t="n">
        <v>705</v>
      </c>
      <c r="O39" s="34" t="n">
        <v>0</v>
      </c>
      <c r="P39" s="34" t="s">
        <v>501</v>
      </c>
    </row>
    <row r="40" customFormat="false" ht="14.4" hidden="false" customHeight="false" outlineLevel="0" collapsed="false">
      <c r="A40" s="34" t="n">
        <v>39</v>
      </c>
      <c r="B40" s="35" t="n">
        <v>37577145000160</v>
      </c>
      <c r="C40" s="34" t="s">
        <v>564</v>
      </c>
      <c r="D40" s="34" t="s">
        <v>565</v>
      </c>
      <c r="E40" s="34" t="s">
        <v>566</v>
      </c>
      <c r="F40" s="34" t="n">
        <v>560</v>
      </c>
      <c r="G40" s="34" t="n">
        <v>84</v>
      </c>
      <c r="H40" s="40" t="n">
        <v>20036.59</v>
      </c>
      <c r="I40" s="34" t="n">
        <v>0.4</v>
      </c>
      <c r="J40" s="34" t="n">
        <v>0.35</v>
      </c>
      <c r="K40" s="34" t="n">
        <v>0.43</v>
      </c>
      <c r="L40" s="34" t="n">
        <v>71.41</v>
      </c>
      <c r="M40" s="34" t="n">
        <v>71.41</v>
      </c>
      <c r="N40" s="34" t="n">
        <v>721</v>
      </c>
      <c r="O40" s="34" t="n">
        <v>0</v>
      </c>
      <c r="P40" s="34" t="s">
        <v>501</v>
      </c>
    </row>
    <row r="41" customFormat="false" ht="14.4" hidden="false" customHeight="false" outlineLevel="0" collapsed="false">
      <c r="A41" s="34" t="n">
        <v>40</v>
      </c>
      <c r="B41" s="35" t="n">
        <v>37193828000113</v>
      </c>
      <c r="C41" s="34" t="s">
        <v>567</v>
      </c>
      <c r="D41" s="34" t="s">
        <v>357</v>
      </c>
      <c r="E41" s="34" t="s">
        <v>568</v>
      </c>
      <c r="F41" s="34" t="n">
        <v>539</v>
      </c>
      <c r="G41" s="34" t="n">
        <v>78</v>
      </c>
      <c r="H41" s="40" t="n">
        <v>19896.32</v>
      </c>
      <c r="I41" s="34" t="n">
        <v>0.38</v>
      </c>
      <c r="J41" s="34" t="n">
        <v>0.32</v>
      </c>
      <c r="K41" s="34" t="n">
        <v>0.43</v>
      </c>
      <c r="L41" s="34" t="n">
        <v>71.84</v>
      </c>
      <c r="M41" s="34" t="n">
        <v>71.84</v>
      </c>
      <c r="N41" s="34" t="n">
        <v>708</v>
      </c>
      <c r="O41" s="34" t="n">
        <v>0</v>
      </c>
      <c r="P41" s="34" t="s">
        <v>504</v>
      </c>
    </row>
    <row r="42" customFormat="false" ht="14.4" hidden="false" customHeight="false" outlineLevel="0" collapsed="false">
      <c r="A42" s="34" t="n">
        <v>41</v>
      </c>
      <c r="B42" s="35" t="n">
        <v>5318045000203</v>
      </c>
      <c r="C42" s="34" t="s">
        <v>378</v>
      </c>
      <c r="D42" s="34" t="s">
        <v>569</v>
      </c>
      <c r="E42" s="34" t="s">
        <v>570</v>
      </c>
      <c r="F42" s="34" t="n">
        <v>397</v>
      </c>
      <c r="G42" s="34" t="n">
        <v>73</v>
      </c>
      <c r="H42" s="40" t="n">
        <v>19551.53</v>
      </c>
      <c r="I42" s="34" t="n">
        <v>0.28</v>
      </c>
      <c r="J42" s="34" t="n">
        <v>0.31</v>
      </c>
      <c r="K42" s="34" t="n">
        <v>0.42</v>
      </c>
      <c r="L42" s="34" t="n">
        <v>72.27</v>
      </c>
      <c r="M42" s="34" t="n">
        <v>72.27</v>
      </c>
      <c r="N42" s="34" t="n">
        <v>708</v>
      </c>
      <c r="O42" s="34" t="n">
        <v>0</v>
      </c>
      <c r="P42" s="34" t="s">
        <v>496</v>
      </c>
    </row>
    <row r="43" customFormat="false" ht="14.4" hidden="false" customHeight="false" outlineLevel="0" collapsed="false">
      <c r="A43" s="34" t="n">
        <v>42</v>
      </c>
      <c r="B43" s="35" t="n">
        <v>46876542000123</v>
      </c>
      <c r="C43" s="34" t="s">
        <v>571</v>
      </c>
      <c r="D43" s="34" t="s">
        <v>139</v>
      </c>
      <c r="E43" s="34" t="s">
        <v>572</v>
      </c>
      <c r="F43" s="34" t="n">
        <v>525</v>
      </c>
      <c r="G43" s="34" t="n">
        <v>70</v>
      </c>
      <c r="H43" s="40" t="n">
        <v>19363.87</v>
      </c>
      <c r="I43" s="34" t="n">
        <v>0.37</v>
      </c>
      <c r="J43" s="34" t="n">
        <v>0.29</v>
      </c>
      <c r="K43" s="34" t="n">
        <v>0.42</v>
      </c>
      <c r="L43" s="34" t="n">
        <v>72.69</v>
      </c>
      <c r="M43" s="34" t="n">
        <v>72.69</v>
      </c>
      <c r="N43" s="34" t="n">
        <v>714</v>
      </c>
      <c r="O43" s="34" t="n">
        <v>0</v>
      </c>
      <c r="P43" s="34" t="s">
        <v>504</v>
      </c>
    </row>
    <row r="44" customFormat="false" ht="14.4" hidden="false" customHeight="false" outlineLevel="0" collapsed="false">
      <c r="A44" s="34" t="n">
        <v>43</v>
      </c>
      <c r="B44" s="35" t="n">
        <v>9531413000339</v>
      </c>
      <c r="C44" s="34" t="s">
        <v>528</v>
      </c>
      <c r="D44" s="34" t="s">
        <v>77</v>
      </c>
      <c r="E44" s="34" t="s">
        <v>573</v>
      </c>
      <c r="F44" s="34" t="n">
        <v>492</v>
      </c>
      <c r="G44" s="34" t="n">
        <v>80</v>
      </c>
      <c r="H44" s="40" t="n">
        <v>18011.18</v>
      </c>
      <c r="I44" s="34" t="n">
        <v>0.35</v>
      </c>
      <c r="J44" s="34" t="n">
        <v>0.33</v>
      </c>
      <c r="K44" s="34" t="n">
        <v>0.39</v>
      </c>
      <c r="L44" s="34" t="n">
        <v>73.08</v>
      </c>
      <c r="M44" s="34" t="n">
        <v>73.08</v>
      </c>
      <c r="N44" s="34" t="n">
        <v>702</v>
      </c>
      <c r="O44" s="34" t="n">
        <v>0</v>
      </c>
      <c r="P44" s="34" t="s">
        <v>504</v>
      </c>
    </row>
    <row r="45" customFormat="false" ht="14.4" hidden="false" customHeight="false" outlineLevel="0" collapsed="false">
      <c r="A45" s="34" t="n">
        <v>44</v>
      </c>
      <c r="B45" s="35" t="n">
        <v>17874930000177</v>
      </c>
      <c r="C45" s="34" t="s">
        <v>574</v>
      </c>
      <c r="D45" s="34" t="s">
        <v>139</v>
      </c>
      <c r="E45" s="34" t="s">
        <v>575</v>
      </c>
      <c r="F45" s="34" t="n">
        <v>625</v>
      </c>
      <c r="G45" s="34" t="n">
        <v>50</v>
      </c>
      <c r="H45" s="40" t="n">
        <v>17931.71</v>
      </c>
      <c r="I45" s="34" t="n">
        <v>0.44</v>
      </c>
      <c r="J45" s="34" t="n">
        <v>0.21</v>
      </c>
      <c r="K45" s="34" t="n">
        <v>0.38</v>
      </c>
      <c r="L45" s="34" t="n">
        <v>73.47</v>
      </c>
      <c r="M45" s="34" t="n">
        <v>73.47</v>
      </c>
      <c r="N45" s="34" t="n">
        <v>714</v>
      </c>
      <c r="O45" s="34" t="n">
        <v>0</v>
      </c>
      <c r="P45" s="34" t="s">
        <v>518</v>
      </c>
    </row>
    <row r="46" customFormat="false" ht="14.4" hidden="false" customHeight="false" outlineLevel="0" collapsed="false">
      <c r="A46" s="34" t="n">
        <v>45</v>
      </c>
      <c r="B46" s="35" t="n">
        <v>33168717000104</v>
      </c>
      <c r="C46" s="34" t="s">
        <v>576</v>
      </c>
      <c r="D46" s="34" t="s">
        <v>464</v>
      </c>
      <c r="E46" s="34" t="s">
        <v>577</v>
      </c>
      <c r="F46" s="34" t="n">
        <v>483</v>
      </c>
      <c r="G46" s="34" t="n">
        <v>105</v>
      </c>
      <c r="H46" s="40" t="n">
        <v>17908.15</v>
      </c>
      <c r="I46" s="34" t="n">
        <v>0.34</v>
      </c>
      <c r="J46" s="34" t="n">
        <v>0.44</v>
      </c>
      <c r="K46" s="34" t="n">
        <v>0.38</v>
      </c>
      <c r="L46" s="34" t="n">
        <v>73.86</v>
      </c>
      <c r="M46" s="34" t="n">
        <v>73.86</v>
      </c>
      <c r="N46" s="34" t="n">
        <v>712</v>
      </c>
      <c r="O46" s="34" t="n">
        <v>0</v>
      </c>
      <c r="P46" s="34" t="s">
        <v>496</v>
      </c>
    </row>
    <row r="47" customFormat="false" ht="14.4" hidden="false" customHeight="false" outlineLevel="0" collapsed="false">
      <c r="A47" s="34" t="n">
        <v>46</v>
      </c>
      <c r="B47" s="35" t="n">
        <v>37577145000240</v>
      </c>
      <c r="C47" s="34" t="s">
        <v>564</v>
      </c>
      <c r="D47" s="34" t="s">
        <v>565</v>
      </c>
      <c r="E47" s="34" t="s">
        <v>578</v>
      </c>
      <c r="F47" s="34" t="n">
        <v>514</v>
      </c>
      <c r="G47" s="34" t="n">
        <v>78</v>
      </c>
      <c r="H47" s="40" t="n">
        <v>17789.34</v>
      </c>
      <c r="I47" s="34" t="n">
        <v>0.37</v>
      </c>
      <c r="J47" s="34" t="n">
        <v>0.33</v>
      </c>
      <c r="K47" s="34" t="n">
        <v>0.38</v>
      </c>
      <c r="L47" s="34" t="n">
        <v>74.24</v>
      </c>
      <c r="M47" s="34" t="n">
        <v>74.24</v>
      </c>
      <c r="N47" s="34" t="n">
        <v>721</v>
      </c>
      <c r="O47" s="34" t="n">
        <v>0</v>
      </c>
      <c r="P47" s="34" t="s">
        <v>501</v>
      </c>
    </row>
    <row r="48" customFormat="false" ht="14.4" hidden="false" customHeight="false" outlineLevel="0" collapsed="false">
      <c r="A48" s="34" t="n">
        <v>47</v>
      </c>
      <c r="B48" s="35" t="n">
        <v>2318826000986</v>
      </c>
      <c r="C48" s="34" t="s">
        <v>471</v>
      </c>
      <c r="D48" s="34" t="s">
        <v>473</v>
      </c>
      <c r="E48" s="34" t="s">
        <v>579</v>
      </c>
      <c r="F48" s="34" t="n">
        <v>658</v>
      </c>
      <c r="G48" s="34" t="n">
        <v>196</v>
      </c>
      <c r="H48" s="40" t="n">
        <v>17444.01</v>
      </c>
      <c r="I48" s="34" t="n">
        <v>0.47</v>
      </c>
      <c r="J48" s="34" t="n">
        <v>0.82</v>
      </c>
      <c r="K48" s="34" t="n">
        <v>0.37</v>
      </c>
      <c r="L48" s="34" t="n">
        <v>74.62</v>
      </c>
      <c r="M48" s="34" t="n">
        <v>74.62</v>
      </c>
      <c r="N48" s="34" t="n">
        <v>721</v>
      </c>
      <c r="O48" s="34" t="n">
        <v>0</v>
      </c>
      <c r="P48" s="34" t="s">
        <v>498</v>
      </c>
    </row>
    <row r="49" customFormat="false" ht="14.4" hidden="false" customHeight="false" outlineLevel="0" collapsed="false">
      <c r="A49" s="34" t="n">
        <v>48</v>
      </c>
      <c r="B49" s="35" t="n">
        <v>10513998001153</v>
      </c>
      <c r="C49" s="34" t="s">
        <v>580</v>
      </c>
      <c r="D49" s="34" t="s">
        <v>581</v>
      </c>
      <c r="E49" s="34" t="s">
        <v>582</v>
      </c>
      <c r="F49" s="34" t="n">
        <v>521</v>
      </c>
      <c r="G49" s="34" t="n">
        <v>65</v>
      </c>
      <c r="H49" s="40" t="n">
        <v>17431.64</v>
      </c>
      <c r="I49" s="34" t="n">
        <v>0.37</v>
      </c>
      <c r="J49" s="34" t="n">
        <v>0.27</v>
      </c>
      <c r="K49" s="34" t="n">
        <v>0.37</v>
      </c>
      <c r="L49" s="34" t="n">
        <v>75</v>
      </c>
      <c r="M49" s="34" t="n">
        <v>75</v>
      </c>
      <c r="N49" s="34" t="n">
        <v>301</v>
      </c>
      <c r="O49" s="34" t="n">
        <v>0</v>
      </c>
      <c r="P49" s="34" t="s">
        <v>504</v>
      </c>
    </row>
    <row r="50" customFormat="false" ht="14.4" hidden="false" customHeight="false" outlineLevel="0" collapsed="false">
      <c r="A50" s="34" t="n">
        <v>49</v>
      </c>
      <c r="B50" s="35" t="n">
        <v>2318826001010</v>
      </c>
      <c r="C50" s="34" t="s">
        <v>471</v>
      </c>
      <c r="D50" s="34" t="s">
        <v>473</v>
      </c>
      <c r="E50" s="34" t="s">
        <v>583</v>
      </c>
      <c r="F50" s="34" t="n">
        <v>645</v>
      </c>
      <c r="G50" s="34" t="n">
        <v>204</v>
      </c>
      <c r="H50" s="40" t="n">
        <v>16844.9</v>
      </c>
      <c r="I50" s="34" t="n">
        <v>0.46</v>
      </c>
      <c r="J50" s="34" t="n">
        <v>0.86</v>
      </c>
      <c r="K50" s="34" t="n">
        <v>0.36</v>
      </c>
      <c r="L50" s="34" t="n">
        <v>75.37</v>
      </c>
      <c r="M50" s="34" t="n">
        <v>75.37</v>
      </c>
      <c r="N50" s="34" t="n">
        <v>721</v>
      </c>
      <c r="O50" s="34" t="n">
        <v>0</v>
      </c>
      <c r="P50" s="34" t="s">
        <v>498</v>
      </c>
    </row>
    <row r="51" customFormat="false" ht="14.4" hidden="false" customHeight="false" outlineLevel="0" collapsed="false">
      <c r="A51" s="34" t="n">
        <v>50</v>
      </c>
      <c r="B51" s="35" t="n">
        <v>4364799000156</v>
      </c>
      <c r="C51" s="34" t="s">
        <v>584</v>
      </c>
      <c r="D51" s="34" t="s">
        <v>103</v>
      </c>
      <c r="E51" s="34" t="s">
        <v>585</v>
      </c>
      <c r="F51" s="34" t="n">
        <v>297</v>
      </c>
      <c r="G51" s="34" t="n">
        <v>34</v>
      </c>
      <c r="H51" s="40" t="n">
        <v>16676.77</v>
      </c>
      <c r="I51" s="34" t="n">
        <v>0.21</v>
      </c>
      <c r="J51" s="34" t="n">
        <v>0.14</v>
      </c>
      <c r="K51" s="34" t="n">
        <v>0.36</v>
      </c>
      <c r="L51" s="34" t="n">
        <v>75.73</v>
      </c>
      <c r="M51" s="34" t="n">
        <v>75.73</v>
      </c>
      <c r="N51" s="34" t="n">
        <v>715</v>
      </c>
      <c r="O51" s="34" t="n">
        <v>0</v>
      </c>
      <c r="P51" s="34" t="s">
        <v>496</v>
      </c>
    </row>
    <row r="52" customFormat="false" ht="14.4" hidden="false" customHeight="false" outlineLevel="0" collapsed="false">
      <c r="A52" s="34" t="n">
        <v>51</v>
      </c>
      <c r="B52" s="35" t="n">
        <v>5348350000248</v>
      </c>
      <c r="C52" s="34" t="s">
        <v>532</v>
      </c>
      <c r="D52" s="34" t="s">
        <v>192</v>
      </c>
      <c r="E52" s="34" t="s">
        <v>586</v>
      </c>
      <c r="F52" s="34" t="n">
        <v>513</v>
      </c>
      <c r="G52" s="34" t="n">
        <v>99</v>
      </c>
      <c r="H52" s="40" t="n">
        <v>16413.74</v>
      </c>
      <c r="I52" s="34" t="n">
        <v>0.36</v>
      </c>
      <c r="J52" s="34" t="n">
        <v>0.41</v>
      </c>
      <c r="K52" s="34" t="n">
        <v>0.35</v>
      </c>
      <c r="L52" s="34" t="n">
        <v>76.09</v>
      </c>
      <c r="M52" s="34" t="n">
        <v>76.09</v>
      </c>
      <c r="N52" s="34" t="n">
        <v>703</v>
      </c>
      <c r="O52" s="34" t="n">
        <v>0</v>
      </c>
      <c r="P52" s="34" t="s">
        <v>504</v>
      </c>
    </row>
    <row r="53" customFormat="false" ht="14.4" hidden="false" customHeight="false" outlineLevel="0" collapsed="false">
      <c r="A53" s="34" t="n">
        <v>52</v>
      </c>
      <c r="B53" s="35" t="n">
        <v>35831943000221</v>
      </c>
      <c r="C53" s="34" t="s">
        <v>587</v>
      </c>
      <c r="D53" s="34" t="s">
        <v>588</v>
      </c>
      <c r="E53" s="34" t="s">
        <v>589</v>
      </c>
      <c r="F53" s="34" t="n">
        <v>555</v>
      </c>
      <c r="G53" s="34" t="n">
        <v>74</v>
      </c>
      <c r="H53" s="40" t="n">
        <v>15944.57</v>
      </c>
      <c r="I53" s="34" t="n">
        <v>0.39</v>
      </c>
      <c r="J53" s="34" t="n">
        <v>0.31</v>
      </c>
      <c r="K53" s="34" t="n">
        <v>0.34</v>
      </c>
      <c r="L53" s="34" t="n">
        <v>76.43</v>
      </c>
      <c r="M53" s="34" t="n">
        <v>76.43</v>
      </c>
      <c r="N53" s="34" t="n">
        <v>702</v>
      </c>
      <c r="O53" s="34" t="n">
        <v>0</v>
      </c>
      <c r="P53" s="34" t="s">
        <v>501</v>
      </c>
    </row>
    <row r="54" customFormat="false" ht="14.4" hidden="false" customHeight="false" outlineLevel="0" collapsed="false">
      <c r="A54" s="34" t="n">
        <v>53</v>
      </c>
      <c r="B54" s="35" t="n">
        <v>18862844000379</v>
      </c>
      <c r="C54" s="34" t="s">
        <v>590</v>
      </c>
      <c r="D54" s="34" t="s">
        <v>139</v>
      </c>
      <c r="E54" s="34" t="s">
        <v>591</v>
      </c>
      <c r="F54" s="34" t="n">
        <v>474</v>
      </c>
      <c r="G54" s="34" t="n">
        <v>61</v>
      </c>
      <c r="H54" s="40" t="n">
        <v>15900.46</v>
      </c>
      <c r="I54" s="34" t="n">
        <v>0.34</v>
      </c>
      <c r="J54" s="34" t="n">
        <v>0.25</v>
      </c>
      <c r="K54" s="34" t="n">
        <v>0.34</v>
      </c>
      <c r="L54" s="34" t="n">
        <v>76.78</v>
      </c>
      <c r="M54" s="34" t="n">
        <v>76.78</v>
      </c>
      <c r="N54" s="34" t="n">
        <v>714</v>
      </c>
      <c r="O54" s="34" t="n">
        <v>0</v>
      </c>
      <c r="P54" s="34" t="s">
        <v>504</v>
      </c>
    </row>
    <row r="55" customFormat="false" ht="14.4" hidden="false" customHeight="false" outlineLevel="0" collapsed="false">
      <c r="A55" s="34" t="n">
        <v>54</v>
      </c>
      <c r="B55" s="35" t="n">
        <v>1274396000390</v>
      </c>
      <c r="C55" s="34" t="s">
        <v>530</v>
      </c>
      <c r="D55" s="34" t="s">
        <v>192</v>
      </c>
      <c r="E55" s="34" t="s">
        <v>592</v>
      </c>
      <c r="F55" s="34" t="n">
        <v>511</v>
      </c>
      <c r="G55" s="34" t="n">
        <v>99</v>
      </c>
      <c r="H55" s="40" t="n">
        <v>15137.6</v>
      </c>
      <c r="I55" s="34" t="n">
        <v>0.36</v>
      </c>
      <c r="J55" s="34" t="n">
        <v>0.42</v>
      </c>
      <c r="K55" s="34" t="n">
        <v>0.32</v>
      </c>
      <c r="L55" s="34" t="n">
        <v>77.11</v>
      </c>
      <c r="M55" s="34" t="n">
        <v>77.11</v>
      </c>
      <c r="N55" s="34" t="n">
        <v>703</v>
      </c>
      <c r="O55" s="34" t="n">
        <v>0</v>
      </c>
      <c r="P55" s="34" t="s">
        <v>504</v>
      </c>
    </row>
    <row r="56" customFormat="false" ht="14.4" hidden="false" customHeight="false" outlineLevel="0" collapsed="false">
      <c r="A56" s="34" t="n">
        <v>55</v>
      </c>
      <c r="B56" s="35" t="n">
        <v>10513998000262</v>
      </c>
      <c r="C56" s="34" t="s">
        <v>593</v>
      </c>
      <c r="D56" s="34" t="s">
        <v>594</v>
      </c>
      <c r="E56" s="34" t="s">
        <v>595</v>
      </c>
      <c r="F56" s="34" t="n">
        <v>398</v>
      </c>
      <c r="G56" s="34" t="n">
        <v>56</v>
      </c>
      <c r="H56" s="40" t="n">
        <v>15013.36</v>
      </c>
      <c r="I56" s="34" t="n">
        <v>0.28</v>
      </c>
      <c r="J56" s="34" t="n">
        <v>0.23</v>
      </c>
      <c r="K56" s="34" t="n">
        <v>0.32</v>
      </c>
      <c r="L56" s="34" t="n">
        <v>77.44</v>
      </c>
      <c r="M56" s="34" t="n">
        <v>77.44</v>
      </c>
      <c r="N56" s="34" t="n">
        <v>301</v>
      </c>
      <c r="O56" s="34" t="n">
        <v>0</v>
      </c>
      <c r="P56" s="34" t="s">
        <v>496</v>
      </c>
    </row>
    <row r="57" customFormat="false" ht="14.4" hidden="false" customHeight="false" outlineLevel="0" collapsed="false">
      <c r="A57" s="34" t="n">
        <v>56</v>
      </c>
      <c r="B57" s="35" t="n">
        <v>9531413001068</v>
      </c>
      <c r="C57" s="34" t="s">
        <v>528</v>
      </c>
      <c r="D57" s="34" t="s">
        <v>154</v>
      </c>
      <c r="E57" s="34" t="s">
        <v>596</v>
      </c>
      <c r="F57" s="34" t="n">
        <v>420</v>
      </c>
      <c r="G57" s="34" t="n">
        <v>76</v>
      </c>
      <c r="H57" s="40" t="n">
        <v>14748.91</v>
      </c>
      <c r="I57" s="34" t="n">
        <v>0.3</v>
      </c>
      <c r="J57" s="34" t="n">
        <v>0.32</v>
      </c>
      <c r="K57" s="34" t="n">
        <v>0.32</v>
      </c>
      <c r="L57" s="34" t="n">
        <v>77.76</v>
      </c>
      <c r="M57" s="34" t="n">
        <v>77.76</v>
      </c>
      <c r="N57" s="34" t="n">
        <v>702</v>
      </c>
      <c r="O57" s="34" t="n">
        <v>0</v>
      </c>
      <c r="P57" s="34" t="s">
        <v>504</v>
      </c>
    </row>
    <row r="58" customFormat="false" ht="14.4" hidden="false" customHeight="false" outlineLevel="0" collapsed="false">
      <c r="A58" s="34" t="n">
        <v>57</v>
      </c>
      <c r="B58" s="35" t="n">
        <v>8608892000209</v>
      </c>
      <c r="C58" s="34" t="s">
        <v>597</v>
      </c>
      <c r="D58" s="34" t="s">
        <v>598</v>
      </c>
      <c r="E58" s="34" t="s">
        <v>599</v>
      </c>
      <c r="F58" s="34" t="n">
        <v>343</v>
      </c>
      <c r="G58" s="34" t="n">
        <v>56</v>
      </c>
      <c r="H58" s="40" t="n">
        <v>14376.34</v>
      </c>
      <c r="I58" s="34" t="n">
        <v>0.24</v>
      </c>
      <c r="J58" s="34" t="n">
        <v>0.23</v>
      </c>
      <c r="K58" s="34" t="n">
        <v>0.31</v>
      </c>
      <c r="L58" s="34" t="n">
        <v>78.07</v>
      </c>
      <c r="M58" s="34" t="n">
        <v>78.07</v>
      </c>
      <c r="N58" s="34" t="n">
        <v>711</v>
      </c>
      <c r="O58" s="34" t="n">
        <v>0</v>
      </c>
      <c r="P58" s="34" t="s">
        <v>504</v>
      </c>
    </row>
    <row r="59" customFormat="false" ht="14.4" hidden="false" customHeight="false" outlineLevel="0" collapsed="false">
      <c r="A59" s="34" t="n">
        <v>58</v>
      </c>
      <c r="B59" s="35" t="n">
        <v>9473933000170</v>
      </c>
      <c r="C59" s="34" t="s">
        <v>476</v>
      </c>
      <c r="D59" s="34" t="s">
        <v>538</v>
      </c>
      <c r="E59" s="34" t="s">
        <v>600</v>
      </c>
      <c r="F59" s="34" t="n">
        <v>409</v>
      </c>
      <c r="G59" s="34" t="n">
        <v>62</v>
      </c>
      <c r="H59" s="40" t="n">
        <v>14316.13</v>
      </c>
      <c r="I59" s="34" t="n">
        <v>0.29</v>
      </c>
      <c r="J59" s="34" t="n">
        <v>0.26</v>
      </c>
      <c r="K59" s="34" t="n">
        <v>0.31</v>
      </c>
      <c r="L59" s="34" t="n">
        <v>78.38</v>
      </c>
      <c r="M59" s="34" t="n">
        <v>78.38</v>
      </c>
      <c r="N59" s="34" t="n">
        <v>721</v>
      </c>
      <c r="O59" s="34" t="n">
        <v>0</v>
      </c>
      <c r="P59" s="34" t="s">
        <v>504</v>
      </c>
    </row>
    <row r="60" customFormat="false" ht="14.4" hidden="false" customHeight="false" outlineLevel="0" collapsed="false">
      <c r="A60" s="34" t="n">
        <v>59</v>
      </c>
      <c r="B60" s="35" t="n">
        <v>35831943000302</v>
      </c>
      <c r="C60" s="34" t="s">
        <v>587</v>
      </c>
      <c r="D60" s="34" t="s">
        <v>77</v>
      </c>
      <c r="E60" s="34" t="s">
        <v>601</v>
      </c>
      <c r="F60" s="34" t="n">
        <v>514</v>
      </c>
      <c r="G60" s="34" t="n">
        <v>72</v>
      </c>
      <c r="H60" s="40" t="n">
        <v>13782.95</v>
      </c>
      <c r="I60" s="34" t="n">
        <v>0.37</v>
      </c>
      <c r="J60" s="34" t="n">
        <v>0.3</v>
      </c>
      <c r="K60" s="34" t="n">
        <v>0.29</v>
      </c>
      <c r="L60" s="34" t="n">
        <v>78.68</v>
      </c>
      <c r="M60" s="34" t="n">
        <v>78.68</v>
      </c>
      <c r="N60" s="34" t="n">
        <v>702</v>
      </c>
      <c r="O60" s="34" t="n">
        <v>0</v>
      </c>
      <c r="P60" s="34" t="s">
        <v>501</v>
      </c>
    </row>
    <row r="61" customFormat="false" ht="14.4" hidden="false" customHeight="false" outlineLevel="0" collapsed="false">
      <c r="A61" s="34" t="n">
        <v>60</v>
      </c>
      <c r="B61" s="35" t="n">
        <v>35831943000493</v>
      </c>
      <c r="C61" s="34" t="s">
        <v>587</v>
      </c>
      <c r="D61" s="34" t="s">
        <v>117</v>
      </c>
      <c r="E61" s="34" t="s">
        <v>602</v>
      </c>
      <c r="F61" s="34" t="n">
        <v>473</v>
      </c>
      <c r="G61" s="34" t="n">
        <v>65</v>
      </c>
      <c r="H61" s="40" t="n">
        <v>13736.94</v>
      </c>
      <c r="I61" s="34" t="n">
        <v>0.34</v>
      </c>
      <c r="J61" s="34" t="n">
        <v>0.27</v>
      </c>
      <c r="K61" s="34" t="n">
        <v>0.29</v>
      </c>
      <c r="L61" s="34" t="n">
        <v>78.98</v>
      </c>
      <c r="M61" s="34" t="n">
        <v>78.98</v>
      </c>
      <c r="N61" s="34" t="n">
        <v>702</v>
      </c>
      <c r="O61" s="34" t="n">
        <v>0</v>
      </c>
      <c r="P61" s="34" t="s">
        <v>501</v>
      </c>
    </row>
    <row r="62" customFormat="false" ht="14.4" hidden="false" customHeight="false" outlineLevel="0" collapsed="false">
      <c r="A62" s="34" t="n">
        <v>61</v>
      </c>
      <c r="B62" s="35" t="n">
        <v>10513998001234</v>
      </c>
      <c r="C62" s="34" t="s">
        <v>603</v>
      </c>
      <c r="D62" s="34" t="s">
        <v>604</v>
      </c>
      <c r="E62" s="34" t="s">
        <v>605</v>
      </c>
      <c r="F62" s="34" t="n">
        <v>434</v>
      </c>
      <c r="G62" s="34" t="n">
        <v>54</v>
      </c>
      <c r="H62" s="40" t="n">
        <v>13515.72</v>
      </c>
      <c r="I62" s="34" t="n">
        <v>0.31</v>
      </c>
      <c r="J62" s="34" t="n">
        <v>0.22</v>
      </c>
      <c r="K62" s="34" t="n">
        <v>0.29</v>
      </c>
      <c r="L62" s="34" t="n">
        <v>79.27</v>
      </c>
      <c r="M62" s="34" t="n">
        <v>79.27</v>
      </c>
      <c r="N62" s="34" t="n">
        <v>301</v>
      </c>
      <c r="O62" s="34" t="n">
        <v>0</v>
      </c>
      <c r="P62" s="34" t="s">
        <v>504</v>
      </c>
    </row>
    <row r="63" customFormat="false" ht="14.4" hidden="false" customHeight="false" outlineLevel="0" collapsed="false">
      <c r="A63" s="34" t="n">
        <v>62</v>
      </c>
      <c r="B63" s="35" t="n">
        <v>37532249000158</v>
      </c>
      <c r="C63" s="34" t="s">
        <v>606</v>
      </c>
      <c r="D63" s="34" t="s">
        <v>569</v>
      </c>
      <c r="E63" s="34" t="s">
        <v>607</v>
      </c>
      <c r="F63" s="34" t="n">
        <v>316</v>
      </c>
      <c r="G63" s="34" t="n">
        <v>78</v>
      </c>
      <c r="H63" s="40" t="n">
        <v>13456.17</v>
      </c>
      <c r="I63" s="34" t="n">
        <v>0.22</v>
      </c>
      <c r="J63" s="34" t="n">
        <v>0.33</v>
      </c>
      <c r="K63" s="34" t="n">
        <v>0.29</v>
      </c>
      <c r="L63" s="34" t="n">
        <v>79.56</v>
      </c>
      <c r="M63" s="34" t="n">
        <v>79.56</v>
      </c>
      <c r="N63" s="34" t="n">
        <v>708</v>
      </c>
      <c r="O63" s="34" t="n">
        <v>0</v>
      </c>
      <c r="P63" s="34" t="s">
        <v>496</v>
      </c>
    </row>
    <row r="64" customFormat="false" ht="14.4" hidden="false" customHeight="false" outlineLevel="0" collapsed="false">
      <c r="A64" s="34" t="n">
        <v>63</v>
      </c>
      <c r="B64" s="35" t="n">
        <v>1274396000985</v>
      </c>
      <c r="C64" s="34" t="s">
        <v>530</v>
      </c>
      <c r="D64" s="34" t="s">
        <v>207</v>
      </c>
      <c r="E64" s="34" t="s">
        <v>608</v>
      </c>
      <c r="F64" s="34" t="n">
        <v>345</v>
      </c>
      <c r="G64" s="34" t="n">
        <v>73</v>
      </c>
      <c r="H64" s="40" t="n">
        <v>12951.56</v>
      </c>
      <c r="I64" s="34" t="n">
        <v>0.24</v>
      </c>
      <c r="J64" s="34" t="n">
        <v>0.3</v>
      </c>
      <c r="K64" s="34" t="n">
        <v>0.28</v>
      </c>
      <c r="L64" s="34" t="n">
        <v>79.85</v>
      </c>
      <c r="M64" s="34" t="n">
        <v>79.85</v>
      </c>
      <c r="N64" s="34" t="n">
        <v>703</v>
      </c>
      <c r="O64" s="34" t="n">
        <v>0</v>
      </c>
      <c r="P64" s="34" t="s">
        <v>501</v>
      </c>
    </row>
    <row r="65" customFormat="false" ht="14.4" hidden="false" customHeight="false" outlineLevel="0" collapsed="false">
      <c r="A65" s="34" t="n">
        <v>64</v>
      </c>
      <c r="B65" s="35" t="n">
        <v>19088260000199</v>
      </c>
      <c r="C65" s="34" t="s">
        <v>609</v>
      </c>
      <c r="D65" s="34" t="s">
        <v>357</v>
      </c>
      <c r="E65" s="34" t="s">
        <v>610</v>
      </c>
      <c r="F65" s="34" t="n">
        <v>226</v>
      </c>
      <c r="G65" s="34" t="n">
        <v>47</v>
      </c>
      <c r="H65" s="40" t="n">
        <v>12734.42</v>
      </c>
      <c r="I65" s="34" t="n">
        <v>0.16</v>
      </c>
      <c r="J65" s="34" t="n">
        <v>0.19</v>
      </c>
      <c r="K65" s="34" t="n">
        <v>0.27</v>
      </c>
      <c r="L65" s="34" t="n">
        <v>80.12</v>
      </c>
      <c r="M65" s="34" t="n">
        <v>80.12</v>
      </c>
      <c r="N65" s="34" t="n">
        <v>708</v>
      </c>
      <c r="O65" s="34" t="n">
        <v>0</v>
      </c>
      <c r="P65" s="34" t="s">
        <v>504</v>
      </c>
    </row>
    <row r="66" customFormat="false" ht="14.4" hidden="false" customHeight="false" outlineLevel="0" collapsed="false">
      <c r="A66" s="34" t="n">
        <v>65</v>
      </c>
      <c r="B66" s="35" t="n">
        <v>35831943000140</v>
      </c>
      <c r="C66" s="34" t="s">
        <v>587</v>
      </c>
      <c r="D66" s="34" t="s">
        <v>77</v>
      </c>
      <c r="E66" s="34" t="s">
        <v>611</v>
      </c>
      <c r="F66" s="34" t="n">
        <v>474</v>
      </c>
      <c r="G66" s="34" t="n">
        <v>72</v>
      </c>
      <c r="H66" s="40" t="n">
        <v>12395.95</v>
      </c>
      <c r="I66" s="34" t="n">
        <v>0.34</v>
      </c>
      <c r="J66" s="34" t="n">
        <v>0.3</v>
      </c>
      <c r="K66" s="34" t="n">
        <v>0.26</v>
      </c>
      <c r="L66" s="34" t="n">
        <v>80.39</v>
      </c>
      <c r="M66" s="34" t="n">
        <v>80.39</v>
      </c>
      <c r="N66" s="34" t="n">
        <v>702</v>
      </c>
      <c r="O66" s="34" t="n">
        <v>0</v>
      </c>
      <c r="P66" s="34" t="s">
        <v>501</v>
      </c>
    </row>
    <row r="67" customFormat="false" ht="14.4" hidden="false" customHeight="false" outlineLevel="0" collapsed="false">
      <c r="A67" s="34" t="n">
        <v>66</v>
      </c>
      <c r="B67" s="35" t="n">
        <v>9531413000762</v>
      </c>
      <c r="C67" s="34" t="s">
        <v>528</v>
      </c>
      <c r="D67" s="34" t="s">
        <v>77</v>
      </c>
      <c r="E67" s="34" t="s">
        <v>612</v>
      </c>
      <c r="F67" s="34" t="n">
        <v>350</v>
      </c>
      <c r="G67" s="34" t="n">
        <v>70</v>
      </c>
      <c r="H67" s="40" t="n">
        <v>12383.26</v>
      </c>
      <c r="I67" s="34" t="n">
        <v>0.25</v>
      </c>
      <c r="J67" s="34" t="n">
        <v>0.29</v>
      </c>
      <c r="K67" s="34" t="n">
        <v>0.26</v>
      </c>
      <c r="L67" s="34" t="n">
        <v>80.66</v>
      </c>
      <c r="M67" s="34" t="n">
        <v>80.66</v>
      </c>
      <c r="N67" s="34" t="n">
        <v>702</v>
      </c>
      <c r="O67" s="34" t="n">
        <v>0</v>
      </c>
      <c r="P67" s="34" t="s">
        <v>504</v>
      </c>
    </row>
    <row r="68" customFormat="false" ht="14.4" hidden="false" customHeight="false" outlineLevel="0" collapsed="false">
      <c r="A68" s="34" t="n">
        <v>67</v>
      </c>
      <c r="B68" s="35" t="n">
        <v>33768854000171</v>
      </c>
      <c r="C68" s="34" t="s">
        <v>613</v>
      </c>
      <c r="D68" s="34" t="s">
        <v>89</v>
      </c>
      <c r="E68" s="34" t="s">
        <v>514</v>
      </c>
      <c r="F68" s="34" t="n">
        <v>139</v>
      </c>
      <c r="G68" s="34" t="n">
        <v>21</v>
      </c>
      <c r="H68" s="40" t="n">
        <v>12377.91</v>
      </c>
      <c r="I68" s="34" t="n">
        <v>0.1</v>
      </c>
      <c r="J68" s="34" t="n">
        <v>0.09</v>
      </c>
      <c r="K68" s="34" t="n">
        <v>0.26</v>
      </c>
      <c r="L68" s="34" t="n">
        <v>80.93</v>
      </c>
      <c r="M68" s="34" t="n">
        <v>80.93</v>
      </c>
      <c r="N68" s="34" t="n">
        <v>711</v>
      </c>
      <c r="O68" s="34" t="n">
        <v>0</v>
      </c>
      <c r="P68" s="34" t="s">
        <v>504</v>
      </c>
    </row>
    <row r="69" customFormat="false" ht="14.4" hidden="false" customHeight="false" outlineLevel="0" collapsed="false">
      <c r="A69" s="34" t="n">
        <v>68</v>
      </c>
      <c r="B69" s="35" t="n">
        <v>9531413001491</v>
      </c>
      <c r="C69" s="34" t="s">
        <v>528</v>
      </c>
      <c r="D69" s="34" t="s">
        <v>77</v>
      </c>
      <c r="E69" s="34" t="s">
        <v>614</v>
      </c>
      <c r="F69" s="34" t="n">
        <v>393</v>
      </c>
      <c r="G69" s="34" t="n">
        <v>74</v>
      </c>
      <c r="H69" s="40" t="n">
        <v>12355.33</v>
      </c>
      <c r="I69" s="34" t="n">
        <v>0.28</v>
      </c>
      <c r="J69" s="34" t="n">
        <v>0.31</v>
      </c>
      <c r="K69" s="34" t="n">
        <v>0.26</v>
      </c>
      <c r="L69" s="34" t="n">
        <v>81.2</v>
      </c>
      <c r="M69" s="34" t="n">
        <v>81.2</v>
      </c>
      <c r="N69" s="34" t="n">
        <v>702</v>
      </c>
      <c r="O69" s="34" t="n">
        <v>0</v>
      </c>
      <c r="P69" s="34" t="s">
        <v>504</v>
      </c>
    </row>
    <row r="70" customFormat="false" ht="14.4" hidden="false" customHeight="false" outlineLevel="0" collapsed="false">
      <c r="A70" s="34" t="n">
        <v>69</v>
      </c>
      <c r="B70" s="35" t="n">
        <v>12075667001619</v>
      </c>
      <c r="C70" s="34" t="s">
        <v>615</v>
      </c>
      <c r="D70" s="34" t="s">
        <v>588</v>
      </c>
      <c r="E70" s="34" t="s">
        <v>616</v>
      </c>
      <c r="F70" s="34" t="n">
        <v>377</v>
      </c>
      <c r="G70" s="34" t="n">
        <v>53</v>
      </c>
      <c r="H70" s="40" t="n">
        <v>12268.68</v>
      </c>
      <c r="I70" s="34" t="n">
        <v>0.27</v>
      </c>
      <c r="J70" s="34" t="n">
        <v>0.22</v>
      </c>
      <c r="K70" s="34" t="n">
        <v>0.26</v>
      </c>
      <c r="L70" s="34" t="n">
        <v>81.47</v>
      </c>
      <c r="M70" s="34" t="n">
        <v>81.47</v>
      </c>
      <c r="N70" s="34" t="n">
        <v>301</v>
      </c>
      <c r="O70" s="34" t="n">
        <v>0</v>
      </c>
      <c r="P70" s="34" t="s">
        <v>496</v>
      </c>
    </row>
    <row r="71" customFormat="false" ht="14.4" hidden="false" customHeight="false" outlineLevel="0" collapsed="false">
      <c r="A71" s="34" t="n">
        <v>70</v>
      </c>
      <c r="B71" s="35" t="n">
        <v>35831943000574</v>
      </c>
      <c r="C71" s="34" t="s">
        <v>587</v>
      </c>
      <c r="D71" s="34" t="s">
        <v>77</v>
      </c>
      <c r="E71" s="34" t="s">
        <v>617</v>
      </c>
      <c r="F71" s="34" t="n">
        <v>405</v>
      </c>
      <c r="G71" s="34" t="n">
        <v>54</v>
      </c>
      <c r="H71" s="40" t="n">
        <v>11480.03</v>
      </c>
      <c r="I71" s="34" t="n">
        <v>0.29</v>
      </c>
      <c r="J71" s="34" t="n">
        <v>0.22</v>
      </c>
      <c r="K71" s="34" t="n">
        <v>0.24</v>
      </c>
      <c r="L71" s="34" t="n">
        <v>81.72</v>
      </c>
      <c r="M71" s="34" t="n">
        <v>81.72</v>
      </c>
      <c r="N71" s="34" t="n">
        <v>702</v>
      </c>
      <c r="O71" s="34" t="n">
        <v>0</v>
      </c>
      <c r="P71" s="34" t="s">
        <v>504</v>
      </c>
    </row>
    <row r="72" customFormat="false" ht="14.4" hidden="false" customHeight="false" outlineLevel="0" collapsed="false">
      <c r="A72" s="34" t="n">
        <v>71</v>
      </c>
      <c r="B72" s="35" t="n">
        <v>15000097000452</v>
      </c>
      <c r="C72" s="34" t="s">
        <v>618</v>
      </c>
      <c r="D72" s="34" t="s">
        <v>213</v>
      </c>
      <c r="E72" s="34" t="s">
        <v>619</v>
      </c>
      <c r="F72" s="34" t="n">
        <v>273</v>
      </c>
      <c r="G72" s="34" t="n">
        <v>24</v>
      </c>
      <c r="H72" s="40" t="n">
        <v>11138.34</v>
      </c>
      <c r="I72" s="34" t="n">
        <v>0.19</v>
      </c>
      <c r="J72" s="34" t="n">
        <v>0.1</v>
      </c>
      <c r="K72" s="34" t="n">
        <v>0.24</v>
      </c>
      <c r="L72" s="34" t="n">
        <v>81.96</v>
      </c>
      <c r="M72" s="34" t="n">
        <v>81.96</v>
      </c>
      <c r="N72" s="34" t="n">
        <v>706</v>
      </c>
      <c r="O72" s="34" t="n">
        <v>0</v>
      </c>
      <c r="P72" s="34" t="s">
        <v>504</v>
      </c>
    </row>
    <row r="73" customFormat="false" ht="14.4" hidden="false" customHeight="false" outlineLevel="0" collapsed="false">
      <c r="A73" s="34" t="n">
        <v>72</v>
      </c>
      <c r="B73" s="35" t="n">
        <v>10513998002044</v>
      </c>
      <c r="C73" s="34" t="s">
        <v>620</v>
      </c>
      <c r="D73" s="34" t="s">
        <v>604</v>
      </c>
      <c r="E73" s="34" t="s">
        <v>621</v>
      </c>
      <c r="F73" s="34" t="n">
        <v>290</v>
      </c>
      <c r="G73" s="34" t="n">
        <v>39</v>
      </c>
      <c r="H73" s="40" t="n">
        <v>11020.83</v>
      </c>
      <c r="I73" s="34" t="n">
        <v>0.2</v>
      </c>
      <c r="J73" s="34" t="n">
        <v>0.16</v>
      </c>
      <c r="K73" s="34" t="n">
        <v>0.23</v>
      </c>
      <c r="L73" s="34" t="n">
        <v>82.2</v>
      </c>
      <c r="M73" s="34" t="n">
        <v>82.2</v>
      </c>
      <c r="N73" s="34" t="n">
        <v>301</v>
      </c>
      <c r="O73" s="34" t="n">
        <v>0</v>
      </c>
      <c r="P73" s="34" t="s">
        <v>504</v>
      </c>
    </row>
    <row r="74" customFormat="false" ht="14.4" hidden="false" customHeight="false" outlineLevel="0" collapsed="false">
      <c r="A74" s="34" t="n">
        <v>73</v>
      </c>
      <c r="B74" s="35" t="n">
        <v>10513998000696</v>
      </c>
      <c r="C74" s="34" t="s">
        <v>622</v>
      </c>
      <c r="D74" s="34" t="s">
        <v>77</v>
      </c>
      <c r="E74" s="34" t="s">
        <v>623</v>
      </c>
      <c r="F74" s="34" t="n">
        <v>316</v>
      </c>
      <c r="G74" s="34" t="n">
        <v>44</v>
      </c>
      <c r="H74" s="40" t="n">
        <v>10648.63</v>
      </c>
      <c r="I74" s="34" t="n">
        <v>0.22</v>
      </c>
      <c r="J74" s="34" t="n">
        <v>0.18</v>
      </c>
      <c r="K74" s="34" t="n">
        <v>0.23</v>
      </c>
      <c r="L74" s="34" t="n">
        <v>82.43</v>
      </c>
      <c r="M74" s="34" t="n">
        <v>82.43</v>
      </c>
      <c r="N74" s="34" t="n">
        <v>301</v>
      </c>
      <c r="O74" s="34" t="n">
        <v>0</v>
      </c>
      <c r="P74" s="34" t="s">
        <v>504</v>
      </c>
    </row>
    <row r="75" customFormat="false" ht="14.4" hidden="false" customHeight="false" outlineLevel="0" collapsed="false">
      <c r="A75" s="34" t="n">
        <v>74</v>
      </c>
      <c r="B75" s="35" t="n">
        <v>33168717000368</v>
      </c>
      <c r="C75" s="34" t="s">
        <v>576</v>
      </c>
      <c r="D75" s="34" t="s">
        <v>464</v>
      </c>
      <c r="E75" s="34" t="s">
        <v>624</v>
      </c>
      <c r="F75" s="34" t="n">
        <v>285</v>
      </c>
      <c r="G75" s="34" t="n">
        <v>57</v>
      </c>
      <c r="H75" s="40" t="n">
        <v>10038.28</v>
      </c>
      <c r="I75" s="34" t="n">
        <v>0.2</v>
      </c>
      <c r="J75" s="34" t="n">
        <v>0.23</v>
      </c>
      <c r="K75" s="34" t="n">
        <v>0.21</v>
      </c>
      <c r="L75" s="34" t="n">
        <v>82.65</v>
      </c>
      <c r="M75" s="34" t="n">
        <v>82.65</v>
      </c>
      <c r="N75" s="34" t="n">
        <v>712</v>
      </c>
      <c r="O75" s="34" t="n">
        <v>0</v>
      </c>
      <c r="P75" s="34" t="s">
        <v>504</v>
      </c>
    </row>
    <row r="76" customFormat="false" ht="14.4" hidden="false" customHeight="false" outlineLevel="0" collapsed="false">
      <c r="A76" s="34" t="n">
        <v>75</v>
      </c>
      <c r="B76" s="35" t="n">
        <v>7893298000155</v>
      </c>
      <c r="C76" s="34" t="s">
        <v>625</v>
      </c>
      <c r="D76" s="34" t="s">
        <v>626</v>
      </c>
      <c r="E76" s="34" t="s">
        <v>627</v>
      </c>
      <c r="F76" s="34" t="n">
        <v>384</v>
      </c>
      <c r="G76" s="34" t="n">
        <v>70</v>
      </c>
      <c r="H76" s="40" t="n">
        <v>10021.29</v>
      </c>
      <c r="I76" s="34" t="n">
        <v>0.27</v>
      </c>
      <c r="J76" s="34" t="n">
        <v>0.29</v>
      </c>
      <c r="K76" s="34" t="n">
        <v>0.21</v>
      </c>
      <c r="L76" s="34" t="n">
        <v>82.86</v>
      </c>
      <c r="M76" s="34" t="n">
        <v>82.86</v>
      </c>
      <c r="N76" s="34" t="n">
        <v>718</v>
      </c>
      <c r="O76" s="34" t="n">
        <v>0</v>
      </c>
      <c r="P76" s="34" t="s">
        <v>504</v>
      </c>
    </row>
    <row r="77" customFormat="false" ht="14.4" hidden="false" customHeight="false" outlineLevel="0" collapsed="false">
      <c r="A77" s="34" t="n">
        <v>76</v>
      </c>
      <c r="B77" s="35" t="n">
        <v>10513998000343</v>
      </c>
      <c r="C77" s="34" t="s">
        <v>628</v>
      </c>
      <c r="D77" s="34" t="s">
        <v>594</v>
      </c>
      <c r="E77" s="34" t="s">
        <v>629</v>
      </c>
      <c r="F77" s="34" t="n">
        <v>283</v>
      </c>
      <c r="G77" s="34" t="n">
        <v>36</v>
      </c>
      <c r="H77" s="40" t="n">
        <v>9885.15</v>
      </c>
      <c r="I77" s="34" t="n">
        <v>0.2</v>
      </c>
      <c r="J77" s="34" t="n">
        <v>0.15</v>
      </c>
      <c r="K77" s="34" t="n">
        <v>0.21</v>
      </c>
      <c r="L77" s="34" t="n">
        <v>83.08</v>
      </c>
      <c r="M77" s="34" t="n">
        <v>83.08</v>
      </c>
      <c r="N77" s="34" t="n">
        <v>301</v>
      </c>
      <c r="O77" s="34" t="n">
        <v>0</v>
      </c>
      <c r="P77" s="34" t="s">
        <v>504</v>
      </c>
    </row>
    <row r="78" customFormat="false" ht="14.4" hidden="false" customHeight="false" outlineLevel="0" collapsed="false">
      <c r="A78" s="34" t="n">
        <v>77</v>
      </c>
      <c r="B78" s="35" t="n">
        <v>33791062000118</v>
      </c>
      <c r="C78" s="34" t="s">
        <v>630</v>
      </c>
      <c r="D78" s="34" t="s">
        <v>631</v>
      </c>
      <c r="E78" s="34" t="s">
        <v>632</v>
      </c>
      <c r="F78" s="34" t="n">
        <v>254</v>
      </c>
      <c r="G78" s="34" t="n">
        <v>34</v>
      </c>
      <c r="H78" s="40" t="n">
        <v>9567.69</v>
      </c>
      <c r="I78" s="34" t="n">
        <v>0.18</v>
      </c>
      <c r="J78" s="34" t="n">
        <v>0.14</v>
      </c>
      <c r="K78" s="34" t="n">
        <v>0.2</v>
      </c>
      <c r="L78" s="34" t="n">
        <v>83.29</v>
      </c>
      <c r="M78" s="34" t="n">
        <v>83.29</v>
      </c>
      <c r="N78" s="34" t="n">
        <v>706</v>
      </c>
      <c r="O78" s="34" t="n">
        <v>0</v>
      </c>
      <c r="P78" s="34" t="s">
        <v>504</v>
      </c>
    </row>
    <row r="79" customFormat="false" ht="14.4" hidden="false" customHeight="false" outlineLevel="0" collapsed="false">
      <c r="A79" s="34" t="n">
        <v>78</v>
      </c>
      <c r="B79" s="35" t="n">
        <v>12075667000302</v>
      </c>
      <c r="C79" s="34" t="s">
        <v>633</v>
      </c>
      <c r="D79" s="34" t="s">
        <v>77</v>
      </c>
      <c r="E79" s="34" t="s">
        <v>634</v>
      </c>
      <c r="F79" s="34" t="n">
        <v>278</v>
      </c>
      <c r="G79" s="34" t="n">
        <v>42</v>
      </c>
      <c r="H79" s="40" t="n">
        <v>9465.1</v>
      </c>
      <c r="I79" s="34" t="n">
        <v>0.2</v>
      </c>
      <c r="J79" s="34" t="n">
        <v>0.17</v>
      </c>
      <c r="K79" s="34" t="n">
        <v>0.2</v>
      </c>
      <c r="L79" s="34" t="n">
        <v>83.49</v>
      </c>
      <c r="M79" s="34" t="n">
        <v>83.49</v>
      </c>
      <c r="N79" s="34" t="n">
        <v>301</v>
      </c>
      <c r="O79" s="34" t="n">
        <v>0</v>
      </c>
      <c r="P79" s="34" t="s">
        <v>504</v>
      </c>
    </row>
    <row r="80" customFormat="false" ht="14.4" hidden="false" customHeight="false" outlineLevel="0" collapsed="false">
      <c r="A80" s="34" t="n">
        <v>79</v>
      </c>
      <c r="B80" s="35" t="n">
        <v>16811326000139</v>
      </c>
      <c r="C80" s="34" t="s">
        <v>635</v>
      </c>
      <c r="D80" s="34" t="s">
        <v>463</v>
      </c>
      <c r="E80" s="34" t="s">
        <v>636</v>
      </c>
      <c r="F80" s="34" t="n">
        <v>258</v>
      </c>
      <c r="G80" s="34" t="n">
        <v>65</v>
      </c>
      <c r="H80" s="40" t="n">
        <v>9424.51</v>
      </c>
      <c r="I80" s="34" t="n">
        <v>0.18</v>
      </c>
      <c r="J80" s="34" t="n">
        <v>0.27</v>
      </c>
      <c r="K80" s="34" t="n">
        <v>0.2</v>
      </c>
      <c r="L80" s="34" t="n">
        <v>83.7</v>
      </c>
      <c r="M80" s="34" t="n">
        <v>83.7</v>
      </c>
      <c r="N80" s="34" t="n">
        <v>712</v>
      </c>
      <c r="O80" s="34" t="n">
        <v>0</v>
      </c>
      <c r="P80" s="34" t="s">
        <v>504</v>
      </c>
    </row>
    <row r="81" customFormat="false" ht="14.4" hidden="false" customHeight="false" outlineLevel="0" collapsed="false">
      <c r="A81" s="34" t="n">
        <v>80</v>
      </c>
      <c r="B81" s="35" t="n">
        <v>1274396000802</v>
      </c>
      <c r="C81" s="34" t="s">
        <v>530</v>
      </c>
      <c r="D81" s="34" t="s">
        <v>213</v>
      </c>
      <c r="E81" s="34" t="s">
        <v>637</v>
      </c>
      <c r="F81" s="34" t="n">
        <v>269</v>
      </c>
      <c r="G81" s="34" t="n">
        <v>41</v>
      </c>
      <c r="H81" s="40" t="n">
        <v>9335.77</v>
      </c>
      <c r="I81" s="34" t="n">
        <v>0.19</v>
      </c>
      <c r="J81" s="34" t="n">
        <v>0.17</v>
      </c>
      <c r="K81" s="34" t="n">
        <v>0.2</v>
      </c>
      <c r="L81" s="34" t="n">
        <v>83.9</v>
      </c>
      <c r="M81" s="34" t="n">
        <v>83.9</v>
      </c>
      <c r="N81" s="34" t="n">
        <v>703</v>
      </c>
      <c r="O81" s="34" t="n">
        <v>0</v>
      </c>
      <c r="P81" s="34" t="s">
        <v>501</v>
      </c>
    </row>
    <row r="82" customFormat="false" ht="14.4" hidden="false" customHeight="false" outlineLevel="0" collapsed="false">
      <c r="A82" s="34" t="n">
        <v>81</v>
      </c>
      <c r="B82" s="35" t="n">
        <v>39596428000184</v>
      </c>
      <c r="C82" s="34" t="s">
        <v>638</v>
      </c>
      <c r="D82" s="34" t="s">
        <v>546</v>
      </c>
      <c r="E82" s="34" t="s">
        <v>639</v>
      </c>
      <c r="F82" s="34" t="n">
        <v>156</v>
      </c>
      <c r="G82" s="34" t="n">
        <v>19</v>
      </c>
      <c r="H82" s="40" t="n">
        <v>9265.75</v>
      </c>
      <c r="I82" s="34" t="n">
        <v>0.11</v>
      </c>
      <c r="J82" s="34" t="n">
        <v>0.08</v>
      </c>
      <c r="K82" s="34" t="n">
        <v>0.2</v>
      </c>
      <c r="L82" s="34" t="n">
        <v>84.1</v>
      </c>
      <c r="M82" s="34" t="n">
        <v>84.1</v>
      </c>
      <c r="N82" s="34" t="n">
        <v>718</v>
      </c>
      <c r="O82" s="34" t="n">
        <v>0</v>
      </c>
      <c r="P82" s="34" t="s">
        <v>496</v>
      </c>
    </row>
    <row r="83" customFormat="false" ht="14.4" hidden="false" customHeight="false" outlineLevel="0" collapsed="false">
      <c r="A83" s="34" t="n">
        <v>82</v>
      </c>
      <c r="B83" s="35" t="n">
        <v>8573541000110</v>
      </c>
      <c r="C83" s="34" t="s">
        <v>640</v>
      </c>
      <c r="D83" s="34" t="s">
        <v>296</v>
      </c>
      <c r="E83" s="34" t="s">
        <v>641</v>
      </c>
      <c r="F83" s="34" t="n">
        <v>278</v>
      </c>
      <c r="G83" s="34" t="n">
        <v>64</v>
      </c>
      <c r="H83" s="40" t="n">
        <v>9241.87</v>
      </c>
      <c r="I83" s="34" t="n">
        <v>0.2</v>
      </c>
      <c r="J83" s="34" t="n">
        <v>0.27</v>
      </c>
      <c r="K83" s="34" t="n">
        <v>0.2</v>
      </c>
      <c r="L83" s="34" t="n">
        <v>84.3</v>
      </c>
      <c r="M83" s="34" t="n">
        <v>84.3</v>
      </c>
      <c r="N83" s="34" t="n">
        <v>703</v>
      </c>
      <c r="O83" s="34" t="n">
        <v>0</v>
      </c>
      <c r="P83" s="34" t="s">
        <v>510</v>
      </c>
    </row>
    <row r="84" customFormat="false" ht="14.4" hidden="false" customHeight="false" outlineLevel="0" collapsed="false">
      <c r="A84" s="34" t="n">
        <v>83</v>
      </c>
      <c r="B84" s="35" t="n">
        <v>5318045000394</v>
      </c>
      <c r="C84" s="34" t="s">
        <v>378</v>
      </c>
      <c r="D84" s="34" t="s">
        <v>548</v>
      </c>
      <c r="E84" s="34" t="s">
        <v>642</v>
      </c>
      <c r="F84" s="34" t="n">
        <v>180</v>
      </c>
      <c r="G84" s="34" t="n">
        <v>33</v>
      </c>
      <c r="H84" s="40" t="n">
        <v>9175.46</v>
      </c>
      <c r="I84" s="34" t="n">
        <v>0.13</v>
      </c>
      <c r="J84" s="34" t="n">
        <v>0.13</v>
      </c>
      <c r="K84" s="34" t="n">
        <v>0.19</v>
      </c>
      <c r="L84" s="34" t="n">
        <v>84.5</v>
      </c>
      <c r="M84" s="34" t="n">
        <v>84.5</v>
      </c>
      <c r="N84" s="34" t="n">
        <v>708</v>
      </c>
      <c r="O84" s="34" t="n">
        <v>0</v>
      </c>
      <c r="P84" s="34" t="s">
        <v>504</v>
      </c>
    </row>
    <row r="85" customFormat="false" ht="14.4" hidden="false" customHeight="false" outlineLevel="0" collapsed="false">
      <c r="A85" s="34" t="n">
        <v>84</v>
      </c>
      <c r="B85" s="35" t="n">
        <v>12075667000566</v>
      </c>
      <c r="C85" s="34" t="s">
        <v>643</v>
      </c>
      <c r="D85" s="34" t="s">
        <v>77</v>
      </c>
      <c r="E85" s="34" t="s">
        <v>644</v>
      </c>
      <c r="F85" s="34" t="n">
        <v>241</v>
      </c>
      <c r="G85" s="34" t="n">
        <v>35</v>
      </c>
      <c r="H85" s="40" t="n">
        <v>9050.91</v>
      </c>
      <c r="I85" s="34" t="n">
        <v>0.17</v>
      </c>
      <c r="J85" s="34" t="n">
        <v>0.14</v>
      </c>
      <c r="K85" s="34" t="n">
        <v>0.19</v>
      </c>
      <c r="L85" s="34" t="n">
        <v>84.7</v>
      </c>
      <c r="M85" s="34" t="n">
        <v>84.7</v>
      </c>
      <c r="N85" s="34" t="n">
        <v>301</v>
      </c>
      <c r="O85" s="34" t="n">
        <v>0</v>
      </c>
      <c r="P85" s="34" t="s">
        <v>504</v>
      </c>
    </row>
    <row r="86" customFormat="false" ht="14.4" hidden="false" customHeight="false" outlineLevel="0" collapsed="false">
      <c r="A86" s="34" t="n">
        <v>85</v>
      </c>
      <c r="B86" s="35" t="n">
        <v>7719683000423</v>
      </c>
      <c r="C86" s="34" t="s">
        <v>645</v>
      </c>
      <c r="D86" s="34" t="s">
        <v>77</v>
      </c>
      <c r="E86" s="34" t="s">
        <v>557</v>
      </c>
      <c r="F86" s="34" t="n">
        <v>222</v>
      </c>
      <c r="G86" s="34" t="n">
        <v>32</v>
      </c>
      <c r="H86" s="40" t="n">
        <v>8949.71</v>
      </c>
      <c r="I86" s="34" t="n">
        <v>0.16</v>
      </c>
      <c r="J86" s="34" t="n">
        <v>0.13</v>
      </c>
      <c r="K86" s="34" t="n">
        <v>0.19</v>
      </c>
      <c r="L86" s="34" t="n">
        <v>84.89</v>
      </c>
      <c r="M86" s="34" t="n">
        <v>84.89</v>
      </c>
      <c r="N86" s="34" t="n">
        <v>301</v>
      </c>
      <c r="O86" s="34" t="n">
        <v>0</v>
      </c>
      <c r="P86" s="34" t="s">
        <v>504</v>
      </c>
    </row>
    <row r="87" customFormat="false" ht="14.4" hidden="false" customHeight="false" outlineLevel="0" collapsed="false">
      <c r="A87" s="34" t="n">
        <v>86</v>
      </c>
      <c r="B87" s="35" t="n">
        <v>12075667000728</v>
      </c>
      <c r="C87" s="34" t="s">
        <v>646</v>
      </c>
      <c r="D87" s="34" t="s">
        <v>77</v>
      </c>
      <c r="E87" s="34" t="s">
        <v>647</v>
      </c>
      <c r="F87" s="34" t="n">
        <v>244</v>
      </c>
      <c r="G87" s="34" t="n">
        <v>34</v>
      </c>
      <c r="H87" s="40" t="n">
        <v>8870.47</v>
      </c>
      <c r="I87" s="34" t="n">
        <v>0.17</v>
      </c>
      <c r="J87" s="34" t="n">
        <v>0.14</v>
      </c>
      <c r="K87" s="34" t="n">
        <v>0.19</v>
      </c>
      <c r="L87" s="34" t="n">
        <v>85.09</v>
      </c>
      <c r="M87" s="34" t="n">
        <v>85.09</v>
      </c>
      <c r="N87" s="34" t="n">
        <v>301</v>
      </c>
      <c r="O87" s="34" t="n">
        <v>0</v>
      </c>
      <c r="P87" s="34" t="s">
        <v>504</v>
      </c>
    </row>
    <row r="88" customFormat="false" ht="14.4" hidden="false" customHeight="false" outlineLevel="0" collapsed="false">
      <c r="A88" s="34" t="n">
        <v>87</v>
      </c>
      <c r="B88" s="35" t="n">
        <v>10513998001315</v>
      </c>
      <c r="C88" s="34" t="s">
        <v>648</v>
      </c>
      <c r="D88" s="34" t="s">
        <v>77</v>
      </c>
      <c r="E88" s="34" t="s">
        <v>649</v>
      </c>
      <c r="F88" s="34" t="n">
        <v>250</v>
      </c>
      <c r="G88" s="34" t="n">
        <v>35</v>
      </c>
      <c r="H88" s="40" t="n">
        <v>8845.11</v>
      </c>
      <c r="I88" s="34" t="n">
        <v>0.18</v>
      </c>
      <c r="J88" s="34" t="n">
        <v>0.14</v>
      </c>
      <c r="K88" s="34" t="n">
        <v>0.19</v>
      </c>
      <c r="L88" s="34" t="n">
        <v>85.28</v>
      </c>
      <c r="M88" s="34" t="n">
        <v>85.28</v>
      </c>
      <c r="N88" s="34" t="n">
        <v>301</v>
      </c>
      <c r="O88" s="34" t="n">
        <v>0</v>
      </c>
      <c r="P88" s="34" t="s">
        <v>504</v>
      </c>
    </row>
    <row r="89" customFormat="false" ht="14.4" hidden="false" customHeight="false" outlineLevel="0" collapsed="false">
      <c r="A89" s="34" t="n">
        <v>88</v>
      </c>
      <c r="B89" s="35" t="n">
        <v>10513998001820</v>
      </c>
      <c r="C89" s="34" t="s">
        <v>650</v>
      </c>
      <c r="D89" s="34" t="s">
        <v>107</v>
      </c>
      <c r="E89" s="34" t="s">
        <v>651</v>
      </c>
      <c r="F89" s="34" t="n">
        <v>210</v>
      </c>
      <c r="G89" s="34" t="n">
        <v>29</v>
      </c>
      <c r="H89" s="40" t="n">
        <v>8614.16</v>
      </c>
      <c r="I89" s="34" t="n">
        <v>0.15</v>
      </c>
      <c r="J89" s="34" t="n">
        <v>0.12</v>
      </c>
      <c r="K89" s="34" t="n">
        <v>0.18</v>
      </c>
      <c r="L89" s="34" t="n">
        <v>85.47</v>
      </c>
      <c r="M89" s="34" t="n">
        <v>85.47</v>
      </c>
      <c r="N89" s="34" t="n">
        <v>301</v>
      </c>
      <c r="O89" s="34" t="n">
        <v>0</v>
      </c>
      <c r="P89" s="34" t="s">
        <v>504</v>
      </c>
    </row>
    <row r="90" customFormat="false" ht="14.4" hidden="false" customHeight="false" outlineLevel="0" collapsed="false">
      <c r="A90" s="34" t="n">
        <v>89</v>
      </c>
      <c r="B90" s="35" t="n">
        <v>7028514000447</v>
      </c>
      <c r="C90" s="34" t="s">
        <v>652</v>
      </c>
      <c r="D90" s="34" t="s">
        <v>653</v>
      </c>
      <c r="E90" s="34" t="s">
        <v>654</v>
      </c>
      <c r="F90" s="34" t="n">
        <v>251</v>
      </c>
      <c r="G90" s="34" t="n">
        <v>30</v>
      </c>
      <c r="H90" s="40" t="n">
        <v>8603.85</v>
      </c>
      <c r="I90" s="34" t="n">
        <v>0.18</v>
      </c>
      <c r="J90" s="34" t="n">
        <v>0.12</v>
      </c>
      <c r="K90" s="34" t="n">
        <v>0.18</v>
      </c>
      <c r="L90" s="34" t="n">
        <v>85.65</v>
      </c>
      <c r="M90" s="34" t="n">
        <v>85.65</v>
      </c>
      <c r="N90" s="34" t="n">
        <v>706</v>
      </c>
      <c r="O90" s="34" t="n">
        <v>0</v>
      </c>
      <c r="P90" s="34" t="s">
        <v>501</v>
      </c>
    </row>
    <row r="91" customFormat="false" ht="14.4" hidden="false" customHeight="false" outlineLevel="0" collapsed="false">
      <c r="A91" s="34" t="n">
        <v>90</v>
      </c>
      <c r="B91" s="35" t="n">
        <v>7028514000366</v>
      </c>
      <c r="C91" s="34" t="s">
        <v>655</v>
      </c>
      <c r="D91" s="34" t="s">
        <v>631</v>
      </c>
      <c r="E91" s="34" t="s">
        <v>656</v>
      </c>
      <c r="F91" s="34" t="n">
        <v>309</v>
      </c>
      <c r="G91" s="34" t="n">
        <v>40</v>
      </c>
      <c r="H91" s="40" t="n">
        <v>8571.55</v>
      </c>
      <c r="I91" s="34" t="n">
        <v>0.22</v>
      </c>
      <c r="J91" s="34" t="n">
        <v>0.16</v>
      </c>
      <c r="K91" s="34" t="n">
        <v>0.18</v>
      </c>
      <c r="L91" s="34" t="n">
        <v>85.84</v>
      </c>
      <c r="M91" s="34" t="n">
        <v>85.84</v>
      </c>
      <c r="N91" s="34" t="n">
        <v>706</v>
      </c>
      <c r="O91" s="34" t="n">
        <v>0</v>
      </c>
      <c r="P91" s="34" t="s">
        <v>496</v>
      </c>
    </row>
    <row r="92" customFormat="false" ht="14.4" hidden="false" customHeight="false" outlineLevel="0" collapsed="false">
      <c r="A92" s="34" t="n">
        <v>91</v>
      </c>
      <c r="B92" s="35" t="n">
        <v>7249369000181</v>
      </c>
      <c r="C92" s="34" t="s">
        <v>657</v>
      </c>
      <c r="D92" s="34" t="s">
        <v>207</v>
      </c>
      <c r="E92" s="34" t="s">
        <v>658</v>
      </c>
      <c r="F92" s="34" t="n">
        <v>365</v>
      </c>
      <c r="G92" s="34" t="n">
        <v>53</v>
      </c>
      <c r="H92" s="40" t="n">
        <v>8350.93</v>
      </c>
      <c r="I92" s="34" t="n">
        <v>0.26</v>
      </c>
      <c r="J92" s="34" t="n">
        <v>0.22</v>
      </c>
      <c r="K92" s="34" t="n">
        <v>0.18</v>
      </c>
      <c r="L92" s="34" t="n">
        <v>86.02</v>
      </c>
      <c r="M92" s="34" t="n">
        <v>86.02</v>
      </c>
      <c r="N92" s="34" t="n">
        <v>703</v>
      </c>
      <c r="O92" s="34" t="n">
        <v>0</v>
      </c>
      <c r="P92" s="34" t="s">
        <v>501</v>
      </c>
    </row>
    <row r="93" customFormat="false" ht="14.4" hidden="false" customHeight="false" outlineLevel="0" collapsed="false">
      <c r="A93" s="34" t="n">
        <v>92</v>
      </c>
      <c r="B93" s="35" t="n">
        <v>35831943000906</v>
      </c>
      <c r="C93" s="34" t="s">
        <v>587</v>
      </c>
      <c r="D93" s="34" t="s">
        <v>127</v>
      </c>
      <c r="E93" s="34" t="s">
        <v>659</v>
      </c>
      <c r="F93" s="34" t="n">
        <v>250</v>
      </c>
      <c r="G93" s="34" t="n">
        <v>1</v>
      </c>
      <c r="H93" s="40" t="n">
        <v>8093.4</v>
      </c>
      <c r="I93" s="34" t="n">
        <v>0.18</v>
      </c>
      <c r="J93" s="34" t="n">
        <v>0</v>
      </c>
      <c r="K93" s="34" t="n">
        <v>0.17</v>
      </c>
      <c r="L93" s="34" t="n">
        <v>86.2</v>
      </c>
      <c r="M93" s="34" t="n">
        <v>86.2</v>
      </c>
      <c r="N93" s="34" t="n">
        <v>702</v>
      </c>
      <c r="O93" s="34" t="n">
        <v>0</v>
      </c>
      <c r="P93" s="34" t="s">
        <v>504</v>
      </c>
    </row>
    <row r="94" customFormat="false" ht="14.4" hidden="false" customHeight="false" outlineLevel="0" collapsed="false">
      <c r="A94" s="34" t="n">
        <v>93</v>
      </c>
      <c r="B94" s="35" t="n">
        <v>10513998001404</v>
      </c>
      <c r="C94" s="34" t="s">
        <v>660</v>
      </c>
      <c r="D94" s="34" t="s">
        <v>107</v>
      </c>
      <c r="E94" s="34" t="s">
        <v>661</v>
      </c>
      <c r="F94" s="34" t="n">
        <v>204</v>
      </c>
      <c r="G94" s="34" t="n">
        <v>27</v>
      </c>
      <c r="H94" s="40" t="n">
        <v>8079.43</v>
      </c>
      <c r="I94" s="34" t="n">
        <v>0.14</v>
      </c>
      <c r="J94" s="34" t="n">
        <v>0.11</v>
      </c>
      <c r="K94" s="34" t="n">
        <v>0.17</v>
      </c>
      <c r="L94" s="34" t="n">
        <v>86.37</v>
      </c>
      <c r="M94" s="34" t="n">
        <v>86.37</v>
      </c>
      <c r="N94" s="34" t="n">
        <v>301</v>
      </c>
      <c r="O94" s="34" t="n">
        <v>0</v>
      </c>
      <c r="P94" s="34" t="s">
        <v>504</v>
      </c>
    </row>
    <row r="95" customFormat="false" ht="14.4" hidden="false" customHeight="false" outlineLevel="0" collapsed="false">
      <c r="A95" s="34" t="n">
        <v>94</v>
      </c>
      <c r="B95" s="35" t="n">
        <v>7719683000180</v>
      </c>
      <c r="C95" s="34" t="s">
        <v>662</v>
      </c>
      <c r="D95" s="34" t="s">
        <v>77</v>
      </c>
      <c r="E95" s="34" t="s">
        <v>663</v>
      </c>
      <c r="F95" s="34" t="n">
        <v>205</v>
      </c>
      <c r="G95" s="34" t="n">
        <v>28</v>
      </c>
      <c r="H95" s="40" t="n">
        <v>8073.84</v>
      </c>
      <c r="I95" s="34" t="n">
        <v>0.14</v>
      </c>
      <c r="J95" s="34" t="n">
        <v>0.11</v>
      </c>
      <c r="K95" s="34" t="n">
        <v>0.17</v>
      </c>
      <c r="L95" s="34" t="n">
        <v>86.55</v>
      </c>
      <c r="M95" s="34" t="n">
        <v>86.55</v>
      </c>
      <c r="N95" s="34" t="n">
        <v>301</v>
      </c>
      <c r="O95" s="34" t="n">
        <v>0</v>
      </c>
      <c r="P95" s="34" t="s">
        <v>504</v>
      </c>
    </row>
    <row r="96" customFormat="false" ht="14.4" hidden="false" customHeight="false" outlineLevel="0" collapsed="false">
      <c r="A96" s="34" t="n">
        <v>95</v>
      </c>
      <c r="B96" s="35" t="n">
        <v>10513998001900</v>
      </c>
      <c r="C96" s="34" t="s">
        <v>664</v>
      </c>
      <c r="D96" s="34" t="s">
        <v>107</v>
      </c>
      <c r="E96" s="34" t="s">
        <v>665</v>
      </c>
      <c r="F96" s="34" t="n">
        <v>213</v>
      </c>
      <c r="G96" s="34" t="n">
        <v>28</v>
      </c>
      <c r="H96" s="40" t="n">
        <v>8064.32</v>
      </c>
      <c r="I96" s="34" t="n">
        <v>0.15</v>
      </c>
      <c r="J96" s="34" t="n">
        <v>0.11</v>
      </c>
      <c r="K96" s="34" t="n">
        <v>0.17</v>
      </c>
      <c r="L96" s="34" t="n">
        <v>86.72</v>
      </c>
      <c r="M96" s="34" t="n">
        <v>86.72</v>
      </c>
      <c r="N96" s="34" t="n">
        <v>301</v>
      </c>
      <c r="O96" s="34" t="n">
        <v>0</v>
      </c>
      <c r="P96" s="34" t="s">
        <v>496</v>
      </c>
    </row>
    <row r="97" customFormat="false" ht="14.4" hidden="false" customHeight="false" outlineLevel="0" collapsed="false">
      <c r="A97" s="34" t="n">
        <v>96</v>
      </c>
      <c r="B97" s="35" t="n">
        <v>10513998001587</v>
      </c>
      <c r="C97" s="34" t="s">
        <v>666</v>
      </c>
      <c r="D97" s="34" t="s">
        <v>604</v>
      </c>
      <c r="E97" s="34" t="s">
        <v>667</v>
      </c>
      <c r="F97" s="34" t="n">
        <v>250</v>
      </c>
      <c r="G97" s="34" t="n">
        <v>33</v>
      </c>
      <c r="H97" s="40" t="n">
        <v>8016.2</v>
      </c>
      <c r="I97" s="34" t="n">
        <v>0.18</v>
      </c>
      <c r="J97" s="34" t="n">
        <v>0.13</v>
      </c>
      <c r="K97" s="34" t="n">
        <v>0.17</v>
      </c>
      <c r="L97" s="34" t="n">
        <v>86.9</v>
      </c>
      <c r="M97" s="34" t="n">
        <v>86.9</v>
      </c>
      <c r="N97" s="34" t="n">
        <v>301</v>
      </c>
      <c r="O97" s="34" t="n">
        <v>0</v>
      </c>
      <c r="P97" s="34" t="s">
        <v>504</v>
      </c>
    </row>
    <row r="98" customFormat="false" ht="14.4" hidden="false" customHeight="false" outlineLevel="0" collapsed="false">
      <c r="A98" s="34" t="n">
        <v>97</v>
      </c>
      <c r="B98" s="35" t="n">
        <v>551975000531</v>
      </c>
      <c r="C98" s="34" t="s">
        <v>444</v>
      </c>
      <c r="D98" s="34" t="s">
        <v>448</v>
      </c>
      <c r="E98" s="34" t="s">
        <v>668</v>
      </c>
      <c r="F98" s="34" t="n">
        <v>236</v>
      </c>
      <c r="G98" s="34" t="n">
        <v>34</v>
      </c>
      <c r="H98" s="40" t="n">
        <v>7883.7</v>
      </c>
      <c r="I98" s="34" t="n">
        <v>0.17</v>
      </c>
      <c r="J98" s="34" t="n">
        <v>0.14</v>
      </c>
      <c r="K98" s="34" t="n">
        <v>0.17</v>
      </c>
      <c r="L98" s="34" t="n">
        <v>87.07</v>
      </c>
      <c r="M98" s="34" t="n">
        <v>87.07</v>
      </c>
      <c r="N98" s="34" t="n">
        <v>710</v>
      </c>
      <c r="O98" s="34" t="n">
        <v>0</v>
      </c>
      <c r="P98" s="34" t="s">
        <v>504</v>
      </c>
    </row>
    <row r="99" customFormat="false" ht="14.4" hidden="false" customHeight="false" outlineLevel="0" collapsed="false">
      <c r="A99" s="34" t="n">
        <v>98</v>
      </c>
      <c r="B99" s="35" t="n">
        <v>9531413000177</v>
      </c>
      <c r="C99" s="34" t="s">
        <v>528</v>
      </c>
      <c r="D99" s="34" t="s">
        <v>77</v>
      </c>
      <c r="E99" s="34" t="s">
        <v>669</v>
      </c>
      <c r="F99" s="34" t="n">
        <v>227</v>
      </c>
      <c r="G99" s="34" t="n">
        <v>36</v>
      </c>
      <c r="H99" s="40" t="n">
        <v>7765.3</v>
      </c>
      <c r="I99" s="34" t="n">
        <v>0.16</v>
      </c>
      <c r="J99" s="34" t="n">
        <v>0.15</v>
      </c>
      <c r="K99" s="34" t="n">
        <v>0.16</v>
      </c>
      <c r="L99" s="34" t="n">
        <v>87.24</v>
      </c>
      <c r="M99" s="34" t="n">
        <v>87.24</v>
      </c>
      <c r="N99" s="34" t="n">
        <v>702</v>
      </c>
      <c r="O99" s="34" t="n">
        <v>0</v>
      </c>
      <c r="P99" s="34" t="s">
        <v>504</v>
      </c>
    </row>
    <row r="100" customFormat="false" ht="14.4" hidden="false" customHeight="false" outlineLevel="0" collapsed="false">
      <c r="A100" s="34" t="n">
        <v>99</v>
      </c>
      <c r="B100" s="35" t="n">
        <v>10513998000424</v>
      </c>
      <c r="C100" s="34" t="s">
        <v>670</v>
      </c>
      <c r="D100" s="34" t="s">
        <v>77</v>
      </c>
      <c r="E100" s="34" t="s">
        <v>671</v>
      </c>
      <c r="F100" s="34" t="n">
        <v>223</v>
      </c>
      <c r="G100" s="34" t="n">
        <v>32</v>
      </c>
      <c r="H100" s="40" t="n">
        <v>7588.54</v>
      </c>
      <c r="I100" s="34" t="n">
        <v>0.16</v>
      </c>
      <c r="J100" s="34" t="n">
        <v>0.13</v>
      </c>
      <c r="K100" s="34" t="n">
        <v>0.16</v>
      </c>
      <c r="L100" s="34" t="n">
        <v>87.4</v>
      </c>
      <c r="M100" s="34" t="n">
        <v>87.4</v>
      </c>
      <c r="N100" s="34" t="n">
        <v>301</v>
      </c>
      <c r="O100" s="34" t="n">
        <v>0</v>
      </c>
      <c r="P100" s="34" t="s">
        <v>504</v>
      </c>
    </row>
    <row r="101" customFormat="false" ht="14.4" hidden="false" customHeight="false" outlineLevel="0" collapsed="false">
      <c r="A101" s="34" t="n">
        <v>100</v>
      </c>
      <c r="B101" s="35" t="n">
        <v>10513998000505</v>
      </c>
      <c r="C101" s="34" t="s">
        <v>672</v>
      </c>
      <c r="D101" s="34" t="s">
        <v>77</v>
      </c>
      <c r="E101" s="34" t="s">
        <v>673</v>
      </c>
      <c r="F101" s="34" t="n">
        <v>195</v>
      </c>
      <c r="G101" s="34" t="n">
        <v>27</v>
      </c>
      <c r="H101" s="40" t="n">
        <v>7570.65</v>
      </c>
      <c r="I101" s="34" t="n">
        <v>0.14</v>
      </c>
      <c r="J101" s="34" t="n">
        <v>0.11</v>
      </c>
      <c r="K101" s="34" t="n">
        <v>0.16</v>
      </c>
      <c r="L101" s="34" t="n">
        <v>87.57</v>
      </c>
      <c r="M101" s="34" t="n">
        <v>87.57</v>
      </c>
      <c r="N101" s="34" t="n">
        <v>301</v>
      </c>
      <c r="O101" s="34" t="n">
        <v>0</v>
      </c>
      <c r="P101" s="34" t="s">
        <v>496</v>
      </c>
    </row>
    <row r="102" customFormat="false" ht="14.4" hidden="false" customHeight="false" outlineLevel="0" collapsed="false">
      <c r="A102" s="34" t="n">
        <v>101</v>
      </c>
      <c r="B102" s="35" t="n">
        <v>12075667001538</v>
      </c>
      <c r="C102" s="34" t="s">
        <v>674</v>
      </c>
      <c r="D102" s="34" t="s">
        <v>77</v>
      </c>
      <c r="E102" s="34" t="s">
        <v>614</v>
      </c>
      <c r="F102" s="34" t="n">
        <v>178</v>
      </c>
      <c r="G102" s="34" t="n">
        <v>30</v>
      </c>
      <c r="H102" s="40" t="n">
        <v>7508.4</v>
      </c>
      <c r="I102" s="34" t="n">
        <v>0.12</v>
      </c>
      <c r="J102" s="34" t="n">
        <v>0.12</v>
      </c>
      <c r="K102" s="34" t="n">
        <v>0.16</v>
      </c>
      <c r="L102" s="34" t="n">
        <v>87.73</v>
      </c>
      <c r="M102" s="34" t="n">
        <v>87.73</v>
      </c>
      <c r="N102" s="34" t="n">
        <v>301</v>
      </c>
      <c r="O102" s="34" t="n">
        <v>0</v>
      </c>
      <c r="P102" s="34" t="s">
        <v>496</v>
      </c>
    </row>
    <row r="103" customFormat="false" ht="14.4" hidden="false" customHeight="false" outlineLevel="0" collapsed="false">
      <c r="A103" s="34" t="n">
        <v>102</v>
      </c>
      <c r="B103" s="35" t="n">
        <v>12075667001376</v>
      </c>
      <c r="C103" s="34" t="s">
        <v>675</v>
      </c>
      <c r="D103" s="34" t="s">
        <v>77</v>
      </c>
      <c r="E103" s="34" t="s">
        <v>299</v>
      </c>
      <c r="F103" s="34" t="n">
        <v>211</v>
      </c>
      <c r="G103" s="34" t="n">
        <v>28</v>
      </c>
      <c r="H103" s="40" t="n">
        <v>7411.74</v>
      </c>
      <c r="I103" s="34" t="n">
        <v>0.15</v>
      </c>
      <c r="J103" s="34" t="n">
        <v>0.11</v>
      </c>
      <c r="K103" s="34" t="n">
        <v>0.16</v>
      </c>
      <c r="L103" s="34" t="n">
        <v>87.89</v>
      </c>
      <c r="M103" s="34" t="n">
        <v>87.89</v>
      </c>
      <c r="N103" s="34" t="n">
        <v>301</v>
      </c>
      <c r="O103" s="34" t="n">
        <v>0</v>
      </c>
      <c r="P103" s="34" t="s">
        <v>504</v>
      </c>
    </row>
    <row r="104" customFormat="false" ht="14.4" hidden="false" customHeight="false" outlineLevel="0" collapsed="false">
      <c r="A104" s="34" t="n">
        <v>103</v>
      </c>
      <c r="B104" s="35" t="n">
        <v>1274396000713</v>
      </c>
      <c r="C104" s="34" t="s">
        <v>530</v>
      </c>
      <c r="D104" s="34" t="s">
        <v>207</v>
      </c>
      <c r="E104" s="34" t="s">
        <v>676</v>
      </c>
      <c r="F104" s="34" t="n">
        <v>203</v>
      </c>
      <c r="G104" s="34" t="n">
        <v>47</v>
      </c>
      <c r="H104" s="40" t="n">
        <v>7357.77</v>
      </c>
      <c r="I104" s="34" t="n">
        <v>0.14</v>
      </c>
      <c r="J104" s="34" t="n">
        <v>0.19</v>
      </c>
      <c r="K104" s="34" t="n">
        <v>0.15</v>
      </c>
      <c r="L104" s="34" t="n">
        <v>88.05</v>
      </c>
      <c r="M104" s="34" t="n">
        <v>88.05</v>
      </c>
      <c r="N104" s="34" t="n">
        <v>703</v>
      </c>
      <c r="O104" s="34" t="n">
        <v>0</v>
      </c>
      <c r="P104" s="34" t="s">
        <v>501</v>
      </c>
    </row>
    <row r="105" customFormat="false" ht="14.4" hidden="false" customHeight="false" outlineLevel="0" collapsed="false">
      <c r="A105" s="34" t="n">
        <v>104</v>
      </c>
      <c r="B105" s="35" t="n">
        <v>10513998000939</v>
      </c>
      <c r="C105" s="34" t="s">
        <v>677</v>
      </c>
      <c r="D105" s="34" t="s">
        <v>594</v>
      </c>
      <c r="E105" s="34" t="s">
        <v>678</v>
      </c>
      <c r="F105" s="34" t="n">
        <v>218</v>
      </c>
      <c r="G105" s="34" t="n">
        <v>28</v>
      </c>
      <c r="H105" s="40" t="n">
        <v>7341.14</v>
      </c>
      <c r="I105" s="34" t="n">
        <v>0.15</v>
      </c>
      <c r="J105" s="34" t="n">
        <v>0.11</v>
      </c>
      <c r="K105" s="34" t="n">
        <v>0.15</v>
      </c>
      <c r="L105" s="34" t="n">
        <v>88.21</v>
      </c>
      <c r="M105" s="34" t="n">
        <v>88.21</v>
      </c>
      <c r="N105" s="34" t="n">
        <v>301</v>
      </c>
      <c r="O105" s="34" t="n">
        <v>0</v>
      </c>
      <c r="P105" s="34" t="s">
        <v>501</v>
      </c>
    </row>
    <row r="106" customFormat="false" ht="14.4" hidden="false" customHeight="false" outlineLevel="0" collapsed="false">
      <c r="A106" s="34" t="n">
        <v>105</v>
      </c>
      <c r="B106" s="35" t="n">
        <v>9531413000843</v>
      </c>
      <c r="C106" s="34" t="s">
        <v>528</v>
      </c>
      <c r="D106" s="34" t="s">
        <v>77</v>
      </c>
      <c r="E106" s="34" t="s">
        <v>679</v>
      </c>
      <c r="F106" s="34" t="n">
        <v>203</v>
      </c>
      <c r="G106" s="34" t="n">
        <v>40</v>
      </c>
      <c r="H106" s="40" t="n">
        <v>7108.63</v>
      </c>
      <c r="I106" s="34" t="n">
        <v>0.14</v>
      </c>
      <c r="J106" s="34" t="n">
        <v>0.16</v>
      </c>
      <c r="K106" s="34" t="n">
        <v>0.15</v>
      </c>
      <c r="L106" s="34" t="n">
        <v>88.37</v>
      </c>
      <c r="M106" s="34" t="n">
        <v>88.37</v>
      </c>
      <c r="N106" s="34" t="n">
        <v>702</v>
      </c>
      <c r="O106" s="34" t="n">
        <v>0</v>
      </c>
      <c r="P106" s="34" t="s">
        <v>504</v>
      </c>
    </row>
    <row r="107" customFormat="false" ht="14.4" hidden="false" customHeight="false" outlineLevel="0" collapsed="false">
      <c r="A107" s="34" t="n">
        <v>106</v>
      </c>
      <c r="B107" s="35" t="n">
        <v>46876542000204</v>
      </c>
      <c r="C107" s="34" t="s">
        <v>571</v>
      </c>
      <c r="D107" s="34" t="s">
        <v>680</v>
      </c>
      <c r="E107" s="34" t="s">
        <v>681</v>
      </c>
      <c r="F107" s="34" t="n">
        <v>208</v>
      </c>
      <c r="G107" s="34" t="n">
        <v>32</v>
      </c>
      <c r="H107" s="40" t="n">
        <v>7051.11</v>
      </c>
      <c r="I107" s="34" t="n">
        <v>0.14</v>
      </c>
      <c r="J107" s="34" t="n">
        <v>0.13</v>
      </c>
      <c r="K107" s="34" t="n">
        <v>0.15</v>
      </c>
      <c r="L107" s="34" t="n">
        <v>88.52</v>
      </c>
      <c r="M107" s="34" t="n">
        <v>88.52</v>
      </c>
      <c r="N107" s="34" t="n">
        <v>714</v>
      </c>
      <c r="O107" s="34" t="n">
        <v>0</v>
      </c>
      <c r="P107" s="34" t="s">
        <v>501</v>
      </c>
    </row>
    <row r="108" customFormat="false" ht="14.4" hidden="false" customHeight="false" outlineLevel="0" collapsed="false">
      <c r="A108" s="34" t="n">
        <v>107</v>
      </c>
      <c r="B108" s="35" t="n">
        <v>10513998000181</v>
      </c>
      <c r="C108" s="34" t="s">
        <v>682</v>
      </c>
      <c r="D108" s="34" t="s">
        <v>77</v>
      </c>
      <c r="E108" s="34" t="s">
        <v>683</v>
      </c>
      <c r="F108" s="34" t="n">
        <v>207</v>
      </c>
      <c r="G108" s="34" t="n">
        <v>26</v>
      </c>
      <c r="H108" s="40" t="n">
        <v>7039.28</v>
      </c>
      <c r="I108" s="34" t="n">
        <v>0.14</v>
      </c>
      <c r="J108" s="34" t="n">
        <v>0.1</v>
      </c>
      <c r="K108" s="34" t="n">
        <v>0.15</v>
      </c>
      <c r="L108" s="34" t="n">
        <v>88.67</v>
      </c>
      <c r="M108" s="34" t="n">
        <v>88.67</v>
      </c>
      <c r="N108" s="34" t="n">
        <v>301</v>
      </c>
      <c r="O108" s="34" t="n">
        <v>0</v>
      </c>
      <c r="P108" s="34" t="s">
        <v>504</v>
      </c>
    </row>
    <row r="109" customFormat="false" ht="14.4" hidden="false" customHeight="false" outlineLevel="0" collapsed="false">
      <c r="A109" s="34" t="n">
        <v>108</v>
      </c>
      <c r="B109" s="35" t="n">
        <v>12075667000132</v>
      </c>
      <c r="C109" s="34" t="s">
        <v>684</v>
      </c>
      <c r="D109" s="34" t="s">
        <v>77</v>
      </c>
      <c r="E109" s="34" t="s">
        <v>685</v>
      </c>
      <c r="F109" s="34" t="n">
        <v>180</v>
      </c>
      <c r="G109" s="34" t="n">
        <v>32</v>
      </c>
      <c r="H109" s="40" t="n">
        <v>6930.69</v>
      </c>
      <c r="I109" s="34" t="n">
        <v>0.12</v>
      </c>
      <c r="J109" s="34" t="n">
        <v>0.13</v>
      </c>
      <c r="K109" s="34" t="n">
        <v>0.15</v>
      </c>
      <c r="L109" s="34" t="n">
        <v>88.82</v>
      </c>
      <c r="M109" s="34" t="n">
        <v>88.82</v>
      </c>
      <c r="N109" s="34" t="n">
        <v>301</v>
      </c>
      <c r="O109" s="34" t="n">
        <v>0</v>
      </c>
      <c r="P109" s="34" t="s">
        <v>496</v>
      </c>
    </row>
    <row r="110" customFormat="false" ht="14.4" hidden="false" customHeight="false" outlineLevel="0" collapsed="false">
      <c r="A110" s="34" t="n">
        <v>109</v>
      </c>
      <c r="B110" s="35" t="n">
        <v>5348350000329</v>
      </c>
      <c r="C110" s="34" t="s">
        <v>532</v>
      </c>
      <c r="D110" s="34" t="s">
        <v>197</v>
      </c>
      <c r="E110" s="34" t="s">
        <v>686</v>
      </c>
      <c r="F110" s="34" t="n">
        <v>159</v>
      </c>
      <c r="G110" s="34" t="n">
        <v>24</v>
      </c>
      <c r="H110" s="40" t="n">
        <v>6929.79</v>
      </c>
      <c r="I110" s="34" t="n">
        <v>0.11</v>
      </c>
      <c r="J110" s="34" t="n">
        <v>0.1</v>
      </c>
      <c r="K110" s="34" t="n">
        <v>0.15</v>
      </c>
      <c r="L110" s="34" t="n">
        <v>88.97</v>
      </c>
      <c r="M110" s="34" t="n">
        <v>88.97</v>
      </c>
      <c r="N110" s="34" t="n">
        <v>703</v>
      </c>
      <c r="O110" s="34" t="n">
        <v>0</v>
      </c>
      <c r="P110" s="34" t="s">
        <v>501</v>
      </c>
    </row>
    <row r="111" customFormat="false" ht="14.4" hidden="false" customHeight="false" outlineLevel="0" collapsed="false">
      <c r="A111" s="34" t="n">
        <v>110</v>
      </c>
      <c r="B111" s="35" t="n">
        <v>10513998000777</v>
      </c>
      <c r="C111" s="34" t="s">
        <v>687</v>
      </c>
      <c r="D111" s="34" t="s">
        <v>448</v>
      </c>
      <c r="E111" s="34" t="s">
        <v>688</v>
      </c>
      <c r="F111" s="34" t="n">
        <v>178</v>
      </c>
      <c r="G111" s="34" t="n">
        <v>26</v>
      </c>
      <c r="H111" s="40" t="n">
        <v>6840.96</v>
      </c>
      <c r="I111" s="34" t="n">
        <v>0.12</v>
      </c>
      <c r="J111" s="34" t="n">
        <v>0.1</v>
      </c>
      <c r="K111" s="34" t="n">
        <v>0.14</v>
      </c>
      <c r="L111" s="34" t="n">
        <v>89.12</v>
      </c>
      <c r="M111" s="34" t="n">
        <v>89.12</v>
      </c>
      <c r="N111" s="34" t="n">
        <v>301</v>
      </c>
      <c r="O111" s="34" t="n">
        <v>0</v>
      </c>
      <c r="P111" s="34" t="s">
        <v>496</v>
      </c>
    </row>
    <row r="112" customFormat="false" ht="14.4" hidden="false" customHeight="false" outlineLevel="0" collapsed="false">
      <c r="A112" s="34" t="n">
        <v>111</v>
      </c>
      <c r="B112" s="35" t="n">
        <v>10513998001072</v>
      </c>
      <c r="C112" s="34" t="s">
        <v>689</v>
      </c>
      <c r="D112" s="34" t="s">
        <v>107</v>
      </c>
      <c r="E112" s="34" t="s">
        <v>690</v>
      </c>
      <c r="F112" s="34" t="n">
        <v>103</v>
      </c>
      <c r="G112" s="34" t="n">
        <v>17</v>
      </c>
      <c r="H112" s="40" t="n">
        <v>6834.75</v>
      </c>
      <c r="I112" s="34" t="n">
        <v>0.07</v>
      </c>
      <c r="J112" s="34" t="n">
        <v>0.07</v>
      </c>
      <c r="K112" s="34" t="n">
        <v>0.14</v>
      </c>
      <c r="L112" s="34" t="n">
        <v>89.27</v>
      </c>
      <c r="M112" s="34" t="n">
        <v>89.27</v>
      </c>
      <c r="N112" s="34" t="n">
        <v>301</v>
      </c>
      <c r="O112" s="34" t="n">
        <v>0</v>
      </c>
      <c r="P112" s="34" t="s">
        <v>504</v>
      </c>
    </row>
    <row r="113" customFormat="false" ht="14.4" hidden="false" customHeight="false" outlineLevel="0" collapsed="false">
      <c r="A113" s="34" t="n">
        <v>112</v>
      </c>
      <c r="B113" s="35" t="n">
        <v>5330582000198</v>
      </c>
      <c r="C113" s="34" t="s">
        <v>691</v>
      </c>
      <c r="D113" s="34" t="s">
        <v>692</v>
      </c>
      <c r="E113" s="34" t="s">
        <v>693</v>
      </c>
      <c r="F113" s="34" t="n">
        <v>205</v>
      </c>
      <c r="G113" s="34" t="n">
        <v>28</v>
      </c>
      <c r="H113" s="40" t="n">
        <v>6626.29</v>
      </c>
      <c r="I113" s="34" t="n">
        <v>0.14</v>
      </c>
      <c r="J113" s="34" t="n">
        <v>0.11</v>
      </c>
      <c r="K113" s="34" t="n">
        <v>0.14</v>
      </c>
      <c r="L113" s="34" t="n">
        <v>89.41</v>
      </c>
      <c r="M113" s="34" t="n">
        <v>89.41</v>
      </c>
      <c r="N113" s="34" t="n">
        <v>705</v>
      </c>
      <c r="O113" s="34" t="n">
        <v>0</v>
      </c>
      <c r="P113" s="34" t="s">
        <v>504</v>
      </c>
    </row>
    <row r="114" customFormat="false" ht="14.4" hidden="false" customHeight="false" outlineLevel="0" collapsed="false">
      <c r="A114" s="34" t="n">
        <v>113</v>
      </c>
      <c r="B114" s="35" t="n">
        <v>35831943000736</v>
      </c>
      <c r="C114" s="34" t="s">
        <v>587</v>
      </c>
      <c r="D114" s="34" t="s">
        <v>77</v>
      </c>
      <c r="E114" s="34" t="s">
        <v>694</v>
      </c>
      <c r="F114" s="34" t="n">
        <v>253</v>
      </c>
      <c r="G114" s="34" t="n">
        <v>44</v>
      </c>
      <c r="H114" s="40" t="n">
        <v>6604.26</v>
      </c>
      <c r="I114" s="34" t="n">
        <v>0.18</v>
      </c>
      <c r="J114" s="34" t="n">
        <v>0.18</v>
      </c>
      <c r="K114" s="34" t="n">
        <v>0.14</v>
      </c>
      <c r="L114" s="34" t="n">
        <v>89.56</v>
      </c>
      <c r="M114" s="34" t="n">
        <v>89.56</v>
      </c>
      <c r="N114" s="34" t="n">
        <v>702</v>
      </c>
      <c r="O114" s="34" t="n">
        <v>0</v>
      </c>
      <c r="P114" s="34" t="s">
        <v>504</v>
      </c>
    </row>
    <row r="115" customFormat="false" ht="14.4" hidden="false" customHeight="false" outlineLevel="0" collapsed="false">
      <c r="A115" s="34" t="n">
        <v>114</v>
      </c>
      <c r="B115" s="35" t="n">
        <v>12075667000485</v>
      </c>
      <c r="C115" s="34" t="s">
        <v>695</v>
      </c>
      <c r="D115" s="34" t="s">
        <v>77</v>
      </c>
      <c r="E115" s="34" t="s">
        <v>696</v>
      </c>
      <c r="F115" s="34" t="n">
        <v>167</v>
      </c>
      <c r="G115" s="34" t="n">
        <v>27</v>
      </c>
      <c r="H115" s="40" t="n">
        <v>6486.87</v>
      </c>
      <c r="I115" s="34" t="n">
        <v>0.12</v>
      </c>
      <c r="J115" s="34" t="n">
        <v>0.11</v>
      </c>
      <c r="K115" s="34" t="n">
        <v>0.14</v>
      </c>
      <c r="L115" s="34" t="n">
        <v>89.7</v>
      </c>
      <c r="M115" s="34" t="n">
        <v>89.7</v>
      </c>
      <c r="N115" s="34" t="n">
        <v>301</v>
      </c>
      <c r="O115" s="34" t="n">
        <v>0</v>
      </c>
      <c r="P115" s="34" t="s">
        <v>504</v>
      </c>
    </row>
    <row r="116" customFormat="false" ht="14.4" hidden="false" customHeight="false" outlineLevel="0" collapsed="false">
      <c r="A116" s="34" t="n">
        <v>115</v>
      </c>
      <c r="B116" s="35" t="n">
        <v>9473933000251</v>
      </c>
      <c r="C116" s="34" t="s">
        <v>476</v>
      </c>
      <c r="D116" s="34" t="s">
        <v>538</v>
      </c>
      <c r="E116" s="34" t="s">
        <v>697</v>
      </c>
      <c r="F116" s="34" t="n">
        <v>192</v>
      </c>
      <c r="G116" s="34" t="n">
        <v>27</v>
      </c>
      <c r="H116" s="40" t="n">
        <v>6462.39</v>
      </c>
      <c r="I116" s="34" t="n">
        <v>0.13</v>
      </c>
      <c r="J116" s="34" t="n">
        <v>0.11</v>
      </c>
      <c r="K116" s="34" t="n">
        <v>0.14</v>
      </c>
      <c r="L116" s="34" t="n">
        <v>89.84</v>
      </c>
      <c r="M116" s="34" t="n">
        <v>89.84</v>
      </c>
      <c r="N116" s="34" t="n">
        <v>721</v>
      </c>
      <c r="O116" s="34" t="n">
        <v>0</v>
      </c>
      <c r="P116" s="34" t="s">
        <v>504</v>
      </c>
    </row>
    <row r="117" customFormat="false" ht="14.4" hidden="false" customHeight="false" outlineLevel="0" collapsed="false">
      <c r="A117" s="34" t="n">
        <v>116</v>
      </c>
      <c r="B117" s="35" t="n">
        <v>9531413001220</v>
      </c>
      <c r="C117" s="34" t="s">
        <v>528</v>
      </c>
      <c r="D117" s="34" t="s">
        <v>77</v>
      </c>
      <c r="E117" s="34" t="s">
        <v>698</v>
      </c>
      <c r="F117" s="34" t="n">
        <v>151</v>
      </c>
      <c r="G117" s="34" t="n">
        <v>29</v>
      </c>
      <c r="H117" s="40" t="n">
        <v>6352.93</v>
      </c>
      <c r="I117" s="34" t="n">
        <v>0.1</v>
      </c>
      <c r="J117" s="34" t="n">
        <v>0.12</v>
      </c>
      <c r="K117" s="34" t="n">
        <v>0.13</v>
      </c>
      <c r="L117" s="34" t="n">
        <v>89.98</v>
      </c>
      <c r="M117" s="34" t="n">
        <v>89.98</v>
      </c>
      <c r="N117" s="34" t="n">
        <v>702</v>
      </c>
      <c r="O117" s="34" t="n">
        <v>0</v>
      </c>
      <c r="P117" s="34" t="s">
        <v>504</v>
      </c>
    </row>
    <row r="118" customFormat="false" ht="14.4" hidden="false" customHeight="false" outlineLevel="0" collapsed="false">
      <c r="A118" s="34" t="n">
        <v>117</v>
      </c>
      <c r="B118" s="35" t="n">
        <v>10513998001668</v>
      </c>
      <c r="C118" s="34" t="s">
        <v>699</v>
      </c>
      <c r="D118" s="34" t="s">
        <v>107</v>
      </c>
      <c r="E118" s="34" t="s">
        <v>700</v>
      </c>
      <c r="F118" s="34" t="n">
        <v>193</v>
      </c>
      <c r="G118" s="34" t="n">
        <v>26</v>
      </c>
      <c r="H118" s="40" t="n">
        <v>6349.62</v>
      </c>
      <c r="I118" s="34" t="n">
        <v>0.13</v>
      </c>
      <c r="J118" s="34" t="n">
        <v>0.1</v>
      </c>
      <c r="K118" s="34" t="n">
        <v>0.13</v>
      </c>
      <c r="L118" s="34" t="n">
        <v>90.12</v>
      </c>
      <c r="M118" s="34" t="n">
        <v>90.12</v>
      </c>
      <c r="N118" s="34" t="n">
        <v>301</v>
      </c>
      <c r="O118" s="34" t="n">
        <v>0</v>
      </c>
      <c r="P118" s="34" t="s">
        <v>501</v>
      </c>
    </row>
    <row r="119" customFormat="false" ht="14.4" hidden="false" customHeight="false" outlineLevel="0" collapsed="false">
      <c r="A119" s="34" t="n">
        <v>118</v>
      </c>
      <c r="B119" s="35" t="n">
        <v>15508682000115</v>
      </c>
      <c r="C119" s="34" t="s">
        <v>701</v>
      </c>
      <c r="D119" s="34" t="s">
        <v>342</v>
      </c>
      <c r="E119" s="34" t="s">
        <v>702</v>
      </c>
      <c r="F119" s="34" t="n">
        <v>183</v>
      </c>
      <c r="G119" s="34" t="n">
        <v>37</v>
      </c>
      <c r="H119" s="40" t="n">
        <v>6316.44</v>
      </c>
      <c r="I119" s="34" t="n">
        <v>0.13</v>
      </c>
      <c r="J119" s="34" t="n">
        <v>0.15</v>
      </c>
      <c r="K119" s="34" t="n">
        <v>0.13</v>
      </c>
      <c r="L119" s="34" t="n">
        <v>90.25</v>
      </c>
      <c r="M119" s="34" t="n">
        <v>90.25</v>
      </c>
      <c r="N119" s="34" t="n">
        <v>705</v>
      </c>
      <c r="O119" s="34" t="n">
        <v>0</v>
      </c>
      <c r="P119" s="34" t="s">
        <v>504</v>
      </c>
    </row>
    <row r="120" customFormat="false" ht="14.4" hidden="false" customHeight="false" outlineLevel="0" collapsed="false">
      <c r="A120" s="34" t="n">
        <v>119</v>
      </c>
      <c r="B120" s="35" t="n">
        <v>12075667001457</v>
      </c>
      <c r="C120" s="34" t="s">
        <v>703</v>
      </c>
      <c r="D120" s="34" t="s">
        <v>77</v>
      </c>
      <c r="E120" s="34" t="s">
        <v>704</v>
      </c>
      <c r="F120" s="34" t="n">
        <v>133</v>
      </c>
      <c r="G120" s="34" t="n">
        <v>21</v>
      </c>
      <c r="H120" s="40" t="n">
        <v>6095.11</v>
      </c>
      <c r="I120" s="34" t="n">
        <v>0.09</v>
      </c>
      <c r="J120" s="34" t="n">
        <v>0.08</v>
      </c>
      <c r="K120" s="34" t="n">
        <v>0.13</v>
      </c>
      <c r="L120" s="34" t="n">
        <v>90.39</v>
      </c>
      <c r="M120" s="34" t="n">
        <v>90.39</v>
      </c>
      <c r="N120" s="34" t="n">
        <v>301</v>
      </c>
      <c r="O120" s="34" t="n">
        <v>0</v>
      </c>
      <c r="P120" s="34" t="s">
        <v>504</v>
      </c>
    </row>
    <row r="121" customFormat="false" ht="14.4" hidden="false" customHeight="false" outlineLevel="0" collapsed="false">
      <c r="A121" s="34" t="n">
        <v>120</v>
      </c>
      <c r="B121" s="35" t="n">
        <v>10454480000114</v>
      </c>
      <c r="C121" s="34" t="s">
        <v>705</v>
      </c>
      <c r="D121" s="34" t="s">
        <v>706</v>
      </c>
      <c r="E121" s="34" t="s">
        <v>707</v>
      </c>
      <c r="F121" s="34" t="n">
        <v>91</v>
      </c>
      <c r="G121" s="34" t="n">
        <v>14</v>
      </c>
      <c r="H121" s="40" t="n">
        <v>6068.49</v>
      </c>
      <c r="I121" s="34" t="n">
        <v>0.06</v>
      </c>
      <c r="J121" s="34" t="n">
        <v>0.05</v>
      </c>
      <c r="K121" s="34" t="n">
        <v>0.13</v>
      </c>
      <c r="L121" s="34" t="n">
        <v>90.52</v>
      </c>
      <c r="M121" s="34" t="n">
        <v>90.52</v>
      </c>
      <c r="N121" s="34" t="n">
        <v>800</v>
      </c>
      <c r="O121" s="34" t="n">
        <v>0</v>
      </c>
      <c r="P121" s="34" t="s">
        <v>504</v>
      </c>
    </row>
    <row r="122" customFormat="false" ht="14.4" hidden="false" customHeight="false" outlineLevel="0" collapsed="false">
      <c r="A122" s="34" t="n">
        <v>121</v>
      </c>
      <c r="B122" s="35" t="n">
        <v>12075667001295</v>
      </c>
      <c r="C122" s="34" t="s">
        <v>708</v>
      </c>
      <c r="D122" s="34" t="s">
        <v>77</v>
      </c>
      <c r="E122" s="34" t="s">
        <v>709</v>
      </c>
      <c r="F122" s="34" t="n">
        <v>144</v>
      </c>
      <c r="G122" s="34" t="n">
        <v>21</v>
      </c>
      <c r="H122" s="40" t="n">
        <v>6053.28</v>
      </c>
      <c r="I122" s="34" t="n">
        <v>0.1</v>
      </c>
      <c r="J122" s="34" t="n">
        <v>0.08</v>
      </c>
      <c r="K122" s="34" t="n">
        <v>0.13</v>
      </c>
      <c r="L122" s="34" t="n">
        <v>90.65</v>
      </c>
      <c r="M122" s="34" t="n">
        <v>90.65</v>
      </c>
      <c r="N122" s="34" t="n">
        <v>301</v>
      </c>
      <c r="O122" s="34" t="n">
        <v>0</v>
      </c>
      <c r="P122" s="34" t="s">
        <v>496</v>
      </c>
    </row>
    <row r="123" customFormat="false" ht="14.4" hidden="false" customHeight="false" outlineLevel="0" collapsed="false">
      <c r="A123" s="34" t="n">
        <v>122</v>
      </c>
      <c r="B123" s="35" t="n">
        <v>10513998001749</v>
      </c>
      <c r="C123" s="34" t="s">
        <v>710</v>
      </c>
      <c r="D123" s="34" t="s">
        <v>107</v>
      </c>
      <c r="E123" s="34" t="s">
        <v>711</v>
      </c>
      <c r="F123" s="34" t="n">
        <v>169</v>
      </c>
      <c r="G123" s="34" t="n">
        <v>22</v>
      </c>
      <c r="H123" s="40" t="n">
        <v>6018.13</v>
      </c>
      <c r="I123" s="34" t="n">
        <v>0.12</v>
      </c>
      <c r="J123" s="34" t="n">
        <v>0.09</v>
      </c>
      <c r="K123" s="34" t="n">
        <v>0.13</v>
      </c>
      <c r="L123" s="34" t="n">
        <v>90.78</v>
      </c>
      <c r="M123" s="34" t="n">
        <v>90.78</v>
      </c>
      <c r="N123" s="34" t="n">
        <v>301</v>
      </c>
      <c r="O123" s="34" t="n">
        <v>0</v>
      </c>
      <c r="P123" s="34" t="s">
        <v>504</v>
      </c>
    </row>
    <row r="124" customFormat="false" ht="14.4" hidden="false" customHeight="false" outlineLevel="0" collapsed="false">
      <c r="A124" s="34" t="n">
        <v>123</v>
      </c>
      <c r="B124" s="35" t="n">
        <v>37184272000107</v>
      </c>
      <c r="C124" s="34" t="s">
        <v>712</v>
      </c>
      <c r="D124" s="34" t="s">
        <v>713</v>
      </c>
      <c r="E124" s="34" t="s">
        <v>714</v>
      </c>
      <c r="F124" s="34" t="n">
        <v>384</v>
      </c>
      <c r="G124" s="34" t="n">
        <v>85</v>
      </c>
      <c r="H124" s="40" t="n">
        <v>5946.42</v>
      </c>
      <c r="I124" s="34" t="n">
        <v>0.27</v>
      </c>
      <c r="J124" s="34" t="n">
        <v>0.35</v>
      </c>
      <c r="K124" s="34" t="n">
        <v>0.12</v>
      </c>
      <c r="L124" s="34" t="n">
        <v>90.91</v>
      </c>
      <c r="M124" s="34" t="n">
        <v>90.91</v>
      </c>
      <c r="N124" s="34" t="n">
        <v>718</v>
      </c>
      <c r="O124" s="34" t="n">
        <v>0</v>
      </c>
      <c r="P124" s="34" t="s">
        <v>504</v>
      </c>
    </row>
    <row r="125" customFormat="false" ht="14.4" hidden="false" customHeight="false" outlineLevel="0" collapsed="false">
      <c r="A125" s="34" t="n">
        <v>124</v>
      </c>
      <c r="B125" s="35" t="n">
        <v>9531413000258</v>
      </c>
      <c r="C125" s="34" t="s">
        <v>528</v>
      </c>
      <c r="D125" s="34" t="s">
        <v>77</v>
      </c>
      <c r="E125" s="34" t="s">
        <v>715</v>
      </c>
      <c r="F125" s="34" t="n">
        <v>157</v>
      </c>
      <c r="G125" s="34" t="n">
        <v>27</v>
      </c>
      <c r="H125" s="40" t="n">
        <v>5867.22</v>
      </c>
      <c r="I125" s="34" t="n">
        <v>0.11</v>
      </c>
      <c r="J125" s="34" t="n">
        <v>0.11</v>
      </c>
      <c r="K125" s="34" t="n">
        <v>0.12</v>
      </c>
      <c r="L125" s="34" t="n">
        <v>91.04</v>
      </c>
      <c r="M125" s="34" t="n">
        <v>91.04</v>
      </c>
      <c r="N125" s="34" t="n">
        <v>702</v>
      </c>
      <c r="O125" s="34" t="n">
        <v>0</v>
      </c>
      <c r="P125" s="34" t="s">
        <v>504</v>
      </c>
    </row>
    <row r="126" customFormat="false" ht="14.4" hidden="false" customHeight="false" outlineLevel="0" collapsed="false">
      <c r="A126" s="34" t="n">
        <v>125</v>
      </c>
      <c r="B126" s="35" t="n">
        <v>7719683000261</v>
      </c>
      <c r="C126" s="34" t="s">
        <v>716</v>
      </c>
      <c r="D126" s="34" t="s">
        <v>77</v>
      </c>
      <c r="E126" s="34" t="s">
        <v>717</v>
      </c>
      <c r="F126" s="34" t="n">
        <v>150</v>
      </c>
      <c r="G126" s="34" t="n">
        <v>22</v>
      </c>
      <c r="H126" s="40" t="n">
        <v>5783.28</v>
      </c>
      <c r="I126" s="34" t="n">
        <v>0.1</v>
      </c>
      <c r="J126" s="34" t="n">
        <v>0.09</v>
      </c>
      <c r="K126" s="34" t="n">
        <v>0.12</v>
      </c>
      <c r="L126" s="34" t="n">
        <v>91.16</v>
      </c>
      <c r="M126" s="34" t="n">
        <v>91.16</v>
      </c>
      <c r="N126" s="34" t="n">
        <v>301</v>
      </c>
      <c r="O126" s="34" t="n">
        <v>0</v>
      </c>
      <c r="P126" s="34" t="s">
        <v>504</v>
      </c>
    </row>
    <row r="127" customFormat="false" ht="14.4" hidden="false" customHeight="false" outlineLevel="0" collapsed="false">
      <c r="A127" s="34" t="n">
        <v>126</v>
      </c>
      <c r="B127" s="35" t="n">
        <v>12075667000213</v>
      </c>
      <c r="C127" s="34" t="s">
        <v>718</v>
      </c>
      <c r="D127" s="34" t="s">
        <v>77</v>
      </c>
      <c r="E127" s="34" t="s">
        <v>719</v>
      </c>
      <c r="F127" s="34" t="n">
        <v>170</v>
      </c>
      <c r="G127" s="34" t="n">
        <v>26</v>
      </c>
      <c r="H127" s="40" t="n">
        <v>5744.51</v>
      </c>
      <c r="I127" s="34" t="n">
        <v>0.12</v>
      </c>
      <c r="J127" s="34" t="n">
        <v>0.1</v>
      </c>
      <c r="K127" s="34" t="n">
        <v>0.12</v>
      </c>
      <c r="L127" s="34" t="n">
        <v>91.29</v>
      </c>
      <c r="M127" s="34" t="n">
        <v>91.29</v>
      </c>
      <c r="N127" s="34" t="n">
        <v>301</v>
      </c>
      <c r="O127" s="34" t="n">
        <v>0</v>
      </c>
      <c r="P127" s="34" t="s">
        <v>504</v>
      </c>
    </row>
    <row r="128" customFormat="false" ht="14.4" hidden="false" customHeight="false" outlineLevel="0" collapsed="false">
      <c r="A128" s="34" t="n">
        <v>127</v>
      </c>
      <c r="B128" s="35" t="n">
        <v>14284225000121</v>
      </c>
      <c r="C128" s="34" t="s">
        <v>720</v>
      </c>
      <c r="D128" s="34" t="s">
        <v>721</v>
      </c>
      <c r="E128" s="34" t="s">
        <v>722</v>
      </c>
      <c r="F128" s="34" t="n">
        <v>108</v>
      </c>
      <c r="G128" s="34" t="n">
        <v>11</v>
      </c>
      <c r="H128" s="40" t="n">
        <v>5730.44</v>
      </c>
      <c r="I128" s="34" t="n">
        <v>0.07</v>
      </c>
      <c r="J128" s="34" t="n">
        <v>0.04</v>
      </c>
      <c r="K128" s="34" t="n">
        <v>0.12</v>
      </c>
      <c r="L128" s="34" t="n">
        <v>91.41</v>
      </c>
      <c r="M128" s="34" t="n">
        <v>91.41</v>
      </c>
      <c r="N128" s="34" t="n">
        <v>704</v>
      </c>
      <c r="O128" s="34" t="n">
        <v>0</v>
      </c>
      <c r="P128" s="34" t="s">
        <v>501</v>
      </c>
    </row>
    <row r="129" customFormat="false" ht="14.4" hidden="false" customHeight="false" outlineLevel="0" collapsed="false">
      <c r="A129" s="34" t="n">
        <v>128</v>
      </c>
      <c r="B129" s="35" t="n">
        <v>62144552000120</v>
      </c>
      <c r="C129" s="34" t="s">
        <v>723</v>
      </c>
      <c r="D129" s="34" t="s">
        <v>631</v>
      </c>
      <c r="E129" s="34" t="s">
        <v>724</v>
      </c>
      <c r="F129" s="34" t="n">
        <v>177</v>
      </c>
      <c r="G129" s="34" t="n">
        <v>16</v>
      </c>
      <c r="H129" s="40" t="n">
        <v>5599.28</v>
      </c>
      <c r="I129" s="34" t="n">
        <v>0.12</v>
      </c>
      <c r="J129" s="34" t="n">
        <v>0.06</v>
      </c>
      <c r="K129" s="34" t="n">
        <v>0.12</v>
      </c>
      <c r="L129" s="34" t="n">
        <v>91.53</v>
      </c>
      <c r="M129" s="34" t="n">
        <v>91.53</v>
      </c>
      <c r="N129" s="34" t="n">
        <v>706</v>
      </c>
      <c r="O129" s="34" t="n">
        <v>0</v>
      </c>
      <c r="P129" s="34" t="s">
        <v>496</v>
      </c>
    </row>
    <row r="130" customFormat="false" ht="14.4" hidden="false" customHeight="false" outlineLevel="0" collapsed="false">
      <c r="A130" s="34" t="n">
        <v>129</v>
      </c>
      <c r="B130" s="35" t="n">
        <v>15000097000100</v>
      </c>
      <c r="C130" s="34" t="s">
        <v>725</v>
      </c>
      <c r="D130" s="34" t="s">
        <v>631</v>
      </c>
      <c r="E130" s="34" t="s">
        <v>726</v>
      </c>
      <c r="F130" s="34" t="n">
        <v>153</v>
      </c>
      <c r="G130" s="34" t="n">
        <v>29</v>
      </c>
      <c r="H130" s="40" t="n">
        <v>5581.28</v>
      </c>
      <c r="I130" s="34" t="n">
        <v>0.11</v>
      </c>
      <c r="J130" s="34" t="n">
        <v>0.12</v>
      </c>
      <c r="K130" s="34" t="n">
        <v>0.12</v>
      </c>
      <c r="L130" s="34" t="n">
        <v>91.65</v>
      </c>
      <c r="M130" s="34" t="n">
        <v>91.65</v>
      </c>
      <c r="N130" s="34" t="n">
        <v>706</v>
      </c>
      <c r="O130" s="34" t="n">
        <v>0</v>
      </c>
      <c r="P130" s="34" t="s">
        <v>501</v>
      </c>
    </row>
    <row r="131" customFormat="false" ht="14.4" hidden="false" customHeight="false" outlineLevel="0" collapsed="false">
      <c r="A131" s="34" t="n">
        <v>130</v>
      </c>
      <c r="B131" s="35" t="n">
        <v>12075667000809</v>
      </c>
      <c r="C131" s="34" t="s">
        <v>727</v>
      </c>
      <c r="D131" s="34" t="s">
        <v>77</v>
      </c>
      <c r="E131" s="34" t="s">
        <v>728</v>
      </c>
      <c r="F131" s="34" t="n">
        <v>140</v>
      </c>
      <c r="G131" s="34" t="n">
        <v>21</v>
      </c>
      <c r="H131" s="40" t="n">
        <v>5560.78</v>
      </c>
      <c r="I131" s="34" t="n">
        <v>0.1</v>
      </c>
      <c r="J131" s="34" t="n">
        <v>0.08</v>
      </c>
      <c r="K131" s="34" t="n">
        <v>0.12</v>
      </c>
      <c r="L131" s="34" t="n">
        <v>91.78</v>
      </c>
      <c r="M131" s="34" t="n">
        <v>91.78</v>
      </c>
      <c r="N131" s="34" t="n">
        <v>301</v>
      </c>
      <c r="O131" s="34" t="n">
        <v>0</v>
      </c>
      <c r="P131" s="34" t="s">
        <v>504</v>
      </c>
    </row>
    <row r="132" customFormat="false" ht="14.4" hidden="false" customHeight="false" outlineLevel="0" collapsed="false">
      <c r="A132" s="34" t="n">
        <v>131</v>
      </c>
      <c r="B132" s="35" t="n">
        <v>15901440000197</v>
      </c>
      <c r="C132" s="34" t="s">
        <v>321</v>
      </c>
      <c r="D132" s="34" t="s">
        <v>328</v>
      </c>
      <c r="E132" s="34" t="s">
        <v>729</v>
      </c>
      <c r="F132" s="34" t="n">
        <v>114</v>
      </c>
      <c r="G132" s="34" t="n">
        <v>17</v>
      </c>
      <c r="H132" s="40" t="n">
        <v>5515.56</v>
      </c>
      <c r="I132" s="34" t="n">
        <v>0.08</v>
      </c>
      <c r="J132" s="34" t="n">
        <v>0.07</v>
      </c>
      <c r="K132" s="34" t="n">
        <v>0.11</v>
      </c>
      <c r="L132" s="34" t="n">
        <v>91.9</v>
      </c>
      <c r="M132" s="34" t="n">
        <v>91.9</v>
      </c>
      <c r="N132" s="34" t="n">
        <v>705</v>
      </c>
      <c r="O132" s="34" t="n">
        <v>0</v>
      </c>
      <c r="P132" s="34" t="s">
        <v>504</v>
      </c>
    </row>
    <row r="133" customFormat="false" ht="14.4" hidden="false" customHeight="false" outlineLevel="0" collapsed="false">
      <c r="A133" s="34" t="n">
        <v>132</v>
      </c>
      <c r="B133" s="35" t="n">
        <v>12075667000647</v>
      </c>
      <c r="C133" s="34" t="s">
        <v>730</v>
      </c>
      <c r="D133" s="34" t="s">
        <v>77</v>
      </c>
      <c r="E133" s="34" t="s">
        <v>731</v>
      </c>
      <c r="F133" s="34" t="n">
        <v>170</v>
      </c>
      <c r="G133" s="34" t="n">
        <v>24</v>
      </c>
      <c r="H133" s="40" t="n">
        <v>5471.92</v>
      </c>
      <c r="I133" s="34" t="n">
        <v>0.12</v>
      </c>
      <c r="J133" s="34" t="n">
        <v>0.1</v>
      </c>
      <c r="K133" s="34" t="n">
        <v>0.11</v>
      </c>
      <c r="L133" s="34" t="n">
        <v>92.01</v>
      </c>
      <c r="M133" s="34" t="n">
        <v>92.01</v>
      </c>
      <c r="N133" s="34" t="n">
        <v>301</v>
      </c>
      <c r="O133" s="34" t="n">
        <v>0</v>
      </c>
      <c r="P133" s="34" t="s">
        <v>496</v>
      </c>
    </row>
    <row r="134" customFormat="false" ht="14.4" hidden="false" customHeight="false" outlineLevel="0" collapsed="false">
      <c r="A134" s="34" t="n">
        <v>133</v>
      </c>
      <c r="B134" s="35" t="n">
        <v>24678875000105</v>
      </c>
      <c r="C134" s="34" t="s">
        <v>732</v>
      </c>
      <c r="D134" s="34" t="s">
        <v>89</v>
      </c>
      <c r="E134" s="34" t="s">
        <v>568</v>
      </c>
      <c r="F134" s="34" t="n">
        <v>213</v>
      </c>
      <c r="G134" s="34" t="n">
        <v>24</v>
      </c>
      <c r="H134" s="40" t="n">
        <v>5452.5</v>
      </c>
      <c r="I134" s="34" t="n">
        <v>0.15</v>
      </c>
      <c r="J134" s="34" t="n">
        <v>0.09</v>
      </c>
      <c r="K134" s="34" t="n">
        <v>0.11</v>
      </c>
      <c r="L134" s="34" t="n">
        <v>92.13</v>
      </c>
      <c r="M134" s="34" t="n">
        <v>92.13</v>
      </c>
      <c r="N134" s="34" t="n">
        <v>711</v>
      </c>
      <c r="O134" s="34" t="n">
        <v>0</v>
      </c>
      <c r="P134" s="34" t="s">
        <v>501</v>
      </c>
    </row>
    <row r="135" customFormat="false" ht="14.4" hidden="false" customHeight="false" outlineLevel="0" collapsed="false">
      <c r="A135" s="34" t="n">
        <v>134</v>
      </c>
      <c r="B135" s="35" t="n">
        <v>46876542000476</v>
      </c>
      <c r="C135" s="34" t="s">
        <v>571</v>
      </c>
      <c r="D135" s="34" t="s">
        <v>139</v>
      </c>
      <c r="E135" s="34" t="s">
        <v>733</v>
      </c>
      <c r="F135" s="34" t="n">
        <v>122</v>
      </c>
      <c r="G135" s="34" t="n">
        <v>20</v>
      </c>
      <c r="H135" s="40" t="n">
        <v>5404.63</v>
      </c>
      <c r="I135" s="34" t="n">
        <v>0.08</v>
      </c>
      <c r="J135" s="34" t="n">
        <v>0.08</v>
      </c>
      <c r="K135" s="34" t="n">
        <v>0.11</v>
      </c>
      <c r="L135" s="34" t="n">
        <v>92.25</v>
      </c>
      <c r="M135" s="34" t="n">
        <v>92.25</v>
      </c>
      <c r="N135" s="34" t="n">
        <v>714</v>
      </c>
      <c r="O135" s="34" t="n">
        <v>0</v>
      </c>
      <c r="P135" s="34" t="s">
        <v>501</v>
      </c>
    </row>
    <row r="136" customFormat="false" ht="14.4" hidden="false" customHeight="false" outlineLevel="0" collapsed="false">
      <c r="A136" s="34" t="n">
        <v>135</v>
      </c>
      <c r="B136" s="35" t="n">
        <v>11311873000301</v>
      </c>
      <c r="C136" s="34" t="s">
        <v>734</v>
      </c>
      <c r="D136" s="34" t="s">
        <v>342</v>
      </c>
      <c r="E136" s="34" t="s">
        <v>735</v>
      </c>
      <c r="F136" s="34" t="n">
        <v>233</v>
      </c>
      <c r="G136" s="34" t="n">
        <v>33</v>
      </c>
      <c r="H136" s="40" t="n">
        <v>5218.58</v>
      </c>
      <c r="I136" s="34" t="n">
        <v>0.16</v>
      </c>
      <c r="J136" s="34" t="n">
        <v>0.14</v>
      </c>
      <c r="K136" s="34" t="n">
        <v>0.11</v>
      </c>
      <c r="L136" s="34" t="n">
        <v>92.36</v>
      </c>
      <c r="M136" s="34" t="n">
        <v>92.36</v>
      </c>
      <c r="N136" s="34" t="n">
        <v>705</v>
      </c>
      <c r="O136" s="34" t="n">
        <v>0</v>
      </c>
      <c r="P136" s="34" t="s">
        <v>510</v>
      </c>
    </row>
    <row r="137" customFormat="false" ht="14.4" hidden="false" customHeight="false" outlineLevel="0" collapsed="false">
      <c r="A137" s="34" t="n">
        <v>136</v>
      </c>
      <c r="B137" s="35" t="n">
        <v>201278000127</v>
      </c>
      <c r="C137" s="34" t="s">
        <v>736</v>
      </c>
      <c r="D137" s="34" t="s">
        <v>737</v>
      </c>
      <c r="E137" s="34" t="s">
        <v>738</v>
      </c>
      <c r="F137" s="34" t="n">
        <v>147</v>
      </c>
      <c r="G137" s="34" t="n">
        <v>15</v>
      </c>
      <c r="H137" s="40" t="n">
        <v>5186.31</v>
      </c>
      <c r="I137" s="34" t="n">
        <v>0.1</v>
      </c>
      <c r="J137" s="34" t="n">
        <v>0.06</v>
      </c>
      <c r="K137" s="34" t="n">
        <v>0.11</v>
      </c>
      <c r="L137" s="34" t="n">
        <v>92.48</v>
      </c>
      <c r="M137" s="34" t="n">
        <v>92.48</v>
      </c>
      <c r="N137" s="34" t="n">
        <v>716</v>
      </c>
      <c r="O137" s="34" t="n">
        <v>0</v>
      </c>
      <c r="P137" s="34" t="s">
        <v>510</v>
      </c>
    </row>
    <row r="138" customFormat="false" ht="14.4" hidden="false" customHeight="false" outlineLevel="0" collapsed="false">
      <c r="A138" s="34" t="n">
        <v>137</v>
      </c>
      <c r="B138" s="35" t="n">
        <v>24678875000296</v>
      </c>
      <c r="C138" s="34" t="s">
        <v>732</v>
      </c>
      <c r="D138" s="34" t="s">
        <v>89</v>
      </c>
      <c r="E138" s="34" t="s">
        <v>739</v>
      </c>
      <c r="F138" s="34" t="n">
        <v>200</v>
      </c>
      <c r="G138" s="34" t="n">
        <v>23</v>
      </c>
      <c r="H138" s="40" t="n">
        <v>5061.82</v>
      </c>
      <c r="I138" s="34" t="n">
        <v>0.14</v>
      </c>
      <c r="J138" s="34" t="n">
        <v>0.09</v>
      </c>
      <c r="K138" s="34" t="n">
        <v>0.11</v>
      </c>
      <c r="L138" s="34" t="n">
        <v>92.59</v>
      </c>
      <c r="M138" s="34" t="n">
        <v>92.59</v>
      </c>
      <c r="N138" s="34" t="n">
        <v>711</v>
      </c>
      <c r="O138" s="34" t="n">
        <v>0</v>
      </c>
      <c r="P138" s="34" t="s">
        <v>501</v>
      </c>
    </row>
    <row r="139" customFormat="false" ht="14.4" hidden="false" customHeight="false" outlineLevel="0" collapsed="false">
      <c r="A139" s="34" t="n">
        <v>138</v>
      </c>
      <c r="B139" s="35" t="n">
        <v>33168717000449</v>
      </c>
      <c r="C139" s="34" t="s">
        <v>576</v>
      </c>
      <c r="D139" s="34" t="s">
        <v>463</v>
      </c>
      <c r="E139" s="34" t="s">
        <v>536</v>
      </c>
      <c r="F139" s="34" t="n">
        <v>137</v>
      </c>
      <c r="G139" s="34" t="n">
        <v>30</v>
      </c>
      <c r="H139" s="40" t="n">
        <v>4981.28</v>
      </c>
      <c r="I139" s="34" t="n">
        <v>0.09</v>
      </c>
      <c r="J139" s="34" t="n">
        <v>0.12</v>
      </c>
      <c r="K139" s="34" t="n">
        <v>0.1</v>
      </c>
      <c r="L139" s="34" t="n">
        <v>92.69</v>
      </c>
      <c r="M139" s="34" t="n">
        <v>92.69</v>
      </c>
      <c r="N139" s="34" t="n">
        <v>712</v>
      </c>
      <c r="O139" s="34" t="n">
        <v>0</v>
      </c>
      <c r="P139" s="34" t="s">
        <v>504</v>
      </c>
    </row>
    <row r="140" customFormat="false" ht="14.4" hidden="false" customHeight="false" outlineLevel="0" collapsed="false">
      <c r="A140" s="34" t="n">
        <v>139</v>
      </c>
      <c r="B140" s="35" t="n">
        <v>15000097000290</v>
      </c>
      <c r="C140" s="34" t="s">
        <v>725</v>
      </c>
      <c r="D140" s="34" t="s">
        <v>631</v>
      </c>
      <c r="E140" s="34" t="s">
        <v>740</v>
      </c>
      <c r="F140" s="34" t="n">
        <v>155</v>
      </c>
      <c r="G140" s="34" t="n">
        <v>23</v>
      </c>
      <c r="H140" s="40" t="n">
        <v>4921.77</v>
      </c>
      <c r="I140" s="34" t="n">
        <v>0.11</v>
      </c>
      <c r="J140" s="34" t="n">
        <v>0.09</v>
      </c>
      <c r="K140" s="34" t="n">
        <v>0.1</v>
      </c>
      <c r="L140" s="34" t="n">
        <v>92.8</v>
      </c>
      <c r="M140" s="34" t="n">
        <v>92.8</v>
      </c>
      <c r="N140" s="34" t="n">
        <v>706</v>
      </c>
      <c r="O140" s="34" t="n">
        <v>0</v>
      </c>
      <c r="P140" s="34" t="s">
        <v>501</v>
      </c>
    </row>
    <row r="141" customFormat="false" ht="14.4" hidden="false" customHeight="false" outlineLevel="0" collapsed="false">
      <c r="A141" s="34" t="n">
        <v>140</v>
      </c>
      <c r="B141" s="35" t="n">
        <v>3399075000185</v>
      </c>
      <c r="C141" s="34" t="s">
        <v>741</v>
      </c>
      <c r="D141" s="34" t="s">
        <v>107</v>
      </c>
      <c r="E141" s="34" t="s">
        <v>742</v>
      </c>
      <c r="F141" s="34" t="n">
        <v>183</v>
      </c>
      <c r="G141" s="34" t="n">
        <v>30</v>
      </c>
      <c r="H141" s="40" t="n">
        <v>4818.92</v>
      </c>
      <c r="I141" s="34" t="n">
        <v>0.13</v>
      </c>
      <c r="J141" s="34" t="n">
        <v>0.12</v>
      </c>
      <c r="K141" s="34" t="n">
        <v>0.1</v>
      </c>
      <c r="L141" s="34" t="n">
        <v>92.91</v>
      </c>
      <c r="M141" s="34" t="n">
        <v>92.91</v>
      </c>
      <c r="N141" s="34" t="n">
        <v>707</v>
      </c>
      <c r="O141" s="34" t="n">
        <v>0</v>
      </c>
      <c r="P141" s="34" t="s">
        <v>504</v>
      </c>
    </row>
    <row r="142" customFormat="false" ht="14.4" hidden="false" customHeight="false" outlineLevel="0" collapsed="false">
      <c r="A142" s="34" t="n">
        <v>141</v>
      </c>
      <c r="B142" s="35" t="n">
        <v>859871000165</v>
      </c>
      <c r="C142" s="34" t="s">
        <v>743</v>
      </c>
      <c r="D142" s="34" t="s">
        <v>744</v>
      </c>
      <c r="E142" s="34" t="s">
        <v>745</v>
      </c>
      <c r="F142" s="34" t="n">
        <v>152</v>
      </c>
      <c r="G142" s="34" t="n">
        <v>37</v>
      </c>
      <c r="H142" s="40" t="n">
        <v>4761.66</v>
      </c>
      <c r="I142" s="34" t="n">
        <v>0.1</v>
      </c>
      <c r="J142" s="34" t="n">
        <v>0.15</v>
      </c>
      <c r="K142" s="34" t="n">
        <v>0.1</v>
      </c>
      <c r="L142" s="34" t="n">
        <v>93.01</v>
      </c>
      <c r="M142" s="34" t="n">
        <v>93.01</v>
      </c>
      <c r="N142" s="34" t="n">
        <v>718</v>
      </c>
      <c r="O142" s="34" t="n">
        <v>0</v>
      </c>
      <c r="P142" s="34" t="s">
        <v>504</v>
      </c>
    </row>
    <row r="143" customFormat="false" ht="14.4" hidden="false" customHeight="false" outlineLevel="0" collapsed="false">
      <c r="A143" s="34" t="n">
        <v>142</v>
      </c>
      <c r="B143" s="35" t="n">
        <v>1087634000196</v>
      </c>
      <c r="C143" s="34" t="s">
        <v>746</v>
      </c>
      <c r="D143" s="34" t="s">
        <v>737</v>
      </c>
      <c r="E143" s="34" t="s">
        <v>738</v>
      </c>
      <c r="F143" s="34" t="n">
        <v>130</v>
      </c>
      <c r="G143" s="34" t="n">
        <v>17</v>
      </c>
      <c r="H143" s="40" t="n">
        <v>4699.71</v>
      </c>
      <c r="I143" s="34" t="n">
        <v>0.09</v>
      </c>
      <c r="J143" s="34" t="n">
        <v>0.07</v>
      </c>
      <c r="K143" s="34" t="n">
        <v>0.1</v>
      </c>
      <c r="L143" s="34" t="n">
        <v>93.11</v>
      </c>
      <c r="M143" s="34" t="n">
        <v>93.11</v>
      </c>
      <c r="N143" s="34" t="n">
        <v>716</v>
      </c>
      <c r="O143" s="34" t="n">
        <v>0</v>
      </c>
      <c r="P143" s="34" t="s">
        <v>510</v>
      </c>
    </row>
    <row r="144" customFormat="false" ht="14.4" hidden="false" customHeight="false" outlineLevel="0" collapsed="false">
      <c r="A144" s="34" t="n">
        <v>143</v>
      </c>
      <c r="B144" s="35" t="n">
        <v>73351000122</v>
      </c>
      <c r="C144" s="34" t="s">
        <v>747</v>
      </c>
      <c r="D144" s="34" t="s">
        <v>713</v>
      </c>
      <c r="E144" s="34" t="s">
        <v>748</v>
      </c>
      <c r="F144" s="34" t="n">
        <v>82</v>
      </c>
      <c r="G144" s="34" t="n">
        <v>14</v>
      </c>
      <c r="H144" s="40" t="n">
        <v>4552.55</v>
      </c>
      <c r="I144" s="34" t="n">
        <v>0.05</v>
      </c>
      <c r="J144" s="34" t="n">
        <v>0.05</v>
      </c>
      <c r="K144" s="34" t="n">
        <v>0.09</v>
      </c>
      <c r="L144" s="34" t="n">
        <v>93.21</v>
      </c>
      <c r="M144" s="34" t="n">
        <v>93.21</v>
      </c>
      <c r="N144" s="34" t="n">
        <v>718</v>
      </c>
      <c r="O144" s="34" t="n">
        <v>0</v>
      </c>
      <c r="P144" s="34" t="s">
        <v>504</v>
      </c>
    </row>
    <row r="145" customFormat="false" ht="14.4" hidden="false" customHeight="false" outlineLevel="0" collapsed="false">
      <c r="A145" s="34" t="n">
        <v>144</v>
      </c>
      <c r="B145" s="35" t="n">
        <v>1547436000168</v>
      </c>
      <c r="C145" s="34" t="s">
        <v>749</v>
      </c>
      <c r="D145" s="34" t="s">
        <v>296</v>
      </c>
      <c r="E145" s="34" t="s">
        <v>750</v>
      </c>
      <c r="F145" s="34" t="n">
        <v>90</v>
      </c>
      <c r="G145" s="34" t="n">
        <v>29</v>
      </c>
      <c r="H145" s="40" t="n">
        <v>4465.73</v>
      </c>
      <c r="I145" s="34" t="n">
        <v>0.06</v>
      </c>
      <c r="J145" s="34" t="n">
        <v>0.12</v>
      </c>
      <c r="K145" s="34" t="n">
        <v>0.09</v>
      </c>
      <c r="L145" s="34" t="n">
        <v>93.31</v>
      </c>
      <c r="M145" s="34" t="n">
        <v>93.31</v>
      </c>
      <c r="N145" s="34" t="n">
        <v>703</v>
      </c>
      <c r="O145" s="34" t="n">
        <v>0</v>
      </c>
      <c r="P145" s="34" t="s">
        <v>496</v>
      </c>
    </row>
    <row r="146" customFormat="false" ht="14.4" hidden="false" customHeight="false" outlineLevel="0" collapsed="false">
      <c r="A146" s="34" t="n">
        <v>145</v>
      </c>
      <c r="B146" s="35" t="n">
        <v>1943181000152</v>
      </c>
      <c r="C146" s="34" t="s">
        <v>751</v>
      </c>
      <c r="D146" s="34" t="s">
        <v>107</v>
      </c>
      <c r="E146" s="34" t="s">
        <v>752</v>
      </c>
      <c r="F146" s="34" t="n">
        <v>118</v>
      </c>
      <c r="G146" s="34" t="n">
        <v>12</v>
      </c>
      <c r="H146" s="40" t="n">
        <v>4378.86</v>
      </c>
      <c r="I146" s="34" t="n">
        <v>0.08</v>
      </c>
      <c r="J146" s="34" t="n">
        <v>0.05</v>
      </c>
      <c r="K146" s="34" t="n">
        <v>0.09</v>
      </c>
      <c r="L146" s="34" t="n">
        <v>93.4</v>
      </c>
      <c r="M146" s="34" t="n">
        <v>93.4</v>
      </c>
      <c r="N146" s="34" t="n">
        <v>707</v>
      </c>
      <c r="O146" s="34" t="n">
        <v>0</v>
      </c>
      <c r="P146" s="34" t="s">
        <v>504</v>
      </c>
    </row>
    <row r="147" customFormat="false" ht="14.4" hidden="false" customHeight="false" outlineLevel="0" collapsed="false">
      <c r="A147" s="34" t="n">
        <v>146</v>
      </c>
      <c r="B147" s="35" t="n">
        <v>28637953000184</v>
      </c>
      <c r="C147" s="34" t="s">
        <v>753</v>
      </c>
      <c r="D147" s="34" t="s">
        <v>77</v>
      </c>
      <c r="E147" s="34" t="s">
        <v>754</v>
      </c>
      <c r="F147" s="34" t="n">
        <v>175</v>
      </c>
      <c r="G147" s="34" t="n">
        <v>35</v>
      </c>
      <c r="H147" s="40" t="n">
        <v>4261.5</v>
      </c>
      <c r="I147" s="34" t="n">
        <v>0.12</v>
      </c>
      <c r="J147" s="34" t="n">
        <v>0.14</v>
      </c>
      <c r="K147" s="34" t="n">
        <v>0.09</v>
      </c>
      <c r="L147" s="34" t="n">
        <v>93.5</v>
      </c>
      <c r="M147" s="34" t="n">
        <v>93.5</v>
      </c>
      <c r="N147" s="34" t="n">
        <v>757</v>
      </c>
      <c r="O147" s="34" t="n">
        <v>0</v>
      </c>
      <c r="P147" s="34" t="s">
        <v>504</v>
      </c>
    </row>
    <row r="148" customFormat="false" ht="14.4" hidden="false" customHeight="false" outlineLevel="0" collapsed="false">
      <c r="A148" s="34" t="n">
        <v>147</v>
      </c>
      <c r="B148" s="35" t="n">
        <v>3399075000266</v>
      </c>
      <c r="C148" s="34" t="s">
        <v>741</v>
      </c>
      <c r="D148" s="34" t="s">
        <v>107</v>
      </c>
      <c r="E148" s="34" t="s">
        <v>755</v>
      </c>
      <c r="F148" s="34" t="n">
        <v>169</v>
      </c>
      <c r="G148" s="34" t="n">
        <v>25</v>
      </c>
      <c r="H148" s="40" t="n">
        <v>4245.92</v>
      </c>
      <c r="I148" s="34" t="n">
        <v>0.12</v>
      </c>
      <c r="J148" s="34" t="n">
        <v>0.1</v>
      </c>
      <c r="K148" s="34" t="n">
        <v>0.09</v>
      </c>
      <c r="L148" s="34" t="n">
        <v>93.59</v>
      </c>
      <c r="M148" s="34" t="n">
        <v>93.59</v>
      </c>
      <c r="N148" s="34" t="n">
        <v>707</v>
      </c>
      <c r="O148" s="34" t="n">
        <v>0</v>
      </c>
      <c r="P148" s="34" t="s">
        <v>504</v>
      </c>
    </row>
    <row r="149" customFormat="false" ht="14.4" hidden="false" customHeight="false" outlineLevel="0" collapsed="false">
      <c r="A149" s="34" t="n">
        <v>148</v>
      </c>
      <c r="B149" s="35" t="n">
        <v>13143965000185</v>
      </c>
      <c r="C149" s="34" t="s">
        <v>756</v>
      </c>
      <c r="D149" s="34" t="s">
        <v>336</v>
      </c>
      <c r="E149" s="34" t="s">
        <v>757</v>
      </c>
      <c r="F149" s="34" t="n">
        <v>115</v>
      </c>
      <c r="G149" s="34" t="n">
        <v>14</v>
      </c>
      <c r="H149" s="40" t="n">
        <v>4228.01</v>
      </c>
      <c r="I149" s="34" t="n">
        <v>0.08</v>
      </c>
      <c r="J149" s="34" t="n">
        <v>0.05</v>
      </c>
      <c r="K149" s="34" t="n">
        <v>0.09</v>
      </c>
      <c r="L149" s="34" t="n">
        <v>93.68</v>
      </c>
      <c r="M149" s="34" t="n">
        <v>93.68</v>
      </c>
      <c r="N149" s="34" t="n">
        <v>705</v>
      </c>
      <c r="O149" s="34" t="n">
        <v>0</v>
      </c>
      <c r="P149" s="34" t="s">
        <v>501</v>
      </c>
    </row>
    <row r="150" customFormat="false" ht="14.4" hidden="false" customHeight="false" outlineLevel="0" collapsed="false">
      <c r="A150" s="34" t="n">
        <v>149</v>
      </c>
      <c r="B150" s="35" t="n">
        <v>6954973000146</v>
      </c>
      <c r="C150" s="34" t="s">
        <v>758</v>
      </c>
      <c r="D150" s="34" t="s">
        <v>737</v>
      </c>
      <c r="E150" s="34" t="s">
        <v>759</v>
      </c>
      <c r="F150" s="34" t="n">
        <v>115</v>
      </c>
      <c r="G150" s="34" t="n">
        <v>8</v>
      </c>
      <c r="H150" s="40" t="n">
        <v>4044.98</v>
      </c>
      <c r="I150" s="34" t="n">
        <v>0.08</v>
      </c>
      <c r="J150" s="34" t="n">
        <v>0.03</v>
      </c>
      <c r="K150" s="34" t="n">
        <v>0.08</v>
      </c>
      <c r="L150" s="34" t="n">
        <v>93.77</v>
      </c>
      <c r="M150" s="34" t="n">
        <v>93.77</v>
      </c>
      <c r="N150" s="34" t="n">
        <v>716</v>
      </c>
      <c r="O150" s="34" t="n">
        <v>0</v>
      </c>
      <c r="P150" s="34" t="s">
        <v>504</v>
      </c>
    </row>
    <row r="151" customFormat="false" ht="14.4" hidden="false" customHeight="false" outlineLevel="0" collapsed="false">
      <c r="A151" s="34" t="n">
        <v>150</v>
      </c>
      <c r="B151" s="35" t="n">
        <v>1274396000209</v>
      </c>
      <c r="C151" s="34" t="s">
        <v>530</v>
      </c>
      <c r="D151" s="34" t="s">
        <v>197</v>
      </c>
      <c r="E151" s="34" t="s">
        <v>760</v>
      </c>
      <c r="F151" s="34" t="n">
        <v>91</v>
      </c>
      <c r="G151" s="34" t="n">
        <v>17</v>
      </c>
      <c r="H151" s="40" t="n">
        <v>4037.09</v>
      </c>
      <c r="I151" s="34" t="n">
        <v>0.06</v>
      </c>
      <c r="J151" s="34" t="n">
        <v>0.07</v>
      </c>
      <c r="K151" s="34" t="n">
        <v>0.08</v>
      </c>
      <c r="L151" s="34" t="n">
        <v>93.86</v>
      </c>
      <c r="M151" s="34" t="n">
        <v>93.86</v>
      </c>
      <c r="N151" s="34" t="n">
        <v>703</v>
      </c>
      <c r="O151" s="34" t="n">
        <v>0</v>
      </c>
      <c r="P151" s="34" t="s">
        <v>504</v>
      </c>
    </row>
    <row r="152" customFormat="false" ht="14.4" hidden="false" customHeight="false" outlineLevel="0" collapsed="false">
      <c r="A152" s="34" t="n">
        <v>151</v>
      </c>
      <c r="B152" s="35" t="n">
        <v>7027727000101</v>
      </c>
      <c r="C152" s="34" t="s">
        <v>761</v>
      </c>
      <c r="D152" s="34" t="s">
        <v>762</v>
      </c>
      <c r="E152" s="34" t="s">
        <v>526</v>
      </c>
      <c r="F152" s="34" t="n">
        <v>121</v>
      </c>
      <c r="G152" s="34" t="n">
        <v>16</v>
      </c>
      <c r="H152" s="40" t="n">
        <v>3827.09</v>
      </c>
      <c r="I152" s="34" t="n">
        <v>0.08</v>
      </c>
      <c r="J152" s="34" t="n">
        <v>0.06</v>
      </c>
      <c r="K152" s="34" t="n">
        <v>0.08</v>
      </c>
      <c r="L152" s="34" t="n">
        <v>93.94</v>
      </c>
      <c r="M152" s="34" t="n">
        <v>93.94</v>
      </c>
      <c r="N152" s="34" t="n">
        <v>710</v>
      </c>
      <c r="O152" s="34" t="n">
        <v>0</v>
      </c>
      <c r="P152" s="34" t="s">
        <v>504</v>
      </c>
    </row>
    <row r="153" customFormat="false" ht="14.4" hidden="false" customHeight="false" outlineLevel="0" collapsed="false">
      <c r="A153" s="34" t="n">
        <v>152</v>
      </c>
      <c r="B153" s="35" t="n">
        <v>3118384000130</v>
      </c>
      <c r="C153" s="34" t="s">
        <v>763</v>
      </c>
      <c r="D153" s="34" t="s">
        <v>764</v>
      </c>
      <c r="E153" s="34" t="s">
        <v>765</v>
      </c>
      <c r="F153" s="34" t="n">
        <v>202</v>
      </c>
      <c r="G153" s="34" t="n">
        <v>22</v>
      </c>
      <c r="H153" s="40" t="n">
        <v>3804.4</v>
      </c>
      <c r="I153" s="34" t="n">
        <v>0.14</v>
      </c>
      <c r="J153" s="34" t="n">
        <v>0.09</v>
      </c>
      <c r="K153" s="34" t="n">
        <v>0.08</v>
      </c>
      <c r="L153" s="34" t="n">
        <v>94.02</v>
      </c>
      <c r="M153" s="34" t="n">
        <v>94.02</v>
      </c>
      <c r="N153" s="34" t="n">
        <v>718</v>
      </c>
      <c r="O153" s="34" t="n">
        <v>0</v>
      </c>
      <c r="P153" s="34" t="s">
        <v>501</v>
      </c>
    </row>
    <row r="154" customFormat="false" ht="14.4" hidden="false" customHeight="false" outlineLevel="0" collapsed="false">
      <c r="A154" s="34" t="n">
        <v>153</v>
      </c>
      <c r="B154" s="35" t="n">
        <v>12075667001023</v>
      </c>
      <c r="C154" s="34" t="s">
        <v>766</v>
      </c>
      <c r="D154" s="34" t="s">
        <v>77</v>
      </c>
      <c r="E154" s="34" t="s">
        <v>767</v>
      </c>
      <c r="F154" s="34" t="n">
        <v>118</v>
      </c>
      <c r="G154" s="34" t="n">
        <v>15</v>
      </c>
      <c r="H154" s="40" t="n">
        <v>3733.49</v>
      </c>
      <c r="I154" s="34" t="n">
        <v>0.08</v>
      </c>
      <c r="J154" s="34" t="n">
        <v>0.06</v>
      </c>
      <c r="K154" s="34" t="n">
        <v>0.08</v>
      </c>
      <c r="L154" s="34" t="n">
        <v>94.1</v>
      </c>
      <c r="M154" s="34" t="n">
        <v>94.1</v>
      </c>
      <c r="N154" s="34" t="n">
        <v>301</v>
      </c>
      <c r="O154" s="34" t="n">
        <v>0</v>
      </c>
      <c r="P154" s="34" t="s">
        <v>504</v>
      </c>
    </row>
    <row r="155" customFormat="false" ht="14.4" hidden="false" customHeight="false" outlineLevel="0" collapsed="false">
      <c r="A155" s="34" t="n">
        <v>154</v>
      </c>
      <c r="B155" s="35" t="n">
        <v>4251519000101</v>
      </c>
      <c r="C155" s="34" t="s">
        <v>768</v>
      </c>
      <c r="D155" s="34" t="s">
        <v>569</v>
      </c>
      <c r="E155" s="34" t="s">
        <v>769</v>
      </c>
      <c r="F155" s="34" t="n">
        <v>96</v>
      </c>
      <c r="G155" s="34" t="n">
        <v>10</v>
      </c>
      <c r="H155" s="40" t="n">
        <v>3556.41</v>
      </c>
      <c r="I155" s="34" t="n">
        <v>0.06</v>
      </c>
      <c r="J155" s="34" t="n">
        <v>0.04</v>
      </c>
      <c r="K155" s="34" t="n">
        <v>0.07</v>
      </c>
      <c r="L155" s="34" t="n">
        <v>94.18</v>
      </c>
      <c r="M155" s="34" t="n">
        <v>94.18</v>
      </c>
      <c r="N155" s="34" t="n">
        <v>708</v>
      </c>
      <c r="O155" s="34" t="n">
        <v>0</v>
      </c>
      <c r="P155" s="34" t="s">
        <v>501</v>
      </c>
    </row>
    <row r="156" customFormat="false" ht="14.4" hidden="false" customHeight="false" outlineLevel="0" collapsed="false">
      <c r="A156" s="34" t="n">
        <v>155</v>
      </c>
      <c r="B156" s="35" t="n">
        <v>9473933000847</v>
      </c>
      <c r="C156" s="34" t="s">
        <v>476</v>
      </c>
      <c r="D156" s="34" t="s">
        <v>538</v>
      </c>
      <c r="E156" s="34" t="s">
        <v>770</v>
      </c>
      <c r="F156" s="34" t="n">
        <v>73</v>
      </c>
      <c r="G156" s="34" t="n">
        <v>11</v>
      </c>
      <c r="H156" s="40" t="n">
        <v>3478.62</v>
      </c>
      <c r="I156" s="34" t="n">
        <v>0.05</v>
      </c>
      <c r="J156" s="34" t="n">
        <v>0.04</v>
      </c>
      <c r="K156" s="34" t="n">
        <v>0.07</v>
      </c>
      <c r="L156" s="34" t="n">
        <v>94.26</v>
      </c>
      <c r="M156" s="34" t="n">
        <v>94.26</v>
      </c>
      <c r="N156" s="34" t="n">
        <v>721</v>
      </c>
      <c r="O156" s="34" t="n">
        <v>0</v>
      </c>
      <c r="P156" s="34" t="s">
        <v>501</v>
      </c>
    </row>
    <row r="157" customFormat="false" ht="14.4" hidden="false" customHeight="false" outlineLevel="0" collapsed="false">
      <c r="A157" s="34" t="n">
        <v>156</v>
      </c>
      <c r="B157" s="35" t="n">
        <v>18380082000102</v>
      </c>
      <c r="C157" s="34" t="s">
        <v>771</v>
      </c>
      <c r="D157" s="34" t="s">
        <v>744</v>
      </c>
      <c r="E157" s="34" t="s">
        <v>772</v>
      </c>
      <c r="F157" s="34" t="n">
        <v>101</v>
      </c>
      <c r="G157" s="34" t="n">
        <v>19</v>
      </c>
      <c r="H157" s="40" t="n">
        <v>3458.09</v>
      </c>
      <c r="I157" s="34" t="n">
        <v>0.07</v>
      </c>
      <c r="J157" s="34" t="n">
        <v>0.08</v>
      </c>
      <c r="K157" s="34" t="n">
        <v>0.07</v>
      </c>
      <c r="L157" s="34" t="n">
        <v>94.33</v>
      </c>
      <c r="M157" s="34" t="n">
        <v>94.33</v>
      </c>
      <c r="N157" s="34" t="n">
        <v>718</v>
      </c>
      <c r="O157" s="34" t="n">
        <v>0</v>
      </c>
      <c r="P157" s="34" t="s">
        <v>773</v>
      </c>
    </row>
    <row r="158" customFormat="false" ht="14.4" hidden="false" customHeight="false" outlineLevel="0" collapsed="false">
      <c r="A158" s="34" t="n">
        <v>157</v>
      </c>
      <c r="B158" s="35" t="n">
        <v>26676257000151</v>
      </c>
      <c r="C158" s="34" t="s">
        <v>774</v>
      </c>
      <c r="D158" s="34" t="s">
        <v>342</v>
      </c>
      <c r="E158" s="34" t="s">
        <v>775</v>
      </c>
      <c r="F158" s="34" t="n">
        <v>116</v>
      </c>
      <c r="G158" s="34" t="n">
        <v>18</v>
      </c>
      <c r="H158" s="40" t="n">
        <v>3437.91</v>
      </c>
      <c r="I158" s="34" t="n">
        <v>0.08</v>
      </c>
      <c r="J158" s="34" t="n">
        <v>0.07</v>
      </c>
      <c r="K158" s="34" t="n">
        <v>0.07</v>
      </c>
      <c r="L158" s="34" t="n">
        <v>94.41</v>
      </c>
      <c r="M158" s="34" t="n">
        <v>94.41</v>
      </c>
      <c r="N158" s="34" t="n">
        <v>705</v>
      </c>
      <c r="O158" s="34" t="n">
        <v>0</v>
      </c>
      <c r="P158" s="34" t="s">
        <v>776</v>
      </c>
    </row>
    <row r="159" customFormat="false" ht="14.4" hidden="false" customHeight="false" outlineLevel="0" collapsed="false">
      <c r="A159" s="34" t="n">
        <v>158</v>
      </c>
      <c r="B159" s="35" t="n">
        <v>19851425000132</v>
      </c>
      <c r="C159" s="34" t="s">
        <v>240</v>
      </c>
      <c r="D159" s="34" t="s">
        <v>207</v>
      </c>
      <c r="E159" s="34" t="s">
        <v>777</v>
      </c>
      <c r="F159" s="34" t="n">
        <v>97</v>
      </c>
      <c r="G159" s="34" t="n">
        <v>15</v>
      </c>
      <c r="H159" s="40" t="n">
        <v>3386.69</v>
      </c>
      <c r="I159" s="34" t="n">
        <v>0.07</v>
      </c>
      <c r="J159" s="34" t="n">
        <v>0.06</v>
      </c>
      <c r="K159" s="34" t="n">
        <v>0.07</v>
      </c>
      <c r="L159" s="34" t="n">
        <v>94.48</v>
      </c>
      <c r="M159" s="34" t="n">
        <v>94.48</v>
      </c>
      <c r="N159" s="34" t="n">
        <v>703</v>
      </c>
      <c r="O159" s="34" t="n">
        <v>0</v>
      </c>
      <c r="P159" s="34" t="s">
        <v>510</v>
      </c>
    </row>
    <row r="160" customFormat="false" ht="14.4" hidden="false" customHeight="false" outlineLevel="0" collapsed="false">
      <c r="A160" s="34" t="n">
        <v>159</v>
      </c>
      <c r="B160" s="35" t="n">
        <v>7028514000528</v>
      </c>
      <c r="C160" s="34" t="s">
        <v>778</v>
      </c>
      <c r="D160" s="34" t="s">
        <v>631</v>
      </c>
      <c r="E160" s="34" t="s">
        <v>779</v>
      </c>
      <c r="F160" s="34" t="n">
        <v>66</v>
      </c>
      <c r="G160" s="34" t="n">
        <v>22</v>
      </c>
      <c r="H160" s="40" t="n">
        <v>3359.78</v>
      </c>
      <c r="I160" s="34" t="n">
        <v>0.04</v>
      </c>
      <c r="J160" s="34" t="n">
        <v>0.09</v>
      </c>
      <c r="K160" s="34" t="n">
        <v>0.07</v>
      </c>
      <c r="L160" s="34" t="n">
        <v>94.55</v>
      </c>
      <c r="M160" s="34" t="n">
        <v>94.55</v>
      </c>
      <c r="N160" s="34" t="n">
        <v>706</v>
      </c>
      <c r="O160" s="34" t="n">
        <v>0</v>
      </c>
      <c r="P160" s="34" t="s">
        <v>496</v>
      </c>
    </row>
    <row r="161" customFormat="false" ht="14.4" hidden="false" customHeight="false" outlineLevel="0" collapsed="false">
      <c r="A161" s="34" t="n">
        <v>160</v>
      </c>
      <c r="B161" s="35" t="n">
        <v>7777812000197</v>
      </c>
      <c r="C161" s="34" t="s">
        <v>780</v>
      </c>
      <c r="D161" s="34" t="s">
        <v>781</v>
      </c>
      <c r="E161" s="34" t="s">
        <v>782</v>
      </c>
      <c r="F161" s="34" t="n">
        <v>313</v>
      </c>
      <c r="G161" s="34" t="n">
        <v>34</v>
      </c>
      <c r="H161" s="40" t="n">
        <v>3359.06</v>
      </c>
      <c r="I161" s="34" t="n">
        <v>0.22</v>
      </c>
      <c r="J161" s="34" t="n">
        <v>0.14</v>
      </c>
      <c r="K161" s="34" t="n">
        <v>0.07</v>
      </c>
      <c r="L161" s="34" t="n">
        <v>94.63</v>
      </c>
      <c r="M161" s="34" t="n">
        <v>94.63</v>
      </c>
      <c r="N161" s="34" t="n">
        <v>716</v>
      </c>
      <c r="O161" s="34" t="n">
        <v>0</v>
      </c>
      <c r="P161" s="34" t="s">
        <v>510</v>
      </c>
    </row>
    <row r="162" customFormat="false" ht="14.4" hidden="false" customHeight="false" outlineLevel="0" collapsed="false">
      <c r="A162" s="34" t="n">
        <v>161</v>
      </c>
      <c r="B162" s="35" t="n">
        <v>7648881000109</v>
      </c>
      <c r="C162" s="34" t="s">
        <v>783</v>
      </c>
      <c r="D162" s="34" t="s">
        <v>721</v>
      </c>
      <c r="E162" s="34" t="s">
        <v>591</v>
      </c>
      <c r="F162" s="34" t="n">
        <v>98</v>
      </c>
      <c r="G162" s="34" t="n">
        <v>16</v>
      </c>
      <c r="H162" s="40" t="n">
        <v>3312.88</v>
      </c>
      <c r="I162" s="34" t="n">
        <v>0.07</v>
      </c>
      <c r="J162" s="34" t="n">
        <v>0.06</v>
      </c>
      <c r="K162" s="34" t="n">
        <v>0.07</v>
      </c>
      <c r="L162" s="34" t="n">
        <v>94.7</v>
      </c>
      <c r="M162" s="34" t="n">
        <v>94.7</v>
      </c>
      <c r="N162" s="34" t="n">
        <v>704</v>
      </c>
      <c r="O162" s="34" t="n">
        <v>0</v>
      </c>
      <c r="P162" s="34" t="s">
        <v>501</v>
      </c>
    </row>
    <row r="163" customFormat="false" ht="14.4" hidden="false" customHeight="false" outlineLevel="0" collapsed="false">
      <c r="A163" s="34" t="n">
        <v>162</v>
      </c>
      <c r="B163" s="35" t="n">
        <v>24397411000120</v>
      </c>
      <c r="C163" s="34" t="s">
        <v>784</v>
      </c>
      <c r="D163" s="34" t="s">
        <v>342</v>
      </c>
      <c r="E163" s="34" t="s">
        <v>785</v>
      </c>
      <c r="F163" s="34" t="n">
        <v>97</v>
      </c>
      <c r="G163" s="34" t="n">
        <v>25</v>
      </c>
      <c r="H163" s="40" t="n">
        <v>3306.1</v>
      </c>
      <c r="I163" s="34" t="n">
        <v>0.07</v>
      </c>
      <c r="J163" s="34" t="n">
        <v>0.1</v>
      </c>
      <c r="K163" s="34" t="n">
        <v>0.07</v>
      </c>
      <c r="L163" s="34" t="n">
        <v>94.77</v>
      </c>
      <c r="M163" s="34" t="n">
        <v>94.77</v>
      </c>
      <c r="N163" s="34" t="n">
        <v>705</v>
      </c>
      <c r="O163" s="34" t="n">
        <v>0</v>
      </c>
      <c r="P163" s="34" t="s">
        <v>510</v>
      </c>
    </row>
    <row r="164" customFormat="false" ht="14.4" hidden="false" customHeight="false" outlineLevel="0" collapsed="false">
      <c r="A164" s="34" t="n">
        <v>163</v>
      </c>
      <c r="B164" s="35" t="n">
        <v>9531413000509</v>
      </c>
      <c r="C164" s="34" t="s">
        <v>528</v>
      </c>
      <c r="D164" s="34" t="s">
        <v>77</v>
      </c>
      <c r="E164" s="34" t="s">
        <v>500</v>
      </c>
      <c r="F164" s="34" t="n">
        <v>64</v>
      </c>
      <c r="G164" s="34" t="n">
        <v>7</v>
      </c>
      <c r="H164" s="40" t="n">
        <v>3148.38</v>
      </c>
      <c r="I164" s="34" t="n">
        <v>0.04</v>
      </c>
      <c r="J164" s="34" t="n">
        <v>0.02</v>
      </c>
      <c r="K164" s="34" t="n">
        <v>0.06</v>
      </c>
      <c r="L164" s="34" t="n">
        <v>94.84</v>
      </c>
      <c r="M164" s="34" t="n">
        <v>94.84</v>
      </c>
      <c r="N164" s="34" t="n">
        <v>702</v>
      </c>
      <c r="O164" s="34" t="n">
        <v>0</v>
      </c>
      <c r="P164" s="34" t="s">
        <v>501</v>
      </c>
    </row>
    <row r="165" customFormat="false" ht="14.4" hidden="false" customHeight="false" outlineLevel="0" collapsed="false">
      <c r="A165" s="34" t="n">
        <v>164</v>
      </c>
      <c r="B165" s="35" t="n">
        <v>10389924000185</v>
      </c>
      <c r="C165" s="34" t="s">
        <v>786</v>
      </c>
      <c r="D165" s="34" t="s">
        <v>192</v>
      </c>
      <c r="E165" s="34" t="s">
        <v>586</v>
      </c>
      <c r="F165" s="34" t="n">
        <v>66</v>
      </c>
      <c r="G165" s="34" t="n">
        <v>12</v>
      </c>
      <c r="H165" s="40" t="n">
        <v>3089.47</v>
      </c>
      <c r="I165" s="34" t="n">
        <v>0.04</v>
      </c>
      <c r="J165" s="34" t="n">
        <v>0.04</v>
      </c>
      <c r="K165" s="34" t="n">
        <v>0.06</v>
      </c>
      <c r="L165" s="34" t="n">
        <v>94.91</v>
      </c>
      <c r="M165" s="34" t="n">
        <v>94.91</v>
      </c>
      <c r="N165" s="34" t="n">
        <v>703</v>
      </c>
      <c r="O165" s="34" t="n">
        <v>0</v>
      </c>
      <c r="P165" s="34" t="s">
        <v>501</v>
      </c>
    </row>
    <row r="166" customFormat="false" ht="14.4" hidden="false" customHeight="false" outlineLevel="0" collapsed="false">
      <c r="A166" s="34" t="n">
        <v>165</v>
      </c>
      <c r="B166" s="35" t="n">
        <v>11311873000131</v>
      </c>
      <c r="C166" s="34" t="s">
        <v>734</v>
      </c>
      <c r="D166" s="34" t="s">
        <v>336</v>
      </c>
      <c r="E166" s="34" t="s">
        <v>787</v>
      </c>
      <c r="F166" s="34" t="n">
        <v>116</v>
      </c>
      <c r="G166" s="34" t="n">
        <v>17</v>
      </c>
      <c r="H166" s="40" t="n">
        <v>3066.66</v>
      </c>
      <c r="I166" s="34" t="n">
        <v>0.08</v>
      </c>
      <c r="J166" s="34" t="n">
        <v>0.07</v>
      </c>
      <c r="K166" s="34" t="n">
        <v>0.06</v>
      </c>
      <c r="L166" s="34" t="n">
        <v>94.97</v>
      </c>
      <c r="M166" s="34" t="n">
        <v>94.97</v>
      </c>
      <c r="N166" s="34" t="n">
        <v>705</v>
      </c>
      <c r="O166" s="34" t="n">
        <v>0</v>
      </c>
      <c r="P166" s="34" t="s">
        <v>510</v>
      </c>
    </row>
    <row r="167" customFormat="false" ht="14.4" hidden="false" customHeight="false" outlineLevel="0" collapsed="false">
      <c r="A167" s="34" t="n">
        <v>166</v>
      </c>
      <c r="B167" s="35" t="n">
        <v>27241594000189</v>
      </c>
      <c r="C167" s="34" t="s">
        <v>788</v>
      </c>
      <c r="D167" s="34" t="s">
        <v>336</v>
      </c>
      <c r="E167" s="34" t="s">
        <v>789</v>
      </c>
      <c r="F167" s="34" t="n">
        <v>115</v>
      </c>
      <c r="G167" s="34" t="n">
        <v>17</v>
      </c>
      <c r="H167" s="40" t="n">
        <v>3019.8</v>
      </c>
      <c r="I167" s="34" t="n">
        <v>0.08</v>
      </c>
      <c r="J167" s="34" t="n">
        <v>0.07</v>
      </c>
      <c r="K167" s="34" t="n">
        <v>0.06</v>
      </c>
      <c r="L167" s="34" t="n">
        <v>95.04</v>
      </c>
      <c r="M167" s="34" t="n">
        <v>95.04</v>
      </c>
      <c r="N167" s="34" t="n">
        <v>705</v>
      </c>
      <c r="O167" s="34" t="n">
        <v>0</v>
      </c>
      <c r="P167" s="34" t="s">
        <v>504</v>
      </c>
    </row>
    <row r="168" customFormat="false" ht="14.4" hidden="false" customHeight="false" outlineLevel="0" collapsed="false">
      <c r="A168" s="34" t="n">
        <v>167</v>
      </c>
      <c r="B168" s="35" t="n">
        <v>27978976000190</v>
      </c>
      <c r="C168" s="34" t="s">
        <v>790</v>
      </c>
      <c r="D168" s="34" t="s">
        <v>103</v>
      </c>
      <c r="E168" s="34" t="s">
        <v>791</v>
      </c>
      <c r="F168" s="34" t="n">
        <v>67</v>
      </c>
      <c r="G168" s="34" t="n">
        <v>9</v>
      </c>
      <c r="H168" s="40" t="n">
        <v>3012.32</v>
      </c>
      <c r="I168" s="34" t="n">
        <v>0.04</v>
      </c>
      <c r="J168" s="34" t="n">
        <v>0.04</v>
      </c>
      <c r="K168" s="34" t="n">
        <v>0.06</v>
      </c>
      <c r="L168" s="34" t="n">
        <v>95.1</v>
      </c>
      <c r="M168" s="34" t="n">
        <v>95.1</v>
      </c>
      <c r="N168" s="34" t="n">
        <v>715</v>
      </c>
      <c r="O168" s="34" t="n">
        <v>0</v>
      </c>
      <c r="P168" s="34" t="s">
        <v>501</v>
      </c>
    </row>
    <row r="169" customFormat="false" ht="14.4" hidden="false" customHeight="false" outlineLevel="0" collapsed="false">
      <c r="A169" s="34" t="n">
        <v>168</v>
      </c>
      <c r="B169" s="35" t="n">
        <v>9473933000685</v>
      </c>
      <c r="C169" s="34" t="s">
        <v>476</v>
      </c>
      <c r="D169" s="34" t="s">
        <v>538</v>
      </c>
      <c r="E169" s="34" t="s">
        <v>792</v>
      </c>
      <c r="F169" s="34" t="n">
        <v>61</v>
      </c>
      <c r="G169" s="34" t="n">
        <v>10</v>
      </c>
      <c r="H169" s="40" t="n">
        <v>2982.42</v>
      </c>
      <c r="I169" s="34" t="n">
        <v>0.04</v>
      </c>
      <c r="J169" s="34" t="n">
        <v>0.04</v>
      </c>
      <c r="K169" s="34" t="n">
        <v>0.06</v>
      </c>
      <c r="L169" s="34" t="n">
        <v>95.17</v>
      </c>
      <c r="M169" s="34" t="n">
        <v>95.17</v>
      </c>
      <c r="N169" s="34" t="n">
        <v>721</v>
      </c>
      <c r="O169" s="34" t="n">
        <v>0</v>
      </c>
      <c r="P169" s="34" t="s">
        <v>504</v>
      </c>
    </row>
    <row r="170" customFormat="false" ht="14.4" hidden="false" customHeight="false" outlineLevel="0" collapsed="false">
      <c r="A170" s="34" t="n">
        <v>169</v>
      </c>
      <c r="B170" s="35" t="n">
        <v>65878378000138</v>
      </c>
      <c r="C170" s="34" t="s">
        <v>793</v>
      </c>
      <c r="D170" s="34" t="s">
        <v>598</v>
      </c>
      <c r="E170" s="34" t="s">
        <v>794</v>
      </c>
      <c r="F170" s="34" t="n">
        <v>176</v>
      </c>
      <c r="G170" s="34" t="n">
        <v>20</v>
      </c>
      <c r="H170" s="40" t="n">
        <v>2975.49</v>
      </c>
      <c r="I170" s="34" t="n">
        <v>0.12</v>
      </c>
      <c r="J170" s="34" t="n">
        <v>0.08</v>
      </c>
      <c r="K170" s="34" t="n">
        <v>0.06</v>
      </c>
      <c r="L170" s="34" t="n">
        <v>95.23</v>
      </c>
      <c r="M170" s="34" t="n">
        <v>95.23</v>
      </c>
      <c r="N170" s="34" t="n">
        <v>711</v>
      </c>
      <c r="O170" s="34" t="n">
        <v>0</v>
      </c>
      <c r="P170" s="34" t="s">
        <v>518</v>
      </c>
    </row>
    <row r="171" customFormat="false" ht="14.4" hidden="false" customHeight="false" outlineLevel="0" collapsed="false">
      <c r="A171" s="34" t="n">
        <v>170</v>
      </c>
      <c r="B171" s="35" t="n">
        <v>15942444000113</v>
      </c>
      <c r="C171" s="34" t="s">
        <v>795</v>
      </c>
      <c r="D171" s="34" t="s">
        <v>463</v>
      </c>
      <c r="E171" s="34" t="s">
        <v>536</v>
      </c>
      <c r="F171" s="34" t="n">
        <v>62</v>
      </c>
      <c r="G171" s="34" t="n">
        <v>13</v>
      </c>
      <c r="H171" s="40" t="n">
        <v>2970.16</v>
      </c>
      <c r="I171" s="34" t="n">
        <v>0.04</v>
      </c>
      <c r="J171" s="34" t="n">
        <v>0.05</v>
      </c>
      <c r="K171" s="34" t="n">
        <v>0.06</v>
      </c>
      <c r="L171" s="34" t="n">
        <v>95.3</v>
      </c>
      <c r="M171" s="34" t="n">
        <v>95.3</v>
      </c>
      <c r="N171" s="34" t="n">
        <v>712</v>
      </c>
      <c r="O171" s="34" t="n">
        <v>0</v>
      </c>
      <c r="P171" s="34" t="s">
        <v>504</v>
      </c>
    </row>
    <row r="172" customFormat="false" ht="14.4" hidden="false" customHeight="false" outlineLevel="0" collapsed="false">
      <c r="A172" s="34" t="n">
        <v>171</v>
      </c>
      <c r="B172" s="35" t="n">
        <v>12075667000990</v>
      </c>
      <c r="C172" s="34" t="s">
        <v>796</v>
      </c>
      <c r="D172" s="34" t="s">
        <v>77</v>
      </c>
      <c r="E172" s="34" t="s">
        <v>797</v>
      </c>
      <c r="F172" s="34" t="n">
        <v>125</v>
      </c>
      <c r="G172" s="34" t="n">
        <v>15</v>
      </c>
      <c r="H172" s="40" t="n">
        <v>2969.21</v>
      </c>
      <c r="I172" s="34" t="n">
        <v>0.09</v>
      </c>
      <c r="J172" s="34" t="n">
        <v>0.06</v>
      </c>
      <c r="K172" s="34" t="n">
        <v>0.06</v>
      </c>
      <c r="L172" s="34" t="n">
        <v>95.36</v>
      </c>
      <c r="M172" s="34" t="n">
        <v>95.36</v>
      </c>
      <c r="N172" s="34" t="n">
        <v>301</v>
      </c>
      <c r="O172" s="34" t="n">
        <v>0</v>
      </c>
      <c r="P172" s="34" t="s">
        <v>504</v>
      </c>
    </row>
    <row r="173" customFormat="false" ht="14.4" hidden="false" customHeight="false" outlineLevel="0" collapsed="false">
      <c r="A173" s="34" t="n">
        <v>172</v>
      </c>
      <c r="B173" s="35" t="n">
        <v>16041907000309</v>
      </c>
      <c r="C173" s="34" t="s">
        <v>798</v>
      </c>
      <c r="D173" s="34" t="s">
        <v>342</v>
      </c>
      <c r="E173" s="34" t="s">
        <v>799</v>
      </c>
      <c r="F173" s="34" t="n">
        <v>80</v>
      </c>
      <c r="G173" s="34" t="n">
        <v>7</v>
      </c>
      <c r="H173" s="40" t="n">
        <v>2920.91</v>
      </c>
      <c r="I173" s="34" t="n">
        <v>0.05</v>
      </c>
      <c r="J173" s="34" t="n">
        <v>0.02</v>
      </c>
      <c r="K173" s="34" t="n">
        <v>0.06</v>
      </c>
      <c r="L173" s="34" t="n">
        <v>95.42</v>
      </c>
      <c r="M173" s="34" t="n">
        <v>95.42</v>
      </c>
      <c r="N173" s="34" t="n">
        <v>705</v>
      </c>
      <c r="O173" s="34" t="n">
        <v>0</v>
      </c>
      <c r="P173" s="34" t="s">
        <v>800</v>
      </c>
    </row>
    <row r="174" customFormat="false" ht="14.4" hidden="false" customHeight="false" outlineLevel="0" collapsed="false">
      <c r="A174" s="34" t="n">
        <v>173</v>
      </c>
      <c r="B174" s="35" t="n">
        <v>51072946000102</v>
      </c>
      <c r="C174" s="34" t="s">
        <v>801</v>
      </c>
      <c r="D174" s="34" t="s">
        <v>103</v>
      </c>
      <c r="E174" s="34" t="s">
        <v>802</v>
      </c>
      <c r="F174" s="34" t="n">
        <v>84</v>
      </c>
      <c r="G174" s="34" t="n">
        <v>10</v>
      </c>
      <c r="H174" s="40" t="n">
        <v>2910.41</v>
      </c>
      <c r="I174" s="34" t="n">
        <v>0.06</v>
      </c>
      <c r="J174" s="34" t="n">
        <v>0.04</v>
      </c>
      <c r="K174" s="34" t="n">
        <v>0.06</v>
      </c>
      <c r="L174" s="34" t="n">
        <v>95.49</v>
      </c>
      <c r="M174" s="34" t="n">
        <v>95.49</v>
      </c>
      <c r="N174" s="34" t="n">
        <v>715</v>
      </c>
      <c r="O174" s="34" t="n">
        <v>0</v>
      </c>
      <c r="P174" s="34" t="s">
        <v>501</v>
      </c>
    </row>
    <row r="175" customFormat="false" ht="14.4" hidden="false" customHeight="false" outlineLevel="0" collapsed="false">
      <c r="A175" s="34" t="n">
        <v>174</v>
      </c>
      <c r="B175" s="35" t="n">
        <v>1460437000251</v>
      </c>
      <c r="C175" s="34" t="s">
        <v>803</v>
      </c>
      <c r="D175" s="34" t="s">
        <v>804</v>
      </c>
      <c r="E175" s="34" t="s">
        <v>805</v>
      </c>
      <c r="F175" s="34" t="n">
        <v>143</v>
      </c>
      <c r="G175" s="34" t="n">
        <v>25</v>
      </c>
      <c r="H175" s="40" t="n">
        <v>2761.58</v>
      </c>
      <c r="I175" s="34" t="n">
        <v>0.1</v>
      </c>
      <c r="J175" s="34" t="n">
        <v>0.1</v>
      </c>
      <c r="K175" s="34" t="n">
        <v>0.06</v>
      </c>
      <c r="L175" s="34" t="n">
        <v>95.55</v>
      </c>
      <c r="M175" s="34" t="n">
        <v>95.55</v>
      </c>
      <c r="N175" s="34" t="n">
        <v>705</v>
      </c>
      <c r="O175" s="34" t="n">
        <v>0</v>
      </c>
      <c r="P175" s="34" t="s">
        <v>501</v>
      </c>
    </row>
    <row r="176" customFormat="false" ht="14.4" hidden="false" customHeight="false" outlineLevel="0" collapsed="false">
      <c r="A176" s="34" t="n">
        <v>175</v>
      </c>
      <c r="B176" s="35" t="n">
        <v>3723375000178</v>
      </c>
      <c r="C176" s="34" t="s">
        <v>806</v>
      </c>
      <c r="D176" s="34" t="s">
        <v>357</v>
      </c>
      <c r="E176" s="34" t="s">
        <v>807</v>
      </c>
      <c r="F176" s="34" t="n">
        <v>76</v>
      </c>
      <c r="G176" s="34" t="n">
        <v>12</v>
      </c>
      <c r="H176" s="40" t="n">
        <v>2723.98</v>
      </c>
      <c r="I176" s="34" t="n">
        <v>0.05</v>
      </c>
      <c r="J176" s="34" t="n">
        <v>0.05</v>
      </c>
      <c r="K176" s="34" t="n">
        <v>0.05</v>
      </c>
      <c r="L176" s="34" t="n">
        <v>95.61</v>
      </c>
      <c r="M176" s="34" t="n">
        <v>95.61</v>
      </c>
      <c r="N176" s="34" t="n">
        <v>708</v>
      </c>
      <c r="O176" s="34" t="n">
        <v>0</v>
      </c>
      <c r="P176" s="34" t="s">
        <v>504</v>
      </c>
    </row>
    <row r="177" customFormat="false" ht="14.4" hidden="false" customHeight="false" outlineLevel="0" collapsed="false">
      <c r="A177" s="34" t="n">
        <v>176</v>
      </c>
      <c r="B177" s="35" t="n">
        <v>1274396000128</v>
      </c>
      <c r="C177" s="34" t="s">
        <v>530</v>
      </c>
      <c r="D177" s="34" t="s">
        <v>192</v>
      </c>
      <c r="E177" s="34" t="s">
        <v>592</v>
      </c>
      <c r="F177" s="34" t="n">
        <v>115</v>
      </c>
      <c r="G177" s="34" t="n">
        <v>23</v>
      </c>
      <c r="H177" s="40" t="n">
        <v>2692.15</v>
      </c>
      <c r="I177" s="34" t="n">
        <v>0.08</v>
      </c>
      <c r="J177" s="34" t="n">
        <v>0.09</v>
      </c>
      <c r="K177" s="34" t="n">
        <v>0.05</v>
      </c>
      <c r="L177" s="34" t="n">
        <v>95.67</v>
      </c>
      <c r="M177" s="34" t="n">
        <v>95.67</v>
      </c>
      <c r="N177" s="34" t="n">
        <v>703</v>
      </c>
      <c r="O177" s="34" t="n">
        <v>0</v>
      </c>
      <c r="P177" s="34" t="s">
        <v>504</v>
      </c>
    </row>
    <row r="178" customFormat="false" ht="14.4" hidden="false" customHeight="false" outlineLevel="0" collapsed="false">
      <c r="A178" s="34" t="n">
        <v>177</v>
      </c>
      <c r="B178" s="35" t="n">
        <v>37178340000117</v>
      </c>
      <c r="C178" s="34" t="s">
        <v>808</v>
      </c>
      <c r="D178" s="34" t="s">
        <v>809</v>
      </c>
      <c r="E178" s="34" t="s">
        <v>810</v>
      </c>
      <c r="F178" s="34" t="n">
        <v>65</v>
      </c>
      <c r="G178" s="34" t="n">
        <v>7</v>
      </c>
      <c r="H178" s="40" t="n">
        <v>2643.78</v>
      </c>
      <c r="I178" s="34" t="n">
        <v>0.04</v>
      </c>
      <c r="J178" s="34" t="n">
        <v>0.02</v>
      </c>
      <c r="K178" s="34" t="n">
        <v>0.05</v>
      </c>
      <c r="L178" s="34" t="n">
        <v>95.72</v>
      </c>
      <c r="M178" s="34" t="n">
        <v>95.72</v>
      </c>
      <c r="N178" s="34" t="n">
        <v>705</v>
      </c>
      <c r="O178" s="34" t="n">
        <v>0</v>
      </c>
      <c r="P178" s="34" t="s">
        <v>496</v>
      </c>
    </row>
    <row r="179" customFormat="false" ht="14.4" hidden="false" customHeight="false" outlineLevel="0" collapsed="false">
      <c r="A179" s="34" t="n">
        <v>178</v>
      </c>
      <c r="B179" s="35" t="n">
        <v>15681614000153</v>
      </c>
      <c r="C179" s="34" t="s">
        <v>811</v>
      </c>
      <c r="D179" s="34" t="s">
        <v>473</v>
      </c>
      <c r="E179" s="34" t="s">
        <v>579</v>
      </c>
      <c r="F179" s="34" t="n">
        <v>78</v>
      </c>
      <c r="G179" s="34" t="n">
        <v>11</v>
      </c>
      <c r="H179" s="40" t="n">
        <v>2625.79</v>
      </c>
      <c r="I179" s="34" t="n">
        <v>0.05</v>
      </c>
      <c r="J179" s="34" t="n">
        <v>0.04</v>
      </c>
      <c r="K179" s="34" t="n">
        <v>0.05</v>
      </c>
      <c r="L179" s="34" t="n">
        <v>95.78</v>
      </c>
      <c r="M179" s="34" t="n">
        <v>95.78</v>
      </c>
      <c r="N179" s="34" t="n">
        <v>718</v>
      </c>
      <c r="O179" s="34" t="n">
        <v>0</v>
      </c>
      <c r="P179" s="34" t="s">
        <v>504</v>
      </c>
    </row>
    <row r="180" customFormat="false" ht="14.4" hidden="false" customHeight="false" outlineLevel="0" collapsed="false">
      <c r="A180" s="34" t="n">
        <v>179</v>
      </c>
      <c r="B180" s="35" t="n">
        <v>10141170000140</v>
      </c>
      <c r="C180" s="34" t="s">
        <v>812</v>
      </c>
      <c r="D180" s="34" t="s">
        <v>762</v>
      </c>
      <c r="E180" s="34" t="s">
        <v>813</v>
      </c>
      <c r="F180" s="34" t="n">
        <v>69</v>
      </c>
      <c r="G180" s="34" t="n">
        <v>12</v>
      </c>
      <c r="H180" s="40" t="n">
        <v>2550.96</v>
      </c>
      <c r="I180" s="34" t="n">
        <v>0.04</v>
      </c>
      <c r="J180" s="34" t="n">
        <v>0.05</v>
      </c>
      <c r="K180" s="34" t="n">
        <v>0.05</v>
      </c>
      <c r="L180" s="34" t="n">
        <v>95.84</v>
      </c>
      <c r="M180" s="34" t="n">
        <v>95.84</v>
      </c>
      <c r="N180" s="34" t="n">
        <v>710</v>
      </c>
      <c r="O180" s="34" t="n">
        <v>0</v>
      </c>
      <c r="P180" s="34" t="s">
        <v>504</v>
      </c>
    </row>
    <row r="181" customFormat="false" ht="14.4" hidden="false" customHeight="false" outlineLevel="0" collapsed="false">
      <c r="A181" s="34" t="n">
        <v>180</v>
      </c>
      <c r="B181" s="35" t="n">
        <v>9531413000410</v>
      </c>
      <c r="C181" s="34" t="s">
        <v>528</v>
      </c>
      <c r="D181" s="34" t="s">
        <v>77</v>
      </c>
      <c r="E181" s="34" t="s">
        <v>814</v>
      </c>
      <c r="F181" s="34" t="n">
        <v>77</v>
      </c>
      <c r="G181" s="34" t="n">
        <v>18</v>
      </c>
      <c r="H181" s="40" t="n">
        <v>2531.1</v>
      </c>
      <c r="I181" s="34" t="n">
        <v>0.05</v>
      </c>
      <c r="J181" s="34" t="n">
        <v>0.07</v>
      </c>
      <c r="K181" s="34" t="n">
        <v>0.05</v>
      </c>
      <c r="L181" s="34" t="n">
        <v>95.89</v>
      </c>
      <c r="M181" s="34" t="n">
        <v>95.89</v>
      </c>
      <c r="N181" s="34" t="n">
        <v>702</v>
      </c>
      <c r="O181" s="34" t="n">
        <v>0</v>
      </c>
      <c r="P181" s="34" t="s">
        <v>504</v>
      </c>
    </row>
    <row r="182" customFormat="false" ht="14.4" hidden="false" customHeight="false" outlineLevel="0" collapsed="false">
      <c r="A182" s="34" t="n">
        <v>181</v>
      </c>
      <c r="B182" s="35" t="n">
        <v>4076297000120</v>
      </c>
      <c r="C182" s="34" t="s">
        <v>815</v>
      </c>
      <c r="D182" s="34" t="s">
        <v>192</v>
      </c>
      <c r="E182" s="34" t="s">
        <v>816</v>
      </c>
      <c r="F182" s="34" t="n">
        <v>90</v>
      </c>
      <c r="G182" s="34" t="n">
        <v>31</v>
      </c>
      <c r="H182" s="40" t="n">
        <v>2449.61</v>
      </c>
      <c r="I182" s="34" t="n">
        <v>0.06</v>
      </c>
      <c r="J182" s="34" t="n">
        <v>0.12</v>
      </c>
      <c r="K182" s="34" t="n">
        <v>0.05</v>
      </c>
      <c r="L182" s="34" t="n">
        <v>95.94</v>
      </c>
      <c r="M182" s="34" t="n">
        <v>95.94</v>
      </c>
      <c r="N182" s="34" t="n">
        <v>703</v>
      </c>
      <c r="O182" s="34" t="n">
        <v>0</v>
      </c>
      <c r="P182" s="34" t="s">
        <v>501</v>
      </c>
    </row>
    <row r="183" customFormat="false" ht="14.4" hidden="false" customHeight="false" outlineLevel="0" collapsed="false">
      <c r="A183" s="34" t="n">
        <v>182</v>
      </c>
      <c r="B183" s="35" t="n">
        <v>41788234000122</v>
      </c>
      <c r="C183" s="34" t="s">
        <v>817</v>
      </c>
      <c r="D183" s="34" t="s">
        <v>89</v>
      </c>
      <c r="E183" s="34" t="s">
        <v>818</v>
      </c>
      <c r="F183" s="34" t="n">
        <v>105</v>
      </c>
      <c r="G183" s="34" t="n">
        <v>13</v>
      </c>
      <c r="H183" s="40" t="n">
        <v>2412.84</v>
      </c>
      <c r="I183" s="34" t="n">
        <v>0.07</v>
      </c>
      <c r="J183" s="34" t="n">
        <v>0.05</v>
      </c>
      <c r="K183" s="34" t="n">
        <v>0.05</v>
      </c>
      <c r="L183" s="34" t="n">
        <v>96</v>
      </c>
      <c r="M183" s="34" t="n">
        <v>96</v>
      </c>
      <c r="N183" s="34" t="n">
        <v>711</v>
      </c>
      <c r="O183" s="34" t="n">
        <v>0</v>
      </c>
      <c r="P183" s="34" t="s">
        <v>518</v>
      </c>
    </row>
    <row r="184" customFormat="false" ht="14.4" hidden="false" customHeight="false" outlineLevel="0" collapsed="false">
      <c r="A184" s="34" t="n">
        <v>183</v>
      </c>
      <c r="B184" s="35" t="n">
        <v>45099016000131</v>
      </c>
      <c r="C184" s="34" t="s">
        <v>819</v>
      </c>
      <c r="D184" s="34" t="s">
        <v>565</v>
      </c>
      <c r="E184" s="34" t="s">
        <v>820</v>
      </c>
      <c r="F184" s="34" t="n">
        <v>74</v>
      </c>
      <c r="G184" s="34" t="n">
        <v>11</v>
      </c>
      <c r="H184" s="40" t="n">
        <v>2402.51</v>
      </c>
      <c r="I184" s="34" t="n">
        <v>0.05</v>
      </c>
      <c r="J184" s="34" t="n">
        <v>0.04</v>
      </c>
      <c r="K184" s="34" t="n">
        <v>0.05</v>
      </c>
      <c r="L184" s="34" t="n">
        <v>96.05</v>
      </c>
      <c r="M184" s="34" t="n">
        <v>96.05</v>
      </c>
      <c r="N184" s="34" t="n">
        <v>721</v>
      </c>
      <c r="O184" s="34" t="n">
        <v>0</v>
      </c>
      <c r="P184" s="34" t="s">
        <v>518</v>
      </c>
    </row>
    <row r="185" customFormat="false" ht="14.4" hidden="false" customHeight="false" outlineLevel="0" collapsed="false">
      <c r="A185" s="34" t="n">
        <v>184</v>
      </c>
      <c r="B185" s="35" t="n">
        <v>29662890000189</v>
      </c>
      <c r="C185" s="34" t="s">
        <v>821</v>
      </c>
      <c r="D185" s="34" t="s">
        <v>721</v>
      </c>
      <c r="E185" s="34" t="s">
        <v>822</v>
      </c>
      <c r="F185" s="34" t="n">
        <v>120</v>
      </c>
      <c r="G185" s="34" t="n">
        <v>11</v>
      </c>
      <c r="H185" s="40" t="n">
        <v>2401.22</v>
      </c>
      <c r="I185" s="34" t="n">
        <v>0.08</v>
      </c>
      <c r="J185" s="34" t="n">
        <v>0.04</v>
      </c>
      <c r="K185" s="34" t="n">
        <v>0.05</v>
      </c>
      <c r="L185" s="34" t="n">
        <v>96.1</v>
      </c>
      <c r="M185" s="34" t="n">
        <v>96.1</v>
      </c>
      <c r="N185" s="34" t="n">
        <v>704</v>
      </c>
      <c r="O185" s="34" t="n">
        <v>0</v>
      </c>
      <c r="P185" s="34" t="s">
        <v>501</v>
      </c>
    </row>
    <row r="186" customFormat="false" ht="14.4" hidden="false" customHeight="false" outlineLevel="0" collapsed="false">
      <c r="A186" s="34" t="n">
        <v>185</v>
      </c>
      <c r="B186" s="35" t="n">
        <v>32816954000163</v>
      </c>
      <c r="C186" s="34" t="s">
        <v>823</v>
      </c>
      <c r="D186" s="34" t="s">
        <v>548</v>
      </c>
      <c r="E186" s="34" t="s">
        <v>605</v>
      </c>
      <c r="F186" s="34" t="n">
        <v>41</v>
      </c>
      <c r="G186" s="34" t="n">
        <v>9</v>
      </c>
      <c r="H186" s="40" t="n">
        <v>2398.34</v>
      </c>
      <c r="I186" s="34" t="n">
        <v>0.02</v>
      </c>
      <c r="J186" s="34" t="n">
        <v>0.03</v>
      </c>
      <c r="K186" s="34" t="n">
        <v>0.05</v>
      </c>
      <c r="L186" s="34" t="n">
        <v>96.15</v>
      </c>
      <c r="M186" s="34" t="n">
        <v>96.15</v>
      </c>
      <c r="N186" s="34" t="n">
        <v>708</v>
      </c>
      <c r="O186" s="34" t="n">
        <v>0</v>
      </c>
      <c r="P186" s="34" t="s">
        <v>504</v>
      </c>
    </row>
    <row r="187" customFormat="false" ht="14.4" hidden="false" customHeight="false" outlineLevel="0" collapsed="false">
      <c r="A187" s="34" t="n">
        <v>186</v>
      </c>
      <c r="B187" s="35" t="n">
        <v>7028514000102</v>
      </c>
      <c r="C187" s="34" t="s">
        <v>655</v>
      </c>
      <c r="D187" s="34" t="s">
        <v>631</v>
      </c>
      <c r="E187" s="34" t="s">
        <v>824</v>
      </c>
      <c r="F187" s="34" t="n">
        <v>100</v>
      </c>
      <c r="G187" s="34" t="n">
        <v>14</v>
      </c>
      <c r="H187" s="40" t="n">
        <v>2356.94</v>
      </c>
      <c r="I187" s="34" t="n">
        <v>0.07</v>
      </c>
      <c r="J187" s="34" t="n">
        <v>0.05</v>
      </c>
      <c r="K187" s="34" t="n">
        <v>0.05</v>
      </c>
      <c r="L187" s="34" t="n">
        <v>96.2</v>
      </c>
      <c r="M187" s="34" t="n">
        <v>96.2</v>
      </c>
      <c r="N187" s="34" t="n">
        <v>706</v>
      </c>
      <c r="O187" s="34" t="n">
        <v>0</v>
      </c>
      <c r="P187" s="34" t="s">
        <v>504</v>
      </c>
    </row>
    <row r="188" customFormat="false" ht="14.4" hidden="false" customHeight="false" outlineLevel="0" collapsed="false">
      <c r="A188" s="34" t="n">
        <v>187</v>
      </c>
      <c r="B188" s="35" t="n">
        <v>7719683000342</v>
      </c>
      <c r="C188" s="34" t="s">
        <v>825</v>
      </c>
      <c r="D188" s="34" t="s">
        <v>77</v>
      </c>
      <c r="E188" s="34" t="s">
        <v>826</v>
      </c>
      <c r="F188" s="34" t="n">
        <v>-277</v>
      </c>
      <c r="G188" s="34" t="n">
        <v>-2</v>
      </c>
      <c r="H188" s="40" t="n">
        <v>2335.87</v>
      </c>
      <c r="I188" s="34" t="n">
        <v>-0.19</v>
      </c>
      <c r="J188" s="34" t="n">
        <v>0</v>
      </c>
      <c r="K188" s="34" t="n">
        <v>0.05</v>
      </c>
      <c r="L188" s="34" t="n">
        <v>96.26</v>
      </c>
      <c r="M188" s="34" t="n">
        <v>96.26</v>
      </c>
      <c r="N188" s="34" t="n">
        <v>301</v>
      </c>
      <c r="O188" s="34" t="n">
        <v>0</v>
      </c>
      <c r="P188" s="34" t="s">
        <v>496</v>
      </c>
    </row>
    <row r="189" customFormat="false" ht="14.4" hidden="false" customHeight="false" outlineLevel="0" collapsed="false">
      <c r="A189" s="34" t="n">
        <v>188</v>
      </c>
      <c r="B189" s="35" t="n">
        <v>5348350000400</v>
      </c>
      <c r="C189" s="34" t="s">
        <v>532</v>
      </c>
      <c r="D189" s="34" t="s">
        <v>197</v>
      </c>
      <c r="E189" s="34" t="s">
        <v>827</v>
      </c>
      <c r="F189" s="34" t="n">
        <v>51</v>
      </c>
      <c r="G189" s="34" t="n">
        <v>7</v>
      </c>
      <c r="H189" s="40" t="n">
        <v>2318.56</v>
      </c>
      <c r="I189" s="34" t="n">
        <v>0.03</v>
      </c>
      <c r="J189" s="34" t="n">
        <v>0.02</v>
      </c>
      <c r="K189" s="34" t="n">
        <v>0.05</v>
      </c>
      <c r="L189" s="34" t="n">
        <v>96.31</v>
      </c>
      <c r="M189" s="34" t="n">
        <v>96.31</v>
      </c>
      <c r="N189" s="34" t="n">
        <v>703</v>
      </c>
      <c r="O189" s="34" t="n">
        <v>0</v>
      </c>
      <c r="P189" s="34" t="s">
        <v>504</v>
      </c>
    </row>
    <row r="190" customFormat="false" ht="14.4" hidden="false" customHeight="false" outlineLevel="0" collapsed="false">
      <c r="A190" s="34" t="n">
        <v>189</v>
      </c>
      <c r="B190" s="35" t="n">
        <v>49089225000155</v>
      </c>
      <c r="C190" s="34" t="s">
        <v>828</v>
      </c>
      <c r="D190" s="34" t="s">
        <v>546</v>
      </c>
      <c r="E190" s="34" t="s">
        <v>829</v>
      </c>
      <c r="F190" s="34" t="n">
        <v>79</v>
      </c>
      <c r="G190" s="34" t="n">
        <v>10</v>
      </c>
      <c r="H190" s="40" t="n">
        <v>2312.03</v>
      </c>
      <c r="I190" s="34" t="n">
        <v>0.05</v>
      </c>
      <c r="J190" s="34" t="n">
        <v>0.04</v>
      </c>
      <c r="K190" s="34" t="n">
        <v>0.05</v>
      </c>
      <c r="L190" s="34" t="n">
        <v>96.36</v>
      </c>
      <c r="M190" s="34" t="n">
        <v>96.36</v>
      </c>
      <c r="N190" s="34" t="n">
        <v>718</v>
      </c>
      <c r="O190" s="34" t="n">
        <v>0</v>
      </c>
      <c r="P190" s="34" t="s">
        <v>501</v>
      </c>
    </row>
    <row r="191" customFormat="false" ht="14.4" hidden="false" customHeight="false" outlineLevel="0" collapsed="false">
      <c r="A191" s="34" t="n">
        <v>190</v>
      </c>
      <c r="B191" s="35" t="n">
        <v>23474980000160</v>
      </c>
      <c r="C191" s="34" t="s">
        <v>830</v>
      </c>
      <c r="D191" s="34" t="s">
        <v>103</v>
      </c>
      <c r="E191" s="34" t="s">
        <v>831</v>
      </c>
      <c r="F191" s="34" t="n">
        <v>26</v>
      </c>
      <c r="G191" s="34" t="n">
        <v>4</v>
      </c>
      <c r="H191" s="40" t="n">
        <v>2248.96</v>
      </c>
      <c r="I191" s="34" t="n">
        <v>0.01</v>
      </c>
      <c r="J191" s="34" t="n">
        <v>0.01</v>
      </c>
      <c r="K191" s="34" t="n">
        <v>0.04</v>
      </c>
      <c r="L191" s="34" t="n">
        <v>96.4</v>
      </c>
      <c r="M191" s="34" t="n">
        <v>96.4</v>
      </c>
      <c r="N191" s="34" t="n">
        <v>800</v>
      </c>
      <c r="O191" s="34" t="n">
        <v>0</v>
      </c>
      <c r="P191" s="34" t="s">
        <v>501</v>
      </c>
    </row>
    <row r="192" customFormat="false" ht="14.4" hidden="false" customHeight="false" outlineLevel="0" collapsed="false">
      <c r="A192" s="34" t="n">
        <v>191</v>
      </c>
      <c r="B192" s="35" t="n">
        <v>4807878000194</v>
      </c>
      <c r="C192" s="34" t="s">
        <v>832</v>
      </c>
      <c r="D192" s="34" t="s">
        <v>562</v>
      </c>
      <c r="E192" s="34" t="s">
        <v>833</v>
      </c>
      <c r="F192" s="34" t="n">
        <v>79</v>
      </c>
      <c r="G192" s="34" t="n">
        <v>15</v>
      </c>
      <c r="H192" s="40" t="n">
        <v>2199.74</v>
      </c>
      <c r="I192" s="34" t="n">
        <v>0.05</v>
      </c>
      <c r="J192" s="34" t="n">
        <v>0.06</v>
      </c>
      <c r="K192" s="34" t="n">
        <v>0.04</v>
      </c>
      <c r="L192" s="34" t="n">
        <v>96.45</v>
      </c>
      <c r="M192" s="34" t="n">
        <v>96.45</v>
      </c>
      <c r="N192" s="34" t="n">
        <v>705</v>
      </c>
      <c r="O192" s="34" t="n">
        <v>0</v>
      </c>
      <c r="P192" s="34" t="s">
        <v>834</v>
      </c>
    </row>
    <row r="193" customFormat="false" ht="14.4" hidden="false" customHeight="false" outlineLevel="0" collapsed="false">
      <c r="A193" s="34" t="n">
        <v>192</v>
      </c>
      <c r="B193" s="35" t="n">
        <v>369338000115</v>
      </c>
      <c r="C193" s="34" t="s">
        <v>835</v>
      </c>
      <c r="D193" s="34" t="s">
        <v>764</v>
      </c>
      <c r="E193" s="34" t="s">
        <v>836</v>
      </c>
      <c r="F193" s="34" t="n">
        <v>185</v>
      </c>
      <c r="G193" s="34" t="n">
        <v>15</v>
      </c>
      <c r="H193" s="40" t="n">
        <v>2187.23</v>
      </c>
      <c r="I193" s="34" t="n">
        <v>0.13</v>
      </c>
      <c r="J193" s="34" t="n">
        <v>0.06</v>
      </c>
      <c r="K193" s="34" t="n">
        <v>0.04</v>
      </c>
      <c r="L193" s="34" t="n">
        <v>96.5</v>
      </c>
      <c r="M193" s="34" t="n">
        <v>96.5</v>
      </c>
      <c r="N193" s="34" t="n">
        <v>718</v>
      </c>
      <c r="O193" s="34" t="n">
        <v>0</v>
      </c>
      <c r="P193" s="34" t="s">
        <v>501</v>
      </c>
    </row>
    <row r="194" customFormat="false" ht="14.4" hidden="false" customHeight="false" outlineLevel="0" collapsed="false">
      <c r="A194" s="34" t="n">
        <v>193</v>
      </c>
      <c r="B194" s="35" t="n">
        <v>21601892000156</v>
      </c>
      <c r="C194" s="34" t="s">
        <v>837</v>
      </c>
      <c r="D194" s="34" t="s">
        <v>598</v>
      </c>
      <c r="E194" s="34" t="s">
        <v>838</v>
      </c>
      <c r="F194" s="34" t="n">
        <v>76</v>
      </c>
      <c r="G194" s="34" t="n">
        <v>11</v>
      </c>
      <c r="H194" s="40" t="n">
        <v>2123.38</v>
      </c>
      <c r="I194" s="34" t="n">
        <v>0.05</v>
      </c>
      <c r="J194" s="34" t="n">
        <v>0.04</v>
      </c>
      <c r="K194" s="34" t="n">
        <v>0.04</v>
      </c>
      <c r="L194" s="34" t="n">
        <v>96.55</v>
      </c>
      <c r="M194" s="34" t="n">
        <v>96.55</v>
      </c>
      <c r="N194" s="34" t="n">
        <v>711</v>
      </c>
      <c r="O194" s="34" t="n">
        <v>0</v>
      </c>
      <c r="P194" s="34" t="s">
        <v>518</v>
      </c>
    </row>
    <row r="195" customFormat="false" ht="14.4" hidden="false" customHeight="false" outlineLevel="0" collapsed="false">
      <c r="A195" s="34" t="n">
        <v>194</v>
      </c>
      <c r="B195" s="35" t="n">
        <v>4738857000164</v>
      </c>
      <c r="C195" s="34" t="s">
        <v>839</v>
      </c>
      <c r="D195" s="34" t="s">
        <v>77</v>
      </c>
      <c r="E195" s="34" t="s">
        <v>840</v>
      </c>
      <c r="F195" s="34" t="n">
        <v>51</v>
      </c>
      <c r="G195" s="34" t="n">
        <v>9</v>
      </c>
      <c r="H195" s="40" t="n">
        <v>2101.84</v>
      </c>
      <c r="I195" s="34" t="n">
        <v>0.03</v>
      </c>
      <c r="J195" s="34" t="n">
        <v>0.03</v>
      </c>
      <c r="K195" s="34" t="n">
        <v>0.04</v>
      </c>
      <c r="L195" s="34" t="n">
        <v>96.59</v>
      </c>
      <c r="M195" s="34" t="n">
        <v>96.59</v>
      </c>
      <c r="N195" s="34" t="n">
        <v>702</v>
      </c>
      <c r="O195" s="34" t="n">
        <v>0</v>
      </c>
      <c r="P195" s="34" t="s">
        <v>496</v>
      </c>
    </row>
    <row r="196" customFormat="false" ht="14.4" hidden="false" customHeight="false" outlineLevel="0" collapsed="false">
      <c r="A196" s="34" t="n">
        <v>195</v>
      </c>
      <c r="B196" s="35" t="n">
        <v>12476127000160</v>
      </c>
      <c r="C196" s="34" t="s">
        <v>841</v>
      </c>
      <c r="D196" s="34" t="s">
        <v>842</v>
      </c>
      <c r="E196" s="34" t="s">
        <v>843</v>
      </c>
      <c r="F196" s="34" t="n">
        <v>24</v>
      </c>
      <c r="G196" s="34" t="n">
        <v>8</v>
      </c>
      <c r="H196" s="40" t="n">
        <v>2082.61</v>
      </c>
      <c r="I196" s="34" t="n">
        <v>0.01</v>
      </c>
      <c r="J196" s="34" t="n">
        <v>0.03</v>
      </c>
      <c r="K196" s="34" t="n">
        <v>0.04</v>
      </c>
      <c r="L196" s="34" t="n">
        <v>96.64</v>
      </c>
      <c r="M196" s="34" t="n">
        <v>96.64</v>
      </c>
      <c r="N196" s="34" t="n">
        <v>706</v>
      </c>
      <c r="O196" s="34" t="n">
        <v>0</v>
      </c>
      <c r="P196" s="34" t="s">
        <v>844</v>
      </c>
    </row>
    <row r="197" customFormat="false" ht="14.4" hidden="false" customHeight="false" outlineLevel="0" collapsed="false">
      <c r="A197" s="34" t="n">
        <v>196</v>
      </c>
      <c r="B197" s="35" t="n">
        <v>42774576000156</v>
      </c>
      <c r="C197" s="34" t="s">
        <v>845</v>
      </c>
      <c r="D197" s="34" t="s">
        <v>842</v>
      </c>
      <c r="E197" s="34" t="s">
        <v>846</v>
      </c>
      <c r="F197" s="34" t="n">
        <v>97</v>
      </c>
      <c r="G197" s="34" t="n">
        <v>21</v>
      </c>
      <c r="H197" s="40" t="n">
        <v>2045.56</v>
      </c>
      <c r="I197" s="34" t="n">
        <v>0.07</v>
      </c>
      <c r="J197" s="34" t="n">
        <v>0.08</v>
      </c>
      <c r="K197" s="34" t="n">
        <v>0.04</v>
      </c>
      <c r="L197" s="34" t="n">
        <v>96.68</v>
      </c>
      <c r="M197" s="34" t="n">
        <v>96.68</v>
      </c>
      <c r="N197" s="34" t="n">
        <v>706</v>
      </c>
      <c r="O197" s="34" t="n">
        <v>0</v>
      </c>
      <c r="P197" s="34" t="s">
        <v>501</v>
      </c>
    </row>
    <row r="198" customFormat="false" ht="14.4" hidden="false" customHeight="false" outlineLevel="0" collapsed="false">
      <c r="A198" s="34" t="n">
        <v>197</v>
      </c>
      <c r="B198" s="35" t="n">
        <v>3253472000144</v>
      </c>
      <c r="C198" s="34" t="s">
        <v>847</v>
      </c>
      <c r="D198" s="34" t="s">
        <v>848</v>
      </c>
      <c r="E198" s="34" t="s">
        <v>849</v>
      </c>
      <c r="F198" s="34" t="n">
        <v>36</v>
      </c>
      <c r="G198" s="34" t="n">
        <v>4</v>
      </c>
      <c r="H198" s="40" t="n">
        <v>2037.45</v>
      </c>
      <c r="I198" s="34" t="n">
        <v>0.02</v>
      </c>
      <c r="J198" s="34" t="n">
        <v>0.01</v>
      </c>
      <c r="K198" s="34" t="n">
        <v>0.04</v>
      </c>
      <c r="L198" s="34" t="n">
        <v>96.73</v>
      </c>
      <c r="M198" s="34" t="n">
        <v>96.73</v>
      </c>
      <c r="N198" s="34" t="n">
        <v>712</v>
      </c>
      <c r="O198" s="34" t="n">
        <v>0</v>
      </c>
      <c r="P198" s="34" t="s">
        <v>510</v>
      </c>
    </row>
    <row r="199" customFormat="false" ht="14.4" hidden="false" customHeight="false" outlineLevel="0" collapsed="false">
      <c r="A199" s="34" t="n">
        <v>198</v>
      </c>
      <c r="B199" s="35" t="n">
        <v>16605389000210</v>
      </c>
      <c r="C199" s="34" t="s">
        <v>850</v>
      </c>
      <c r="D199" s="34" t="s">
        <v>139</v>
      </c>
      <c r="E199" s="34" t="s">
        <v>851</v>
      </c>
      <c r="F199" s="34" t="n">
        <v>59</v>
      </c>
      <c r="G199" s="34" t="n">
        <v>12</v>
      </c>
      <c r="H199" s="40" t="n">
        <v>2034.41</v>
      </c>
      <c r="I199" s="34" t="n">
        <v>0.04</v>
      </c>
      <c r="J199" s="34" t="n">
        <v>0.05</v>
      </c>
      <c r="K199" s="34" t="n">
        <v>0.04</v>
      </c>
      <c r="L199" s="34" t="n">
        <v>96.77</v>
      </c>
      <c r="M199" s="34" t="n">
        <v>96.77</v>
      </c>
      <c r="N199" s="34" t="n">
        <v>714</v>
      </c>
      <c r="O199" s="34" t="n">
        <v>0</v>
      </c>
      <c r="P199" s="34" t="s">
        <v>504</v>
      </c>
    </row>
    <row r="200" customFormat="false" ht="14.4" hidden="false" customHeight="false" outlineLevel="0" collapsed="false">
      <c r="A200" s="34" t="n">
        <v>199</v>
      </c>
      <c r="B200" s="35" t="n">
        <v>10396426000160</v>
      </c>
      <c r="C200" s="34" t="s">
        <v>852</v>
      </c>
      <c r="D200" s="34" t="s">
        <v>737</v>
      </c>
      <c r="E200" s="34" t="s">
        <v>759</v>
      </c>
      <c r="F200" s="34" t="n">
        <v>49</v>
      </c>
      <c r="G200" s="34" t="n">
        <v>6</v>
      </c>
      <c r="H200" s="40" t="n">
        <v>1981.09</v>
      </c>
      <c r="I200" s="34" t="n">
        <v>0.03</v>
      </c>
      <c r="J200" s="34" t="n">
        <v>0.02</v>
      </c>
      <c r="K200" s="34" t="n">
        <v>0.04</v>
      </c>
      <c r="L200" s="34" t="n">
        <v>96.81</v>
      </c>
      <c r="M200" s="34" t="n">
        <v>96.81</v>
      </c>
      <c r="N200" s="34" t="n">
        <v>716</v>
      </c>
      <c r="O200" s="34" t="n">
        <v>0</v>
      </c>
      <c r="P200" s="34" t="s">
        <v>501</v>
      </c>
    </row>
    <row r="201" customFormat="false" ht="14.4" hidden="false" customHeight="false" outlineLevel="0" collapsed="false">
      <c r="A201" s="34" t="n">
        <v>200</v>
      </c>
      <c r="B201" s="35" t="n">
        <v>15433707000169</v>
      </c>
      <c r="C201" s="34" t="s">
        <v>853</v>
      </c>
      <c r="D201" s="34" t="s">
        <v>448</v>
      </c>
      <c r="E201" s="34" t="s">
        <v>854</v>
      </c>
      <c r="F201" s="34" t="n">
        <v>77</v>
      </c>
      <c r="G201" s="34" t="n">
        <v>14</v>
      </c>
      <c r="H201" s="40" t="n">
        <v>1979.97</v>
      </c>
      <c r="I201" s="34" t="n">
        <v>0.05</v>
      </c>
      <c r="J201" s="34" t="n">
        <v>0.05</v>
      </c>
      <c r="K201" s="34" t="n">
        <v>0.04</v>
      </c>
      <c r="L201" s="34" t="n">
        <v>96.86</v>
      </c>
      <c r="M201" s="34" t="n">
        <v>96.86</v>
      </c>
      <c r="N201" s="34" t="n">
        <v>710</v>
      </c>
      <c r="O201" s="34" t="n">
        <v>0</v>
      </c>
      <c r="P201" s="34" t="s">
        <v>501</v>
      </c>
    </row>
    <row r="202" customFormat="false" ht="14.4" hidden="false" customHeight="false" outlineLevel="0" collapsed="false">
      <c r="A202" s="34" t="n">
        <v>201</v>
      </c>
      <c r="B202" s="35" t="n">
        <v>11311873000212</v>
      </c>
      <c r="C202" s="34" t="s">
        <v>734</v>
      </c>
      <c r="D202" s="34" t="s">
        <v>336</v>
      </c>
      <c r="E202" s="34" t="s">
        <v>855</v>
      </c>
      <c r="F202" s="34" t="n">
        <v>84</v>
      </c>
      <c r="G202" s="34" t="n">
        <v>12</v>
      </c>
      <c r="H202" s="40" t="n">
        <v>1977.64</v>
      </c>
      <c r="I202" s="34" t="n">
        <v>0.06</v>
      </c>
      <c r="J202" s="34" t="n">
        <v>0.04</v>
      </c>
      <c r="K202" s="34" t="n">
        <v>0.04</v>
      </c>
      <c r="L202" s="34" t="n">
        <v>96.9</v>
      </c>
      <c r="M202" s="34" t="n">
        <v>96.9</v>
      </c>
      <c r="N202" s="34" t="n">
        <v>705</v>
      </c>
      <c r="O202" s="34" t="n">
        <v>0</v>
      </c>
      <c r="P202" s="34" t="s">
        <v>501</v>
      </c>
    </row>
    <row r="203" customFormat="false" ht="14.4" hidden="false" customHeight="false" outlineLevel="0" collapsed="false">
      <c r="A203" s="34" t="n">
        <v>202</v>
      </c>
      <c r="B203" s="35" t="n">
        <v>481290000132</v>
      </c>
      <c r="C203" s="34" t="s">
        <v>856</v>
      </c>
      <c r="D203" s="34" t="s">
        <v>357</v>
      </c>
      <c r="E203" s="34" t="s">
        <v>857</v>
      </c>
      <c r="F203" s="34" t="n">
        <v>48</v>
      </c>
      <c r="G203" s="34" t="n">
        <v>7</v>
      </c>
      <c r="H203" s="40" t="n">
        <v>1966.66</v>
      </c>
      <c r="I203" s="34" t="n">
        <v>0.03</v>
      </c>
      <c r="J203" s="34" t="n">
        <v>0.03</v>
      </c>
      <c r="K203" s="34" t="n">
        <v>0.04</v>
      </c>
      <c r="L203" s="34" t="n">
        <v>96.94</v>
      </c>
      <c r="M203" s="34" t="n">
        <v>96.94</v>
      </c>
      <c r="N203" s="34" t="n">
        <v>708</v>
      </c>
      <c r="O203" s="34" t="n">
        <v>0</v>
      </c>
      <c r="P203" s="34" t="s">
        <v>510</v>
      </c>
    </row>
    <row r="204" customFormat="false" ht="14.4" hidden="false" customHeight="false" outlineLevel="0" collapsed="false">
      <c r="A204" s="34" t="n">
        <v>203</v>
      </c>
      <c r="B204" s="35" t="n">
        <v>51429465000101</v>
      </c>
      <c r="C204" s="34" t="s">
        <v>858</v>
      </c>
      <c r="D204" s="34" t="s">
        <v>77</v>
      </c>
      <c r="E204" s="34" t="s">
        <v>859</v>
      </c>
      <c r="F204" s="34" t="n">
        <v>58</v>
      </c>
      <c r="G204" s="34" t="n">
        <v>8</v>
      </c>
      <c r="H204" s="40" t="n">
        <v>1949.25</v>
      </c>
      <c r="I204" s="34" t="n">
        <v>0.04</v>
      </c>
      <c r="J204" s="34" t="n">
        <v>0.03</v>
      </c>
      <c r="K204" s="34" t="n">
        <v>0.04</v>
      </c>
      <c r="L204" s="34" t="n">
        <v>96.98</v>
      </c>
      <c r="M204" s="34" t="n">
        <v>96.98</v>
      </c>
      <c r="N204" s="34" t="n">
        <v>800</v>
      </c>
      <c r="O204" s="34" t="n">
        <v>0</v>
      </c>
      <c r="P204" s="34" t="s">
        <v>518</v>
      </c>
    </row>
    <row r="205" customFormat="false" ht="14.4" hidden="false" customHeight="false" outlineLevel="0" collapsed="false">
      <c r="A205" s="34" t="n">
        <v>204</v>
      </c>
      <c r="B205" s="35" t="n">
        <v>28556508000190</v>
      </c>
      <c r="C205" s="34" t="s">
        <v>860</v>
      </c>
      <c r="D205" s="34" t="s">
        <v>764</v>
      </c>
      <c r="E205" s="34" t="s">
        <v>861</v>
      </c>
      <c r="F205" s="34" t="n">
        <v>91</v>
      </c>
      <c r="G205" s="34" t="n">
        <v>11</v>
      </c>
      <c r="H205" s="40" t="n">
        <v>1946</v>
      </c>
      <c r="I205" s="34" t="n">
        <v>0.06</v>
      </c>
      <c r="J205" s="34" t="n">
        <v>0.04</v>
      </c>
      <c r="K205" s="34" t="n">
        <v>0.04</v>
      </c>
      <c r="L205" s="34" t="n">
        <v>97.03</v>
      </c>
      <c r="M205" s="34" t="n">
        <v>97.03</v>
      </c>
      <c r="N205" s="34" t="n">
        <v>718</v>
      </c>
      <c r="O205" s="34" t="n">
        <v>0</v>
      </c>
      <c r="P205" s="34" t="s">
        <v>510</v>
      </c>
    </row>
    <row r="206" customFormat="false" ht="14.4" hidden="false" customHeight="false" outlineLevel="0" collapsed="false">
      <c r="A206" s="34" t="n">
        <v>205</v>
      </c>
      <c r="B206" s="35" t="n">
        <v>27448130000148</v>
      </c>
      <c r="C206" s="34" t="s">
        <v>862</v>
      </c>
      <c r="D206" s="34" t="s">
        <v>342</v>
      </c>
      <c r="E206" s="34" t="s">
        <v>840</v>
      </c>
      <c r="F206" s="34" t="n">
        <v>84</v>
      </c>
      <c r="G206" s="34" t="n">
        <v>10</v>
      </c>
      <c r="H206" s="40" t="n">
        <v>1905.02</v>
      </c>
      <c r="I206" s="34" t="n">
        <v>0.06</v>
      </c>
      <c r="J206" s="34" t="n">
        <v>0.04</v>
      </c>
      <c r="K206" s="34" t="n">
        <v>0.04</v>
      </c>
      <c r="L206" s="34" t="n">
        <v>97.07</v>
      </c>
      <c r="M206" s="34" t="n">
        <v>97.07</v>
      </c>
      <c r="N206" s="34" t="n">
        <v>705</v>
      </c>
      <c r="O206" s="34" t="n">
        <v>0</v>
      </c>
      <c r="P206" s="34" t="s">
        <v>510</v>
      </c>
    </row>
    <row r="207" customFormat="false" ht="14.4" hidden="false" customHeight="false" outlineLevel="0" collapsed="false">
      <c r="A207" s="34" t="n">
        <v>206</v>
      </c>
      <c r="B207" s="35" t="n">
        <v>7972764000198</v>
      </c>
      <c r="C207" s="34" t="s">
        <v>863</v>
      </c>
      <c r="D207" s="34" t="s">
        <v>653</v>
      </c>
      <c r="E207" s="34" t="s">
        <v>536</v>
      </c>
      <c r="F207" s="34" t="n">
        <v>43</v>
      </c>
      <c r="G207" s="34" t="n">
        <v>9</v>
      </c>
      <c r="H207" s="40" t="n">
        <v>1897.45</v>
      </c>
      <c r="I207" s="34" t="n">
        <v>0.03</v>
      </c>
      <c r="J207" s="34" t="n">
        <v>0.03</v>
      </c>
      <c r="K207" s="34" t="n">
        <v>0.04</v>
      </c>
      <c r="L207" s="34" t="n">
        <v>97.11</v>
      </c>
      <c r="M207" s="34" t="n">
        <v>97.11</v>
      </c>
      <c r="N207" s="34" t="n">
        <v>706</v>
      </c>
      <c r="O207" s="34" t="n">
        <v>0</v>
      </c>
      <c r="P207" s="34" t="s">
        <v>501</v>
      </c>
    </row>
    <row r="208" customFormat="false" ht="14.4" hidden="false" customHeight="false" outlineLevel="0" collapsed="false">
      <c r="A208" s="34" t="n">
        <v>207</v>
      </c>
      <c r="B208" s="35" t="n">
        <v>4738857000245</v>
      </c>
      <c r="C208" s="34" t="s">
        <v>839</v>
      </c>
      <c r="D208" s="34" t="s">
        <v>77</v>
      </c>
      <c r="E208" s="34" t="s">
        <v>864</v>
      </c>
      <c r="F208" s="34" t="n">
        <v>38</v>
      </c>
      <c r="G208" s="34" t="n">
        <v>7</v>
      </c>
      <c r="H208" s="40" t="n">
        <v>1893.72</v>
      </c>
      <c r="I208" s="34" t="n">
        <v>0.02</v>
      </c>
      <c r="J208" s="34" t="n">
        <v>0.02</v>
      </c>
      <c r="K208" s="34" t="n">
        <v>0.04</v>
      </c>
      <c r="L208" s="34" t="n">
        <v>97.15</v>
      </c>
      <c r="M208" s="34" t="n">
        <v>97.15</v>
      </c>
      <c r="N208" s="34" t="n">
        <v>702</v>
      </c>
      <c r="O208" s="34" t="n">
        <v>0</v>
      </c>
      <c r="P208" s="34" t="s">
        <v>504</v>
      </c>
    </row>
    <row r="209" customFormat="false" ht="14.4" hidden="false" customHeight="false" outlineLevel="0" collapsed="false">
      <c r="A209" s="34" t="n">
        <v>208</v>
      </c>
      <c r="B209" s="35" t="n">
        <v>50562927000193</v>
      </c>
      <c r="C209" s="34" t="s">
        <v>865</v>
      </c>
      <c r="D209" s="34" t="s">
        <v>77</v>
      </c>
      <c r="E209" s="34" t="s">
        <v>866</v>
      </c>
      <c r="F209" s="34" t="n">
        <v>65</v>
      </c>
      <c r="G209" s="34" t="n">
        <v>20</v>
      </c>
      <c r="H209" s="40" t="n">
        <v>1889.46</v>
      </c>
      <c r="I209" s="34" t="n">
        <v>0.04</v>
      </c>
      <c r="J209" s="34" t="n">
        <v>0.08</v>
      </c>
      <c r="K209" s="34" t="n">
        <v>0.04</v>
      </c>
      <c r="L209" s="34" t="n">
        <v>97.19</v>
      </c>
      <c r="M209" s="34" t="n">
        <v>97.19</v>
      </c>
      <c r="N209" s="34" t="n">
        <v>135</v>
      </c>
      <c r="O209" s="34" t="n">
        <v>0</v>
      </c>
      <c r="P209" s="34" t="s">
        <v>501</v>
      </c>
    </row>
    <row r="210" customFormat="false" ht="14.4" hidden="false" customHeight="false" outlineLevel="0" collapsed="false">
      <c r="A210" s="34" t="n">
        <v>209</v>
      </c>
      <c r="B210" s="35" t="n">
        <v>7961339000101</v>
      </c>
      <c r="C210" s="34" t="s">
        <v>867</v>
      </c>
      <c r="D210" s="34" t="s">
        <v>342</v>
      </c>
      <c r="E210" s="34" t="s">
        <v>804</v>
      </c>
      <c r="F210" s="34" t="n">
        <v>43</v>
      </c>
      <c r="G210" s="34" t="n">
        <v>7</v>
      </c>
      <c r="H210" s="40" t="n">
        <v>1878.8</v>
      </c>
      <c r="I210" s="34" t="n">
        <v>0.03</v>
      </c>
      <c r="J210" s="34" t="n">
        <v>0.02</v>
      </c>
      <c r="K210" s="34" t="n">
        <v>0.04</v>
      </c>
      <c r="L210" s="34" t="n">
        <v>97.23</v>
      </c>
      <c r="M210" s="34" t="n">
        <v>97.23</v>
      </c>
      <c r="N210" s="34" t="n">
        <v>705</v>
      </c>
      <c r="O210" s="34" t="n">
        <v>0</v>
      </c>
      <c r="P210" s="34" t="s">
        <v>510</v>
      </c>
    </row>
    <row r="211" customFormat="false" ht="14.4" hidden="false" customHeight="false" outlineLevel="0" collapsed="false">
      <c r="A211" s="34" t="n">
        <v>210</v>
      </c>
      <c r="B211" s="35" t="n">
        <v>35303519000123</v>
      </c>
      <c r="C211" s="34" t="s">
        <v>868</v>
      </c>
      <c r="D211" s="34" t="s">
        <v>764</v>
      </c>
      <c r="E211" s="34" t="s">
        <v>869</v>
      </c>
      <c r="F211" s="34" t="n">
        <v>112</v>
      </c>
      <c r="G211" s="34" t="n">
        <v>11</v>
      </c>
      <c r="H211" s="40" t="n">
        <v>1864.74</v>
      </c>
      <c r="I211" s="34" t="n">
        <v>0.08</v>
      </c>
      <c r="J211" s="34" t="n">
        <v>0.04</v>
      </c>
      <c r="K211" s="34" t="n">
        <v>0.04</v>
      </c>
      <c r="L211" s="34" t="n">
        <v>97.27</v>
      </c>
      <c r="M211" s="34" t="n">
        <v>97.27</v>
      </c>
      <c r="N211" s="34" t="n">
        <v>718</v>
      </c>
      <c r="O211" s="34" t="n">
        <v>0</v>
      </c>
      <c r="P211" s="34" t="s">
        <v>501</v>
      </c>
    </row>
    <row r="212" customFormat="false" ht="14.4" hidden="false" customHeight="false" outlineLevel="0" collapsed="false">
      <c r="A212" s="34" t="n">
        <v>211</v>
      </c>
      <c r="B212" s="35" t="n">
        <v>52152149000190</v>
      </c>
      <c r="C212" s="34" t="s">
        <v>870</v>
      </c>
      <c r="D212" s="34" t="s">
        <v>565</v>
      </c>
      <c r="E212" s="34" t="s">
        <v>871</v>
      </c>
      <c r="F212" s="34" t="n">
        <v>59</v>
      </c>
      <c r="G212" s="34" t="n">
        <v>11</v>
      </c>
      <c r="H212" s="40" t="n">
        <v>1855.09</v>
      </c>
      <c r="I212" s="34" t="n">
        <v>0.04</v>
      </c>
      <c r="J212" s="34" t="n">
        <v>0.04</v>
      </c>
      <c r="K212" s="34" t="n">
        <v>0.04</v>
      </c>
      <c r="L212" s="34" t="n">
        <v>97.31</v>
      </c>
      <c r="M212" s="34" t="n">
        <v>97.31</v>
      </c>
      <c r="N212" s="34" t="n">
        <v>721</v>
      </c>
      <c r="O212" s="34" t="n">
        <v>0</v>
      </c>
      <c r="P212" s="34" t="s">
        <v>518</v>
      </c>
    </row>
    <row r="213" customFormat="false" ht="14.4" hidden="false" customHeight="false" outlineLevel="0" collapsed="false">
      <c r="A213" s="34" t="n">
        <v>212</v>
      </c>
      <c r="B213" s="35" t="n">
        <v>10530230000116</v>
      </c>
      <c r="C213" s="34" t="s">
        <v>872</v>
      </c>
      <c r="D213" s="34" t="s">
        <v>473</v>
      </c>
      <c r="E213" s="34" t="s">
        <v>873</v>
      </c>
      <c r="F213" s="34" t="n">
        <v>62</v>
      </c>
      <c r="G213" s="34" t="n">
        <v>9</v>
      </c>
      <c r="H213" s="40" t="n">
        <v>1845.2</v>
      </c>
      <c r="I213" s="34" t="n">
        <v>0.04</v>
      </c>
      <c r="J213" s="34" t="n">
        <v>0.03</v>
      </c>
      <c r="K213" s="34" t="n">
        <v>0.04</v>
      </c>
      <c r="L213" s="34" t="n">
        <v>97.35</v>
      </c>
      <c r="M213" s="34" t="n">
        <v>97.35</v>
      </c>
      <c r="N213" s="34" t="n">
        <v>718</v>
      </c>
      <c r="O213" s="34" t="n">
        <v>0</v>
      </c>
      <c r="P213" s="34" t="s">
        <v>510</v>
      </c>
    </row>
    <row r="214" customFormat="false" ht="14.4" hidden="false" customHeight="false" outlineLevel="0" collapsed="false">
      <c r="A214" s="34" t="n">
        <v>213</v>
      </c>
      <c r="B214" s="35" t="n">
        <v>35615477000166</v>
      </c>
      <c r="C214" s="34" t="s">
        <v>874</v>
      </c>
      <c r="D214" s="34" t="s">
        <v>77</v>
      </c>
      <c r="E214" s="34" t="s">
        <v>875</v>
      </c>
      <c r="F214" s="34" t="n">
        <v>54</v>
      </c>
      <c r="G214" s="34" t="n">
        <v>11</v>
      </c>
      <c r="H214" s="40" t="n">
        <v>1784.17</v>
      </c>
      <c r="I214" s="34" t="n">
        <v>0.03</v>
      </c>
      <c r="J214" s="34" t="n">
        <v>0.04</v>
      </c>
      <c r="K214" s="34" t="n">
        <v>0.03</v>
      </c>
      <c r="L214" s="34" t="n">
        <v>97.39</v>
      </c>
      <c r="M214" s="34" t="n">
        <v>97.39</v>
      </c>
      <c r="N214" s="34" t="n">
        <v>759</v>
      </c>
      <c r="O214" s="34" t="n">
        <v>0</v>
      </c>
      <c r="P214" s="34" t="s">
        <v>518</v>
      </c>
    </row>
    <row r="215" customFormat="false" ht="14.4" hidden="false" customHeight="false" outlineLevel="0" collapsed="false">
      <c r="A215" s="34" t="n">
        <v>214</v>
      </c>
      <c r="B215" s="35" t="n">
        <v>2909419000196</v>
      </c>
      <c r="C215" s="34" t="s">
        <v>876</v>
      </c>
      <c r="D215" s="34" t="s">
        <v>548</v>
      </c>
      <c r="E215" s="34" t="s">
        <v>877</v>
      </c>
      <c r="F215" s="34" t="n">
        <v>75</v>
      </c>
      <c r="G215" s="34" t="n">
        <v>9</v>
      </c>
      <c r="H215" s="40" t="n">
        <v>1751.41</v>
      </c>
      <c r="I215" s="34" t="n">
        <v>0.05</v>
      </c>
      <c r="J215" s="34" t="n">
        <v>0.03</v>
      </c>
      <c r="K215" s="34" t="n">
        <v>0.03</v>
      </c>
      <c r="L215" s="34" t="n">
        <v>97.43</v>
      </c>
      <c r="M215" s="34" t="n">
        <v>97.43</v>
      </c>
      <c r="N215" s="34" t="n">
        <v>708</v>
      </c>
      <c r="O215" s="34" t="n">
        <v>0</v>
      </c>
      <c r="P215" s="34" t="s">
        <v>501</v>
      </c>
    </row>
    <row r="216" customFormat="false" ht="14.4" hidden="false" customHeight="false" outlineLevel="0" collapsed="false">
      <c r="A216" s="34" t="n">
        <v>215</v>
      </c>
      <c r="B216" s="35" t="n">
        <v>3735605000119</v>
      </c>
      <c r="C216" s="34" t="s">
        <v>878</v>
      </c>
      <c r="D216" s="34" t="s">
        <v>357</v>
      </c>
      <c r="E216" s="34" t="s">
        <v>879</v>
      </c>
      <c r="F216" s="34" t="n">
        <v>32</v>
      </c>
      <c r="G216" s="34" t="n">
        <v>5</v>
      </c>
      <c r="H216" s="40" t="n">
        <v>1740.75</v>
      </c>
      <c r="I216" s="34" t="n">
        <v>0.02</v>
      </c>
      <c r="J216" s="34" t="n">
        <v>0.02</v>
      </c>
      <c r="K216" s="34" t="n">
        <v>0.03</v>
      </c>
      <c r="L216" s="34" t="n">
        <v>97.47</v>
      </c>
      <c r="M216" s="34" t="n">
        <v>97.47</v>
      </c>
      <c r="N216" s="34" t="n">
        <v>708</v>
      </c>
      <c r="O216" s="34" t="n">
        <v>0</v>
      </c>
      <c r="P216" s="34" t="s">
        <v>504</v>
      </c>
    </row>
    <row r="217" customFormat="false" ht="14.4" hidden="false" customHeight="false" outlineLevel="0" collapsed="false">
      <c r="A217" s="34" t="n">
        <v>216</v>
      </c>
      <c r="B217" s="35" t="n">
        <v>8664194000212</v>
      </c>
      <c r="C217" s="34" t="s">
        <v>880</v>
      </c>
      <c r="D217" s="34" t="s">
        <v>881</v>
      </c>
      <c r="E217" s="34" t="s">
        <v>882</v>
      </c>
      <c r="F217" s="34" t="n">
        <v>33</v>
      </c>
      <c r="G217" s="34" t="n">
        <v>14</v>
      </c>
      <c r="H217" s="40" t="n">
        <v>1673.4</v>
      </c>
      <c r="I217" s="34" t="n">
        <v>0.02</v>
      </c>
      <c r="J217" s="34" t="n">
        <v>0.05</v>
      </c>
      <c r="K217" s="34" t="n">
        <v>0.03</v>
      </c>
      <c r="L217" s="34" t="n">
        <v>97.5</v>
      </c>
      <c r="M217" s="34" t="n">
        <v>97.5</v>
      </c>
      <c r="N217" s="34" t="n">
        <v>718</v>
      </c>
      <c r="O217" s="34" t="n">
        <v>0</v>
      </c>
      <c r="P217" s="34" t="s">
        <v>504</v>
      </c>
    </row>
    <row r="218" customFormat="false" ht="14.4" hidden="false" customHeight="false" outlineLevel="0" collapsed="false">
      <c r="A218" s="34" t="n">
        <v>217</v>
      </c>
      <c r="B218" s="35" t="n">
        <v>4579237000391</v>
      </c>
      <c r="C218" s="34" t="s">
        <v>883</v>
      </c>
      <c r="D218" s="34" t="s">
        <v>207</v>
      </c>
      <c r="E218" s="34" t="s">
        <v>884</v>
      </c>
      <c r="F218" s="34" t="n">
        <v>51</v>
      </c>
      <c r="G218" s="34" t="n">
        <v>8</v>
      </c>
      <c r="H218" s="40" t="n">
        <v>1672.82</v>
      </c>
      <c r="I218" s="34" t="n">
        <v>0.03</v>
      </c>
      <c r="J218" s="34" t="n">
        <v>0.03</v>
      </c>
      <c r="K218" s="34" t="n">
        <v>0.03</v>
      </c>
      <c r="L218" s="34" t="n">
        <v>97.54</v>
      </c>
      <c r="M218" s="34" t="n">
        <v>97.54</v>
      </c>
      <c r="N218" s="34" t="n">
        <v>703</v>
      </c>
      <c r="O218" s="34" t="n">
        <v>0</v>
      </c>
      <c r="P218" s="34" t="s">
        <v>504</v>
      </c>
    </row>
    <row r="219" customFormat="false" ht="14.4" hidden="false" customHeight="false" outlineLevel="0" collapsed="false">
      <c r="A219" s="34" t="n">
        <v>218</v>
      </c>
      <c r="B219" s="35" t="n">
        <v>24078672000188</v>
      </c>
      <c r="C219" s="34" t="s">
        <v>885</v>
      </c>
      <c r="D219" s="34" t="s">
        <v>764</v>
      </c>
      <c r="E219" s="34" t="s">
        <v>886</v>
      </c>
      <c r="F219" s="34" t="n">
        <v>59</v>
      </c>
      <c r="G219" s="34" t="n">
        <v>12</v>
      </c>
      <c r="H219" s="40" t="n">
        <v>1669.05</v>
      </c>
      <c r="I219" s="34" t="n">
        <v>0.04</v>
      </c>
      <c r="J219" s="34" t="n">
        <v>0.05</v>
      </c>
      <c r="K219" s="34" t="n">
        <v>0.03</v>
      </c>
      <c r="L219" s="34" t="n">
        <v>97.58</v>
      </c>
      <c r="M219" s="34" t="n">
        <v>97.58</v>
      </c>
      <c r="N219" s="34" t="n">
        <v>718</v>
      </c>
      <c r="O219" s="34" t="n">
        <v>0</v>
      </c>
      <c r="P219" s="34" t="s">
        <v>501</v>
      </c>
    </row>
    <row r="220" customFormat="false" ht="14.4" hidden="false" customHeight="false" outlineLevel="0" collapsed="false">
      <c r="A220" s="34" t="n">
        <v>219</v>
      </c>
      <c r="B220" s="35" t="n">
        <v>20891194000170</v>
      </c>
      <c r="C220" s="34" t="s">
        <v>887</v>
      </c>
      <c r="D220" s="34" t="s">
        <v>764</v>
      </c>
      <c r="E220" s="34" t="s">
        <v>888</v>
      </c>
      <c r="F220" s="34" t="n">
        <v>65</v>
      </c>
      <c r="G220" s="34" t="n">
        <v>10</v>
      </c>
      <c r="H220" s="40" t="n">
        <v>1626.33</v>
      </c>
      <c r="I220" s="34" t="n">
        <v>0.04</v>
      </c>
      <c r="J220" s="34" t="n">
        <v>0.04</v>
      </c>
      <c r="K220" s="34" t="n">
        <v>0.03</v>
      </c>
      <c r="L220" s="34" t="n">
        <v>97.61</v>
      </c>
      <c r="M220" s="34" t="n">
        <v>97.61</v>
      </c>
      <c r="N220" s="34" t="n">
        <v>718</v>
      </c>
      <c r="O220" s="34" t="n">
        <v>0</v>
      </c>
      <c r="P220" s="34" t="s">
        <v>501</v>
      </c>
    </row>
    <row r="221" customFormat="false" ht="14.4" hidden="false" customHeight="false" outlineLevel="0" collapsed="false">
      <c r="A221" s="34" t="n">
        <v>220</v>
      </c>
      <c r="B221" s="35" t="n">
        <v>18468358000109</v>
      </c>
      <c r="C221" s="34" t="s">
        <v>889</v>
      </c>
      <c r="D221" s="34" t="s">
        <v>546</v>
      </c>
      <c r="E221" s="34" t="s">
        <v>890</v>
      </c>
      <c r="F221" s="34" t="n">
        <v>77</v>
      </c>
      <c r="G221" s="34" t="n">
        <v>11</v>
      </c>
      <c r="H221" s="40" t="n">
        <v>1537.67</v>
      </c>
      <c r="I221" s="34" t="n">
        <v>0.05</v>
      </c>
      <c r="J221" s="34" t="n">
        <v>0.04</v>
      </c>
      <c r="K221" s="34" t="n">
        <v>0.03</v>
      </c>
      <c r="L221" s="34" t="n">
        <v>97.65</v>
      </c>
      <c r="M221" s="34" t="n">
        <v>97.65</v>
      </c>
      <c r="N221" s="34" t="n">
        <v>718</v>
      </c>
      <c r="O221" s="34" t="n">
        <v>0</v>
      </c>
      <c r="P221" s="34" t="s">
        <v>501</v>
      </c>
    </row>
    <row r="222" customFormat="false" ht="14.4" hidden="false" customHeight="false" outlineLevel="0" collapsed="false">
      <c r="A222" s="34" t="n">
        <v>221</v>
      </c>
      <c r="B222" s="35" t="n">
        <v>29242635000187</v>
      </c>
      <c r="C222" s="34" t="s">
        <v>891</v>
      </c>
      <c r="D222" s="34" t="s">
        <v>77</v>
      </c>
      <c r="E222" s="34" t="s">
        <v>892</v>
      </c>
      <c r="F222" s="34" t="n">
        <v>47</v>
      </c>
      <c r="G222" s="34" t="n">
        <v>10</v>
      </c>
      <c r="H222" s="40" t="n">
        <v>1516.84</v>
      </c>
      <c r="I222" s="34" t="n">
        <v>0.03</v>
      </c>
      <c r="J222" s="34" t="n">
        <v>0.04</v>
      </c>
      <c r="K222" s="34" t="n">
        <v>0.03</v>
      </c>
      <c r="L222" s="34" t="n">
        <v>97.68</v>
      </c>
      <c r="M222" s="34" t="n">
        <v>97.68</v>
      </c>
      <c r="N222" s="34" t="n">
        <v>759</v>
      </c>
      <c r="O222" s="34" t="n">
        <v>0</v>
      </c>
      <c r="P222" s="34" t="s">
        <v>518</v>
      </c>
    </row>
    <row r="223" customFormat="false" ht="14.4" hidden="false" customHeight="false" outlineLevel="0" collapsed="false">
      <c r="A223" s="34" t="n">
        <v>222</v>
      </c>
      <c r="B223" s="35" t="n">
        <v>18605641000135</v>
      </c>
      <c r="C223" s="34" t="s">
        <v>893</v>
      </c>
      <c r="D223" s="34" t="s">
        <v>299</v>
      </c>
      <c r="E223" s="34" t="s">
        <v>894</v>
      </c>
      <c r="F223" s="34" t="n">
        <v>50</v>
      </c>
      <c r="G223" s="34" t="n">
        <v>11</v>
      </c>
      <c r="H223" s="40" t="n">
        <v>1513.52</v>
      </c>
      <c r="I223" s="34" t="n">
        <v>0.03</v>
      </c>
      <c r="J223" s="34" t="n">
        <v>0.04</v>
      </c>
      <c r="K223" s="34" t="n">
        <v>0.03</v>
      </c>
      <c r="L223" s="34" t="n">
        <v>97.71</v>
      </c>
      <c r="M223" s="34" t="n">
        <v>97.71</v>
      </c>
      <c r="N223" s="34" t="n">
        <v>710</v>
      </c>
      <c r="O223" s="34" t="n">
        <v>0</v>
      </c>
      <c r="P223" s="34" t="s">
        <v>518</v>
      </c>
    </row>
    <row r="224" customFormat="false" ht="14.4" hidden="false" customHeight="false" outlineLevel="0" collapsed="false">
      <c r="A224" s="34" t="n">
        <v>223</v>
      </c>
      <c r="B224" s="35" t="n">
        <v>4860926000299</v>
      </c>
      <c r="C224" s="34" t="s">
        <v>895</v>
      </c>
      <c r="D224" s="34" t="s">
        <v>357</v>
      </c>
      <c r="E224" s="34" t="s">
        <v>896</v>
      </c>
      <c r="F224" s="34" t="n">
        <v>50</v>
      </c>
      <c r="G224" s="34" t="n">
        <v>7</v>
      </c>
      <c r="H224" s="40" t="n">
        <v>1481.65</v>
      </c>
      <c r="I224" s="34" t="n">
        <v>0.03</v>
      </c>
      <c r="J224" s="34" t="n">
        <v>0.03</v>
      </c>
      <c r="K224" s="34" t="n">
        <v>0.03</v>
      </c>
      <c r="L224" s="34" t="n">
        <v>97.74</v>
      </c>
      <c r="M224" s="34" t="n">
        <v>97.74</v>
      </c>
      <c r="N224" s="34" t="n">
        <v>708</v>
      </c>
      <c r="O224" s="34" t="n">
        <v>0</v>
      </c>
      <c r="P224" s="34" t="s">
        <v>501</v>
      </c>
    </row>
    <row r="225" customFormat="false" ht="14.4" hidden="false" customHeight="false" outlineLevel="0" collapsed="false">
      <c r="A225" s="34" t="n">
        <v>224</v>
      </c>
      <c r="B225" s="35" t="n">
        <v>33820141000100</v>
      </c>
      <c r="C225" s="34" t="s">
        <v>897</v>
      </c>
      <c r="D225" s="34" t="s">
        <v>342</v>
      </c>
      <c r="E225" s="34" t="s">
        <v>898</v>
      </c>
      <c r="F225" s="34" t="n">
        <v>74</v>
      </c>
      <c r="G225" s="34" t="n">
        <v>18</v>
      </c>
      <c r="H225" s="40" t="n">
        <v>1444.35</v>
      </c>
      <c r="I225" s="34" t="n">
        <v>0.05</v>
      </c>
      <c r="J225" s="34" t="n">
        <v>0.07</v>
      </c>
      <c r="K225" s="34" t="n">
        <v>0.03</v>
      </c>
      <c r="L225" s="34" t="n">
        <v>97.78</v>
      </c>
      <c r="M225" s="34" t="n">
        <v>97.78</v>
      </c>
      <c r="N225" s="34" t="n">
        <v>705</v>
      </c>
      <c r="O225" s="34" t="n">
        <v>0</v>
      </c>
      <c r="P225" s="34" t="s">
        <v>501</v>
      </c>
    </row>
    <row r="226" customFormat="false" ht="14.4" hidden="false" customHeight="false" outlineLevel="0" collapsed="false">
      <c r="A226" s="34" t="n">
        <v>225</v>
      </c>
      <c r="B226" s="35" t="n">
        <v>31147798000122</v>
      </c>
      <c r="C226" s="34" t="s">
        <v>899</v>
      </c>
      <c r="D226" s="34" t="s">
        <v>107</v>
      </c>
      <c r="E226" s="34" t="s">
        <v>900</v>
      </c>
      <c r="F226" s="34" t="n">
        <v>37</v>
      </c>
      <c r="G226" s="34" t="n">
        <v>4</v>
      </c>
      <c r="H226" s="40" t="n">
        <v>1439.18</v>
      </c>
      <c r="I226" s="34" t="n">
        <v>0.02</v>
      </c>
      <c r="J226" s="34" t="n">
        <v>0.01</v>
      </c>
      <c r="K226" s="34" t="n">
        <v>0.03</v>
      </c>
      <c r="L226" s="34" t="n">
        <v>97.81</v>
      </c>
      <c r="M226" s="34" t="n">
        <v>97.81</v>
      </c>
      <c r="N226" s="34" t="n">
        <v>707</v>
      </c>
      <c r="O226" s="34" t="n">
        <v>0</v>
      </c>
      <c r="P226" s="34" t="s">
        <v>501</v>
      </c>
    </row>
    <row r="227" customFormat="false" ht="14.4" hidden="false" customHeight="false" outlineLevel="0" collapsed="false">
      <c r="A227" s="34" t="n">
        <v>226</v>
      </c>
      <c r="B227" s="35" t="n">
        <v>31398994000170</v>
      </c>
      <c r="C227" s="34" t="s">
        <v>901</v>
      </c>
      <c r="D227" s="34" t="s">
        <v>604</v>
      </c>
      <c r="E227" s="34" t="s">
        <v>902</v>
      </c>
      <c r="F227" s="34" t="n">
        <v>58</v>
      </c>
      <c r="G227" s="34" t="n">
        <v>11</v>
      </c>
      <c r="H227" s="40" t="n">
        <v>1435.84</v>
      </c>
      <c r="I227" s="34" t="n">
        <v>0.04</v>
      </c>
      <c r="J227" s="34" t="n">
        <v>0.04</v>
      </c>
      <c r="K227" s="34" t="n">
        <v>0.03</v>
      </c>
      <c r="L227" s="34" t="n">
        <v>97.84</v>
      </c>
      <c r="M227" s="34" t="n">
        <v>97.84</v>
      </c>
      <c r="N227" s="34" t="n">
        <v>710</v>
      </c>
      <c r="O227" s="34" t="n">
        <v>0</v>
      </c>
      <c r="P227" s="34" t="s">
        <v>518</v>
      </c>
    </row>
    <row r="228" customFormat="false" ht="14.4" hidden="false" customHeight="false" outlineLevel="0" collapsed="false">
      <c r="A228" s="34" t="n">
        <v>227</v>
      </c>
      <c r="B228" s="35" t="n">
        <v>2484816000163</v>
      </c>
      <c r="C228" s="34" t="s">
        <v>903</v>
      </c>
      <c r="D228" s="34" t="s">
        <v>842</v>
      </c>
      <c r="E228" s="34" t="s">
        <v>904</v>
      </c>
      <c r="F228" s="34" t="n">
        <v>28</v>
      </c>
      <c r="G228" s="34" t="n">
        <v>9</v>
      </c>
      <c r="H228" s="40" t="n">
        <v>1429.91</v>
      </c>
      <c r="I228" s="34" t="n">
        <v>0.02</v>
      </c>
      <c r="J228" s="34" t="n">
        <v>0.03</v>
      </c>
      <c r="K228" s="34" t="n">
        <v>0.03</v>
      </c>
      <c r="L228" s="34" t="n">
        <v>97.87</v>
      </c>
      <c r="M228" s="34" t="n">
        <v>97.87</v>
      </c>
      <c r="N228" s="34" t="n">
        <v>706</v>
      </c>
      <c r="O228" s="34" t="n">
        <v>0</v>
      </c>
      <c r="P228" s="34" t="s">
        <v>510</v>
      </c>
    </row>
    <row r="229" customFormat="false" ht="14.4" hidden="false" customHeight="false" outlineLevel="0" collapsed="false">
      <c r="A229" s="34" t="n">
        <v>228</v>
      </c>
      <c r="B229" s="35" t="n">
        <v>57054183000145</v>
      </c>
      <c r="C229" s="34" t="s">
        <v>905</v>
      </c>
      <c r="D229" s="34" t="s">
        <v>77</v>
      </c>
      <c r="E229" s="34" t="s">
        <v>906</v>
      </c>
      <c r="F229" s="34" t="n">
        <v>42</v>
      </c>
      <c r="G229" s="34" t="n">
        <v>8</v>
      </c>
      <c r="H229" s="40" t="n">
        <v>1421.33</v>
      </c>
      <c r="I229" s="34" t="n">
        <v>0.03</v>
      </c>
      <c r="J229" s="34" t="n">
        <v>0.03</v>
      </c>
      <c r="K229" s="34" t="n">
        <v>0.03</v>
      </c>
      <c r="L229" s="34" t="n">
        <v>97.9</v>
      </c>
      <c r="M229" s="34" t="n">
        <v>97.9</v>
      </c>
      <c r="N229" s="34" t="n">
        <v>135</v>
      </c>
      <c r="O229" s="34" t="n">
        <v>0</v>
      </c>
      <c r="P229" s="34" t="s">
        <v>518</v>
      </c>
    </row>
    <row r="230" customFormat="false" ht="14.4" hidden="false" customHeight="false" outlineLevel="0" collapsed="false">
      <c r="A230" s="34" t="n">
        <v>229</v>
      </c>
      <c r="B230" s="35" t="n">
        <v>528031000110</v>
      </c>
      <c r="C230" s="34" t="s">
        <v>907</v>
      </c>
      <c r="D230" s="34" t="s">
        <v>473</v>
      </c>
      <c r="E230" s="34" t="s">
        <v>886</v>
      </c>
      <c r="F230" s="34" t="n">
        <v>32</v>
      </c>
      <c r="G230" s="34" t="n">
        <v>6</v>
      </c>
      <c r="H230" s="40" t="n">
        <v>1415.79</v>
      </c>
      <c r="I230" s="34" t="n">
        <v>0.02</v>
      </c>
      <c r="J230" s="34" t="n">
        <v>0.02</v>
      </c>
      <c r="K230" s="34" t="n">
        <v>0.03</v>
      </c>
      <c r="L230" s="34" t="n">
        <v>97.93</v>
      </c>
      <c r="M230" s="34" t="n">
        <v>97.93</v>
      </c>
      <c r="N230" s="34" t="n">
        <v>718</v>
      </c>
      <c r="O230" s="34" t="n">
        <v>0</v>
      </c>
      <c r="P230" s="34" t="s">
        <v>510</v>
      </c>
    </row>
    <row r="231" customFormat="false" ht="14.4" hidden="false" customHeight="false" outlineLevel="0" collapsed="false">
      <c r="A231" s="34" t="n">
        <v>230</v>
      </c>
      <c r="B231" s="35" t="n">
        <v>61239988000130</v>
      </c>
      <c r="C231" s="34" t="s">
        <v>908</v>
      </c>
      <c r="D231" s="34" t="s">
        <v>77</v>
      </c>
      <c r="E231" s="34" t="s">
        <v>909</v>
      </c>
      <c r="F231" s="34" t="n">
        <v>63</v>
      </c>
      <c r="G231" s="34" t="n">
        <v>18</v>
      </c>
      <c r="H231" s="40" t="n">
        <v>1410.08</v>
      </c>
      <c r="I231" s="34" t="n">
        <v>0.04</v>
      </c>
      <c r="J231" s="34" t="n">
        <v>0.07</v>
      </c>
      <c r="K231" s="34" t="n">
        <v>0.03</v>
      </c>
      <c r="L231" s="34" t="n">
        <v>97.96</v>
      </c>
      <c r="M231" s="34" t="n">
        <v>97.96</v>
      </c>
      <c r="N231" s="34" t="n">
        <v>135</v>
      </c>
      <c r="O231" s="34" t="n">
        <v>0</v>
      </c>
      <c r="P231" s="34" t="s">
        <v>510</v>
      </c>
    </row>
    <row r="232" customFormat="false" ht="14.4" hidden="false" customHeight="false" outlineLevel="0" collapsed="false">
      <c r="A232" s="34" t="n">
        <v>231</v>
      </c>
      <c r="B232" s="35" t="n">
        <v>23372168000204</v>
      </c>
      <c r="C232" s="34" t="s">
        <v>910</v>
      </c>
      <c r="D232" s="34" t="s">
        <v>342</v>
      </c>
      <c r="E232" s="34" t="s">
        <v>911</v>
      </c>
      <c r="F232" s="34" t="n">
        <v>78</v>
      </c>
      <c r="G232" s="34" t="n">
        <v>15</v>
      </c>
      <c r="H232" s="40" t="n">
        <v>1406.75</v>
      </c>
      <c r="I232" s="34" t="n">
        <v>0.05</v>
      </c>
      <c r="J232" s="34" t="n">
        <v>0.06</v>
      </c>
      <c r="K232" s="34" t="n">
        <v>0.03</v>
      </c>
      <c r="L232" s="34" t="n">
        <v>97.99</v>
      </c>
      <c r="M232" s="34" t="n">
        <v>97.99</v>
      </c>
      <c r="N232" s="34" t="n">
        <v>705</v>
      </c>
      <c r="O232" s="34" t="n">
        <v>0</v>
      </c>
      <c r="P232" s="34" t="s">
        <v>501</v>
      </c>
    </row>
    <row r="233" customFormat="false" ht="14.4" hidden="false" customHeight="false" outlineLevel="0" collapsed="false">
      <c r="A233" s="34" t="n">
        <v>232</v>
      </c>
      <c r="B233" s="35" t="n">
        <v>61189279000198</v>
      </c>
      <c r="C233" s="34" t="s">
        <v>912</v>
      </c>
      <c r="D233" s="34" t="s">
        <v>309</v>
      </c>
      <c r="E233" s="34" t="s">
        <v>913</v>
      </c>
      <c r="F233" s="34" t="n">
        <v>58</v>
      </c>
      <c r="G233" s="34" t="n">
        <v>17</v>
      </c>
      <c r="H233" s="40" t="n">
        <v>1390.26</v>
      </c>
      <c r="I233" s="34" t="n">
        <v>0.04</v>
      </c>
      <c r="J233" s="34" t="n">
        <v>0.07</v>
      </c>
      <c r="K233" s="34" t="n">
        <v>0.03</v>
      </c>
      <c r="L233" s="34" t="n">
        <v>98.02</v>
      </c>
      <c r="M233" s="34" t="n">
        <v>98.02</v>
      </c>
      <c r="N233" s="34" t="n">
        <v>704</v>
      </c>
      <c r="O233" s="34" t="n">
        <v>0</v>
      </c>
      <c r="P233" s="34" t="s">
        <v>501</v>
      </c>
    </row>
    <row r="234" customFormat="false" ht="14.4" hidden="false" customHeight="false" outlineLevel="0" collapsed="false">
      <c r="A234" s="34" t="n">
        <v>233</v>
      </c>
      <c r="B234" s="35" t="n">
        <v>10567059000110</v>
      </c>
      <c r="C234" s="34" t="s">
        <v>914</v>
      </c>
      <c r="D234" s="34" t="s">
        <v>594</v>
      </c>
      <c r="E234" s="34" t="s">
        <v>915</v>
      </c>
      <c r="F234" s="34" t="n">
        <v>46</v>
      </c>
      <c r="G234" s="34" t="n">
        <v>9</v>
      </c>
      <c r="H234" s="40" t="n">
        <v>1355.57</v>
      </c>
      <c r="I234" s="34" t="n">
        <v>0.03</v>
      </c>
      <c r="J234" s="34" t="n">
        <v>0.03</v>
      </c>
      <c r="K234" s="34" t="n">
        <v>0.02</v>
      </c>
      <c r="L234" s="34" t="n">
        <v>98.05</v>
      </c>
      <c r="M234" s="34" t="n">
        <v>98.05</v>
      </c>
      <c r="N234" s="34" t="n">
        <v>710</v>
      </c>
      <c r="O234" s="34" t="n">
        <v>0</v>
      </c>
      <c r="P234" s="34" t="s">
        <v>510</v>
      </c>
    </row>
    <row r="235" customFormat="false" ht="14.4" hidden="false" customHeight="false" outlineLevel="0" collapsed="false">
      <c r="A235" s="34" t="n">
        <v>234</v>
      </c>
      <c r="B235" s="35" t="n">
        <v>37677914000100</v>
      </c>
      <c r="C235" s="34" t="s">
        <v>916</v>
      </c>
      <c r="D235" s="34" t="s">
        <v>342</v>
      </c>
      <c r="E235" s="34" t="s">
        <v>917</v>
      </c>
      <c r="F235" s="34" t="n">
        <v>34</v>
      </c>
      <c r="G235" s="34" t="n">
        <v>11</v>
      </c>
      <c r="H235" s="40" t="n">
        <v>1354.26</v>
      </c>
      <c r="I235" s="34" t="n">
        <v>0.02</v>
      </c>
      <c r="J235" s="34" t="n">
        <v>0.04</v>
      </c>
      <c r="K235" s="34" t="n">
        <v>0.02</v>
      </c>
      <c r="L235" s="34" t="n">
        <v>98.08</v>
      </c>
      <c r="M235" s="34" t="n">
        <v>98.08</v>
      </c>
      <c r="N235" s="34" t="n">
        <v>705</v>
      </c>
      <c r="O235" s="34" t="n">
        <v>0</v>
      </c>
      <c r="P235" s="34" t="s">
        <v>501</v>
      </c>
    </row>
    <row r="236" customFormat="false" ht="14.4" hidden="false" customHeight="false" outlineLevel="0" collapsed="false">
      <c r="A236" s="34" t="n">
        <v>235</v>
      </c>
      <c r="B236" s="35" t="n">
        <v>53819738000141</v>
      </c>
      <c r="C236" s="34" t="s">
        <v>918</v>
      </c>
      <c r="D236" s="34" t="s">
        <v>139</v>
      </c>
      <c r="E236" s="34" t="s">
        <v>919</v>
      </c>
      <c r="F236" s="34" t="n">
        <v>41</v>
      </c>
      <c r="G236" s="34" t="n">
        <v>12</v>
      </c>
      <c r="H236" s="40" t="n">
        <v>1339.78</v>
      </c>
      <c r="I236" s="34" t="n">
        <v>0.02</v>
      </c>
      <c r="J236" s="34" t="n">
        <v>0.04</v>
      </c>
      <c r="K236" s="34" t="n">
        <v>0.02</v>
      </c>
      <c r="L236" s="34" t="n">
        <v>98.11</v>
      </c>
      <c r="M236" s="34" t="n">
        <v>98.11</v>
      </c>
      <c r="N236" s="34" t="n">
        <v>214</v>
      </c>
      <c r="O236" s="34" t="n">
        <v>0</v>
      </c>
      <c r="P236" s="34" t="s">
        <v>510</v>
      </c>
    </row>
    <row r="237" customFormat="false" ht="14.4" hidden="false" customHeight="false" outlineLevel="0" collapsed="false">
      <c r="A237" s="34" t="n">
        <v>236</v>
      </c>
      <c r="B237" s="35" t="n">
        <v>19994556000179</v>
      </c>
      <c r="C237" s="34" t="s">
        <v>920</v>
      </c>
      <c r="D237" s="34" t="s">
        <v>139</v>
      </c>
      <c r="E237" s="34" t="s">
        <v>591</v>
      </c>
      <c r="F237" s="34" t="n">
        <v>28</v>
      </c>
      <c r="G237" s="34" t="n">
        <v>7</v>
      </c>
      <c r="H237" s="40" t="n">
        <v>1328.1</v>
      </c>
      <c r="I237" s="34" t="n">
        <v>0.02</v>
      </c>
      <c r="J237" s="34" t="n">
        <v>0.02</v>
      </c>
      <c r="K237" s="34" t="n">
        <v>0.02</v>
      </c>
      <c r="L237" s="34" t="n">
        <v>98.14</v>
      </c>
      <c r="M237" s="34" t="n">
        <v>98.14</v>
      </c>
      <c r="N237" s="34" t="n">
        <v>214</v>
      </c>
      <c r="O237" s="34" t="n">
        <v>0</v>
      </c>
      <c r="P237" s="34" t="s">
        <v>518</v>
      </c>
    </row>
    <row r="238" customFormat="false" ht="14.4" hidden="false" customHeight="false" outlineLevel="0" collapsed="false">
      <c r="A238" s="34" t="n">
        <v>237</v>
      </c>
      <c r="B238" s="35" t="n">
        <v>49793628000180</v>
      </c>
      <c r="C238" s="34" t="s">
        <v>921</v>
      </c>
      <c r="D238" s="34" t="s">
        <v>107</v>
      </c>
      <c r="E238" s="34" t="s">
        <v>922</v>
      </c>
      <c r="F238" s="34" t="n">
        <v>57</v>
      </c>
      <c r="G238" s="34" t="n">
        <v>11</v>
      </c>
      <c r="H238" s="40" t="n">
        <v>1311.52</v>
      </c>
      <c r="I238" s="34" t="n">
        <v>0.04</v>
      </c>
      <c r="J238" s="34" t="n">
        <v>0.04</v>
      </c>
      <c r="K238" s="34" t="n">
        <v>0.02</v>
      </c>
      <c r="L238" s="34" t="n">
        <v>98.17</v>
      </c>
      <c r="M238" s="34" t="n">
        <v>98.17</v>
      </c>
      <c r="N238" s="34" t="n">
        <v>707</v>
      </c>
      <c r="O238" s="34" t="n">
        <v>0</v>
      </c>
      <c r="P238" s="34" t="s">
        <v>501</v>
      </c>
    </row>
    <row r="239" customFormat="false" ht="14.4" hidden="false" customHeight="false" outlineLevel="0" collapsed="false">
      <c r="A239" s="34" t="n">
        <v>238</v>
      </c>
      <c r="B239" s="35" t="n">
        <v>16044356000167</v>
      </c>
      <c r="C239" s="34" t="s">
        <v>923</v>
      </c>
      <c r="D239" s="34" t="s">
        <v>713</v>
      </c>
      <c r="E239" s="34" t="s">
        <v>77</v>
      </c>
      <c r="F239" s="34" t="n">
        <v>53</v>
      </c>
      <c r="G239" s="34" t="n">
        <v>7</v>
      </c>
      <c r="H239" s="40" t="n">
        <v>1297.27</v>
      </c>
      <c r="I239" s="34" t="n">
        <v>0.03</v>
      </c>
      <c r="J239" s="34" t="n">
        <v>0.02</v>
      </c>
      <c r="K239" s="34" t="n">
        <v>0.02</v>
      </c>
      <c r="L239" s="34" t="n">
        <v>98.2</v>
      </c>
      <c r="M239" s="34" t="n">
        <v>98.2</v>
      </c>
      <c r="N239" s="34" t="n">
        <v>718</v>
      </c>
      <c r="O239" s="34" t="n">
        <v>0</v>
      </c>
      <c r="P239" s="34" t="s">
        <v>501</v>
      </c>
    </row>
    <row r="240" customFormat="false" ht="14.4" hidden="false" customHeight="false" outlineLevel="0" collapsed="false">
      <c r="A240" s="34" t="n">
        <v>239</v>
      </c>
      <c r="B240" s="35" t="n">
        <v>5958813000102</v>
      </c>
      <c r="C240" s="34" t="s">
        <v>924</v>
      </c>
      <c r="D240" s="34" t="s">
        <v>342</v>
      </c>
      <c r="E240" s="34" t="s">
        <v>925</v>
      </c>
      <c r="F240" s="34" t="n">
        <v>35</v>
      </c>
      <c r="G240" s="34" t="n">
        <v>7</v>
      </c>
      <c r="H240" s="40" t="n">
        <v>1295.93</v>
      </c>
      <c r="I240" s="34" t="n">
        <v>0.02</v>
      </c>
      <c r="J240" s="34" t="n">
        <v>0.03</v>
      </c>
      <c r="K240" s="34" t="n">
        <v>0.02</v>
      </c>
      <c r="L240" s="34" t="n">
        <v>98.22</v>
      </c>
      <c r="M240" s="34" t="n">
        <v>98.22</v>
      </c>
      <c r="N240" s="34" t="n">
        <v>705</v>
      </c>
      <c r="O240" s="34" t="n">
        <v>0</v>
      </c>
      <c r="P240" s="34" t="s">
        <v>501</v>
      </c>
    </row>
    <row r="241" customFormat="false" ht="14.4" hidden="false" customHeight="false" outlineLevel="0" collapsed="false">
      <c r="A241" s="34" t="n">
        <v>240</v>
      </c>
      <c r="B241" s="35" t="n">
        <v>30754700000132</v>
      </c>
      <c r="C241" s="34" t="s">
        <v>926</v>
      </c>
      <c r="D241" s="34" t="s">
        <v>342</v>
      </c>
      <c r="E241" s="34" t="s">
        <v>927</v>
      </c>
      <c r="F241" s="34" t="n">
        <v>42</v>
      </c>
      <c r="G241" s="34" t="n">
        <v>5</v>
      </c>
      <c r="H241" s="40" t="n">
        <v>1279.97</v>
      </c>
      <c r="I241" s="34" t="n">
        <v>0.03</v>
      </c>
      <c r="J241" s="34" t="n">
        <v>0.02</v>
      </c>
      <c r="K241" s="34" t="n">
        <v>0.02</v>
      </c>
      <c r="L241" s="34" t="n">
        <v>98.25</v>
      </c>
      <c r="M241" s="34" t="n">
        <v>98.25</v>
      </c>
      <c r="N241" s="34" t="n">
        <v>705</v>
      </c>
      <c r="O241" s="34" t="n">
        <v>0</v>
      </c>
      <c r="P241" s="34" t="s">
        <v>501</v>
      </c>
    </row>
    <row r="242" customFormat="false" ht="14.4" hidden="false" customHeight="false" outlineLevel="0" collapsed="false">
      <c r="A242" s="34" t="n">
        <v>241</v>
      </c>
      <c r="B242" s="35" t="n">
        <v>14314754000120</v>
      </c>
      <c r="C242" s="34" t="s">
        <v>928</v>
      </c>
      <c r="D242" s="34" t="s">
        <v>77</v>
      </c>
      <c r="E242" s="34" t="s">
        <v>929</v>
      </c>
      <c r="F242" s="34" t="n">
        <v>42</v>
      </c>
      <c r="G242" s="34" t="n">
        <v>11</v>
      </c>
      <c r="H242" s="40" t="n">
        <v>1272.27</v>
      </c>
      <c r="I242" s="34" t="n">
        <v>0.03</v>
      </c>
      <c r="J242" s="34" t="n">
        <v>0.04</v>
      </c>
      <c r="K242" s="34" t="n">
        <v>0.02</v>
      </c>
      <c r="L242" s="34" t="n">
        <v>98.28</v>
      </c>
      <c r="M242" s="34" t="n">
        <v>98.28</v>
      </c>
      <c r="N242" s="34" t="n">
        <v>135</v>
      </c>
      <c r="O242" s="34" t="n">
        <v>0</v>
      </c>
      <c r="P242" s="34" t="s">
        <v>510</v>
      </c>
    </row>
    <row r="243" customFormat="false" ht="14.4" hidden="false" customHeight="false" outlineLevel="0" collapsed="false">
      <c r="A243" s="34" t="n">
        <v>242</v>
      </c>
      <c r="B243" s="35" t="n">
        <v>37533445000147</v>
      </c>
      <c r="C243" s="34" t="s">
        <v>930</v>
      </c>
      <c r="D243" s="34" t="s">
        <v>77</v>
      </c>
      <c r="E243" s="34" t="s">
        <v>931</v>
      </c>
      <c r="F243" s="34" t="n">
        <v>30</v>
      </c>
      <c r="G243" s="34" t="n">
        <v>7</v>
      </c>
      <c r="H243" s="40" t="n">
        <v>1253.42</v>
      </c>
      <c r="I243" s="34" t="n">
        <v>0.02</v>
      </c>
      <c r="J243" s="34" t="n">
        <v>0.02</v>
      </c>
      <c r="K243" s="34" t="n">
        <v>0.02</v>
      </c>
      <c r="L243" s="34" t="n">
        <v>98.31</v>
      </c>
      <c r="M243" s="34" t="n">
        <v>98.31</v>
      </c>
      <c r="N243" s="34" t="n">
        <v>757</v>
      </c>
      <c r="O243" s="34" t="n">
        <v>0</v>
      </c>
      <c r="P243" s="34" t="s">
        <v>501</v>
      </c>
    </row>
    <row r="244" customFormat="false" ht="14.4" hidden="false" customHeight="false" outlineLevel="0" collapsed="false">
      <c r="A244" s="34" t="n">
        <v>243</v>
      </c>
      <c r="B244" s="35" t="n">
        <v>63289957000110</v>
      </c>
      <c r="C244" s="34" t="s">
        <v>932</v>
      </c>
      <c r="D244" s="34" t="s">
        <v>680</v>
      </c>
      <c r="E244" s="34" t="s">
        <v>933</v>
      </c>
      <c r="F244" s="34" t="n">
        <v>32</v>
      </c>
      <c r="G244" s="34" t="n">
        <v>3</v>
      </c>
      <c r="H244" s="40" t="n">
        <v>1242.27</v>
      </c>
      <c r="I244" s="34" t="n">
        <v>0.02</v>
      </c>
      <c r="J244" s="34" t="n">
        <v>0.01</v>
      </c>
      <c r="K244" s="34" t="n">
        <v>0.02</v>
      </c>
      <c r="L244" s="34" t="n">
        <v>98.33</v>
      </c>
      <c r="M244" s="34" t="n">
        <v>98.33</v>
      </c>
      <c r="N244" s="34" t="n">
        <v>214</v>
      </c>
      <c r="O244" s="34" t="n">
        <v>0</v>
      </c>
      <c r="P244" s="34" t="s">
        <v>800</v>
      </c>
    </row>
    <row r="245" customFormat="false" ht="14.4" hidden="false" customHeight="false" outlineLevel="0" collapsed="false">
      <c r="A245" s="34" t="n">
        <v>244</v>
      </c>
      <c r="B245" s="35" t="n">
        <v>11722868000111</v>
      </c>
      <c r="C245" s="34" t="s">
        <v>934</v>
      </c>
      <c r="D245" s="34" t="s">
        <v>309</v>
      </c>
      <c r="E245" s="34" t="s">
        <v>935</v>
      </c>
      <c r="F245" s="34" t="n">
        <v>37</v>
      </c>
      <c r="G245" s="34" t="n">
        <v>7</v>
      </c>
      <c r="H245" s="40" t="n">
        <v>1231.62</v>
      </c>
      <c r="I245" s="34" t="n">
        <v>0.02</v>
      </c>
      <c r="J245" s="34" t="n">
        <v>0.02</v>
      </c>
      <c r="K245" s="34" t="n">
        <v>0.02</v>
      </c>
      <c r="L245" s="34" t="n">
        <v>98.36</v>
      </c>
      <c r="M245" s="34" t="n">
        <v>98.36</v>
      </c>
      <c r="N245" s="34" t="n">
        <v>704</v>
      </c>
      <c r="O245" s="34" t="n">
        <v>0</v>
      </c>
      <c r="P245" s="34" t="s">
        <v>518</v>
      </c>
    </row>
    <row r="246" customFormat="false" ht="14.4" hidden="false" customHeight="false" outlineLevel="0" collapsed="false">
      <c r="A246" s="34" t="n">
        <v>245</v>
      </c>
      <c r="B246" s="35" t="n">
        <v>20040030000139</v>
      </c>
      <c r="C246" s="34" t="s">
        <v>936</v>
      </c>
      <c r="D246" s="34" t="s">
        <v>309</v>
      </c>
      <c r="E246" s="34" t="s">
        <v>937</v>
      </c>
      <c r="F246" s="34" t="n">
        <v>24</v>
      </c>
      <c r="G246" s="34" t="n">
        <v>6</v>
      </c>
      <c r="H246" s="40" t="n">
        <v>1227.51</v>
      </c>
      <c r="I246" s="34" t="n">
        <v>0.01</v>
      </c>
      <c r="J246" s="34" t="n">
        <v>0.02</v>
      </c>
      <c r="K246" s="34" t="n">
        <v>0.02</v>
      </c>
      <c r="L246" s="34" t="n">
        <v>98.39</v>
      </c>
      <c r="M246" s="34" t="n">
        <v>98.39</v>
      </c>
      <c r="N246" s="34" t="n">
        <v>704</v>
      </c>
      <c r="O246" s="34" t="n">
        <v>0</v>
      </c>
      <c r="P246" s="34" t="s">
        <v>501</v>
      </c>
    </row>
    <row r="247" customFormat="false" ht="14.4" hidden="false" customHeight="false" outlineLevel="0" collapsed="false">
      <c r="A247" s="34" t="n">
        <v>246</v>
      </c>
      <c r="B247" s="35" t="n">
        <v>28808325000114</v>
      </c>
      <c r="C247" s="34" t="s">
        <v>938</v>
      </c>
      <c r="D247" s="34" t="s">
        <v>89</v>
      </c>
      <c r="E247" s="34" t="s">
        <v>939</v>
      </c>
      <c r="F247" s="34" t="n">
        <v>57</v>
      </c>
      <c r="G247" s="34" t="n">
        <v>9</v>
      </c>
      <c r="H247" s="40" t="n">
        <v>1211.42</v>
      </c>
      <c r="I247" s="34" t="n">
        <v>0.04</v>
      </c>
      <c r="J247" s="34" t="n">
        <v>0.03</v>
      </c>
      <c r="K247" s="34" t="n">
        <v>0.02</v>
      </c>
      <c r="L247" s="34" t="n">
        <v>98.41</v>
      </c>
      <c r="M247" s="34" t="n">
        <v>98.41</v>
      </c>
      <c r="N247" s="34" t="n">
        <v>711</v>
      </c>
      <c r="O247" s="34" t="n">
        <v>0</v>
      </c>
      <c r="P247" s="34" t="s">
        <v>510</v>
      </c>
    </row>
    <row r="248" customFormat="false" ht="14.4" hidden="false" customHeight="false" outlineLevel="0" collapsed="false">
      <c r="A248" s="34" t="n">
        <v>247</v>
      </c>
      <c r="B248" s="35" t="n">
        <v>25117031000310</v>
      </c>
      <c r="C248" s="34" t="s">
        <v>940</v>
      </c>
      <c r="D248" s="34" t="s">
        <v>77</v>
      </c>
      <c r="E248" s="34" t="s">
        <v>941</v>
      </c>
      <c r="F248" s="34" t="n">
        <v>45</v>
      </c>
      <c r="G248" s="34" t="n">
        <v>7</v>
      </c>
      <c r="H248" s="40" t="n">
        <v>1210.01</v>
      </c>
      <c r="I248" s="34" t="n">
        <v>0.03</v>
      </c>
      <c r="J248" s="34" t="n">
        <v>0.03</v>
      </c>
      <c r="K248" s="34" t="n">
        <v>0.02</v>
      </c>
      <c r="L248" s="34" t="n">
        <v>98.44</v>
      </c>
      <c r="M248" s="34" t="n">
        <v>98.44</v>
      </c>
      <c r="N248" s="34" t="n">
        <v>757</v>
      </c>
      <c r="O248" s="34" t="n">
        <v>0</v>
      </c>
      <c r="P248" s="34" t="s">
        <v>501</v>
      </c>
    </row>
    <row r="249" customFormat="false" ht="14.4" hidden="false" customHeight="false" outlineLevel="0" collapsed="false">
      <c r="A249" s="34" t="n">
        <v>248</v>
      </c>
      <c r="B249" s="35" t="n">
        <v>28807775000192</v>
      </c>
      <c r="C249" s="34" t="s">
        <v>942</v>
      </c>
      <c r="D249" s="34" t="s">
        <v>103</v>
      </c>
      <c r="E249" s="34" t="s">
        <v>943</v>
      </c>
      <c r="F249" s="34" t="n">
        <v>44</v>
      </c>
      <c r="G249" s="34" t="n">
        <v>8</v>
      </c>
      <c r="H249" s="40" t="n">
        <v>1200.29</v>
      </c>
      <c r="I249" s="34" t="n">
        <v>0.03</v>
      </c>
      <c r="J249" s="34" t="n">
        <v>0.03</v>
      </c>
      <c r="K249" s="34" t="n">
        <v>0.02</v>
      </c>
      <c r="L249" s="34" t="n">
        <v>98.47</v>
      </c>
      <c r="M249" s="34" t="n">
        <v>98.47</v>
      </c>
      <c r="N249" s="34" t="n">
        <v>715</v>
      </c>
      <c r="O249" s="34" t="n">
        <v>0</v>
      </c>
      <c r="P249" s="34" t="s">
        <v>501</v>
      </c>
    </row>
    <row r="250" customFormat="false" ht="14.4" hidden="false" customHeight="false" outlineLevel="0" collapsed="false">
      <c r="A250" s="34" t="n">
        <v>249</v>
      </c>
      <c r="B250" s="35" t="n">
        <v>1547445000159</v>
      </c>
      <c r="C250" s="34" t="s">
        <v>944</v>
      </c>
      <c r="D250" s="34" t="s">
        <v>706</v>
      </c>
      <c r="E250" s="34" t="s">
        <v>945</v>
      </c>
      <c r="F250" s="34" t="n">
        <v>82</v>
      </c>
      <c r="G250" s="34" t="n">
        <v>8</v>
      </c>
      <c r="H250" s="40" t="n">
        <v>1184.82</v>
      </c>
      <c r="I250" s="34" t="n">
        <v>0.05</v>
      </c>
      <c r="J250" s="34" t="n">
        <v>0.03</v>
      </c>
      <c r="K250" s="34" t="n">
        <v>0.02</v>
      </c>
      <c r="L250" s="34" t="n">
        <v>98.49</v>
      </c>
      <c r="M250" s="34" t="n">
        <v>98.49</v>
      </c>
      <c r="N250" s="34" t="n">
        <v>716</v>
      </c>
      <c r="O250" s="34" t="n">
        <v>0</v>
      </c>
      <c r="P250" s="34" t="s">
        <v>501</v>
      </c>
    </row>
    <row r="251" customFormat="false" ht="14.4" hidden="false" customHeight="false" outlineLevel="0" collapsed="false">
      <c r="A251" s="34" t="n">
        <v>250</v>
      </c>
      <c r="B251" s="35" t="n">
        <v>22556115000108</v>
      </c>
      <c r="C251" s="34" t="s">
        <v>946</v>
      </c>
      <c r="D251" s="34" t="s">
        <v>77</v>
      </c>
      <c r="E251" s="34" t="s">
        <v>947</v>
      </c>
      <c r="F251" s="34" t="n">
        <v>35</v>
      </c>
      <c r="G251" s="34" t="n">
        <v>8</v>
      </c>
      <c r="H251" s="40" t="n">
        <v>1166.82</v>
      </c>
      <c r="I251" s="34" t="n">
        <v>0.02</v>
      </c>
      <c r="J251" s="34" t="n">
        <v>0.03</v>
      </c>
      <c r="K251" s="34" t="n">
        <v>0.02</v>
      </c>
      <c r="L251" s="34" t="n">
        <v>98.52</v>
      </c>
      <c r="M251" s="34" t="n">
        <v>98.52</v>
      </c>
      <c r="N251" s="34" t="n">
        <v>759</v>
      </c>
      <c r="O251" s="34" t="n">
        <v>0</v>
      </c>
      <c r="P251" s="34" t="s">
        <v>510</v>
      </c>
    </row>
    <row r="252" customFormat="false" ht="14.4" hidden="false" customHeight="false" outlineLevel="0" collapsed="false">
      <c r="A252" s="34" t="n">
        <v>251</v>
      </c>
      <c r="B252" s="35" t="n">
        <v>8664194000131</v>
      </c>
      <c r="C252" s="34" t="s">
        <v>880</v>
      </c>
      <c r="D252" s="34" t="s">
        <v>881</v>
      </c>
      <c r="E252" s="34" t="s">
        <v>948</v>
      </c>
      <c r="F252" s="34" t="n">
        <v>37</v>
      </c>
      <c r="G252" s="34" t="n">
        <v>11</v>
      </c>
      <c r="H252" s="40" t="n">
        <v>1166.43</v>
      </c>
      <c r="I252" s="34" t="n">
        <v>0.02</v>
      </c>
      <c r="J252" s="34" t="n">
        <v>0.04</v>
      </c>
      <c r="K252" s="34" t="n">
        <v>0.02</v>
      </c>
      <c r="L252" s="34" t="n">
        <v>98.54</v>
      </c>
      <c r="M252" s="34" t="n">
        <v>98.54</v>
      </c>
      <c r="N252" s="34" t="n">
        <v>718</v>
      </c>
      <c r="O252" s="34" t="n">
        <v>0</v>
      </c>
      <c r="P252" s="34" t="s">
        <v>501</v>
      </c>
    </row>
    <row r="253" customFormat="false" ht="14.4" hidden="false" customHeight="false" outlineLevel="0" collapsed="false">
      <c r="A253" s="34" t="n">
        <v>252</v>
      </c>
      <c r="B253" s="35" t="n">
        <v>50806425000160</v>
      </c>
      <c r="C253" s="34" t="s">
        <v>949</v>
      </c>
      <c r="D253" s="34" t="s">
        <v>77</v>
      </c>
      <c r="E253" s="34" t="s">
        <v>950</v>
      </c>
      <c r="F253" s="34" t="n">
        <v>52</v>
      </c>
      <c r="G253" s="34" t="n">
        <v>8</v>
      </c>
      <c r="H253" s="40" t="n">
        <v>1165.39</v>
      </c>
      <c r="I253" s="34" t="n">
        <v>0.03</v>
      </c>
      <c r="J253" s="34" t="n">
        <v>0.03</v>
      </c>
      <c r="K253" s="34" t="n">
        <v>0.02</v>
      </c>
      <c r="L253" s="34" t="n">
        <v>98.57</v>
      </c>
      <c r="M253" s="34" t="n">
        <v>98.57</v>
      </c>
      <c r="N253" s="34" t="n">
        <v>757</v>
      </c>
      <c r="O253" s="34" t="n">
        <v>0</v>
      </c>
      <c r="P253" s="34" t="s">
        <v>510</v>
      </c>
    </row>
    <row r="254" customFormat="false" ht="14.4" hidden="false" customHeight="false" outlineLevel="0" collapsed="false">
      <c r="A254" s="34" t="n">
        <v>253</v>
      </c>
      <c r="B254" s="35" t="n">
        <v>5113602000179</v>
      </c>
      <c r="C254" s="34" t="s">
        <v>951</v>
      </c>
      <c r="D254" s="34" t="s">
        <v>842</v>
      </c>
      <c r="E254" s="34" t="s">
        <v>952</v>
      </c>
      <c r="F254" s="34" t="n">
        <v>22</v>
      </c>
      <c r="G254" s="34" t="n">
        <v>3</v>
      </c>
      <c r="H254" s="40" t="n">
        <v>1150.38</v>
      </c>
      <c r="I254" s="34" t="n">
        <v>0.01</v>
      </c>
      <c r="J254" s="34" t="n">
        <v>0.01</v>
      </c>
      <c r="K254" s="34" t="n">
        <v>0.02</v>
      </c>
      <c r="L254" s="34" t="n">
        <v>98.59</v>
      </c>
      <c r="M254" s="34" t="n">
        <v>98.59</v>
      </c>
      <c r="N254" s="34" t="n">
        <v>706</v>
      </c>
      <c r="O254" s="34" t="n">
        <v>0</v>
      </c>
      <c r="P254" s="34" t="s">
        <v>501</v>
      </c>
    </row>
    <row r="255" customFormat="false" ht="14.4" hidden="false" customHeight="false" outlineLevel="0" collapsed="false">
      <c r="A255" s="34" t="n">
        <v>254</v>
      </c>
      <c r="B255" s="35" t="n">
        <v>50106385000144</v>
      </c>
      <c r="C255" s="34" t="s">
        <v>953</v>
      </c>
      <c r="D255" s="34" t="s">
        <v>954</v>
      </c>
      <c r="E255" s="34" t="s">
        <v>955</v>
      </c>
      <c r="F255" s="34" t="n">
        <v>27</v>
      </c>
      <c r="G255" s="34" t="n">
        <v>2</v>
      </c>
      <c r="H255" s="40" t="n">
        <v>1148.52</v>
      </c>
      <c r="I255" s="34" t="n">
        <v>0.02</v>
      </c>
      <c r="J255" s="34" t="n">
        <v>0</v>
      </c>
      <c r="K255" s="34" t="n">
        <v>0.02</v>
      </c>
      <c r="L255" s="34" t="n">
        <v>98.62</v>
      </c>
      <c r="M255" s="34" t="n">
        <v>98.62</v>
      </c>
      <c r="N255" s="34" t="n">
        <v>800</v>
      </c>
      <c r="O255" s="34" t="n">
        <v>0</v>
      </c>
      <c r="P255" s="34" t="s">
        <v>501</v>
      </c>
    </row>
    <row r="256" customFormat="false" ht="14.4" hidden="false" customHeight="false" outlineLevel="0" collapsed="false">
      <c r="A256" s="34" t="n">
        <v>255</v>
      </c>
      <c r="B256" s="35" t="n">
        <v>10612142000163</v>
      </c>
      <c r="C256" s="34" t="s">
        <v>956</v>
      </c>
      <c r="D256" s="34" t="s">
        <v>957</v>
      </c>
      <c r="E256" s="34" t="s">
        <v>958</v>
      </c>
      <c r="F256" s="34" t="n">
        <v>77</v>
      </c>
      <c r="G256" s="34" t="n">
        <v>8</v>
      </c>
      <c r="H256" s="40" t="n">
        <v>1129.18</v>
      </c>
      <c r="I256" s="34" t="n">
        <v>0.05</v>
      </c>
      <c r="J256" s="34" t="n">
        <v>0.03</v>
      </c>
      <c r="K256" s="34" t="n">
        <v>0.02</v>
      </c>
      <c r="L256" s="34" t="n">
        <v>98.64</v>
      </c>
      <c r="M256" s="34" t="n">
        <v>98.64</v>
      </c>
      <c r="N256" s="34" t="n">
        <v>718</v>
      </c>
      <c r="O256" s="34" t="n">
        <v>0</v>
      </c>
      <c r="P256" s="34" t="s">
        <v>501</v>
      </c>
    </row>
    <row r="257" customFormat="false" ht="14.4" hidden="false" customHeight="false" outlineLevel="0" collapsed="false">
      <c r="A257" s="34" t="n">
        <v>256</v>
      </c>
      <c r="B257" s="35" t="n">
        <v>49867325000165</v>
      </c>
      <c r="C257" s="34" t="s">
        <v>959</v>
      </c>
      <c r="D257" s="34" t="s">
        <v>680</v>
      </c>
      <c r="E257" s="34" t="s">
        <v>960</v>
      </c>
      <c r="F257" s="34" t="n">
        <v>22</v>
      </c>
      <c r="G257" s="34" t="n">
        <v>6</v>
      </c>
      <c r="H257" s="40" t="n">
        <v>1104.61</v>
      </c>
      <c r="I257" s="34" t="n">
        <v>0.01</v>
      </c>
      <c r="J257" s="34" t="n">
        <v>0.02</v>
      </c>
      <c r="K257" s="34" t="n">
        <v>0.02</v>
      </c>
      <c r="L257" s="34" t="n">
        <v>98.67</v>
      </c>
      <c r="M257" s="34" t="n">
        <v>98.67</v>
      </c>
      <c r="N257" s="34" t="n">
        <v>214</v>
      </c>
      <c r="O257" s="34" t="n">
        <v>0</v>
      </c>
      <c r="P257" s="34" t="s">
        <v>501</v>
      </c>
    </row>
    <row r="258" customFormat="false" ht="14.4" hidden="false" customHeight="false" outlineLevel="0" collapsed="false">
      <c r="A258" s="34" t="n">
        <v>257</v>
      </c>
      <c r="B258" s="35" t="n">
        <v>19991735000152</v>
      </c>
      <c r="C258" s="34" t="s">
        <v>961</v>
      </c>
      <c r="D258" s="34" t="s">
        <v>962</v>
      </c>
      <c r="E258" s="34" t="s">
        <v>963</v>
      </c>
      <c r="F258" s="34" t="n">
        <v>40</v>
      </c>
      <c r="G258" s="34" t="n">
        <v>5</v>
      </c>
      <c r="H258" s="40" t="n">
        <v>1090.42</v>
      </c>
      <c r="I258" s="34" t="n">
        <v>0.02</v>
      </c>
      <c r="J258" s="34" t="n">
        <v>0.02</v>
      </c>
      <c r="K258" s="34" t="n">
        <v>0.02</v>
      </c>
      <c r="L258" s="34" t="n">
        <v>98.69</v>
      </c>
      <c r="M258" s="34" t="n">
        <v>98.69</v>
      </c>
      <c r="N258" s="34" t="n">
        <v>707</v>
      </c>
      <c r="O258" s="34" t="n">
        <v>0</v>
      </c>
      <c r="P258" s="34" t="s">
        <v>501</v>
      </c>
    </row>
    <row r="259" customFormat="false" ht="14.4" hidden="false" customHeight="false" outlineLevel="0" collapsed="false">
      <c r="A259" s="34" t="n">
        <v>258</v>
      </c>
      <c r="B259" s="35" t="n">
        <v>51182941000124</v>
      </c>
      <c r="C259" s="34" t="s">
        <v>964</v>
      </c>
      <c r="D259" s="34" t="s">
        <v>139</v>
      </c>
      <c r="E259" s="34" t="s">
        <v>965</v>
      </c>
      <c r="F259" s="34" t="n">
        <v>39</v>
      </c>
      <c r="G259" s="34" t="n">
        <v>4</v>
      </c>
      <c r="H259" s="40" t="n">
        <v>1078.34</v>
      </c>
      <c r="I259" s="34" t="n">
        <v>0.02</v>
      </c>
      <c r="J259" s="34" t="n">
        <v>0.01</v>
      </c>
      <c r="K259" s="34" t="n">
        <v>0.02</v>
      </c>
      <c r="L259" s="34" t="n">
        <v>98.71</v>
      </c>
      <c r="M259" s="34" t="n">
        <v>98.71</v>
      </c>
      <c r="N259" s="34" t="n">
        <v>214</v>
      </c>
      <c r="O259" s="34" t="n">
        <v>0</v>
      </c>
      <c r="P259" s="34" t="s">
        <v>776</v>
      </c>
    </row>
    <row r="260" customFormat="false" ht="14.4" hidden="false" customHeight="false" outlineLevel="0" collapsed="false">
      <c r="A260" s="34" t="n">
        <v>259</v>
      </c>
      <c r="B260" s="35" t="n">
        <v>43503828000175</v>
      </c>
      <c r="C260" s="34" t="s">
        <v>966</v>
      </c>
      <c r="D260" s="34" t="s">
        <v>967</v>
      </c>
      <c r="E260" s="34" t="s">
        <v>968</v>
      </c>
      <c r="F260" s="34" t="n">
        <v>35</v>
      </c>
      <c r="G260" s="34" t="n">
        <v>9</v>
      </c>
      <c r="H260" s="40" t="n">
        <v>1058.64</v>
      </c>
      <c r="I260" s="34" t="n">
        <v>0.02</v>
      </c>
      <c r="J260" s="34" t="n">
        <v>0.03</v>
      </c>
      <c r="K260" s="34" t="n">
        <v>0.02</v>
      </c>
      <c r="L260" s="34" t="n">
        <v>98.74</v>
      </c>
      <c r="M260" s="34" t="n">
        <v>98.74</v>
      </c>
      <c r="N260" s="34" t="n">
        <v>718</v>
      </c>
      <c r="O260" s="34" t="n">
        <v>0</v>
      </c>
      <c r="P260" s="34" t="s">
        <v>510</v>
      </c>
    </row>
    <row r="261" customFormat="false" ht="14.4" hidden="false" customHeight="false" outlineLevel="0" collapsed="false">
      <c r="A261" s="34" t="n">
        <v>260</v>
      </c>
      <c r="B261" s="35" t="n">
        <v>11639680000104</v>
      </c>
      <c r="C261" s="34" t="s">
        <v>969</v>
      </c>
      <c r="D261" s="34" t="s">
        <v>77</v>
      </c>
      <c r="E261" s="34" t="s">
        <v>970</v>
      </c>
      <c r="F261" s="34" t="n">
        <v>72</v>
      </c>
      <c r="G261" s="34" t="n">
        <v>11</v>
      </c>
      <c r="H261" s="40" t="n">
        <v>1043.18</v>
      </c>
      <c r="I261" s="34" t="n">
        <v>0.05</v>
      </c>
      <c r="J261" s="34" t="n">
        <v>0.04</v>
      </c>
      <c r="K261" s="34" t="n">
        <v>0.02</v>
      </c>
      <c r="L261" s="34" t="n">
        <v>98.76</v>
      </c>
      <c r="M261" s="34" t="n">
        <v>98.76</v>
      </c>
      <c r="N261" s="34" t="n">
        <v>759</v>
      </c>
      <c r="O261" s="34" t="n">
        <v>0</v>
      </c>
      <c r="P261" s="34" t="s">
        <v>510</v>
      </c>
    </row>
    <row r="262" customFormat="false" ht="14.4" hidden="false" customHeight="false" outlineLevel="0" collapsed="false">
      <c r="A262" s="34" t="n">
        <v>261</v>
      </c>
      <c r="B262" s="35" t="n">
        <v>41595263000178</v>
      </c>
      <c r="C262" s="34" t="s">
        <v>971</v>
      </c>
      <c r="D262" s="34" t="s">
        <v>744</v>
      </c>
      <c r="E262" s="34" t="s">
        <v>972</v>
      </c>
      <c r="F262" s="34" t="n">
        <v>26</v>
      </c>
      <c r="G262" s="34" t="n">
        <v>5</v>
      </c>
      <c r="H262" s="40" t="n">
        <v>1027.94</v>
      </c>
      <c r="I262" s="34" t="n">
        <v>0.01</v>
      </c>
      <c r="J262" s="34" t="n">
        <v>0.02</v>
      </c>
      <c r="K262" s="34" t="n">
        <v>0.02</v>
      </c>
      <c r="L262" s="34" t="n">
        <v>98.78</v>
      </c>
      <c r="M262" s="34" t="n">
        <v>98.78</v>
      </c>
      <c r="N262" s="34" t="n">
        <v>718</v>
      </c>
      <c r="O262" s="34" t="n">
        <v>0</v>
      </c>
      <c r="P262" s="34" t="s">
        <v>510</v>
      </c>
    </row>
    <row r="263" customFormat="false" ht="14.4" hidden="false" customHeight="false" outlineLevel="0" collapsed="false">
      <c r="A263" s="34" t="n">
        <v>262</v>
      </c>
      <c r="B263" s="35" t="n">
        <v>23372168000123</v>
      </c>
      <c r="C263" s="34" t="s">
        <v>973</v>
      </c>
      <c r="D263" s="34" t="s">
        <v>342</v>
      </c>
      <c r="E263" s="34" t="s">
        <v>974</v>
      </c>
      <c r="F263" s="34" t="n">
        <v>68</v>
      </c>
      <c r="G263" s="34" t="n">
        <v>13</v>
      </c>
      <c r="H263" s="40" t="n">
        <v>1023.58</v>
      </c>
      <c r="I263" s="34" t="n">
        <v>0.04</v>
      </c>
      <c r="J263" s="34" t="n">
        <v>0.05</v>
      </c>
      <c r="K263" s="34" t="n">
        <v>0.02</v>
      </c>
      <c r="L263" s="34" t="n">
        <v>98.8</v>
      </c>
      <c r="M263" s="34" t="n">
        <v>98.8</v>
      </c>
      <c r="N263" s="34" t="n">
        <v>705</v>
      </c>
      <c r="O263" s="34" t="n">
        <v>0</v>
      </c>
      <c r="P263" s="34" t="s">
        <v>501</v>
      </c>
    </row>
    <row r="264" customFormat="false" ht="14.4" hidden="false" customHeight="false" outlineLevel="0" collapsed="false">
      <c r="A264" s="34" t="n">
        <v>263</v>
      </c>
      <c r="B264" s="35" t="n">
        <v>70355615000116</v>
      </c>
      <c r="C264" s="34" t="s">
        <v>975</v>
      </c>
      <c r="D264" s="34" t="s">
        <v>976</v>
      </c>
      <c r="E264" s="34" t="s">
        <v>977</v>
      </c>
      <c r="F264" s="34" t="n">
        <v>18</v>
      </c>
      <c r="G264" s="34" t="n">
        <v>6</v>
      </c>
      <c r="H264" s="40" t="n">
        <v>1013</v>
      </c>
      <c r="I264" s="34" t="n">
        <v>0.01</v>
      </c>
      <c r="J264" s="34" t="n">
        <v>0.02</v>
      </c>
      <c r="K264" s="34" t="n">
        <v>0.02</v>
      </c>
      <c r="L264" s="34" t="n">
        <v>98.83</v>
      </c>
      <c r="M264" s="34" t="n">
        <v>98.83</v>
      </c>
      <c r="N264" s="34" t="n">
        <v>710</v>
      </c>
      <c r="O264" s="34" t="n">
        <v>0</v>
      </c>
      <c r="P264" s="34" t="s">
        <v>501</v>
      </c>
    </row>
    <row r="265" customFormat="false" ht="14.4" hidden="false" customHeight="false" outlineLevel="0" collapsed="false">
      <c r="A265" s="34" t="n">
        <v>264</v>
      </c>
      <c r="B265" s="35" t="n">
        <v>41057723000104</v>
      </c>
      <c r="C265" s="34" t="s">
        <v>978</v>
      </c>
      <c r="D265" s="34" t="s">
        <v>979</v>
      </c>
      <c r="E265" s="34" t="s">
        <v>980</v>
      </c>
      <c r="F265" s="34" t="n">
        <v>25</v>
      </c>
      <c r="G265" s="34" t="n">
        <v>5</v>
      </c>
      <c r="H265" s="40" t="n">
        <v>1009.39</v>
      </c>
      <c r="I265" s="34" t="n">
        <v>0.01</v>
      </c>
      <c r="J265" s="34" t="n">
        <v>0.02</v>
      </c>
      <c r="K265" s="34" t="n">
        <v>0.02</v>
      </c>
      <c r="L265" s="34" t="n">
        <v>98.85</v>
      </c>
      <c r="M265" s="34" t="n">
        <v>98.85</v>
      </c>
      <c r="N265" s="34" t="n">
        <v>707</v>
      </c>
      <c r="O265" s="34" t="n">
        <v>0</v>
      </c>
      <c r="P265" s="34" t="s">
        <v>510</v>
      </c>
    </row>
    <row r="266" customFormat="false" ht="14.4" hidden="false" customHeight="false" outlineLevel="0" collapsed="false">
      <c r="A266" s="34" t="n">
        <v>265</v>
      </c>
      <c r="B266" s="35" t="n">
        <v>26509993000115</v>
      </c>
      <c r="C266" s="34" t="s">
        <v>981</v>
      </c>
      <c r="D266" s="34" t="s">
        <v>299</v>
      </c>
      <c r="E266" s="34" t="s">
        <v>982</v>
      </c>
      <c r="F266" s="34" t="n">
        <v>25</v>
      </c>
      <c r="G266" s="34" t="n">
        <v>2</v>
      </c>
      <c r="H266" s="40" t="n">
        <v>1008.2</v>
      </c>
      <c r="I266" s="34" t="n">
        <v>0.01</v>
      </c>
      <c r="J266" s="34" t="n">
        <v>0</v>
      </c>
      <c r="K266" s="34" t="n">
        <v>0.02</v>
      </c>
      <c r="L266" s="34" t="n">
        <v>98.87</v>
      </c>
      <c r="M266" s="34" t="n">
        <v>98.87</v>
      </c>
      <c r="N266" s="34" t="n">
        <v>710</v>
      </c>
      <c r="O266" s="34" t="n">
        <v>0</v>
      </c>
      <c r="P266" s="34" t="s">
        <v>504</v>
      </c>
    </row>
    <row r="267" customFormat="false" ht="14.4" hidden="false" customHeight="false" outlineLevel="0" collapsed="false">
      <c r="A267" s="34" t="n">
        <v>266</v>
      </c>
      <c r="B267" s="35" t="n">
        <v>16633466000164</v>
      </c>
      <c r="C267" s="34" t="s">
        <v>983</v>
      </c>
      <c r="D267" s="34" t="s">
        <v>77</v>
      </c>
      <c r="E267" s="34" t="s">
        <v>984</v>
      </c>
      <c r="F267" s="34" t="n">
        <v>37</v>
      </c>
      <c r="G267" s="34" t="n">
        <v>6</v>
      </c>
      <c r="H267" s="40" t="n">
        <v>1006.49</v>
      </c>
      <c r="I267" s="34" t="n">
        <v>0.02</v>
      </c>
      <c r="J267" s="34" t="n">
        <v>0.02</v>
      </c>
      <c r="K267" s="34" t="n">
        <v>0.02</v>
      </c>
      <c r="L267" s="34" t="n">
        <v>98.89</v>
      </c>
      <c r="M267" s="34" t="n">
        <v>98.89</v>
      </c>
      <c r="N267" s="34" t="n">
        <v>759</v>
      </c>
      <c r="O267" s="34" t="n">
        <v>0</v>
      </c>
      <c r="P267" s="34" t="s">
        <v>518</v>
      </c>
    </row>
    <row r="268" customFormat="false" ht="14.4" hidden="false" customHeight="false" outlineLevel="0" collapsed="false">
      <c r="A268" s="34" t="n">
        <v>267</v>
      </c>
      <c r="B268" s="35" t="n">
        <v>4951540000101</v>
      </c>
      <c r="C268" s="34" t="s">
        <v>985</v>
      </c>
      <c r="D268" s="34" t="s">
        <v>594</v>
      </c>
      <c r="E268" s="34" t="s">
        <v>986</v>
      </c>
      <c r="F268" s="34" t="n">
        <v>41</v>
      </c>
      <c r="G268" s="34" t="n">
        <v>5</v>
      </c>
      <c r="H268" s="40" t="n">
        <v>1005.7</v>
      </c>
      <c r="I268" s="34" t="n">
        <v>0.02</v>
      </c>
      <c r="J268" s="34" t="n">
        <v>0.02</v>
      </c>
      <c r="K268" s="34" t="n">
        <v>0.02</v>
      </c>
      <c r="L268" s="34" t="n">
        <v>98.91</v>
      </c>
      <c r="M268" s="34" t="n">
        <v>98.91</v>
      </c>
      <c r="N268" s="34" t="n">
        <v>710</v>
      </c>
      <c r="O268" s="34" t="n">
        <v>0</v>
      </c>
      <c r="P268" s="34" t="s">
        <v>518</v>
      </c>
    </row>
    <row r="269" customFormat="false" ht="14.4" hidden="false" customHeight="false" outlineLevel="0" collapsed="false">
      <c r="A269" s="34" t="n">
        <v>268</v>
      </c>
      <c r="B269" s="35" t="n">
        <v>22959790000170</v>
      </c>
      <c r="C269" s="34" t="s">
        <v>987</v>
      </c>
      <c r="D269" s="34" t="s">
        <v>562</v>
      </c>
      <c r="E269" s="34" t="s">
        <v>988</v>
      </c>
      <c r="F269" s="34" t="n">
        <v>46</v>
      </c>
      <c r="G269" s="34" t="n">
        <v>5</v>
      </c>
      <c r="H269" s="40" t="n">
        <v>996.15</v>
      </c>
      <c r="I269" s="34" t="n">
        <v>0.03</v>
      </c>
      <c r="J269" s="34" t="n">
        <v>0.02</v>
      </c>
      <c r="K269" s="34" t="n">
        <v>0.02</v>
      </c>
      <c r="L269" s="34" t="n">
        <v>98.93</v>
      </c>
      <c r="M269" s="34" t="n">
        <v>98.93</v>
      </c>
      <c r="N269" s="34" t="n">
        <v>705</v>
      </c>
      <c r="O269" s="34" t="n">
        <v>0</v>
      </c>
      <c r="P269" s="34" t="s">
        <v>989</v>
      </c>
    </row>
    <row r="270" customFormat="false" ht="14.4" hidden="false" customHeight="false" outlineLevel="0" collapsed="false">
      <c r="A270" s="34" t="n">
        <v>269</v>
      </c>
      <c r="B270" s="35" t="n">
        <v>1460437000332</v>
      </c>
      <c r="C270" s="34" t="s">
        <v>990</v>
      </c>
      <c r="D270" s="34" t="s">
        <v>804</v>
      </c>
      <c r="E270" s="34" t="s">
        <v>503</v>
      </c>
      <c r="F270" s="34" t="n">
        <v>37</v>
      </c>
      <c r="G270" s="34" t="n">
        <v>6</v>
      </c>
      <c r="H270" s="40" t="n">
        <v>994.78</v>
      </c>
      <c r="I270" s="34" t="n">
        <v>0.02</v>
      </c>
      <c r="J270" s="34" t="n">
        <v>0.02</v>
      </c>
      <c r="K270" s="34" t="n">
        <v>0.02</v>
      </c>
      <c r="L270" s="34" t="n">
        <v>98.96</v>
      </c>
      <c r="M270" s="34" t="n">
        <v>98.96</v>
      </c>
      <c r="N270" s="34" t="n">
        <v>705</v>
      </c>
      <c r="O270" s="34" t="n">
        <v>0</v>
      </c>
      <c r="P270" s="34" t="s">
        <v>501</v>
      </c>
    </row>
    <row r="271" customFormat="false" ht="14.4" hidden="false" customHeight="false" outlineLevel="0" collapsed="false">
      <c r="A271" s="34" t="n">
        <v>270</v>
      </c>
      <c r="B271" s="35" t="n">
        <v>28193289000121</v>
      </c>
      <c r="C271" s="34" t="s">
        <v>991</v>
      </c>
      <c r="D271" s="34" t="s">
        <v>89</v>
      </c>
      <c r="E271" s="34" t="s">
        <v>992</v>
      </c>
      <c r="F271" s="34" t="n">
        <v>19</v>
      </c>
      <c r="G271" s="34" t="n">
        <v>3</v>
      </c>
      <c r="H271" s="40" t="n">
        <v>994.16</v>
      </c>
      <c r="I271" s="34" t="n">
        <v>0.01</v>
      </c>
      <c r="J271" s="34" t="n">
        <v>0.01</v>
      </c>
      <c r="K271" s="34" t="n">
        <v>0.02</v>
      </c>
      <c r="L271" s="34" t="n">
        <v>98.98</v>
      </c>
      <c r="M271" s="34" t="n">
        <v>98.98</v>
      </c>
      <c r="N271" s="34" t="n">
        <v>711</v>
      </c>
      <c r="O271" s="34" t="n">
        <v>0</v>
      </c>
      <c r="P271" s="34" t="s">
        <v>510</v>
      </c>
    </row>
    <row r="272" customFormat="false" ht="14.4" hidden="false" customHeight="false" outlineLevel="0" collapsed="false">
      <c r="A272" s="34" t="n">
        <v>271</v>
      </c>
      <c r="B272" s="35" t="n">
        <v>201278000399</v>
      </c>
      <c r="C272" s="34" t="s">
        <v>993</v>
      </c>
      <c r="D272" s="34" t="s">
        <v>994</v>
      </c>
      <c r="E272" s="34" t="s">
        <v>995</v>
      </c>
      <c r="F272" s="34" t="n">
        <v>16</v>
      </c>
      <c r="G272" s="34" t="n">
        <v>2</v>
      </c>
      <c r="H272" s="40" t="n">
        <v>983.5</v>
      </c>
      <c r="I272" s="34" t="n">
        <v>0.01</v>
      </c>
      <c r="J272" s="34" t="n">
        <v>0</v>
      </c>
      <c r="K272" s="34" t="n">
        <v>0.02</v>
      </c>
      <c r="L272" s="34" t="n">
        <v>99</v>
      </c>
      <c r="M272" s="34" t="n">
        <v>99</v>
      </c>
      <c r="N272" s="34" t="n">
        <v>716</v>
      </c>
      <c r="O272" s="34" t="n">
        <v>0</v>
      </c>
      <c r="P272" s="34" t="s">
        <v>501</v>
      </c>
    </row>
    <row r="273" customFormat="false" ht="14.4" hidden="false" customHeight="false" outlineLevel="0" collapsed="false">
      <c r="A273" s="34" t="n">
        <v>272</v>
      </c>
      <c r="B273" s="35" t="n">
        <v>52561421000195</v>
      </c>
      <c r="C273" s="34" t="s">
        <v>996</v>
      </c>
      <c r="D273" s="34" t="s">
        <v>103</v>
      </c>
      <c r="E273" s="34" t="s">
        <v>997</v>
      </c>
      <c r="F273" s="34" t="n">
        <v>43</v>
      </c>
      <c r="G273" s="34" t="n">
        <v>6</v>
      </c>
      <c r="H273" s="40" t="n">
        <v>981.58</v>
      </c>
      <c r="I273" s="34" t="n">
        <v>0.03</v>
      </c>
      <c r="J273" s="34" t="n">
        <v>0.02</v>
      </c>
      <c r="K273" s="34" t="n">
        <v>0.02</v>
      </c>
      <c r="L273" s="34" t="n">
        <v>99.02</v>
      </c>
      <c r="M273" s="34" t="n">
        <v>99.02</v>
      </c>
      <c r="N273" s="34" t="n">
        <v>715</v>
      </c>
      <c r="O273" s="34" t="n">
        <v>0</v>
      </c>
      <c r="P273" s="34" t="s">
        <v>501</v>
      </c>
    </row>
    <row r="274" customFormat="false" ht="14.4" hidden="false" customHeight="false" outlineLevel="0" collapsed="false">
      <c r="A274" s="34" t="n">
        <v>273</v>
      </c>
      <c r="B274" s="35" t="n">
        <v>3127306000100</v>
      </c>
      <c r="C274" s="34" t="s">
        <v>998</v>
      </c>
      <c r="D274" s="34" t="s">
        <v>77</v>
      </c>
      <c r="E274" s="34" t="s">
        <v>999</v>
      </c>
      <c r="F274" s="34" t="n">
        <v>29</v>
      </c>
      <c r="G274" s="34" t="n">
        <v>6</v>
      </c>
      <c r="H274" s="40" t="n">
        <v>976.69</v>
      </c>
      <c r="I274" s="34" t="n">
        <v>0.02</v>
      </c>
      <c r="J274" s="34" t="n">
        <v>0.02</v>
      </c>
      <c r="K274" s="34" t="n">
        <v>0.02</v>
      </c>
      <c r="L274" s="34" t="n">
        <v>99.04</v>
      </c>
      <c r="M274" s="34" t="n">
        <v>99.04</v>
      </c>
      <c r="N274" s="34" t="n">
        <v>757</v>
      </c>
      <c r="O274" s="34" t="n">
        <v>0</v>
      </c>
      <c r="P274" s="34" t="s">
        <v>776</v>
      </c>
    </row>
    <row r="275" customFormat="false" ht="14.4" hidden="false" customHeight="false" outlineLevel="0" collapsed="false">
      <c r="A275" s="34" t="n">
        <v>274</v>
      </c>
      <c r="B275" s="35" t="n">
        <v>60748058000140</v>
      </c>
      <c r="C275" s="34" t="s">
        <v>1000</v>
      </c>
      <c r="D275" s="34" t="s">
        <v>77</v>
      </c>
      <c r="E275" s="34" t="s">
        <v>1001</v>
      </c>
      <c r="F275" s="34" t="n">
        <v>31</v>
      </c>
      <c r="G275" s="34" t="n">
        <v>6</v>
      </c>
      <c r="H275" s="40" t="n">
        <v>975.18</v>
      </c>
      <c r="I275" s="34" t="n">
        <v>0.02</v>
      </c>
      <c r="J275" s="34" t="n">
        <v>0.02</v>
      </c>
      <c r="K275" s="34" t="n">
        <v>0.02</v>
      </c>
      <c r="L275" s="34" t="n">
        <v>99.06</v>
      </c>
      <c r="M275" s="34" t="n">
        <v>99.06</v>
      </c>
      <c r="N275" s="34" t="n">
        <v>757</v>
      </c>
      <c r="O275" s="34" t="n">
        <v>0</v>
      </c>
      <c r="P275" s="34" t="s">
        <v>501</v>
      </c>
    </row>
    <row r="276" customFormat="false" ht="14.4" hidden="false" customHeight="false" outlineLevel="0" collapsed="false">
      <c r="A276" s="34" t="n">
        <v>275</v>
      </c>
      <c r="B276" s="35" t="n">
        <v>17482268000100</v>
      </c>
      <c r="C276" s="34" t="s">
        <v>1002</v>
      </c>
      <c r="D276" s="34" t="s">
        <v>139</v>
      </c>
      <c r="E276" s="34" t="s">
        <v>1003</v>
      </c>
      <c r="F276" s="34" t="n">
        <v>21</v>
      </c>
      <c r="G276" s="34" t="n">
        <v>5</v>
      </c>
      <c r="H276" s="40" t="n">
        <v>964.75</v>
      </c>
      <c r="I276" s="34" t="n">
        <v>0.01</v>
      </c>
      <c r="J276" s="34" t="n">
        <v>0.01</v>
      </c>
      <c r="K276" s="34" t="n">
        <v>0.02</v>
      </c>
      <c r="L276" s="34" t="n">
        <v>99.08</v>
      </c>
      <c r="M276" s="34" t="n">
        <v>99.08</v>
      </c>
      <c r="N276" s="34" t="n">
        <v>214</v>
      </c>
      <c r="O276" s="34" t="n">
        <v>0</v>
      </c>
      <c r="P276" s="34" t="s">
        <v>510</v>
      </c>
    </row>
    <row r="277" customFormat="false" ht="14.4" hidden="false" customHeight="false" outlineLevel="0" collapsed="false">
      <c r="A277" s="34" t="n">
        <v>276</v>
      </c>
      <c r="B277" s="35" t="n">
        <v>28463656000160</v>
      </c>
      <c r="C277" s="34" t="s">
        <v>1004</v>
      </c>
      <c r="D277" s="34" t="s">
        <v>357</v>
      </c>
      <c r="E277" s="34" t="s">
        <v>1005</v>
      </c>
      <c r="F277" s="34" t="n">
        <v>33</v>
      </c>
      <c r="G277" s="34" t="n">
        <v>5</v>
      </c>
      <c r="H277" s="40" t="n">
        <v>959.33</v>
      </c>
      <c r="I277" s="34" t="n">
        <v>0.02</v>
      </c>
      <c r="J277" s="34" t="n">
        <v>0.02</v>
      </c>
      <c r="K277" s="34" t="n">
        <v>0.02</v>
      </c>
      <c r="L277" s="34" t="n">
        <v>99.1</v>
      </c>
      <c r="M277" s="34" t="n">
        <v>99.1</v>
      </c>
      <c r="N277" s="34" t="n">
        <v>708</v>
      </c>
      <c r="O277" s="34" t="n">
        <v>0</v>
      </c>
      <c r="P277" s="34" t="s">
        <v>501</v>
      </c>
    </row>
    <row r="278" customFormat="false" ht="14.4" hidden="false" customHeight="false" outlineLevel="0" collapsed="false">
      <c r="A278" s="34" t="n">
        <v>277</v>
      </c>
      <c r="B278" s="35" t="n">
        <v>56267491000196</v>
      </c>
      <c r="C278" s="34" t="s">
        <v>1006</v>
      </c>
      <c r="D278" s="34" t="s">
        <v>89</v>
      </c>
      <c r="E278" s="34" t="s">
        <v>1007</v>
      </c>
      <c r="F278" s="34" t="n">
        <v>20</v>
      </c>
      <c r="G278" s="34" t="n">
        <v>5</v>
      </c>
      <c r="H278" s="40" t="n">
        <v>952.34</v>
      </c>
      <c r="I278" s="34" t="n">
        <v>0.01</v>
      </c>
      <c r="J278" s="34" t="n">
        <v>0.02</v>
      </c>
      <c r="K278" s="34" t="n">
        <v>0.02</v>
      </c>
      <c r="L278" s="34" t="n">
        <v>99.13</v>
      </c>
      <c r="M278" s="34" t="n">
        <v>99.13</v>
      </c>
      <c r="N278" s="34" t="n">
        <v>711</v>
      </c>
      <c r="O278" s="34" t="n">
        <v>0</v>
      </c>
      <c r="P278" s="34" t="s">
        <v>510</v>
      </c>
    </row>
    <row r="279" customFormat="false" ht="14.4" hidden="false" customHeight="false" outlineLevel="0" collapsed="false">
      <c r="A279" s="34" t="n">
        <v>278</v>
      </c>
      <c r="B279" s="35" t="n">
        <v>28464587000109</v>
      </c>
      <c r="C279" s="34" t="s">
        <v>1008</v>
      </c>
      <c r="D279" s="34" t="s">
        <v>809</v>
      </c>
      <c r="E279" s="34" t="s">
        <v>1009</v>
      </c>
      <c r="F279" s="34" t="n">
        <v>25</v>
      </c>
      <c r="G279" s="34" t="n">
        <v>6</v>
      </c>
      <c r="H279" s="40" t="n">
        <v>944.56</v>
      </c>
      <c r="I279" s="34" t="n">
        <v>0.01</v>
      </c>
      <c r="J279" s="34" t="n">
        <v>0.02</v>
      </c>
      <c r="K279" s="34" t="n">
        <v>0.02</v>
      </c>
      <c r="L279" s="34" t="n">
        <v>99.15</v>
      </c>
      <c r="M279" s="34" t="n">
        <v>99.15</v>
      </c>
      <c r="N279" s="34" t="n">
        <v>705</v>
      </c>
      <c r="O279" s="34" t="n">
        <v>0</v>
      </c>
      <c r="P279" s="34" t="s">
        <v>518</v>
      </c>
    </row>
    <row r="280" customFormat="false" ht="14.4" hidden="false" customHeight="false" outlineLevel="0" collapsed="false">
      <c r="A280" s="34" t="n">
        <v>279</v>
      </c>
      <c r="B280" s="35" t="n">
        <v>20763673000291</v>
      </c>
      <c r="C280" s="34" t="s">
        <v>1010</v>
      </c>
      <c r="D280" s="34" t="s">
        <v>89</v>
      </c>
      <c r="E280" s="34" t="s">
        <v>1011</v>
      </c>
      <c r="F280" s="34" t="n">
        <v>29</v>
      </c>
      <c r="G280" s="34" t="n">
        <v>7</v>
      </c>
      <c r="H280" s="40" t="n">
        <v>943.13</v>
      </c>
      <c r="I280" s="34" t="n">
        <v>0.02</v>
      </c>
      <c r="J280" s="34" t="n">
        <v>0.02</v>
      </c>
      <c r="K280" s="34" t="n">
        <v>0.02</v>
      </c>
      <c r="L280" s="34" t="n">
        <v>99.17</v>
      </c>
      <c r="M280" s="34" t="n">
        <v>99.17</v>
      </c>
      <c r="N280" s="34" t="n">
        <v>711</v>
      </c>
      <c r="O280" s="34" t="n">
        <v>0</v>
      </c>
      <c r="P280" s="34" t="s">
        <v>504</v>
      </c>
    </row>
    <row r="281" customFormat="false" ht="14.4" hidden="false" customHeight="false" outlineLevel="0" collapsed="false">
      <c r="A281" s="34" t="n">
        <v>280</v>
      </c>
      <c r="B281" s="35" t="n">
        <v>9531413000681</v>
      </c>
      <c r="C281" s="34" t="s">
        <v>528</v>
      </c>
      <c r="D281" s="34" t="s">
        <v>77</v>
      </c>
      <c r="E281" s="34" t="s">
        <v>1012</v>
      </c>
      <c r="F281" s="34" t="n">
        <v>17</v>
      </c>
      <c r="G281" s="34" t="n">
        <v>2</v>
      </c>
      <c r="H281" s="40" t="n">
        <v>932.05</v>
      </c>
      <c r="I281" s="34" t="n">
        <v>0.01</v>
      </c>
      <c r="J281" s="34" t="n">
        <v>0</v>
      </c>
      <c r="K281" s="34" t="n">
        <v>0.02</v>
      </c>
      <c r="L281" s="34" t="n">
        <v>99.19</v>
      </c>
      <c r="M281" s="34" t="n">
        <v>99.19</v>
      </c>
      <c r="N281" s="34" t="n">
        <v>702</v>
      </c>
      <c r="O281" s="34" t="n">
        <v>0</v>
      </c>
      <c r="P281" s="34" t="s">
        <v>504</v>
      </c>
    </row>
    <row r="282" customFormat="false" ht="14.4" hidden="false" customHeight="false" outlineLevel="0" collapsed="false">
      <c r="A282" s="34" t="n">
        <v>281</v>
      </c>
      <c r="B282" s="35" t="n">
        <v>36520489000170</v>
      </c>
      <c r="C282" s="34" t="s">
        <v>1013</v>
      </c>
      <c r="D282" s="34" t="s">
        <v>89</v>
      </c>
      <c r="E282" s="34" t="s">
        <v>1014</v>
      </c>
      <c r="F282" s="34" t="n">
        <v>49</v>
      </c>
      <c r="G282" s="34" t="n">
        <v>11</v>
      </c>
      <c r="H282" s="40" t="n">
        <v>928.05</v>
      </c>
      <c r="I282" s="34" t="n">
        <v>0.03</v>
      </c>
      <c r="J282" s="34" t="n">
        <v>0.04</v>
      </c>
      <c r="K282" s="34" t="n">
        <v>0.02</v>
      </c>
      <c r="L282" s="34" t="n">
        <v>99.21</v>
      </c>
      <c r="M282" s="34" t="n">
        <v>99.21</v>
      </c>
      <c r="N282" s="34" t="n">
        <v>711</v>
      </c>
      <c r="O282" s="34" t="n">
        <v>0</v>
      </c>
      <c r="P282" s="34" t="s">
        <v>510</v>
      </c>
    </row>
    <row r="283" customFormat="false" ht="14.4" hidden="false" customHeight="false" outlineLevel="0" collapsed="false">
      <c r="A283" s="34" t="n">
        <v>282</v>
      </c>
      <c r="B283" s="35" t="n">
        <v>11498820000171</v>
      </c>
      <c r="C283" s="34" t="s">
        <v>1015</v>
      </c>
      <c r="D283" s="34" t="s">
        <v>473</v>
      </c>
      <c r="E283" s="34" t="s">
        <v>1016</v>
      </c>
      <c r="F283" s="34" t="n">
        <v>14</v>
      </c>
      <c r="G283" s="34" t="n">
        <v>4</v>
      </c>
      <c r="H283" s="40" t="n">
        <v>916.45</v>
      </c>
      <c r="I283" s="34" t="n">
        <v>0.01</v>
      </c>
      <c r="J283" s="34" t="n">
        <v>0.01</v>
      </c>
      <c r="K283" s="34" t="n">
        <v>0.01</v>
      </c>
      <c r="L283" s="34" t="n">
        <v>99.23</v>
      </c>
      <c r="M283" s="34" t="n">
        <v>99.23</v>
      </c>
      <c r="N283" s="34" t="n">
        <v>718</v>
      </c>
      <c r="O283" s="34" t="n">
        <v>0</v>
      </c>
      <c r="P283" s="34" t="s">
        <v>496</v>
      </c>
    </row>
    <row r="284" customFormat="false" ht="14.4" hidden="false" customHeight="false" outlineLevel="0" collapsed="false">
      <c r="A284" s="34" t="n">
        <v>283</v>
      </c>
      <c r="B284" s="35" t="n">
        <v>1087634000358</v>
      </c>
      <c r="C284" s="34" t="s">
        <v>1017</v>
      </c>
      <c r="D284" s="34" t="s">
        <v>737</v>
      </c>
      <c r="E284" s="34" t="s">
        <v>1018</v>
      </c>
      <c r="F284" s="34" t="n">
        <v>27</v>
      </c>
      <c r="G284" s="34" t="n">
        <v>4</v>
      </c>
      <c r="H284" s="40" t="n">
        <v>916.17</v>
      </c>
      <c r="I284" s="34" t="n">
        <v>0.01</v>
      </c>
      <c r="J284" s="34" t="n">
        <v>0.01</v>
      </c>
      <c r="K284" s="34" t="n">
        <v>0.01</v>
      </c>
      <c r="L284" s="34" t="n">
        <v>99.25</v>
      </c>
      <c r="M284" s="34" t="n">
        <v>99.25</v>
      </c>
      <c r="N284" s="34" t="n">
        <v>716</v>
      </c>
      <c r="O284" s="34" t="n">
        <v>0</v>
      </c>
      <c r="P284" s="34" t="s">
        <v>496</v>
      </c>
    </row>
    <row r="285" customFormat="false" ht="14.4" hidden="false" customHeight="false" outlineLevel="0" collapsed="false">
      <c r="A285" s="34" t="n">
        <v>284</v>
      </c>
      <c r="B285" s="35" t="n">
        <v>38612363000150</v>
      </c>
      <c r="C285" s="34" t="s">
        <v>1019</v>
      </c>
      <c r="D285" s="34" t="s">
        <v>309</v>
      </c>
      <c r="E285" s="34" t="s">
        <v>1020</v>
      </c>
      <c r="F285" s="34" t="n">
        <v>17</v>
      </c>
      <c r="G285" s="34" t="n">
        <v>4</v>
      </c>
      <c r="H285" s="40" t="n">
        <v>915.43</v>
      </c>
      <c r="I285" s="34" t="n">
        <v>0.01</v>
      </c>
      <c r="J285" s="34" t="n">
        <v>0.01</v>
      </c>
      <c r="K285" s="34" t="n">
        <v>0.01</v>
      </c>
      <c r="L285" s="34" t="n">
        <v>99.27</v>
      </c>
      <c r="M285" s="34" t="n">
        <v>99.27</v>
      </c>
      <c r="N285" s="34" t="n">
        <v>704</v>
      </c>
      <c r="O285" s="34" t="n">
        <v>0</v>
      </c>
      <c r="P285" s="34" t="s">
        <v>518</v>
      </c>
    </row>
    <row r="286" customFormat="false" ht="14.4" hidden="false" customHeight="false" outlineLevel="0" collapsed="false">
      <c r="A286" s="34" t="n">
        <v>285</v>
      </c>
      <c r="B286" s="35" t="n">
        <v>7665924000156</v>
      </c>
      <c r="C286" s="34" t="s">
        <v>1021</v>
      </c>
      <c r="D286" s="34" t="s">
        <v>139</v>
      </c>
      <c r="E286" s="34" t="s">
        <v>527</v>
      </c>
      <c r="F286" s="34" t="n">
        <v>47</v>
      </c>
      <c r="G286" s="34" t="n">
        <v>8</v>
      </c>
      <c r="H286" s="40" t="n">
        <v>890.31</v>
      </c>
      <c r="I286" s="34" t="n">
        <v>0.03</v>
      </c>
      <c r="J286" s="34" t="n">
        <v>0.03</v>
      </c>
      <c r="K286" s="34" t="n">
        <v>0.01</v>
      </c>
      <c r="L286" s="34" t="n">
        <v>99.29</v>
      </c>
      <c r="M286" s="34" t="n">
        <v>99.29</v>
      </c>
      <c r="N286" s="34" t="n">
        <v>714</v>
      </c>
      <c r="O286" s="34" t="n">
        <v>0</v>
      </c>
      <c r="P286" s="34" t="s">
        <v>501</v>
      </c>
    </row>
    <row r="287" customFormat="false" ht="14.4" hidden="false" customHeight="false" outlineLevel="0" collapsed="false">
      <c r="A287" s="34" t="n">
        <v>286</v>
      </c>
      <c r="B287" s="35" t="n">
        <v>40343479000183</v>
      </c>
      <c r="C287" s="34" t="s">
        <v>1022</v>
      </c>
      <c r="D287" s="34" t="s">
        <v>77</v>
      </c>
      <c r="E287" s="34" t="s">
        <v>1023</v>
      </c>
      <c r="F287" s="34" t="n">
        <v>31</v>
      </c>
      <c r="G287" s="34" t="n">
        <v>5</v>
      </c>
      <c r="H287" s="40" t="n">
        <v>868.83</v>
      </c>
      <c r="I287" s="34" t="n">
        <v>0.02</v>
      </c>
      <c r="J287" s="34" t="n">
        <v>0.02</v>
      </c>
      <c r="K287" s="34" t="n">
        <v>0.01</v>
      </c>
      <c r="L287" s="34" t="n">
        <v>99.31</v>
      </c>
      <c r="M287" s="34" t="n">
        <v>99.31</v>
      </c>
      <c r="N287" s="34" t="n">
        <v>757</v>
      </c>
      <c r="O287" s="34" t="n">
        <v>0</v>
      </c>
      <c r="P287" s="34" t="s">
        <v>501</v>
      </c>
    </row>
    <row r="288" customFormat="false" ht="14.4" hidden="false" customHeight="false" outlineLevel="0" collapsed="false">
      <c r="A288" s="34" t="n">
        <v>287</v>
      </c>
      <c r="B288" s="35" t="n">
        <v>29654000000197</v>
      </c>
      <c r="C288" s="34" t="s">
        <v>1024</v>
      </c>
      <c r="D288" s="34" t="s">
        <v>89</v>
      </c>
      <c r="E288" s="34" t="s">
        <v>1025</v>
      </c>
      <c r="F288" s="34" t="n">
        <v>22</v>
      </c>
      <c r="G288" s="34" t="n">
        <v>4</v>
      </c>
      <c r="H288" s="40" t="n">
        <v>854.07</v>
      </c>
      <c r="I288" s="34" t="n">
        <v>0.01</v>
      </c>
      <c r="J288" s="34" t="n">
        <v>0.01</v>
      </c>
      <c r="K288" s="34" t="n">
        <v>0.01</v>
      </c>
      <c r="L288" s="34" t="n">
        <v>99.32</v>
      </c>
      <c r="M288" s="34" t="n">
        <v>99.32</v>
      </c>
      <c r="N288" s="34" t="n">
        <v>711</v>
      </c>
      <c r="O288" s="34" t="n">
        <v>0</v>
      </c>
      <c r="P288" s="34" t="s">
        <v>510</v>
      </c>
    </row>
    <row r="289" customFormat="false" ht="14.4" hidden="false" customHeight="false" outlineLevel="0" collapsed="false">
      <c r="A289" s="34" t="n">
        <v>288</v>
      </c>
      <c r="B289" s="35" t="n">
        <v>35585570000175</v>
      </c>
      <c r="C289" s="34" t="s">
        <v>1026</v>
      </c>
      <c r="D289" s="34" t="s">
        <v>103</v>
      </c>
      <c r="E289" s="34" t="s">
        <v>1027</v>
      </c>
      <c r="F289" s="34" t="n">
        <v>5</v>
      </c>
      <c r="G289" s="34" t="n">
        <v>6</v>
      </c>
      <c r="H289" s="40" t="n">
        <v>822</v>
      </c>
      <c r="I289" s="34" t="n">
        <v>0</v>
      </c>
      <c r="J289" s="34" t="n">
        <v>0.02</v>
      </c>
      <c r="K289" s="34" t="n">
        <v>0.01</v>
      </c>
      <c r="L289" s="34" t="n">
        <v>99.34</v>
      </c>
      <c r="M289" s="34" t="n">
        <v>99.34</v>
      </c>
      <c r="N289" s="34" t="n">
        <v>800</v>
      </c>
      <c r="O289" s="34" t="n">
        <v>0</v>
      </c>
      <c r="P289" s="34" t="s">
        <v>518</v>
      </c>
    </row>
    <row r="290" customFormat="false" ht="14.4" hidden="false" customHeight="false" outlineLevel="0" collapsed="false">
      <c r="A290" s="34" t="n">
        <v>289</v>
      </c>
      <c r="B290" s="35" t="n">
        <v>2139661000128</v>
      </c>
      <c r="C290" s="34" t="s">
        <v>1028</v>
      </c>
      <c r="D290" s="34" t="s">
        <v>1029</v>
      </c>
      <c r="E290" s="34" t="s">
        <v>1030</v>
      </c>
      <c r="F290" s="34" t="n">
        <v>29</v>
      </c>
      <c r="G290" s="34" t="n">
        <v>4</v>
      </c>
      <c r="H290" s="40" t="n">
        <v>813.99</v>
      </c>
      <c r="I290" s="34" t="n">
        <v>0.02</v>
      </c>
      <c r="J290" s="34" t="n">
        <v>0.01</v>
      </c>
      <c r="K290" s="34" t="n">
        <v>0.01</v>
      </c>
      <c r="L290" s="34" t="n">
        <v>99.36</v>
      </c>
      <c r="M290" s="34" t="n">
        <v>99.36</v>
      </c>
      <c r="N290" s="34" t="n">
        <v>704</v>
      </c>
      <c r="O290" s="34" t="n">
        <v>0</v>
      </c>
      <c r="P290" s="34" t="s">
        <v>501</v>
      </c>
    </row>
    <row r="291" customFormat="false" ht="14.4" hidden="false" customHeight="false" outlineLevel="0" collapsed="false">
      <c r="A291" s="34" t="n">
        <v>290</v>
      </c>
      <c r="B291" s="35" t="n">
        <v>8476603000176</v>
      </c>
      <c r="C291" s="34" t="s">
        <v>1031</v>
      </c>
      <c r="D291" s="34" t="s">
        <v>89</v>
      </c>
      <c r="E291" s="34" t="s">
        <v>1032</v>
      </c>
      <c r="F291" s="34" t="n">
        <v>13</v>
      </c>
      <c r="G291" s="34" t="n">
        <v>4</v>
      </c>
      <c r="H291" s="40" t="n">
        <v>811.09</v>
      </c>
      <c r="I291" s="34" t="n">
        <v>0</v>
      </c>
      <c r="J291" s="34" t="n">
        <v>0.01</v>
      </c>
      <c r="K291" s="34" t="n">
        <v>0.01</v>
      </c>
      <c r="L291" s="34" t="n">
        <v>99.38</v>
      </c>
      <c r="M291" s="34" t="n">
        <v>99.38</v>
      </c>
      <c r="N291" s="34" t="n">
        <v>711</v>
      </c>
      <c r="O291" s="34" t="n">
        <v>0</v>
      </c>
      <c r="P291" s="34" t="s">
        <v>844</v>
      </c>
    </row>
    <row r="292" customFormat="false" ht="14.4" hidden="false" customHeight="false" outlineLevel="0" collapsed="false">
      <c r="A292" s="34" t="n">
        <v>291</v>
      </c>
      <c r="B292" s="35" t="n">
        <v>33692738000116</v>
      </c>
      <c r="C292" s="34" t="s">
        <v>1033</v>
      </c>
      <c r="D292" s="34" t="s">
        <v>546</v>
      </c>
      <c r="E292" s="34" t="s">
        <v>890</v>
      </c>
      <c r="F292" s="34" t="n">
        <v>19</v>
      </c>
      <c r="G292" s="34" t="n">
        <v>4</v>
      </c>
      <c r="H292" s="40" t="n">
        <v>807.54</v>
      </c>
      <c r="I292" s="34" t="n">
        <v>0.01</v>
      </c>
      <c r="J292" s="34" t="n">
        <v>0.01</v>
      </c>
      <c r="K292" s="34" t="n">
        <v>0.01</v>
      </c>
      <c r="L292" s="34" t="n">
        <v>99.39</v>
      </c>
      <c r="M292" s="34" t="n">
        <v>99.39</v>
      </c>
      <c r="N292" s="34" t="n">
        <v>718</v>
      </c>
      <c r="O292" s="34" t="n">
        <v>0</v>
      </c>
      <c r="P292" s="34" t="s">
        <v>518</v>
      </c>
    </row>
    <row r="293" customFormat="false" ht="14.4" hidden="false" customHeight="false" outlineLevel="0" collapsed="false">
      <c r="A293" s="34" t="n">
        <v>292</v>
      </c>
      <c r="B293" s="35" t="n">
        <v>59875399000105</v>
      </c>
      <c r="C293" s="34" t="s">
        <v>1034</v>
      </c>
      <c r="D293" s="34" t="s">
        <v>77</v>
      </c>
      <c r="E293" s="34" t="s">
        <v>1035</v>
      </c>
      <c r="F293" s="34" t="n">
        <v>30</v>
      </c>
      <c r="G293" s="34" t="n">
        <v>5</v>
      </c>
      <c r="H293" s="40" t="n">
        <v>805.01</v>
      </c>
      <c r="I293" s="34" t="n">
        <v>0.02</v>
      </c>
      <c r="J293" s="34" t="n">
        <v>0.01</v>
      </c>
      <c r="K293" s="34" t="n">
        <v>0.01</v>
      </c>
      <c r="L293" s="34" t="n">
        <v>99.41</v>
      </c>
      <c r="M293" s="34" t="n">
        <v>99.41</v>
      </c>
      <c r="N293" s="34" t="n">
        <v>759</v>
      </c>
      <c r="O293" s="34" t="n">
        <v>0</v>
      </c>
      <c r="P293" s="34" t="s">
        <v>501</v>
      </c>
    </row>
    <row r="294" customFormat="false" ht="14.4" hidden="false" customHeight="false" outlineLevel="0" collapsed="false">
      <c r="A294" s="34" t="n">
        <v>293</v>
      </c>
      <c r="B294" s="35" t="n">
        <v>36664345000197</v>
      </c>
      <c r="C294" s="34" t="s">
        <v>1036</v>
      </c>
      <c r="D294" s="34" t="s">
        <v>77</v>
      </c>
      <c r="E294" s="34" t="s">
        <v>1037</v>
      </c>
      <c r="F294" s="34" t="n">
        <v>29</v>
      </c>
      <c r="G294" s="34" t="n">
        <v>2</v>
      </c>
      <c r="H294" s="40" t="n">
        <v>787.75</v>
      </c>
      <c r="I294" s="34" t="n">
        <v>0.02</v>
      </c>
      <c r="J294" s="34" t="n">
        <v>0</v>
      </c>
      <c r="K294" s="34" t="n">
        <v>0.01</v>
      </c>
      <c r="L294" s="34" t="n">
        <v>99.43</v>
      </c>
      <c r="M294" s="34" t="n">
        <v>99.43</v>
      </c>
      <c r="N294" s="34" t="n">
        <v>757</v>
      </c>
      <c r="O294" s="34" t="n">
        <v>0</v>
      </c>
      <c r="P294" s="34" t="s">
        <v>1038</v>
      </c>
    </row>
    <row r="295" customFormat="false" ht="14.4" hidden="false" customHeight="false" outlineLevel="0" collapsed="false">
      <c r="A295" s="34" t="n">
        <v>294</v>
      </c>
      <c r="B295" s="35" t="n">
        <v>14664696000165</v>
      </c>
      <c r="C295" s="34" t="s">
        <v>1039</v>
      </c>
      <c r="D295" s="34" t="s">
        <v>309</v>
      </c>
      <c r="E295" s="34" t="s">
        <v>1040</v>
      </c>
      <c r="F295" s="34" t="n">
        <v>39</v>
      </c>
      <c r="G295" s="34" t="n">
        <v>5</v>
      </c>
      <c r="H295" s="40" t="n">
        <v>773.84</v>
      </c>
      <c r="I295" s="34" t="n">
        <v>0.02</v>
      </c>
      <c r="J295" s="34" t="n">
        <v>0.02</v>
      </c>
      <c r="K295" s="34" t="n">
        <v>0.01</v>
      </c>
      <c r="L295" s="34" t="n">
        <v>99.45</v>
      </c>
      <c r="M295" s="34" t="n">
        <v>99.45</v>
      </c>
      <c r="N295" s="34" t="n">
        <v>704</v>
      </c>
      <c r="O295" s="34" t="n">
        <v>0</v>
      </c>
      <c r="P295" s="34" t="s">
        <v>510</v>
      </c>
    </row>
    <row r="296" customFormat="false" ht="14.4" hidden="false" customHeight="false" outlineLevel="0" collapsed="false">
      <c r="A296" s="34" t="n">
        <v>295</v>
      </c>
      <c r="B296" s="35" t="n">
        <v>38450616000137</v>
      </c>
      <c r="C296" s="34" t="s">
        <v>1041</v>
      </c>
      <c r="D296" s="34" t="s">
        <v>77</v>
      </c>
      <c r="E296" s="34" t="s">
        <v>1042</v>
      </c>
      <c r="F296" s="34" t="n">
        <v>19</v>
      </c>
      <c r="G296" s="34" t="n">
        <v>3</v>
      </c>
      <c r="H296" s="40" t="n">
        <v>761.74</v>
      </c>
      <c r="I296" s="34" t="n">
        <v>0.01</v>
      </c>
      <c r="J296" s="34" t="n">
        <v>0.01</v>
      </c>
      <c r="K296" s="34" t="n">
        <v>0.01</v>
      </c>
      <c r="L296" s="34" t="n">
        <v>99.46</v>
      </c>
      <c r="M296" s="34" t="n">
        <v>99.46</v>
      </c>
      <c r="N296" s="34" t="n">
        <v>800</v>
      </c>
      <c r="O296" s="34" t="n">
        <v>0</v>
      </c>
      <c r="P296" s="34" t="s">
        <v>510</v>
      </c>
    </row>
    <row r="297" customFormat="false" ht="14.4" hidden="false" customHeight="false" outlineLevel="0" collapsed="false">
      <c r="A297" s="34" t="n">
        <v>296</v>
      </c>
      <c r="B297" s="35" t="n">
        <v>30995055000140</v>
      </c>
      <c r="C297" s="34" t="s">
        <v>1043</v>
      </c>
      <c r="D297" s="34" t="s">
        <v>764</v>
      </c>
      <c r="E297" s="34" t="s">
        <v>1044</v>
      </c>
      <c r="F297" s="34" t="n">
        <v>56</v>
      </c>
      <c r="G297" s="34" t="n">
        <v>7</v>
      </c>
      <c r="H297" s="40" t="n">
        <v>761.23</v>
      </c>
      <c r="I297" s="34" t="n">
        <v>0.04</v>
      </c>
      <c r="J297" s="34" t="n">
        <v>0.03</v>
      </c>
      <c r="K297" s="34" t="n">
        <v>0.01</v>
      </c>
      <c r="L297" s="34" t="n">
        <v>99.48</v>
      </c>
      <c r="M297" s="34" t="n">
        <v>99.48</v>
      </c>
      <c r="N297" s="34" t="n">
        <v>718</v>
      </c>
      <c r="O297" s="34" t="n">
        <v>0</v>
      </c>
      <c r="P297" s="34" t="s">
        <v>501</v>
      </c>
    </row>
    <row r="298" customFormat="false" ht="14.4" hidden="false" customHeight="false" outlineLevel="0" collapsed="false">
      <c r="A298" s="34" t="n">
        <v>297</v>
      </c>
      <c r="B298" s="35" t="n">
        <v>59844699000119</v>
      </c>
      <c r="C298" s="34" t="s">
        <v>1045</v>
      </c>
      <c r="D298" s="34" t="s">
        <v>357</v>
      </c>
      <c r="E298" s="34" t="s">
        <v>1046</v>
      </c>
      <c r="F298" s="34" t="n">
        <v>17</v>
      </c>
      <c r="G298" s="34" t="n">
        <v>3</v>
      </c>
      <c r="H298" s="40" t="n">
        <v>760.76</v>
      </c>
      <c r="I298" s="34" t="n">
        <v>0.01</v>
      </c>
      <c r="J298" s="34" t="n">
        <v>0.01</v>
      </c>
      <c r="K298" s="34" t="n">
        <v>0.01</v>
      </c>
      <c r="L298" s="34" t="n">
        <v>99.5</v>
      </c>
      <c r="M298" s="34" t="n">
        <v>99.5</v>
      </c>
      <c r="N298" s="34" t="n">
        <v>708</v>
      </c>
      <c r="O298" s="34" t="n">
        <v>0</v>
      </c>
      <c r="P298" s="34" t="s">
        <v>501</v>
      </c>
    </row>
    <row r="299" customFormat="false" ht="14.4" hidden="false" customHeight="false" outlineLevel="0" collapsed="false">
      <c r="A299" s="34" t="n">
        <v>298</v>
      </c>
      <c r="B299" s="35" t="n">
        <v>4738857000407</v>
      </c>
      <c r="C299" s="34" t="s">
        <v>839</v>
      </c>
      <c r="D299" s="34" t="s">
        <v>77</v>
      </c>
      <c r="E299" s="34" t="s">
        <v>1047</v>
      </c>
      <c r="F299" s="34" t="n">
        <v>23</v>
      </c>
      <c r="G299" s="34" t="n">
        <v>4</v>
      </c>
      <c r="H299" s="40" t="n">
        <v>749.62</v>
      </c>
      <c r="I299" s="34" t="n">
        <v>0.01</v>
      </c>
      <c r="J299" s="34" t="n">
        <v>0.01</v>
      </c>
      <c r="K299" s="34" t="n">
        <v>0.01</v>
      </c>
      <c r="L299" s="34" t="n">
        <v>99.51</v>
      </c>
      <c r="M299" s="34" t="n">
        <v>99.51</v>
      </c>
      <c r="N299" s="34" t="n">
        <v>702</v>
      </c>
      <c r="O299" s="34" t="n">
        <v>0</v>
      </c>
      <c r="P299" s="34" t="s">
        <v>504</v>
      </c>
    </row>
    <row r="300" customFormat="false" ht="14.4" hidden="false" customHeight="false" outlineLevel="0" collapsed="false">
      <c r="A300" s="34" t="n">
        <v>299</v>
      </c>
      <c r="B300" s="35" t="n">
        <v>18624735000151</v>
      </c>
      <c r="C300" s="34" t="s">
        <v>1048</v>
      </c>
      <c r="D300" s="34" t="s">
        <v>89</v>
      </c>
      <c r="E300" s="34" t="s">
        <v>1049</v>
      </c>
      <c r="F300" s="34" t="n">
        <v>30</v>
      </c>
      <c r="G300" s="34" t="n">
        <v>6</v>
      </c>
      <c r="H300" s="40" t="n">
        <v>746.36</v>
      </c>
      <c r="I300" s="34" t="n">
        <v>0.02</v>
      </c>
      <c r="J300" s="34" t="n">
        <v>0.02</v>
      </c>
      <c r="K300" s="34" t="n">
        <v>0.01</v>
      </c>
      <c r="L300" s="34" t="n">
        <v>99.53</v>
      </c>
      <c r="M300" s="34" t="n">
        <v>99.53</v>
      </c>
      <c r="N300" s="34" t="n">
        <v>711</v>
      </c>
      <c r="O300" s="34" t="n">
        <v>0</v>
      </c>
      <c r="P300" s="34" t="s">
        <v>510</v>
      </c>
    </row>
    <row r="301" customFormat="false" ht="14.4" hidden="false" customHeight="false" outlineLevel="0" collapsed="false">
      <c r="A301" s="34" t="n">
        <v>300</v>
      </c>
      <c r="B301" s="35" t="n">
        <v>6789272000107</v>
      </c>
      <c r="C301" s="34" t="s">
        <v>1050</v>
      </c>
      <c r="D301" s="34" t="s">
        <v>77</v>
      </c>
      <c r="E301" s="34" t="s">
        <v>1051</v>
      </c>
      <c r="F301" s="34" t="n">
        <v>21</v>
      </c>
      <c r="G301" s="34" t="n">
        <v>5</v>
      </c>
      <c r="H301" s="40" t="n">
        <v>742.51</v>
      </c>
      <c r="I301" s="34" t="n">
        <v>0.01</v>
      </c>
      <c r="J301" s="34" t="n">
        <v>0.02</v>
      </c>
      <c r="K301" s="34" t="n">
        <v>0.01</v>
      </c>
      <c r="L301" s="34" t="n">
        <v>99.54</v>
      </c>
      <c r="M301" s="34" t="n">
        <v>99.54</v>
      </c>
      <c r="N301" s="34" t="n">
        <v>800</v>
      </c>
      <c r="O301" s="34" t="n">
        <v>0</v>
      </c>
      <c r="P301" s="34" t="s">
        <v>501</v>
      </c>
    </row>
    <row r="302" customFormat="false" ht="14.4" hidden="false" customHeight="false" outlineLevel="0" collapsed="false">
      <c r="A302" s="34" t="n">
        <v>301</v>
      </c>
      <c r="B302" s="35" t="n">
        <v>5901906000109</v>
      </c>
      <c r="C302" s="34" t="s">
        <v>1052</v>
      </c>
      <c r="D302" s="34" t="s">
        <v>962</v>
      </c>
      <c r="E302" s="34" t="s">
        <v>526</v>
      </c>
      <c r="F302" s="34" t="n">
        <v>20</v>
      </c>
      <c r="G302" s="34" t="n">
        <v>4</v>
      </c>
      <c r="H302" s="40" t="n">
        <v>739.02</v>
      </c>
      <c r="I302" s="34" t="n">
        <v>0.01</v>
      </c>
      <c r="J302" s="34" t="n">
        <v>0.01</v>
      </c>
      <c r="K302" s="34" t="n">
        <v>0.01</v>
      </c>
      <c r="L302" s="34" t="n">
        <v>99.56</v>
      </c>
      <c r="M302" s="34" t="n">
        <v>99.56</v>
      </c>
      <c r="N302" s="34" t="n">
        <v>707</v>
      </c>
      <c r="O302" s="34" t="n">
        <v>0</v>
      </c>
      <c r="P302" s="34" t="s">
        <v>510</v>
      </c>
    </row>
    <row r="303" customFormat="false" ht="14.4" hidden="false" customHeight="false" outlineLevel="0" collapsed="false">
      <c r="A303" s="34" t="n">
        <v>302</v>
      </c>
      <c r="B303" s="35" t="n">
        <v>18287922000197</v>
      </c>
      <c r="C303" s="34" t="s">
        <v>1053</v>
      </c>
      <c r="D303" s="34" t="s">
        <v>1054</v>
      </c>
      <c r="E303" s="34" t="s">
        <v>681</v>
      </c>
      <c r="F303" s="34" t="n">
        <v>17</v>
      </c>
      <c r="G303" s="34" t="n">
        <v>4</v>
      </c>
      <c r="H303" s="40" t="n">
        <v>730.51</v>
      </c>
      <c r="I303" s="34" t="n">
        <v>0.01</v>
      </c>
      <c r="J303" s="34" t="n">
        <v>0.01</v>
      </c>
      <c r="K303" s="34" t="n">
        <v>0.01</v>
      </c>
      <c r="L303" s="34" t="n">
        <v>99.58</v>
      </c>
      <c r="M303" s="34" t="n">
        <v>99.58</v>
      </c>
      <c r="N303" s="34" t="n">
        <v>757</v>
      </c>
      <c r="O303" s="34" t="n">
        <v>0</v>
      </c>
      <c r="P303" s="34" t="s">
        <v>510</v>
      </c>
    </row>
    <row r="304" customFormat="false" ht="14.4" hidden="false" customHeight="false" outlineLevel="0" collapsed="false">
      <c r="A304" s="34" t="n">
        <v>303</v>
      </c>
      <c r="B304" s="35" t="n">
        <v>6914827000197</v>
      </c>
      <c r="C304" s="34" t="s">
        <v>1055</v>
      </c>
      <c r="D304" s="34" t="s">
        <v>77</v>
      </c>
      <c r="E304" s="34" t="s">
        <v>1056</v>
      </c>
      <c r="F304" s="34" t="n">
        <v>30</v>
      </c>
      <c r="G304" s="34" t="n">
        <v>4</v>
      </c>
      <c r="H304" s="40" t="n">
        <v>723.58</v>
      </c>
      <c r="I304" s="34" t="n">
        <v>0.02</v>
      </c>
      <c r="J304" s="34" t="n">
        <v>0.01</v>
      </c>
      <c r="K304" s="34" t="n">
        <v>0.01</v>
      </c>
      <c r="L304" s="34" t="n">
        <v>99.59</v>
      </c>
      <c r="M304" s="34" t="n">
        <v>99.59</v>
      </c>
      <c r="N304" s="34" t="n">
        <v>759</v>
      </c>
      <c r="O304" s="34" t="n">
        <v>0</v>
      </c>
      <c r="P304" s="34" t="s">
        <v>510</v>
      </c>
    </row>
    <row r="305" customFormat="false" ht="14.4" hidden="false" customHeight="false" outlineLevel="0" collapsed="false">
      <c r="A305" s="34" t="n">
        <v>304</v>
      </c>
      <c r="B305" s="35" t="n">
        <v>1954248000154</v>
      </c>
      <c r="C305" s="34" t="s">
        <v>1057</v>
      </c>
      <c r="D305" s="34" t="s">
        <v>77</v>
      </c>
      <c r="E305" s="34" t="s">
        <v>1058</v>
      </c>
      <c r="F305" s="34" t="n">
        <v>17</v>
      </c>
      <c r="G305" s="34" t="n">
        <v>4</v>
      </c>
      <c r="H305" s="40" t="n">
        <v>715.67</v>
      </c>
      <c r="I305" s="34" t="n">
        <v>0.01</v>
      </c>
      <c r="J305" s="34" t="n">
        <v>0.01</v>
      </c>
      <c r="K305" s="34" t="n">
        <v>0.01</v>
      </c>
      <c r="L305" s="34" t="n">
        <v>99.61</v>
      </c>
      <c r="M305" s="34" t="n">
        <v>99.61</v>
      </c>
      <c r="N305" s="34" t="n">
        <v>757</v>
      </c>
      <c r="O305" s="34" t="n">
        <v>0</v>
      </c>
      <c r="P305" s="34" t="s">
        <v>510</v>
      </c>
    </row>
    <row r="306" customFormat="false" ht="14.4" hidden="false" customHeight="false" outlineLevel="0" collapsed="false">
      <c r="A306" s="34" t="n">
        <v>305</v>
      </c>
      <c r="B306" s="35" t="n">
        <v>15000097000533</v>
      </c>
      <c r="C306" s="34" t="s">
        <v>1059</v>
      </c>
      <c r="D306" s="34" t="s">
        <v>631</v>
      </c>
      <c r="E306" s="34" t="s">
        <v>1060</v>
      </c>
      <c r="F306" s="34" t="n">
        <v>44</v>
      </c>
      <c r="G306" s="34" t="n">
        <v>6</v>
      </c>
      <c r="H306" s="40" t="n">
        <v>707.33</v>
      </c>
      <c r="I306" s="34" t="n">
        <v>0.03</v>
      </c>
      <c r="J306" s="34" t="n">
        <v>0.02</v>
      </c>
      <c r="K306" s="34" t="n">
        <v>0.01</v>
      </c>
      <c r="L306" s="34" t="n">
        <v>99.62</v>
      </c>
      <c r="M306" s="34" t="n">
        <v>99.62</v>
      </c>
      <c r="N306" s="34" t="n">
        <v>706</v>
      </c>
      <c r="O306" s="34" t="n">
        <v>0</v>
      </c>
      <c r="P306" s="34" t="s">
        <v>501</v>
      </c>
    </row>
    <row r="307" customFormat="false" ht="14.4" hidden="false" customHeight="false" outlineLevel="0" collapsed="false">
      <c r="A307" s="34" t="n">
        <v>306</v>
      </c>
      <c r="B307" s="35" t="n">
        <v>40343479000264</v>
      </c>
      <c r="C307" s="34" t="s">
        <v>1061</v>
      </c>
      <c r="D307" s="34" t="s">
        <v>77</v>
      </c>
      <c r="E307" s="34" t="s">
        <v>1062</v>
      </c>
      <c r="F307" s="34" t="n">
        <v>23</v>
      </c>
      <c r="G307" s="34" t="n">
        <v>4</v>
      </c>
      <c r="H307" s="40" t="n">
        <v>699.76</v>
      </c>
      <c r="I307" s="34" t="n">
        <v>0.01</v>
      </c>
      <c r="J307" s="34" t="n">
        <v>0.01</v>
      </c>
      <c r="K307" s="34" t="n">
        <v>0.01</v>
      </c>
      <c r="L307" s="34" t="n">
        <v>99.64</v>
      </c>
      <c r="M307" s="34" t="n">
        <v>99.64</v>
      </c>
      <c r="N307" s="34" t="n">
        <v>757</v>
      </c>
      <c r="O307" s="34" t="n">
        <v>0</v>
      </c>
      <c r="P307" s="34" t="s">
        <v>501</v>
      </c>
    </row>
    <row r="308" customFormat="false" ht="14.4" hidden="false" customHeight="false" outlineLevel="0" collapsed="false">
      <c r="A308" s="34" t="n">
        <v>307</v>
      </c>
      <c r="B308" s="35" t="n">
        <v>3675544000141</v>
      </c>
      <c r="C308" s="34" t="s">
        <v>1063</v>
      </c>
      <c r="D308" s="34" t="s">
        <v>77</v>
      </c>
      <c r="E308" s="34" t="s">
        <v>1064</v>
      </c>
      <c r="F308" s="34" t="n">
        <v>11</v>
      </c>
      <c r="G308" s="34" t="n">
        <v>4</v>
      </c>
      <c r="H308" s="40" t="n">
        <v>687.06</v>
      </c>
      <c r="I308" s="34" t="n">
        <v>0</v>
      </c>
      <c r="J308" s="34" t="n">
        <v>0.01</v>
      </c>
      <c r="K308" s="34" t="n">
        <v>0.01</v>
      </c>
      <c r="L308" s="34" t="n">
        <v>99.65</v>
      </c>
      <c r="M308" s="34" t="n">
        <v>99.65</v>
      </c>
      <c r="N308" s="34" t="n">
        <v>757</v>
      </c>
      <c r="O308" s="34" t="n">
        <v>0</v>
      </c>
      <c r="P308" s="34" t="s">
        <v>504</v>
      </c>
    </row>
    <row r="309" customFormat="false" ht="14.4" hidden="false" customHeight="false" outlineLevel="0" collapsed="false">
      <c r="A309" s="34" t="n">
        <v>308</v>
      </c>
      <c r="B309" s="35" t="n">
        <v>15383870000164</v>
      </c>
      <c r="C309" s="34" t="s">
        <v>1065</v>
      </c>
      <c r="D309" s="34" t="s">
        <v>89</v>
      </c>
      <c r="E309" s="34" t="s">
        <v>1066</v>
      </c>
      <c r="F309" s="34" t="n">
        <v>29</v>
      </c>
      <c r="G309" s="34" t="n">
        <v>6</v>
      </c>
      <c r="H309" s="40" t="n">
        <v>683.86</v>
      </c>
      <c r="I309" s="34" t="n">
        <v>0.02</v>
      </c>
      <c r="J309" s="34" t="n">
        <v>0.02</v>
      </c>
      <c r="K309" s="34" t="n">
        <v>0.01</v>
      </c>
      <c r="L309" s="34" t="n">
        <v>99.67</v>
      </c>
      <c r="M309" s="34" t="n">
        <v>99.67</v>
      </c>
      <c r="N309" s="34" t="n">
        <v>711</v>
      </c>
      <c r="O309" s="34" t="n">
        <v>0</v>
      </c>
      <c r="P309" s="34" t="s">
        <v>510</v>
      </c>
    </row>
    <row r="310" customFormat="false" ht="14.4" hidden="false" customHeight="false" outlineLevel="0" collapsed="false">
      <c r="A310" s="34" t="n">
        <v>309</v>
      </c>
      <c r="B310" s="35" t="n">
        <v>50441008000161</v>
      </c>
      <c r="C310" s="34" t="s">
        <v>1067</v>
      </c>
      <c r="D310" s="34" t="s">
        <v>89</v>
      </c>
      <c r="E310" s="34" t="s">
        <v>1068</v>
      </c>
      <c r="F310" s="34" t="n">
        <v>18</v>
      </c>
      <c r="G310" s="34" t="n">
        <v>5</v>
      </c>
      <c r="H310" s="40" t="n">
        <v>682.26</v>
      </c>
      <c r="I310" s="34" t="n">
        <v>0.01</v>
      </c>
      <c r="J310" s="34" t="n">
        <v>0.02</v>
      </c>
      <c r="K310" s="34" t="n">
        <v>0.01</v>
      </c>
      <c r="L310" s="34" t="n">
        <v>99.68</v>
      </c>
      <c r="M310" s="34" t="n">
        <v>99.68</v>
      </c>
      <c r="N310" s="34" t="n">
        <v>711</v>
      </c>
      <c r="O310" s="34" t="n">
        <v>0</v>
      </c>
      <c r="P310" s="34" t="s">
        <v>518</v>
      </c>
    </row>
    <row r="311" customFormat="false" ht="14.4" hidden="false" customHeight="false" outlineLevel="0" collapsed="false">
      <c r="A311" s="34" t="n">
        <v>310</v>
      </c>
      <c r="B311" s="35" t="n">
        <v>11352253000140</v>
      </c>
      <c r="C311" s="34" t="s">
        <v>1069</v>
      </c>
      <c r="D311" s="34" t="s">
        <v>77</v>
      </c>
      <c r="E311" s="34" t="s">
        <v>1070</v>
      </c>
      <c r="F311" s="34" t="n">
        <v>26</v>
      </c>
      <c r="G311" s="34" t="n">
        <v>7</v>
      </c>
      <c r="H311" s="40" t="n">
        <v>672.23</v>
      </c>
      <c r="I311" s="34" t="n">
        <v>0.01</v>
      </c>
      <c r="J311" s="34" t="n">
        <v>0.02</v>
      </c>
      <c r="K311" s="34" t="n">
        <v>0.01</v>
      </c>
      <c r="L311" s="34" t="n">
        <v>99.7</v>
      </c>
      <c r="M311" s="34" t="n">
        <v>99.7</v>
      </c>
      <c r="N311" s="34" t="n">
        <v>759</v>
      </c>
      <c r="O311" s="34" t="n">
        <v>0</v>
      </c>
      <c r="P311" s="34" t="s">
        <v>510</v>
      </c>
    </row>
    <row r="312" customFormat="false" ht="14.4" hidden="false" customHeight="false" outlineLevel="0" collapsed="false">
      <c r="A312" s="34" t="n">
        <v>311</v>
      </c>
      <c r="B312" s="35" t="n">
        <v>25117031000158</v>
      </c>
      <c r="C312" s="34" t="s">
        <v>940</v>
      </c>
      <c r="D312" s="34" t="s">
        <v>77</v>
      </c>
      <c r="E312" s="34" t="s">
        <v>1071</v>
      </c>
      <c r="F312" s="34" t="n">
        <v>26</v>
      </c>
      <c r="G312" s="34" t="n">
        <v>4</v>
      </c>
      <c r="H312" s="40" t="n">
        <v>659.44</v>
      </c>
      <c r="I312" s="34" t="n">
        <v>0.01</v>
      </c>
      <c r="J312" s="34" t="n">
        <v>0.01</v>
      </c>
      <c r="K312" s="34" t="n">
        <v>0.01</v>
      </c>
      <c r="L312" s="34" t="n">
        <v>99.71</v>
      </c>
      <c r="M312" s="34" t="n">
        <v>99.71</v>
      </c>
      <c r="N312" s="34" t="n">
        <v>757</v>
      </c>
      <c r="O312" s="34" t="n">
        <v>0</v>
      </c>
      <c r="P312" s="34" t="s">
        <v>501</v>
      </c>
    </row>
    <row r="313" customFormat="false" ht="14.4" hidden="false" customHeight="false" outlineLevel="0" collapsed="false">
      <c r="A313" s="34" t="n">
        <v>312</v>
      </c>
      <c r="B313" s="35" t="n">
        <v>21100905000103</v>
      </c>
      <c r="C313" s="34" t="s">
        <v>1072</v>
      </c>
      <c r="D313" s="34" t="s">
        <v>848</v>
      </c>
      <c r="E313" s="34" t="s">
        <v>1073</v>
      </c>
      <c r="F313" s="34" t="n">
        <v>17</v>
      </c>
      <c r="G313" s="34" t="n">
        <v>4</v>
      </c>
      <c r="H313" s="40" t="n">
        <v>648.46</v>
      </c>
      <c r="I313" s="34" t="n">
        <v>0.01</v>
      </c>
      <c r="J313" s="34" t="n">
        <v>0.01</v>
      </c>
      <c r="K313" s="34" t="n">
        <v>0.01</v>
      </c>
      <c r="L313" s="34" t="n">
        <v>99.73</v>
      </c>
      <c r="M313" s="34" t="n">
        <v>99.73</v>
      </c>
      <c r="N313" s="34" t="n">
        <v>712</v>
      </c>
      <c r="O313" s="34" t="n">
        <v>0</v>
      </c>
      <c r="P313" s="34" t="s">
        <v>504</v>
      </c>
    </row>
    <row r="314" customFormat="false" ht="14.4" hidden="false" customHeight="false" outlineLevel="0" collapsed="false">
      <c r="A314" s="34" t="n">
        <v>313</v>
      </c>
      <c r="B314" s="35" t="n">
        <v>6200019000168</v>
      </c>
      <c r="C314" s="34" t="s">
        <v>1074</v>
      </c>
      <c r="D314" s="34" t="s">
        <v>336</v>
      </c>
      <c r="E314" s="34" t="s">
        <v>1075</v>
      </c>
      <c r="F314" s="34" t="n">
        <v>14</v>
      </c>
      <c r="G314" s="34" t="n">
        <v>2</v>
      </c>
      <c r="H314" s="40" t="n">
        <v>647.61</v>
      </c>
      <c r="I314" s="34" t="n">
        <v>0.01</v>
      </c>
      <c r="J314" s="34" t="n">
        <v>0</v>
      </c>
      <c r="K314" s="34" t="n">
        <v>0.01</v>
      </c>
      <c r="L314" s="34" t="n">
        <v>99.74</v>
      </c>
      <c r="M314" s="34" t="n">
        <v>99.74</v>
      </c>
      <c r="N314" s="34" t="n">
        <v>705</v>
      </c>
      <c r="O314" s="34" t="n">
        <v>0</v>
      </c>
      <c r="P314" s="34" t="s">
        <v>510</v>
      </c>
    </row>
    <row r="315" customFormat="false" ht="14.4" hidden="false" customHeight="false" outlineLevel="0" collapsed="false">
      <c r="A315" s="34" t="n">
        <v>314</v>
      </c>
      <c r="B315" s="35" t="n">
        <v>4579237000200</v>
      </c>
      <c r="C315" s="34" t="s">
        <v>1076</v>
      </c>
      <c r="D315" s="34" t="s">
        <v>207</v>
      </c>
      <c r="E315" s="34" t="s">
        <v>1077</v>
      </c>
      <c r="F315" s="34" t="n">
        <v>24</v>
      </c>
      <c r="G315" s="34" t="n">
        <v>5</v>
      </c>
      <c r="H315" s="40" t="n">
        <v>640.57</v>
      </c>
      <c r="I315" s="34" t="n">
        <v>0.01</v>
      </c>
      <c r="J315" s="34" t="n">
        <v>0.02</v>
      </c>
      <c r="K315" s="34" t="n">
        <v>0.01</v>
      </c>
      <c r="L315" s="34" t="n">
        <v>99.75</v>
      </c>
      <c r="M315" s="34" t="n">
        <v>99.75</v>
      </c>
      <c r="N315" s="34" t="n">
        <v>703</v>
      </c>
      <c r="O315" s="34" t="n">
        <v>0</v>
      </c>
      <c r="P315" s="34" t="s">
        <v>504</v>
      </c>
    </row>
    <row r="316" customFormat="false" ht="14.4" hidden="false" customHeight="false" outlineLevel="0" collapsed="false">
      <c r="A316" s="34" t="n">
        <v>315</v>
      </c>
      <c r="B316" s="35" t="n">
        <v>12271408000187</v>
      </c>
      <c r="C316" s="34" t="s">
        <v>1078</v>
      </c>
      <c r="D316" s="34" t="s">
        <v>569</v>
      </c>
      <c r="E316" s="34" t="s">
        <v>1079</v>
      </c>
      <c r="F316" s="34" t="n">
        <v>16</v>
      </c>
      <c r="G316" s="34" t="n">
        <v>3</v>
      </c>
      <c r="H316" s="40" t="n">
        <v>633.86</v>
      </c>
      <c r="I316" s="34" t="n">
        <v>0.01</v>
      </c>
      <c r="J316" s="34" t="n">
        <v>0.01</v>
      </c>
      <c r="K316" s="34" t="n">
        <v>0.01</v>
      </c>
      <c r="L316" s="34" t="n">
        <v>99.77</v>
      </c>
      <c r="M316" s="34" t="n">
        <v>99.77</v>
      </c>
      <c r="N316" s="34" t="n">
        <v>708</v>
      </c>
      <c r="O316" s="34" t="n">
        <v>0</v>
      </c>
      <c r="P316" s="34" t="s">
        <v>510</v>
      </c>
    </row>
    <row r="317" customFormat="false" ht="14.4" hidden="false" customHeight="false" outlineLevel="0" collapsed="false">
      <c r="A317" s="34" t="n">
        <v>316</v>
      </c>
      <c r="B317" s="35" t="n">
        <v>13063093000226</v>
      </c>
      <c r="C317" s="34" t="s">
        <v>1080</v>
      </c>
      <c r="D317" s="34" t="s">
        <v>77</v>
      </c>
      <c r="E317" s="34" t="s">
        <v>1081</v>
      </c>
      <c r="F317" s="34" t="n">
        <v>17</v>
      </c>
      <c r="G317" s="34" t="n">
        <v>4</v>
      </c>
      <c r="H317" s="40" t="n">
        <v>628.72</v>
      </c>
      <c r="I317" s="34" t="n">
        <v>0.01</v>
      </c>
      <c r="J317" s="34" t="n">
        <v>0.01</v>
      </c>
      <c r="K317" s="34" t="n">
        <v>0.01</v>
      </c>
      <c r="L317" s="34" t="n">
        <v>99.78</v>
      </c>
      <c r="M317" s="34" t="n">
        <v>99.78</v>
      </c>
      <c r="N317" s="34" t="n">
        <v>759</v>
      </c>
      <c r="O317" s="34" t="n">
        <v>0</v>
      </c>
      <c r="P317" s="34" t="s">
        <v>501</v>
      </c>
    </row>
    <row r="318" customFormat="false" ht="14.4" hidden="false" customHeight="false" outlineLevel="0" collapsed="false">
      <c r="A318" s="34" t="n">
        <v>317</v>
      </c>
      <c r="B318" s="35" t="n">
        <v>1602811000125</v>
      </c>
      <c r="C318" s="34" t="s">
        <v>352</v>
      </c>
      <c r="D318" s="34" t="s">
        <v>357</v>
      </c>
      <c r="E318" s="34" t="s">
        <v>1082</v>
      </c>
      <c r="F318" s="34" t="n">
        <v>21</v>
      </c>
      <c r="G318" s="34" t="n">
        <v>4</v>
      </c>
      <c r="H318" s="40" t="n">
        <v>624.14</v>
      </c>
      <c r="I318" s="34" t="n">
        <v>0.01</v>
      </c>
      <c r="J318" s="34" t="n">
        <v>0.01</v>
      </c>
      <c r="K318" s="34" t="n">
        <v>0.01</v>
      </c>
      <c r="L318" s="34" t="n">
        <v>99.79</v>
      </c>
      <c r="M318" s="34" t="n">
        <v>99.79</v>
      </c>
      <c r="N318" s="34" t="n">
        <v>708</v>
      </c>
      <c r="O318" s="34" t="n">
        <v>0</v>
      </c>
      <c r="P318" s="34" t="s">
        <v>501</v>
      </c>
    </row>
    <row r="319" customFormat="false" ht="14.4" hidden="false" customHeight="false" outlineLevel="0" collapsed="false">
      <c r="A319" s="34" t="n">
        <v>318</v>
      </c>
      <c r="B319" s="35" t="n">
        <v>53874763000128</v>
      </c>
      <c r="C319" s="34" t="s">
        <v>1083</v>
      </c>
      <c r="D319" s="34" t="s">
        <v>77</v>
      </c>
      <c r="E319" s="34" t="s">
        <v>1084</v>
      </c>
      <c r="F319" s="34" t="n">
        <v>15</v>
      </c>
      <c r="G319" s="34" t="n">
        <v>4</v>
      </c>
      <c r="H319" s="40" t="n">
        <v>620.55</v>
      </c>
      <c r="I319" s="34" t="n">
        <v>0.01</v>
      </c>
      <c r="J319" s="34" t="n">
        <v>0.01</v>
      </c>
      <c r="K319" s="34" t="n">
        <v>0.01</v>
      </c>
      <c r="L319" s="34" t="n">
        <v>99.81</v>
      </c>
      <c r="M319" s="34" t="n">
        <v>99.81</v>
      </c>
      <c r="N319" s="34" t="n">
        <v>757</v>
      </c>
      <c r="O319" s="34" t="n">
        <v>0</v>
      </c>
      <c r="P319" s="34" t="s">
        <v>501</v>
      </c>
    </row>
    <row r="320" customFormat="false" ht="14.4" hidden="false" customHeight="false" outlineLevel="0" collapsed="false">
      <c r="A320" s="34" t="n">
        <v>319</v>
      </c>
      <c r="B320" s="35" t="n">
        <v>13381282000166</v>
      </c>
      <c r="C320" s="34" t="s">
        <v>1085</v>
      </c>
      <c r="D320" s="34" t="s">
        <v>77</v>
      </c>
      <c r="E320" s="34" t="s">
        <v>1086</v>
      </c>
      <c r="F320" s="34" t="n">
        <v>19</v>
      </c>
      <c r="G320" s="34" t="n">
        <v>5</v>
      </c>
      <c r="H320" s="40" t="n">
        <v>616.11</v>
      </c>
      <c r="I320" s="34" t="n">
        <v>0.01</v>
      </c>
      <c r="J320" s="34" t="n">
        <v>0.01</v>
      </c>
      <c r="K320" s="34" t="n">
        <v>0.01</v>
      </c>
      <c r="L320" s="34" t="n">
        <v>99.82</v>
      </c>
      <c r="M320" s="34" t="n">
        <v>99.82</v>
      </c>
      <c r="N320" s="34" t="n">
        <v>757</v>
      </c>
      <c r="O320" s="34" t="n">
        <v>0</v>
      </c>
      <c r="P320" s="34" t="s">
        <v>510</v>
      </c>
    </row>
    <row r="321" customFormat="false" ht="14.4" hidden="false" customHeight="false" outlineLevel="0" collapsed="false">
      <c r="A321" s="34" t="n">
        <v>320</v>
      </c>
      <c r="B321" s="35" t="n">
        <v>7245950000125</v>
      </c>
      <c r="C321" s="34" t="s">
        <v>1087</v>
      </c>
      <c r="D321" s="34" t="s">
        <v>967</v>
      </c>
      <c r="E321" s="34" t="s">
        <v>1088</v>
      </c>
      <c r="F321" s="34" t="n">
        <v>29</v>
      </c>
      <c r="G321" s="34" t="n">
        <v>3</v>
      </c>
      <c r="H321" s="40" t="n">
        <v>603.48</v>
      </c>
      <c r="I321" s="34" t="n">
        <v>0.02</v>
      </c>
      <c r="J321" s="34" t="n">
        <v>0.01</v>
      </c>
      <c r="K321" s="34" t="n">
        <v>0.01</v>
      </c>
      <c r="L321" s="34" t="n">
        <v>99.83</v>
      </c>
      <c r="M321" s="34" t="n">
        <v>99.83</v>
      </c>
      <c r="N321" s="34" t="n">
        <v>718</v>
      </c>
      <c r="O321" s="34" t="n">
        <v>0</v>
      </c>
      <c r="P321" s="34" t="s">
        <v>510</v>
      </c>
    </row>
    <row r="322" customFormat="false" ht="14.4" hidden="false" customHeight="false" outlineLevel="0" collapsed="false">
      <c r="A322" s="34" t="n">
        <v>321</v>
      </c>
      <c r="B322" s="35" t="n">
        <v>20975994000179</v>
      </c>
      <c r="C322" s="34" t="s">
        <v>1089</v>
      </c>
      <c r="D322" s="34" t="s">
        <v>89</v>
      </c>
      <c r="E322" s="34" t="s">
        <v>1090</v>
      </c>
      <c r="F322" s="34" t="n">
        <v>27</v>
      </c>
      <c r="G322" s="34" t="n">
        <v>4</v>
      </c>
      <c r="H322" s="40" t="n">
        <v>600.93</v>
      </c>
      <c r="I322" s="34" t="n">
        <v>0.01</v>
      </c>
      <c r="J322" s="34" t="n">
        <v>0.01</v>
      </c>
      <c r="K322" s="34" t="n">
        <v>0.01</v>
      </c>
      <c r="L322" s="34" t="n">
        <v>99.85</v>
      </c>
      <c r="M322" s="34" t="n">
        <v>99.85</v>
      </c>
      <c r="N322" s="34" t="n">
        <v>711</v>
      </c>
      <c r="O322" s="34" t="n">
        <v>0</v>
      </c>
      <c r="P322" s="34" t="s">
        <v>510</v>
      </c>
    </row>
    <row r="323" customFormat="false" ht="14.4" hidden="false" customHeight="false" outlineLevel="0" collapsed="false">
      <c r="A323" s="34" t="n">
        <v>322</v>
      </c>
      <c r="B323" s="35" t="n">
        <v>36788867000109</v>
      </c>
      <c r="C323" s="34" t="s">
        <v>1091</v>
      </c>
      <c r="D323" s="34" t="s">
        <v>89</v>
      </c>
      <c r="E323" s="34" t="s">
        <v>568</v>
      </c>
      <c r="F323" s="34" t="n">
        <v>29</v>
      </c>
      <c r="G323" s="34" t="n">
        <v>4</v>
      </c>
      <c r="H323" s="40" t="n">
        <v>594.71</v>
      </c>
      <c r="I323" s="34" t="n">
        <v>0.02</v>
      </c>
      <c r="J323" s="34" t="n">
        <v>0.01</v>
      </c>
      <c r="K323" s="34" t="n">
        <v>0.01</v>
      </c>
      <c r="L323" s="34" t="n">
        <v>99.86</v>
      </c>
      <c r="M323" s="34" t="n">
        <v>99.86</v>
      </c>
      <c r="N323" s="34" t="n">
        <v>711</v>
      </c>
      <c r="O323" s="34" t="n">
        <v>0</v>
      </c>
      <c r="P323" s="34" t="s">
        <v>510</v>
      </c>
    </row>
    <row r="324" customFormat="false" ht="14.4" hidden="false" customHeight="false" outlineLevel="0" collapsed="false">
      <c r="A324" s="34" t="n">
        <v>323</v>
      </c>
      <c r="B324" s="35" t="n">
        <v>6088542000144</v>
      </c>
      <c r="C324" s="34" t="s">
        <v>1092</v>
      </c>
      <c r="D324" s="34" t="s">
        <v>475</v>
      </c>
      <c r="E324" s="34" t="s">
        <v>537</v>
      </c>
      <c r="F324" s="34" t="n">
        <v>29</v>
      </c>
      <c r="G324" s="34" t="n">
        <v>6</v>
      </c>
      <c r="H324" s="40" t="n">
        <v>591.52</v>
      </c>
      <c r="I324" s="34" t="n">
        <v>0.02</v>
      </c>
      <c r="J324" s="34" t="n">
        <v>0.02</v>
      </c>
      <c r="K324" s="34" t="n">
        <v>0.01</v>
      </c>
      <c r="L324" s="34" t="n">
        <v>99.87</v>
      </c>
      <c r="M324" s="34" t="n">
        <v>99.87</v>
      </c>
      <c r="N324" s="34" t="n">
        <v>709</v>
      </c>
      <c r="O324" s="34" t="n">
        <v>0</v>
      </c>
      <c r="P324" s="34" t="s">
        <v>504</v>
      </c>
    </row>
    <row r="325" customFormat="false" ht="14.4" hidden="false" customHeight="false" outlineLevel="0" collapsed="false">
      <c r="A325" s="34" t="n">
        <v>324</v>
      </c>
      <c r="B325" s="35" t="n">
        <v>17512540000157</v>
      </c>
      <c r="C325" s="34" t="s">
        <v>1093</v>
      </c>
      <c r="D325" s="34" t="s">
        <v>89</v>
      </c>
      <c r="E325" s="34" t="s">
        <v>1094</v>
      </c>
      <c r="F325" s="34" t="n">
        <v>20</v>
      </c>
      <c r="G325" s="34" t="n">
        <v>5</v>
      </c>
      <c r="H325" s="40" t="n">
        <v>589.13</v>
      </c>
      <c r="I325" s="34" t="n">
        <v>0.01</v>
      </c>
      <c r="J325" s="34" t="n">
        <v>0.02</v>
      </c>
      <c r="K325" s="34" t="n">
        <v>0.01</v>
      </c>
      <c r="L325" s="34" t="n">
        <v>99.89</v>
      </c>
      <c r="M325" s="34" t="n">
        <v>99.89</v>
      </c>
      <c r="N325" s="34" t="n">
        <v>711</v>
      </c>
      <c r="O325" s="34" t="n">
        <v>0</v>
      </c>
      <c r="P325" s="34" t="s">
        <v>501</v>
      </c>
    </row>
    <row r="326" customFormat="false" ht="14.4" hidden="false" customHeight="false" outlineLevel="0" collapsed="false">
      <c r="A326" s="34" t="n">
        <v>325</v>
      </c>
      <c r="B326" s="35" t="n">
        <v>34662878000104</v>
      </c>
      <c r="C326" s="34" t="s">
        <v>1095</v>
      </c>
      <c r="D326" s="34" t="s">
        <v>89</v>
      </c>
      <c r="E326" s="34" t="s">
        <v>1096</v>
      </c>
      <c r="F326" s="34" t="n">
        <v>14</v>
      </c>
      <c r="G326" s="34" t="n">
        <v>2</v>
      </c>
      <c r="H326" s="40" t="n">
        <v>588.69</v>
      </c>
      <c r="I326" s="34" t="n">
        <v>0.01</v>
      </c>
      <c r="J326" s="34" t="n">
        <v>0</v>
      </c>
      <c r="K326" s="34" t="n">
        <v>0.01</v>
      </c>
      <c r="L326" s="34" t="n">
        <v>99.9</v>
      </c>
      <c r="M326" s="34" t="n">
        <v>99.9</v>
      </c>
      <c r="N326" s="34" t="n">
        <v>711</v>
      </c>
      <c r="O326" s="34" t="n">
        <v>0</v>
      </c>
      <c r="P326" s="34" t="s">
        <v>776</v>
      </c>
    </row>
    <row r="327" customFormat="false" ht="14.4" hidden="false" customHeight="false" outlineLevel="0" collapsed="false">
      <c r="A327" s="34" t="n">
        <v>326</v>
      </c>
      <c r="B327" s="35" t="n">
        <v>39610017000104</v>
      </c>
      <c r="C327" s="34" t="s">
        <v>1097</v>
      </c>
      <c r="D327" s="34" t="s">
        <v>77</v>
      </c>
      <c r="E327" s="34" t="s">
        <v>1098</v>
      </c>
      <c r="F327" s="34" t="n">
        <v>32</v>
      </c>
      <c r="G327" s="34" t="n">
        <v>5</v>
      </c>
      <c r="H327" s="40" t="n">
        <v>581.32</v>
      </c>
      <c r="I327" s="34" t="n">
        <v>0.02</v>
      </c>
      <c r="J327" s="34" t="n">
        <v>0.02</v>
      </c>
      <c r="K327" s="34" t="n">
        <v>0.01</v>
      </c>
      <c r="L327" s="34" t="n">
        <v>99.91</v>
      </c>
      <c r="M327" s="34" t="n">
        <v>99.91</v>
      </c>
      <c r="N327" s="34" t="n">
        <v>757</v>
      </c>
      <c r="O327" s="34" t="n">
        <v>0</v>
      </c>
      <c r="P327" s="34" t="s">
        <v>501</v>
      </c>
    </row>
    <row r="328" customFormat="false" ht="14.4" hidden="false" customHeight="false" outlineLevel="0" collapsed="false">
      <c r="A328" s="34" t="n">
        <v>327</v>
      </c>
      <c r="B328" s="35" t="n">
        <v>46427585000121</v>
      </c>
      <c r="C328" s="34" t="s">
        <v>1099</v>
      </c>
      <c r="D328" s="34" t="s">
        <v>569</v>
      </c>
      <c r="E328" s="34" t="s">
        <v>1100</v>
      </c>
      <c r="F328" s="34" t="n">
        <v>8</v>
      </c>
      <c r="G328" s="34" t="n">
        <v>1</v>
      </c>
      <c r="H328" s="40" t="n">
        <v>581.05</v>
      </c>
      <c r="I328" s="34" t="n">
        <v>0</v>
      </c>
      <c r="J328" s="34" t="n">
        <v>0</v>
      </c>
      <c r="K328" s="34" t="n">
        <v>0.01</v>
      </c>
      <c r="L328" s="34" t="n">
        <v>99.92</v>
      </c>
      <c r="M328" s="34" t="n">
        <v>99.92</v>
      </c>
      <c r="N328" s="34" t="n">
        <v>708</v>
      </c>
      <c r="O328" s="34" t="n">
        <v>0</v>
      </c>
      <c r="P328" s="34" t="s">
        <v>504</v>
      </c>
    </row>
    <row r="329" customFormat="false" ht="14.4" hidden="false" customHeight="false" outlineLevel="0" collapsed="false">
      <c r="A329" s="34" t="n">
        <v>328</v>
      </c>
      <c r="B329" s="35" t="n">
        <v>29841719000137</v>
      </c>
      <c r="C329" s="34" t="s">
        <v>1101</v>
      </c>
      <c r="D329" s="34" t="s">
        <v>309</v>
      </c>
      <c r="E329" s="34" t="s">
        <v>1102</v>
      </c>
      <c r="F329" s="34" t="n">
        <v>17</v>
      </c>
      <c r="G329" s="34" t="n">
        <v>5</v>
      </c>
      <c r="H329" s="40" t="n">
        <v>580.86</v>
      </c>
      <c r="I329" s="34" t="n">
        <v>0.01</v>
      </c>
      <c r="J329" s="34" t="n">
        <v>0.01</v>
      </c>
      <c r="K329" s="34" t="n">
        <v>0.01</v>
      </c>
      <c r="L329" s="34" t="n">
        <v>99.94</v>
      </c>
      <c r="M329" s="34" t="n">
        <v>99.94</v>
      </c>
      <c r="N329" s="34" t="n">
        <v>704</v>
      </c>
      <c r="O329" s="34" t="n">
        <v>0</v>
      </c>
      <c r="P329" s="34" t="s">
        <v>501</v>
      </c>
    </row>
    <row r="330" customFormat="false" ht="14.4" hidden="false" customHeight="false" outlineLevel="0" collapsed="false">
      <c r="A330" s="34" t="n">
        <v>329</v>
      </c>
      <c r="B330" s="35" t="n">
        <v>45225952000141</v>
      </c>
      <c r="C330" s="34" t="s">
        <v>1103</v>
      </c>
      <c r="D330" s="34" t="s">
        <v>842</v>
      </c>
      <c r="E330" s="34" t="s">
        <v>1104</v>
      </c>
      <c r="F330" s="34" t="n">
        <v>21</v>
      </c>
      <c r="G330" s="34" t="n">
        <v>7</v>
      </c>
      <c r="H330" s="40" t="n">
        <v>579.41</v>
      </c>
      <c r="I330" s="34" t="n">
        <v>0.01</v>
      </c>
      <c r="J330" s="34" t="n">
        <v>0.03</v>
      </c>
      <c r="K330" s="34" t="n">
        <v>0.01</v>
      </c>
      <c r="L330" s="34" t="n">
        <v>99.95</v>
      </c>
      <c r="M330" s="34" t="n">
        <v>99.95</v>
      </c>
      <c r="N330" s="34" t="n">
        <v>706</v>
      </c>
      <c r="O330" s="34" t="n">
        <v>0</v>
      </c>
      <c r="P330" s="34" t="s">
        <v>501</v>
      </c>
    </row>
    <row r="331" customFormat="false" ht="14.4" hidden="false" customHeight="false" outlineLevel="0" collapsed="false">
      <c r="A331" s="34" t="n">
        <v>330</v>
      </c>
      <c r="B331" s="35" t="n">
        <v>5273258000185</v>
      </c>
      <c r="C331" s="34" t="s">
        <v>1105</v>
      </c>
      <c r="D331" s="34" t="s">
        <v>764</v>
      </c>
      <c r="E331" s="34" t="s">
        <v>748</v>
      </c>
      <c r="F331" s="34" t="n">
        <v>16</v>
      </c>
      <c r="G331" s="34" t="n">
        <v>4</v>
      </c>
      <c r="H331" s="40" t="n">
        <v>578.56</v>
      </c>
      <c r="I331" s="34" t="n">
        <v>0.01</v>
      </c>
      <c r="J331" s="34" t="n">
        <v>0.01</v>
      </c>
      <c r="K331" s="34" t="n">
        <v>0.01</v>
      </c>
      <c r="L331" s="34" t="n">
        <v>99.96</v>
      </c>
      <c r="M331" s="34" t="n">
        <v>99.96</v>
      </c>
      <c r="N331" s="34" t="n">
        <v>718</v>
      </c>
      <c r="O331" s="34" t="n">
        <v>0</v>
      </c>
      <c r="P331" s="34" t="s">
        <v>510</v>
      </c>
    </row>
    <row r="332" customFormat="false" ht="14.4" hidden="false" customHeight="false" outlineLevel="0" collapsed="false">
      <c r="A332" s="34" t="n">
        <v>331</v>
      </c>
      <c r="B332" s="35" t="n">
        <v>4738857000750</v>
      </c>
      <c r="C332" s="34" t="s">
        <v>839</v>
      </c>
      <c r="D332" s="34" t="s">
        <v>117</v>
      </c>
      <c r="E332" s="34" t="s">
        <v>1106</v>
      </c>
      <c r="F332" s="34" t="n">
        <v>19</v>
      </c>
      <c r="G332" s="34" t="n">
        <v>6</v>
      </c>
      <c r="H332" s="40" t="n">
        <v>575.2</v>
      </c>
      <c r="I332" s="34" t="n">
        <v>0.01</v>
      </c>
      <c r="J332" s="34" t="n">
        <v>0.02</v>
      </c>
      <c r="K332" s="34" t="n">
        <v>0.01</v>
      </c>
      <c r="L332" s="34" t="n">
        <v>99.97</v>
      </c>
      <c r="M332" s="34" t="n">
        <v>99.97</v>
      </c>
      <c r="N332" s="34" t="n">
        <v>702</v>
      </c>
      <c r="O332" s="34" t="n">
        <v>0</v>
      </c>
      <c r="P332" s="34" t="s">
        <v>504</v>
      </c>
    </row>
    <row r="333" customFormat="false" ht="14.4" hidden="false" customHeight="false" outlineLevel="0" collapsed="false">
      <c r="A333" s="34" t="n">
        <v>332</v>
      </c>
      <c r="B333" s="35" t="n">
        <v>48303558000172</v>
      </c>
      <c r="C333" s="34" t="s">
        <v>1107</v>
      </c>
      <c r="D333" s="34" t="s">
        <v>77</v>
      </c>
      <c r="E333" s="34" t="s">
        <v>1108</v>
      </c>
      <c r="F333" s="34" t="n">
        <v>41</v>
      </c>
      <c r="G333" s="34" t="n">
        <v>5</v>
      </c>
      <c r="H333" s="40" t="n">
        <v>572.41</v>
      </c>
      <c r="I333" s="34" t="n">
        <v>0.03</v>
      </c>
      <c r="J333" s="34" t="n">
        <v>0.02</v>
      </c>
      <c r="K333" s="34" t="n">
        <v>0.01</v>
      </c>
      <c r="L333" s="34" t="n">
        <v>99.99</v>
      </c>
      <c r="M333" s="34" t="n">
        <v>99.99</v>
      </c>
      <c r="N333" s="34" t="n">
        <v>800</v>
      </c>
      <c r="O333" s="34" t="n">
        <v>0</v>
      </c>
      <c r="P333" s="34" t="s">
        <v>518</v>
      </c>
    </row>
    <row r="334" customFormat="false" ht="14.4" hidden="false" customHeight="false" outlineLevel="0" collapsed="false">
      <c r="A334" s="34" t="n">
        <v>333</v>
      </c>
      <c r="B334" s="35" t="n">
        <v>39471459000109</v>
      </c>
      <c r="C334" s="34" t="s">
        <v>1109</v>
      </c>
      <c r="D334" s="34" t="s">
        <v>77</v>
      </c>
      <c r="E334" s="34" t="s">
        <v>1110</v>
      </c>
      <c r="F334" s="34" t="n">
        <v>21</v>
      </c>
      <c r="G334" s="34" t="n">
        <v>9</v>
      </c>
      <c r="H334" s="40" t="n">
        <v>568.19</v>
      </c>
      <c r="I334" s="34" t="n">
        <v>0.01</v>
      </c>
      <c r="J334" s="34" t="n">
        <v>0.03</v>
      </c>
      <c r="K334" s="34" t="n">
        <v>0.01</v>
      </c>
      <c r="L334" s="34" t="n">
        <v>100</v>
      </c>
      <c r="M334" s="34" t="n">
        <v>100</v>
      </c>
      <c r="N334" s="34" t="n">
        <v>757</v>
      </c>
      <c r="O334" s="34" t="n">
        <v>0</v>
      </c>
      <c r="P334" s="34" t="s">
        <v>510</v>
      </c>
    </row>
    <row r="335" customFormat="false" ht="14.4" hidden="false" customHeight="false" outlineLevel="0" collapsed="false">
      <c r="A335" s="34" t="n">
        <v>334</v>
      </c>
      <c r="B335" s="35" t="n">
        <v>1557375000110</v>
      </c>
      <c r="C335" s="34" t="s">
        <v>1111</v>
      </c>
      <c r="D335" s="34" t="s">
        <v>979</v>
      </c>
      <c r="E335" s="34" t="s">
        <v>1112</v>
      </c>
      <c r="F335" s="34" t="n">
        <v>25</v>
      </c>
      <c r="G335" s="34" t="n">
        <v>3</v>
      </c>
      <c r="H335" s="40" t="n">
        <v>561.33</v>
      </c>
      <c r="I335" s="34" t="n">
        <v>0.01</v>
      </c>
      <c r="J335" s="34" t="n">
        <v>0.01</v>
      </c>
      <c r="K335" s="34" t="n">
        <v>0.01</v>
      </c>
      <c r="L335" s="34" t="n">
        <v>100.01</v>
      </c>
      <c r="M335" s="34" t="n">
        <v>100.01</v>
      </c>
      <c r="N335" s="34" t="n">
        <v>707</v>
      </c>
      <c r="O335" s="34" t="n">
        <v>0</v>
      </c>
      <c r="P335" s="34" t="s">
        <v>501</v>
      </c>
    </row>
    <row r="336" customFormat="false" ht="14.4" hidden="false" customHeight="false" outlineLevel="0" collapsed="false">
      <c r="A336" s="34" t="n">
        <v>335</v>
      </c>
      <c r="B336" s="35" t="n">
        <v>36983142000163</v>
      </c>
      <c r="C336" s="34" t="s">
        <v>1113</v>
      </c>
      <c r="D336" s="34" t="s">
        <v>77</v>
      </c>
      <c r="E336" s="34" t="s">
        <v>1114</v>
      </c>
      <c r="F336" s="34" t="n">
        <v>25</v>
      </c>
      <c r="G336" s="34" t="n">
        <v>6</v>
      </c>
      <c r="H336" s="40" t="n">
        <v>555.17</v>
      </c>
      <c r="I336" s="34" t="n">
        <v>0.01</v>
      </c>
      <c r="J336" s="34" t="n">
        <v>0.02</v>
      </c>
      <c r="K336" s="34" t="n">
        <v>0.01</v>
      </c>
      <c r="L336" s="34" t="n">
        <v>100.02</v>
      </c>
      <c r="M336" s="34" t="n">
        <v>100.02</v>
      </c>
      <c r="N336" s="34" t="n">
        <v>759</v>
      </c>
      <c r="O336" s="34" t="n">
        <v>0</v>
      </c>
      <c r="P336" s="34" t="s">
        <v>518</v>
      </c>
    </row>
    <row r="337" customFormat="false" ht="14.4" hidden="false" customHeight="false" outlineLevel="0" collapsed="false">
      <c r="A337" s="34" t="n">
        <v>336</v>
      </c>
      <c r="B337" s="35" t="n">
        <v>16896684000191</v>
      </c>
      <c r="C337" s="34" t="s">
        <v>1115</v>
      </c>
      <c r="D337" s="34" t="s">
        <v>342</v>
      </c>
      <c r="E337" s="34" t="s">
        <v>1116</v>
      </c>
      <c r="F337" s="34" t="n">
        <v>20</v>
      </c>
      <c r="G337" s="34" t="n">
        <v>4</v>
      </c>
      <c r="H337" s="40" t="n">
        <v>553.98</v>
      </c>
      <c r="I337" s="34" t="n">
        <v>0.01</v>
      </c>
      <c r="J337" s="34" t="n">
        <v>0.01</v>
      </c>
      <c r="K337" s="34" t="n">
        <v>0.01</v>
      </c>
      <c r="L337" s="34" t="n">
        <v>100.04</v>
      </c>
      <c r="M337" s="34" t="n">
        <v>100.04</v>
      </c>
      <c r="N337" s="34" t="n">
        <v>705</v>
      </c>
      <c r="O337" s="34" t="n">
        <v>0</v>
      </c>
      <c r="P337" s="34" t="s">
        <v>510</v>
      </c>
    </row>
    <row r="338" customFormat="false" ht="14.4" hidden="false" customHeight="false" outlineLevel="0" collapsed="false">
      <c r="A338" s="34" t="n">
        <v>337</v>
      </c>
      <c r="B338" s="35" t="n">
        <v>12457520000107</v>
      </c>
      <c r="C338" s="34" t="s">
        <v>1117</v>
      </c>
      <c r="D338" s="34" t="s">
        <v>139</v>
      </c>
      <c r="E338" s="34" t="s">
        <v>1118</v>
      </c>
      <c r="F338" s="34" t="n">
        <v>22</v>
      </c>
      <c r="G338" s="34" t="n">
        <v>2</v>
      </c>
      <c r="H338" s="40" t="n">
        <v>551.62</v>
      </c>
      <c r="I338" s="34" t="n">
        <v>0.01</v>
      </c>
      <c r="J338" s="34" t="n">
        <v>0</v>
      </c>
      <c r="K338" s="34" t="n">
        <v>0.01</v>
      </c>
      <c r="L338" s="34" t="n">
        <v>100.05</v>
      </c>
      <c r="M338" s="34" t="n">
        <v>100.05</v>
      </c>
      <c r="N338" s="34" t="n">
        <v>214</v>
      </c>
      <c r="O338" s="34" t="n">
        <v>0</v>
      </c>
      <c r="P338" s="34" t="s">
        <v>518</v>
      </c>
    </row>
    <row r="339" customFormat="false" ht="14.4" hidden="false" customHeight="false" outlineLevel="0" collapsed="false">
      <c r="A339" s="34" t="n">
        <v>338</v>
      </c>
      <c r="B339" s="35" t="n">
        <v>33750134000189</v>
      </c>
      <c r="C339" s="34" t="s">
        <v>1119</v>
      </c>
      <c r="D339" s="34" t="s">
        <v>604</v>
      </c>
      <c r="E339" s="34" t="s">
        <v>1120</v>
      </c>
      <c r="F339" s="34" t="n">
        <v>30</v>
      </c>
      <c r="G339" s="34" t="n">
        <v>4</v>
      </c>
      <c r="H339" s="40" t="n">
        <v>548.09</v>
      </c>
      <c r="I339" s="34" t="n">
        <v>0.02</v>
      </c>
      <c r="J339" s="34" t="n">
        <v>0.01</v>
      </c>
      <c r="K339" s="34" t="n">
        <v>0.01</v>
      </c>
      <c r="L339" s="34" t="n">
        <v>100.06</v>
      </c>
      <c r="M339" s="34" t="n">
        <v>100.06</v>
      </c>
      <c r="N339" s="34" t="n">
        <v>710</v>
      </c>
      <c r="O339" s="34" t="n">
        <v>0</v>
      </c>
      <c r="P339" s="34" t="s">
        <v>510</v>
      </c>
    </row>
    <row r="340" customFormat="false" ht="14.4" hidden="false" customHeight="false" outlineLevel="0" collapsed="false">
      <c r="A340" s="34" t="n">
        <v>339</v>
      </c>
      <c r="B340" s="35" t="n">
        <v>3149834000151</v>
      </c>
      <c r="C340" s="34" t="s">
        <v>1121</v>
      </c>
      <c r="D340" s="34" t="s">
        <v>103</v>
      </c>
      <c r="E340" s="34" t="s">
        <v>1122</v>
      </c>
      <c r="F340" s="34" t="n">
        <v>27</v>
      </c>
      <c r="G340" s="34" t="n">
        <v>4</v>
      </c>
      <c r="H340" s="40" t="n">
        <v>547.29</v>
      </c>
      <c r="I340" s="34" t="n">
        <v>0.02</v>
      </c>
      <c r="J340" s="34" t="n">
        <v>0.01</v>
      </c>
      <c r="K340" s="34" t="n">
        <v>0.01</v>
      </c>
      <c r="L340" s="34" t="n">
        <v>100.07</v>
      </c>
      <c r="M340" s="34" t="n">
        <v>100.07</v>
      </c>
      <c r="N340" s="34" t="n">
        <v>715</v>
      </c>
      <c r="O340" s="34" t="n">
        <v>0</v>
      </c>
      <c r="P340" s="34" t="s">
        <v>510</v>
      </c>
    </row>
    <row r="341" customFormat="false" ht="14.4" hidden="false" customHeight="false" outlineLevel="0" collapsed="false">
      <c r="A341" s="34" t="n">
        <v>340</v>
      </c>
      <c r="B341" s="35" t="n">
        <v>25117031000239</v>
      </c>
      <c r="C341" s="34" t="s">
        <v>940</v>
      </c>
      <c r="D341" s="34" t="s">
        <v>77</v>
      </c>
      <c r="E341" s="34" t="s">
        <v>1123</v>
      </c>
      <c r="F341" s="34" t="n">
        <v>31</v>
      </c>
      <c r="G341" s="34" t="n">
        <v>5</v>
      </c>
      <c r="H341" s="40" t="n">
        <v>545.54</v>
      </c>
      <c r="I341" s="34" t="n">
        <v>0.02</v>
      </c>
      <c r="J341" s="34" t="n">
        <v>0.01</v>
      </c>
      <c r="K341" s="34" t="n">
        <v>0.01</v>
      </c>
      <c r="L341" s="34" t="n">
        <v>100.08</v>
      </c>
      <c r="M341" s="34" t="n">
        <v>100.08</v>
      </c>
      <c r="N341" s="34" t="n">
        <v>757</v>
      </c>
      <c r="O341" s="34" t="n">
        <v>0</v>
      </c>
      <c r="P341" s="34" t="s">
        <v>510</v>
      </c>
    </row>
    <row r="342" customFormat="false" ht="14.4" hidden="false" customHeight="false" outlineLevel="0" collapsed="false">
      <c r="A342" s="34" t="n">
        <v>341</v>
      </c>
      <c r="B342" s="35" t="n">
        <v>3880880000126</v>
      </c>
      <c r="C342" s="34" t="s">
        <v>1124</v>
      </c>
      <c r="D342" s="34" t="s">
        <v>77</v>
      </c>
      <c r="E342" s="34" t="s">
        <v>1125</v>
      </c>
      <c r="F342" s="34" t="n">
        <v>22</v>
      </c>
      <c r="G342" s="34" t="n">
        <v>3</v>
      </c>
      <c r="H342" s="40" t="n">
        <v>542.07</v>
      </c>
      <c r="I342" s="34" t="n">
        <v>0.01</v>
      </c>
      <c r="J342" s="34" t="n">
        <v>0.01</v>
      </c>
      <c r="K342" s="34" t="n">
        <v>0.01</v>
      </c>
      <c r="L342" s="34" t="n">
        <v>100.1</v>
      </c>
      <c r="M342" s="34" t="n">
        <v>100.1</v>
      </c>
      <c r="N342" s="34" t="n">
        <v>757</v>
      </c>
      <c r="O342" s="34" t="n">
        <v>0</v>
      </c>
      <c r="P342" s="34" t="s">
        <v>510</v>
      </c>
    </row>
    <row r="343" customFormat="false" ht="14.4" hidden="false" customHeight="false" outlineLevel="0" collapsed="false">
      <c r="A343" s="34" t="n">
        <v>342</v>
      </c>
      <c r="B343" s="35" t="n">
        <v>1460437000413</v>
      </c>
      <c r="C343" s="34" t="s">
        <v>1126</v>
      </c>
      <c r="D343" s="34" t="s">
        <v>804</v>
      </c>
      <c r="E343" s="34" t="s">
        <v>1127</v>
      </c>
      <c r="F343" s="34" t="n">
        <v>28</v>
      </c>
      <c r="G343" s="34" t="n">
        <v>6</v>
      </c>
      <c r="H343" s="40" t="n">
        <v>540.33</v>
      </c>
      <c r="I343" s="34" t="n">
        <v>0.02</v>
      </c>
      <c r="J343" s="34" t="n">
        <v>0.02</v>
      </c>
      <c r="K343" s="34" t="n">
        <v>0.01</v>
      </c>
      <c r="L343" s="34" t="n">
        <v>100.11</v>
      </c>
      <c r="M343" s="34" t="n">
        <v>100.11</v>
      </c>
      <c r="N343" s="34" t="n">
        <v>705</v>
      </c>
      <c r="O343" s="34" t="n">
        <v>0</v>
      </c>
      <c r="P343" s="34" t="s">
        <v>501</v>
      </c>
    </row>
    <row r="344" customFormat="false" ht="14.4" hidden="false" customHeight="false" outlineLevel="0" collapsed="false">
      <c r="A344" s="34" t="n">
        <v>343</v>
      </c>
      <c r="B344" s="35" t="n">
        <v>12454544000102</v>
      </c>
      <c r="C344" s="34" t="s">
        <v>1128</v>
      </c>
      <c r="D344" s="34" t="s">
        <v>139</v>
      </c>
      <c r="E344" s="34" t="s">
        <v>1129</v>
      </c>
      <c r="F344" s="34" t="n">
        <v>17</v>
      </c>
      <c r="G344" s="34" t="n">
        <v>5</v>
      </c>
      <c r="H344" s="40" t="n">
        <v>534.21</v>
      </c>
      <c r="I344" s="34" t="n">
        <v>0.01</v>
      </c>
      <c r="J344" s="34" t="n">
        <v>0.02</v>
      </c>
      <c r="K344" s="34" t="n">
        <v>0.01</v>
      </c>
      <c r="L344" s="34" t="n">
        <v>100.12</v>
      </c>
      <c r="M344" s="34" t="n">
        <v>100.12</v>
      </c>
      <c r="N344" s="34" t="n">
        <v>214</v>
      </c>
      <c r="O344" s="34" t="n">
        <v>0</v>
      </c>
      <c r="P344" s="34" t="s">
        <v>501</v>
      </c>
    </row>
    <row r="345" customFormat="false" ht="14.4" hidden="false" customHeight="false" outlineLevel="0" collapsed="false">
      <c r="A345" s="34" t="n">
        <v>344</v>
      </c>
      <c r="B345" s="35" t="n">
        <v>2466858000171</v>
      </c>
      <c r="C345" s="34" t="s">
        <v>1130</v>
      </c>
      <c r="D345" s="34" t="s">
        <v>213</v>
      </c>
      <c r="E345" s="34" t="s">
        <v>1131</v>
      </c>
      <c r="F345" s="34" t="n">
        <v>24</v>
      </c>
      <c r="G345" s="34" t="n">
        <v>4</v>
      </c>
      <c r="H345" s="40" t="n">
        <v>527.14</v>
      </c>
      <c r="I345" s="34" t="n">
        <v>0.01</v>
      </c>
      <c r="J345" s="34" t="n">
        <v>0.01</v>
      </c>
      <c r="K345" s="34" t="n">
        <v>0.01</v>
      </c>
      <c r="L345" s="34" t="n">
        <v>100.13</v>
      </c>
      <c r="M345" s="34" t="n">
        <v>100.13</v>
      </c>
      <c r="N345" s="34" t="n">
        <v>709</v>
      </c>
      <c r="O345" s="34" t="n">
        <v>0</v>
      </c>
      <c r="P345" s="34" t="s">
        <v>504</v>
      </c>
    </row>
    <row r="346" customFormat="false" ht="14.4" hidden="false" customHeight="false" outlineLevel="0" collapsed="false">
      <c r="A346" s="34" t="n">
        <v>345</v>
      </c>
      <c r="B346" s="35" t="n">
        <v>25361533000120</v>
      </c>
      <c r="C346" s="34" t="s">
        <v>1132</v>
      </c>
      <c r="D346" s="34" t="s">
        <v>89</v>
      </c>
      <c r="E346" s="34" t="s">
        <v>1133</v>
      </c>
      <c r="F346" s="34" t="n">
        <v>22</v>
      </c>
      <c r="G346" s="34" t="n">
        <v>6</v>
      </c>
      <c r="H346" s="40" t="n">
        <v>526.36</v>
      </c>
      <c r="I346" s="34" t="n">
        <v>0.01</v>
      </c>
      <c r="J346" s="34" t="n">
        <v>0.02</v>
      </c>
      <c r="K346" s="34" t="n">
        <v>0.01</v>
      </c>
      <c r="L346" s="34" t="n">
        <v>100.14</v>
      </c>
      <c r="M346" s="34" t="n">
        <v>100.14</v>
      </c>
      <c r="N346" s="34" t="n">
        <v>711</v>
      </c>
      <c r="O346" s="34" t="n">
        <v>0</v>
      </c>
      <c r="P346" s="34" t="s">
        <v>518</v>
      </c>
    </row>
    <row r="347" customFormat="false" ht="14.4" hidden="false" customHeight="false" outlineLevel="0" collapsed="false">
      <c r="A347" s="34" t="n">
        <v>346</v>
      </c>
      <c r="B347" s="35" t="n">
        <v>3047609000104</v>
      </c>
      <c r="C347" s="34" t="s">
        <v>1134</v>
      </c>
      <c r="D347" s="34" t="s">
        <v>762</v>
      </c>
      <c r="E347" s="34" t="s">
        <v>526</v>
      </c>
      <c r="F347" s="34" t="n">
        <v>-24</v>
      </c>
      <c r="G347" s="34" t="n">
        <v>-3</v>
      </c>
      <c r="H347" s="40" t="n">
        <v>525.66</v>
      </c>
      <c r="I347" s="34" t="n">
        <v>-0.01</v>
      </c>
      <c r="J347" s="34" t="n">
        <v>-0.01</v>
      </c>
      <c r="K347" s="34" t="n">
        <v>0.01</v>
      </c>
      <c r="L347" s="34" t="n">
        <v>100.15</v>
      </c>
      <c r="M347" s="34" t="n">
        <v>100.15</v>
      </c>
      <c r="N347" s="34" t="n">
        <v>710</v>
      </c>
      <c r="O347" s="34" t="n">
        <v>0</v>
      </c>
      <c r="P347" s="34" t="s">
        <v>1135</v>
      </c>
    </row>
    <row r="348" customFormat="false" ht="14.4" hidden="false" customHeight="false" outlineLevel="0" collapsed="false">
      <c r="A348" s="34" t="n">
        <v>347</v>
      </c>
      <c r="B348" s="35" t="n">
        <v>32796370000173</v>
      </c>
      <c r="C348" s="34" t="s">
        <v>1136</v>
      </c>
      <c r="D348" s="34" t="s">
        <v>77</v>
      </c>
      <c r="E348" s="34" t="s">
        <v>1137</v>
      </c>
      <c r="F348" s="34" t="n">
        <v>20</v>
      </c>
      <c r="G348" s="34" t="n">
        <v>4</v>
      </c>
      <c r="H348" s="40" t="n">
        <v>515.72</v>
      </c>
      <c r="I348" s="34" t="n">
        <v>0.01</v>
      </c>
      <c r="J348" s="34" t="n">
        <v>0.01</v>
      </c>
      <c r="K348" s="34" t="n">
        <v>0.01</v>
      </c>
      <c r="L348" s="34" t="n">
        <v>100.16</v>
      </c>
      <c r="M348" s="34" t="n">
        <v>100.16</v>
      </c>
      <c r="N348" s="34" t="n">
        <v>757</v>
      </c>
      <c r="O348" s="34" t="n">
        <v>0</v>
      </c>
      <c r="P348" s="34" t="s">
        <v>518</v>
      </c>
    </row>
    <row r="349" customFormat="false" ht="14.4" hidden="false" customHeight="false" outlineLevel="0" collapsed="false">
      <c r="A349" s="34" t="n">
        <v>348</v>
      </c>
      <c r="B349" s="35" t="n">
        <v>12635177000143</v>
      </c>
      <c r="C349" s="34" t="s">
        <v>1138</v>
      </c>
      <c r="D349" s="34" t="s">
        <v>89</v>
      </c>
      <c r="E349" s="34" t="s">
        <v>1139</v>
      </c>
      <c r="F349" s="34" t="n">
        <v>11</v>
      </c>
      <c r="G349" s="34" t="n">
        <v>2</v>
      </c>
      <c r="H349" s="40" t="n">
        <v>509.87</v>
      </c>
      <c r="I349" s="34" t="n">
        <v>0</v>
      </c>
      <c r="J349" s="34" t="n">
        <v>0</v>
      </c>
      <c r="K349" s="34" t="n">
        <v>0.01</v>
      </c>
      <c r="L349" s="34" t="n">
        <v>100.18</v>
      </c>
      <c r="M349" s="34" t="n">
        <v>100.18</v>
      </c>
      <c r="N349" s="34" t="n">
        <v>711</v>
      </c>
      <c r="O349" s="34" t="n">
        <v>0</v>
      </c>
      <c r="P349" s="34" t="s">
        <v>510</v>
      </c>
    </row>
    <row r="350" customFormat="false" ht="14.4" hidden="false" customHeight="false" outlineLevel="0" collapsed="false">
      <c r="A350" s="34" t="n">
        <v>349</v>
      </c>
      <c r="B350" s="35" t="n">
        <v>33329412000129</v>
      </c>
      <c r="C350" s="34" t="s">
        <v>1140</v>
      </c>
      <c r="D350" s="34" t="s">
        <v>309</v>
      </c>
      <c r="E350" s="34" t="s">
        <v>1141</v>
      </c>
      <c r="F350" s="34" t="n">
        <v>19</v>
      </c>
      <c r="G350" s="34" t="n">
        <v>8</v>
      </c>
      <c r="H350" s="40" t="n">
        <v>508.77</v>
      </c>
      <c r="I350" s="34" t="n">
        <v>0.01</v>
      </c>
      <c r="J350" s="34" t="n">
        <v>0.03</v>
      </c>
      <c r="K350" s="34" t="n">
        <v>0.01</v>
      </c>
      <c r="L350" s="34" t="n">
        <v>100.19</v>
      </c>
      <c r="M350" s="34" t="n">
        <v>100.19</v>
      </c>
      <c r="N350" s="34" t="n">
        <v>704</v>
      </c>
      <c r="O350" s="34" t="n">
        <v>0</v>
      </c>
      <c r="P350" s="34" t="s">
        <v>518</v>
      </c>
    </row>
    <row r="351" customFormat="false" ht="14.4" hidden="false" customHeight="false" outlineLevel="0" collapsed="false">
      <c r="A351" s="34" t="n">
        <v>350</v>
      </c>
      <c r="B351" s="35" t="n">
        <v>8695858000200</v>
      </c>
      <c r="C351" s="34" t="s">
        <v>1142</v>
      </c>
      <c r="D351" s="34" t="s">
        <v>473</v>
      </c>
      <c r="E351" s="34" t="s">
        <v>1143</v>
      </c>
      <c r="F351" s="34" t="n">
        <v>7</v>
      </c>
      <c r="G351" s="34" t="n">
        <v>2</v>
      </c>
      <c r="H351" s="40" t="n">
        <v>507.02</v>
      </c>
      <c r="I351" s="34" t="n">
        <v>0</v>
      </c>
      <c r="J351" s="34" t="n">
        <v>0</v>
      </c>
      <c r="K351" s="34" t="n">
        <v>0.01</v>
      </c>
      <c r="L351" s="34" t="n">
        <v>100.2</v>
      </c>
      <c r="M351" s="34" t="n">
        <v>100.2</v>
      </c>
      <c r="N351" s="34" t="n">
        <v>718</v>
      </c>
      <c r="O351" s="34" t="n">
        <v>0</v>
      </c>
      <c r="P351" s="34" t="s">
        <v>504</v>
      </c>
    </row>
    <row r="352" customFormat="false" ht="14.4" hidden="false" customHeight="false" outlineLevel="0" collapsed="false">
      <c r="A352" s="34" t="n">
        <v>351</v>
      </c>
      <c r="B352" s="35" t="n">
        <v>528031000209</v>
      </c>
      <c r="C352" s="34" t="s">
        <v>1144</v>
      </c>
      <c r="D352" s="34" t="s">
        <v>473</v>
      </c>
      <c r="E352" s="34" t="s">
        <v>1145</v>
      </c>
      <c r="F352" s="34" t="n">
        <v>12</v>
      </c>
      <c r="G352" s="34" t="n">
        <v>4</v>
      </c>
      <c r="H352" s="40" t="n">
        <v>497.4</v>
      </c>
      <c r="I352" s="34" t="n">
        <v>0</v>
      </c>
      <c r="J352" s="34" t="n">
        <v>0.01</v>
      </c>
      <c r="K352" s="34" t="n">
        <v>0.01</v>
      </c>
      <c r="L352" s="34" t="n">
        <v>100.21</v>
      </c>
      <c r="M352" s="34" t="n">
        <v>100.21</v>
      </c>
      <c r="N352" s="34" t="n">
        <v>718</v>
      </c>
      <c r="O352" s="34" t="n">
        <v>0</v>
      </c>
      <c r="P352" s="34" t="s">
        <v>518</v>
      </c>
    </row>
    <row r="353" customFormat="false" ht="14.4" hidden="false" customHeight="false" outlineLevel="0" collapsed="false">
      <c r="A353" s="34" t="n">
        <v>352</v>
      </c>
      <c r="B353" s="35" t="n">
        <v>735005000162</v>
      </c>
      <c r="C353" s="34" t="s">
        <v>1146</v>
      </c>
      <c r="D353" s="34" t="s">
        <v>103</v>
      </c>
      <c r="E353" s="34" t="s">
        <v>473</v>
      </c>
      <c r="F353" s="34" t="n">
        <v>12</v>
      </c>
      <c r="G353" s="34" t="n">
        <v>5</v>
      </c>
      <c r="H353" s="40" t="n">
        <v>478.87</v>
      </c>
      <c r="I353" s="34" t="n">
        <v>0</v>
      </c>
      <c r="J353" s="34" t="n">
        <v>0.02</v>
      </c>
      <c r="K353" s="34" t="n">
        <v>0.01</v>
      </c>
      <c r="L353" s="34" t="n">
        <v>100.22</v>
      </c>
      <c r="M353" s="34" t="n">
        <v>100.22</v>
      </c>
      <c r="N353" s="34" t="n">
        <v>715</v>
      </c>
      <c r="O353" s="34" t="n">
        <v>0</v>
      </c>
      <c r="P353" s="34" t="s">
        <v>510</v>
      </c>
    </row>
    <row r="354" customFormat="false" ht="14.4" hidden="false" customHeight="false" outlineLevel="0" collapsed="false">
      <c r="A354" s="34" t="n">
        <v>353</v>
      </c>
      <c r="B354" s="35" t="n">
        <v>4860926000108</v>
      </c>
      <c r="C354" s="34" t="s">
        <v>1147</v>
      </c>
      <c r="D354" s="34" t="s">
        <v>357</v>
      </c>
      <c r="E354" s="34" t="s">
        <v>1148</v>
      </c>
      <c r="F354" s="34" t="n">
        <v>14</v>
      </c>
      <c r="G354" s="34" t="n">
        <v>3</v>
      </c>
      <c r="H354" s="40" t="n">
        <v>478.05</v>
      </c>
      <c r="I354" s="34" t="n">
        <v>0.01</v>
      </c>
      <c r="J354" s="34" t="n">
        <v>0.01</v>
      </c>
      <c r="K354" s="34" t="n">
        <v>0.01</v>
      </c>
      <c r="L354" s="34" t="n">
        <v>100.23</v>
      </c>
      <c r="M354" s="34" t="n">
        <v>100.23</v>
      </c>
      <c r="N354" s="34" t="n">
        <v>708</v>
      </c>
      <c r="O354" s="34" t="n">
        <v>0</v>
      </c>
      <c r="P354" s="34" t="s">
        <v>501</v>
      </c>
    </row>
    <row r="355" customFormat="false" ht="14.4" hidden="false" customHeight="false" outlineLevel="0" collapsed="false">
      <c r="A355" s="34" t="n">
        <v>354</v>
      </c>
      <c r="B355" s="35" t="n">
        <v>52953610000103</v>
      </c>
      <c r="C355" s="34" t="s">
        <v>1149</v>
      </c>
      <c r="D355" s="34" t="s">
        <v>89</v>
      </c>
      <c r="E355" s="34" t="s">
        <v>1150</v>
      </c>
      <c r="F355" s="34" t="n">
        <v>23</v>
      </c>
      <c r="G355" s="34" t="n">
        <v>4</v>
      </c>
      <c r="H355" s="40" t="n">
        <v>476.98</v>
      </c>
      <c r="I355" s="34" t="n">
        <v>0.01</v>
      </c>
      <c r="J355" s="34" t="n">
        <v>0.01</v>
      </c>
      <c r="K355" s="34" t="n">
        <v>0.01</v>
      </c>
      <c r="L355" s="34" t="n">
        <v>100.24</v>
      </c>
      <c r="M355" s="34" t="n">
        <v>100.24</v>
      </c>
      <c r="N355" s="34" t="n">
        <v>711</v>
      </c>
      <c r="O355" s="34" t="n">
        <v>0</v>
      </c>
      <c r="P355" s="34" t="s">
        <v>776</v>
      </c>
    </row>
    <row r="356" customFormat="false" ht="14.4" hidden="false" customHeight="false" outlineLevel="0" collapsed="false">
      <c r="A356" s="34" t="n">
        <v>355</v>
      </c>
      <c r="B356" s="35" t="n">
        <v>4610833000125</v>
      </c>
      <c r="C356" s="34" t="s">
        <v>1151</v>
      </c>
      <c r="D356" s="34" t="s">
        <v>77</v>
      </c>
      <c r="E356" s="34" t="s">
        <v>1152</v>
      </c>
      <c r="F356" s="34" t="n">
        <v>14</v>
      </c>
      <c r="G356" s="34" t="n">
        <v>2</v>
      </c>
      <c r="H356" s="40" t="n">
        <v>465.03</v>
      </c>
      <c r="I356" s="34" t="n">
        <v>0.01</v>
      </c>
      <c r="J356" s="34" t="n">
        <v>0</v>
      </c>
      <c r="K356" s="34" t="n">
        <v>0.01</v>
      </c>
      <c r="L356" s="34" t="n">
        <v>100.25</v>
      </c>
      <c r="M356" s="34" t="n">
        <v>100.25</v>
      </c>
      <c r="N356" s="34" t="n">
        <v>130</v>
      </c>
      <c r="O356" s="34" t="n">
        <v>0</v>
      </c>
      <c r="P356" s="34" t="s">
        <v>510</v>
      </c>
    </row>
    <row r="357" customFormat="false" ht="14.4" hidden="false" customHeight="false" outlineLevel="0" collapsed="false">
      <c r="A357" s="34" t="n">
        <v>356</v>
      </c>
      <c r="B357" s="35" t="n">
        <v>19222566000196</v>
      </c>
      <c r="C357" s="34" t="s">
        <v>288</v>
      </c>
      <c r="D357" s="34" t="s">
        <v>192</v>
      </c>
      <c r="E357" s="34" t="s">
        <v>1153</v>
      </c>
      <c r="F357" s="34" t="n">
        <v>8</v>
      </c>
      <c r="G357" s="34" t="n">
        <v>2</v>
      </c>
      <c r="H357" s="40" t="n">
        <v>464</v>
      </c>
      <c r="I357" s="34" t="n">
        <v>0</v>
      </c>
      <c r="J357" s="34" t="n">
        <v>0</v>
      </c>
      <c r="K357" s="34" t="n">
        <v>0.01</v>
      </c>
      <c r="L357" s="34" t="n">
        <v>100.26</v>
      </c>
      <c r="M357" s="34" t="n">
        <v>100.26</v>
      </c>
      <c r="N357" s="34" t="n">
        <v>703</v>
      </c>
      <c r="O357" s="34" t="n">
        <v>0</v>
      </c>
      <c r="P357" s="34" t="s">
        <v>501</v>
      </c>
    </row>
    <row r="358" customFormat="false" ht="14.4" hidden="false" customHeight="false" outlineLevel="0" collapsed="false">
      <c r="A358" s="34" t="n">
        <v>357</v>
      </c>
      <c r="B358" s="35" t="n">
        <v>4738857000598</v>
      </c>
      <c r="C358" s="34" t="s">
        <v>839</v>
      </c>
      <c r="D358" s="34" t="s">
        <v>77</v>
      </c>
      <c r="E358" s="34" t="s">
        <v>1154</v>
      </c>
      <c r="F358" s="34" t="n">
        <v>15</v>
      </c>
      <c r="G358" s="34" t="n">
        <v>3</v>
      </c>
      <c r="H358" s="40" t="n">
        <v>459.85</v>
      </c>
      <c r="I358" s="34" t="n">
        <v>0.01</v>
      </c>
      <c r="J358" s="34" t="n">
        <v>0.01</v>
      </c>
      <c r="K358" s="34" t="n">
        <v>0</v>
      </c>
      <c r="L358" s="34" t="n">
        <v>100.27</v>
      </c>
      <c r="M358" s="34" t="n">
        <v>100.27</v>
      </c>
      <c r="N358" s="34" t="n">
        <v>702</v>
      </c>
      <c r="O358" s="34" t="n">
        <v>0</v>
      </c>
      <c r="P358" s="34" t="s">
        <v>501</v>
      </c>
    </row>
    <row r="359" customFormat="false" ht="14.4" hidden="false" customHeight="false" outlineLevel="0" collapsed="false">
      <c r="A359" s="34" t="n">
        <v>358</v>
      </c>
      <c r="B359" s="35" t="n">
        <v>1460437000170</v>
      </c>
      <c r="C359" s="34" t="s">
        <v>803</v>
      </c>
      <c r="D359" s="34" t="s">
        <v>692</v>
      </c>
      <c r="E359" s="34" t="s">
        <v>1155</v>
      </c>
      <c r="F359" s="34" t="n">
        <v>19</v>
      </c>
      <c r="G359" s="34" t="n">
        <v>4</v>
      </c>
      <c r="H359" s="40" t="n">
        <v>458.75</v>
      </c>
      <c r="I359" s="34" t="n">
        <v>0.01</v>
      </c>
      <c r="J359" s="34" t="n">
        <v>0.01</v>
      </c>
      <c r="K359" s="34" t="n">
        <v>0</v>
      </c>
      <c r="L359" s="34" t="n">
        <v>100.28</v>
      </c>
      <c r="M359" s="34" t="n">
        <v>100.28</v>
      </c>
      <c r="N359" s="34" t="n">
        <v>705</v>
      </c>
      <c r="O359" s="34" t="n">
        <v>0</v>
      </c>
      <c r="P359" s="34" t="s">
        <v>504</v>
      </c>
    </row>
    <row r="360" customFormat="false" ht="14.4" hidden="false" customHeight="false" outlineLevel="0" collapsed="false">
      <c r="A360" s="34" t="n">
        <v>359</v>
      </c>
      <c r="B360" s="35" t="n">
        <v>53475329000175</v>
      </c>
      <c r="C360" s="34" t="s">
        <v>1156</v>
      </c>
      <c r="D360" s="34" t="s">
        <v>328</v>
      </c>
      <c r="E360" s="34" t="s">
        <v>1157</v>
      </c>
      <c r="F360" s="34" t="n">
        <v>10</v>
      </c>
      <c r="G360" s="34" t="n">
        <v>2</v>
      </c>
      <c r="H360" s="40" t="n">
        <v>457.09</v>
      </c>
      <c r="I360" s="34" t="n">
        <v>0</v>
      </c>
      <c r="J360" s="34" t="n">
        <v>0</v>
      </c>
      <c r="K360" s="34" t="n">
        <v>0</v>
      </c>
      <c r="L360" s="34" t="n">
        <v>100.29</v>
      </c>
      <c r="M360" s="34" t="n">
        <v>100.29</v>
      </c>
      <c r="N360" s="34" t="n">
        <v>705</v>
      </c>
      <c r="O360" s="34" t="n">
        <v>0</v>
      </c>
      <c r="P360" s="34" t="s">
        <v>834</v>
      </c>
    </row>
    <row r="361" customFormat="false" ht="14.4" hidden="false" customHeight="false" outlineLevel="0" collapsed="false">
      <c r="A361" s="34" t="n">
        <v>360</v>
      </c>
      <c r="B361" s="35" t="n">
        <v>49745233000102</v>
      </c>
      <c r="C361" s="34" t="s">
        <v>1158</v>
      </c>
      <c r="D361" s="34" t="s">
        <v>309</v>
      </c>
      <c r="E361" s="34" t="s">
        <v>1159</v>
      </c>
      <c r="F361" s="34" t="n">
        <v>10</v>
      </c>
      <c r="G361" s="34" t="n">
        <v>1</v>
      </c>
      <c r="H361" s="40" t="n">
        <v>427.2</v>
      </c>
      <c r="I361" s="34" t="n">
        <v>0</v>
      </c>
      <c r="J361" s="34" t="n">
        <v>0</v>
      </c>
      <c r="K361" s="34" t="n">
        <v>0</v>
      </c>
      <c r="L361" s="34" t="n">
        <v>100.3</v>
      </c>
      <c r="M361" s="34" t="n">
        <v>100.3</v>
      </c>
      <c r="N361" s="34" t="n">
        <v>704</v>
      </c>
      <c r="O361" s="34" t="n">
        <v>0</v>
      </c>
      <c r="P361" s="34" t="s">
        <v>510</v>
      </c>
    </row>
    <row r="362" customFormat="false" ht="14.4" hidden="false" customHeight="false" outlineLevel="0" collapsed="false">
      <c r="A362" s="34" t="n">
        <v>361</v>
      </c>
      <c r="B362" s="35" t="n">
        <v>21909498000180</v>
      </c>
      <c r="C362" s="34" t="s">
        <v>1160</v>
      </c>
      <c r="D362" s="34" t="s">
        <v>139</v>
      </c>
      <c r="E362" s="34" t="s">
        <v>527</v>
      </c>
      <c r="F362" s="34" t="n">
        <v>12</v>
      </c>
      <c r="G362" s="34" t="n">
        <v>1</v>
      </c>
      <c r="H362" s="40" t="n">
        <v>421.92</v>
      </c>
      <c r="I362" s="34" t="n">
        <v>0</v>
      </c>
      <c r="J362" s="34" t="n">
        <v>0</v>
      </c>
      <c r="K362" s="34" t="n">
        <v>0</v>
      </c>
      <c r="L362" s="34" t="n">
        <v>100.31</v>
      </c>
      <c r="M362" s="34" t="n">
        <v>100.31</v>
      </c>
      <c r="N362" s="34" t="n">
        <v>214</v>
      </c>
      <c r="O362" s="34" t="n">
        <v>0</v>
      </c>
      <c r="P362" s="34" t="s">
        <v>800</v>
      </c>
    </row>
    <row r="363" customFormat="false" ht="14.4" hidden="false" customHeight="false" outlineLevel="0" collapsed="false">
      <c r="A363" s="34" t="n">
        <v>362</v>
      </c>
      <c r="B363" s="35" t="n">
        <v>16605155000191</v>
      </c>
      <c r="C363" s="34" t="s">
        <v>1161</v>
      </c>
      <c r="D363" s="34" t="s">
        <v>604</v>
      </c>
      <c r="E363" s="34" t="s">
        <v>1162</v>
      </c>
      <c r="F363" s="34" t="n">
        <v>34</v>
      </c>
      <c r="G363" s="34" t="n">
        <v>5</v>
      </c>
      <c r="H363" s="40" t="n">
        <v>418.64</v>
      </c>
      <c r="I363" s="34" t="n">
        <v>0.02</v>
      </c>
      <c r="J363" s="34" t="n">
        <v>0.02</v>
      </c>
      <c r="K363" s="34" t="n">
        <v>0</v>
      </c>
      <c r="L363" s="34" t="n">
        <v>100.32</v>
      </c>
      <c r="M363" s="34" t="n">
        <v>100.32</v>
      </c>
      <c r="N363" s="34" t="n">
        <v>710</v>
      </c>
      <c r="O363" s="34" t="n">
        <v>0</v>
      </c>
      <c r="P363" s="34" t="s">
        <v>510</v>
      </c>
    </row>
    <row r="364" customFormat="false" ht="14.4" hidden="false" customHeight="false" outlineLevel="0" collapsed="false">
      <c r="A364" s="34" t="n">
        <v>363</v>
      </c>
      <c r="B364" s="35" t="n">
        <v>4738857000326</v>
      </c>
      <c r="C364" s="34" t="s">
        <v>839</v>
      </c>
      <c r="D364" s="34" t="s">
        <v>77</v>
      </c>
      <c r="E364" s="34" t="s">
        <v>1163</v>
      </c>
      <c r="F364" s="34" t="n">
        <v>17</v>
      </c>
      <c r="G364" s="34" t="n">
        <v>4</v>
      </c>
      <c r="H364" s="40" t="n">
        <v>418.6</v>
      </c>
      <c r="I364" s="34" t="n">
        <v>0.01</v>
      </c>
      <c r="J364" s="34" t="n">
        <v>0.01</v>
      </c>
      <c r="K364" s="34" t="n">
        <v>0</v>
      </c>
      <c r="L364" s="34" t="n">
        <v>100.33</v>
      </c>
      <c r="M364" s="34" t="n">
        <v>100.33</v>
      </c>
      <c r="N364" s="34" t="n">
        <v>702</v>
      </c>
      <c r="O364" s="34" t="n">
        <v>0</v>
      </c>
      <c r="P364" s="34" t="s">
        <v>496</v>
      </c>
    </row>
    <row r="365" customFormat="false" ht="14.4" hidden="false" customHeight="false" outlineLevel="0" collapsed="false">
      <c r="A365" s="34" t="n">
        <v>364</v>
      </c>
      <c r="B365" s="35" t="n">
        <v>36798031000187</v>
      </c>
      <c r="C365" s="34" t="s">
        <v>1164</v>
      </c>
      <c r="D365" s="34" t="s">
        <v>473</v>
      </c>
      <c r="E365" s="34" t="s">
        <v>1165</v>
      </c>
      <c r="F365" s="34" t="n">
        <v>10</v>
      </c>
      <c r="G365" s="34" t="n">
        <v>2</v>
      </c>
      <c r="H365" s="40" t="n">
        <v>410.22</v>
      </c>
      <c r="I365" s="34" t="n">
        <v>0</v>
      </c>
      <c r="J365" s="34" t="n">
        <v>0</v>
      </c>
      <c r="K365" s="34" t="n">
        <v>0</v>
      </c>
      <c r="L365" s="34" t="n">
        <v>100.33</v>
      </c>
      <c r="M365" s="34" t="n">
        <v>100.33</v>
      </c>
      <c r="N365" s="34" t="n">
        <v>718</v>
      </c>
      <c r="O365" s="34" t="n">
        <v>0</v>
      </c>
      <c r="P365" s="34" t="s">
        <v>510</v>
      </c>
    </row>
    <row r="366" customFormat="false" ht="14.4" hidden="false" customHeight="false" outlineLevel="0" collapsed="false">
      <c r="A366" s="34" t="n">
        <v>365</v>
      </c>
      <c r="B366" s="35" t="n">
        <v>18659180000183</v>
      </c>
      <c r="C366" s="34" t="s">
        <v>1166</v>
      </c>
      <c r="D366" s="34" t="s">
        <v>77</v>
      </c>
      <c r="E366" s="34" t="s">
        <v>1167</v>
      </c>
      <c r="F366" s="34" t="n">
        <v>13</v>
      </c>
      <c r="G366" s="34" t="n">
        <v>2</v>
      </c>
      <c r="H366" s="40" t="n">
        <v>405.1</v>
      </c>
      <c r="I366" s="34" t="n">
        <v>0</v>
      </c>
      <c r="J366" s="34" t="n">
        <v>0</v>
      </c>
      <c r="K366" s="34" t="n">
        <v>0</v>
      </c>
      <c r="L366" s="34" t="n">
        <v>100.34</v>
      </c>
      <c r="M366" s="34" t="n">
        <v>100.34</v>
      </c>
      <c r="N366" s="34" t="n">
        <v>757</v>
      </c>
      <c r="O366" s="34" t="n">
        <v>0</v>
      </c>
      <c r="P366" s="34" t="s">
        <v>518</v>
      </c>
    </row>
    <row r="367" customFormat="false" ht="14.4" hidden="false" customHeight="false" outlineLevel="0" collapsed="false">
      <c r="A367" s="34" t="n">
        <v>366</v>
      </c>
      <c r="B367" s="35" t="n">
        <v>7287900000100</v>
      </c>
      <c r="C367" s="34" t="s">
        <v>1168</v>
      </c>
      <c r="D367" s="34" t="s">
        <v>77</v>
      </c>
      <c r="E367" s="34" t="s">
        <v>1169</v>
      </c>
      <c r="F367" s="34" t="n">
        <v>16</v>
      </c>
      <c r="G367" s="34" t="n">
        <v>3</v>
      </c>
      <c r="H367" s="40" t="n">
        <v>403.77</v>
      </c>
      <c r="I367" s="34" t="n">
        <v>0.01</v>
      </c>
      <c r="J367" s="34" t="n">
        <v>0.01</v>
      </c>
      <c r="K367" s="34" t="n">
        <v>0</v>
      </c>
      <c r="L367" s="34" t="n">
        <v>100.35</v>
      </c>
      <c r="M367" s="34" t="n">
        <v>100.35</v>
      </c>
      <c r="N367" s="34" t="n">
        <v>759</v>
      </c>
      <c r="O367" s="34" t="n">
        <v>0</v>
      </c>
      <c r="P367" s="34" t="s">
        <v>501</v>
      </c>
    </row>
    <row r="368" customFormat="false" ht="14.4" hidden="false" customHeight="false" outlineLevel="0" collapsed="false">
      <c r="A368" s="34" t="n">
        <v>367</v>
      </c>
      <c r="B368" s="35" t="n">
        <v>48315092000125</v>
      </c>
      <c r="C368" s="34" t="s">
        <v>1170</v>
      </c>
      <c r="D368" s="34" t="s">
        <v>89</v>
      </c>
      <c r="E368" s="34" t="s">
        <v>1171</v>
      </c>
      <c r="F368" s="34" t="n">
        <v>15</v>
      </c>
      <c r="G368" s="34" t="n">
        <v>3</v>
      </c>
      <c r="H368" s="40" t="n">
        <v>397.92</v>
      </c>
      <c r="I368" s="34" t="n">
        <v>0.01</v>
      </c>
      <c r="J368" s="34" t="n">
        <v>0.01</v>
      </c>
      <c r="K368" s="34" t="n">
        <v>0</v>
      </c>
      <c r="L368" s="34" t="n">
        <v>100.36</v>
      </c>
      <c r="M368" s="34" t="n">
        <v>100.36</v>
      </c>
      <c r="N368" s="34" t="n">
        <v>711</v>
      </c>
      <c r="O368" s="34" t="n">
        <v>0</v>
      </c>
      <c r="P368" s="34" t="s">
        <v>518</v>
      </c>
    </row>
    <row r="369" customFormat="false" ht="14.4" hidden="false" customHeight="false" outlineLevel="0" collapsed="false">
      <c r="A369" s="34" t="n">
        <v>368</v>
      </c>
      <c r="B369" s="35" t="n">
        <v>26217555000183</v>
      </c>
      <c r="C369" s="34" t="s">
        <v>1172</v>
      </c>
      <c r="D369" s="34" t="s">
        <v>77</v>
      </c>
      <c r="E369" s="34" t="s">
        <v>1173</v>
      </c>
      <c r="F369" s="34" t="n">
        <v>5</v>
      </c>
      <c r="G369" s="34" t="n">
        <v>1</v>
      </c>
      <c r="H369" s="40" t="n">
        <v>382.77</v>
      </c>
      <c r="I369" s="34" t="n">
        <v>0</v>
      </c>
      <c r="J369" s="34" t="n">
        <v>0</v>
      </c>
      <c r="K369" s="34" t="n">
        <v>0</v>
      </c>
      <c r="L369" s="34" t="n">
        <v>100.37</v>
      </c>
      <c r="M369" s="34" t="n">
        <v>100.37</v>
      </c>
      <c r="N369" s="34" t="n">
        <v>800</v>
      </c>
      <c r="O369" s="34" t="n">
        <v>0</v>
      </c>
      <c r="P369" s="34" t="s">
        <v>1135</v>
      </c>
    </row>
    <row r="370" customFormat="false" ht="14.4" hidden="false" customHeight="false" outlineLevel="0" collapsed="false">
      <c r="A370" s="34" t="n">
        <v>369</v>
      </c>
      <c r="B370" s="35" t="n">
        <v>46513082000179</v>
      </c>
      <c r="C370" s="34" t="s">
        <v>1174</v>
      </c>
      <c r="D370" s="34" t="s">
        <v>77</v>
      </c>
      <c r="E370" s="34" t="s">
        <v>1175</v>
      </c>
      <c r="F370" s="34" t="n">
        <v>15</v>
      </c>
      <c r="G370" s="34" t="n">
        <v>3</v>
      </c>
      <c r="H370" s="40" t="n">
        <v>378.62</v>
      </c>
      <c r="I370" s="34" t="n">
        <v>0.01</v>
      </c>
      <c r="J370" s="34" t="n">
        <v>0.01</v>
      </c>
      <c r="K370" s="34" t="n">
        <v>0</v>
      </c>
      <c r="L370" s="34" t="n">
        <v>100.38</v>
      </c>
      <c r="M370" s="34" t="n">
        <v>100.38</v>
      </c>
      <c r="N370" s="34" t="n">
        <v>759</v>
      </c>
      <c r="O370" s="34" t="n">
        <v>0</v>
      </c>
      <c r="P370" s="34" t="s">
        <v>510</v>
      </c>
    </row>
    <row r="371" customFormat="false" ht="14.4" hidden="false" customHeight="false" outlineLevel="0" collapsed="false">
      <c r="A371" s="34" t="n">
        <v>370</v>
      </c>
      <c r="B371" s="35" t="n">
        <v>35067431000150</v>
      </c>
      <c r="C371" s="34" t="s">
        <v>1176</v>
      </c>
      <c r="D371" s="34" t="s">
        <v>107</v>
      </c>
      <c r="E371" s="34" t="s">
        <v>1177</v>
      </c>
      <c r="F371" s="34" t="n">
        <v>6</v>
      </c>
      <c r="G371" s="34" t="n">
        <v>1</v>
      </c>
      <c r="H371" s="40" t="n">
        <v>372.45</v>
      </c>
      <c r="I371" s="34" t="n">
        <v>0</v>
      </c>
      <c r="J371" s="34" t="n">
        <v>0</v>
      </c>
      <c r="K371" s="34" t="n">
        <v>0</v>
      </c>
      <c r="L371" s="34" t="n">
        <v>100.39</v>
      </c>
      <c r="M371" s="34" t="n">
        <v>100.39</v>
      </c>
      <c r="N371" s="34" t="n">
        <v>707</v>
      </c>
      <c r="O371" s="34" t="n">
        <v>0</v>
      </c>
      <c r="P371" s="34" t="s">
        <v>773</v>
      </c>
    </row>
    <row r="372" customFormat="false" ht="14.4" hidden="false" customHeight="false" outlineLevel="0" collapsed="false">
      <c r="A372" s="34" t="n">
        <v>371</v>
      </c>
      <c r="B372" s="35" t="n">
        <v>5002689000107</v>
      </c>
      <c r="C372" s="34" t="s">
        <v>1178</v>
      </c>
      <c r="D372" s="34" t="s">
        <v>762</v>
      </c>
      <c r="E372" s="34" t="s">
        <v>1179</v>
      </c>
      <c r="F372" s="34" t="n">
        <v>9</v>
      </c>
      <c r="G372" s="34" t="n">
        <v>1</v>
      </c>
      <c r="H372" s="40" t="n">
        <v>371.76</v>
      </c>
      <c r="I372" s="34" t="n">
        <v>0</v>
      </c>
      <c r="J372" s="34" t="n">
        <v>0</v>
      </c>
      <c r="K372" s="34" t="n">
        <v>0</v>
      </c>
      <c r="L372" s="34" t="n">
        <v>100.39</v>
      </c>
      <c r="M372" s="34" t="n">
        <v>100.39</v>
      </c>
      <c r="N372" s="34" t="n">
        <v>710</v>
      </c>
      <c r="O372" s="34" t="n">
        <v>0</v>
      </c>
      <c r="P372" s="34" t="s">
        <v>510</v>
      </c>
    </row>
    <row r="373" customFormat="false" ht="14.4" hidden="false" customHeight="false" outlineLevel="0" collapsed="false">
      <c r="A373" s="34" t="n">
        <v>372</v>
      </c>
      <c r="B373" s="35" t="n">
        <v>14474031000199</v>
      </c>
      <c r="C373" s="34" t="s">
        <v>1180</v>
      </c>
      <c r="D373" s="34" t="s">
        <v>721</v>
      </c>
      <c r="E373" s="34" t="s">
        <v>822</v>
      </c>
      <c r="F373" s="34" t="n">
        <v>20</v>
      </c>
      <c r="G373" s="34" t="n">
        <v>2</v>
      </c>
      <c r="H373" s="40" t="n">
        <v>360.46</v>
      </c>
      <c r="I373" s="34" t="n">
        <v>0.01</v>
      </c>
      <c r="J373" s="34" t="n">
        <v>0</v>
      </c>
      <c r="K373" s="34" t="n">
        <v>0</v>
      </c>
      <c r="L373" s="34" t="n">
        <v>100.4</v>
      </c>
      <c r="M373" s="34" t="n">
        <v>100.4</v>
      </c>
      <c r="N373" s="34" t="n">
        <v>704</v>
      </c>
      <c r="O373" s="34" t="n">
        <v>0</v>
      </c>
      <c r="P373" s="34" t="s">
        <v>518</v>
      </c>
    </row>
    <row r="374" customFormat="false" ht="14.4" hidden="false" customHeight="false" outlineLevel="0" collapsed="false">
      <c r="A374" s="34" t="n">
        <v>373</v>
      </c>
      <c r="B374" s="35" t="n">
        <v>8717115000103</v>
      </c>
      <c r="C374" s="34" t="s">
        <v>1181</v>
      </c>
      <c r="D374" s="34" t="s">
        <v>77</v>
      </c>
      <c r="E374" s="34" t="s">
        <v>1182</v>
      </c>
      <c r="F374" s="34" t="n">
        <v>16</v>
      </c>
      <c r="G374" s="34" t="n">
        <v>1</v>
      </c>
      <c r="H374" s="40" t="n">
        <v>356.23</v>
      </c>
      <c r="I374" s="34" t="n">
        <v>0.01</v>
      </c>
      <c r="J374" s="34" t="n">
        <v>0</v>
      </c>
      <c r="K374" s="34" t="n">
        <v>0</v>
      </c>
      <c r="L374" s="34" t="n">
        <v>100.41</v>
      </c>
      <c r="M374" s="34" t="n">
        <v>100.41</v>
      </c>
      <c r="N374" s="34" t="n">
        <v>130</v>
      </c>
      <c r="O374" s="34" t="n">
        <v>0</v>
      </c>
      <c r="P374" s="34" t="s">
        <v>776</v>
      </c>
    </row>
    <row r="375" customFormat="false" ht="14.4" hidden="false" customHeight="false" outlineLevel="0" collapsed="false">
      <c r="A375" s="34" t="n">
        <v>374</v>
      </c>
      <c r="B375" s="35" t="n">
        <v>13878949000211</v>
      </c>
      <c r="C375" s="34" t="s">
        <v>1183</v>
      </c>
      <c r="D375" s="34" t="s">
        <v>77</v>
      </c>
      <c r="E375" s="34" t="s">
        <v>1184</v>
      </c>
      <c r="F375" s="34" t="n">
        <v>8</v>
      </c>
      <c r="G375" s="34" t="n">
        <v>1</v>
      </c>
      <c r="H375" s="40" t="n">
        <v>354.32</v>
      </c>
      <c r="I375" s="34" t="n">
        <v>0</v>
      </c>
      <c r="J375" s="34" t="n">
        <v>0</v>
      </c>
      <c r="K375" s="34" t="n">
        <v>0</v>
      </c>
      <c r="L375" s="34" t="n">
        <v>100.42</v>
      </c>
      <c r="M375" s="34" t="n">
        <v>100.42</v>
      </c>
      <c r="N375" s="34" t="n">
        <v>757</v>
      </c>
      <c r="O375" s="34" t="n">
        <v>0</v>
      </c>
      <c r="P375" s="34" t="s">
        <v>510</v>
      </c>
    </row>
    <row r="376" customFormat="false" ht="14.4" hidden="false" customHeight="false" outlineLevel="0" collapsed="false">
      <c r="A376" s="34" t="n">
        <v>375</v>
      </c>
      <c r="B376" s="35" t="n">
        <v>15352184000126</v>
      </c>
      <c r="C376" s="34" t="s">
        <v>1185</v>
      </c>
      <c r="D376" s="34" t="s">
        <v>598</v>
      </c>
      <c r="E376" s="34" t="s">
        <v>1186</v>
      </c>
      <c r="F376" s="34" t="n">
        <v>16</v>
      </c>
      <c r="G376" s="34" t="n">
        <v>2</v>
      </c>
      <c r="H376" s="40" t="n">
        <v>352.68</v>
      </c>
      <c r="I376" s="34" t="n">
        <v>0.01</v>
      </c>
      <c r="J376" s="34" t="n">
        <v>0</v>
      </c>
      <c r="K376" s="34" t="n">
        <v>0</v>
      </c>
      <c r="L376" s="34" t="n">
        <v>100.42</v>
      </c>
      <c r="M376" s="34" t="n">
        <v>100.42</v>
      </c>
      <c r="N376" s="34" t="n">
        <v>711</v>
      </c>
      <c r="O376" s="34" t="n">
        <v>0</v>
      </c>
      <c r="P376" s="34" t="s">
        <v>510</v>
      </c>
    </row>
    <row r="377" customFormat="false" ht="14.4" hidden="false" customHeight="false" outlineLevel="0" collapsed="false">
      <c r="A377" s="34" t="n">
        <v>376</v>
      </c>
      <c r="B377" s="35" t="n">
        <v>4925570000143</v>
      </c>
      <c r="C377" s="34" t="s">
        <v>1187</v>
      </c>
      <c r="D377" s="34" t="s">
        <v>935</v>
      </c>
      <c r="E377" s="34" t="s">
        <v>592</v>
      </c>
      <c r="F377" s="34" t="n">
        <v>20</v>
      </c>
      <c r="G377" s="34" t="n">
        <v>3</v>
      </c>
      <c r="H377" s="40" t="n">
        <v>348.65</v>
      </c>
      <c r="I377" s="34" t="n">
        <v>0.01</v>
      </c>
      <c r="J377" s="34" t="n">
        <v>0.01</v>
      </c>
      <c r="K377" s="34" t="n">
        <v>0</v>
      </c>
      <c r="L377" s="34" t="n">
        <v>100.43</v>
      </c>
      <c r="M377" s="34" t="n">
        <v>100.43</v>
      </c>
      <c r="N377" s="34" t="n">
        <v>704</v>
      </c>
      <c r="O377" s="34" t="n">
        <v>0</v>
      </c>
      <c r="P377" s="34" t="s">
        <v>510</v>
      </c>
    </row>
    <row r="378" customFormat="false" ht="14.4" hidden="false" customHeight="false" outlineLevel="0" collapsed="false">
      <c r="A378" s="34" t="n">
        <v>377</v>
      </c>
      <c r="B378" s="35" t="n">
        <v>10980135000114</v>
      </c>
      <c r="C378" s="34" t="s">
        <v>1188</v>
      </c>
      <c r="D378" s="34" t="s">
        <v>935</v>
      </c>
      <c r="E378" s="34" t="s">
        <v>836</v>
      </c>
      <c r="F378" s="34" t="n">
        <v>20</v>
      </c>
      <c r="G378" s="34" t="n">
        <v>3</v>
      </c>
      <c r="H378" s="40" t="n">
        <v>348.53</v>
      </c>
      <c r="I378" s="34" t="n">
        <v>0.01</v>
      </c>
      <c r="J378" s="34" t="n">
        <v>0.01</v>
      </c>
      <c r="K378" s="34" t="n">
        <v>0</v>
      </c>
      <c r="L378" s="34" t="n">
        <v>100.44</v>
      </c>
      <c r="M378" s="34" t="n">
        <v>100.44</v>
      </c>
      <c r="N378" s="34" t="n">
        <v>704</v>
      </c>
      <c r="O378" s="34" t="n">
        <v>0</v>
      </c>
      <c r="P378" s="34" t="s">
        <v>504</v>
      </c>
    </row>
    <row r="379" customFormat="false" ht="14.4" hidden="false" customHeight="false" outlineLevel="0" collapsed="false">
      <c r="A379" s="34" t="n">
        <v>378</v>
      </c>
      <c r="B379" s="35" t="n">
        <v>16436744000193</v>
      </c>
      <c r="C379" s="34" t="s">
        <v>1189</v>
      </c>
      <c r="D379" s="34" t="s">
        <v>213</v>
      </c>
      <c r="E379" s="34" t="s">
        <v>1190</v>
      </c>
      <c r="F379" s="34" t="n">
        <v>19</v>
      </c>
      <c r="G379" s="34" t="n">
        <v>2</v>
      </c>
      <c r="H379" s="40" t="n">
        <v>346.85</v>
      </c>
      <c r="I379" s="34" t="n">
        <v>0.01</v>
      </c>
      <c r="J379" s="34" t="n">
        <v>0.01</v>
      </c>
      <c r="K379" s="34" t="n">
        <v>0</v>
      </c>
      <c r="L379" s="34" t="n">
        <v>100.45</v>
      </c>
      <c r="M379" s="34" t="n">
        <v>100.45</v>
      </c>
      <c r="N379" s="34" t="n">
        <v>709</v>
      </c>
      <c r="O379" s="34" t="n">
        <v>0</v>
      </c>
      <c r="P379" s="34" t="s">
        <v>510</v>
      </c>
    </row>
    <row r="380" customFormat="false" ht="14.4" hidden="false" customHeight="false" outlineLevel="0" collapsed="false">
      <c r="A380" s="34" t="n">
        <v>379</v>
      </c>
      <c r="B380" s="35" t="n">
        <v>40343479000345</v>
      </c>
      <c r="C380" s="34" t="s">
        <v>1191</v>
      </c>
      <c r="D380" s="34" t="s">
        <v>77</v>
      </c>
      <c r="E380" s="34" t="s">
        <v>1192</v>
      </c>
      <c r="F380" s="34" t="n">
        <v>22</v>
      </c>
      <c r="G380" s="34" t="n">
        <v>3</v>
      </c>
      <c r="H380" s="40" t="n">
        <v>344.78</v>
      </c>
      <c r="I380" s="34" t="n">
        <v>0.01</v>
      </c>
      <c r="J380" s="34" t="n">
        <v>0.01</v>
      </c>
      <c r="K380" s="34" t="n">
        <v>0</v>
      </c>
      <c r="L380" s="34" t="n">
        <v>100.45</v>
      </c>
      <c r="M380" s="34" t="n">
        <v>100.45</v>
      </c>
      <c r="N380" s="34" t="n">
        <v>757</v>
      </c>
      <c r="O380" s="34" t="n">
        <v>0</v>
      </c>
      <c r="P380" s="34" t="s">
        <v>501</v>
      </c>
    </row>
    <row r="381" customFormat="false" ht="14.4" hidden="false" customHeight="false" outlineLevel="0" collapsed="false">
      <c r="A381" s="34" t="n">
        <v>380</v>
      </c>
      <c r="B381" s="35" t="n">
        <v>26827733000198</v>
      </c>
      <c r="C381" s="34" t="s">
        <v>1193</v>
      </c>
      <c r="D381" s="34" t="s">
        <v>405</v>
      </c>
      <c r="E381" s="34" t="s">
        <v>591</v>
      </c>
      <c r="F381" s="34" t="n">
        <v>15</v>
      </c>
      <c r="G381" s="34" t="n">
        <v>2</v>
      </c>
      <c r="H381" s="40" t="n">
        <v>343.78</v>
      </c>
      <c r="I381" s="34" t="n">
        <v>0.01</v>
      </c>
      <c r="J381" s="34" t="n">
        <v>0</v>
      </c>
      <c r="K381" s="34" t="n">
        <v>0</v>
      </c>
      <c r="L381" s="34" t="n">
        <v>100.46</v>
      </c>
      <c r="M381" s="34" t="n">
        <v>100.46</v>
      </c>
      <c r="N381" s="34" t="n">
        <v>708</v>
      </c>
      <c r="O381" s="34" t="n">
        <v>0</v>
      </c>
      <c r="P381" s="34" t="s">
        <v>510</v>
      </c>
    </row>
    <row r="382" customFormat="false" ht="14.4" hidden="false" customHeight="false" outlineLevel="0" collapsed="false">
      <c r="A382" s="34" t="n">
        <v>381</v>
      </c>
      <c r="B382" s="35" t="n">
        <v>39696917000108</v>
      </c>
      <c r="C382" s="34" t="s">
        <v>1194</v>
      </c>
      <c r="D382" s="34" t="s">
        <v>89</v>
      </c>
      <c r="E382" s="34" t="s">
        <v>1195</v>
      </c>
      <c r="F382" s="34" t="n">
        <v>12</v>
      </c>
      <c r="G382" s="34" t="n">
        <v>2</v>
      </c>
      <c r="H382" s="40" t="n">
        <v>343.62</v>
      </c>
      <c r="I382" s="34" t="n">
        <v>0</v>
      </c>
      <c r="J382" s="34" t="n">
        <v>0.01</v>
      </c>
      <c r="K382" s="34" t="n">
        <v>0</v>
      </c>
      <c r="L382" s="34" t="n">
        <v>100.47</v>
      </c>
      <c r="M382" s="34" t="n">
        <v>100.47</v>
      </c>
      <c r="N382" s="34" t="n">
        <v>711</v>
      </c>
      <c r="O382" s="34" t="n">
        <v>0</v>
      </c>
      <c r="P382" s="34" t="s">
        <v>510</v>
      </c>
    </row>
    <row r="383" customFormat="false" ht="14.4" hidden="false" customHeight="false" outlineLevel="0" collapsed="false">
      <c r="A383" s="34" t="n">
        <v>382</v>
      </c>
      <c r="B383" s="35" t="n">
        <v>19621681000133</v>
      </c>
      <c r="C383" s="34" t="s">
        <v>415</v>
      </c>
      <c r="D383" s="34" t="s">
        <v>548</v>
      </c>
      <c r="E383" s="34" t="s">
        <v>1196</v>
      </c>
      <c r="F383" s="34" t="n">
        <v>8</v>
      </c>
      <c r="G383" s="34" t="n">
        <v>1</v>
      </c>
      <c r="H383" s="40" t="n">
        <v>343.35</v>
      </c>
      <c r="I383" s="34" t="n">
        <v>0</v>
      </c>
      <c r="J383" s="34" t="n">
        <v>0</v>
      </c>
      <c r="K383" s="34" t="n">
        <v>0</v>
      </c>
      <c r="L383" s="34" t="n">
        <v>100.48</v>
      </c>
      <c r="M383" s="34" t="n">
        <v>100.48</v>
      </c>
      <c r="N383" s="34" t="n">
        <v>708</v>
      </c>
      <c r="O383" s="34" t="n">
        <v>0</v>
      </c>
      <c r="P383" s="34" t="s">
        <v>510</v>
      </c>
    </row>
    <row r="384" customFormat="false" ht="14.4" hidden="false" customHeight="false" outlineLevel="0" collapsed="false">
      <c r="A384" s="34" t="n">
        <v>383</v>
      </c>
      <c r="B384" s="35" t="n">
        <v>14892072000103</v>
      </c>
      <c r="C384" s="34" t="s">
        <v>1197</v>
      </c>
      <c r="D384" s="34" t="s">
        <v>77</v>
      </c>
      <c r="E384" s="34" t="s">
        <v>1198</v>
      </c>
      <c r="F384" s="34" t="n">
        <v>12</v>
      </c>
      <c r="G384" s="34" t="n">
        <v>4</v>
      </c>
      <c r="H384" s="40" t="n">
        <v>339.92</v>
      </c>
      <c r="I384" s="34" t="n">
        <v>0</v>
      </c>
      <c r="J384" s="34" t="n">
        <v>0.01</v>
      </c>
      <c r="K384" s="34" t="n">
        <v>0</v>
      </c>
      <c r="L384" s="34" t="n">
        <v>100.48</v>
      </c>
      <c r="M384" s="34" t="n">
        <v>100.48</v>
      </c>
      <c r="N384" s="34" t="n">
        <v>135</v>
      </c>
      <c r="O384" s="34" t="n">
        <v>0</v>
      </c>
      <c r="P384" s="34" t="s">
        <v>510</v>
      </c>
    </row>
    <row r="385" customFormat="false" ht="14.4" hidden="false" customHeight="false" outlineLevel="0" collapsed="false">
      <c r="A385" s="34" t="n">
        <v>384</v>
      </c>
      <c r="B385" s="35" t="n">
        <v>16499391000170</v>
      </c>
      <c r="C385" s="34" t="s">
        <v>1199</v>
      </c>
      <c r="D385" s="34" t="s">
        <v>935</v>
      </c>
      <c r="E385" s="34" t="s">
        <v>765</v>
      </c>
      <c r="F385" s="34" t="n">
        <v>19</v>
      </c>
      <c r="G385" s="34" t="n">
        <v>3</v>
      </c>
      <c r="H385" s="40" t="n">
        <v>339.35</v>
      </c>
      <c r="I385" s="34" t="n">
        <v>0.01</v>
      </c>
      <c r="J385" s="34" t="n">
        <v>0.01</v>
      </c>
      <c r="K385" s="34" t="n">
        <v>0</v>
      </c>
      <c r="L385" s="34" t="n">
        <v>100.49</v>
      </c>
      <c r="M385" s="34" t="n">
        <v>100.49</v>
      </c>
      <c r="N385" s="34" t="n">
        <v>704</v>
      </c>
      <c r="O385" s="34" t="n">
        <v>0</v>
      </c>
      <c r="P385" s="34" t="s">
        <v>510</v>
      </c>
    </row>
    <row r="386" customFormat="false" ht="14.4" hidden="false" customHeight="false" outlineLevel="0" collapsed="false">
      <c r="A386" s="34" t="n">
        <v>385</v>
      </c>
      <c r="B386" s="35" t="n">
        <v>46635557000108</v>
      </c>
      <c r="C386" s="34" t="s">
        <v>1200</v>
      </c>
      <c r="D386" s="34" t="s">
        <v>299</v>
      </c>
      <c r="E386" s="34" t="s">
        <v>1201</v>
      </c>
      <c r="F386" s="34" t="n">
        <v>11</v>
      </c>
      <c r="G386" s="34" t="n">
        <v>1</v>
      </c>
      <c r="H386" s="40" t="n">
        <v>337.74</v>
      </c>
      <c r="I386" s="34" t="n">
        <v>0</v>
      </c>
      <c r="J386" s="34" t="n">
        <v>0</v>
      </c>
      <c r="K386" s="34" t="n">
        <v>0</v>
      </c>
      <c r="L386" s="34" t="n">
        <v>100.5</v>
      </c>
      <c r="M386" s="34" t="n">
        <v>100.5</v>
      </c>
      <c r="N386" s="34" t="n">
        <v>710</v>
      </c>
      <c r="O386" s="34" t="n">
        <v>0</v>
      </c>
      <c r="P386" s="34" t="s">
        <v>510</v>
      </c>
    </row>
    <row r="387" customFormat="false" ht="14.4" hidden="false" customHeight="false" outlineLevel="0" collapsed="false">
      <c r="A387" s="34" t="n">
        <v>386</v>
      </c>
      <c r="B387" s="35" t="n">
        <v>580302000186</v>
      </c>
      <c r="C387" s="34" t="s">
        <v>1202</v>
      </c>
      <c r="D387" s="34" t="s">
        <v>77</v>
      </c>
      <c r="E387" s="34" t="s">
        <v>1203</v>
      </c>
      <c r="F387" s="34" t="n">
        <v>12</v>
      </c>
      <c r="G387" s="34" t="n">
        <v>1</v>
      </c>
      <c r="H387" s="40" t="n">
        <v>334.09</v>
      </c>
      <c r="I387" s="34" t="n">
        <v>0</v>
      </c>
      <c r="J387" s="34" t="n">
        <v>0</v>
      </c>
      <c r="K387" s="34" t="n">
        <v>0</v>
      </c>
      <c r="L387" s="34" t="n">
        <v>100.51</v>
      </c>
      <c r="M387" s="34" t="n">
        <v>100.51</v>
      </c>
      <c r="N387" s="34" t="n">
        <v>130</v>
      </c>
      <c r="O387" s="34" t="n">
        <v>0</v>
      </c>
      <c r="P387" s="34" t="s">
        <v>776</v>
      </c>
    </row>
    <row r="388" customFormat="false" ht="14.4" hidden="false" customHeight="false" outlineLevel="0" collapsed="false">
      <c r="A388" s="34" t="n">
        <v>387</v>
      </c>
      <c r="B388" s="35" t="n">
        <v>31553004000120</v>
      </c>
      <c r="C388" s="34" t="s">
        <v>1204</v>
      </c>
      <c r="D388" s="34" t="s">
        <v>117</v>
      </c>
      <c r="E388" s="34" t="s">
        <v>1016</v>
      </c>
      <c r="F388" s="34" t="n">
        <v>17</v>
      </c>
      <c r="G388" s="34" t="n">
        <v>3</v>
      </c>
      <c r="H388" s="40" t="n">
        <v>330.96</v>
      </c>
      <c r="I388" s="34" t="n">
        <v>0.01</v>
      </c>
      <c r="J388" s="34" t="n">
        <v>0.01</v>
      </c>
      <c r="K388" s="34" t="n">
        <v>0</v>
      </c>
      <c r="L388" s="34" t="n">
        <v>100.51</v>
      </c>
      <c r="M388" s="34" t="n">
        <v>100.51</v>
      </c>
      <c r="N388" s="34" t="n">
        <v>135</v>
      </c>
      <c r="O388" s="34" t="n">
        <v>0</v>
      </c>
      <c r="P388" s="34" t="s">
        <v>510</v>
      </c>
    </row>
    <row r="389" customFormat="false" ht="14.4" hidden="false" customHeight="false" outlineLevel="0" collapsed="false">
      <c r="A389" s="34" t="n">
        <v>388</v>
      </c>
      <c r="B389" s="35" t="n">
        <v>17847774000155</v>
      </c>
      <c r="C389" s="34" t="s">
        <v>1205</v>
      </c>
      <c r="D389" s="34" t="s">
        <v>103</v>
      </c>
      <c r="E389" s="34" t="s">
        <v>1206</v>
      </c>
      <c r="F389" s="34" t="n">
        <v>9</v>
      </c>
      <c r="G389" s="34" t="n">
        <v>1</v>
      </c>
      <c r="H389" s="40" t="n">
        <v>329.58</v>
      </c>
      <c r="I389" s="34" t="n">
        <v>0</v>
      </c>
      <c r="J389" s="34" t="n">
        <v>0</v>
      </c>
      <c r="K389" s="34" t="n">
        <v>0</v>
      </c>
      <c r="L389" s="34" t="n">
        <v>100.52</v>
      </c>
      <c r="M389" s="34" t="n">
        <v>100.52</v>
      </c>
      <c r="N389" s="34" t="n">
        <v>715</v>
      </c>
      <c r="O389" s="34" t="n">
        <v>0</v>
      </c>
      <c r="P389" s="34" t="s">
        <v>776</v>
      </c>
    </row>
    <row r="390" customFormat="false" ht="14.4" hidden="false" customHeight="false" outlineLevel="0" collapsed="false">
      <c r="A390" s="34" t="n">
        <v>389</v>
      </c>
      <c r="B390" s="35" t="n">
        <v>37036835000101</v>
      </c>
      <c r="C390" s="34" t="s">
        <v>1207</v>
      </c>
      <c r="D390" s="34" t="s">
        <v>77</v>
      </c>
      <c r="E390" s="34" t="s">
        <v>1208</v>
      </c>
      <c r="F390" s="34" t="n">
        <v>13</v>
      </c>
      <c r="G390" s="34" t="n">
        <v>2</v>
      </c>
      <c r="H390" s="40" t="n">
        <v>328.95</v>
      </c>
      <c r="I390" s="34" t="n">
        <v>0</v>
      </c>
      <c r="J390" s="34" t="n">
        <v>0</v>
      </c>
      <c r="K390" s="34" t="n">
        <v>0</v>
      </c>
      <c r="L390" s="34" t="n">
        <v>100.53</v>
      </c>
      <c r="M390" s="34" t="n">
        <v>100.53</v>
      </c>
      <c r="N390" s="34" t="n">
        <v>135</v>
      </c>
      <c r="O390" s="34" t="n">
        <v>0</v>
      </c>
      <c r="P390" s="34" t="s">
        <v>776</v>
      </c>
    </row>
    <row r="391" customFormat="false" ht="14.4" hidden="false" customHeight="false" outlineLevel="0" collapsed="false">
      <c r="A391" s="34" t="n">
        <v>390</v>
      </c>
      <c r="B391" s="35" t="n">
        <v>17515299000110</v>
      </c>
      <c r="C391" s="34" t="s">
        <v>1209</v>
      </c>
      <c r="D391" s="34" t="s">
        <v>594</v>
      </c>
      <c r="E391" s="34" t="s">
        <v>1210</v>
      </c>
      <c r="F391" s="34" t="n">
        <v>21</v>
      </c>
      <c r="G391" s="34" t="n">
        <v>3</v>
      </c>
      <c r="H391" s="40" t="n">
        <v>320.96</v>
      </c>
      <c r="I391" s="34" t="n">
        <v>0.01</v>
      </c>
      <c r="J391" s="34" t="n">
        <v>0.01</v>
      </c>
      <c r="K391" s="34" t="n">
        <v>0</v>
      </c>
      <c r="L391" s="34" t="n">
        <v>100.54</v>
      </c>
      <c r="M391" s="34" t="n">
        <v>100.54</v>
      </c>
      <c r="N391" s="34" t="n">
        <v>800</v>
      </c>
      <c r="O391" s="34" t="n">
        <v>0</v>
      </c>
      <c r="P391" s="34" t="s">
        <v>518</v>
      </c>
    </row>
    <row r="392" customFormat="false" ht="14.4" hidden="false" customHeight="false" outlineLevel="0" collapsed="false">
      <c r="A392" s="34" t="n">
        <v>391</v>
      </c>
      <c r="B392" s="35" t="n">
        <v>34090421000172</v>
      </c>
      <c r="C392" s="34" t="s">
        <v>1211</v>
      </c>
      <c r="D392" s="34" t="s">
        <v>77</v>
      </c>
      <c r="E392" s="34" t="s">
        <v>1212</v>
      </c>
      <c r="F392" s="34" t="n">
        <v>14</v>
      </c>
      <c r="G392" s="34" t="n">
        <v>4</v>
      </c>
      <c r="H392" s="40" t="n">
        <v>317.39</v>
      </c>
      <c r="I392" s="34" t="n">
        <v>0.01</v>
      </c>
      <c r="J392" s="34" t="n">
        <v>0.01</v>
      </c>
      <c r="K392" s="34" t="n">
        <v>0</v>
      </c>
      <c r="L392" s="34" t="n">
        <v>100.54</v>
      </c>
      <c r="M392" s="34" t="n">
        <v>100.54</v>
      </c>
      <c r="N392" s="34" t="n">
        <v>800</v>
      </c>
      <c r="O392" s="34" t="n">
        <v>0</v>
      </c>
      <c r="P392" s="34" t="s">
        <v>518</v>
      </c>
    </row>
    <row r="393" customFormat="false" ht="14.4" hidden="false" customHeight="false" outlineLevel="0" collapsed="false">
      <c r="A393" s="34" t="n">
        <v>392</v>
      </c>
      <c r="B393" s="35" t="n">
        <v>29662890000260</v>
      </c>
      <c r="C393" s="34" t="s">
        <v>821</v>
      </c>
      <c r="D393" s="34" t="s">
        <v>713</v>
      </c>
      <c r="E393" s="34" t="s">
        <v>1213</v>
      </c>
      <c r="F393" s="34" t="n">
        <v>8</v>
      </c>
      <c r="G393" s="34" t="n">
        <v>2</v>
      </c>
      <c r="H393" s="40" t="n">
        <v>316.75</v>
      </c>
      <c r="I393" s="34" t="n">
        <v>0</v>
      </c>
      <c r="J393" s="34" t="n">
        <v>0</v>
      </c>
      <c r="K393" s="34" t="n">
        <v>0</v>
      </c>
      <c r="L393" s="34" t="n">
        <v>100.55</v>
      </c>
      <c r="M393" s="34" t="n">
        <v>100.55</v>
      </c>
      <c r="N393" s="34" t="n">
        <v>718</v>
      </c>
      <c r="O393" s="34" t="n">
        <v>0</v>
      </c>
      <c r="P393" s="34" t="s">
        <v>501</v>
      </c>
    </row>
    <row r="394" customFormat="false" ht="14.4" hidden="false" customHeight="false" outlineLevel="0" collapsed="false">
      <c r="A394" s="34" t="n">
        <v>393</v>
      </c>
      <c r="B394" s="35" t="n">
        <v>15473010000111</v>
      </c>
      <c r="C394" s="34" t="s">
        <v>1214</v>
      </c>
      <c r="D394" s="34" t="s">
        <v>89</v>
      </c>
      <c r="E394" s="34" t="s">
        <v>514</v>
      </c>
      <c r="F394" s="34" t="n">
        <v>10</v>
      </c>
      <c r="G394" s="34" t="n">
        <v>2</v>
      </c>
      <c r="H394" s="40" t="n">
        <v>316.09</v>
      </c>
      <c r="I394" s="34" t="n">
        <v>0</v>
      </c>
      <c r="J394" s="34" t="n">
        <v>0</v>
      </c>
      <c r="K394" s="34" t="n">
        <v>0</v>
      </c>
      <c r="L394" s="34" t="n">
        <v>100.56</v>
      </c>
      <c r="M394" s="34" t="n">
        <v>100.56</v>
      </c>
      <c r="N394" s="34" t="n">
        <v>711</v>
      </c>
      <c r="O394" s="34" t="n">
        <v>0</v>
      </c>
      <c r="P394" s="34" t="s">
        <v>501</v>
      </c>
    </row>
    <row r="395" customFormat="false" ht="14.4" hidden="false" customHeight="false" outlineLevel="0" collapsed="false">
      <c r="A395" s="34" t="n">
        <v>394</v>
      </c>
      <c r="B395" s="35" t="n">
        <v>52852354000168</v>
      </c>
      <c r="C395" s="34" t="s">
        <v>1215</v>
      </c>
      <c r="D395" s="34" t="s">
        <v>89</v>
      </c>
      <c r="E395" s="34" t="s">
        <v>1216</v>
      </c>
      <c r="F395" s="34" t="n">
        <v>3</v>
      </c>
      <c r="G395" s="34" t="n">
        <v>1</v>
      </c>
      <c r="H395" s="40" t="n">
        <v>311.45</v>
      </c>
      <c r="I395" s="34" t="n">
        <v>0</v>
      </c>
      <c r="J395" s="34" t="n">
        <v>0</v>
      </c>
      <c r="K395" s="34" t="n">
        <v>0</v>
      </c>
      <c r="L395" s="34" t="n">
        <v>100.56</v>
      </c>
      <c r="M395" s="34" t="n">
        <v>100.56</v>
      </c>
      <c r="N395" s="34" t="n">
        <v>711</v>
      </c>
      <c r="O395" s="34" t="n">
        <v>0</v>
      </c>
      <c r="P395" s="34" t="s">
        <v>844</v>
      </c>
    </row>
    <row r="396" customFormat="false" ht="14.4" hidden="false" customHeight="false" outlineLevel="0" collapsed="false">
      <c r="A396" s="34" t="n">
        <v>395</v>
      </c>
      <c r="B396" s="35" t="n">
        <v>10425859000104</v>
      </c>
      <c r="C396" s="34" t="s">
        <v>1217</v>
      </c>
      <c r="D396" s="34" t="s">
        <v>336</v>
      </c>
      <c r="E396" s="34" t="s">
        <v>1218</v>
      </c>
      <c r="F396" s="34" t="n">
        <v>5</v>
      </c>
      <c r="G396" s="34" t="n">
        <v>1</v>
      </c>
      <c r="H396" s="40" t="n">
        <v>309.42</v>
      </c>
      <c r="I396" s="34" t="n">
        <v>0</v>
      </c>
      <c r="J396" s="34" t="n">
        <v>0</v>
      </c>
      <c r="K396" s="34" t="n">
        <v>0</v>
      </c>
      <c r="L396" s="34" t="n">
        <v>100.57</v>
      </c>
      <c r="M396" s="34" t="n">
        <v>100.57</v>
      </c>
      <c r="N396" s="34" t="n">
        <v>705</v>
      </c>
      <c r="O396" s="34" t="n">
        <v>0</v>
      </c>
      <c r="P396" s="34" t="s">
        <v>510</v>
      </c>
    </row>
    <row r="397" customFormat="false" ht="14.4" hidden="false" customHeight="false" outlineLevel="0" collapsed="false">
      <c r="A397" s="34" t="n">
        <v>396</v>
      </c>
      <c r="B397" s="35" t="n">
        <v>19139234000142</v>
      </c>
      <c r="C397" s="34" t="s">
        <v>1219</v>
      </c>
      <c r="D397" s="34" t="s">
        <v>464</v>
      </c>
      <c r="E397" s="34" t="s">
        <v>1220</v>
      </c>
      <c r="F397" s="34" t="n">
        <v>15</v>
      </c>
      <c r="G397" s="34" t="n">
        <v>2</v>
      </c>
      <c r="H397" s="40" t="n">
        <v>308.91</v>
      </c>
      <c r="I397" s="34" t="n">
        <v>0.01</v>
      </c>
      <c r="J397" s="34" t="n">
        <v>0</v>
      </c>
      <c r="K397" s="34" t="n">
        <v>0</v>
      </c>
      <c r="L397" s="34" t="n">
        <v>100.58</v>
      </c>
      <c r="M397" s="34" t="n">
        <v>100.58</v>
      </c>
      <c r="N397" s="34" t="n">
        <v>712</v>
      </c>
      <c r="O397" s="34" t="n">
        <v>0</v>
      </c>
      <c r="P397" s="34" t="s">
        <v>510</v>
      </c>
    </row>
    <row r="398" customFormat="false" ht="14.4" hidden="false" customHeight="false" outlineLevel="0" collapsed="false">
      <c r="A398" s="34" t="n">
        <v>397</v>
      </c>
      <c r="B398" s="35" t="n">
        <v>7317095000110</v>
      </c>
      <c r="C398" s="34" t="s">
        <v>1221</v>
      </c>
      <c r="D398" s="34" t="s">
        <v>405</v>
      </c>
      <c r="E398" s="34" t="s">
        <v>1222</v>
      </c>
      <c r="F398" s="34" t="n">
        <v>7</v>
      </c>
      <c r="G398" s="34" t="n">
        <v>1</v>
      </c>
      <c r="H398" s="40" t="n">
        <v>308.67</v>
      </c>
      <c r="I398" s="34" t="n">
        <v>0</v>
      </c>
      <c r="J398" s="34" t="n">
        <v>0</v>
      </c>
      <c r="K398" s="34" t="n">
        <v>0</v>
      </c>
      <c r="L398" s="34" t="n">
        <v>100.58</v>
      </c>
      <c r="M398" s="34" t="n">
        <v>100.58</v>
      </c>
      <c r="N398" s="34" t="n">
        <v>708</v>
      </c>
      <c r="O398" s="34" t="n">
        <v>0</v>
      </c>
      <c r="P398" s="34" t="s">
        <v>504</v>
      </c>
    </row>
    <row r="399" customFormat="false" ht="14.4" hidden="false" customHeight="false" outlineLevel="0" collapsed="false">
      <c r="A399" s="34" t="n">
        <v>398</v>
      </c>
      <c r="B399" s="35" t="n">
        <v>7691695000144</v>
      </c>
      <c r="C399" s="34" t="s">
        <v>1223</v>
      </c>
      <c r="D399" s="34" t="s">
        <v>77</v>
      </c>
      <c r="E399" s="34" t="s">
        <v>1224</v>
      </c>
      <c r="F399" s="34" t="n">
        <v>13</v>
      </c>
      <c r="G399" s="34" t="n">
        <v>2</v>
      </c>
      <c r="H399" s="40" t="n">
        <v>306.69</v>
      </c>
      <c r="I399" s="34" t="n">
        <v>0</v>
      </c>
      <c r="J399" s="34" t="n">
        <v>0</v>
      </c>
      <c r="K399" s="34" t="n">
        <v>0</v>
      </c>
      <c r="L399" s="34" t="n">
        <v>100.59</v>
      </c>
      <c r="M399" s="34" t="n">
        <v>100.59</v>
      </c>
      <c r="N399" s="34" t="n">
        <v>135</v>
      </c>
      <c r="O399" s="34" t="n">
        <v>0</v>
      </c>
      <c r="P399" s="34" t="s">
        <v>518</v>
      </c>
    </row>
    <row r="400" customFormat="false" ht="14.4" hidden="false" customHeight="false" outlineLevel="0" collapsed="false">
      <c r="A400" s="34" t="n">
        <v>399</v>
      </c>
      <c r="B400" s="35" t="n">
        <v>31398994000331</v>
      </c>
      <c r="C400" s="34" t="s">
        <v>1225</v>
      </c>
      <c r="D400" s="34" t="s">
        <v>604</v>
      </c>
      <c r="E400" s="34" t="s">
        <v>1226</v>
      </c>
      <c r="F400" s="34" t="n">
        <v>20</v>
      </c>
      <c r="G400" s="34" t="n">
        <v>5</v>
      </c>
      <c r="H400" s="40" t="n">
        <v>304.29</v>
      </c>
      <c r="I400" s="34" t="n">
        <v>0.01</v>
      </c>
      <c r="J400" s="34" t="n">
        <v>0.02</v>
      </c>
      <c r="K400" s="34" t="n">
        <v>0</v>
      </c>
      <c r="L400" s="34" t="n">
        <v>100.6</v>
      </c>
      <c r="M400" s="34" t="n">
        <v>100.6</v>
      </c>
      <c r="N400" s="34" t="n">
        <v>710</v>
      </c>
      <c r="O400" s="34" t="n">
        <v>0</v>
      </c>
      <c r="P400" s="34" t="s">
        <v>504</v>
      </c>
    </row>
    <row r="401" customFormat="false" ht="14.4" hidden="false" customHeight="false" outlineLevel="0" collapsed="false">
      <c r="A401" s="34" t="n">
        <v>400</v>
      </c>
      <c r="B401" s="35" t="n">
        <v>63123318000180</v>
      </c>
      <c r="C401" s="34" t="s">
        <v>1227</v>
      </c>
      <c r="D401" s="34" t="s">
        <v>89</v>
      </c>
      <c r="E401" s="34" t="s">
        <v>1228</v>
      </c>
      <c r="F401" s="34" t="n">
        <v>5</v>
      </c>
      <c r="G401" s="34" t="n">
        <v>1</v>
      </c>
      <c r="H401" s="40" t="n">
        <v>304.28</v>
      </c>
      <c r="I401" s="34" t="n">
        <v>0</v>
      </c>
      <c r="J401" s="34" t="n">
        <v>0</v>
      </c>
      <c r="K401" s="34" t="n">
        <v>0</v>
      </c>
      <c r="L401" s="34" t="n">
        <v>100.6</v>
      </c>
      <c r="M401" s="34" t="n">
        <v>100.6</v>
      </c>
      <c r="N401" s="34" t="n">
        <v>711</v>
      </c>
      <c r="O401" s="34" t="n">
        <v>0</v>
      </c>
      <c r="P401" s="34" t="s">
        <v>510</v>
      </c>
    </row>
    <row r="402" customFormat="false" ht="14.4" hidden="false" customHeight="false" outlineLevel="0" collapsed="false">
      <c r="A402" s="34" t="n">
        <v>401</v>
      </c>
      <c r="B402" s="35" t="n">
        <v>11220071000469</v>
      </c>
      <c r="C402" s="34" t="s">
        <v>1229</v>
      </c>
      <c r="D402" s="34" t="s">
        <v>77</v>
      </c>
      <c r="E402" s="34" t="s">
        <v>1230</v>
      </c>
      <c r="F402" s="34" t="n">
        <v>18</v>
      </c>
      <c r="G402" s="34" t="n">
        <v>4</v>
      </c>
      <c r="H402" s="40" t="n">
        <v>304.25</v>
      </c>
      <c r="I402" s="34" t="n">
        <v>0.01</v>
      </c>
      <c r="J402" s="34" t="n">
        <v>0.01</v>
      </c>
      <c r="K402" s="34" t="n">
        <v>0</v>
      </c>
      <c r="L402" s="34" t="n">
        <v>100.61</v>
      </c>
      <c r="M402" s="34" t="n">
        <v>100.61</v>
      </c>
      <c r="N402" s="34" t="n">
        <v>757</v>
      </c>
      <c r="O402" s="34" t="n">
        <v>0</v>
      </c>
      <c r="P402" s="34" t="s">
        <v>501</v>
      </c>
    </row>
    <row r="403" customFormat="false" ht="14.4" hidden="false" customHeight="false" outlineLevel="0" collapsed="false">
      <c r="A403" s="34" t="n">
        <v>402</v>
      </c>
      <c r="B403" s="35" t="n">
        <v>24617141000116</v>
      </c>
      <c r="C403" s="34" t="s">
        <v>1231</v>
      </c>
      <c r="D403" s="34" t="s">
        <v>77</v>
      </c>
      <c r="E403" s="34" t="s">
        <v>1232</v>
      </c>
      <c r="F403" s="34" t="n">
        <v>8</v>
      </c>
      <c r="G403" s="34" t="n">
        <v>2</v>
      </c>
      <c r="H403" s="40" t="n">
        <v>302.05</v>
      </c>
      <c r="I403" s="34" t="n">
        <v>0</v>
      </c>
      <c r="J403" s="34" t="n">
        <v>0</v>
      </c>
      <c r="K403" s="34" t="n">
        <v>0</v>
      </c>
      <c r="L403" s="34" t="n">
        <v>100.62</v>
      </c>
      <c r="M403" s="34" t="n">
        <v>100.62</v>
      </c>
      <c r="N403" s="34" t="n">
        <v>135</v>
      </c>
      <c r="O403" s="34" t="n">
        <v>0</v>
      </c>
      <c r="P403" s="34" t="s">
        <v>776</v>
      </c>
    </row>
    <row r="404" customFormat="false" ht="14.4" hidden="false" customHeight="false" outlineLevel="0" collapsed="false">
      <c r="A404" s="34" t="n">
        <v>403</v>
      </c>
      <c r="B404" s="35" t="n">
        <v>20637844000155</v>
      </c>
      <c r="C404" s="34" t="s">
        <v>1233</v>
      </c>
      <c r="D404" s="34" t="s">
        <v>77</v>
      </c>
      <c r="E404" s="34" t="s">
        <v>1234</v>
      </c>
      <c r="F404" s="34" t="n">
        <v>11</v>
      </c>
      <c r="G404" s="34" t="n">
        <v>3</v>
      </c>
      <c r="H404" s="40" t="n">
        <v>300.68</v>
      </c>
      <c r="I404" s="34" t="n">
        <v>0</v>
      </c>
      <c r="J404" s="34" t="n">
        <v>0.01</v>
      </c>
      <c r="K404" s="34" t="n">
        <v>0</v>
      </c>
      <c r="L404" s="34" t="n">
        <v>100.62</v>
      </c>
      <c r="M404" s="34" t="n">
        <v>100.62</v>
      </c>
      <c r="N404" s="34" t="n">
        <v>135</v>
      </c>
      <c r="O404" s="34" t="n">
        <v>0</v>
      </c>
      <c r="P404" s="34" t="s">
        <v>776</v>
      </c>
    </row>
    <row r="405" customFormat="false" ht="14.4" hidden="false" customHeight="false" outlineLevel="0" collapsed="false">
      <c r="A405" s="34" t="n">
        <v>404</v>
      </c>
      <c r="B405" s="35" t="n">
        <v>34395366000129</v>
      </c>
      <c r="C405" s="34" t="s">
        <v>1235</v>
      </c>
      <c r="D405" s="34" t="s">
        <v>604</v>
      </c>
      <c r="E405" s="34" t="s">
        <v>1236</v>
      </c>
      <c r="F405" s="34" t="n">
        <v>8</v>
      </c>
      <c r="G405" s="34" t="n">
        <v>1</v>
      </c>
      <c r="H405" s="40" t="n">
        <v>298.51</v>
      </c>
      <c r="I405" s="34" t="n">
        <v>0</v>
      </c>
      <c r="J405" s="34" t="n">
        <v>0</v>
      </c>
      <c r="K405" s="34" t="n">
        <v>0</v>
      </c>
      <c r="L405" s="34" t="n">
        <v>100.63</v>
      </c>
      <c r="M405" s="34" t="n">
        <v>100.63</v>
      </c>
      <c r="N405" s="34" t="n">
        <v>710</v>
      </c>
      <c r="O405" s="34" t="n">
        <v>0</v>
      </c>
      <c r="P405" s="34" t="s">
        <v>518</v>
      </c>
    </row>
    <row r="406" customFormat="false" ht="14.4" hidden="false" customHeight="false" outlineLevel="0" collapsed="false">
      <c r="A406" s="34" t="n">
        <v>405</v>
      </c>
      <c r="B406" s="35" t="n">
        <v>5081862000100</v>
      </c>
      <c r="C406" s="34" t="s">
        <v>1237</v>
      </c>
      <c r="D406" s="34" t="s">
        <v>77</v>
      </c>
      <c r="E406" s="34" t="s">
        <v>1238</v>
      </c>
      <c r="F406" s="34" t="n">
        <v>11</v>
      </c>
      <c r="G406" s="34" t="n">
        <v>5</v>
      </c>
      <c r="H406" s="40" t="n">
        <v>296.83</v>
      </c>
      <c r="I406" s="34" t="n">
        <v>0</v>
      </c>
      <c r="J406" s="34" t="n">
        <v>0.01</v>
      </c>
      <c r="K406" s="34" t="n">
        <v>0</v>
      </c>
      <c r="L406" s="34" t="n">
        <v>100.64</v>
      </c>
      <c r="M406" s="34" t="n">
        <v>100.64</v>
      </c>
      <c r="N406" s="34" t="n">
        <v>800</v>
      </c>
      <c r="O406" s="34" t="n">
        <v>0</v>
      </c>
      <c r="P406" s="34" t="s">
        <v>501</v>
      </c>
    </row>
    <row r="407" customFormat="false" ht="14.4" hidden="false" customHeight="false" outlineLevel="0" collapsed="false">
      <c r="A407" s="34" t="n">
        <v>406</v>
      </c>
      <c r="B407" s="35" t="n">
        <v>47205811000192</v>
      </c>
      <c r="C407" s="34" t="s">
        <v>1239</v>
      </c>
      <c r="D407" s="34" t="s">
        <v>89</v>
      </c>
      <c r="E407" s="34" t="s">
        <v>1240</v>
      </c>
      <c r="F407" s="34" t="n">
        <v>17</v>
      </c>
      <c r="G407" s="34" t="n">
        <v>2</v>
      </c>
      <c r="H407" s="40" t="n">
        <v>295.85</v>
      </c>
      <c r="I407" s="34" t="n">
        <v>0.01</v>
      </c>
      <c r="J407" s="34" t="n">
        <v>0.01</v>
      </c>
      <c r="K407" s="34" t="n">
        <v>0</v>
      </c>
      <c r="L407" s="34" t="n">
        <v>100.64</v>
      </c>
      <c r="M407" s="34" t="n">
        <v>100.64</v>
      </c>
      <c r="N407" s="34" t="n">
        <v>711</v>
      </c>
      <c r="O407" s="34" t="n">
        <v>0</v>
      </c>
      <c r="P407" s="34" t="s">
        <v>518</v>
      </c>
    </row>
    <row r="408" customFormat="false" ht="14.4" hidden="false" customHeight="false" outlineLevel="0" collapsed="false">
      <c r="A408" s="34" t="n">
        <v>407</v>
      </c>
      <c r="B408" s="35" t="n">
        <v>15054698000103</v>
      </c>
      <c r="C408" s="34" t="s">
        <v>1241</v>
      </c>
      <c r="D408" s="34" t="s">
        <v>569</v>
      </c>
      <c r="E408" s="34" t="s">
        <v>1242</v>
      </c>
      <c r="F408" s="34" t="n">
        <v>9</v>
      </c>
      <c r="G408" s="34" t="n">
        <v>1</v>
      </c>
      <c r="H408" s="40" t="n">
        <v>295.29</v>
      </c>
      <c r="I408" s="34" t="n">
        <v>0</v>
      </c>
      <c r="J408" s="34" t="n">
        <v>0</v>
      </c>
      <c r="K408" s="34" t="n">
        <v>0</v>
      </c>
      <c r="L408" s="34" t="n">
        <v>100.65</v>
      </c>
      <c r="M408" s="34" t="n">
        <v>100.65</v>
      </c>
      <c r="N408" s="34" t="n">
        <v>708</v>
      </c>
      <c r="O408" s="34" t="n">
        <v>0</v>
      </c>
      <c r="P408" s="34" t="s">
        <v>504</v>
      </c>
    </row>
    <row r="409" customFormat="false" ht="14.4" hidden="false" customHeight="false" outlineLevel="0" collapsed="false">
      <c r="A409" s="34" t="n">
        <v>408</v>
      </c>
      <c r="B409" s="35" t="n">
        <v>33189598000168</v>
      </c>
      <c r="C409" s="34" t="s">
        <v>1243</v>
      </c>
      <c r="D409" s="34" t="s">
        <v>299</v>
      </c>
      <c r="E409" s="34" t="s">
        <v>894</v>
      </c>
      <c r="F409" s="34" t="n">
        <v>28</v>
      </c>
      <c r="G409" s="34" t="n">
        <v>3</v>
      </c>
      <c r="H409" s="40" t="n">
        <v>293.49</v>
      </c>
      <c r="I409" s="34" t="n">
        <v>0.02</v>
      </c>
      <c r="J409" s="34" t="n">
        <v>0.01</v>
      </c>
      <c r="K409" s="34" t="n">
        <v>0</v>
      </c>
      <c r="L409" s="34" t="n">
        <v>100.65</v>
      </c>
      <c r="M409" s="34" t="n">
        <v>100.65</v>
      </c>
      <c r="N409" s="34" t="n">
        <v>710</v>
      </c>
      <c r="O409" s="34" t="n">
        <v>0</v>
      </c>
      <c r="P409" s="34" t="s">
        <v>504</v>
      </c>
    </row>
    <row r="410" customFormat="false" ht="14.4" hidden="false" customHeight="false" outlineLevel="0" collapsed="false">
      <c r="A410" s="34" t="n">
        <v>409</v>
      </c>
      <c r="B410" s="35" t="n">
        <v>15921612000194</v>
      </c>
      <c r="C410" s="34" t="s">
        <v>1244</v>
      </c>
      <c r="D410" s="34" t="s">
        <v>299</v>
      </c>
      <c r="E410" s="34" t="s">
        <v>1245</v>
      </c>
      <c r="F410" s="34" t="n">
        <v>6</v>
      </c>
      <c r="G410" s="34" t="n">
        <v>1</v>
      </c>
      <c r="H410" s="40" t="n">
        <v>290.64</v>
      </c>
      <c r="I410" s="34" t="n">
        <v>0</v>
      </c>
      <c r="J410" s="34" t="n">
        <v>0</v>
      </c>
      <c r="K410" s="34" t="n">
        <v>0</v>
      </c>
      <c r="L410" s="34" t="n">
        <v>100.66</v>
      </c>
      <c r="M410" s="34" t="n">
        <v>100.66</v>
      </c>
      <c r="N410" s="34" t="n">
        <v>710</v>
      </c>
      <c r="O410" s="34" t="n">
        <v>0</v>
      </c>
      <c r="P410" s="34" t="s">
        <v>504</v>
      </c>
    </row>
    <row r="411" customFormat="false" ht="14.4" hidden="false" customHeight="false" outlineLevel="0" collapsed="false">
      <c r="A411" s="34" t="n">
        <v>410</v>
      </c>
      <c r="B411" s="35" t="n">
        <v>25308906000107</v>
      </c>
      <c r="C411" s="34" t="s">
        <v>1246</v>
      </c>
      <c r="D411" s="34" t="s">
        <v>548</v>
      </c>
      <c r="E411" s="34" t="s">
        <v>1247</v>
      </c>
      <c r="F411" s="34" t="n">
        <v>11</v>
      </c>
      <c r="G411" s="34" t="n">
        <v>2</v>
      </c>
      <c r="H411" s="40" t="n">
        <v>290.25</v>
      </c>
      <c r="I411" s="34" t="n">
        <v>0</v>
      </c>
      <c r="J411" s="34" t="n">
        <v>0</v>
      </c>
      <c r="K411" s="34" t="n">
        <v>0</v>
      </c>
      <c r="L411" s="34" t="n">
        <v>100.67</v>
      </c>
      <c r="M411" s="34" t="n">
        <v>100.67</v>
      </c>
      <c r="N411" s="34" t="n">
        <v>708</v>
      </c>
      <c r="O411" s="34" t="n">
        <v>0</v>
      </c>
      <c r="P411" s="34" t="s">
        <v>518</v>
      </c>
    </row>
    <row r="412" customFormat="false" ht="14.4" hidden="false" customHeight="false" outlineLevel="0" collapsed="false">
      <c r="A412" s="34" t="n">
        <v>411</v>
      </c>
      <c r="B412" s="35" t="n">
        <v>1914374000185</v>
      </c>
      <c r="C412" s="34" t="s">
        <v>1248</v>
      </c>
      <c r="D412" s="34" t="s">
        <v>77</v>
      </c>
      <c r="E412" s="34" t="s">
        <v>1249</v>
      </c>
      <c r="F412" s="34" t="n">
        <v>21</v>
      </c>
      <c r="G412" s="34" t="n">
        <v>2</v>
      </c>
      <c r="H412" s="40" t="n">
        <v>290.16</v>
      </c>
      <c r="I412" s="34" t="n">
        <v>0.01</v>
      </c>
      <c r="J412" s="34" t="n">
        <v>0</v>
      </c>
      <c r="K412" s="34" t="n">
        <v>0</v>
      </c>
      <c r="L412" s="34" t="n">
        <v>100.67</v>
      </c>
      <c r="M412" s="34" t="n">
        <v>100.67</v>
      </c>
      <c r="N412" s="34" t="n">
        <v>757</v>
      </c>
      <c r="O412" s="34" t="n">
        <v>0</v>
      </c>
      <c r="P412" s="34" t="s">
        <v>773</v>
      </c>
    </row>
    <row r="413" customFormat="false" ht="14.4" hidden="false" customHeight="false" outlineLevel="0" collapsed="false">
      <c r="A413" s="34" t="n">
        <v>412</v>
      </c>
      <c r="B413" s="35" t="n">
        <v>22111263000100</v>
      </c>
      <c r="C413" s="34" t="s">
        <v>1250</v>
      </c>
      <c r="D413" s="34" t="s">
        <v>77</v>
      </c>
      <c r="E413" s="34" t="s">
        <v>1251</v>
      </c>
      <c r="F413" s="34" t="n">
        <v>7</v>
      </c>
      <c r="G413" s="34" t="n">
        <v>2</v>
      </c>
      <c r="H413" s="40" t="n">
        <v>287.51</v>
      </c>
      <c r="I413" s="34" t="n">
        <v>0</v>
      </c>
      <c r="J413" s="34" t="n">
        <v>0</v>
      </c>
      <c r="K413" s="34" t="n">
        <v>0</v>
      </c>
      <c r="L413" s="34" t="n">
        <v>100.68</v>
      </c>
      <c r="M413" s="34" t="n">
        <v>100.68</v>
      </c>
      <c r="N413" s="34" t="n">
        <v>757</v>
      </c>
      <c r="O413" s="34" t="n">
        <v>0</v>
      </c>
      <c r="P413" s="34" t="s">
        <v>501</v>
      </c>
    </row>
    <row r="414" customFormat="false" ht="14.4" hidden="false" customHeight="false" outlineLevel="0" collapsed="false">
      <c r="A414" s="34" t="n">
        <v>413</v>
      </c>
      <c r="B414" s="35" t="n">
        <v>8144439000108</v>
      </c>
      <c r="C414" s="34" t="s">
        <v>1252</v>
      </c>
      <c r="D414" s="34" t="s">
        <v>464</v>
      </c>
      <c r="E414" s="34" t="s">
        <v>1253</v>
      </c>
      <c r="F414" s="34" t="n">
        <v>3</v>
      </c>
      <c r="G414" s="34" t="n">
        <v>1</v>
      </c>
      <c r="H414" s="40" t="n">
        <v>286.27</v>
      </c>
      <c r="I414" s="34" t="n">
        <v>0</v>
      </c>
      <c r="J414" s="34" t="n">
        <v>0</v>
      </c>
      <c r="K414" s="34" t="n">
        <v>0</v>
      </c>
      <c r="L414" s="34" t="n">
        <v>100.69</v>
      </c>
      <c r="M414" s="34" t="n">
        <v>100.69</v>
      </c>
      <c r="N414" s="34" t="n">
        <v>712</v>
      </c>
      <c r="O414" s="34" t="n">
        <v>0</v>
      </c>
      <c r="P414" s="34" t="s">
        <v>510</v>
      </c>
    </row>
    <row r="415" customFormat="false" ht="14.4" hidden="false" customHeight="false" outlineLevel="0" collapsed="false">
      <c r="A415" s="34" t="n">
        <v>414</v>
      </c>
      <c r="B415" s="35" t="n">
        <v>19793674000119</v>
      </c>
      <c r="C415" s="34" t="s">
        <v>1254</v>
      </c>
      <c r="D415" s="34" t="s">
        <v>848</v>
      </c>
      <c r="E415" s="34" t="s">
        <v>1255</v>
      </c>
      <c r="F415" s="34" t="n">
        <v>3</v>
      </c>
      <c r="G415" s="34" t="n">
        <v>1</v>
      </c>
      <c r="H415" s="40" t="n">
        <v>286.27</v>
      </c>
      <c r="I415" s="34" t="n">
        <v>0</v>
      </c>
      <c r="J415" s="34" t="n">
        <v>0</v>
      </c>
      <c r="K415" s="34" t="n">
        <v>0</v>
      </c>
      <c r="L415" s="34" t="n">
        <v>100.69</v>
      </c>
      <c r="M415" s="34" t="n">
        <v>100.69</v>
      </c>
      <c r="N415" s="34" t="n">
        <v>712</v>
      </c>
      <c r="O415" s="34" t="n">
        <v>0</v>
      </c>
      <c r="P415" s="34" t="s">
        <v>510</v>
      </c>
    </row>
    <row r="416" customFormat="false" ht="14.4" hidden="false" customHeight="false" outlineLevel="0" collapsed="false">
      <c r="A416" s="34" t="n">
        <v>415</v>
      </c>
      <c r="B416" s="35" t="n">
        <v>73616344000101</v>
      </c>
      <c r="C416" s="34" t="s">
        <v>1256</v>
      </c>
      <c r="D416" s="34" t="s">
        <v>994</v>
      </c>
      <c r="E416" s="34" t="s">
        <v>805</v>
      </c>
      <c r="F416" s="34" t="n">
        <v>3</v>
      </c>
      <c r="G416" s="34" t="n">
        <v>1</v>
      </c>
      <c r="H416" s="40" t="n">
        <v>286.27</v>
      </c>
      <c r="I416" s="34" t="n">
        <v>0</v>
      </c>
      <c r="J416" s="34" t="n">
        <v>0</v>
      </c>
      <c r="K416" s="34" t="n">
        <v>0</v>
      </c>
      <c r="L416" s="34" t="n">
        <v>100.7</v>
      </c>
      <c r="M416" s="34" t="n">
        <v>100.7</v>
      </c>
      <c r="N416" s="34" t="n">
        <v>716</v>
      </c>
      <c r="O416" s="34" t="n">
        <v>0</v>
      </c>
      <c r="P416" s="34" t="s">
        <v>510</v>
      </c>
    </row>
    <row r="417" customFormat="false" ht="14.4" hidden="false" customHeight="false" outlineLevel="0" collapsed="false">
      <c r="A417" s="34" t="n">
        <v>416</v>
      </c>
      <c r="B417" s="35" t="n">
        <v>8177535000144</v>
      </c>
      <c r="C417" s="34" t="s">
        <v>1257</v>
      </c>
      <c r="D417" s="34" t="s">
        <v>139</v>
      </c>
      <c r="E417" s="34" t="s">
        <v>575</v>
      </c>
      <c r="F417" s="34" t="n">
        <v>3</v>
      </c>
      <c r="G417" s="34" t="n">
        <v>1</v>
      </c>
      <c r="H417" s="40" t="n">
        <v>282.69</v>
      </c>
      <c r="I417" s="34" t="n">
        <v>0</v>
      </c>
      <c r="J417" s="34" t="n">
        <v>0</v>
      </c>
      <c r="K417" s="34" t="n">
        <v>0</v>
      </c>
      <c r="L417" s="34" t="n">
        <v>100.7</v>
      </c>
      <c r="M417" s="34" t="n">
        <v>100.7</v>
      </c>
      <c r="N417" s="34" t="n">
        <v>714</v>
      </c>
      <c r="O417" s="34" t="n">
        <v>0</v>
      </c>
      <c r="P417" s="34" t="s">
        <v>518</v>
      </c>
    </row>
    <row r="418" customFormat="false" ht="14.4" hidden="false" customHeight="false" outlineLevel="0" collapsed="false">
      <c r="A418" s="34" t="n">
        <v>417</v>
      </c>
      <c r="B418" s="35" t="n">
        <v>15405141000161</v>
      </c>
      <c r="C418" s="34" t="s">
        <v>1258</v>
      </c>
      <c r="D418" s="34" t="s">
        <v>737</v>
      </c>
      <c r="E418" s="34" t="s">
        <v>1259</v>
      </c>
      <c r="F418" s="34" t="n">
        <v>3</v>
      </c>
      <c r="G418" s="34" t="n">
        <v>1</v>
      </c>
      <c r="H418" s="40" t="n">
        <v>282.69</v>
      </c>
      <c r="I418" s="34" t="n">
        <v>0</v>
      </c>
      <c r="J418" s="34" t="n">
        <v>0</v>
      </c>
      <c r="K418" s="34" t="n">
        <v>0</v>
      </c>
      <c r="L418" s="34" t="n">
        <v>100.71</v>
      </c>
      <c r="M418" s="34" t="n">
        <v>100.71</v>
      </c>
      <c r="N418" s="34" t="n">
        <v>800</v>
      </c>
      <c r="O418" s="34" t="n">
        <v>0</v>
      </c>
      <c r="P418" s="34" t="s">
        <v>518</v>
      </c>
    </row>
    <row r="419" customFormat="false" ht="14.4" hidden="false" customHeight="false" outlineLevel="0" collapsed="false">
      <c r="A419" s="34" t="n">
        <v>418</v>
      </c>
      <c r="B419" s="35" t="n">
        <v>28519613000159</v>
      </c>
      <c r="C419" s="34" t="s">
        <v>1260</v>
      </c>
      <c r="D419" s="34" t="s">
        <v>139</v>
      </c>
      <c r="E419" s="34" t="s">
        <v>1261</v>
      </c>
      <c r="F419" s="34" t="n">
        <v>3</v>
      </c>
      <c r="G419" s="34" t="n">
        <v>1</v>
      </c>
      <c r="H419" s="40" t="n">
        <v>282.69</v>
      </c>
      <c r="I419" s="34" t="n">
        <v>0</v>
      </c>
      <c r="J419" s="34" t="n">
        <v>0</v>
      </c>
      <c r="K419" s="34" t="n">
        <v>0</v>
      </c>
      <c r="L419" s="34" t="n">
        <v>100.72</v>
      </c>
      <c r="M419" s="34" t="n">
        <v>100.72</v>
      </c>
      <c r="N419" s="34" t="n">
        <v>800</v>
      </c>
      <c r="O419" s="34" t="n">
        <v>0</v>
      </c>
      <c r="P419" s="34" t="s">
        <v>501</v>
      </c>
    </row>
    <row r="420" customFormat="false" ht="14.4" hidden="false" customHeight="false" outlineLevel="0" collapsed="false">
      <c r="A420" s="34" t="n">
        <v>419</v>
      </c>
      <c r="B420" s="35" t="n">
        <v>33069771000194</v>
      </c>
      <c r="C420" s="34" t="s">
        <v>1262</v>
      </c>
      <c r="D420" s="34" t="s">
        <v>139</v>
      </c>
      <c r="E420" s="34" t="s">
        <v>1263</v>
      </c>
      <c r="F420" s="34" t="n">
        <v>3</v>
      </c>
      <c r="G420" s="34" t="n">
        <v>1</v>
      </c>
      <c r="H420" s="40" t="n">
        <v>282.69</v>
      </c>
      <c r="I420" s="34" t="n">
        <v>0</v>
      </c>
      <c r="J420" s="34" t="n">
        <v>0</v>
      </c>
      <c r="K420" s="34" t="n">
        <v>0</v>
      </c>
      <c r="L420" s="34" t="n">
        <v>100.72</v>
      </c>
      <c r="M420" s="34" t="n">
        <v>100.72</v>
      </c>
      <c r="N420" s="34" t="n">
        <v>714</v>
      </c>
      <c r="O420" s="34" t="n">
        <v>0</v>
      </c>
      <c r="P420" s="34" t="s">
        <v>518</v>
      </c>
    </row>
    <row r="421" customFormat="false" ht="14.4" hidden="false" customHeight="false" outlineLevel="0" collapsed="false">
      <c r="A421" s="34" t="n">
        <v>420</v>
      </c>
      <c r="B421" s="35" t="n">
        <v>44538808000100</v>
      </c>
      <c r="C421" s="34" t="s">
        <v>1264</v>
      </c>
      <c r="D421" s="34" t="s">
        <v>139</v>
      </c>
      <c r="E421" s="34" t="s">
        <v>1265</v>
      </c>
      <c r="F421" s="34" t="n">
        <v>3</v>
      </c>
      <c r="G421" s="34" t="n">
        <v>1</v>
      </c>
      <c r="H421" s="40" t="n">
        <v>282.69</v>
      </c>
      <c r="I421" s="34" t="n">
        <v>0</v>
      </c>
      <c r="J421" s="34" t="n">
        <v>0</v>
      </c>
      <c r="K421" s="34" t="n">
        <v>0</v>
      </c>
      <c r="L421" s="34" t="n">
        <v>100.73</v>
      </c>
      <c r="M421" s="34" t="n">
        <v>100.73</v>
      </c>
      <c r="N421" s="34" t="n">
        <v>714</v>
      </c>
      <c r="O421" s="34" t="n">
        <v>0</v>
      </c>
      <c r="P421" s="34" t="s">
        <v>510</v>
      </c>
    </row>
    <row r="422" customFormat="false" ht="14.4" hidden="false" customHeight="false" outlineLevel="0" collapsed="false">
      <c r="A422" s="34" t="n">
        <v>421</v>
      </c>
      <c r="B422" s="35" t="n">
        <v>53669741000126</v>
      </c>
      <c r="C422" s="34" t="s">
        <v>1266</v>
      </c>
      <c r="D422" s="34" t="s">
        <v>954</v>
      </c>
      <c r="E422" s="34" t="s">
        <v>1267</v>
      </c>
      <c r="F422" s="34" t="n">
        <v>3</v>
      </c>
      <c r="G422" s="34" t="n">
        <v>1</v>
      </c>
      <c r="H422" s="40" t="n">
        <v>282.69</v>
      </c>
      <c r="I422" s="34" t="n">
        <v>0</v>
      </c>
      <c r="J422" s="34" t="n">
        <v>0</v>
      </c>
      <c r="K422" s="34" t="n">
        <v>0</v>
      </c>
      <c r="L422" s="34" t="n">
        <v>100.74</v>
      </c>
      <c r="M422" s="34" t="n">
        <v>100.74</v>
      </c>
      <c r="N422" s="34" t="n">
        <v>757</v>
      </c>
      <c r="O422" s="34" t="n">
        <v>0</v>
      </c>
      <c r="P422" s="34" t="s">
        <v>510</v>
      </c>
    </row>
    <row r="423" customFormat="false" ht="14.4" hidden="false" customHeight="false" outlineLevel="0" collapsed="false">
      <c r="A423" s="34" t="n">
        <v>422</v>
      </c>
      <c r="B423" s="35" t="n">
        <v>2753798000178</v>
      </c>
      <c r="C423" s="34" t="s">
        <v>1268</v>
      </c>
      <c r="D423" s="34" t="s">
        <v>357</v>
      </c>
      <c r="E423" s="34" t="s">
        <v>526</v>
      </c>
      <c r="F423" s="34" t="n">
        <v>9</v>
      </c>
      <c r="G423" s="34" t="n">
        <v>2</v>
      </c>
      <c r="H423" s="40" t="n">
        <v>281.4</v>
      </c>
      <c r="I423" s="34" t="n">
        <v>0</v>
      </c>
      <c r="J423" s="34" t="n">
        <v>0</v>
      </c>
      <c r="K423" s="34" t="n">
        <v>0</v>
      </c>
      <c r="L423" s="34" t="n">
        <v>100.74</v>
      </c>
      <c r="M423" s="34" t="n">
        <v>100.74</v>
      </c>
      <c r="N423" s="34" t="n">
        <v>708</v>
      </c>
      <c r="O423" s="34" t="n">
        <v>0</v>
      </c>
      <c r="P423" s="34" t="s">
        <v>504</v>
      </c>
    </row>
    <row r="424" customFormat="false" ht="14.4" hidden="false" customHeight="false" outlineLevel="0" collapsed="false">
      <c r="A424" s="34" t="n">
        <v>423</v>
      </c>
      <c r="B424" s="35" t="n">
        <v>21262328000156</v>
      </c>
      <c r="C424" s="34" t="s">
        <v>1269</v>
      </c>
      <c r="D424" s="34" t="s">
        <v>569</v>
      </c>
      <c r="E424" s="34" t="s">
        <v>1270</v>
      </c>
      <c r="F424" s="34" t="n">
        <v>3</v>
      </c>
      <c r="G424" s="34" t="n">
        <v>1</v>
      </c>
      <c r="H424" s="40" t="n">
        <v>280.83</v>
      </c>
      <c r="I424" s="34" t="n">
        <v>0</v>
      </c>
      <c r="J424" s="34" t="n">
        <v>0</v>
      </c>
      <c r="K424" s="34" t="n">
        <v>0</v>
      </c>
      <c r="L424" s="34" t="n">
        <v>100.75</v>
      </c>
      <c r="M424" s="34" t="n">
        <v>100.75</v>
      </c>
      <c r="N424" s="34" t="n">
        <v>708</v>
      </c>
      <c r="O424" s="34" t="n">
        <v>0</v>
      </c>
      <c r="P424" s="34" t="s">
        <v>834</v>
      </c>
    </row>
    <row r="425" customFormat="false" ht="14.4" hidden="false" customHeight="false" outlineLevel="0" collapsed="false">
      <c r="A425" s="34" t="n">
        <v>424</v>
      </c>
      <c r="B425" s="35" t="n">
        <v>22045361000278</v>
      </c>
      <c r="C425" s="34" t="s">
        <v>1271</v>
      </c>
      <c r="D425" s="34" t="s">
        <v>1272</v>
      </c>
      <c r="E425" s="34" t="s">
        <v>1273</v>
      </c>
      <c r="F425" s="34" t="n">
        <v>3</v>
      </c>
      <c r="G425" s="34" t="n">
        <v>1</v>
      </c>
      <c r="H425" s="40" t="n">
        <v>278.5</v>
      </c>
      <c r="I425" s="34" t="n">
        <v>0</v>
      </c>
      <c r="J425" s="34" t="n">
        <v>0</v>
      </c>
      <c r="K425" s="34" t="n">
        <v>0</v>
      </c>
      <c r="L425" s="34" t="n">
        <v>100.75</v>
      </c>
      <c r="M425" s="34" t="n">
        <v>100.75</v>
      </c>
      <c r="N425" s="34" t="n">
        <v>709</v>
      </c>
      <c r="O425" s="34" t="n">
        <v>0</v>
      </c>
      <c r="P425" s="34" t="s">
        <v>501</v>
      </c>
    </row>
    <row r="426" customFormat="false" ht="14.4" hidden="false" customHeight="false" outlineLevel="0" collapsed="false">
      <c r="A426" s="34" t="n">
        <v>425</v>
      </c>
      <c r="B426" s="35" t="n">
        <v>5497384000113</v>
      </c>
      <c r="C426" s="34" t="s">
        <v>1274</v>
      </c>
      <c r="D426" s="34" t="s">
        <v>1029</v>
      </c>
      <c r="E426" s="34" t="s">
        <v>1275</v>
      </c>
      <c r="F426" s="34" t="n">
        <v>9</v>
      </c>
      <c r="G426" s="34" t="n">
        <v>3</v>
      </c>
      <c r="H426" s="40" t="n">
        <v>272.83</v>
      </c>
      <c r="I426" s="34" t="n">
        <v>0</v>
      </c>
      <c r="J426" s="34" t="n">
        <v>0.01</v>
      </c>
      <c r="K426" s="34" t="n">
        <v>0</v>
      </c>
      <c r="L426" s="34" t="n">
        <v>100.76</v>
      </c>
      <c r="M426" s="34" t="n">
        <v>100.76</v>
      </c>
      <c r="N426" s="34" t="n">
        <v>704</v>
      </c>
      <c r="O426" s="34" t="n">
        <v>0</v>
      </c>
      <c r="P426" s="34" t="s">
        <v>501</v>
      </c>
    </row>
    <row r="427" customFormat="false" ht="14.4" hidden="false" customHeight="false" outlineLevel="0" collapsed="false">
      <c r="A427" s="34" t="n">
        <v>426</v>
      </c>
      <c r="B427" s="35" t="n">
        <v>45679714000106</v>
      </c>
      <c r="C427" s="34" t="s">
        <v>1276</v>
      </c>
      <c r="D427" s="34" t="s">
        <v>935</v>
      </c>
      <c r="E427" s="34" t="s">
        <v>1277</v>
      </c>
      <c r="F427" s="34" t="n">
        <v>9</v>
      </c>
      <c r="G427" s="34" t="n">
        <v>2</v>
      </c>
      <c r="H427" s="40" t="n">
        <v>271.35</v>
      </c>
      <c r="I427" s="34" t="n">
        <v>0</v>
      </c>
      <c r="J427" s="34" t="n">
        <v>0</v>
      </c>
      <c r="K427" s="34" t="n">
        <v>0</v>
      </c>
      <c r="L427" s="34" t="n">
        <v>100.77</v>
      </c>
      <c r="M427" s="34" t="n">
        <v>100.77</v>
      </c>
      <c r="N427" s="34" t="n">
        <v>704</v>
      </c>
      <c r="O427" s="34" t="n">
        <v>0</v>
      </c>
      <c r="P427" s="34" t="s">
        <v>1278</v>
      </c>
    </row>
    <row r="428" customFormat="false" ht="14.4" hidden="false" customHeight="false" outlineLevel="0" collapsed="false">
      <c r="A428" s="34" t="n">
        <v>427</v>
      </c>
      <c r="B428" s="35" t="n">
        <v>23213372000100</v>
      </c>
      <c r="C428" s="34" t="s">
        <v>1279</v>
      </c>
      <c r="D428" s="34" t="s">
        <v>139</v>
      </c>
      <c r="E428" s="34" t="s">
        <v>1280</v>
      </c>
      <c r="F428" s="34" t="n">
        <v>3</v>
      </c>
      <c r="G428" s="34" t="n">
        <v>1</v>
      </c>
      <c r="H428" s="40" t="n">
        <v>271.24</v>
      </c>
      <c r="I428" s="34" t="n">
        <v>0</v>
      </c>
      <c r="J428" s="34" t="n">
        <v>0</v>
      </c>
      <c r="K428" s="34" t="n">
        <v>0</v>
      </c>
      <c r="L428" s="34" t="n">
        <v>100.77</v>
      </c>
      <c r="M428" s="34" t="n">
        <v>100.77</v>
      </c>
      <c r="N428" s="34" t="n">
        <v>214</v>
      </c>
      <c r="O428" s="34" t="n">
        <v>0</v>
      </c>
      <c r="P428" s="34" t="s">
        <v>518</v>
      </c>
    </row>
    <row r="429" customFormat="false" ht="14.4" hidden="false" customHeight="false" outlineLevel="0" collapsed="false">
      <c r="A429" s="34" t="n">
        <v>428</v>
      </c>
      <c r="B429" s="35" t="n">
        <v>13063093000145</v>
      </c>
      <c r="C429" s="34" t="s">
        <v>1080</v>
      </c>
      <c r="D429" s="34" t="s">
        <v>77</v>
      </c>
      <c r="E429" s="34" t="s">
        <v>1281</v>
      </c>
      <c r="F429" s="34" t="n">
        <v>7</v>
      </c>
      <c r="G429" s="34" t="n">
        <v>1</v>
      </c>
      <c r="H429" s="40" t="n">
        <v>271.19</v>
      </c>
      <c r="I429" s="34" t="n">
        <v>0</v>
      </c>
      <c r="J429" s="34" t="n">
        <v>0</v>
      </c>
      <c r="K429" s="34" t="n">
        <v>0</v>
      </c>
      <c r="L429" s="34" t="n">
        <v>100.78</v>
      </c>
      <c r="M429" s="34" t="n">
        <v>100.78</v>
      </c>
      <c r="N429" s="34" t="n">
        <v>759</v>
      </c>
      <c r="O429" s="34" t="n">
        <v>0</v>
      </c>
      <c r="P429" s="34" t="s">
        <v>510</v>
      </c>
    </row>
    <row r="430" customFormat="false" ht="14.4" hidden="false" customHeight="false" outlineLevel="0" collapsed="false">
      <c r="A430" s="34" t="n">
        <v>429</v>
      </c>
      <c r="B430" s="35" t="n">
        <v>5553799000167</v>
      </c>
      <c r="C430" s="34" t="s">
        <v>1282</v>
      </c>
      <c r="D430" s="34" t="s">
        <v>77</v>
      </c>
      <c r="E430" s="34" t="s">
        <v>1283</v>
      </c>
      <c r="F430" s="34" t="n">
        <v>9</v>
      </c>
      <c r="G430" s="34" t="n">
        <v>2</v>
      </c>
      <c r="H430" s="40" t="n">
        <v>267.25</v>
      </c>
      <c r="I430" s="34" t="n">
        <v>0</v>
      </c>
      <c r="J430" s="34" t="n">
        <v>0</v>
      </c>
      <c r="K430" s="34" t="n">
        <v>0</v>
      </c>
      <c r="L430" s="34" t="n">
        <v>100.78</v>
      </c>
      <c r="M430" s="34" t="n">
        <v>100.78</v>
      </c>
      <c r="N430" s="34" t="n">
        <v>759</v>
      </c>
      <c r="O430" s="34" t="n">
        <v>0</v>
      </c>
      <c r="P430" s="34" t="s">
        <v>510</v>
      </c>
    </row>
    <row r="431" customFormat="false" ht="14.4" hidden="false" customHeight="false" outlineLevel="0" collapsed="false">
      <c r="A431" s="34" t="n">
        <v>430</v>
      </c>
      <c r="B431" s="35" t="n">
        <v>7914383000152</v>
      </c>
      <c r="C431" s="34" t="s">
        <v>1284</v>
      </c>
      <c r="D431" s="34" t="s">
        <v>77</v>
      </c>
      <c r="E431" s="34" t="s">
        <v>1285</v>
      </c>
      <c r="F431" s="34" t="n">
        <v>8</v>
      </c>
      <c r="G431" s="34" t="n">
        <v>2</v>
      </c>
      <c r="H431" s="40" t="n">
        <v>266.84</v>
      </c>
      <c r="I431" s="34" t="n">
        <v>0</v>
      </c>
      <c r="J431" s="34" t="n">
        <v>0</v>
      </c>
      <c r="K431" s="34" t="n">
        <v>0</v>
      </c>
      <c r="L431" s="34" t="n">
        <v>100.79</v>
      </c>
      <c r="M431" s="34" t="n">
        <v>100.79</v>
      </c>
      <c r="N431" s="34" t="n">
        <v>135</v>
      </c>
      <c r="O431" s="34" t="n">
        <v>0</v>
      </c>
      <c r="P431" s="34" t="s">
        <v>510</v>
      </c>
    </row>
    <row r="432" customFormat="false" ht="14.4" hidden="false" customHeight="false" outlineLevel="0" collapsed="false">
      <c r="A432" s="34" t="n">
        <v>431</v>
      </c>
      <c r="B432" s="35" t="n">
        <v>25232452000120</v>
      </c>
      <c r="C432" s="34" t="s">
        <v>1286</v>
      </c>
      <c r="D432" s="34" t="s">
        <v>77</v>
      </c>
      <c r="E432" s="34" t="s">
        <v>1287</v>
      </c>
      <c r="F432" s="34" t="n">
        <v>11</v>
      </c>
      <c r="G432" s="34" t="n">
        <v>2</v>
      </c>
      <c r="H432" s="40" t="n">
        <v>265.36</v>
      </c>
      <c r="I432" s="34" t="n">
        <v>0</v>
      </c>
      <c r="J432" s="34" t="n">
        <v>0</v>
      </c>
      <c r="K432" s="34" t="n">
        <v>0</v>
      </c>
      <c r="L432" s="34" t="n">
        <v>100.79</v>
      </c>
      <c r="M432" s="34" t="n">
        <v>100.79</v>
      </c>
      <c r="N432" s="34" t="n">
        <v>759</v>
      </c>
      <c r="O432" s="34" t="n">
        <v>0</v>
      </c>
      <c r="P432" s="34" t="s">
        <v>518</v>
      </c>
    </row>
    <row r="433" customFormat="false" ht="14.4" hidden="false" customHeight="false" outlineLevel="0" collapsed="false">
      <c r="A433" s="34" t="n">
        <v>432</v>
      </c>
      <c r="B433" s="35" t="n">
        <v>39575110000117</v>
      </c>
      <c r="C433" s="34" t="s">
        <v>1288</v>
      </c>
      <c r="D433" s="34" t="s">
        <v>77</v>
      </c>
      <c r="E433" s="34" t="s">
        <v>1289</v>
      </c>
      <c r="F433" s="34" t="n">
        <v>10</v>
      </c>
      <c r="G433" s="34" t="n">
        <v>1</v>
      </c>
      <c r="H433" s="40" t="n">
        <v>264.53</v>
      </c>
      <c r="I433" s="34" t="n">
        <v>0</v>
      </c>
      <c r="J433" s="34" t="n">
        <v>0</v>
      </c>
      <c r="K433" s="34" t="n">
        <v>0</v>
      </c>
      <c r="L433" s="34" t="n">
        <v>100.8</v>
      </c>
      <c r="M433" s="34" t="n">
        <v>100.8</v>
      </c>
      <c r="N433" s="34" t="n">
        <v>130</v>
      </c>
      <c r="O433" s="34" t="n">
        <v>0</v>
      </c>
      <c r="P433" s="34" t="s">
        <v>776</v>
      </c>
    </row>
    <row r="434" customFormat="false" ht="14.4" hidden="false" customHeight="false" outlineLevel="0" collapsed="false">
      <c r="A434" s="34" t="n">
        <v>433</v>
      </c>
      <c r="B434" s="35" t="n">
        <v>15000097000371</v>
      </c>
      <c r="C434" s="34" t="s">
        <v>1059</v>
      </c>
      <c r="D434" s="34" t="s">
        <v>213</v>
      </c>
      <c r="E434" s="34" t="s">
        <v>1290</v>
      </c>
      <c r="F434" s="34" t="n">
        <v>2</v>
      </c>
      <c r="G434" s="34" t="n">
        <v>1</v>
      </c>
      <c r="H434" s="40" t="n">
        <v>262.08</v>
      </c>
      <c r="I434" s="34" t="n">
        <v>0</v>
      </c>
      <c r="J434" s="34" t="n">
        <v>0</v>
      </c>
      <c r="K434" s="34" t="n">
        <v>0</v>
      </c>
      <c r="L434" s="34" t="n">
        <v>100.81</v>
      </c>
      <c r="M434" s="34" t="n">
        <v>100.81</v>
      </c>
      <c r="N434" s="34" t="n">
        <v>706</v>
      </c>
      <c r="O434" s="34" t="n">
        <v>0</v>
      </c>
      <c r="P434" s="34" t="s">
        <v>510</v>
      </c>
    </row>
    <row r="435" customFormat="false" ht="14.4" hidden="false" customHeight="false" outlineLevel="0" collapsed="false">
      <c r="A435" s="34" t="n">
        <v>434</v>
      </c>
      <c r="B435" s="35" t="n">
        <v>24217251000190</v>
      </c>
      <c r="C435" s="34" t="s">
        <v>1291</v>
      </c>
      <c r="D435" s="34" t="s">
        <v>737</v>
      </c>
      <c r="E435" s="34" t="s">
        <v>1292</v>
      </c>
      <c r="F435" s="34" t="n">
        <v>6</v>
      </c>
      <c r="G435" s="34" t="n">
        <v>0</v>
      </c>
      <c r="H435" s="40" t="n">
        <v>259.13</v>
      </c>
      <c r="I435" s="34" t="n">
        <v>0</v>
      </c>
      <c r="J435" s="34" t="n">
        <v>0</v>
      </c>
      <c r="K435" s="34" t="n">
        <v>0</v>
      </c>
      <c r="L435" s="34" t="n">
        <v>100.81</v>
      </c>
      <c r="M435" s="34" t="n">
        <v>100.81</v>
      </c>
      <c r="N435" s="34" t="n">
        <v>716</v>
      </c>
      <c r="O435" s="34" t="n">
        <v>0</v>
      </c>
      <c r="P435" s="34" t="s">
        <v>518</v>
      </c>
    </row>
    <row r="436" customFormat="false" ht="14.4" hidden="false" customHeight="false" outlineLevel="0" collapsed="false">
      <c r="A436" s="34" t="n">
        <v>435</v>
      </c>
      <c r="B436" s="35" t="n">
        <v>24557458000104</v>
      </c>
      <c r="C436" s="34" t="s">
        <v>1293</v>
      </c>
      <c r="D436" s="34" t="s">
        <v>77</v>
      </c>
      <c r="E436" s="34" t="s">
        <v>1294</v>
      </c>
      <c r="F436" s="34" t="n">
        <v>7</v>
      </c>
      <c r="G436" s="34" t="n">
        <v>1</v>
      </c>
      <c r="H436" s="40" t="n">
        <v>258.09</v>
      </c>
      <c r="I436" s="34" t="n">
        <v>0</v>
      </c>
      <c r="J436" s="34" t="n">
        <v>0</v>
      </c>
      <c r="K436" s="34" t="n">
        <v>0</v>
      </c>
      <c r="L436" s="34" t="n">
        <v>100.82</v>
      </c>
      <c r="M436" s="34" t="n">
        <v>100.82</v>
      </c>
      <c r="N436" s="34" t="n">
        <v>130</v>
      </c>
      <c r="O436" s="34" t="n">
        <v>0</v>
      </c>
      <c r="P436" s="34" t="s">
        <v>776</v>
      </c>
    </row>
    <row r="437" customFormat="false" ht="14.4" hidden="false" customHeight="false" outlineLevel="0" collapsed="false">
      <c r="A437" s="34" t="n">
        <v>436</v>
      </c>
      <c r="B437" s="35" t="n">
        <v>13899030000123</v>
      </c>
      <c r="C437" s="34" t="s">
        <v>1295</v>
      </c>
      <c r="D437" s="34" t="s">
        <v>342</v>
      </c>
      <c r="E437" s="34" t="s">
        <v>1296</v>
      </c>
      <c r="F437" s="34" t="n">
        <v>10</v>
      </c>
      <c r="G437" s="34" t="n">
        <v>2</v>
      </c>
      <c r="H437" s="40" t="n">
        <v>255.96</v>
      </c>
      <c r="I437" s="34" t="n">
        <v>0</v>
      </c>
      <c r="J437" s="34" t="n">
        <v>0.01</v>
      </c>
      <c r="K437" s="34" t="n">
        <v>0</v>
      </c>
      <c r="L437" s="34" t="n">
        <v>100.82</v>
      </c>
      <c r="M437" s="34" t="n">
        <v>100.82</v>
      </c>
      <c r="N437" s="34" t="n">
        <v>705</v>
      </c>
      <c r="O437" s="34" t="n">
        <v>0</v>
      </c>
      <c r="P437" s="34" t="s">
        <v>510</v>
      </c>
    </row>
    <row r="438" customFormat="false" ht="14.4" hidden="false" customHeight="false" outlineLevel="0" collapsed="false">
      <c r="A438" s="34" t="n">
        <v>437</v>
      </c>
      <c r="B438" s="35" t="n">
        <v>3385014000169</v>
      </c>
      <c r="C438" s="34" t="s">
        <v>1297</v>
      </c>
      <c r="D438" s="34" t="s">
        <v>581</v>
      </c>
      <c r="E438" s="34" t="s">
        <v>1298</v>
      </c>
      <c r="F438" s="34" t="n">
        <v>3</v>
      </c>
      <c r="G438" s="34" t="n">
        <v>1</v>
      </c>
      <c r="H438" s="40" t="n">
        <v>253.51</v>
      </c>
      <c r="I438" s="34" t="n">
        <v>0</v>
      </c>
      <c r="J438" s="34" t="n">
        <v>0</v>
      </c>
      <c r="K438" s="34" t="n">
        <v>0</v>
      </c>
      <c r="L438" s="34" t="n">
        <v>100.83</v>
      </c>
      <c r="M438" s="34" t="n">
        <v>100.83</v>
      </c>
      <c r="N438" s="34" t="n">
        <v>710</v>
      </c>
      <c r="O438" s="34" t="n">
        <v>0</v>
      </c>
      <c r="P438" s="34" t="s">
        <v>501</v>
      </c>
    </row>
    <row r="439" customFormat="false" ht="14.4" hidden="false" customHeight="false" outlineLevel="0" collapsed="false">
      <c r="A439" s="34" t="n">
        <v>438</v>
      </c>
      <c r="B439" s="35" t="n">
        <v>7777438000120</v>
      </c>
      <c r="C439" s="34" t="s">
        <v>1299</v>
      </c>
      <c r="D439" s="34" t="s">
        <v>77</v>
      </c>
      <c r="E439" s="34" t="s">
        <v>1300</v>
      </c>
      <c r="F439" s="34" t="n">
        <v>3</v>
      </c>
      <c r="G439" s="34" t="n">
        <v>1</v>
      </c>
      <c r="H439" s="40" t="n">
        <v>253.51</v>
      </c>
      <c r="I439" s="34" t="n">
        <v>0</v>
      </c>
      <c r="J439" s="34" t="n">
        <v>0</v>
      </c>
      <c r="K439" s="34" t="n">
        <v>0</v>
      </c>
      <c r="L439" s="34" t="n">
        <v>100.83</v>
      </c>
      <c r="M439" s="34" t="n">
        <v>100.83</v>
      </c>
      <c r="N439" s="34" t="n">
        <v>752</v>
      </c>
      <c r="O439" s="34" t="n">
        <v>0</v>
      </c>
      <c r="P439" s="34" t="s">
        <v>510</v>
      </c>
    </row>
    <row r="440" customFormat="false" ht="14.4" hidden="false" customHeight="false" outlineLevel="0" collapsed="false">
      <c r="A440" s="34" t="n">
        <v>439</v>
      </c>
      <c r="B440" s="35" t="n">
        <v>7982725000171</v>
      </c>
      <c r="C440" s="34" t="s">
        <v>1301</v>
      </c>
      <c r="D440" s="34" t="s">
        <v>77</v>
      </c>
      <c r="E440" s="34" t="s">
        <v>299</v>
      </c>
      <c r="F440" s="34" t="n">
        <v>3</v>
      </c>
      <c r="G440" s="34" t="n">
        <v>1</v>
      </c>
      <c r="H440" s="40" t="n">
        <v>253.51</v>
      </c>
      <c r="I440" s="34" t="n">
        <v>0</v>
      </c>
      <c r="J440" s="34" t="n">
        <v>0</v>
      </c>
      <c r="K440" s="34" t="n">
        <v>0</v>
      </c>
      <c r="L440" s="34" t="n">
        <v>100.84</v>
      </c>
      <c r="M440" s="34" t="n">
        <v>100.84</v>
      </c>
      <c r="N440" s="34" t="n">
        <v>752</v>
      </c>
      <c r="O440" s="34" t="n">
        <v>0</v>
      </c>
      <c r="P440" s="34" t="s">
        <v>501</v>
      </c>
    </row>
    <row r="441" customFormat="false" ht="14.4" hidden="false" customHeight="false" outlineLevel="0" collapsed="false">
      <c r="A441" s="34" t="n">
        <v>440</v>
      </c>
      <c r="B441" s="35" t="n">
        <v>9497651000103</v>
      </c>
      <c r="C441" s="34" t="s">
        <v>1302</v>
      </c>
      <c r="D441" s="34" t="s">
        <v>77</v>
      </c>
      <c r="E441" s="34" t="s">
        <v>1303</v>
      </c>
      <c r="F441" s="34" t="n">
        <v>3</v>
      </c>
      <c r="G441" s="34" t="n">
        <v>1</v>
      </c>
      <c r="H441" s="40" t="n">
        <v>253.51</v>
      </c>
      <c r="I441" s="34" t="n">
        <v>0</v>
      </c>
      <c r="J441" s="34" t="n">
        <v>0</v>
      </c>
      <c r="K441" s="34" t="n">
        <v>0</v>
      </c>
      <c r="L441" s="34" t="n">
        <v>100.84</v>
      </c>
      <c r="M441" s="34" t="n">
        <v>100.84</v>
      </c>
      <c r="N441" s="34" t="n">
        <v>759</v>
      </c>
      <c r="O441" s="34" t="n">
        <v>0</v>
      </c>
      <c r="P441" s="34" t="s">
        <v>501</v>
      </c>
    </row>
    <row r="442" customFormat="false" ht="14.4" hidden="false" customHeight="false" outlineLevel="0" collapsed="false">
      <c r="A442" s="34" t="n">
        <v>441</v>
      </c>
      <c r="B442" s="35" t="n">
        <v>10951476000161</v>
      </c>
      <c r="C442" s="34" t="s">
        <v>1304</v>
      </c>
      <c r="D442" s="34" t="s">
        <v>842</v>
      </c>
      <c r="E442" s="34" t="s">
        <v>904</v>
      </c>
      <c r="F442" s="34" t="n">
        <v>3</v>
      </c>
      <c r="G442" s="34" t="n">
        <v>1</v>
      </c>
      <c r="H442" s="40" t="n">
        <v>253.51</v>
      </c>
      <c r="I442" s="34" t="n">
        <v>0</v>
      </c>
      <c r="J442" s="34" t="n">
        <v>0</v>
      </c>
      <c r="K442" s="34" t="n">
        <v>0</v>
      </c>
      <c r="L442" s="34" t="n">
        <v>100.85</v>
      </c>
      <c r="M442" s="34" t="n">
        <v>100.85</v>
      </c>
      <c r="N442" s="34" t="n">
        <v>800</v>
      </c>
      <c r="O442" s="34" t="n">
        <v>0</v>
      </c>
      <c r="P442" s="34" t="s">
        <v>501</v>
      </c>
    </row>
    <row r="443" customFormat="false" ht="14.4" hidden="false" customHeight="false" outlineLevel="0" collapsed="false">
      <c r="A443" s="34" t="n">
        <v>442</v>
      </c>
      <c r="B443" s="35" t="n">
        <v>11357078000184</v>
      </c>
      <c r="C443" s="34" t="s">
        <v>1305</v>
      </c>
      <c r="D443" s="34" t="s">
        <v>1306</v>
      </c>
      <c r="E443" s="34" t="s">
        <v>1307</v>
      </c>
      <c r="F443" s="34" t="n">
        <v>3</v>
      </c>
      <c r="G443" s="34" t="n">
        <v>1</v>
      </c>
      <c r="H443" s="40" t="n">
        <v>253.51</v>
      </c>
      <c r="I443" s="34" t="n">
        <v>0</v>
      </c>
      <c r="J443" s="34" t="n">
        <v>0</v>
      </c>
      <c r="K443" s="34" t="n">
        <v>0</v>
      </c>
      <c r="L443" s="34" t="n">
        <v>100.86</v>
      </c>
      <c r="M443" s="34" t="n">
        <v>100.86</v>
      </c>
      <c r="N443" s="34" t="n">
        <v>705</v>
      </c>
      <c r="O443" s="34" t="n">
        <v>0</v>
      </c>
      <c r="P443" s="34" t="s">
        <v>510</v>
      </c>
    </row>
    <row r="444" customFormat="false" ht="14.4" hidden="false" customHeight="false" outlineLevel="0" collapsed="false">
      <c r="A444" s="34" t="n">
        <v>443</v>
      </c>
      <c r="B444" s="35" t="n">
        <v>13243219000163</v>
      </c>
      <c r="C444" s="34" t="s">
        <v>1308</v>
      </c>
      <c r="D444" s="34" t="s">
        <v>107</v>
      </c>
      <c r="E444" s="34" t="s">
        <v>1309</v>
      </c>
      <c r="F444" s="34" t="n">
        <v>3</v>
      </c>
      <c r="G444" s="34" t="n">
        <v>1</v>
      </c>
      <c r="H444" s="40" t="n">
        <v>253.51</v>
      </c>
      <c r="I444" s="34" t="n">
        <v>0</v>
      </c>
      <c r="J444" s="34" t="n">
        <v>0</v>
      </c>
      <c r="K444" s="34" t="n">
        <v>0</v>
      </c>
      <c r="L444" s="34" t="n">
        <v>100.86</v>
      </c>
      <c r="M444" s="34" t="n">
        <v>100.86</v>
      </c>
      <c r="N444" s="34" t="n">
        <v>707</v>
      </c>
      <c r="O444" s="34" t="n">
        <v>0</v>
      </c>
      <c r="P444" s="34" t="s">
        <v>504</v>
      </c>
    </row>
    <row r="445" customFormat="false" ht="14.4" hidden="false" customHeight="false" outlineLevel="0" collapsed="false">
      <c r="A445" s="34" t="n">
        <v>444</v>
      </c>
      <c r="B445" s="35" t="n">
        <v>17024927000164</v>
      </c>
      <c r="C445" s="34" t="s">
        <v>1310</v>
      </c>
      <c r="D445" s="34" t="s">
        <v>77</v>
      </c>
      <c r="E445" s="34" t="s">
        <v>1311</v>
      </c>
      <c r="F445" s="34" t="n">
        <v>3</v>
      </c>
      <c r="G445" s="34" t="n">
        <v>1</v>
      </c>
      <c r="H445" s="40" t="n">
        <v>253.51</v>
      </c>
      <c r="I445" s="34" t="n">
        <v>0</v>
      </c>
      <c r="J445" s="34" t="n">
        <v>0</v>
      </c>
      <c r="K445" s="34" t="n">
        <v>0</v>
      </c>
      <c r="L445" s="34" t="n">
        <v>100.87</v>
      </c>
      <c r="M445" s="34" t="n">
        <v>100.87</v>
      </c>
      <c r="N445" s="34" t="n">
        <v>752</v>
      </c>
      <c r="O445" s="34" t="n">
        <v>0</v>
      </c>
      <c r="P445" s="34" t="s">
        <v>510</v>
      </c>
    </row>
    <row r="446" customFormat="false" ht="14.4" hidden="false" customHeight="false" outlineLevel="0" collapsed="false">
      <c r="A446" s="34" t="n">
        <v>445</v>
      </c>
      <c r="B446" s="35" t="n">
        <v>17897793000196</v>
      </c>
      <c r="C446" s="34" t="s">
        <v>1312</v>
      </c>
      <c r="D446" s="34" t="s">
        <v>154</v>
      </c>
      <c r="E446" s="34" t="s">
        <v>1313</v>
      </c>
      <c r="F446" s="34" t="n">
        <v>3</v>
      </c>
      <c r="G446" s="34" t="n">
        <v>1</v>
      </c>
      <c r="H446" s="40" t="n">
        <v>253.51</v>
      </c>
      <c r="I446" s="34" t="n">
        <v>0</v>
      </c>
      <c r="J446" s="34" t="n">
        <v>0</v>
      </c>
      <c r="K446" s="34" t="n">
        <v>0</v>
      </c>
      <c r="L446" s="34" t="n">
        <v>100.87</v>
      </c>
      <c r="M446" s="34" t="n">
        <v>100.87</v>
      </c>
      <c r="N446" s="34" t="n">
        <v>759</v>
      </c>
      <c r="O446" s="34" t="n">
        <v>0</v>
      </c>
      <c r="P446" s="34" t="s">
        <v>510</v>
      </c>
    </row>
    <row r="447" customFormat="false" ht="14.4" hidden="false" customHeight="false" outlineLevel="0" collapsed="false">
      <c r="A447" s="34" t="n">
        <v>446</v>
      </c>
      <c r="B447" s="35" t="n">
        <v>19372777000105</v>
      </c>
      <c r="C447" s="34" t="s">
        <v>1314</v>
      </c>
      <c r="D447" s="34" t="s">
        <v>77</v>
      </c>
      <c r="E447" s="34" t="s">
        <v>1315</v>
      </c>
      <c r="F447" s="34" t="n">
        <v>3</v>
      </c>
      <c r="G447" s="34" t="n">
        <v>1</v>
      </c>
      <c r="H447" s="40" t="n">
        <v>253.51</v>
      </c>
      <c r="I447" s="34" t="n">
        <v>0</v>
      </c>
      <c r="J447" s="34" t="n">
        <v>0</v>
      </c>
      <c r="K447" s="34" t="n">
        <v>0</v>
      </c>
      <c r="L447" s="34" t="n">
        <v>100.88</v>
      </c>
      <c r="M447" s="34" t="n">
        <v>100.88</v>
      </c>
      <c r="N447" s="34" t="n">
        <v>752</v>
      </c>
      <c r="O447" s="34" t="n">
        <v>0</v>
      </c>
      <c r="P447" s="34" t="s">
        <v>501</v>
      </c>
    </row>
    <row r="448" customFormat="false" ht="14.4" hidden="false" customHeight="false" outlineLevel="0" collapsed="false">
      <c r="A448" s="34" t="n">
        <v>447</v>
      </c>
      <c r="B448" s="35" t="n">
        <v>19988374000195</v>
      </c>
      <c r="C448" s="34" t="s">
        <v>1316</v>
      </c>
      <c r="D448" s="34" t="s">
        <v>117</v>
      </c>
      <c r="E448" s="34" t="s">
        <v>1317</v>
      </c>
      <c r="F448" s="34" t="n">
        <v>3</v>
      </c>
      <c r="G448" s="34" t="n">
        <v>1</v>
      </c>
      <c r="H448" s="40" t="n">
        <v>253.51</v>
      </c>
      <c r="I448" s="34" t="n">
        <v>0</v>
      </c>
      <c r="J448" s="34" t="n">
        <v>0</v>
      </c>
      <c r="K448" s="34" t="n">
        <v>0</v>
      </c>
      <c r="L448" s="34" t="n">
        <v>100.88</v>
      </c>
      <c r="M448" s="34" t="n">
        <v>100.88</v>
      </c>
      <c r="N448" s="34" t="n">
        <v>752</v>
      </c>
      <c r="O448" s="34" t="n">
        <v>0</v>
      </c>
      <c r="P448" s="34" t="s">
        <v>510</v>
      </c>
    </row>
    <row r="449" customFormat="false" ht="14.4" hidden="false" customHeight="false" outlineLevel="0" collapsed="false">
      <c r="A449" s="34" t="n">
        <v>448</v>
      </c>
      <c r="B449" s="35" t="n">
        <v>21008783000120</v>
      </c>
      <c r="C449" s="34" t="s">
        <v>1318</v>
      </c>
      <c r="D449" s="34" t="s">
        <v>77</v>
      </c>
      <c r="E449" s="34" t="s">
        <v>1319</v>
      </c>
      <c r="F449" s="34" t="n">
        <v>3</v>
      </c>
      <c r="G449" s="34" t="n">
        <v>1</v>
      </c>
      <c r="H449" s="40" t="n">
        <v>253.51</v>
      </c>
      <c r="I449" s="34" t="n">
        <v>0</v>
      </c>
      <c r="J449" s="34" t="n">
        <v>0</v>
      </c>
      <c r="K449" s="34" t="n">
        <v>0</v>
      </c>
      <c r="L449" s="34" t="n">
        <v>100.89</v>
      </c>
      <c r="M449" s="34" t="n">
        <v>100.89</v>
      </c>
      <c r="N449" s="34" t="n">
        <v>752</v>
      </c>
      <c r="O449" s="34" t="n">
        <v>0</v>
      </c>
      <c r="P449" s="34" t="s">
        <v>501</v>
      </c>
    </row>
    <row r="450" customFormat="false" ht="14.4" hidden="false" customHeight="false" outlineLevel="0" collapsed="false">
      <c r="A450" s="34" t="n">
        <v>449</v>
      </c>
      <c r="B450" s="35" t="n">
        <v>22866770000154</v>
      </c>
      <c r="C450" s="34" t="s">
        <v>1320</v>
      </c>
      <c r="D450" s="34" t="s">
        <v>594</v>
      </c>
      <c r="E450" s="34" t="s">
        <v>1321</v>
      </c>
      <c r="F450" s="34" t="n">
        <v>3</v>
      </c>
      <c r="G450" s="34" t="n">
        <v>1</v>
      </c>
      <c r="H450" s="40" t="n">
        <v>253.51</v>
      </c>
      <c r="I450" s="34" t="n">
        <v>0</v>
      </c>
      <c r="J450" s="34" t="n">
        <v>0</v>
      </c>
      <c r="K450" s="34" t="n">
        <v>0</v>
      </c>
      <c r="L450" s="34" t="n">
        <v>100.89</v>
      </c>
      <c r="M450" s="34" t="n">
        <v>100.89</v>
      </c>
      <c r="N450" s="34" t="n">
        <v>710</v>
      </c>
      <c r="O450" s="34" t="n">
        <v>0</v>
      </c>
      <c r="P450" s="34" t="s">
        <v>510</v>
      </c>
    </row>
    <row r="451" customFormat="false" ht="14.4" hidden="false" customHeight="false" outlineLevel="0" collapsed="false">
      <c r="A451" s="34" t="n">
        <v>450</v>
      </c>
      <c r="B451" s="35" t="n">
        <v>26189470000139</v>
      </c>
      <c r="C451" s="34" t="s">
        <v>1322</v>
      </c>
      <c r="D451" s="34" t="s">
        <v>598</v>
      </c>
      <c r="E451" s="34" t="s">
        <v>1323</v>
      </c>
      <c r="F451" s="34" t="n">
        <v>3</v>
      </c>
      <c r="G451" s="34" t="n">
        <v>1</v>
      </c>
      <c r="H451" s="40" t="n">
        <v>253.51</v>
      </c>
      <c r="I451" s="34" t="n">
        <v>0</v>
      </c>
      <c r="J451" s="34" t="n">
        <v>0</v>
      </c>
      <c r="K451" s="34" t="n">
        <v>0</v>
      </c>
      <c r="L451" s="34" t="n">
        <v>100.9</v>
      </c>
      <c r="M451" s="34" t="n">
        <v>100.9</v>
      </c>
      <c r="N451" s="34" t="n">
        <v>711</v>
      </c>
      <c r="O451" s="34" t="n">
        <v>0</v>
      </c>
      <c r="P451" s="34" t="s">
        <v>501</v>
      </c>
    </row>
    <row r="452" customFormat="false" ht="14.4" hidden="false" customHeight="false" outlineLevel="0" collapsed="false">
      <c r="A452" s="34" t="n">
        <v>451</v>
      </c>
      <c r="B452" s="35" t="n">
        <v>32212285000110</v>
      </c>
      <c r="C452" s="34" t="s">
        <v>1324</v>
      </c>
      <c r="D452" s="34" t="s">
        <v>77</v>
      </c>
      <c r="E452" s="34" t="s">
        <v>1325</v>
      </c>
      <c r="F452" s="34" t="n">
        <v>3</v>
      </c>
      <c r="G452" s="34" t="n">
        <v>1</v>
      </c>
      <c r="H452" s="40" t="n">
        <v>253.51</v>
      </c>
      <c r="I452" s="34" t="n">
        <v>0</v>
      </c>
      <c r="J452" s="34" t="n">
        <v>0</v>
      </c>
      <c r="K452" s="34" t="n">
        <v>0</v>
      </c>
      <c r="L452" s="34" t="n">
        <v>100.91</v>
      </c>
      <c r="M452" s="34" t="n">
        <v>100.91</v>
      </c>
      <c r="N452" s="34" t="n">
        <v>752</v>
      </c>
      <c r="O452" s="34" t="n">
        <v>0</v>
      </c>
      <c r="P452" s="34" t="s">
        <v>518</v>
      </c>
    </row>
    <row r="453" customFormat="false" ht="14.4" hidden="false" customHeight="false" outlineLevel="0" collapsed="false">
      <c r="A453" s="34" t="n">
        <v>452</v>
      </c>
      <c r="B453" s="35" t="n">
        <v>34398041000108</v>
      </c>
      <c r="C453" s="34" t="s">
        <v>1326</v>
      </c>
      <c r="D453" s="34" t="s">
        <v>631</v>
      </c>
      <c r="E453" s="34" t="s">
        <v>1327</v>
      </c>
      <c r="F453" s="34" t="n">
        <v>3</v>
      </c>
      <c r="G453" s="34" t="n">
        <v>1</v>
      </c>
      <c r="H453" s="40" t="n">
        <v>253.51</v>
      </c>
      <c r="I453" s="34" t="n">
        <v>0</v>
      </c>
      <c r="J453" s="34" t="n">
        <v>0</v>
      </c>
      <c r="K453" s="34" t="n">
        <v>0</v>
      </c>
      <c r="L453" s="34" t="n">
        <v>100.91</v>
      </c>
      <c r="M453" s="34" t="n">
        <v>100.91</v>
      </c>
      <c r="N453" s="34" t="n">
        <v>706</v>
      </c>
      <c r="O453" s="34" t="n">
        <v>0</v>
      </c>
      <c r="P453" s="34" t="s">
        <v>510</v>
      </c>
    </row>
    <row r="454" customFormat="false" ht="14.4" hidden="false" customHeight="false" outlineLevel="0" collapsed="false">
      <c r="A454" s="34" t="n">
        <v>453</v>
      </c>
      <c r="B454" s="35" t="n">
        <v>52903607000185</v>
      </c>
      <c r="C454" s="34" t="s">
        <v>1328</v>
      </c>
      <c r="D454" s="34" t="s">
        <v>77</v>
      </c>
      <c r="E454" s="34" t="s">
        <v>614</v>
      </c>
      <c r="F454" s="34" t="n">
        <v>3</v>
      </c>
      <c r="G454" s="34" t="n">
        <v>1</v>
      </c>
      <c r="H454" s="40" t="n">
        <v>253.51</v>
      </c>
      <c r="I454" s="34" t="n">
        <v>0</v>
      </c>
      <c r="J454" s="34" t="n">
        <v>0</v>
      </c>
      <c r="K454" s="34" t="n">
        <v>0</v>
      </c>
      <c r="L454" s="34" t="n">
        <v>100.92</v>
      </c>
      <c r="M454" s="34" t="n">
        <v>100.92</v>
      </c>
      <c r="N454" s="34" t="n">
        <v>752</v>
      </c>
      <c r="O454" s="34" t="n">
        <v>0</v>
      </c>
      <c r="P454" s="34" t="s">
        <v>501</v>
      </c>
    </row>
    <row r="455" customFormat="false" ht="14.4" hidden="false" customHeight="false" outlineLevel="0" collapsed="false">
      <c r="A455" s="34" t="n">
        <v>454</v>
      </c>
      <c r="B455" s="35" t="n">
        <v>3377923000155</v>
      </c>
      <c r="C455" s="34" t="s">
        <v>1329</v>
      </c>
      <c r="D455" s="34" t="s">
        <v>473</v>
      </c>
      <c r="E455" s="34" t="s">
        <v>1330</v>
      </c>
      <c r="F455" s="34" t="n">
        <v>3</v>
      </c>
      <c r="G455" s="34" t="n">
        <v>1</v>
      </c>
      <c r="H455" s="40" t="n">
        <v>250.33</v>
      </c>
      <c r="I455" s="34" t="n">
        <v>0</v>
      </c>
      <c r="J455" s="34" t="n">
        <v>0</v>
      </c>
      <c r="K455" s="34" t="n">
        <v>0</v>
      </c>
      <c r="L455" s="34" t="n">
        <v>100.92</v>
      </c>
      <c r="M455" s="34" t="n">
        <v>100.92</v>
      </c>
      <c r="N455" s="34" t="n">
        <v>718</v>
      </c>
      <c r="O455" s="34" t="n">
        <v>0</v>
      </c>
      <c r="P455" s="34" t="s">
        <v>518</v>
      </c>
    </row>
    <row r="456" customFormat="false" ht="14.4" hidden="false" customHeight="false" outlineLevel="0" collapsed="false">
      <c r="A456" s="34" t="n">
        <v>455</v>
      </c>
      <c r="B456" s="35" t="n">
        <v>4340209000155</v>
      </c>
      <c r="C456" s="34" t="s">
        <v>1331</v>
      </c>
      <c r="D456" s="34" t="s">
        <v>957</v>
      </c>
      <c r="E456" s="34" t="s">
        <v>958</v>
      </c>
      <c r="F456" s="34" t="n">
        <v>3</v>
      </c>
      <c r="G456" s="34" t="n">
        <v>1</v>
      </c>
      <c r="H456" s="40" t="n">
        <v>250.33</v>
      </c>
      <c r="I456" s="34" t="n">
        <v>0</v>
      </c>
      <c r="J456" s="34" t="n">
        <v>0</v>
      </c>
      <c r="K456" s="34" t="n">
        <v>0</v>
      </c>
      <c r="L456" s="34" t="n">
        <v>100.93</v>
      </c>
      <c r="M456" s="34" t="n">
        <v>100.93</v>
      </c>
      <c r="N456" s="34" t="n">
        <v>718</v>
      </c>
      <c r="O456" s="34" t="n">
        <v>0</v>
      </c>
      <c r="P456" s="34" t="s">
        <v>510</v>
      </c>
    </row>
    <row r="457" customFormat="false" ht="14.4" hidden="false" customHeight="false" outlineLevel="0" collapsed="false">
      <c r="A457" s="34" t="n">
        <v>456</v>
      </c>
      <c r="B457" s="35" t="n">
        <v>10589628000128</v>
      </c>
      <c r="C457" s="34" t="s">
        <v>1332</v>
      </c>
      <c r="D457" s="34" t="s">
        <v>967</v>
      </c>
      <c r="E457" s="34" t="s">
        <v>1333</v>
      </c>
      <c r="F457" s="34" t="n">
        <v>3</v>
      </c>
      <c r="G457" s="34" t="n">
        <v>1</v>
      </c>
      <c r="H457" s="40" t="n">
        <v>250.33</v>
      </c>
      <c r="I457" s="34" t="n">
        <v>0</v>
      </c>
      <c r="J457" s="34" t="n">
        <v>0</v>
      </c>
      <c r="K457" s="34" t="n">
        <v>0</v>
      </c>
      <c r="L457" s="34" t="n">
        <v>100.93</v>
      </c>
      <c r="M457" s="34" t="n">
        <v>100.93</v>
      </c>
      <c r="N457" s="34" t="n">
        <v>718</v>
      </c>
      <c r="O457" s="34" t="n">
        <v>0</v>
      </c>
      <c r="P457" s="34" t="s">
        <v>510</v>
      </c>
    </row>
    <row r="458" customFormat="false" ht="14.4" hidden="false" customHeight="false" outlineLevel="0" collapsed="false">
      <c r="A458" s="34" t="n">
        <v>457</v>
      </c>
      <c r="B458" s="35" t="n">
        <v>12696743000127</v>
      </c>
      <c r="C458" s="34" t="s">
        <v>1334</v>
      </c>
      <c r="D458" s="34" t="s">
        <v>881</v>
      </c>
      <c r="E458" s="34" t="s">
        <v>1335</v>
      </c>
      <c r="F458" s="34" t="n">
        <v>3</v>
      </c>
      <c r="G458" s="34" t="n">
        <v>1</v>
      </c>
      <c r="H458" s="40" t="n">
        <v>250.33</v>
      </c>
      <c r="I458" s="34" t="n">
        <v>0</v>
      </c>
      <c r="J458" s="34" t="n">
        <v>0</v>
      </c>
      <c r="K458" s="34" t="n">
        <v>0</v>
      </c>
      <c r="L458" s="34" t="n">
        <v>100.94</v>
      </c>
      <c r="M458" s="34" t="n">
        <v>100.94</v>
      </c>
      <c r="N458" s="34" t="n">
        <v>718</v>
      </c>
      <c r="O458" s="34" t="n">
        <v>0</v>
      </c>
      <c r="P458" s="34" t="s">
        <v>501</v>
      </c>
    </row>
    <row r="459" customFormat="false" ht="14.4" hidden="false" customHeight="false" outlineLevel="0" collapsed="false">
      <c r="A459" s="34" t="n">
        <v>458</v>
      </c>
      <c r="B459" s="35" t="n">
        <v>14412683000107</v>
      </c>
      <c r="C459" s="34" t="s">
        <v>1336</v>
      </c>
      <c r="D459" s="34" t="s">
        <v>626</v>
      </c>
      <c r="E459" s="34" t="s">
        <v>1337</v>
      </c>
      <c r="F459" s="34" t="n">
        <v>3</v>
      </c>
      <c r="G459" s="34" t="n">
        <v>1</v>
      </c>
      <c r="H459" s="40" t="n">
        <v>250.33</v>
      </c>
      <c r="I459" s="34" t="n">
        <v>0</v>
      </c>
      <c r="J459" s="34" t="n">
        <v>0</v>
      </c>
      <c r="K459" s="34" t="n">
        <v>0</v>
      </c>
      <c r="L459" s="34" t="n">
        <v>100.94</v>
      </c>
      <c r="M459" s="34" t="n">
        <v>100.94</v>
      </c>
      <c r="N459" s="34" t="n">
        <v>718</v>
      </c>
      <c r="O459" s="34" t="n">
        <v>0</v>
      </c>
      <c r="P459" s="34" t="s">
        <v>501</v>
      </c>
    </row>
    <row r="460" customFormat="false" ht="14.4" hidden="false" customHeight="false" outlineLevel="0" collapsed="false">
      <c r="A460" s="34" t="n">
        <v>459</v>
      </c>
      <c r="B460" s="35" t="n">
        <v>14798930000147</v>
      </c>
      <c r="C460" s="34" t="s">
        <v>1338</v>
      </c>
      <c r="D460" s="34" t="s">
        <v>103</v>
      </c>
      <c r="E460" s="34" t="s">
        <v>1339</v>
      </c>
      <c r="F460" s="34" t="n">
        <v>3</v>
      </c>
      <c r="G460" s="34" t="n">
        <v>1</v>
      </c>
      <c r="H460" s="40" t="n">
        <v>250.33</v>
      </c>
      <c r="I460" s="34" t="n">
        <v>0</v>
      </c>
      <c r="J460" s="34" t="n">
        <v>0</v>
      </c>
      <c r="K460" s="34" t="n">
        <v>0</v>
      </c>
      <c r="L460" s="34" t="n">
        <v>100.95</v>
      </c>
      <c r="M460" s="34" t="n">
        <v>100.95</v>
      </c>
      <c r="N460" s="34" t="n">
        <v>800</v>
      </c>
      <c r="O460" s="34" t="n">
        <v>0</v>
      </c>
      <c r="P460" s="34" t="s">
        <v>510</v>
      </c>
    </row>
    <row r="461" customFormat="false" ht="14.4" hidden="false" customHeight="false" outlineLevel="0" collapsed="false">
      <c r="A461" s="34" t="n">
        <v>460</v>
      </c>
      <c r="B461" s="35" t="n">
        <v>15838615000169</v>
      </c>
      <c r="C461" s="34" t="s">
        <v>1340</v>
      </c>
      <c r="D461" s="34" t="s">
        <v>309</v>
      </c>
      <c r="E461" s="34" t="s">
        <v>1341</v>
      </c>
      <c r="F461" s="34" t="n">
        <v>3</v>
      </c>
      <c r="G461" s="34" t="n">
        <v>1</v>
      </c>
      <c r="H461" s="40" t="n">
        <v>250.33</v>
      </c>
      <c r="I461" s="34" t="n">
        <v>0</v>
      </c>
      <c r="J461" s="34" t="n">
        <v>0</v>
      </c>
      <c r="K461" s="34" t="n">
        <v>0</v>
      </c>
      <c r="L461" s="34" t="n">
        <v>100.95</v>
      </c>
      <c r="M461" s="34" t="n">
        <v>100.95</v>
      </c>
      <c r="N461" s="34" t="n">
        <v>800</v>
      </c>
      <c r="O461" s="34" t="n">
        <v>0</v>
      </c>
      <c r="P461" s="34" t="s">
        <v>518</v>
      </c>
    </row>
    <row r="462" customFormat="false" ht="14.4" hidden="false" customHeight="false" outlineLevel="0" collapsed="false">
      <c r="A462" s="34" t="n">
        <v>461</v>
      </c>
      <c r="B462" s="35" t="n">
        <v>17902181000144</v>
      </c>
      <c r="C462" s="34" t="s">
        <v>1342</v>
      </c>
      <c r="D462" s="34" t="s">
        <v>77</v>
      </c>
      <c r="E462" s="34" t="s">
        <v>1343</v>
      </c>
      <c r="F462" s="34" t="n">
        <v>3</v>
      </c>
      <c r="G462" s="34" t="n">
        <v>1</v>
      </c>
      <c r="H462" s="40" t="n">
        <v>250.33</v>
      </c>
      <c r="I462" s="34" t="n">
        <v>0</v>
      </c>
      <c r="J462" s="34" t="n">
        <v>0</v>
      </c>
      <c r="K462" s="34" t="n">
        <v>0</v>
      </c>
      <c r="L462" s="34" t="n">
        <v>100.96</v>
      </c>
      <c r="M462" s="34" t="n">
        <v>100.96</v>
      </c>
      <c r="N462" s="34" t="n">
        <v>752</v>
      </c>
      <c r="O462" s="34" t="n">
        <v>0</v>
      </c>
      <c r="P462" s="34" t="s">
        <v>510</v>
      </c>
    </row>
    <row r="463" customFormat="false" ht="14.4" hidden="false" customHeight="false" outlineLevel="0" collapsed="false">
      <c r="A463" s="34" t="n">
        <v>462</v>
      </c>
      <c r="B463" s="35" t="n">
        <v>19029516000278</v>
      </c>
      <c r="C463" s="34" t="s">
        <v>1344</v>
      </c>
      <c r="D463" s="34" t="s">
        <v>309</v>
      </c>
      <c r="E463" s="34" t="s">
        <v>1345</v>
      </c>
      <c r="F463" s="34" t="n">
        <v>3</v>
      </c>
      <c r="G463" s="34" t="n">
        <v>1</v>
      </c>
      <c r="H463" s="40" t="n">
        <v>250.33</v>
      </c>
      <c r="I463" s="34" t="n">
        <v>0</v>
      </c>
      <c r="J463" s="34" t="n">
        <v>0</v>
      </c>
      <c r="K463" s="34" t="n">
        <v>0</v>
      </c>
      <c r="L463" s="34" t="n">
        <v>100.97</v>
      </c>
      <c r="M463" s="34" t="n">
        <v>100.97</v>
      </c>
      <c r="N463" s="34" t="n">
        <v>718</v>
      </c>
      <c r="O463" s="34" t="n">
        <v>0</v>
      </c>
      <c r="P463" s="34" t="s">
        <v>510</v>
      </c>
    </row>
    <row r="464" customFormat="false" ht="14.4" hidden="false" customHeight="false" outlineLevel="0" collapsed="false">
      <c r="A464" s="34" t="n">
        <v>463</v>
      </c>
      <c r="B464" s="35" t="n">
        <v>20418586000116</v>
      </c>
      <c r="C464" s="34" t="s">
        <v>1346</v>
      </c>
      <c r="D464" s="34" t="s">
        <v>107</v>
      </c>
      <c r="E464" s="34" t="s">
        <v>1347</v>
      </c>
      <c r="F464" s="34" t="n">
        <v>3</v>
      </c>
      <c r="G464" s="34" t="n">
        <v>1</v>
      </c>
      <c r="H464" s="40" t="n">
        <v>250.33</v>
      </c>
      <c r="I464" s="34" t="n">
        <v>0</v>
      </c>
      <c r="J464" s="34" t="n">
        <v>0</v>
      </c>
      <c r="K464" s="34" t="n">
        <v>0</v>
      </c>
      <c r="L464" s="34" t="n">
        <v>100.97</v>
      </c>
      <c r="M464" s="34" t="n">
        <v>100.97</v>
      </c>
      <c r="N464" s="34" t="n">
        <v>707</v>
      </c>
      <c r="O464" s="34" t="n">
        <v>0</v>
      </c>
      <c r="P464" s="34" t="s">
        <v>518</v>
      </c>
    </row>
    <row r="465" customFormat="false" ht="14.4" hidden="false" customHeight="false" outlineLevel="0" collapsed="false">
      <c r="A465" s="34" t="n">
        <v>464</v>
      </c>
      <c r="B465" s="35" t="n">
        <v>21879733000118</v>
      </c>
      <c r="C465" s="34" t="s">
        <v>1348</v>
      </c>
      <c r="D465" s="34" t="s">
        <v>77</v>
      </c>
      <c r="E465" s="34" t="s">
        <v>1349</v>
      </c>
      <c r="F465" s="34" t="n">
        <v>3</v>
      </c>
      <c r="G465" s="34" t="n">
        <v>1</v>
      </c>
      <c r="H465" s="40" t="n">
        <v>250.33</v>
      </c>
      <c r="I465" s="34" t="n">
        <v>0</v>
      </c>
      <c r="J465" s="34" t="n">
        <v>0</v>
      </c>
      <c r="K465" s="34" t="n">
        <v>0</v>
      </c>
      <c r="L465" s="34" t="n">
        <v>100.98</v>
      </c>
      <c r="M465" s="34" t="n">
        <v>100.98</v>
      </c>
      <c r="N465" s="34" t="n">
        <v>752</v>
      </c>
      <c r="O465" s="34" t="n">
        <v>0</v>
      </c>
      <c r="P465" s="34" t="s">
        <v>518</v>
      </c>
    </row>
    <row r="466" customFormat="false" ht="14.4" hidden="false" customHeight="false" outlineLevel="0" collapsed="false">
      <c r="A466" s="34" t="n">
        <v>465</v>
      </c>
      <c r="B466" s="35" t="n">
        <v>23866334000148</v>
      </c>
      <c r="C466" s="34" t="s">
        <v>1350</v>
      </c>
      <c r="D466" s="34" t="s">
        <v>604</v>
      </c>
      <c r="E466" s="34" t="s">
        <v>1351</v>
      </c>
      <c r="F466" s="34" t="n">
        <v>3</v>
      </c>
      <c r="G466" s="34" t="n">
        <v>1</v>
      </c>
      <c r="H466" s="40" t="n">
        <v>250.33</v>
      </c>
      <c r="I466" s="34" t="n">
        <v>0</v>
      </c>
      <c r="J466" s="34" t="n">
        <v>0</v>
      </c>
      <c r="K466" s="34" t="n">
        <v>0</v>
      </c>
      <c r="L466" s="34" t="n">
        <v>100.98</v>
      </c>
      <c r="M466" s="34" t="n">
        <v>100.98</v>
      </c>
      <c r="N466" s="34" t="n">
        <v>710</v>
      </c>
      <c r="O466" s="34" t="n">
        <v>0</v>
      </c>
      <c r="P466" s="34" t="s">
        <v>518</v>
      </c>
    </row>
    <row r="467" customFormat="false" ht="14.4" hidden="false" customHeight="false" outlineLevel="0" collapsed="false">
      <c r="A467" s="34" t="n">
        <v>466</v>
      </c>
      <c r="B467" s="35" t="n">
        <v>26819342000121</v>
      </c>
      <c r="C467" s="34" t="s">
        <v>1352</v>
      </c>
      <c r="D467" s="34" t="s">
        <v>192</v>
      </c>
      <c r="E467" s="34" t="s">
        <v>765</v>
      </c>
      <c r="F467" s="34" t="n">
        <v>3</v>
      </c>
      <c r="G467" s="34" t="n">
        <v>1</v>
      </c>
      <c r="H467" s="40" t="n">
        <v>250.33</v>
      </c>
      <c r="I467" s="34" t="n">
        <v>0</v>
      </c>
      <c r="J467" s="34" t="n">
        <v>0</v>
      </c>
      <c r="K467" s="34" t="n">
        <v>0</v>
      </c>
      <c r="L467" s="34" t="n">
        <v>100.99</v>
      </c>
      <c r="M467" s="34" t="n">
        <v>100.99</v>
      </c>
      <c r="N467" s="34" t="n">
        <v>800</v>
      </c>
      <c r="O467" s="34" t="n">
        <v>0</v>
      </c>
      <c r="P467" s="34" t="s">
        <v>510</v>
      </c>
    </row>
    <row r="468" customFormat="false" ht="14.4" hidden="false" customHeight="false" outlineLevel="0" collapsed="false">
      <c r="A468" s="34" t="n">
        <v>467</v>
      </c>
      <c r="B468" s="35" t="n">
        <v>26835009000106</v>
      </c>
      <c r="C468" s="34" t="s">
        <v>1353</v>
      </c>
      <c r="D468" s="34" t="s">
        <v>631</v>
      </c>
      <c r="E468" s="34" t="s">
        <v>1354</v>
      </c>
      <c r="F468" s="34" t="n">
        <v>3</v>
      </c>
      <c r="G468" s="34" t="n">
        <v>1</v>
      </c>
      <c r="H468" s="40" t="n">
        <v>250.33</v>
      </c>
      <c r="I468" s="34" t="n">
        <v>0</v>
      </c>
      <c r="J468" s="34" t="n">
        <v>0</v>
      </c>
      <c r="K468" s="34" t="n">
        <v>0</v>
      </c>
      <c r="L468" s="34" t="n">
        <v>100.99</v>
      </c>
      <c r="M468" s="34" t="n">
        <v>100.99</v>
      </c>
      <c r="N468" s="34" t="n">
        <v>706</v>
      </c>
      <c r="O468" s="34" t="n">
        <v>0</v>
      </c>
      <c r="P468" s="34" t="s">
        <v>518</v>
      </c>
    </row>
    <row r="469" customFormat="false" ht="14.4" hidden="false" customHeight="false" outlineLevel="0" collapsed="false">
      <c r="A469" s="34" t="n">
        <v>468</v>
      </c>
      <c r="B469" s="35" t="n">
        <v>28787420000189</v>
      </c>
      <c r="C469" s="34" t="s">
        <v>1355</v>
      </c>
      <c r="D469" s="34" t="s">
        <v>842</v>
      </c>
      <c r="E469" s="34" t="s">
        <v>1356</v>
      </c>
      <c r="F469" s="34" t="n">
        <v>3</v>
      </c>
      <c r="G469" s="34" t="n">
        <v>1</v>
      </c>
      <c r="H469" s="40" t="n">
        <v>250.33</v>
      </c>
      <c r="I469" s="34" t="n">
        <v>0</v>
      </c>
      <c r="J469" s="34" t="n">
        <v>0</v>
      </c>
      <c r="K469" s="34" t="n">
        <v>0</v>
      </c>
      <c r="L469" s="34" t="n">
        <v>101</v>
      </c>
      <c r="M469" s="34" t="n">
        <v>101</v>
      </c>
      <c r="N469" s="34" t="n">
        <v>706</v>
      </c>
      <c r="O469" s="34" t="n">
        <v>0</v>
      </c>
      <c r="P469" s="34" t="s">
        <v>518</v>
      </c>
    </row>
    <row r="470" customFormat="false" ht="14.4" hidden="false" customHeight="false" outlineLevel="0" collapsed="false">
      <c r="A470" s="34" t="n">
        <v>469</v>
      </c>
      <c r="B470" s="35" t="n">
        <v>30865214000191</v>
      </c>
      <c r="C470" s="34" t="s">
        <v>1357</v>
      </c>
      <c r="D470" s="34" t="s">
        <v>309</v>
      </c>
      <c r="E470" s="34" t="s">
        <v>935</v>
      </c>
      <c r="F470" s="34" t="n">
        <v>3</v>
      </c>
      <c r="G470" s="34" t="n">
        <v>1</v>
      </c>
      <c r="H470" s="40" t="n">
        <v>250.33</v>
      </c>
      <c r="I470" s="34" t="n">
        <v>0</v>
      </c>
      <c r="J470" s="34" t="n">
        <v>0</v>
      </c>
      <c r="K470" s="34" t="n">
        <v>0</v>
      </c>
      <c r="L470" s="34" t="n">
        <v>101</v>
      </c>
      <c r="M470" s="34" t="n">
        <v>101</v>
      </c>
      <c r="N470" s="34" t="n">
        <v>704</v>
      </c>
      <c r="O470" s="34" t="n">
        <v>0</v>
      </c>
      <c r="P470" s="34" t="s">
        <v>518</v>
      </c>
    </row>
    <row r="471" customFormat="false" ht="14.4" hidden="false" customHeight="false" outlineLevel="0" collapsed="false">
      <c r="A471" s="34" t="n">
        <v>470</v>
      </c>
      <c r="B471" s="35" t="n">
        <v>33496544000145</v>
      </c>
      <c r="C471" s="34" t="s">
        <v>1358</v>
      </c>
      <c r="D471" s="34" t="s">
        <v>299</v>
      </c>
      <c r="E471" s="34" t="s">
        <v>1359</v>
      </c>
      <c r="F471" s="34" t="n">
        <v>3</v>
      </c>
      <c r="G471" s="34" t="n">
        <v>1</v>
      </c>
      <c r="H471" s="40" t="n">
        <v>250.33</v>
      </c>
      <c r="I471" s="34" t="n">
        <v>0</v>
      </c>
      <c r="J471" s="34" t="n">
        <v>0</v>
      </c>
      <c r="K471" s="34" t="n">
        <v>0</v>
      </c>
      <c r="L471" s="34" t="n">
        <v>101.01</v>
      </c>
      <c r="M471" s="34" t="n">
        <v>101.01</v>
      </c>
      <c r="N471" s="34" t="n">
        <v>710</v>
      </c>
      <c r="O471" s="34" t="n">
        <v>0</v>
      </c>
      <c r="P471" s="34" t="s">
        <v>510</v>
      </c>
    </row>
    <row r="472" customFormat="false" ht="14.4" hidden="false" customHeight="false" outlineLevel="0" collapsed="false">
      <c r="A472" s="34" t="n">
        <v>471</v>
      </c>
      <c r="B472" s="35" t="n">
        <v>38066515000167</v>
      </c>
      <c r="C472" s="34" t="s">
        <v>1360</v>
      </c>
      <c r="D472" s="34" t="s">
        <v>77</v>
      </c>
      <c r="E472" s="34" t="s">
        <v>1361</v>
      </c>
      <c r="F472" s="34" t="n">
        <v>3</v>
      </c>
      <c r="G472" s="34" t="n">
        <v>1</v>
      </c>
      <c r="H472" s="40" t="n">
        <v>250.33</v>
      </c>
      <c r="I472" s="34" t="n">
        <v>0</v>
      </c>
      <c r="J472" s="34" t="n">
        <v>0</v>
      </c>
      <c r="K472" s="34" t="n">
        <v>0</v>
      </c>
      <c r="L472" s="34" t="n">
        <v>101.01</v>
      </c>
      <c r="M472" s="34" t="n">
        <v>101.01</v>
      </c>
      <c r="N472" s="34" t="n">
        <v>759</v>
      </c>
      <c r="O472" s="34" t="n">
        <v>0</v>
      </c>
      <c r="P472" s="34" t="s">
        <v>518</v>
      </c>
    </row>
    <row r="473" customFormat="false" ht="14.4" hidden="false" customHeight="false" outlineLevel="0" collapsed="false">
      <c r="A473" s="34" t="n">
        <v>472</v>
      </c>
      <c r="B473" s="35" t="n">
        <v>41435943000124</v>
      </c>
      <c r="C473" s="34" t="s">
        <v>1362</v>
      </c>
      <c r="D473" s="34" t="s">
        <v>77</v>
      </c>
      <c r="E473" s="34" t="s">
        <v>1363</v>
      </c>
      <c r="F473" s="34" t="n">
        <v>3</v>
      </c>
      <c r="G473" s="34" t="n">
        <v>1</v>
      </c>
      <c r="H473" s="40" t="n">
        <v>250.33</v>
      </c>
      <c r="I473" s="34" t="n">
        <v>0</v>
      </c>
      <c r="J473" s="34" t="n">
        <v>0</v>
      </c>
      <c r="K473" s="34" t="n">
        <v>0</v>
      </c>
      <c r="L473" s="34" t="n">
        <v>101.02</v>
      </c>
      <c r="M473" s="34" t="n">
        <v>101.02</v>
      </c>
      <c r="N473" s="34" t="n">
        <v>800</v>
      </c>
      <c r="O473" s="34" t="n">
        <v>0</v>
      </c>
      <c r="P473" s="34" t="s">
        <v>518</v>
      </c>
    </row>
    <row r="474" customFormat="false" ht="14.4" hidden="false" customHeight="false" outlineLevel="0" collapsed="false">
      <c r="A474" s="34" t="n">
        <v>473</v>
      </c>
      <c r="B474" s="35" t="n">
        <v>43642535000330</v>
      </c>
      <c r="C474" s="34" t="s">
        <v>1364</v>
      </c>
      <c r="D474" s="34" t="s">
        <v>77</v>
      </c>
      <c r="E474" s="34" t="s">
        <v>1365</v>
      </c>
      <c r="F474" s="34" t="n">
        <v>3</v>
      </c>
      <c r="G474" s="34" t="n">
        <v>1</v>
      </c>
      <c r="H474" s="40" t="n">
        <v>250.33</v>
      </c>
      <c r="I474" s="34" t="n">
        <v>0</v>
      </c>
      <c r="J474" s="34" t="n">
        <v>0</v>
      </c>
      <c r="K474" s="34" t="n">
        <v>0</v>
      </c>
      <c r="L474" s="34" t="n">
        <v>101.03</v>
      </c>
      <c r="M474" s="34" t="n">
        <v>101.03</v>
      </c>
      <c r="N474" s="34" t="n">
        <v>759</v>
      </c>
      <c r="O474" s="34" t="n">
        <v>0</v>
      </c>
      <c r="P474" s="34" t="s">
        <v>501</v>
      </c>
    </row>
    <row r="475" customFormat="false" ht="14.4" hidden="false" customHeight="false" outlineLevel="0" collapsed="false">
      <c r="A475" s="34" t="n">
        <v>474</v>
      </c>
      <c r="B475" s="35" t="n">
        <v>44325411000122</v>
      </c>
      <c r="C475" s="34" t="s">
        <v>1366</v>
      </c>
      <c r="D475" s="34" t="s">
        <v>309</v>
      </c>
      <c r="E475" s="34" t="s">
        <v>1367</v>
      </c>
      <c r="F475" s="34" t="n">
        <v>3</v>
      </c>
      <c r="G475" s="34" t="n">
        <v>1</v>
      </c>
      <c r="H475" s="40" t="n">
        <v>250.33</v>
      </c>
      <c r="I475" s="34" t="n">
        <v>0</v>
      </c>
      <c r="J475" s="34" t="n">
        <v>0</v>
      </c>
      <c r="K475" s="34" t="n">
        <v>0</v>
      </c>
      <c r="L475" s="34" t="n">
        <v>101.03</v>
      </c>
      <c r="M475" s="34" t="n">
        <v>101.03</v>
      </c>
      <c r="N475" s="34" t="n">
        <v>704</v>
      </c>
      <c r="O475" s="34" t="n">
        <v>0</v>
      </c>
      <c r="P475" s="34" t="s">
        <v>510</v>
      </c>
    </row>
    <row r="476" customFormat="false" ht="14.4" hidden="false" customHeight="false" outlineLevel="0" collapsed="false">
      <c r="A476" s="34" t="n">
        <v>475</v>
      </c>
      <c r="B476" s="35" t="n">
        <v>51533373000169</v>
      </c>
      <c r="C476" s="34" t="s">
        <v>1368</v>
      </c>
      <c r="D476" s="34" t="s">
        <v>713</v>
      </c>
      <c r="E476" s="34" t="s">
        <v>1369</v>
      </c>
      <c r="F476" s="34" t="n">
        <v>3</v>
      </c>
      <c r="G476" s="34" t="n">
        <v>1</v>
      </c>
      <c r="H476" s="40" t="n">
        <v>250.33</v>
      </c>
      <c r="I476" s="34" t="n">
        <v>0</v>
      </c>
      <c r="J476" s="34" t="n">
        <v>0</v>
      </c>
      <c r="K476" s="34" t="n">
        <v>0</v>
      </c>
      <c r="L476" s="34" t="n">
        <v>101.04</v>
      </c>
      <c r="M476" s="34" t="n">
        <v>101.04</v>
      </c>
      <c r="N476" s="34" t="n">
        <v>718</v>
      </c>
      <c r="O476" s="34" t="n">
        <v>0</v>
      </c>
      <c r="P476" s="34" t="s">
        <v>510</v>
      </c>
    </row>
    <row r="477" customFormat="false" ht="14.4" hidden="false" customHeight="false" outlineLevel="0" collapsed="false">
      <c r="A477" s="34" t="n">
        <v>476</v>
      </c>
      <c r="B477" s="35" t="n">
        <v>54311070000190</v>
      </c>
      <c r="C477" s="34" t="s">
        <v>1370</v>
      </c>
      <c r="D477" s="34" t="s">
        <v>107</v>
      </c>
      <c r="E477" s="34" t="s">
        <v>1371</v>
      </c>
      <c r="F477" s="34" t="n">
        <v>3</v>
      </c>
      <c r="G477" s="34" t="n">
        <v>1</v>
      </c>
      <c r="H477" s="40" t="n">
        <v>250.33</v>
      </c>
      <c r="I477" s="34" t="n">
        <v>0</v>
      </c>
      <c r="J477" s="34" t="n">
        <v>0</v>
      </c>
      <c r="K477" s="34" t="n">
        <v>0</v>
      </c>
      <c r="L477" s="34" t="n">
        <v>101.04</v>
      </c>
      <c r="M477" s="34" t="n">
        <v>101.04</v>
      </c>
      <c r="N477" s="34" t="n">
        <v>800</v>
      </c>
      <c r="O477" s="34" t="n">
        <v>0</v>
      </c>
      <c r="P477" s="34" t="s">
        <v>510</v>
      </c>
    </row>
    <row r="478" customFormat="false" ht="14.4" hidden="false" customHeight="false" outlineLevel="0" collapsed="false">
      <c r="A478" s="34" t="n">
        <v>477</v>
      </c>
      <c r="B478" s="35" t="n">
        <v>58180170000185</v>
      </c>
      <c r="C478" s="34" t="s">
        <v>1372</v>
      </c>
      <c r="D478" s="34" t="s">
        <v>342</v>
      </c>
      <c r="E478" s="34" t="s">
        <v>1373</v>
      </c>
      <c r="F478" s="34" t="n">
        <v>3</v>
      </c>
      <c r="G478" s="34" t="n">
        <v>1</v>
      </c>
      <c r="H478" s="40" t="n">
        <v>250.33</v>
      </c>
      <c r="I478" s="34" t="n">
        <v>0</v>
      </c>
      <c r="J478" s="34" t="n">
        <v>0</v>
      </c>
      <c r="K478" s="34" t="n">
        <v>0</v>
      </c>
      <c r="L478" s="34" t="n">
        <v>101.05</v>
      </c>
      <c r="M478" s="34" t="n">
        <v>101.05</v>
      </c>
      <c r="N478" s="34" t="n">
        <v>705</v>
      </c>
      <c r="O478" s="34" t="n">
        <v>0</v>
      </c>
      <c r="P478" s="34" t="s">
        <v>501</v>
      </c>
    </row>
    <row r="479" customFormat="false" ht="14.4" hidden="false" customHeight="false" outlineLevel="0" collapsed="false">
      <c r="A479" s="34" t="n">
        <v>478</v>
      </c>
      <c r="B479" s="35" t="n">
        <v>60115752000120</v>
      </c>
      <c r="C479" s="34" t="s">
        <v>1374</v>
      </c>
      <c r="D479" s="34" t="s">
        <v>103</v>
      </c>
      <c r="E479" s="34" t="s">
        <v>1375</v>
      </c>
      <c r="F479" s="34" t="n">
        <v>3</v>
      </c>
      <c r="G479" s="34" t="n">
        <v>1</v>
      </c>
      <c r="H479" s="40" t="n">
        <v>250.33</v>
      </c>
      <c r="I479" s="34" t="n">
        <v>0</v>
      </c>
      <c r="J479" s="34" t="n">
        <v>0</v>
      </c>
      <c r="K479" s="34" t="n">
        <v>0</v>
      </c>
      <c r="L479" s="34" t="n">
        <v>101.05</v>
      </c>
      <c r="M479" s="34" t="n">
        <v>101.05</v>
      </c>
      <c r="N479" s="34" t="n">
        <v>800</v>
      </c>
      <c r="O479" s="34" t="n">
        <v>0</v>
      </c>
      <c r="P479" s="34" t="s">
        <v>501</v>
      </c>
    </row>
    <row r="480" customFormat="false" ht="14.4" hidden="false" customHeight="false" outlineLevel="0" collapsed="false">
      <c r="A480" s="34" t="n">
        <v>479</v>
      </c>
      <c r="B480" s="35" t="n">
        <v>60342257000153</v>
      </c>
      <c r="C480" s="34" t="s">
        <v>1376</v>
      </c>
      <c r="D480" s="34" t="s">
        <v>626</v>
      </c>
      <c r="E480" s="34" t="s">
        <v>1377</v>
      </c>
      <c r="F480" s="34" t="n">
        <v>3</v>
      </c>
      <c r="G480" s="34" t="n">
        <v>1</v>
      </c>
      <c r="H480" s="40" t="n">
        <v>250.33</v>
      </c>
      <c r="I480" s="34" t="n">
        <v>0</v>
      </c>
      <c r="J480" s="34" t="n">
        <v>0</v>
      </c>
      <c r="K480" s="34" t="n">
        <v>0</v>
      </c>
      <c r="L480" s="34" t="n">
        <v>101.06</v>
      </c>
      <c r="M480" s="34" t="n">
        <v>101.06</v>
      </c>
      <c r="N480" s="34" t="n">
        <v>718</v>
      </c>
      <c r="O480" s="34" t="n">
        <v>0</v>
      </c>
      <c r="P480" s="34" t="s">
        <v>501</v>
      </c>
    </row>
    <row r="481" customFormat="false" ht="14.4" hidden="false" customHeight="false" outlineLevel="0" collapsed="false">
      <c r="A481" s="34" t="n">
        <v>480</v>
      </c>
      <c r="B481" s="35" t="n">
        <v>62404670000120</v>
      </c>
      <c r="C481" s="34" t="s">
        <v>1378</v>
      </c>
      <c r="D481" s="34" t="s">
        <v>107</v>
      </c>
      <c r="E481" s="34" t="s">
        <v>1379</v>
      </c>
      <c r="F481" s="34" t="n">
        <v>3</v>
      </c>
      <c r="G481" s="34" t="n">
        <v>1</v>
      </c>
      <c r="H481" s="40" t="n">
        <v>250.33</v>
      </c>
      <c r="I481" s="34" t="n">
        <v>0</v>
      </c>
      <c r="J481" s="34" t="n">
        <v>0</v>
      </c>
      <c r="K481" s="34" t="n">
        <v>0</v>
      </c>
      <c r="L481" s="34" t="n">
        <v>101.06</v>
      </c>
      <c r="M481" s="34" t="n">
        <v>101.06</v>
      </c>
      <c r="N481" s="34" t="n">
        <v>707</v>
      </c>
      <c r="O481" s="34" t="n">
        <v>0</v>
      </c>
      <c r="P481" s="34" t="s">
        <v>510</v>
      </c>
    </row>
    <row r="482" customFormat="false" ht="14.4" hidden="false" customHeight="false" outlineLevel="0" collapsed="false">
      <c r="A482" s="34" t="n">
        <v>481</v>
      </c>
      <c r="B482" s="35" t="n">
        <v>30445941000108</v>
      </c>
      <c r="C482" s="34" t="s">
        <v>1380</v>
      </c>
      <c r="D482" s="34" t="s">
        <v>77</v>
      </c>
      <c r="E482" s="34" t="s">
        <v>1381</v>
      </c>
      <c r="F482" s="34" t="n">
        <v>10</v>
      </c>
      <c r="G482" s="34" t="n">
        <v>2</v>
      </c>
      <c r="H482" s="40" t="n">
        <v>248.67</v>
      </c>
      <c r="I482" s="34" t="n">
        <v>0</v>
      </c>
      <c r="J482" s="34" t="n">
        <v>0</v>
      </c>
      <c r="K482" s="34" t="n">
        <v>0</v>
      </c>
      <c r="L482" s="34" t="n">
        <v>101.07</v>
      </c>
      <c r="M482" s="34" t="n">
        <v>101.07</v>
      </c>
      <c r="N482" s="34" t="n">
        <v>759</v>
      </c>
      <c r="O482" s="34" t="n">
        <v>0</v>
      </c>
      <c r="P482" s="34" t="s">
        <v>518</v>
      </c>
    </row>
    <row r="483" customFormat="false" ht="14.4" hidden="false" customHeight="false" outlineLevel="0" collapsed="false">
      <c r="A483" s="34" t="n">
        <v>482</v>
      </c>
      <c r="B483" s="35" t="n">
        <v>11420449000125</v>
      </c>
      <c r="C483" s="34" t="s">
        <v>1382</v>
      </c>
      <c r="D483" s="34" t="s">
        <v>77</v>
      </c>
      <c r="E483" s="34" t="s">
        <v>1383</v>
      </c>
      <c r="F483" s="34" t="n">
        <v>3</v>
      </c>
      <c r="G483" s="34" t="n">
        <v>1</v>
      </c>
      <c r="H483" s="40" t="n">
        <v>247.84</v>
      </c>
      <c r="I483" s="34" t="n">
        <v>0</v>
      </c>
      <c r="J483" s="34" t="n">
        <v>0</v>
      </c>
      <c r="K483" s="34" t="n">
        <v>0</v>
      </c>
      <c r="L483" s="34" t="n">
        <v>101.07</v>
      </c>
      <c r="M483" s="34" t="n">
        <v>101.07</v>
      </c>
      <c r="N483" s="34" t="n">
        <v>759</v>
      </c>
      <c r="O483" s="34" t="n">
        <v>0</v>
      </c>
      <c r="P483" s="34" t="s">
        <v>518</v>
      </c>
    </row>
    <row r="484" customFormat="false" ht="14.4" hidden="false" customHeight="false" outlineLevel="0" collapsed="false">
      <c r="A484" s="34" t="n">
        <v>483</v>
      </c>
      <c r="B484" s="35" t="n">
        <v>15008888000186</v>
      </c>
      <c r="C484" s="34" t="s">
        <v>1384</v>
      </c>
      <c r="D484" s="34" t="s">
        <v>588</v>
      </c>
      <c r="E484" s="34" t="s">
        <v>1385</v>
      </c>
      <c r="F484" s="34" t="n">
        <v>3</v>
      </c>
      <c r="G484" s="34" t="n">
        <v>1</v>
      </c>
      <c r="H484" s="40" t="n">
        <v>246.63</v>
      </c>
      <c r="I484" s="34" t="n">
        <v>0</v>
      </c>
      <c r="J484" s="34" t="n">
        <v>0</v>
      </c>
      <c r="K484" s="34" t="n">
        <v>0</v>
      </c>
      <c r="L484" s="34" t="n">
        <v>101.08</v>
      </c>
      <c r="M484" s="34" t="n">
        <v>101.08</v>
      </c>
      <c r="N484" s="34" t="n">
        <v>710</v>
      </c>
      <c r="O484" s="34" t="n">
        <v>0</v>
      </c>
      <c r="P484" s="34" t="s">
        <v>504</v>
      </c>
    </row>
    <row r="485" customFormat="false" ht="14.4" hidden="false" customHeight="false" outlineLevel="0" collapsed="false">
      <c r="A485" s="34" t="n">
        <v>484</v>
      </c>
      <c r="B485" s="35" t="n">
        <v>22593712000102</v>
      </c>
      <c r="C485" s="34" t="s">
        <v>1386</v>
      </c>
      <c r="D485" s="34" t="s">
        <v>103</v>
      </c>
      <c r="E485" s="34" t="s">
        <v>1387</v>
      </c>
      <c r="F485" s="34" t="n">
        <v>3</v>
      </c>
      <c r="G485" s="34" t="n">
        <v>1</v>
      </c>
      <c r="H485" s="40" t="n">
        <v>246.63</v>
      </c>
      <c r="I485" s="34" t="n">
        <v>0</v>
      </c>
      <c r="J485" s="34" t="n">
        <v>0</v>
      </c>
      <c r="K485" s="34" t="n">
        <v>0</v>
      </c>
      <c r="L485" s="34" t="n">
        <v>101.08</v>
      </c>
      <c r="M485" s="34" t="n">
        <v>101.08</v>
      </c>
      <c r="N485" s="34" t="n">
        <v>715</v>
      </c>
      <c r="O485" s="34" t="n">
        <v>0</v>
      </c>
      <c r="P485" s="34" t="s">
        <v>510</v>
      </c>
    </row>
    <row r="486" customFormat="false" ht="14.4" hidden="false" customHeight="false" outlineLevel="0" collapsed="false">
      <c r="A486" s="34" t="n">
        <v>485</v>
      </c>
      <c r="B486" s="35" t="n">
        <v>26101772000103</v>
      </c>
      <c r="C486" s="34" t="s">
        <v>1388</v>
      </c>
      <c r="D486" s="34" t="s">
        <v>473</v>
      </c>
      <c r="E486" s="34" t="s">
        <v>1389</v>
      </c>
      <c r="F486" s="34" t="n">
        <v>6</v>
      </c>
      <c r="G486" s="34" t="n">
        <v>0</v>
      </c>
      <c r="H486" s="40" t="n">
        <v>244.52</v>
      </c>
      <c r="I486" s="34" t="n">
        <v>0</v>
      </c>
      <c r="J486" s="34" t="n">
        <v>0</v>
      </c>
      <c r="K486" s="34" t="n">
        <v>0</v>
      </c>
      <c r="L486" s="34" t="n">
        <v>101.09</v>
      </c>
      <c r="M486" s="34" t="n">
        <v>101.09</v>
      </c>
      <c r="N486" s="34" t="n">
        <v>718</v>
      </c>
      <c r="O486" s="34" t="n">
        <v>0</v>
      </c>
      <c r="P486" s="34" t="s">
        <v>518</v>
      </c>
    </row>
    <row r="487" customFormat="false" ht="14.4" hidden="false" customHeight="false" outlineLevel="0" collapsed="false">
      <c r="A487" s="34" t="n">
        <v>486</v>
      </c>
      <c r="B487" s="35" t="n">
        <v>51079806000158</v>
      </c>
      <c r="C487" s="34" t="s">
        <v>1390</v>
      </c>
      <c r="D487" s="34" t="s">
        <v>804</v>
      </c>
      <c r="E487" s="34" t="s">
        <v>805</v>
      </c>
      <c r="F487" s="34" t="n">
        <v>9</v>
      </c>
      <c r="G487" s="34" t="n">
        <v>3</v>
      </c>
      <c r="H487" s="40" t="n">
        <v>240.73</v>
      </c>
      <c r="I487" s="34" t="n">
        <v>0</v>
      </c>
      <c r="J487" s="34" t="n">
        <v>0.01</v>
      </c>
      <c r="K487" s="34" t="n">
        <v>0</v>
      </c>
      <c r="L487" s="34" t="n">
        <v>101.1</v>
      </c>
      <c r="M487" s="34" t="n">
        <v>101.1</v>
      </c>
      <c r="N487" s="34" t="n">
        <v>705</v>
      </c>
      <c r="O487" s="34" t="n">
        <v>0</v>
      </c>
      <c r="P487" s="34" t="s">
        <v>510</v>
      </c>
    </row>
    <row r="488" customFormat="false" ht="14.4" hidden="false" customHeight="false" outlineLevel="0" collapsed="false">
      <c r="A488" s="34" t="n">
        <v>487</v>
      </c>
      <c r="B488" s="35" t="n">
        <v>33789942000150</v>
      </c>
      <c r="C488" s="34" t="s">
        <v>1391</v>
      </c>
      <c r="D488" s="34" t="s">
        <v>594</v>
      </c>
      <c r="E488" s="34" t="s">
        <v>1392</v>
      </c>
      <c r="F488" s="34" t="n">
        <v>19</v>
      </c>
      <c r="G488" s="34" t="n">
        <v>3</v>
      </c>
      <c r="H488" s="40" t="n">
        <v>240.27</v>
      </c>
      <c r="I488" s="34" t="n">
        <v>0.01</v>
      </c>
      <c r="J488" s="34" t="n">
        <v>0.01</v>
      </c>
      <c r="K488" s="34" t="n">
        <v>0</v>
      </c>
      <c r="L488" s="34" t="n">
        <v>101.1</v>
      </c>
      <c r="M488" s="34" t="n">
        <v>101.1</v>
      </c>
      <c r="N488" s="34" t="n">
        <v>710</v>
      </c>
      <c r="O488" s="34" t="n">
        <v>0</v>
      </c>
      <c r="P488" s="34" t="s">
        <v>510</v>
      </c>
    </row>
    <row r="489" customFormat="false" ht="14.4" hidden="false" customHeight="false" outlineLevel="0" collapsed="false">
      <c r="A489" s="34" t="n">
        <v>488</v>
      </c>
      <c r="B489" s="35" t="n">
        <v>12061920000107</v>
      </c>
      <c r="C489" s="34" t="s">
        <v>1393</v>
      </c>
      <c r="D489" s="34" t="s">
        <v>569</v>
      </c>
      <c r="E489" s="34" t="s">
        <v>1394</v>
      </c>
      <c r="F489" s="34" t="n">
        <v>6</v>
      </c>
      <c r="G489" s="34" t="n">
        <v>1</v>
      </c>
      <c r="H489" s="40" t="n">
        <v>238.5</v>
      </c>
      <c r="I489" s="34" t="n">
        <v>0</v>
      </c>
      <c r="J489" s="34" t="n">
        <v>0</v>
      </c>
      <c r="K489" s="34" t="n">
        <v>0</v>
      </c>
      <c r="L489" s="34" t="n">
        <v>101.11</v>
      </c>
      <c r="M489" s="34" t="n">
        <v>101.11</v>
      </c>
      <c r="N489" s="34" t="n">
        <v>708</v>
      </c>
      <c r="O489" s="34" t="n">
        <v>0</v>
      </c>
      <c r="P489" s="34" t="s">
        <v>510</v>
      </c>
    </row>
    <row r="490" customFormat="false" ht="14.4" hidden="false" customHeight="false" outlineLevel="0" collapsed="false">
      <c r="A490" s="34" t="n">
        <v>489</v>
      </c>
      <c r="B490" s="35" t="n">
        <v>50355698000136</v>
      </c>
      <c r="C490" s="34" t="s">
        <v>1395</v>
      </c>
      <c r="D490" s="34" t="s">
        <v>562</v>
      </c>
      <c r="E490" s="34" t="s">
        <v>1396</v>
      </c>
      <c r="F490" s="34" t="n">
        <v>11</v>
      </c>
      <c r="G490" s="34" t="n">
        <v>4</v>
      </c>
      <c r="H490" s="40" t="n">
        <v>238.22</v>
      </c>
      <c r="I490" s="34" t="n">
        <v>0</v>
      </c>
      <c r="J490" s="34" t="n">
        <v>0.01</v>
      </c>
      <c r="K490" s="34" t="n">
        <v>0</v>
      </c>
      <c r="L490" s="34" t="n">
        <v>101.11</v>
      </c>
      <c r="M490" s="34" t="n">
        <v>101.11</v>
      </c>
      <c r="N490" s="34" t="n">
        <v>705</v>
      </c>
      <c r="O490" s="34" t="n">
        <v>0</v>
      </c>
      <c r="P490" s="34" t="s">
        <v>510</v>
      </c>
    </row>
    <row r="491" customFormat="false" ht="14.4" hidden="false" customHeight="false" outlineLevel="0" collapsed="false">
      <c r="A491" s="34" t="n">
        <v>490</v>
      </c>
      <c r="B491" s="35" t="n">
        <v>29685764000140</v>
      </c>
      <c r="C491" s="34" t="s">
        <v>1397</v>
      </c>
      <c r="D491" s="34" t="s">
        <v>89</v>
      </c>
      <c r="E491" s="34" t="s">
        <v>1398</v>
      </c>
      <c r="F491" s="34" t="n">
        <v>5</v>
      </c>
      <c r="G491" s="34" t="n">
        <v>1</v>
      </c>
      <c r="H491" s="40" t="n">
        <v>231.98</v>
      </c>
      <c r="I491" s="34" t="n">
        <v>0</v>
      </c>
      <c r="J491" s="34" t="n">
        <v>0</v>
      </c>
      <c r="K491" s="34" t="n">
        <v>0</v>
      </c>
      <c r="L491" s="34" t="n">
        <v>101.12</v>
      </c>
      <c r="M491" s="34" t="n">
        <v>101.12</v>
      </c>
      <c r="N491" s="34" t="n">
        <v>711</v>
      </c>
      <c r="O491" s="34" t="n">
        <v>0</v>
      </c>
      <c r="P491" s="34" t="s">
        <v>518</v>
      </c>
    </row>
    <row r="492" customFormat="false" ht="14.4" hidden="false" customHeight="false" outlineLevel="0" collapsed="false">
      <c r="A492" s="34" t="n">
        <v>491</v>
      </c>
      <c r="B492" s="35" t="n">
        <v>3803624000135</v>
      </c>
      <c r="C492" s="34" t="s">
        <v>1399</v>
      </c>
      <c r="D492" s="34" t="s">
        <v>1306</v>
      </c>
      <c r="E492" s="34" t="s">
        <v>1307</v>
      </c>
      <c r="F492" s="34" t="n">
        <v>2</v>
      </c>
      <c r="G492" s="34" t="n">
        <v>0</v>
      </c>
      <c r="H492" s="40" t="n">
        <v>229.32</v>
      </c>
      <c r="I492" s="34" t="n">
        <v>0</v>
      </c>
      <c r="J492" s="34" t="n">
        <v>0</v>
      </c>
      <c r="K492" s="34" t="n">
        <v>0</v>
      </c>
      <c r="L492" s="34" t="n">
        <v>101.12</v>
      </c>
      <c r="M492" s="34" t="n">
        <v>101.12</v>
      </c>
      <c r="N492" s="34" t="n">
        <v>705</v>
      </c>
      <c r="O492" s="34" t="n">
        <v>0</v>
      </c>
      <c r="P492" s="34" t="s">
        <v>501</v>
      </c>
    </row>
    <row r="493" customFormat="false" ht="14.4" hidden="false" customHeight="false" outlineLevel="0" collapsed="false">
      <c r="A493" s="34" t="n">
        <v>492</v>
      </c>
      <c r="B493" s="35" t="n">
        <v>10819352000127</v>
      </c>
      <c r="C493" s="34" t="s">
        <v>1400</v>
      </c>
      <c r="D493" s="34" t="s">
        <v>804</v>
      </c>
      <c r="E493" s="34" t="s">
        <v>805</v>
      </c>
      <c r="F493" s="34" t="n">
        <v>2</v>
      </c>
      <c r="G493" s="34" t="n">
        <v>0</v>
      </c>
      <c r="H493" s="40" t="n">
        <v>229.32</v>
      </c>
      <c r="I493" s="34" t="n">
        <v>0</v>
      </c>
      <c r="J493" s="34" t="n">
        <v>0</v>
      </c>
      <c r="K493" s="34" t="n">
        <v>0</v>
      </c>
      <c r="L493" s="34" t="n">
        <v>101.13</v>
      </c>
      <c r="M493" s="34" t="n">
        <v>101.13</v>
      </c>
      <c r="N493" s="34" t="n">
        <v>705</v>
      </c>
      <c r="O493" s="34" t="n">
        <v>0</v>
      </c>
      <c r="P493" s="34" t="s">
        <v>1135</v>
      </c>
    </row>
    <row r="494" customFormat="false" ht="14.4" hidden="false" customHeight="false" outlineLevel="0" collapsed="false">
      <c r="A494" s="34" t="n">
        <v>493</v>
      </c>
      <c r="B494" s="35" t="n">
        <v>21834092000185</v>
      </c>
      <c r="C494" s="34" t="s">
        <v>1401</v>
      </c>
      <c r="D494" s="34" t="s">
        <v>1306</v>
      </c>
      <c r="E494" s="34" t="s">
        <v>1402</v>
      </c>
      <c r="F494" s="34" t="n">
        <v>2</v>
      </c>
      <c r="G494" s="34" t="n">
        <v>0</v>
      </c>
      <c r="H494" s="40" t="n">
        <v>229.32</v>
      </c>
      <c r="I494" s="34" t="n">
        <v>0</v>
      </c>
      <c r="J494" s="34" t="n">
        <v>0</v>
      </c>
      <c r="K494" s="34" t="n">
        <v>0</v>
      </c>
      <c r="L494" s="34" t="n">
        <v>101.13</v>
      </c>
      <c r="M494" s="34" t="n">
        <v>101.13</v>
      </c>
      <c r="N494" s="34" t="n">
        <v>705</v>
      </c>
      <c r="O494" s="34" t="n">
        <v>0</v>
      </c>
      <c r="P494" s="34" t="s">
        <v>510</v>
      </c>
    </row>
    <row r="495" customFormat="false" ht="14.4" hidden="false" customHeight="false" outlineLevel="0" collapsed="false">
      <c r="A495" s="34" t="n">
        <v>494</v>
      </c>
      <c r="B495" s="35" t="n">
        <v>20984201000188</v>
      </c>
      <c r="C495" s="34" t="s">
        <v>1403</v>
      </c>
      <c r="D495" s="34" t="s">
        <v>328</v>
      </c>
      <c r="E495" s="34" t="s">
        <v>1404</v>
      </c>
      <c r="F495" s="34" t="n">
        <v>7</v>
      </c>
      <c r="G495" s="34" t="n">
        <v>1</v>
      </c>
      <c r="H495" s="40" t="n">
        <v>228.93</v>
      </c>
      <c r="I495" s="34" t="n">
        <v>0</v>
      </c>
      <c r="J495" s="34" t="n">
        <v>0</v>
      </c>
      <c r="K495" s="34" t="n">
        <v>0</v>
      </c>
      <c r="L495" s="34" t="n">
        <v>101.14</v>
      </c>
      <c r="M495" s="34" t="n">
        <v>101.14</v>
      </c>
      <c r="N495" s="34" t="n">
        <v>705</v>
      </c>
      <c r="O495" s="34" t="n">
        <v>0</v>
      </c>
      <c r="P495" s="34" t="s">
        <v>501</v>
      </c>
    </row>
    <row r="496" customFormat="false" ht="14.4" hidden="false" customHeight="false" outlineLevel="0" collapsed="false">
      <c r="A496" s="34" t="n">
        <v>495</v>
      </c>
      <c r="B496" s="35" t="n">
        <v>20763673000100</v>
      </c>
      <c r="C496" s="34" t="s">
        <v>1405</v>
      </c>
      <c r="D496" s="34" t="s">
        <v>89</v>
      </c>
      <c r="E496" s="34" t="s">
        <v>1406</v>
      </c>
      <c r="F496" s="34" t="n">
        <v>13</v>
      </c>
      <c r="G496" s="34" t="n">
        <v>4</v>
      </c>
      <c r="H496" s="40" t="n">
        <v>228.18</v>
      </c>
      <c r="I496" s="34" t="n">
        <v>0</v>
      </c>
      <c r="J496" s="34" t="n">
        <v>0.01</v>
      </c>
      <c r="K496" s="34" t="n">
        <v>0</v>
      </c>
      <c r="L496" s="34" t="n">
        <v>101.14</v>
      </c>
      <c r="M496" s="34" t="n">
        <v>101.14</v>
      </c>
      <c r="N496" s="34" t="n">
        <v>711</v>
      </c>
      <c r="O496" s="34" t="n">
        <v>0</v>
      </c>
      <c r="P496" s="34" t="s">
        <v>510</v>
      </c>
    </row>
    <row r="497" customFormat="false" ht="14.4" hidden="false" customHeight="false" outlineLevel="0" collapsed="false">
      <c r="A497" s="34" t="n">
        <v>496</v>
      </c>
      <c r="B497" s="35" t="n">
        <v>20772358000140</v>
      </c>
      <c r="C497" s="34" t="s">
        <v>1407</v>
      </c>
      <c r="D497" s="34" t="s">
        <v>296</v>
      </c>
      <c r="E497" s="34" t="s">
        <v>1408</v>
      </c>
      <c r="F497" s="34" t="n">
        <v>2</v>
      </c>
      <c r="G497" s="34" t="n">
        <v>0</v>
      </c>
      <c r="H497" s="40" t="n">
        <v>226.45</v>
      </c>
      <c r="I497" s="34" t="n">
        <v>0</v>
      </c>
      <c r="J497" s="34" t="n">
        <v>0</v>
      </c>
      <c r="K497" s="34" t="n">
        <v>0</v>
      </c>
      <c r="L497" s="34" t="n">
        <v>101.15</v>
      </c>
      <c r="M497" s="34" t="n">
        <v>101.15</v>
      </c>
      <c r="N497" s="34" t="n">
        <v>703</v>
      </c>
      <c r="O497" s="34" t="n">
        <v>0</v>
      </c>
      <c r="P497" s="34" t="s">
        <v>510</v>
      </c>
    </row>
    <row r="498" customFormat="false" ht="14.4" hidden="false" customHeight="false" outlineLevel="0" collapsed="false">
      <c r="A498" s="34" t="n">
        <v>497</v>
      </c>
      <c r="B498" s="35" t="n">
        <v>23466551000140</v>
      </c>
      <c r="C498" s="34" t="s">
        <v>1409</v>
      </c>
      <c r="D498" s="34" t="s">
        <v>77</v>
      </c>
      <c r="E498" s="34" t="s">
        <v>814</v>
      </c>
      <c r="F498" s="34" t="n">
        <v>2</v>
      </c>
      <c r="G498" s="34" t="n">
        <v>0</v>
      </c>
      <c r="H498" s="40" t="n">
        <v>226.45</v>
      </c>
      <c r="I498" s="34" t="n">
        <v>0</v>
      </c>
      <c r="J498" s="34" t="n">
        <v>0</v>
      </c>
      <c r="K498" s="34" t="n">
        <v>0</v>
      </c>
      <c r="L498" s="34" t="n">
        <v>101.15</v>
      </c>
      <c r="M498" s="34" t="n">
        <v>101.15</v>
      </c>
      <c r="N498" s="34" t="n">
        <v>759</v>
      </c>
      <c r="O498" s="34" t="n">
        <v>0</v>
      </c>
      <c r="P498" s="34" t="s">
        <v>518</v>
      </c>
    </row>
    <row r="499" customFormat="false" ht="14.4" hidden="false" customHeight="false" outlineLevel="0" collapsed="false">
      <c r="A499" s="34" t="n">
        <v>498</v>
      </c>
      <c r="B499" s="35" t="n">
        <v>11804977000188</v>
      </c>
      <c r="C499" s="34" t="s">
        <v>1410</v>
      </c>
      <c r="D499" s="34" t="s">
        <v>781</v>
      </c>
      <c r="E499" s="34" t="s">
        <v>1411</v>
      </c>
      <c r="F499" s="34" t="n">
        <v>15</v>
      </c>
      <c r="G499" s="34" t="n">
        <v>2</v>
      </c>
      <c r="H499" s="40" t="n">
        <v>225.2</v>
      </c>
      <c r="I499" s="34" t="n">
        <v>0.01</v>
      </c>
      <c r="J499" s="34" t="n">
        <v>0</v>
      </c>
      <c r="K499" s="34" t="n">
        <v>0</v>
      </c>
      <c r="L499" s="34" t="n">
        <v>101.16</v>
      </c>
      <c r="M499" s="34" t="n">
        <v>101.16</v>
      </c>
      <c r="N499" s="34" t="n">
        <v>716</v>
      </c>
      <c r="O499" s="34" t="n">
        <v>0</v>
      </c>
      <c r="P499" s="34" t="s">
        <v>518</v>
      </c>
    </row>
    <row r="500" customFormat="false" ht="14.4" hidden="false" customHeight="false" outlineLevel="0" collapsed="false">
      <c r="A500" s="34" t="n">
        <v>499</v>
      </c>
      <c r="B500" s="35" t="n">
        <v>9124236000104</v>
      </c>
      <c r="C500" s="34" t="s">
        <v>1412</v>
      </c>
      <c r="D500" s="34" t="s">
        <v>77</v>
      </c>
      <c r="E500" s="34" t="s">
        <v>1413</v>
      </c>
      <c r="F500" s="34" t="n">
        <v>5</v>
      </c>
      <c r="G500" s="34" t="n">
        <v>1</v>
      </c>
      <c r="H500" s="40" t="n">
        <v>215.35</v>
      </c>
      <c r="I500" s="34" t="n">
        <v>0</v>
      </c>
      <c r="J500" s="34" t="n">
        <v>0</v>
      </c>
      <c r="K500" s="34" t="n">
        <v>0</v>
      </c>
      <c r="L500" s="34" t="n">
        <v>101.16</v>
      </c>
      <c r="M500" s="34" t="n">
        <v>101.16</v>
      </c>
      <c r="N500" s="34" t="n">
        <v>135</v>
      </c>
      <c r="O500" s="34" t="n">
        <v>0</v>
      </c>
      <c r="P500" s="34" t="s">
        <v>518</v>
      </c>
    </row>
    <row r="501" customFormat="false" ht="14.4" hidden="false" customHeight="false" outlineLevel="0" collapsed="false">
      <c r="A501" s="34" t="n">
        <v>500</v>
      </c>
      <c r="B501" s="35" t="n">
        <v>26625057000170</v>
      </c>
      <c r="C501" s="34" t="s">
        <v>1414</v>
      </c>
      <c r="D501" s="34" t="s">
        <v>77</v>
      </c>
      <c r="E501" s="34" t="s">
        <v>1415</v>
      </c>
      <c r="F501" s="34" t="n">
        <v>10</v>
      </c>
      <c r="G501" s="34" t="n">
        <v>2</v>
      </c>
      <c r="H501" s="40" t="n">
        <v>212.96</v>
      </c>
      <c r="I501" s="34" t="n">
        <v>0</v>
      </c>
      <c r="J501" s="34" t="n">
        <v>0</v>
      </c>
      <c r="K501" s="34" t="n">
        <v>0</v>
      </c>
      <c r="L501" s="34" t="n">
        <v>101.17</v>
      </c>
      <c r="M501" s="34" t="n">
        <v>101.17</v>
      </c>
      <c r="N501" s="34" t="n">
        <v>135</v>
      </c>
      <c r="O501" s="34" t="n">
        <v>0</v>
      </c>
      <c r="P501" s="34" t="s">
        <v>773</v>
      </c>
    </row>
    <row r="502" customFormat="false" ht="14.4" hidden="false" customHeight="false" outlineLevel="0" collapsed="false">
      <c r="A502" s="34" t="n">
        <v>501</v>
      </c>
      <c r="B502" s="35" t="n">
        <v>24226819000130</v>
      </c>
      <c r="C502" s="34" t="s">
        <v>1416</v>
      </c>
      <c r="D502" s="34" t="s">
        <v>89</v>
      </c>
      <c r="E502" s="34" t="s">
        <v>1417</v>
      </c>
      <c r="F502" s="34" t="n">
        <v>5</v>
      </c>
      <c r="G502" s="34" t="n">
        <v>1</v>
      </c>
      <c r="H502" s="40" t="n">
        <v>209.45</v>
      </c>
      <c r="I502" s="34" t="n">
        <v>0</v>
      </c>
      <c r="J502" s="34" t="n">
        <v>0</v>
      </c>
      <c r="K502" s="34" t="n">
        <v>0</v>
      </c>
      <c r="L502" s="34" t="n">
        <v>101.17</v>
      </c>
      <c r="M502" s="34" t="n">
        <v>101.17</v>
      </c>
      <c r="N502" s="34" t="n">
        <v>711</v>
      </c>
      <c r="O502" s="34" t="n">
        <v>0</v>
      </c>
      <c r="P502" s="34" t="s">
        <v>518</v>
      </c>
    </row>
    <row r="503" customFormat="false" ht="14.4" hidden="false" customHeight="false" outlineLevel="0" collapsed="false">
      <c r="A503" s="34" t="n">
        <v>502</v>
      </c>
      <c r="B503" s="35" t="n">
        <v>15239241000165</v>
      </c>
      <c r="C503" s="34" t="s">
        <v>1418</v>
      </c>
      <c r="D503" s="34" t="s">
        <v>569</v>
      </c>
      <c r="E503" s="34" t="s">
        <v>1419</v>
      </c>
      <c r="F503" s="34" t="n">
        <v>5</v>
      </c>
      <c r="G503" s="34" t="n">
        <v>1</v>
      </c>
      <c r="H503" s="40" t="n">
        <v>209.14</v>
      </c>
      <c r="I503" s="34" t="n">
        <v>0</v>
      </c>
      <c r="J503" s="34" t="n">
        <v>0</v>
      </c>
      <c r="K503" s="34" t="n">
        <v>0</v>
      </c>
      <c r="L503" s="34" t="n">
        <v>101.17</v>
      </c>
      <c r="M503" s="34" t="n">
        <v>101.17</v>
      </c>
      <c r="N503" s="34" t="n">
        <v>708</v>
      </c>
      <c r="O503" s="34" t="n">
        <v>0</v>
      </c>
      <c r="P503" s="34" t="s">
        <v>510</v>
      </c>
    </row>
    <row r="504" customFormat="false" ht="14.4" hidden="false" customHeight="false" outlineLevel="0" collapsed="false">
      <c r="A504" s="34" t="n">
        <v>503</v>
      </c>
      <c r="B504" s="35" t="n">
        <v>984716000170</v>
      </c>
      <c r="C504" s="34" t="s">
        <v>1420</v>
      </c>
      <c r="D504" s="34" t="s">
        <v>581</v>
      </c>
      <c r="E504" s="34" t="s">
        <v>1421</v>
      </c>
      <c r="F504" s="34" t="n">
        <v>13</v>
      </c>
      <c r="G504" s="34" t="n">
        <v>2</v>
      </c>
      <c r="H504" s="40" t="n">
        <v>208.42</v>
      </c>
      <c r="I504" s="34" t="n">
        <v>0.01</v>
      </c>
      <c r="J504" s="34" t="n">
        <v>0</v>
      </c>
      <c r="K504" s="34" t="n">
        <v>0</v>
      </c>
      <c r="L504" s="34" t="n">
        <v>101.18</v>
      </c>
      <c r="M504" s="34" t="n">
        <v>101.18</v>
      </c>
      <c r="N504" s="34" t="n">
        <v>710</v>
      </c>
      <c r="O504" s="34" t="n">
        <v>0</v>
      </c>
      <c r="P504" s="34" t="s">
        <v>518</v>
      </c>
    </row>
    <row r="505" customFormat="false" ht="14.4" hidden="false" customHeight="false" outlineLevel="0" collapsed="false">
      <c r="A505" s="34" t="n">
        <v>504</v>
      </c>
      <c r="B505" s="35" t="n">
        <v>5904060000152</v>
      </c>
      <c r="C505" s="34" t="s">
        <v>1422</v>
      </c>
      <c r="D505" s="34" t="s">
        <v>107</v>
      </c>
      <c r="E505" s="34" t="s">
        <v>1423</v>
      </c>
      <c r="F505" s="34" t="n">
        <v>3</v>
      </c>
      <c r="G505" s="34" t="n">
        <v>1</v>
      </c>
      <c r="H505" s="40" t="n">
        <v>207.68</v>
      </c>
      <c r="I505" s="34" t="n">
        <v>0</v>
      </c>
      <c r="J505" s="34" t="n">
        <v>0</v>
      </c>
      <c r="K505" s="34" t="n">
        <v>0</v>
      </c>
      <c r="L505" s="34" t="n">
        <v>101.18</v>
      </c>
      <c r="M505" s="34" t="n">
        <v>101.18</v>
      </c>
      <c r="N505" s="34" t="n">
        <v>707</v>
      </c>
      <c r="O505" s="34" t="n">
        <v>0</v>
      </c>
      <c r="P505" s="34" t="s">
        <v>510</v>
      </c>
    </row>
    <row r="506" customFormat="false" ht="14.4" hidden="false" customHeight="false" outlineLevel="0" collapsed="false">
      <c r="A506" s="34" t="n">
        <v>505</v>
      </c>
      <c r="B506" s="35" t="n">
        <v>1274396000470</v>
      </c>
      <c r="C506" s="34" t="s">
        <v>530</v>
      </c>
      <c r="D506" s="34" t="s">
        <v>207</v>
      </c>
      <c r="E506" s="34" t="s">
        <v>1424</v>
      </c>
      <c r="F506" s="34" t="n">
        <v>10</v>
      </c>
      <c r="G506" s="34" t="n">
        <v>2</v>
      </c>
      <c r="H506" s="40" t="n">
        <v>204.87</v>
      </c>
      <c r="I506" s="34" t="n">
        <v>0</v>
      </c>
      <c r="J506" s="34" t="n">
        <v>0</v>
      </c>
      <c r="K506" s="34" t="n">
        <v>0</v>
      </c>
      <c r="L506" s="34" t="n">
        <v>101.19</v>
      </c>
      <c r="M506" s="34" t="n">
        <v>101.19</v>
      </c>
      <c r="N506" s="34" t="n">
        <v>703</v>
      </c>
      <c r="O506" s="34" t="n">
        <v>0</v>
      </c>
      <c r="P506" s="34" t="s">
        <v>501</v>
      </c>
    </row>
    <row r="507" customFormat="false" ht="14.4" hidden="false" customHeight="false" outlineLevel="0" collapsed="false">
      <c r="A507" s="34" t="n">
        <v>506</v>
      </c>
      <c r="B507" s="35" t="n">
        <v>60355896000153</v>
      </c>
      <c r="C507" s="34" t="s">
        <v>1425</v>
      </c>
      <c r="D507" s="34" t="s">
        <v>89</v>
      </c>
      <c r="E507" s="34" t="s">
        <v>1426</v>
      </c>
      <c r="F507" s="34" t="n">
        <v>6</v>
      </c>
      <c r="G507" s="34" t="n">
        <v>1</v>
      </c>
      <c r="H507" s="40" t="n">
        <v>203.14</v>
      </c>
      <c r="I507" s="34" t="n">
        <v>0</v>
      </c>
      <c r="J507" s="34" t="n">
        <v>0</v>
      </c>
      <c r="K507" s="34" t="n">
        <v>0</v>
      </c>
      <c r="L507" s="34" t="n">
        <v>101.19</v>
      </c>
      <c r="M507" s="34" t="n">
        <v>101.19</v>
      </c>
      <c r="N507" s="34" t="n">
        <v>711</v>
      </c>
      <c r="O507" s="34" t="n">
        <v>0</v>
      </c>
      <c r="P507" s="34" t="s">
        <v>776</v>
      </c>
    </row>
    <row r="508" customFormat="false" ht="14.4" hidden="false" customHeight="false" outlineLevel="0" collapsed="false">
      <c r="A508" s="34" t="n">
        <v>507</v>
      </c>
      <c r="B508" s="35" t="n">
        <v>36441070000122</v>
      </c>
      <c r="C508" s="34" t="s">
        <v>1427</v>
      </c>
      <c r="D508" s="34" t="s">
        <v>548</v>
      </c>
      <c r="E508" s="34" t="s">
        <v>1428</v>
      </c>
      <c r="F508" s="34" t="n">
        <v>5</v>
      </c>
      <c r="G508" s="34" t="n">
        <v>0</v>
      </c>
      <c r="H508" s="40" t="n">
        <v>201.33</v>
      </c>
      <c r="I508" s="34" t="n">
        <v>0</v>
      </c>
      <c r="J508" s="34" t="n">
        <v>0</v>
      </c>
      <c r="K508" s="34" t="n">
        <v>0</v>
      </c>
      <c r="L508" s="34" t="n">
        <v>101.2</v>
      </c>
      <c r="M508" s="34" t="n">
        <v>101.2</v>
      </c>
      <c r="N508" s="34" t="n">
        <v>708</v>
      </c>
      <c r="O508" s="34" t="n">
        <v>0</v>
      </c>
      <c r="P508" s="34" t="s">
        <v>518</v>
      </c>
    </row>
    <row r="509" customFormat="false" ht="14.4" hidden="false" customHeight="false" outlineLevel="0" collapsed="false">
      <c r="A509" s="34" t="n">
        <v>508</v>
      </c>
      <c r="B509" s="35" t="n">
        <v>13650915000194</v>
      </c>
      <c r="C509" s="34" t="s">
        <v>1429</v>
      </c>
      <c r="D509" s="34" t="s">
        <v>357</v>
      </c>
      <c r="E509" s="34" t="s">
        <v>1430</v>
      </c>
      <c r="F509" s="34" t="n">
        <v>6</v>
      </c>
      <c r="G509" s="34" t="n">
        <v>1</v>
      </c>
      <c r="H509" s="40" t="n">
        <v>194.59</v>
      </c>
      <c r="I509" s="34" t="n">
        <v>0</v>
      </c>
      <c r="J509" s="34" t="n">
        <v>0</v>
      </c>
      <c r="K509" s="34" t="n">
        <v>0</v>
      </c>
      <c r="L509" s="34" t="n">
        <v>101.2</v>
      </c>
      <c r="M509" s="34" t="n">
        <v>101.2</v>
      </c>
      <c r="N509" s="34" t="n">
        <v>708</v>
      </c>
      <c r="O509" s="34" t="n">
        <v>0</v>
      </c>
      <c r="P509" s="34" t="s">
        <v>510</v>
      </c>
    </row>
    <row r="510" customFormat="false" ht="14.4" hidden="false" customHeight="false" outlineLevel="0" collapsed="false">
      <c r="A510" s="34" t="n">
        <v>509</v>
      </c>
      <c r="B510" s="35" t="n">
        <v>33249563000258</v>
      </c>
      <c r="C510" s="34" t="s">
        <v>1431</v>
      </c>
      <c r="D510" s="34" t="s">
        <v>197</v>
      </c>
      <c r="E510" s="34" t="s">
        <v>1432</v>
      </c>
      <c r="F510" s="34" t="n">
        <v>2</v>
      </c>
      <c r="G510" s="34" t="n">
        <v>1</v>
      </c>
      <c r="H510" s="40" t="n">
        <v>194.44</v>
      </c>
      <c r="I510" s="34" t="n">
        <v>0</v>
      </c>
      <c r="J510" s="34" t="n">
        <v>0</v>
      </c>
      <c r="K510" s="34" t="n">
        <v>0</v>
      </c>
      <c r="L510" s="34" t="n">
        <v>101.2</v>
      </c>
      <c r="M510" s="34" t="n">
        <v>101.2</v>
      </c>
      <c r="N510" s="34" t="n">
        <v>703</v>
      </c>
      <c r="O510" s="34" t="n">
        <v>0</v>
      </c>
      <c r="P510" s="34" t="s">
        <v>844</v>
      </c>
    </row>
    <row r="511" customFormat="false" ht="14.4" hidden="false" customHeight="false" outlineLevel="0" collapsed="false">
      <c r="A511" s="34" t="n">
        <v>510</v>
      </c>
      <c r="B511" s="35" t="n">
        <v>43602605000165</v>
      </c>
      <c r="C511" s="34" t="s">
        <v>1433</v>
      </c>
      <c r="D511" s="34" t="s">
        <v>737</v>
      </c>
      <c r="E511" s="34" t="s">
        <v>1434</v>
      </c>
      <c r="F511" s="34" t="n">
        <v>8</v>
      </c>
      <c r="G511" s="34" t="n">
        <v>2</v>
      </c>
      <c r="H511" s="40" t="n">
        <v>194.22</v>
      </c>
      <c r="I511" s="34" t="n">
        <v>0</v>
      </c>
      <c r="J511" s="34" t="n">
        <v>0.01</v>
      </c>
      <c r="K511" s="34" t="n">
        <v>0</v>
      </c>
      <c r="L511" s="34" t="n">
        <v>101.21</v>
      </c>
      <c r="M511" s="34" t="n">
        <v>101.21</v>
      </c>
      <c r="N511" s="34" t="n">
        <v>716</v>
      </c>
      <c r="O511" s="34" t="n">
        <v>0</v>
      </c>
      <c r="P511" s="34" t="s">
        <v>518</v>
      </c>
    </row>
    <row r="512" customFormat="false" ht="14.4" hidden="false" customHeight="false" outlineLevel="0" collapsed="false">
      <c r="A512" s="34" t="n">
        <v>511</v>
      </c>
      <c r="B512" s="35" t="n">
        <v>37570181000282</v>
      </c>
      <c r="C512" s="34" t="s">
        <v>1435</v>
      </c>
      <c r="D512" s="34" t="s">
        <v>299</v>
      </c>
      <c r="E512" s="34" t="s">
        <v>596</v>
      </c>
      <c r="F512" s="34" t="n">
        <v>19</v>
      </c>
      <c r="G512" s="34" t="n">
        <v>2</v>
      </c>
      <c r="H512" s="40" t="n">
        <v>193.92</v>
      </c>
      <c r="I512" s="34" t="n">
        <v>0.01</v>
      </c>
      <c r="J512" s="34" t="n">
        <v>0</v>
      </c>
      <c r="K512" s="34" t="n">
        <v>0</v>
      </c>
      <c r="L512" s="34" t="n">
        <v>101.21</v>
      </c>
      <c r="M512" s="34" t="n">
        <v>101.21</v>
      </c>
      <c r="N512" s="34" t="n">
        <v>710</v>
      </c>
      <c r="O512" s="34" t="n">
        <v>0</v>
      </c>
      <c r="P512" s="34" t="s">
        <v>501</v>
      </c>
    </row>
    <row r="513" customFormat="false" ht="14.4" hidden="false" customHeight="false" outlineLevel="0" collapsed="false">
      <c r="A513" s="34" t="n">
        <v>512</v>
      </c>
      <c r="B513" s="35" t="n">
        <v>8215267000108</v>
      </c>
      <c r="C513" s="34" t="s">
        <v>1436</v>
      </c>
      <c r="D513" s="34" t="s">
        <v>213</v>
      </c>
      <c r="E513" s="34" t="s">
        <v>1437</v>
      </c>
      <c r="F513" s="34" t="n">
        <v>3</v>
      </c>
      <c r="G513" s="34" t="n">
        <v>0</v>
      </c>
      <c r="H513" s="40" t="n">
        <v>188.99</v>
      </c>
      <c r="I513" s="34" t="n">
        <v>0</v>
      </c>
      <c r="J513" s="34" t="n">
        <v>0</v>
      </c>
      <c r="K513" s="34" t="n">
        <v>0</v>
      </c>
      <c r="L513" s="34" t="n">
        <v>101.22</v>
      </c>
      <c r="M513" s="34" t="n">
        <v>101.22</v>
      </c>
      <c r="N513" s="34" t="n">
        <v>709</v>
      </c>
      <c r="O513" s="34" t="n">
        <v>0</v>
      </c>
      <c r="P513" s="34" t="s">
        <v>776</v>
      </c>
    </row>
    <row r="514" customFormat="false" ht="14.4" hidden="false" customHeight="false" outlineLevel="0" collapsed="false">
      <c r="A514" s="34" t="n">
        <v>513</v>
      </c>
      <c r="B514" s="35" t="n">
        <v>30191516000121</v>
      </c>
      <c r="C514" s="34" t="s">
        <v>1438</v>
      </c>
      <c r="D514" s="34" t="s">
        <v>328</v>
      </c>
      <c r="E514" s="34" t="s">
        <v>1439</v>
      </c>
      <c r="F514" s="34" t="n">
        <v>6</v>
      </c>
      <c r="G514" s="34" t="n">
        <v>2</v>
      </c>
      <c r="H514" s="40" t="n">
        <v>186.97</v>
      </c>
      <c r="I514" s="34" t="n">
        <v>0</v>
      </c>
      <c r="J514" s="34" t="n">
        <v>0</v>
      </c>
      <c r="K514" s="34" t="n">
        <v>0</v>
      </c>
      <c r="L514" s="34" t="n">
        <v>101.22</v>
      </c>
      <c r="M514" s="34" t="n">
        <v>101.22</v>
      </c>
      <c r="N514" s="34" t="n">
        <v>705</v>
      </c>
      <c r="O514" s="34" t="n">
        <v>0</v>
      </c>
      <c r="P514" s="34" t="s">
        <v>510</v>
      </c>
    </row>
    <row r="515" customFormat="false" ht="14.4" hidden="false" customHeight="false" outlineLevel="0" collapsed="false">
      <c r="A515" s="34" t="n">
        <v>514</v>
      </c>
      <c r="B515" s="35" t="n">
        <v>19079539000106</v>
      </c>
      <c r="C515" s="34" t="s">
        <v>1440</v>
      </c>
      <c r="D515" s="34" t="s">
        <v>464</v>
      </c>
      <c r="E515" s="34" t="s">
        <v>1441</v>
      </c>
      <c r="F515" s="34" t="n">
        <v>5</v>
      </c>
      <c r="G515" s="34" t="n">
        <v>1</v>
      </c>
      <c r="H515" s="40" t="n">
        <v>184.05</v>
      </c>
      <c r="I515" s="34" t="n">
        <v>0</v>
      </c>
      <c r="J515" s="34" t="n">
        <v>0</v>
      </c>
      <c r="K515" s="34" t="n">
        <v>0</v>
      </c>
      <c r="L515" s="34" t="n">
        <v>101.23</v>
      </c>
      <c r="M515" s="34" t="n">
        <v>101.23</v>
      </c>
      <c r="N515" s="34" t="n">
        <v>712</v>
      </c>
      <c r="O515" s="34" t="n">
        <v>0</v>
      </c>
      <c r="P515" s="34" t="s">
        <v>518</v>
      </c>
    </row>
    <row r="516" customFormat="false" ht="14.4" hidden="false" customHeight="false" outlineLevel="0" collapsed="false">
      <c r="A516" s="34" t="n">
        <v>515</v>
      </c>
      <c r="B516" s="35" t="n">
        <v>45224598000130</v>
      </c>
      <c r="C516" s="34" t="s">
        <v>1442</v>
      </c>
      <c r="D516" s="34" t="s">
        <v>804</v>
      </c>
      <c r="E516" s="34" t="s">
        <v>1443</v>
      </c>
      <c r="F516" s="34" t="n">
        <v>4</v>
      </c>
      <c r="G516" s="34" t="n">
        <v>1</v>
      </c>
      <c r="H516" s="40" t="n">
        <v>183.57</v>
      </c>
      <c r="I516" s="34" t="n">
        <v>0</v>
      </c>
      <c r="J516" s="34" t="n">
        <v>0</v>
      </c>
      <c r="K516" s="34" t="n">
        <v>0</v>
      </c>
      <c r="L516" s="34" t="n">
        <v>101.23</v>
      </c>
      <c r="M516" s="34" t="n">
        <v>101.23</v>
      </c>
      <c r="N516" s="34" t="n">
        <v>705</v>
      </c>
      <c r="O516" s="34" t="n">
        <v>0</v>
      </c>
      <c r="P516" s="34" t="s">
        <v>510</v>
      </c>
    </row>
    <row r="517" customFormat="false" ht="14.4" hidden="false" customHeight="false" outlineLevel="0" collapsed="false">
      <c r="A517" s="34" t="n">
        <v>516</v>
      </c>
      <c r="B517" s="35" t="n">
        <v>12934721000158</v>
      </c>
      <c r="C517" s="34" t="s">
        <v>1444</v>
      </c>
      <c r="D517" s="34" t="s">
        <v>336</v>
      </c>
      <c r="E517" s="34" t="s">
        <v>503</v>
      </c>
      <c r="F517" s="34" t="n">
        <v>2</v>
      </c>
      <c r="G517" s="34" t="n">
        <v>1</v>
      </c>
      <c r="H517" s="40" t="n">
        <v>182.83</v>
      </c>
      <c r="I517" s="34" t="n">
        <v>0</v>
      </c>
      <c r="J517" s="34" t="n">
        <v>0</v>
      </c>
      <c r="K517" s="34" t="n">
        <v>0</v>
      </c>
      <c r="L517" s="34" t="n">
        <v>101.23</v>
      </c>
      <c r="M517" s="34" t="n">
        <v>101.23</v>
      </c>
      <c r="N517" s="34" t="n">
        <v>705</v>
      </c>
      <c r="O517" s="34" t="n">
        <v>0</v>
      </c>
      <c r="P517" s="34" t="s">
        <v>504</v>
      </c>
    </row>
    <row r="518" customFormat="false" ht="14.4" hidden="false" customHeight="false" outlineLevel="0" collapsed="false">
      <c r="A518" s="34" t="n">
        <v>517</v>
      </c>
      <c r="B518" s="35" t="n">
        <v>35831943000655</v>
      </c>
      <c r="C518" s="34" t="s">
        <v>587</v>
      </c>
      <c r="D518" s="34" t="s">
        <v>77</v>
      </c>
      <c r="E518" s="34" t="s">
        <v>1445</v>
      </c>
      <c r="F518" s="34" t="n">
        <v>2</v>
      </c>
      <c r="G518" s="34" t="n">
        <v>1</v>
      </c>
      <c r="H518" s="40" t="n">
        <v>182.83</v>
      </c>
      <c r="I518" s="34" t="n">
        <v>0</v>
      </c>
      <c r="J518" s="34" t="n">
        <v>0</v>
      </c>
      <c r="K518" s="34" t="n">
        <v>0</v>
      </c>
      <c r="L518" s="34" t="n">
        <v>101.24</v>
      </c>
      <c r="M518" s="34" t="n">
        <v>101.24</v>
      </c>
      <c r="N518" s="34" t="n">
        <v>702</v>
      </c>
      <c r="O518" s="34" t="n">
        <v>0</v>
      </c>
      <c r="P518" s="34" t="s">
        <v>504</v>
      </c>
    </row>
    <row r="519" customFormat="false" ht="14.4" hidden="false" customHeight="false" outlineLevel="0" collapsed="false">
      <c r="A519" s="34" t="n">
        <v>518</v>
      </c>
      <c r="B519" s="35" t="n">
        <v>7615425000154</v>
      </c>
      <c r="C519" s="34" t="s">
        <v>1446</v>
      </c>
      <c r="D519" s="34" t="s">
        <v>77</v>
      </c>
      <c r="E519" s="34" t="s">
        <v>1447</v>
      </c>
      <c r="F519" s="34" t="n">
        <v>7</v>
      </c>
      <c r="G519" s="34" t="n">
        <v>2</v>
      </c>
      <c r="H519" s="40" t="n">
        <v>181.76</v>
      </c>
      <c r="I519" s="34" t="n">
        <v>0</v>
      </c>
      <c r="J519" s="34" t="n">
        <v>0</v>
      </c>
      <c r="K519" s="34" t="n">
        <v>0</v>
      </c>
      <c r="L519" s="34" t="n">
        <v>101.24</v>
      </c>
      <c r="M519" s="34" t="n">
        <v>101.24</v>
      </c>
      <c r="N519" s="34" t="n">
        <v>759</v>
      </c>
      <c r="O519" s="34" t="n">
        <v>0</v>
      </c>
      <c r="P519" s="34" t="s">
        <v>504</v>
      </c>
    </row>
    <row r="520" customFormat="false" ht="14.4" hidden="false" customHeight="false" outlineLevel="0" collapsed="false">
      <c r="A520" s="34" t="n">
        <v>519</v>
      </c>
      <c r="B520" s="35" t="n">
        <v>57678549000157</v>
      </c>
      <c r="C520" s="34" t="s">
        <v>1448</v>
      </c>
      <c r="D520" s="34" t="s">
        <v>77</v>
      </c>
      <c r="E520" s="34" t="s">
        <v>1230</v>
      </c>
      <c r="F520" s="34" t="n">
        <v>3</v>
      </c>
      <c r="G520" s="34" t="n">
        <v>0</v>
      </c>
      <c r="H520" s="40" t="n">
        <v>181.5</v>
      </c>
      <c r="I520" s="34" t="n">
        <v>0</v>
      </c>
      <c r="J520" s="34" t="n">
        <v>0</v>
      </c>
      <c r="K520" s="34" t="n">
        <v>0</v>
      </c>
      <c r="L520" s="34" t="n">
        <v>101.25</v>
      </c>
      <c r="M520" s="34" t="n">
        <v>101.25</v>
      </c>
      <c r="N520" s="34" t="n">
        <v>130</v>
      </c>
      <c r="O520" s="34" t="n">
        <v>0</v>
      </c>
      <c r="P520" s="34" t="s">
        <v>776</v>
      </c>
    </row>
    <row r="521" customFormat="false" ht="14.4" hidden="false" customHeight="false" outlineLevel="0" collapsed="false">
      <c r="A521" s="34" t="n">
        <v>520</v>
      </c>
      <c r="B521" s="35" t="n">
        <v>5885879000110</v>
      </c>
      <c r="C521" s="34" t="s">
        <v>1449</v>
      </c>
      <c r="D521" s="34" t="s">
        <v>594</v>
      </c>
      <c r="E521" s="34" t="s">
        <v>1450</v>
      </c>
      <c r="F521" s="34" t="n">
        <v>12</v>
      </c>
      <c r="G521" s="34" t="n">
        <v>2</v>
      </c>
      <c r="H521" s="40" t="n">
        <v>178.57</v>
      </c>
      <c r="I521" s="34" t="n">
        <v>0</v>
      </c>
      <c r="J521" s="34" t="n">
        <v>0</v>
      </c>
      <c r="K521" s="34" t="n">
        <v>0</v>
      </c>
      <c r="L521" s="34" t="n">
        <v>101.25</v>
      </c>
      <c r="M521" s="34" t="n">
        <v>101.25</v>
      </c>
      <c r="N521" s="34" t="n">
        <v>710</v>
      </c>
      <c r="O521" s="34" t="n">
        <v>0</v>
      </c>
      <c r="P521" s="34" t="s">
        <v>501</v>
      </c>
    </row>
    <row r="522" customFormat="false" ht="14.4" hidden="false" customHeight="false" outlineLevel="0" collapsed="false">
      <c r="A522" s="34" t="n">
        <v>521</v>
      </c>
      <c r="B522" s="35" t="n">
        <v>21813158000150</v>
      </c>
      <c r="C522" s="34" t="s">
        <v>1451</v>
      </c>
      <c r="D522" s="34" t="s">
        <v>604</v>
      </c>
      <c r="E522" s="34" t="s">
        <v>1452</v>
      </c>
      <c r="F522" s="34" t="n">
        <v>5</v>
      </c>
      <c r="G522" s="34" t="n">
        <v>1</v>
      </c>
      <c r="H522" s="40" t="n">
        <v>178.15</v>
      </c>
      <c r="I522" s="34" t="n">
        <v>0</v>
      </c>
      <c r="J522" s="34" t="n">
        <v>0</v>
      </c>
      <c r="K522" s="34" t="n">
        <v>0</v>
      </c>
      <c r="L522" s="34" t="n">
        <v>101.25</v>
      </c>
      <c r="M522" s="34" t="n">
        <v>101.25</v>
      </c>
      <c r="N522" s="34" t="n">
        <v>710</v>
      </c>
      <c r="O522" s="34" t="n">
        <v>0</v>
      </c>
      <c r="P522" s="34" t="s">
        <v>510</v>
      </c>
    </row>
    <row r="523" customFormat="false" ht="14.4" hidden="false" customHeight="false" outlineLevel="0" collapsed="false">
      <c r="A523" s="34" t="n">
        <v>522</v>
      </c>
      <c r="B523" s="35" t="n">
        <v>62202208000140</v>
      </c>
      <c r="C523" s="34" t="s">
        <v>1453</v>
      </c>
      <c r="D523" s="34" t="s">
        <v>1306</v>
      </c>
      <c r="E523" s="34" t="s">
        <v>1454</v>
      </c>
      <c r="F523" s="34" t="n">
        <v>3</v>
      </c>
      <c r="G523" s="34" t="n">
        <v>1</v>
      </c>
      <c r="H523" s="40" t="n">
        <v>177.88</v>
      </c>
      <c r="I523" s="34" t="n">
        <v>0</v>
      </c>
      <c r="J523" s="34" t="n">
        <v>0</v>
      </c>
      <c r="K523" s="34" t="n">
        <v>0</v>
      </c>
      <c r="L523" s="34" t="n">
        <v>101.26</v>
      </c>
      <c r="M523" s="34" t="n">
        <v>101.26</v>
      </c>
      <c r="N523" s="34" t="n">
        <v>800</v>
      </c>
      <c r="O523" s="34" t="n">
        <v>0</v>
      </c>
      <c r="P523" s="34" t="s">
        <v>501</v>
      </c>
    </row>
    <row r="524" customFormat="false" ht="14.4" hidden="false" customHeight="false" outlineLevel="0" collapsed="false">
      <c r="A524" s="34" t="n">
        <v>523</v>
      </c>
      <c r="B524" s="35" t="n">
        <v>30444208000160</v>
      </c>
      <c r="C524" s="34" t="s">
        <v>1455</v>
      </c>
      <c r="D524" s="34" t="s">
        <v>77</v>
      </c>
      <c r="E524" s="34" t="s">
        <v>1456</v>
      </c>
      <c r="F524" s="34" t="n">
        <v>6</v>
      </c>
      <c r="G524" s="34" t="n">
        <v>1</v>
      </c>
      <c r="H524" s="40" t="n">
        <v>176.76</v>
      </c>
      <c r="I524" s="34" t="n">
        <v>0</v>
      </c>
      <c r="J524" s="34" t="n">
        <v>0</v>
      </c>
      <c r="K524" s="34" t="n">
        <v>0</v>
      </c>
      <c r="L524" s="34" t="n">
        <v>101.26</v>
      </c>
      <c r="M524" s="34" t="n">
        <v>101.26</v>
      </c>
      <c r="N524" s="34" t="n">
        <v>757</v>
      </c>
      <c r="O524" s="34" t="n">
        <v>0</v>
      </c>
      <c r="P524" s="34" t="s">
        <v>501</v>
      </c>
    </row>
    <row r="525" customFormat="false" ht="14.4" hidden="false" customHeight="false" outlineLevel="0" collapsed="false">
      <c r="A525" s="34" t="n">
        <v>524</v>
      </c>
      <c r="B525" s="35" t="n">
        <v>37202868000184</v>
      </c>
      <c r="C525" s="34" t="s">
        <v>1457</v>
      </c>
      <c r="D525" s="34" t="s">
        <v>848</v>
      </c>
      <c r="E525" s="34" t="s">
        <v>1458</v>
      </c>
      <c r="F525" s="34" t="n">
        <v>1</v>
      </c>
      <c r="G525" s="34" t="n">
        <v>1</v>
      </c>
      <c r="H525" s="40" t="n">
        <v>174.55</v>
      </c>
      <c r="I525" s="34" t="n">
        <v>0</v>
      </c>
      <c r="J525" s="34" t="n">
        <v>0</v>
      </c>
      <c r="K525" s="34" t="n">
        <v>0</v>
      </c>
      <c r="L525" s="34" t="n">
        <v>101.26</v>
      </c>
      <c r="M525" s="34" t="n">
        <v>101.26</v>
      </c>
      <c r="N525" s="34" t="n">
        <v>712</v>
      </c>
      <c r="O525" s="34" t="n">
        <v>0</v>
      </c>
      <c r="P525" s="34" t="s">
        <v>510</v>
      </c>
    </row>
    <row r="526" customFormat="false" ht="14.4" hidden="false" customHeight="false" outlineLevel="0" collapsed="false">
      <c r="A526" s="34" t="n">
        <v>525</v>
      </c>
      <c r="B526" s="35" t="n">
        <v>24009541000149</v>
      </c>
      <c r="C526" s="34" t="s">
        <v>1459</v>
      </c>
      <c r="D526" s="34" t="s">
        <v>464</v>
      </c>
      <c r="E526" s="34" t="s">
        <v>1460</v>
      </c>
      <c r="F526" s="34" t="n">
        <v>2</v>
      </c>
      <c r="G526" s="34" t="n">
        <v>1</v>
      </c>
      <c r="H526" s="40" t="n">
        <v>171.65</v>
      </c>
      <c r="I526" s="34" t="n">
        <v>0</v>
      </c>
      <c r="J526" s="34" t="n">
        <v>0</v>
      </c>
      <c r="K526" s="34" t="n">
        <v>0</v>
      </c>
      <c r="L526" s="34" t="n">
        <v>101.27</v>
      </c>
      <c r="M526" s="34" t="n">
        <v>101.27</v>
      </c>
      <c r="N526" s="34" t="n">
        <v>712</v>
      </c>
      <c r="O526" s="34" t="n">
        <v>0</v>
      </c>
      <c r="P526" s="34" t="s">
        <v>510</v>
      </c>
    </row>
    <row r="527" customFormat="false" ht="14.4" hidden="false" customHeight="false" outlineLevel="0" collapsed="false">
      <c r="A527" s="34" t="n">
        <v>526</v>
      </c>
      <c r="B527" s="35" t="n">
        <v>36040465000113</v>
      </c>
      <c r="C527" s="34" t="s">
        <v>1461</v>
      </c>
      <c r="D527" s="34" t="s">
        <v>89</v>
      </c>
      <c r="E527" s="34" t="s">
        <v>1462</v>
      </c>
      <c r="F527" s="34" t="n">
        <v>4</v>
      </c>
      <c r="G527" s="34" t="n">
        <v>1</v>
      </c>
      <c r="H527" s="40" t="n">
        <v>171.28</v>
      </c>
      <c r="I527" s="34" t="n">
        <v>0</v>
      </c>
      <c r="J527" s="34" t="n">
        <v>0</v>
      </c>
      <c r="K527" s="34" t="n">
        <v>0</v>
      </c>
      <c r="L527" s="34" t="n">
        <v>101.27</v>
      </c>
      <c r="M527" s="34" t="n">
        <v>101.27</v>
      </c>
      <c r="N527" s="34" t="n">
        <v>711</v>
      </c>
      <c r="O527" s="34" t="n">
        <v>0</v>
      </c>
      <c r="P527" s="34" t="s">
        <v>518</v>
      </c>
    </row>
    <row r="528" customFormat="false" ht="14.4" hidden="false" customHeight="false" outlineLevel="0" collapsed="false">
      <c r="A528" s="34" t="n">
        <v>527</v>
      </c>
      <c r="B528" s="35" t="n">
        <v>38075613000160</v>
      </c>
      <c r="C528" s="34" t="s">
        <v>1463</v>
      </c>
      <c r="D528" s="34" t="s">
        <v>77</v>
      </c>
      <c r="E528" s="34" t="s">
        <v>1464</v>
      </c>
      <c r="F528" s="34" t="n">
        <v>8</v>
      </c>
      <c r="G528" s="34" t="n">
        <v>2</v>
      </c>
      <c r="H528" s="40" t="n">
        <v>170.88</v>
      </c>
      <c r="I528" s="34" t="n">
        <v>0</v>
      </c>
      <c r="J528" s="34" t="n">
        <v>0</v>
      </c>
      <c r="K528" s="34" t="n">
        <v>0</v>
      </c>
      <c r="L528" s="34" t="n">
        <v>101.28</v>
      </c>
      <c r="M528" s="34" t="n">
        <v>101.28</v>
      </c>
      <c r="N528" s="34" t="n">
        <v>759</v>
      </c>
      <c r="O528" s="34" t="n">
        <v>0</v>
      </c>
      <c r="P528" s="34" t="s">
        <v>518</v>
      </c>
    </row>
    <row r="529" customFormat="false" ht="14.4" hidden="false" customHeight="false" outlineLevel="0" collapsed="false">
      <c r="A529" s="34" t="n">
        <v>528</v>
      </c>
      <c r="B529" s="35" t="n">
        <v>29179390000190</v>
      </c>
      <c r="C529" s="34" t="s">
        <v>1465</v>
      </c>
      <c r="D529" s="34" t="s">
        <v>139</v>
      </c>
      <c r="E529" s="34" t="s">
        <v>1466</v>
      </c>
      <c r="F529" s="34" t="n">
        <v>7</v>
      </c>
      <c r="G529" s="34" t="n">
        <v>1</v>
      </c>
      <c r="H529" s="40" t="n">
        <v>165.48</v>
      </c>
      <c r="I529" s="34" t="n">
        <v>0</v>
      </c>
      <c r="J529" s="34" t="n">
        <v>0</v>
      </c>
      <c r="K529" s="34" t="n">
        <v>0</v>
      </c>
      <c r="L529" s="34" t="n">
        <v>101.28</v>
      </c>
      <c r="M529" s="34" t="n">
        <v>101.28</v>
      </c>
      <c r="N529" s="34" t="n">
        <v>214</v>
      </c>
      <c r="O529" s="34" t="n">
        <v>0</v>
      </c>
      <c r="P529" s="34" t="s">
        <v>518</v>
      </c>
    </row>
    <row r="530" customFormat="false" ht="14.4" hidden="false" customHeight="false" outlineLevel="0" collapsed="false">
      <c r="A530" s="34" t="n">
        <v>529</v>
      </c>
      <c r="B530" s="35" t="n">
        <v>60345590000116</v>
      </c>
      <c r="C530" s="34" t="s">
        <v>1467</v>
      </c>
      <c r="D530" s="34" t="s">
        <v>77</v>
      </c>
      <c r="E530" s="34" t="s">
        <v>1468</v>
      </c>
      <c r="F530" s="34" t="n">
        <v>5</v>
      </c>
      <c r="G530" s="34" t="n">
        <v>1</v>
      </c>
      <c r="H530" s="40" t="n">
        <v>164.31</v>
      </c>
      <c r="I530" s="34" t="n">
        <v>0</v>
      </c>
      <c r="J530" s="34" t="n">
        <v>0</v>
      </c>
      <c r="K530" s="34" t="n">
        <v>0</v>
      </c>
      <c r="L530" s="34" t="n">
        <v>101.28</v>
      </c>
      <c r="M530" s="34" t="n">
        <v>101.28</v>
      </c>
      <c r="N530" s="34" t="n">
        <v>757</v>
      </c>
      <c r="O530" s="34" t="n">
        <v>0</v>
      </c>
      <c r="P530" s="34" t="s">
        <v>501</v>
      </c>
    </row>
    <row r="531" customFormat="false" ht="14.4" hidden="false" customHeight="false" outlineLevel="0" collapsed="false">
      <c r="A531" s="34" t="n">
        <v>530</v>
      </c>
      <c r="B531" s="35" t="n">
        <v>46672965000121</v>
      </c>
      <c r="C531" s="34" t="s">
        <v>1469</v>
      </c>
      <c r="D531" s="34" t="s">
        <v>89</v>
      </c>
      <c r="E531" s="34" t="s">
        <v>1426</v>
      </c>
      <c r="F531" s="34" t="n">
        <v>5</v>
      </c>
      <c r="G531" s="34" t="n">
        <v>1</v>
      </c>
      <c r="H531" s="40" t="n">
        <v>163.78</v>
      </c>
      <c r="I531" s="34" t="n">
        <v>0</v>
      </c>
      <c r="J531" s="34" t="n">
        <v>0</v>
      </c>
      <c r="K531" s="34" t="n">
        <v>0</v>
      </c>
      <c r="L531" s="34" t="n">
        <v>101.29</v>
      </c>
      <c r="M531" s="34" t="n">
        <v>101.29</v>
      </c>
      <c r="N531" s="34" t="n">
        <v>711</v>
      </c>
      <c r="O531" s="34" t="n">
        <v>0</v>
      </c>
      <c r="P531" s="34" t="s">
        <v>776</v>
      </c>
    </row>
    <row r="532" customFormat="false" ht="14.4" hidden="false" customHeight="false" outlineLevel="0" collapsed="false">
      <c r="A532" s="34" t="n">
        <v>531</v>
      </c>
      <c r="B532" s="35" t="n">
        <v>55862568000103</v>
      </c>
      <c r="C532" s="34" t="s">
        <v>1470</v>
      </c>
      <c r="D532" s="34" t="s">
        <v>89</v>
      </c>
      <c r="E532" s="34" t="s">
        <v>1471</v>
      </c>
      <c r="F532" s="34" t="n">
        <v>2</v>
      </c>
      <c r="G532" s="34" t="n">
        <v>0</v>
      </c>
      <c r="H532" s="40" t="n">
        <v>162.31</v>
      </c>
      <c r="I532" s="34" t="n">
        <v>0</v>
      </c>
      <c r="J532" s="34" t="n">
        <v>0</v>
      </c>
      <c r="K532" s="34" t="n">
        <v>0</v>
      </c>
      <c r="L532" s="34" t="n">
        <v>101.29</v>
      </c>
      <c r="M532" s="34" t="n">
        <v>101.29</v>
      </c>
      <c r="N532" s="34" t="n">
        <v>711</v>
      </c>
      <c r="O532" s="34" t="n">
        <v>0</v>
      </c>
      <c r="P532" s="34" t="s">
        <v>510</v>
      </c>
    </row>
    <row r="533" customFormat="false" ht="14.4" hidden="false" customHeight="false" outlineLevel="0" collapsed="false">
      <c r="A533" s="34" t="n">
        <v>532</v>
      </c>
      <c r="B533" s="35" t="n">
        <v>11888978000158</v>
      </c>
      <c r="C533" s="34" t="s">
        <v>1472</v>
      </c>
      <c r="D533" s="34" t="s">
        <v>77</v>
      </c>
      <c r="E533" s="34" t="s">
        <v>1473</v>
      </c>
      <c r="F533" s="34" t="n">
        <v>8</v>
      </c>
      <c r="G533" s="34" t="n">
        <v>2</v>
      </c>
      <c r="H533" s="40" t="n">
        <v>161.86</v>
      </c>
      <c r="I533" s="34" t="n">
        <v>0</v>
      </c>
      <c r="J533" s="34" t="n">
        <v>0</v>
      </c>
      <c r="K533" s="34" t="n">
        <v>0</v>
      </c>
      <c r="L533" s="34" t="n">
        <v>101.29</v>
      </c>
      <c r="M533" s="34" t="n">
        <v>101.29</v>
      </c>
      <c r="N533" s="34" t="n">
        <v>757</v>
      </c>
      <c r="O533" s="34" t="n">
        <v>0</v>
      </c>
      <c r="P533" s="34" t="s">
        <v>776</v>
      </c>
    </row>
    <row r="534" customFormat="false" ht="14.4" hidden="false" customHeight="false" outlineLevel="0" collapsed="false">
      <c r="A534" s="34" t="n">
        <v>533</v>
      </c>
      <c r="B534" s="35" t="n">
        <v>3899663000188</v>
      </c>
      <c r="C534" s="34" t="s">
        <v>1474</v>
      </c>
      <c r="D534" s="34" t="s">
        <v>581</v>
      </c>
      <c r="E534" s="34" t="s">
        <v>1475</v>
      </c>
      <c r="F534" s="34" t="n">
        <v>1</v>
      </c>
      <c r="G534" s="34" t="n">
        <v>0</v>
      </c>
      <c r="H534" s="40" t="n">
        <v>161.73</v>
      </c>
      <c r="I534" s="34" t="n">
        <v>0</v>
      </c>
      <c r="J534" s="34" t="n">
        <v>0</v>
      </c>
      <c r="K534" s="34" t="n">
        <v>0</v>
      </c>
      <c r="L534" s="34" t="n">
        <v>101.3</v>
      </c>
      <c r="M534" s="34" t="n">
        <v>101.3</v>
      </c>
      <c r="N534" s="34" t="n">
        <v>710</v>
      </c>
      <c r="O534" s="34" t="n">
        <v>0</v>
      </c>
      <c r="P534" s="34" t="s">
        <v>510</v>
      </c>
    </row>
    <row r="535" customFormat="false" ht="14.4" hidden="false" customHeight="false" outlineLevel="0" collapsed="false">
      <c r="A535" s="34" t="n">
        <v>534</v>
      </c>
      <c r="B535" s="35" t="n">
        <v>27774673000155</v>
      </c>
      <c r="C535" s="34" t="s">
        <v>1476</v>
      </c>
      <c r="D535" s="34" t="s">
        <v>994</v>
      </c>
      <c r="E535" s="34" t="s">
        <v>1477</v>
      </c>
      <c r="F535" s="34" t="n">
        <v>5</v>
      </c>
      <c r="G535" s="34" t="n">
        <v>1</v>
      </c>
      <c r="H535" s="40" t="n">
        <v>160.85</v>
      </c>
      <c r="I535" s="34" t="n">
        <v>0</v>
      </c>
      <c r="J535" s="34" t="n">
        <v>0</v>
      </c>
      <c r="K535" s="34" t="n">
        <v>0</v>
      </c>
      <c r="L535" s="34" t="n">
        <v>101.3</v>
      </c>
      <c r="M535" s="34" t="n">
        <v>101.3</v>
      </c>
      <c r="N535" s="34" t="n">
        <v>716</v>
      </c>
      <c r="O535" s="34" t="n">
        <v>0</v>
      </c>
      <c r="P535" s="34" t="s">
        <v>518</v>
      </c>
    </row>
    <row r="536" customFormat="false" ht="14.4" hidden="false" customHeight="false" outlineLevel="0" collapsed="false">
      <c r="A536" s="34" t="n">
        <v>535</v>
      </c>
      <c r="B536" s="35" t="n">
        <v>20847236000256</v>
      </c>
      <c r="C536" s="34" t="s">
        <v>1478</v>
      </c>
      <c r="D536" s="34" t="s">
        <v>89</v>
      </c>
      <c r="E536" s="34" t="s">
        <v>1479</v>
      </c>
      <c r="F536" s="34" t="n">
        <v>4</v>
      </c>
      <c r="G536" s="34" t="n">
        <v>1</v>
      </c>
      <c r="H536" s="40" t="n">
        <v>160.67</v>
      </c>
      <c r="I536" s="34" t="n">
        <v>0</v>
      </c>
      <c r="J536" s="34" t="n">
        <v>0</v>
      </c>
      <c r="K536" s="34" t="n">
        <v>0</v>
      </c>
      <c r="L536" s="34" t="n">
        <v>101.3</v>
      </c>
      <c r="M536" s="34" t="n">
        <v>101.3</v>
      </c>
      <c r="N536" s="34" t="n">
        <v>711</v>
      </c>
      <c r="O536" s="34" t="n">
        <v>0</v>
      </c>
      <c r="P536" s="34" t="s">
        <v>518</v>
      </c>
    </row>
    <row r="537" customFormat="false" ht="14.4" hidden="false" customHeight="false" outlineLevel="0" collapsed="false">
      <c r="A537" s="34" t="n">
        <v>536</v>
      </c>
      <c r="B537" s="35" t="n">
        <v>45127766000170</v>
      </c>
      <c r="C537" s="34" t="s">
        <v>1480</v>
      </c>
      <c r="D537" s="34" t="s">
        <v>762</v>
      </c>
      <c r="E537" s="34" t="s">
        <v>526</v>
      </c>
      <c r="F537" s="34" t="n">
        <v>13</v>
      </c>
      <c r="G537" s="34" t="n">
        <v>2</v>
      </c>
      <c r="H537" s="40" t="n">
        <v>160.18</v>
      </c>
      <c r="I537" s="34" t="n">
        <v>0</v>
      </c>
      <c r="J537" s="34" t="n">
        <v>0</v>
      </c>
      <c r="K537" s="34" t="n">
        <v>0</v>
      </c>
      <c r="L537" s="34" t="n">
        <v>101.31</v>
      </c>
      <c r="M537" s="34" t="n">
        <v>101.31</v>
      </c>
      <c r="N537" s="34" t="n">
        <v>710</v>
      </c>
      <c r="O537" s="34" t="n">
        <v>0</v>
      </c>
      <c r="P537" s="34" t="s">
        <v>501</v>
      </c>
    </row>
    <row r="538" customFormat="false" ht="14.4" hidden="false" customHeight="false" outlineLevel="0" collapsed="false">
      <c r="A538" s="34" t="n">
        <v>537</v>
      </c>
      <c r="B538" s="35" t="n">
        <v>2766915000138</v>
      </c>
      <c r="C538" s="34" t="s">
        <v>1481</v>
      </c>
      <c r="D538" s="34" t="s">
        <v>463</v>
      </c>
      <c r="E538" s="34" t="s">
        <v>1482</v>
      </c>
      <c r="F538" s="34" t="n">
        <v>9</v>
      </c>
      <c r="G538" s="34" t="n">
        <v>2</v>
      </c>
      <c r="H538" s="40" t="n">
        <v>159.82</v>
      </c>
      <c r="I538" s="34" t="n">
        <v>0</v>
      </c>
      <c r="J538" s="34" t="n">
        <v>0</v>
      </c>
      <c r="K538" s="34" t="n">
        <v>0</v>
      </c>
      <c r="L538" s="34" t="n">
        <v>101.31</v>
      </c>
      <c r="M538" s="34" t="n">
        <v>101.31</v>
      </c>
      <c r="N538" s="34" t="n">
        <v>712</v>
      </c>
      <c r="O538" s="34" t="n">
        <v>0</v>
      </c>
      <c r="P538" s="34" t="s">
        <v>510</v>
      </c>
    </row>
    <row r="539" customFormat="false" ht="14.4" hidden="false" customHeight="false" outlineLevel="0" collapsed="false">
      <c r="A539" s="34" t="n">
        <v>538</v>
      </c>
      <c r="B539" s="35" t="n">
        <v>31140112000171</v>
      </c>
      <c r="C539" s="34" t="s">
        <v>1483</v>
      </c>
      <c r="D539" s="34" t="s">
        <v>77</v>
      </c>
      <c r="E539" s="34" t="s">
        <v>1484</v>
      </c>
      <c r="F539" s="34" t="n">
        <v>13</v>
      </c>
      <c r="G539" s="34" t="n">
        <v>2</v>
      </c>
      <c r="H539" s="40" t="n">
        <v>159.47</v>
      </c>
      <c r="I539" s="34" t="n">
        <v>0</v>
      </c>
      <c r="J539" s="34" t="n">
        <v>0</v>
      </c>
      <c r="K539" s="34" t="n">
        <v>0</v>
      </c>
      <c r="L539" s="34" t="n">
        <v>101.31</v>
      </c>
      <c r="M539" s="34" t="n">
        <v>101.31</v>
      </c>
      <c r="N539" s="34" t="n">
        <v>800</v>
      </c>
      <c r="O539" s="34" t="n">
        <v>0</v>
      </c>
      <c r="P539" s="34" t="s">
        <v>518</v>
      </c>
    </row>
    <row r="540" customFormat="false" ht="14.4" hidden="false" customHeight="false" outlineLevel="0" collapsed="false">
      <c r="A540" s="34" t="n">
        <v>539</v>
      </c>
      <c r="B540" s="35" t="n">
        <v>31544857000104</v>
      </c>
      <c r="C540" s="34" t="s">
        <v>1485</v>
      </c>
      <c r="D540" s="34" t="s">
        <v>357</v>
      </c>
      <c r="E540" s="34" t="s">
        <v>1486</v>
      </c>
      <c r="F540" s="34" t="n">
        <v>2</v>
      </c>
      <c r="G540" s="34" t="n">
        <v>0</v>
      </c>
      <c r="H540" s="40" t="n">
        <v>159.12</v>
      </c>
      <c r="I540" s="34" t="n">
        <v>0</v>
      </c>
      <c r="J540" s="34" t="n">
        <v>0</v>
      </c>
      <c r="K540" s="34" t="n">
        <v>0</v>
      </c>
      <c r="L540" s="34" t="n">
        <v>101.32</v>
      </c>
      <c r="M540" s="34" t="n">
        <v>101.32</v>
      </c>
      <c r="N540" s="34" t="n">
        <v>708</v>
      </c>
      <c r="O540" s="34" t="n">
        <v>0</v>
      </c>
      <c r="P540" s="34" t="s">
        <v>834</v>
      </c>
    </row>
    <row r="541" customFormat="false" ht="14.4" hidden="false" customHeight="false" outlineLevel="0" collapsed="false">
      <c r="A541" s="34" t="n">
        <v>540</v>
      </c>
      <c r="B541" s="35" t="n">
        <v>2255020000139</v>
      </c>
      <c r="C541" s="34" t="s">
        <v>1487</v>
      </c>
      <c r="D541" s="34" t="s">
        <v>598</v>
      </c>
      <c r="E541" s="34" t="s">
        <v>1488</v>
      </c>
      <c r="F541" s="34" t="n">
        <v>6</v>
      </c>
      <c r="G541" s="34" t="n">
        <v>1</v>
      </c>
      <c r="H541" s="40" t="n">
        <v>156.89</v>
      </c>
      <c r="I541" s="34" t="n">
        <v>0</v>
      </c>
      <c r="J541" s="34" t="n">
        <v>0</v>
      </c>
      <c r="K541" s="34" t="n">
        <v>0</v>
      </c>
      <c r="L541" s="34" t="n">
        <v>101.32</v>
      </c>
      <c r="M541" s="34" t="n">
        <v>101.32</v>
      </c>
      <c r="N541" s="34" t="n">
        <v>711</v>
      </c>
      <c r="O541" s="34" t="n">
        <v>0</v>
      </c>
      <c r="P541" s="34" t="s">
        <v>776</v>
      </c>
    </row>
    <row r="542" customFormat="false" ht="14.4" hidden="false" customHeight="false" outlineLevel="0" collapsed="false">
      <c r="A542" s="34" t="n">
        <v>541</v>
      </c>
      <c r="B542" s="35" t="n">
        <v>41388980000129</v>
      </c>
      <c r="C542" s="34" t="s">
        <v>1489</v>
      </c>
      <c r="D542" s="34" t="s">
        <v>77</v>
      </c>
      <c r="E542" s="34" t="s">
        <v>1490</v>
      </c>
      <c r="F542" s="34" t="n">
        <v>3</v>
      </c>
      <c r="G542" s="34" t="n">
        <v>0</v>
      </c>
      <c r="H542" s="40" t="n">
        <v>156.42</v>
      </c>
      <c r="I542" s="34" t="n">
        <v>0</v>
      </c>
      <c r="J542" s="34" t="n">
        <v>0</v>
      </c>
      <c r="K542" s="34" t="n">
        <v>0</v>
      </c>
      <c r="L542" s="34" t="n">
        <v>101.32</v>
      </c>
      <c r="M542" s="34" t="n">
        <v>101.32</v>
      </c>
      <c r="N542" s="34" t="n">
        <v>130</v>
      </c>
      <c r="O542" s="34" t="n">
        <v>0</v>
      </c>
      <c r="P542" s="34" t="s">
        <v>776</v>
      </c>
    </row>
    <row r="543" customFormat="false" ht="14.4" hidden="false" customHeight="false" outlineLevel="0" collapsed="false">
      <c r="A543" s="34" t="n">
        <v>542</v>
      </c>
      <c r="B543" s="35" t="n">
        <v>46467233000108</v>
      </c>
      <c r="C543" s="34" t="s">
        <v>1491</v>
      </c>
      <c r="D543" s="34" t="s">
        <v>77</v>
      </c>
      <c r="E543" s="34" t="s">
        <v>1492</v>
      </c>
      <c r="F543" s="34" t="n">
        <v>3</v>
      </c>
      <c r="G543" s="34" t="n">
        <v>1</v>
      </c>
      <c r="H543" s="40" t="n">
        <v>151.71</v>
      </c>
      <c r="I543" s="34" t="n">
        <v>0</v>
      </c>
      <c r="J543" s="34" t="n">
        <v>0</v>
      </c>
      <c r="K543" s="34" t="n">
        <v>0</v>
      </c>
      <c r="L543" s="34" t="n">
        <v>101.33</v>
      </c>
      <c r="M543" s="34" t="n">
        <v>101.33</v>
      </c>
      <c r="N543" s="34" t="n">
        <v>130</v>
      </c>
      <c r="O543" s="34" t="n">
        <v>0</v>
      </c>
      <c r="P543" s="34" t="s">
        <v>510</v>
      </c>
    </row>
    <row r="544" customFormat="false" ht="14.4" hidden="false" customHeight="false" outlineLevel="0" collapsed="false">
      <c r="A544" s="34" t="n">
        <v>543</v>
      </c>
      <c r="B544" s="35" t="n">
        <v>28747064000170</v>
      </c>
      <c r="C544" s="34" t="s">
        <v>1493</v>
      </c>
      <c r="D544" s="34" t="s">
        <v>598</v>
      </c>
      <c r="E544" s="34" t="s">
        <v>1494</v>
      </c>
      <c r="F544" s="34" t="n">
        <v>3</v>
      </c>
      <c r="G544" s="34" t="n">
        <v>1</v>
      </c>
      <c r="H544" s="40" t="n">
        <v>145.28</v>
      </c>
      <c r="I544" s="34" t="n">
        <v>0</v>
      </c>
      <c r="J544" s="34" t="n">
        <v>0</v>
      </c>
      <c r="K544" s="34" t="n">
        <v>0</v>
      </c>
      <c r="L544" s="34" t="n">
        <v>101.33</v>
      </c>
      <c r="M544" s="34" t="n">
        <v>101.33</v>
      </c>
      <c r="N544" s="34" t="n">
        <v>711</v>
      </c>
      <c r="O544" s="34" t="n">
        <v>0</v>
      </c>
      <c r="P544" s="34" t="s">
        <v>776</v>
      </c>
    </row>
    <row r="545" customFormat="false" ht="14.4" hidden="false" customHeight="false" outlineLevel="0" collapsed="false">
      <c r="A545" s="34" t="n">
        <v>544</v>
      </c>
      <c r="B545" s="35" t="n">
        <v>54915982000170</v>
      </c>
      <c r="C545" s="34" t="s">
        <v>1495</v>
      </c>
      <c r="D545" s="34" t="s">
        <v>89</v>
      </c>
      <c r="E545" s="34" t="s">
        <v>1496</v>
      </c>
      <c r="F545" s="34" t="n">
        <v>4</v>
      </c>
      <c r="G545" s="34" t="n">
        <v>0</v>
      </c>
      <c r="H545" s="40" t="n">
        <v>143.66</v>
      </c>
      <c r="I545" s="34" t="n">
        <v>0</v>
      </c>
      <c r="J545" s="34" t="n">
        <v>0</v>
      </c>
      <c r="K545" s="34" t="n">
        <v>0</v>
      </c>
      <c r="L545" s="34" t="n">
        <v>101.33</v>
      </c>
      <c r="M545" s="34" t="n">
        <v>101.33</v>
      </c>
      <c r="N545" s="34" t="n">
        <v>711</v>
      </c>
      <c r="O545" s="34" t="n">
        <v>0</v>
      </c>
      <c r="P545" s="34" t="s">
        <v>518</v>
      </c>
    </row>
    <row r="546" customFormat="false" ht="14.4" hidden="false" customHeight="false" outlineLevel="0" collapsed="false">
      <c r="A546" s="34" t="n">
        <v>545</v>
      </c>
      <c r="B546" s="35" t="n">
        <v>45118702000102</v>
      </c>
      <c r="C546" s="34" t="s">
        <v>1497</v>
      </c>
      <c r="D546" s="34" t="s">
        <v>299</v>
      </c>
      <c r="E546" s="34" t="s">
        <v>526</v>
      </c>
      <c r="F546" s="34" t="n">
        <v>13</v>
      </c>
      <c r="G546" s="34" t="n">
        <v>2</v>
      </c>
      <c r="H546" s="40" t="n">
        <v>143.29</v>
      </c>
      <c r="I546" s="34" t="n">
        <v>0</v>
      </c>
      <c r="J546" s="34" t="n">
        <v>0</v>
      </c>
      <c r="K546" s="34" t="n">
        <v>0</v>
      </c>
      <c r="L546" s="34" t="n">
        <v>101.34</v>
      </c>
      <c r="M546" s="34" t="n">
        <v>101.34</v>
      </c>
      <c r="N546" s="34" t="n">
        <v>710</v>
      </c>
      <c r="O546" s="34" t="n">
        <v>0</v>
      </c>
      <c r="P546" s="34" t="s">
        <v>518</v>
      </c>
    </row>
    <row r="547" customFormat="false" ht="14.4" hidden="false" customHeight="false" outlineLevel="0" collapsed="false">
      <c r="A547" s="34" t="n">
        <v>546</v>
      </c>
      <c r="B547" s="35" t="n">
        <v>25125696000103</v>
      </c>
      <c r="C547" s="34" t="s">
        <v>1498</v>
      </c>
      <c r="D547" s="34" t="s">
        <v>89</v>
      </c>
      <c r="E547" s="34" t="s">
        <v>1499</v>
      </c>
      <c r="F547" s="34" t="n">
        <v>6</v>
      </c>
      <c r="G547" s="34" t="n">
        <v>1</v>
      </c>
      <c r="H547" s="40" t="n">
        <v>142.45</v>
      </c>
      <c r="I547" s="34" t="n">
        <v>0</v>
      </c>
      <c r="J547" s="34" t="n">
        <v>0</v>
      </c>
      <c r="K547" s="34" t="n">
        <v>0</v>
      </c>
      <c r="L547" s="34" t="n">
        <v>101.34</v>
      </c>
      <c r="M547" s="34" t="n">
        <v>101.34</v>
      </c>
      <c r="N547" s="34" t="n">
        <v>711</v>
      </c>
      <c r="O547" s="34" t="n">
        <v>0</v>
      </c>
      <c r="P547" s="34" t="s">
        <v>518</v>
      </c>
    </row>
    <row r="548" customFormat="false" ht="14.4" hidden="false" customHeight="false" outlineLevel="0" collapsed="false">
      <c r="A548" s="34" t="n">
        <v>547</v>
      </c>
      <c r="B548" s="35" t="n">
        <v>13660845000155</v>
      </c>
      <c r="C548" s="34" t="s">
        <v>1500</v>
      </c>
      <c r="D548" s="34" t="s">
        <v>737</v>
      </c>
      <c r="E548" s="34" t="s">
        <v>1501</v>
      </c>
      <c r="F548" s="34" t="n">
        <v>3</v>
      </c>
      <c r="G548" s="34" t="n">
        <v>0</v>
      </c>
      <c r="H548" s="40" t="n">
        <v>142.36</v>
      </c>
      <c r="I548" s="34" t="n">
        <v>0</v>
      </c>
      <c r="J548" s="34" t="n">
        <v>0</v>
      </c>
      <c r="K548" s="34" t="n">
        <v>0</v>
      </c>
      <c r="L548" s="34" t="n">
        <v>101.34</v>
      </c>
      <c r="M548" s="34" t="n">
        <v>101.34</v>
      </c>
      <c r="N548" s="34" t="n">
        <v>716</v>
      </c>
      <c r="O548" s="34" t="n">
        <v>0</v>
      </c>
      <c r="P548" s="34" t="s">
        <v>510</v>
      </c>
    </row>
    <row r="549" customFormat="false" ht="14.4" hidden="false" customHeight="false" outlineLevel="0" collapsed="false">
      <c r="A549" s="34" t="n">
        <v>548</v>
      </c>
      <c r="B549" s="35" t="n">
        <v>53613046000142</v>
      </c>
      <c r="C549" s="34" t="s">
        <v>1502</v>
      </c>
      <c r="D549" s="34" t="s">
        <v>77</v>
      </c>
      <c r="E549" s="34" t="s">
        <v>1503</v>
      </c>
      <c r="F549" s="34" t="n">
        <v>3</v>
      </c>
      <c r="G549" s="34" t="n">
        <v>0</v>
      </c>
      <c r="H549" s="40" t="n">
        <v>141.57</v>
      </c>
      <c r="I549" s="34" t="n">
        <v>0</v>
      </c>
      <c r="J549" s="34" t="n">
        <v>0</v>
      </c>
      <c r="K549" s="34" t="n">
        <v>0</v>
      </c>
      <c r="L549" s="34" t="n">
        <v>101.35</v>
      </c>
      <c r="M549" s="34" t="n">
        <v>101.35</v>
      </c>
      <c r="N549" s="34" t="n">
        <v>800</v>
      </c>
      <c r="O549" s="34" t="n">
        <v>0</v>
      </c>
      <c r="P549" s="34" t="s">
        <v>844</v>
      </c>
    </row>
    <row r="550" customFormat="false" ht="14.4" hidden="false" customHeight="false" outlineLevel="0" collapsed="false">
      <c r="A550" s="34" t="n">
        <v>549</v>
      </c>
      <c r="B550" s="35" t="n">
        <v>506809000190</v>
      </c>
      <c r="C550" s="34" t="s">
        <v>1504</v>
      </c>
      <c r="D550" s="34" t="s">
        <v>77</v>
      </c>
      <c r="E550" s="34" t="s">
        <v>1505</v>
      </c>
      <c r="F550" s="34" t="n">
        <v>2</v>
      </c>
      <c r="G550" s="34" t="n">
        <v>0</v>
      </c>
      <c r="H550" s="40" t="n">
        <v>140.62</v>
      </c>
      <c r="I550" s="34" t="n">
        <v>0</v>
      </c>
      <c r="J550" s="34" t="n">
        <v>0</v>
      </c>
      <c r="K550" s="34" t="n">
        <v>0</v>
      </c>
      <c r="L550" s="34" t="n">
        <v>101.35</v>
      </c>
      <c r="M550" s="34" t="n">
        <v>101.35</v>
      </c>
      <c r="N550" s="34" t="n">
        <v>800</v>
      </c>
      <c r="O550" s="34" t="n">
        <v>0</v>
      </c>
      <c r="P550" s="34" t="s">
        <v>501</v>
      </c>
    </row>
    <row r="551" customFormat="false" ht="14.4" hidden="false" customHeight="false" outlineLevel="0" collapsed="false">
      <c r="A551" s="34" t="n">
        <v>550</v>
      </c>
      <c r="B551" s="35" t="n">
        <v>506809000270</v>
      </c>
      <c r="C551" s="34" t="s">
        <v>1506</v>
      </c>
      <c r="D551" s="34" t="s">
        <v>77</v>
      </c>
      <c r="E551" s="34" t="s">
        <v>1507</v>
      </c>
      <c r="F551" s="34" t="n">
        <v>2</v>
      </c>
      <c r="G551" s="34" t="n">
        <v>0</v>
      </c>
      <c r="H551" s="40" t="n">
        <v>140.62</v>
      </c>
      <c r="I551" s="34" t="n">
        <v>0</v>
      </c>
      <c r="J551" s="34" t="n">
        <v>0</v>
      </c>
      <c r="K551" s="34" t="n">
        <v>0</v>
      </c>
      <c r="L551" s="34" t="n">
        <v>101.35</v>
      </c>
      <c r="M551" s="34" t="n">
        <v>101.35</v>
      </c>
      <c r="N551" s="34" t="n">
        <v>800</v>
      </c>
      <c r="O551" s="34" t="n">
        <v>0</v>
      </c>
      <c r="P551" s="34" t="s">
        <v>518</v>
      </c>
    </row>
    <row r="552" customFormat="false" ht="14.4" hidden="false" customHeight="false" outlineLevel="0" collapsed="false">
      <c r="A552" s="34" t="n">
        <v>551</v>
      </c>
      <c r="B552" s="35" t="n">
        <v>4707705000447</v>
      </c>
      <c r="C552" s="34" t="s">
        <v>1508</v>
      </c>
      <c r="D552" s="34" t="s">
        <v>77</v>
      </c>
      <c r="E552" s="34" t="s">
        <v>1509</v>
      </c>
      <c r="F552" s="34" t="n">
        <v>2</v>
      </c>
      <c r="G552" s="34" t="n">
        <v>1</v>
      </c>
      <c r="H552" s="40" t="n">
        <v>139.03</v>
      </c>
      <c r="I552" s="34" t="n">
        <v>0</v>
      </c>
      <c r="J552" s="34" t="n">
        <v>0</v>
      </c>
      <c r="K552" s="34" t="n">
        <v>0</v>
      </c>
      <c r="L552" s="34" t="n">
        <v>101.36</v>
      </c>
      <c r="M552" s="34" t="n">
        <v>101.36</v>
      </c>
      <c r="N552" s="34" t="n">
        <v>800</v>
      </c>
      <c r="O552" s="34" t="n">
        <v>0</v>
      </c>
      <c r="P552" s="34" t="s">
        <v>844</v>
      </c>
    </row>
    <row r="553" customFormat="false" ht="14.4" hidden="false" customHeight="false" outlineLevel="0" collapsed="false">
      <c r="A553" s="34" t="n">
        <v>552</v>
      </c>
      <c r="B553" s="35" t="n">
        <v>4707705000870</v>
      </c>
      <c r="C553" s="34" t="s">
        <v>1510</v>
      </c>
      <c r="D553" s="34" t="s">
        <v>77</v>
      </c>
      <c r="E553" s="34" t="s">
        <v>1511</v>
      </c>
      <c r="F553" s="34" t="n">
        <v>2</v>
      </c>
      <c r="G553" s="34" t="n">
        <v>1</v>
      </c>
      <c r="H553" s="40" t="n">
        <v>139.03</v>
      </c>
      <c r="I553" s="34" t="n">
        <v>0</v>
      </c>
      <c r="J553" s="34" t="n">
        <v>0</v>
      </c>
      <c r="K553" s="34" t="n">
        <v>0</v>
      </c>
      <c r="L553" s="34" t="n">
        <v>101.36</v>
      </c>
      <c r="M553" s="34" t="n">
        <v>101.36</v>
      </c>
      <c r="N553" s="34" t="n">
        <v>800</v>
      </c>
      <c r="O553" s="34" t="n">
        <v>0</v>
      </c>
      <c r="P553" s="34" t="s">
        <v>844</v>
      </c>
    </row>
    <row r="554" customFormat="false" ht="14.4" hidden="false" customHeight="false" outlineLevel="0" collapsed="false">
      <c r="A554" s="34" t="n">
        <v>553</v>
      </c>
      <c r="B554" s="35" t="n">
        <v>33249563000177</v>
      </c>
      <c r="C554" s="34" t="s">
        <v>1431</v>
      </c>
      <c r="D554" s="34" t="s">
        <v>197</v>
      </c>
      <c r="E554" s="34" t="s">
        <v>1512</v>
      </c>
      <c r="F554" s="34" t="n">
        <v>2</v>
      </c>
      <c r="G554" s="34" t="n">
        <v>0</v>
      </c>
      <c r="H554" s="40" t="n">
        <v>137.86</v>
      </c>
      <c r="I554" s="34" t="n">
        <v>0</v>
      </c>
      <c r="J554" s="34" t="n">
        <v>0</v>
      </c>
      <c r="K554" s="34" t="n">
        <v>0</v>
      </c>
      <c r="L554" s="34" t="n">
        <v>101.36</v>
      </c>
      <c r="M554" s="34" t="n">
        <v>101.36</v>
      </c>
      <c r="N554" s="34" t="n">
        <v>703</v>
      </c>
      <c r="O554" s="34" t="n">
        <v>0</v>
      </c>
      <c r="P554" s="34" t="s">
        <v>844</v>
      </c>
    </row>
    <row r="555" customFormat="false" ht="14.4" hidden="false" customHeight="false" outlineLevel="0" collapsed="false">
      <c r="A555" s="34" t="n">
        <v>554</v>
      </c>
      <c r="B555" s="35" t="n">
        <v>2466858000333</v>
      </c>
      <c r="C555" s="34" t="s">
        <v>1130</v>
      </c>
      <c r="D555" s="34" t="s">
        <v>1513</v>
      </c>
      <c r="E555" s="34" t="s">
        <v>1514</v>
      </c>
      <c r="F555" s="34" t="n">
        <v>3</v>
      </c>
      <c r="G555" s="34" t="n">
        <v>1</v>
      </c>
      <c r="H555" s="40" t="n">
        <v>137.04</v>
      </c>
      <c r="I555" s="34" t="n">
        <v>0</v>
      </c>
      <c r="J555" s="34" t="n">
        <v>0</v>
      </c>
      <c r="K555" s="34" t="n">
        <v>0</v>
      </c>
      <c r="L555" s="34" t="n">
        <v>101.36</v>
      </c>
      <c r="M555" s="34" t="n">
        <v>101.36</v>
      </c>
      <c r="N555" s="34" t="n">
        <v>709</v>
      </c>
      <c r="O555" s="34" t="n">
        <v>0</v>
      </c>
      <c r="P555" s="34" t="s">
        <v>501</v>
      </c>
    </row>
    <row r="556" customFormat="false" ht="14.4" hidden="false" customHeight="false" outlineLevel="0" collapsed="false">
      <c r="A556" s="34" t="n">
        <v>555</v>
      </c>
      <c r="B556" s="35" t="n">
        <v>2067722000199</v>
      </c>
      <c r="C556" s="34" t="s">
        <v>1515</v>
      </c>
      <c r="D556" s="34" t="s">
        <v>103</v>
      </c>
      <c r="E556" s="34" t="s">
        <v>1516</v>
      </c>
      <c r="F556" s="34" t="n">
        <v>3</v>
      </c>
      <c r="G556" s="34" t="n">
        <v>0</v>
      </c>
      <c r="H556" s="40" t="n">
        <v>135.58</v>
      </c>
      <c r="I556" s="34" t="n">
        <v>0</v>
      </c>
      <c r="J556" s="34" t="n">
        <v>0</v>
      </c>
      <c r="K556" s="34" t="n">
        <v>0</v>
      </c>
      <c r="L556" s="34" t="n">
        <v>101.37</v>
      </c>
      <c r="M556" s="34" t="n">
        <v>101.37</v>
      </c>
      <c r="N556" s="34" t="n">
        <v>715</v>
      </c>
      <c r="O556" s="34" t="n">
        <v>0</v>
      </c>
      <c r="P556" s="34" t="s">
        <v>518</v>
      </c>
    </row>
    <row r="557" customFormat="false" ht="14.4" hidden="false" customHeight="false" outlineLevel="0" collapsed="false">
      <c r="A557" s="34" t="n">
        <v>556</v>
      </c>
      <c r="B557" s="35" t="n">
        <v>43925806000101</v>
      </c>
      <c r="C557" s="34" t="s">
        <v>1517</v>
      </c>
      <c r="D557" s="34" t="s">
        <v>548</v>
      </c>
      <c r="E557" s="34" t="s">
        <v>1518</v>
      </c>
      <c r="F557" s="34" t="n">
        <v>0</v>
      </c>
      <c r="G557" s="34" t="n">
        <v>0</v>
      </c>
      <c r="H557" s="40" t="n">
        <v>132.89</v>
      </c>
      <c r="I557" s="34" t="n">
        <v>0</v>
      </c>
      <c r="J557" s="34" t="n">
        <v>0</v>
      </c>
      <c r="K557" s="34" t="n">
        <v>0</v>
      </c>
      <c r="L557" s="34" t="n">
        <v>101.37</v>
      </c>
      <c r="M557" s="34" t="n">
        <v>101.37</v>
      </c>
      <c r="N557" s="34" t="n">
        <v>708</v>
      </c>
      <c r="O557" s="34" t="n">
        <v>0</v>
      </c>
      <c r="P557" s="34" t="s">
        <v>1135</v>
      </c>
    </row>
    <row r="558" customFormat="false" ht="14.4" hidden="false" customHeight="false" outlineLevel="0" collapsed="false">
      <c r="A558" s="34" t="n">
        <v>557</v>
      </c>
      <c r="B558" s="35" t="n">
        <v>27117047000196</v>
      </c>
      <c r="C558" s="34" t="s">
        <v>1519</v>
      </c>
      <c r="D558" s="34" t="s">
        <v>89</v>
      </c>
      <c r="E558" s="34" t="s">
        <v>1520</v>
      </c>
      <c r="F558" s="34" t="n">
        <v>3</v>
      </c>
      <c r="G558" s="34" t="n">
        <v>1</v>
      </c>
      <c r="H558" s="40" t="n">
        <v>128.77</v>
      </c>
      <c r="I558" s="34" t="n">
        <v>0</v>
      </c>
      <c r="J558" s="34" t="n">
        <v>0</v>
      </c>
      <c r="K558" s="34" t="n">
        <v>0</v>
      </c>
      <c r="L558" s="34" t="n">
        <v>101.37</v>
      </c>
      <c r="M558" s="34" t="n">
        <v>101.37</v>
      </c>
      <c r="N558" s="34" t="n">
        <v>711</v>
      </c>
      <c r="O558" s="34" t="n">
        <v>0</v>
      </c>
      <c r="P558" s="34" t="s">
        <v>518</v>
      </c>
    </row>
    <row r="559" customFormat="false" ht="14.4" hidden="false" customHeight="false" outlineLevel="0" collapsed="false">
      <c r="A559" s="34" t="n">
        <v>558</v>
      </c>
      <c r="B559" s="35" t="n">
        <v>16652651000104</v>
      </c>
      <c r="C559" s="34" t="s">
        <v>1521</v>
      </c>
      <c r="D559" s="34" t="s">
        <v>336</v>
      </c>
      <c r="E559" s="34" t="s">
        <v>1522</v>
      </c>
      <c r="F559" s="34" t="n">
        <v>0</v>
      </c>
      <c r="G559" s="34" t="n">
        <v>1</v>
      </c>
      <c r="H559" s="40" t="n">
        <v>128.32</v>
      </c>
      <c r="I559" s="34" t="n">
        <v>0</v>
      </c>
      <c r="J559" s="34" t="n">
        <v>0</v>
      </c>
      <c r="K559" s="34" t="n">
        <v>0</v>
      </c>
      <c r="L559" s="34" t="n">
        <v>101.38</v>
      </c>
      <c r="M559" s="34" t="n">
        <v>101.38</v>
      </c>
      <c r="N559" s="34" t="n">
        <v>705</v>
      </c>
      <c r="O559" s="34" t="n">
        <v>0</v>
      </c>
      <c r="P559" s="34" t="s">
        <v>510</v>
      </c>
    </row>
    <row r="560" customFormat="false" ht="14.4" hidden="false" customHeight="false" outlineLevel="0" collapsed="false">
      <c r="A560" s="34" t="n">
        <v>559</v>
      </c>
      <c r="B560" s="35" t="n">
        <v>35500744000150</v>
      </c>
      <c r="C560" s="34" t="s">
        <v>1523</v>
      </c>
      <c r="D560" s="34" t="s">
        <v>89</v>
      </c>
      <c r="E560" s="34" t="s">
        <v>1524</v>
      </c>
      <c r="F560" s="34" t="n">
        <v>6</v>
      </c>
      <c r="G560" s="34" t="n">
        <v>3</v>
      </c>
      <c r="H560" s="40" t="n">
        <v>127.8</v>
      </c>
      <c r="I560" s="34" t="n">
        <v>0</v>
      </c>
      <c r="J560" s="34" t="n">
        <v>0.01</v>
      </c>
      <c r="K560" s="34" t="n">
        <v>0</v>
      </c>
      <c r="L560" s="34" t="n">
        <v>101.38</v>
      </c>
      <c r="M560" s="34" t="n">
        <v>101.38</v>
      </c>
      <c r="N560" s="34" t="n">
        <v>711</v>
      </c>
      <c r="O560" s="34" t="n">
        <v>0</v>
      </c>
      <c r="P560" s="34" t="s">
        <v>510</v>
      </c>
    </row>
    <row r="561" customFormat="false" ht="14.4" hidden="false" customHeight="false" outlineLevel="0" collapsed="false">
      <c r="A561" s="34" t="n">
        <v>560</v>
      </c>
      <c r="B561" s="35" t="n">
        <v>17556468000160</v>
      </c>
      <c r="C561" s="34" t="s">
        <v>1525</v>
      </c>
      <c r="D561" s="34" t="s">
        <v>77</v>
      </c>
      <c r="E561" s="34" t="s">
        <v>1526</v>
      </c>
      <c r="F561" s="34" t="n">
        <v>7</v>
      </c>
      <c r="G561" s="34" t="n">
        <v>3</v>
      </c>
      <c r="H561" s="40" t="n">
        <v>127.7</v>
      </c>
      <c r="I561" s="34" t="n">
        <v>0</v>
      </c>
      <c r="J561" s="34" t="n">
        <v>0.01</v>
      </c>
      <c r="K561" s="34" t="n">
        <v>0</v>
      </c>
      <c r="L561" s="34" t="n">
        <v>101.38</v>
      </c>
      <c r="M561" s="34" t="n">
        <v>101.38</v>
      </c>
      <c r="N561" s="34" t="n">
        <v>135</v>
      </c>
      <c r="O561" s="34" t="n">
        <v>0</v>
      </c>
      <c r="P561" s="34" t="s">
        <v>776</v>
      </c>
    </row>
    <row r="562" customFormat="false" ht="14.4" hidden="false" customHeight="false" outlineLevel="0" collapsed="false">
      <c r="A562" s="34" t="n">
        <v>561</v>
      </c>
      <c r="B562" s="35" t="n">
        <v>20064302000130</v>
      </c>
      <c r="C562" s="34" t="s">
        <v>329</v>
      </c>
      <c r="D562" s="34" t="s">
        <v>336</v>
      </c>
      <c r="E562" s="34" t="s">
        <v>1527</v>
      </c>
      <c r="F562" s="34" t="n">
        <v>2</v>
      </c>
      <c r="G562" s="34" t="n">
        <v>1</v>
      </c>
      <c r="H562" s="40" t="n">
        <v>125.86</v>
      </c>
      <c r="I562" s="34" t="n">
        <v>0</v>
      </c>
      <c r="J562" s="34" t="n">
        <v>0</v>
      </c>
      <c r="K562" s="34" t="n">
        <v>0</v>
      </c>
      <c r="L562" s="34" t="n">
        <v>101.38</v>
      </c>
      <c r="M562" s="34" t="n">
        <v>101.38</v>
      </c>
      <c r="N562" s="34" t="n">
        <v>705</v>
      </c>
      <c r="O562" s="34" t="n">
        <v>0</v>
      </c>
      <c r="P562" s="34" t="s">
        <v>776</v>
      </c>
    </row>
    <row r="563" customFormat="false" ht="14.4" hidden="false" customHeight="false" outlineLevel="0" collapsed="false">
      <c r="A563" s="34" t="n">
        <v>562</v>
      </c>
      <c r="B563" s="35" t="n">
        <v>36518156000106</v>
      </c>
      <c r="C563" s="34" t="s">
        <v>1528</v>
      </c>
      <c r="D563" s="34" t="s">
        <v>77</v>
      </c>
      <c r="E563" s="34" t="s">
        <v>1529</v>
      </c>
      <c r="F563" s="34" t="n">
        <v>3</v>
      </c>
      <c r="G563" s="34" t="n">
        <v>1</v>
      </c>
      <c r="H563" s="40" t="n">
        <v>125.44</v>
      </c>
      <c r="I563" s="34" t="n">
        <v>0</v>
      </c>
      <c r="J563" s="34" t="n">
        <v>0</v>
      </c>
      <c r="K563" s="34" t="n">
        <v>0</v>
      </c>
      <c r="L563" s="34" t="n">
        <v>101.39</v>
      </c>
      <c r="M563" s="34" t="n">
        <v>101.39</v>
      </c>
      <c r="N563" s="34" t="n">
        <v>759</v>
      </c>
      <c r="O563" s="34" t="n">
        <v>0</v>
      </c>
      <c r="P563" s="34" t="s">
        <v>518</v>
      </c>
    </row>
    <row r="564" customFormat="false" ht="14.4" hidden="false" customHeight="false" outlineLevel="0" collapsed="false">
      <c r="A564" s="34" t="n">
        <v>563</v>
      </c>
      <c r="B564" s="35" t="n">
        <v>49096389000100</v>
      </c>
      <c r="C564" s="34" t="s">
        <v>1530</v>
      </c>
      <c r="D564" s="34" t="s">
        <v>139</v>
      </c>
      <c r="E564" s="34" t="s">
        <v>1280</v>
      </c>
      <c r="F564" s="34" t="n">
        <v>5</v>
      </c>
      <c r="G564" s="34" t="n">
        <v>0</v>
      </c>
      <c r="H564" s="40" t="n">
        <v>124.08</v>
      </c>
      <c r="I564" s="34" t="n">
        <v>0</v>
      </c>
      <c r="J564" s="34" t="n">
        <v>0</v>
      </c>
      <c r="K564" s="34" t="n">
        <v>0</v>
      </c>
      <c r="L564" s="34" t="n">
        <v>101.39</v>
      </c>
      <c r="M564" s="34" t="n">
        <v>101.39</v>
      </c>
      <c r="N564" s="34" t="n">
        <v>214</v>
      </c>
      <c r="O564" s="34" t="n">
        <v>0</v>
      </c>
      <c r="P564" s="34" t="s">
        <v>518</v>
      </c>
    </row>
    <row r="565" customFormat="false" ht="14.4" hidden="false" customHeight="false" outlineLevel="0" collapsed="false">
      <c r="A565" s="34" t="n">
        <v>564</v>
      </c>
      <c r="B565" s="35" t="n">
        <v>21113922000185</v>
      </c>
      <c r="C565" s="34" t="s">
        <v>1531</v>
      </c>
      <c r="D565" s="34" t="s">
        <v>107</v>
      </c>
      <c r="E565" s="34" t="s">
        <v>1532</v>
      </c>
      <c r="F565" s="34" t="n">
        <v>3</v>
      </c>
      <c r="G565" s="34" t="n">
        <v>1</v>
      </c>
      <c r="H565" s="40" t="n">
        <v>123.1</v>
      </c>
      <c r="I565" s="34" t="n">
        <v>0</v>
      </c>
      <c r="J565" s="34" t="n">
        <v>0</v>
      </c>
      <c r="K565" s="34" t="n">
        <v>0</v>
      </c>
      <c r="L565" s="34" t="n">
        <v>101.39</v>
      </c>
      <c r="M565" s="34" t="n">
        <v>101.39</v>
      </c>
      <c r="N565" s="34" t="n">
        <v>707</v>
      </c>
      <c r="O565" s="34" t="n">
        <v>0</v>
      </c>
      <c r="P565" s="34" t="s">
        <v>518</v>
      </c>
    </row>
    <row r="566" customFormat="false" ht="14.4" hidden="false" customHeight="false" outlineLevel="0" collapsed="false">
      <c r="A566" s="34" t="n">
        <v>565</v>
      </c>
      <c r="B566" s="35" t="n">
        <v>4594132000140</v>
      </c>
      <c r="C566" s="34" t="s">
        <v>1533</v>
      </c>
      <c r="D566" s="34" t="s">
        <v>565</v>
      </c>
      <c r="E566" s="34" t="s">
        <v>820</v>
      </c>
      <c r="F566" s="34" t="n">
        <v>3</v>
      </c>
      <c r="G566" s="34" t="n">
        <v>1</v>
      </c>
      <c r="H566" s="40" t="n">
        <v>122.64</v>
      </c>
      <c r="I566" s="34" t="n">
        <v>0</v>
      </c>
      <c r="J566" s="34" t="n">
        <v>0</v>
      </c>
      <c r="K566" s="34" t="n">
        <v>0</v>
      </c>
      <c r="L566" s="34" t="n">
        <v>101.4</v>
      </c>
      <c r="M566" s="34" t="n">
        <v>101.4</v>
      </c>
      <c r="N566" s="34" t="n">
        <v>721</v>
      </c>
      <c r="O566" s="34" t="n">
        <v>0</v>
      </c>
      <c r="P566" s="34" t="s">
        <v>776</v>
      </c>
    </row>
    <row r="567" customFormat="false" ht="14.4" hidden="false" customHeight="false" outlineLevel="0" collapsed="false">
      <c r="A567" s="34" t="n">
        <v>566</v>
      </c>
      <c r="B567" s="35" t="n">
        <v>1972074000152</v>
      </c>
      <c r="C567" s="34" t="s">
        <v>1534</v>
      </c>
      <c r="D567" s="34" t="s">
        <v>117</v>
      </c>
      <c r="E567" s="34" t="s">
        <v>1535</v>
      </c>
      <c r="F567" s="34" t="n">
        <v>5</v>
      </c>
      <c r="G567" s="34" t="n">
        <v>2</v>
      </c>
      <c r="H567" s="40" t="n">
        <v>120.01</v>
      </c>
      <c r="I567" s="34" t="n">
        <v>0</v>
      </c>
      <c r="J567" s="34" t="n">
        <v>0</v>
      </c>
      <c r="K567" s="34" t="n">
        <v>0</v>
      </c>
      <c r="L567" s="34" t="n">
        <v>101.4</v>
      </c>
      <c r="M567" s="34" t="n">
        <v>101.4</v>
      </c>
      <c r="N567" s="34" t="n">
        <v>135</v>
      </c>
      <c r="O567" s="34" t="n">
        <v>0</v>
      </c>
      <c r="P567" s="34" t="s">
        <v>510</v>
      </c>
    </row>
    <row r="568" customFormat="false" ht="14.4" hidden="false" customHeight="false" outlineLevel="0" collapsed="false">
      <c r="A568" s="34" t="n">
        <v>567</v>
      </c>
      <c r="B568" s="35" t="n">
        <v>40601244000144</v>
      </c>
      <c r="C568" s="34" t="s">
        <v>1536</v>
      </c>
      <c r="D568" s="34" t="s">
        <v>713</v>
      </c>
      <c r="E568" s="34" t="s">
        <v>714</v>
      </c>
      <c r="F568" s="34" t="n">
        <v>2</v>
      </c>
      <c r="G568" s="34" t="n">
        <v>0</v>
      </c>
      <c r="H568" s="40" t="n">
        <v>117.99</v>
      </c>
      <c r="I568" s="34" t="n">
        <v>0</v>
      </c>
      <c r="J568" s="34" t="n">
        <v>0</v>
      </c>
      <c r="K568" s="34" t="n">
        <v>0</v>
      </c>
      <c r="L568" s="34" t="n">
        <v>101.4</v>
      </c>
      <c r="M568" s="34" t="n">
        <v>101.4</v>
      </c>
      <c r="N568" s="34" t="n">
        <v>718</v>
      </c>
      <c r="O568" s="34" t="n">
        <v>0</v>
      </c>
      <c r="P568" s="34" t="s">
        <v>510</v>
      </c>
    </row>
    <row r="569" customFormat="false" ht="14.4" hidden="false" customHeight="false" outlineLevel="0" collapsed="false">
      <c r="A569" s="34" t="n">
        <v>568</v>
      </c>
      <c r="B569" s="35" t="n">
        <v>53715042000175</v>
      </c>
      <c r="C569" s="34" t="s">
        <v>1537</v>
      </c>
      <c r="D569" s="34" t="s">
        <v>994</v>
      </c>
      <c r="E569" s="34" t="s">
        <v>1016</v>
      </c>
      <c r="F569" s="34" t="n">
        <v>2</v>
      </c>
      <c r="G569" s="34" t="n">
        <v>1</v>
      </c>
      <c r="H569" s="40" t="n">
        <v>114.6</v>
      </c>
      <c r="I569" s="34" t="n">
        <v>0</v>
      </c>
      <c r="J569" s="34" t="n">
        <v>0</v>
      </c>
      <c r="K569" s="34" t="n">
        <v>0</v>
      </c>
      <c r="L569" s="34" t="n">
        <v>101.4</v>
      </c>
      <c r="M569" s="34" t="n">
        <v>101.4</v>
      </c>
      <c r="N569" s="34" t="n">
        <v>716</v>
      </c>
      <c r="O569" s="34" t="n">
        <v>0</v>
      </c>
      <c r="P569" s="34" t="s">
        <v>510</v>
      </c>
    </row>
    <row r="570" customFormat="false" ht="14.4" hidden="false" customHeight="false" outlineLevel="0" collapsed="false">
      <c r="A570" s="34" t="n">
        <v>569</v>
      </c>
      <c r="B570" s="35" t="n">
        <v>60266747000118</v>
      </c>
      <c r="C570" s="34" t="s">
        <v>1538</v>
      </c>
      <c r="D570" s="34" t="s">
        <v>89</v>
      </c>
      <c r="E570" s="34" t="s">
        <v>1539</v>
      </c>
      <c r="F570" s="34" t="n">
        <v>4</v>
      </c>
      <c r="G570" s="34" t="n">
        <v>0</v>
      </c>
      <c r="H570" s="40" t="n">
        <v>114.34</v>
      </c>
      <c r="I570" s="34" t="n">
        <v>0</v>
      </c>
      <c r="J570" s="34" t="n">
        <v>0</v>
      </c>
      <c r="K570" s="34" t="n">
        <v>0</v>
      </c>
      <c r="L570" s="34" t="n">
        <v>101.41</v>
      </c>
      <c r="M570" s="34" t="n">
        <v>101.41</v>
      </c>
      <c r="N570" s="34" t="n">
        <v>711</v>
      </c>
      <c r="O570" s="34" t="n">
        <v>0</v>
      </c>
      <c r="P570" s="34" t="s">
        <v>518</v>
      </c>
    </row>
    <row r="571" customFormat="false" ht="14.4" hidden="false" customHeight="false" outlineLevel="0" collapsed="false">
      <c r="A571" s="34" t="n">
        <v>570</v>
      </c>
      <c r="B571" s="35" t="n">
        <v>11220071000205</v>
      </c>
      <c r="C571" s="34" t="s">
        <v>1229</v>
      </c>
      <c r="D571" s="34" t="s">
        <v>77</v>
      </c>
      <c r="E571" s="34" t="s">
        <v>1192</v>
      </c>
      <c r="F571" s="34" t="n">
        <v>2</v>
      </c>
      <c r="G571" s="34" t="n">
        <v>0</v>
      </c>
      <c r="H571" s="40" t="n">
        <v>112.66</v>
      </c>
      <c r="I571" s="34" t="n">
        <v>0</v>
      </c>
      <c r="J571" s="34" t="n">
        <v>0</v>
      </c>
      <c r="K571" s="34" t="n">
        <v>0</v>
      </c>
      <c r="L571" s="34" t="n">
        <v>101.41</v>
      </c>
      <c r="M571" s="34" t="n">
        <v>101.41</v>
      </c>
      <c r="N571" s="34" t="n">
        <v>757</v>
      </c>
      <c r="O571" s="34" t="n">
        <v>0</v>
      </c>
      <c r="P571" s="34" t="s">
        <v>518</v>
      </c>
    </row>
    <row r="572" customFormat="false" ht="14.4" hidden="false" customHeight="false" outlineLevel="0" collapsed="false">
      <c r="A572" s="34" t="n">
        <v>571</v>
      </c>
      <c r="B572" s="35" t="n">
        <v>8374349000103</v>
      </c>
      <c r="C572" s="34" t="s">
        <v>1540</v>
      </c>
      <c r="D572" s="34" t="s">
        <v>89</v>
      </c>
      <c r="E572" s="34" t="s">
        <v>1541</v>
      </c>
      <c r="F572" s="34" t="n">
        <v>5</v>
      </c>
      <c r="G572" s="34" t="n">
        <v>1</v>
      </c>
      <c r="H572" s="40" t="n">
        <v>112.6</v>
      </c>
      <c r="I572" s="34" t="n">
        <v>0</v>
      </c>
      <c r="J572" s="34" t="n">
        <v>0</v>
      </c>
      <c r="K572" s="34" t="n">
        <v>0</v>
      </c>
      <c r="L572" s="34" t="n">
        <v>101.41</v>
      </c>
      <c r="M572" s="34" t="n">
        <v>101.41</v>
      </c>
      <c r="N572" s="34" t="n">
        <v>711</v>
      </c>
      <c r="O572" s="34" t="n">
        <v>0</v>
      </c>
      <c r="P572" s="34" t="s">
        <v>773</v>
      </c>
    </row>
    <row r="573" customFormat="false" ht="14.4" hidden="false" customHeight="false" outlineLevel="0" collapsed="false">
      <c r="A573" s="34" t="n">
        <v>572</v>
      </c>
      <c r="B573" s="35" t="n">
        <v>22930745000192</v>
      </c>
      <c r="C573" s="34" t="s">
        <v>1542</v>
      </c>
      <c r="D573" s="34" t="s">
        <v>357</v>
      </c>
      <c r="E573" s="34" t="s">
        <v>1543</v>
      </c>
      <c r="F573" s="34" t="n">
        <v>2</v>
      </c>
      <c r="G573" s="34" t="n">
        <v>0</v>
      </c>
      <c r="H573" s="40" t="n">
        <v>111.69</v>
      </c>
      <c r="I573" s="34" t="n">
        <v>0</v>
      </c>
      <c r="J573" s="34" t="n">
        <v>0</v>
      </c>
      <c r="K573" s="34" t="n">
        <v>0</v>
      </c>
      <c r="L573" s="34" t="n">
        <v>101.41</v>
      </c>
      <c r="M573" s="34" t="n">
        <v>101.41</v>
      </c>
      <c r="N573" s="34" t="n">
        <v>708</v>
      </c>
      <c r="O573" s="34" t="n">
        <v>0</v>
      </c>
      <c r="P573" s="34" t="s">
        <v>776</v>
      </c>
    </row>
    <row r="574" customFormat="false" ht="14.4" hidden="false" customHeight="false" outlineLevel="0" collapsed="false">
      <c r="A574" s="34" t="n">
        <v>573</v>
      </c>
      <c r="B574" s="35" t="n">
        <v>5432290000166</v>
      </c>
      <c r="C574" s="34" t="s">
        <v>1544</v>
      </c>
      <c r="D574" s="34" t="s">
        <v>77</v>
      </c>
      <c r="E574" s="34" t="s">
        <v>1545</v>
      </c>
      <c r="F574" s="34" t="n">
        <v>1</v>
      </c>
      <c r="G574" s="34" t="n">
        <v>0</v>
      </c>
      <c r="H574" s="40" t="n">
        <v>111.53</v>
      </c>
      <c r="I574" s="34" t="n">
        <v>0</v>
      </c>
      <c r="J574" s="34" t="n">
        <v>0</v>
      </c>
      <c r="K574" s="34" t="n">
        <v>0</v>
      </c>
      <c r="L574" s="34" t="n">
        <v>101.42</v>
      </c>
      <c r="M574" s="34" t="n">
        <v>101.42</v>
      </c>
      <c r="N574" s="34" t="n">
        <v>800</v>
      </c>
      <c r="O574" s="34" t="n">
        <v>0</v>
      </c>
      <c r="P574" s="34" t="s">
        <v>510</v>
      </c>
    </row>
    <row r="575" customFormat="false" ht="14.4" hidden="false" customHeight="false" outlineLevel="0" collapsed="false">
      <c r="A575" s="34" t="n">
        <v>574</v>
      </c>
      <c r="B575" s="35" t="n">
        <v>57056794000122</v>
      </c>
      <c r="C575" s="34" t="s">
        <v>1546</v>
      </c>
      <c r="D575" s="34" t="s">
        <v>357</v>
      </c>
      <c r="E575" s="34" t="s">
        <v>1547</v>
      </c>
      <c r="F575" s="34" t="n">
        <v>3</v>
      </c>
      <c r="G575" s="34" t="n">
        <v>1</v>
      </c>
      <c r="H575" s="40" t="n">
        <v>111.52</v>
      </c>
      <c r="I575" s="34" t="n">
        <v>0</v>
      </c>
      <c r="J575" s="34" t="n">
        <v>0</v>
      </c>
      <c r="K575" s="34" t="n">
        <v>0</v>
      </c>
      <c r="L575" s="34" t="n">
        <v>101.42</v>
      </c>
      <c r="M575" s="34" t="n">
        <v>101.42</v>
      </c>
      <c r="N575" s="34" t="n">
        <v>708</v>
      </c>
      <c r="O575" s="34" t="n">
        <v>0</v>
      </c>
      <c r="P575" s="34" t="s">
        <v>501</v>
      </c>
    </row>
    <row r="576" customFormat="false" ht="14.4" hidden="false" customHeight="false" outlineLevel="0" collapsed="false">
      <c r="A576" s="34" t="n">
        <v>575</v>
      </c>
      <c r="B576" s="35" t="n">
        <v>51620033000175</v>
      </c>
      <c r="C576" s="34" t="s">
        <v>1548</v>
      </c>
      <c r="D576" s="34" t="s">
        <v>967</v>
      </c>
      <c r="E576" s="34" t="s">
        <v>1549</v>
      </c>
      <c r="F576" s="34" t="n">
        <v>1</v>
      </c>
      <c r="G576" s="34" t="n">
        <v>0</v>
      </c>
      <c r="H576" s="40" t="n">
        <v>109.88</v>
      </c>
      <c r="I576" s="34" t="n">
        <v>0</v>
      </c>
      <c r="J576" s="34" t="n">
        <v>0</v>
      </c>
      <c r="K576" s="34" t="n">
        <v>0</v>
      </c>
      <c r="L576" s="34" t="n">
        <v>101.42</v>
      </c>
      <c r="M576" s="34" t="n">
        <v>101.42</v>
      </c>
      <c r="N576" s="34" t="n">
        <v>800</v>
      </c>
      <c r="O576" s="34" t="n">
        <v>0</v>
      </c>
      <c r="P576" s="34" t="s">
        <v>510</v>
      </c>
    </row>
    <row r="577" customFormat="false" ht="14.4" hidden="false" customHeight="false" outlineLevel="0" collapsed="false">
      <c r="A577" s="34" t="n">
        <v>576</v>
      </c>
      <c r="B577" s="35" t="n">
        <v>18418916000121</v>
      </c>
      <c r="C577" s="34" t="s">
        <v>1550</v>
      </c>
      <c r="D577" s="34" t="s">
        <v>89</v>
      </c>
      <c r="E577" s="34" t="s">
        <v>1551</v>
      </c>
      <c r="F577" s="34" t="n">
        <v>2</v>
      </c>
      <c r="G577" s="34" t="n">
        <v>0</v>
      </c>
      <c r="H577" s="40" t="n">
        <v>108.96</v>
      </c>
      <c r="I577" s="34" t="n">
        <v>0</v>
      </c>
      <c r="J577" s="34" t="n">
        <v>0</v>
      </c>
      <c r="K577" s="34" t="n">
        <v>0</v>
      </c>
      <c r="L577" s="34" t="n">
        <v>101.42</v>
      </c>
      <c r="M577" s="34" t="n">
        <v>101.42</v>
      </c>
      <c r="N577" s="34" t="n">
        <v>711</v>
      </c>
      <c r="O577" s="34" t="n">
        <v>0</v>
      </c>
      <c r="P577" s="34" t="s">
        <v>510</v>
      </c>
    </row>
    <row r="578" customFormat="false" ht="14.4" hidden="false" customHeight="false" outlineLevel="0" collapsed="false">
      <c r="A578" s="34" t="n">
        <v>577</v>
      </c>
      <c r="B578" s="35" t="n">
        <v>4707705001095</v>
      </c>
      <c r="C578" s="34" t="s">
        <v>1510</v>
      </c>
      <c r="D578" s="34" t="s">
        <v>77</v>
      </c>
      <c r="E578" s="34" t="s">
        <v>1552</v>
      </c>
      <c r="F578" s="34" t="n">
        <v>0</v>
      </c>
      <c r="G578" s="34" t="n">
        <v>0</v>
      </c>
      <c r="H578" s="40" t="n">
        <v>108.32</v>
      </c>
      <c r="I578" s="34" t="n">
        <v>0</v>
      </c>
      <c r="J578" s="34" t="n">
        <v>0</v>
      </c>
      <c r="K578" s="34" t="n">
        <v>0</v>
      </c>
      <c r="L578" s="34" t="n">
        <v>101.42</v>
      </c>
      <c r="M578" s="34" t="n">
        <v>101.42</v>
      </c>
      <c r="N578" s="34" t="n">
        <v>800</v>
      </c>
      <c r="O578" s="34" t="n">
        <v>0</v>
      </c>
      <c r="P578" s="34" t="s">
        <v>844</v>
      </c>
    </row>
    <row r="579" customFormat="false" ht="14.4" hidden="false" customHeight="false" outlineLevel="0" collapsed="false">
      <c r="A579" s="34" t="n">
        <v>578</v>
      </c>
      <c r="B579" s="35" t="n">
        <v>4707705001338</v>
      </c>
      <c r="C579" s="34" t="s">
        <v>1510</v>
      </c>
      <c r="D579" s="34" t="s">
        <v>77</v>
      </c>
      <c r="E579" s="34" t="s">
        <v>617</v>
      </c>
      <c r="F579" s="34" t="n">
        <v>0</v>
      </c>
      <c r="G579" s="34" t="n">
        <v>0</v>
      </c>
      <c r="H579" s="40" t="n">
        <v>108.32</v>
      </c>
      <c r="I579" s="34" t="n">
        <v>0</v>
      </c>
      <c r="J579" s="34" t="n">
        <v>0</v>
      </c>
      <c r="K579" s="34" t="n">
        <v>0</v>
      </c>
      <c r="L579" s="34" t="n">
        <v>101.43</v>
      </c>
      <c r="M579" s="34" t="n">
        <v>101.43</v>
      </c>
      <c r="N579" s="34" t="n">
        <v>800</v>
      </c>
      <c r="O579" s="34" t="n">
        <v>0</v>
      </c>
      <c r="P579" s="34" t="s">
        <v>844</v>
      </c>
    </row>
    <row r="580" customFormat="false" ht="14.4" hidden="false" customHeight="false" outlineLevel="0" collapsed="false">
      <c r="A580" s="34" t="n">
        <v>579</v>
      </c>
      <c r="B580" s="35" t="n">
        <v>1499120000148</v>
      </c>
      <c r="C580" s="34" t="s">
        <v>1553</v>
      </c>
      <c r="D580" s="34" t="s">
        <v>473</v>
      </c>
      <c r="E580" s="34" t="s">
        <v>1554</v>
      </c>
      <c r="F580" s="34" t="n">
        <v>2</v>
      </c>
      <c r="G580" s="34" t="n">
        <v>0</v>
      </c>
      <c r="H580" s="40" t="n">
        <v>107.66</v>
      </c>
      <c r="I580" s="34" t="n">
        <v>0</v>
      </c>
      <c r="J580" s="34" t="n">
        <v>0</v>
      </c>
      <c r="K580" s="34" t="n">
        <v>0</v>
      </c>
      <c r="L580" s="34" t="n">
        <v>101.43</v>
      </c>
      <c r="M580" s="34" t="n">
        <v>101.43</v>
      </c>
      <c r="N580" s="34" t="n">
        <v>718</v>
      </c>
      <c r="O580" s="34" t="n">
        <v>0</v>
      </c>
      <c r="P580" s="34" t="s">
        <v>1135</v>
      </c>
    </row>
    <row r="581" customFormat="false" ht="14.4" hidden="false" customHeight="false" outlineLevel="0" collapsed="false">
      <c r="A581" s="34" t="n">
        <v>580</v>
      </c>
      <c r="B581" s="35" t="n">
        <v>917500000192</v>
      </c>
      <c r="C581" s="34" t="s">
        <v>1555</v>
      </c>
      <c r="D581" s="34" t="s">
        <v>107</v>
      </c>
      <c r="E581" s="34" t="s">
        <v>1556</v>
      </c>
      <c r="F581" s="34" t="n">
        <v>11</v>
      </c>
      <c r="G581" s="34" t="n">
        <v>1</v>
      </c>
      <c r="H581" s="40" t="n">
        <v>105.78</v>
      </c>
      <c r="I581" s="34" t="n">
        <v>0</v>
      </c>
      <c r="J581" s="34" t="n">
        <v>0</v>
      </c>
      <c r="K581" s="34" t="n">
        <v>0</v>
      </c>
      <c r="L581" s="34" t="n">
        <v>101.43</v>
      </c>
      <c r="M581" s="34" t="n">
        <v>101.43</v>
      </c>
      <c r="N581" s="34" t="n">
        <v>707</v>
      </c>
      <c r="O581" s="34" t="n">
        <v>0</v>
      </c>
      <c r="P581" s="34" t="s">
        <v>510</v>
      </c>
    </row>
    <row r="582" customFormat="false" ht="14.4" hidden="false" customHeight="false" outlineLevel="0" collapsed="false">
      <c r="A582" s="34" t="n">
        <v>581</v>
      </c>
      <c r="B582" s="35" t="n">
        <v>37534187000113</v>
      </c>
      <c r="C582" s="34" t="s">
        <v>1557</v>
      </c>
      <c r="D582" s="34" t="s">
        <v>463</v>
      </c>
      <c r="E582" s="34" t="s">
        <v>1558</v>
      </c>
      <c r="F582" s="34" t="n">
        <v>11</v>
      </c>
      <c r="G582" s="34" t="n">
        <v>1</v>
      </c>
      <c r="H582" s="40" t="n">
        <v>105.78</v>
      </c>
      <c r="I582" s="34" t="n">
        <v>0</v>
      </c>
      <c r="J582" s="34" t="n">
        <v>0</v>
      </c>
      <c r="K582" s="34" t="n">
        <v>0</v>
      </c>
      <c r="L582" s="34" t="n">
        <v>101.43</v>
      </c>
      <c r="M582" s="34" t="n">
        <v>101.43</v>
      </c>
      <c r="N582" s="34" t="n">
        <v>712</v>
      </c>
      <c r="O582" s="34" t="n">
        <v>0</v>
      </c>
      <c r="P582" s="34" t="s">
        <v>504</v>
      </c>
    </row>
    <row r="583" customFormat="false" ht="14.4" hidden="false" customHeight="false" outlineLevel="0" collapsed="false">
      <c r="A583" s="34" t="n">
        <v>582</v>
      </c>
      <c r="B583" s="35" t="n">
        <v>37478996000155</v>
      </c>
      <c r="C583" s="34" t="s">
        <v>1559</v>
      </c>
      <c r="D583" s="34" t="s">
        <v>569</v>
      </c>
      <c r="E583" s="34" t="s">
        <v>1560</v>
      </c>
      <c r="F583" s="34" t="n">
        <v>1</v>
      </c>
      <c r="G583" s="34" t="n">
        <v>0</v>
      </c>
      <c r="H583" s="40" t="n">
        <v>105.66</v>
      </c>
      <c r="I583" s="34" t="n">
        <v>0</v>
      </c>
      <c r="J583" s="34" t="n">
        <v>0</v>
      </c>
      <c r="K583" s="34" t="n">
        <v>0</v>
      </c>
      <c r="L583" s="34" t="n">
        <v>101.44</v>
      </c>
      <c r="M583" s="34" t="n">
        <v>101.44</v>
      </c>
      <c r="N583" s="34" t="n">
        <v>708</v>
      </c>
      <c r="O583" s="34" t="n">
        <v>0</v>
      </c>
      <c r="P583" s="34" t="s">
        <v>501</v>
      </c>
    </row>
    <row r="584" customFormat="false" ht="14.4" hidden="false" customHeight="false" outlineLevel="0" collapsed="false">
      <c r="A584" s="34" t="n">
        <v>583</v>
      </c>
      <c r="B584" s="35" t="n">
        <v>40441513000152</v>
      </c>
      <c r="C584" s="34" t="s">
        <v>1561</v>
      </c>
      <c r="D584" s="34" t="s">
        <v>1562</v>
      </c>
      <c r="E584" s="34" t="s">
        <v>1563</v>
      </c>
      <c r="F584" s="34" t="n">
        <v>1</v>
      </c>
      <c r="G584" s="34" t="n">
        <v>0</v>
      </c>
      <c r="H584" s="40" t="n">
        <v>104.63</v>
      </c>
      <c r="I584" s="34" t="n">
        <v>0</v>
      </c>
      <c r="J584" s="34" t="n">
        <v>0</v>
      </c>
      <c r="K584" s="34" t="n">
        <v>0</v>
      </c>
      <c r="L584" s="34" t="n">
        <v>101.44</v>
      </c>
      <c r="M584" s="34" t="n">
        <v>101.44</v>
      </c>
      <c r="N584" s="34" t="n">
        <v>712</v>
      </c>
      <c r="O584" s="34" t="n">
        <v>0</v>
      </c>
      <c r="P584" s="34" t="s">
        <v>501</v>
      </c>
    </row>
    <row r="585" customFormat="false" ht="14.4" hidden="false" customHeight="false" outlineLevel="0" collapsed="false">
      <c r="A585" s="34" t="n">
        <v>584</v>
      </c>
      <c r="B585" s="35" t="n">
        <v>31946892000141</v>
      </c>
      <c r="C585" s="34" t="s">
        <v>1564</v>
      </c>
      <c r="D585" s="34" t="s">
        <v>569</v>
      </c>
      <c r="E585" s="34" t="s">
        <v>1565</v>
      </c>
      <c r="F585" s="34" t="n">
        <v>4</v>
      </c>
      <c r="G585" s="34" t="n">
        <v>0</v>
      </c>
      <c r="H585" s="40" t="n">
        <v>103.19</v>
      </c>
      <c r="I585" s="34" t="n">
        <v>0</v>
      </c>
      <c r="J585" s="34" t="n">
        <v>0</v>
      </c>
      <c r="K585" s="34" t="n">
        <v>0</v>
      </c>
      <c r="L585" s="34" t="n">
        <v>101.44</v>
      </c>
      <c r="M585" s="34" t="n">
        <v>101.44</v>
      </c>
      <c r="N585" s="34" t="n">
        <v>708</v>
      </c>
      <c r="O585" s="34" t="n">
        <v>0</v>
      </c>
      <c r="P585" s="34" t="s">
        <v>501</v>
      </c>
    </row>
    <row r="586" customFormat="false" ht="14.4" hidden="false" customHeight="false" outlineLevel="0" collapsed="false">
      <c r="A586" s="34" t="n">
        <v>585</v>
      </c>
      <c r="B586" s="35" t="n">
        <v>61144743000120</v>
      </c>
      <c r="C586" s="34" t="s">
        <v>1566</v>
      </c>
      <c r="D586" s="34" t="s">
        <v>89</v>
      </c>
      <c r="E586" s="34" t="s">
        <v>1228</v>
      </c>
      <c r="F586" s="34" t="n">
        <v>2</v>
      </c>
      <c r="G586" s="34" t="n">
        <v>1</v>
      </c>
      <c r="H586" s="40" t="n">
        <v>102.51</v>
      </c>
      <c r="I586" s="34" t="n">
        <v>0</v>
      </c>
      <c r="J586" s="34" t="n">
        <v>0</v>
      </c>
      <c r="K586" s="34" t="n">
        <v>0</v>
      </c>
      <c r="L586" s="34" t="n">
        <v>101.44</v>
      </c>
      <c r="M586" s="34" t="n">
        <v>101.44</v>
      </c>
      <c r="N586" s="34" t="n">
        <v>711</v>
      </c>
      <c r="O586" s="34" t="n">
        <v>0</v>
      </c>
      <c r="P586" s="34" t="s">
        <v>844</v>
      </c>
    </row>
    <row r="587" customFormat="false" ht="14.4" hidden="false" customHeight="false" outlineLevel="0" collapsed="false">
      <c r="A587" s="34" t="n">
        <v>586</v>
      </c>
      <c r="B587" s="35" t="n">
        <v>43375403000128</v>
      </c>
      <c r="C587" s="34" t="s">
        <v>1567</v>
      </c>
      <c r="D587" s="34" t="s">
        <v>77</v>
      </c>
      <c r="E587" s="34" t="s">
        <v>1568</v>
      </c>
      <c r="F587" s="34" t="n">
        <v>4</v>
      </c>
      <c r="G587" s="34" t="n">
        <v>1</v>
      </c>
      <c r="H587" s="40" t="n">
        <v>100.97</v>
      </c>
      <c r="I587" s="34" t="n">
        <v>0</v>
      </c>
      <c r="J587" s="34" t="n">
        <v>0</v>
      </c>
      <c r="K587" s="34" t="n">
        <v>0</v>
      </c>
      <c r="L587" s="34" t="n">
        <v>101.45</v>
      </c>
      <c r="M587" s="34" t="n">
        <v>101.45</v>
      </c>
      <c r="N587" s="34" t="n">
        <v>130</v>
      </c>
      <c r="O587" s="34" t="n">
        <v>0</v>
      </c>
      <c r="P587" s="34" t="s">
        <v>776</v>
      </c>
    </row>
    <row r="588" customFormat="false" ht="14.4" hidden="false" customHeight="false" outlineLevel="0" collapsed="false">
      <c r="A588" s="34" t="n">
        <v>587</v>
      </c>
      <c r="B588" s="35" t="n">
        <v>7615425000316</v>
      </c>
      <c r="C588" s="34" t="s">
        <v>1446</v>
      </c>
      <c r="D588" s="34" t="s">
        <v>77</v>
      </c>
      <c r="E588" s="34" t="s">
        <v>1569</v>
      </c>
      <c r="F588" s="34" t="n">
        <v>6</v>
      </c>
      <c r="G588" s="34" t="n">
        <v>1</v>
      </c>
      <c r="H588" s="40" t="n">
        <v>91.6</v>
      </c>
      <c r="I588" s="34" t="n">
        <v>0</v>
      </c>
      <c r="J588" s="34" t="n">
        <v>0</v>
      </c>
      <c r="K588" s="34" t="n">
        <v>0</v>
      </c>
      <c r="L588" s="34" t="n">
        <v>101.45</v>
      </c>
      <c r="M588" s="34" t="n">
        <v>101.45</v>
      </c>
      <c r="N588" s="34" t="n">
        <v>759</v>
      </c>
      <c r="O588" s="34" t="n">
        <v>0</v>
      </c>
      <c r="P588" s="34" t="s">
        <v>504</v>
      </c>
    </row>
    <row r="589" customFormat="false" ht="14.4" hidden="false" customHeight="false" outlineLevel="0" collapsed="false">
      <c r="A589" s="34" t="n">
        <v>588</v>
      </c>
      <c r="B589" s="35" t="n">
        <v>1557378000153</v>
      </c>
      <c r="C589" s="34" t="s">
        <v>1570</v>
      </c>
      <c r="D589" s="34" t="s">
        <v>309</v>
      </c>
      <c r="E589" s="34" t="s">
        <v>77</v>
      </c>
      <c r="F589" s="34" t="n">
        <v>1</v>
      </c>
      <c r="G589" s="34" t="n">
        <v>1</v>
      </c>
      <c r="H589" s="40" t="n">
        <v>89.71</v>
      </c>
      <c r="I589" s="34" t="n">
        <v>0</v>
      </c>
      <c r="J589" s="34" t="n">
        <v>0</v>
      </c>
      <c r="K589" s="34" t="n">
        <v>0</v>
      </c>
      <c r="L589" s="34" t="n">
        <v>101.45</v>
      </c>
      <c r="M589" s="34" t="n">
        <v>101.45</v>
      </c>
      <c r="N589" s="34" t="n">
        <v>704</v>
      </c>
      <c r="O589" s="34" t="n">
        <v>0</v>
      </c>
      <c r="P589" s="34" t="s">
        <v>504</v>
      </c>
    </row>
    <row r="590" customFormat="false" ht="14.4" hidden="false" customHeight="false" outlineLevel="0" collapsed="false">
      <c r="A590" s="34" t="n">
        <v>589</v>
      </c>
      <c r="B590" s="35" t="n">
        <v>3489676000189</v>
      </c>
      <c r="C590" s="34" t="s">
        <v>1571</v>
      </c>
      <c r="D590" s="34" t="s">
        <v>107</v>
      </c>
      <c r="E590" s="34" t="s">
        <v>1572</v>
      </c>
      <c r="F590" s="34" t="n">
        <v>1</v>
      </c>
      <c r="G590" s="34" t="n">
        <v>1</v>
      </c>
      <c r="H590" s="40" t="n">
        <v>89.71</v>
      </c>
      <c r="I590" s="34" t="n">
        <v>0</v>
      </c>
      <c r="J590" s="34" t="n">
        <v>0</v>
      </c>
      <c r="K590" s="34" t="n">
        <v>0</v>
      </c>
      <c r="L590" s="34" t="n">
        <v>101.45</v>
      </c>
      <c r="M590" s="34" t="n">
        <v>101.45</v>
      </c>
      <c r="N590" s="34" t="n">
        <v>707</v>
      </c>
      <c r="O590" s="34" t="n">
        <v>0</v>
      </c>
      <c r="P590" s="34" t="s">
        <v>510</v>
      </c>
    </row>
    <row r="591" customFormat="false" ht="14.4" hidden="false" customHeight="false" outlineLevel="0" collapsed="false">
      <c r="A591" s="34" t="n">
        <v>590</v>
      </c>
      <c r="B591" s="35" t="n">
        <v>5865139000111</v>
      </c>
      <c r="C591" s="34" t="s">
        <v>1573</v>
      </c>
      <c r="D591" s="34" t="s">
        <v>139</v>
      </c>
      <c r="E591" s="34" t="s">
        <v>527</v>
      </c>
      <c r="F591" s="34" t="n">
        <v>1</v>
      </c>
      <c r="G591" s="34" t="n">
        <v>1</v>
      </c>
      <c r="H591" s="40" t="n">
        <v>89.71</v>
      </c>
      <c r="I591" s="34" t="n">
        <v>0</v>
      </c>
      <c r="J591" s="34" t="n">
        <v>0</v>
      </c>
      <c r="K591" s="34" t="n">
        <v>0</v>
      </c>
      <c r="L591" s="34" t="n">
        <v>101.45</v>
      </c>
      <c r="M591" s="34" t="n">
        <v>101.45</v>
      </c>
      <c r="N591" s="34" t="n">
        <v>714</v>
      </c>
      <c r="O591" s="34" t="n">
        <v>0</v>
      </c>
      <c r="P591" s="34" t="s">
        <v>501</v>
      </c>
    </row>
    <row r="592" customFormat="false" ht="14.4" hidden="false" customHeight="false" outlineLevel="0" collapsed="false">
      <c r="A592" s="34" t="n">
        <v>591</v>
      </c>
      <c r="B592" s="35" t="n">
        <v>6242490000119</v>
      </c>
      <c r="C592" s="34" t="s">
        <v>1574</v>
      </c>
      <c r="D592" s="34" t="s">
        <v>935</v>
      </c>
      <c r="E592" s="34" t="s">
        <v>836</v>
      </c>
      <c r="F592" s="34" t="n">
        <v>1</v>
      </c>
      <c r="G592" s="34" t="n">
        <v>1</v>
      </c>
      <c r="H592" s="40" t="n">
        <v>89.71</v>
      </c>
      <c r="I592" s="34" t="n">
        <v>0</v>
      </c>
      <c r="J592" s="34" t="n">
        <v>0</v>
      </c>
      <c r="K592" s="34" t="n">
        <v>0</v>
      </c>
      <c r="L592" s="34" t="n">
        <v>101.46</v>
      </c>
      <c r="M592" s="34" t="n">
        <v>101.46</v>
      </c>
      <c r="N592" s="34" t="n">
        <v>704</v>
      </c>
      <c r="O592" s="34" t="n">
        <v>0</v>
      </c>
      <c r="P592" s="34" t="s">
        <v>501</v>
      </c>
    </row>
    <row r="593" customFormat="false" ht="14.4" hidden="false" customHeight="false" outlineLevel="0" collapsed="false">
      <c r="A593" s="34" t="n">
        <v>592</v>
      </c>
      <c r="B593" s="35" t="n">
        <v>8263365000110</v>
      </c>
      <c r="C593" s="34" t="s">
        <v>1575</v>
      </c>
      <c r="D593" s="34" t="s">
        <v>107</v>
      </c>
      <c r="E593" s="34" t="s">
        <v>1576</v>
      </c>
      <c r="F593" s="34" t="n">
        <v>1</v>
      </c>
      <c r="G593" s="34" t="n">
        <v>1</v>
      </c>
      <c r="H593" s="40" t="n">
        <v>89.71</v>
      </c>
      <c r="I593" s="34" t="n">
        <v>0</v>
      </c>
      <c r="J593" s="34" t="n">
        <v>0</v>
      </c>
      <c r="K593" s="34" t="n">
        <v>0</v>
      </c>
      <c r="L593" s="34" t="n">
        <v>101.46</v>
      </c>
      <c r="M593" s="34" t="n">
        <v>101.46</v>
      </c>
      <c r="N593" s="34" t="n">
        <v>707</v>
      </c>
      <c r="O593" s="34" t="n">
        <v>0</v>
      </c>
      <c r="P593" s="34" t="s">
        <v>510</v>
      </c>
    </row>
    <row r="594" customFormat="false" ht="14.4" hidden="false" customHeight="false" outlineLevel="0" collapsed="false">
      <c r="A594" s="34" t="n">
        <v>593</v>
      </c>
      <c r="B594" s="35" t="n">
        <v>8503295000120</v>
      </c>
      <c r="C594" s="34" t="s">
        <v>1577</v>
      </c>
      <c r="D594" s="34" t="s">
        <v>713</v>
      </c>
      <c r="E594" s="34" t="s">
        <v>592</v>
      </c>
      <c r="F594" s="34" t="n">
        <v>1</v>
      </c>
      <c r="G594" s="34" t="n">
        <v>1</v>
      </c>
      <c r="H594" s="40" t="n">
        <v>89.71</v>
      </c>
      <c r="I594" s="34" t="n">
        <v>0</v>
      </c>
      <c r="J594" s="34" t="n">
        <v>0</v>
      </c>
      <c r="K594" s="34" t="n">
        <v>0</v>
      </c>
      <c r="L594" s="34" t="n">
        <v>101.46</v>
      </c>
      <c r="M594" s="34" t="n">
        <v>101.46</v>
      </c>
      <c r="N594" s="34" t="n">
        <v>718</v>
      </c>
      <c r="O594" s="34" t="n">
        <v>0</v>
      </c>
      <c r="P594" s="34" t="s">
        <v>501</v>
      </c>
    </row>
    <row r="595" customFormat="false" ht="14.4" hidden="false" customHeight="false" outlineLevel="0" collapsed="false">
      <c r="A595" s="34" t="n">
        <v>594</v>
      </c>
      <c r="B595" s="35" t="n">
        <v>9103131000179</v>
      </c>
      <c r="C595" s="34" t="s">
        <v>1578</v>
      </c>
      <c r="D595" s="34" t="s">
        <v>77</v>
      </c>
      <c r="E595" s="34" t="s">
        <v>1579</v>
      </c>
      <c r="F595" s="34" t="n">
        <v>1</v>
      </c>
      <c r="G595" s="34" t="n">
        <v>1</v>
      </c>
      <c r="H595" s="40" t="n">
        <v>89.71</v>
      </c>
      <c r="I595" s="34" t="n">
        <v>0</v>
      </c>
      <c r="J595" s="34" t="n">
        <v>0</v>
      </c>
      <c r="K595" s="34" t="n">
        <v>0</v>
      </c>
      <c r="L595" s="34" t="n">
        <v>101.46</v>
      </c>
      <c r="M595" s="34" t="n">
        <v>101.46</v>
      </c>
      <c r="N595" s="34" t="n">
        <v>135</v>
      </c>
      <c r="O595" s="34" t="n">
        <v>0</v>
      </c>
      <c r="P595" s="34" t="s">
        <v>510</v>
      </c>
    </row>
    <row r="596" customFormat="false" ht="14.4" hidden="false" customHeight="false" outlineLevel="0" collapsed="false">
      <c r="A596" s="34" t="n">
        <v>595</v>
      </c>
      <c r="B596" s="35" t="n">
        <v>15928666000181</v>
      </c>
      <c r="C596" s="34" t="s">
        <v>1580</v>
      </c>
      <c r="D596" s="34" t="s">
        <v>473</v>
      </c>
      <c r="E596" s="34" t="s">
        <v>1143</v>
      </c>
      <c r="F596" s="34" t="n">
        <v>1</v>
      </c>
      <c r="G596" s="34" t="n">
        <v>1</v>
      </c>
      <c r="H596" s="40" t="n">
        <v>89.71</v>
      </c>
      <c r="I596" s="34" t="n">
        <v>0</v>
      </c>
      <c r="J596" s="34" t="n">
        <v>0</v>
      </c>
      <c r="K596" s="34" t="n">
        <v>0</v>
      </c>
      <c r="L596" s="34" t="n">
        <v>101.46</v>
      </c>
      <c r="M596" s="34" t="n">
        <v>101.46</v>
      </c>
      <c r="N596" s="34" t="n">
        <v>718</v>
      </c>
      <c r="O596" s="34" t="n">
        <v>0</v>
      </c>
      <c r="P596" s="34" t="s">
        <v>504</v>
      </c>
    </row>
    <row r="597" customFormat="false" ht="14.4" hidden="false" customHeight="false" outlineLevel="0" collapsed="false">
      <c r="A597" s="34" t="n">
        <v>596</v>
      </c>
      <c r="B597" s="35" t="n">
        <v>16458518000294</v>
      </c>
      <c r="C597" s="34" t="s">
        <v>1581</v>
      </c>
      <c r="D597" s="34" t="s">
        <v>107</v>
      </c>
      <c r="E597" s="34" t="s">
        <v>1582</v>
      </c>
      <c r="F597" s="34" t="n">
        <v>1</v>
      </c>
      <c r="G597" s="34" t="n">
        <v>1</v>
      </c>
      <c r="H597" s="40" t="n">
        <v>89.71</v>
      </c>
      <c r="I597" s="34" t="n">
        <v>0</v>
      </c>
      <c r="J597" s="34" t="n">
        <v>0</v>
      </c>
      <c r="K597" s="34" t="n">
        <v>0</v>
      </c>
      <c r="L597" s="34" t="n">
        <v>101.46</v>
      </c>
      <c r="M597" s="34" t="n">
        <v>101.46</v>
      </c>
      <c r="N597" s="34" t="n">
        <v>707</v>
      </c>
      <c r="O597" s="34" t="n">
        <v>0</v>
      </c>
      <c r="P597" s="34" t="s">
        <v>510</v>
      </c>
    </row>
    <row r="598" customFormat="false" ht="14.4" hidden="false" customHeight="false" outlineLevel="0" collapsed="false">
      <c r="A598" s="34" t="n">
        <v>597</v>
      </c>
      <c r="B598" s="35" t="n">
        <v>26452538000120</v>
      </c>
      <c r="C598" s="34" t="s">
        <v>1583</v>
      </c>
      <c r="D598" s="34" t="s">
        <v>299</v>
      </c>
      <c r="E598" s="34" t="s">
        <v>1584</v>
      </c>
      <c r="F598" s="34" t="n">
        <v>1</v>
      </c>
      <c r="G598" s="34" t="n">
        <v>1</v>
      </c>
      <c r="H598" s="40" t="n">
        <v>89.71</v>
      </c>
      <c r="I598" s="34" t="n">
        <v>0</v>
      </c>
      <c r="J598" s="34" t="n">
        <v>0</v>
      </c>
      <c r="K598" s="34" t="n">
        <v>0</v>
      </c>
      <c r="L598" s="34" t="n">
        <v>101.47</v>
      </c>
      <c r="M598" s="34" t="n">
        <v>101.47</v>
      </c>
      <c r="N598" s="34" t="n">
        <v>710</v>
      </c>
      <c r="O598" s="34" t="n">
        <v>0</v>
      </c>
      <c r="P598" s="34" t="s">
        <v>501</v>
      </c>
    </row>
    <row r="599" customFormat="false" ht="14.4" hidden="false" customHeight="false" outlineLevel="0" collapsed="false">
      <c r="A599" s="34" t="n">
        <v>598</v>
      </c>
      <c r="B599" s="35" t="n">
        <v>28638434000130</v>
      </c>
      <c r="C599" s="34" t="s">
        <v>1585</v>
      </c>
      <c r="D599" s="34" t="s">
        <v>77</v>
      </c>
      <c r="E599" s="34" t="s">
        <v>1586</v>
      </c>
      <c r="F599" s="34" t="n">
        <v>1</v>
      </c>
      <c r="G599" s="34" t="n">
        <v>1</v>
      </c>
      <c r="H599" s="40" t="n">
        <v>89.71</v>
      </c>
      <c r="I599" s="34" t="n">
        <v>0</v>
      </c>
      <c r="J599" s="34" t="n">
        <v>0</v>
      </c>
      <c r="K599" s="34" t="n">
        <v>0</v>
      </c>
      <c r="L599" s="34" t="n">
        <v>101.47</v>
      </c>
      <c r="M599" s="34" t="n">
        <v>101.47</v>
      </c>
      <c r="N599" s="34" t="n">
        <v>721</v>
      </c>
      <c r="O599" s="34" t="n">
        <v>0</v>
      </c>
      <c r="P599" s="34" t="s">
        <v>518</v>
      </c>
    </row>
    <row r="600" customFormat="false" ht="14.4" hidden="false" customHeight="false" outlineLevel="0" collapsed="false">
      <c r="A600" s="34" t="n">
        <v>599</v>
      </c>
      <c r="B600" s="35" t="n">
        <v>37558301000145</v>
      </c>
      <c r="C600" s="34" t="s">
        <v>1587</v>
      </c>
      <c r="D600" s="34" t="s">
        <v>967</v>
      </c>
      <c r="E600" s="34" t="s">
        <v>1088</v>
      </c>
      <c r="F600" s="34" t="n">
        <v>1</v>
      </c>
      <c r="G600" s="34" t="n">
        <v>1</v>
      </c>
      <c r="H600" s="40" t="n">
        <v>89.71</v>
      </c>
      <c r="I600" s="34" t="n">
        <v>0</v>
      </c>
      <c r="J600" s="34" t="n">
        <v>0</v>
      </c>
      <c r="K600" s="34" t="n">
        <v>0</v>
      </c>
      <c r="L600" s="34" t="n">
        <v>101.47</v>
      </c>
      <c r="M600" s="34" t="n">
        <v>101.47</v>
      </c>
      <c r="N600" s="34" t="n">
        <v>718</v>
      </c>
      <c r="O600" s="34" t="n">
        <v>0</v>
      </c>
      <c r="P600" s="34" t="s">
        <v>501</v>
      </c>
    </row>
    <row r="601" customFormat="false" ht="14.4" hidden="false" customHeight="false" outlineLevel="0" collapsed="false">
      <c r="A601" s="34" t="n">
        <v>600</v>
      </c>
      <c r="B601" s="35" t="n">
        <v>4979379000184</v>
      </c>
      <c r="C601" s="34" t="s">
        <v>1588</v>
      </c>
      <c r="D601" s="34" t="s">
        <v>713</v>
      </c>
      <c r="E601" s="34" t="s">
        <v>1589</v>
      </c>
      <c r="F601" s="34" t="n">
        <v>1</v>
      </c>
      <c r="G601" s="34" t="n">
        <v>1</v>
      </c>
      <c r="H601" s="40" t="n">
        <v>88.6</v>
      </c>
      <c r="I601" s="34" t="n">
        <v>0</v>
      </c>
      <c r="J601" s="34" t="n">
        <v>0</v>
      </c>
      <c r="K601" s="34" t="n">
        <v>0</v>
      </c>
      <c r="L601" s="34" t="n">
        <v>101.47</v>
      </c>
      <c r="M601" s="34" t="n">
        <v>101.47</v>
      </c>
      <c r="N601" s="34" t="n">
        <v>718</v>
      </c>
      <c r="O601" s="34" t="n">
        <v>0</v>
      </c>
      <c r="P601" s="34" t="s">
        <v>501</v>
      </c>
    </row>
    <row r="602" customFormat="false" ht="14.4" hidden="false" customHeight="false" outlineLevel="0" collapsed="false">
      <c r="A602" s="34" t="n">
        <v>601</v>
      </c>
      <c r="B602" s="35" t="n">
        <v>9413065000133</v>
      </c>
      <c r="C602" s="34" t="s">
        <v>1590</v>
      </c>
      <c r="D602" s="34" t="s">
        <v>1591</v>
      </c>
      <c r="E602" s="34" t="s">
        <v>1592</v>
      </c>
      <c r="F602" s="34" t="n">
        <v>1</v>
      </c>
      <c r="G602" s="34" t="n">
        <v>1</v>
      </c>
      <c r="H602" s="40" t="n">
        <v>88.6</v>
      </c>
      <c r="I602" s="34" t="n">
        <v>0</v>
      </c>
      <c r="J602" s="34" t="n">
        <v>0</v>
      </c>
      <c r="K602" s="34" t="n">
        <v>0</v>
      </c>
      <c r="L602" s="34" t="n">
        <v>101.47</v>
      </c>
      <c r="M602" s="34" t="n">
        <v>101.47</v>
      </c>
      <c r="N602" s="34" t="n">
        <v>718</v>
      </c>
      <c r="O602" s="34" t="n">
        <v>0</v>
      </c>
      <c r="P602" s="34" t="s">
        <v>504</v>
      </c>
    </row>
    <row r="603" customFormat="false" ht="14.4" hidden="false" customHeight="false" outlineLevel="0" collapsed="false">
      <c r="A603" s="34" t="n">
        <v>602</v>
      </c>
      <c r="B603" s="35" t="n">
        <v>10934027000105</v>
      </c>
      <c r="C603" s="34" t="s">
        <v>1593</v>
      </c>
      <c r="D603" s="34" t="s">
        <v>565</v>
      </c>
      <c r="E603" s="34" t="s">
        <v>1594</v>
      </c>
      <c r="F603" s="34" t="n">
        <v>1</v>
      </c>
      <c r="G603" s="34" t="n">
        <v>1</v>
      </c>
      <c r="H603" s="40" t="n">
        <v>88.6</v>
      </c>
      <c r="I603" s="34" t="n">
        <v>0</v>
      </c>
      <c r="J603" s="34" t="n">
        <v>0</v>
      </c>
      <c r="K603" s="34" t="n">
        <v>0</v>
      </c>
      <c r="L603" s="34" t="n">
        <v>101.48</v>
      </c>
      <c r="M603" s="34" t="n">
        <v>101.48</v>
      </c>
      <c r="N603" s="34" t="n">
        <v>718</v>
      </c>
      <c r="O603" s="34" t="n">
        <v>0</v>
      </c>
      <c r="P603" s="34" t="s">
        <v>504</v>
      </c>
    </row>
    <row r="604" customFormat="false" ht="14.4" hidden="false" customHeight="false" outlineLevel="0" collapsed="false">
      <c r="A604" s="34" t="n">
        <v>603</v>
      </c>
      <c r="B604" s="35" t="n">
        <v>14749448000117</v>
      </c>
      <c r="C604" s="34" t="s">
        <v>1595</v>
      </c>
      <c r="D604" s="34" t="s">
        <v>389</v>
      </c>
      <c r="E604" s="34" t="s">
        <v>1596</v>
      </c>
      <c r="F604" s="34" t="n">
        <v>1</v>
      </c>
      <c r="G604" s="34" t="n">
        <v>1</v>
      </c>
      <c r="H604" s="40" t="n">
        <v>88.6</v>
      </c>
      <c r="I604" s="34" t="n">
        <v>0</v>
      </c>
      <c r="J604" s="34" t="n">
        <v>0</v>
      </c>
      <c r="K604" s="34" t="n">
        <v>0</v>
      </c>
      <c r="L604" s="34" t="n">
        <v>101.48</v>
      </c>
      <c r="M604" s="34" t="n">
        <v>101.48</v>
      </c>
      <c r="N604" s="34" t="n">
        <v>708</v>
      </c>
      <c r="O604" s="34" t="n">
        <v>0</v>
      </c>
      <c r="P604" s="34" t="s">
        <v>501</v>
      </c>
    </row>
    <row r="605" customFormat="false" ht="14.4" hidden="false" customHeight="false" outlineLevel="0" collapsed="false">
      <c r="A605" s="34" t="n">
        <v>604</v>
      </c>
      <c r="B605" s="35" t="n">
        <v>15116855000150</v>
      </c>
      <c r="C605" s="34" t="s">
        <v>1597</v>
      </c>
      <c r="D605" s="34" t="s">
        <v>737</v>
      </c>
      <c r="E605" s="34" t="s">
        <v>1598</v>
      </c>
      <c r="F605" s="34" t="n">
        <v>1</v>
      </c>
      <c r="G605" s="34" t="n">
        <v>1</v>
      </c>
      <c r="H605" s="40" t="n">
        <v>88.6</v>
      </c>
      <c r="I605" s="34" t="n">
        <v>0</v>
      </c>
      <c r="J605" s="34" t="n">
        <v>0</v>
      </c>
      <c r="K605" s="34" t="n">
        <v>0</v>
      </c>
      <c r="L605" s="34" t="n">
        <v>101.48</v>
      </c>
      <c r="M605" s="34" t="n">
        <v>101.48</v>
      </c>
      <c r="N605" s="34" t="n">
        <v>716</v>
      </c>
      <c r="O605" s="34" t="n">
        <v>0</v>
      </c>
      <c r="P605" s="34" t="s">
        <v>518</v>
      </c>
    </row>
    <row r="606" customFormat="false" ht="14.4" hidden="false" customHeight="false" outlineLevel="0" collapsed="false">
      <c r="A606" s="34" t="n">
        <v>605</v>
      </c>
      <c r="B606" s="35" t="n">
        <v>16828343000189</v>
      </c>
      <c r="C606" s="34" t="s">
        <v>1599</v>
      </c>
      <c r="D606" s="34" t="s">
        <v>713</v>
      </c>
      <c r="E606" s="34" t="s">
        <v>1600</v>
      </c>
      <c r="F606" s="34" t="n">
        <v>1</v>
      </c>
      <c r="G606" s="34" t="n">
        <v>1</v>
      </c>
      <c r="H606" s="40" t="n">
        <v>88.6</v>
      </c>
      <c r="I606" s="34" t="n">
        <v>0</v>
      </c>
      <c r="J606" s="34" t="n">
        <v>0</v>
      </c>
      <c r="K606" s="34" t="n">
        <v>0</v>
      </c>
      <c r="L606" s="34" t="n">
        <v>101.48</v>
      </c>
      <c r="M606" s="34" t="n">
        <v>101.48</v>
      </c>
      <c r="N606" s="34" t="n">
        <v>718</v>
      </c>
      <c r="O606" s="34" t="n">
        <v>0</v>
      </c>
      <c r="P606" s="34" t="s">
        <v>518</v>
      </c>
    </row>
    <row r="607" customFormat="false" ht="14.4" hidden="false" customHeight="false" outlineLevel="0" collapsed="false">
      <c r="A607" s="34" t="n">
        <v>606</v>
      </c>
      <c r="B607" s="35" t="n">
        <v>32517937000125</v>
      </c>
      <c r="C607" s="34" t="s">
        <v>1601</v>
      </c>
      <c r="D607" s="34" t="s">
        <v>1602</v>
      </c>
      <c r="E607" s="34" t="s">
        <v>1261</v>
      </c>
      <c r="F607" s="34" t="n">
        <v>1</v>
      </c>
      <c r="G607" s="34" t="n">
        <v>1</v>
      </c>
      <c r="H607" s="40" t="n">
        <v>88.6</v>
      </c>
      <c r="I607" s="34" t="n">
        <v>0</v>
      </c>
      <c r="J607" s="34" t="n">
        <v>0</v>
      </c>
      <c r="K607" s="34" t="n">
        <v>0</v>
      </c>
      <c r="L607" s="34" t="n">
        <v>101.48</v>
      </c>
      <c r="M607" s="34" t="n">
        <v>101.48</v>
      </c>
      <c r="N607" s="34" t="n">
        <v>800</v>
      </c>
      <c r="O607" s="34" t="n">
        <v>0</v>
      </c>
      <c r="P607" s="34" t="s">
        <v>504</v>
      </c>
    </row>
    <row r="608" customFormat="false" ht="14.4" hidden="false" customHeight="false" outlineLevel="0" collapsed="false">
      <c r="A608" s="34" t="n">
        <v>607</v>
      </c>
      <c r="B608" s="35" t="n">
        <v>34253169000175</v>
      </c>
      <c r="C608" s="34" t="s">
        <v>1603</v>
      </c>
      <c r="D608" s="34" t="s">
        <v>77</v>
      </c>
      <c r="E608" s="34" t="s">
        <v>1604</v>
      </c>
      <c r="F608" s="34" t="n">
        <v>1</v>
      </c>
      <c r="G608" s="34" t="n">
        <v>1</v>
      </c>
      <c r="H608" s="40" t="n">
        <v>88.6</v>
      </c>
      <c r="I608" s="34" t="n">
        <v>0</v>
      </c>
      <c r="J608" s="34" t="n">
        <v>0</v>
      </c>
      <c r="K608" s="34" t="n">
        <v>0</v>
      </c>
      <c r="L608" s="34" t="n">
        <v>101.49</v>
      </c>
      <c r="M608" s="34" t="n">
        <v>101.49</v>
      </c>
      <c r="N608" s="34" t="n">
        <v>135</v>
      </c>
      <c r="O608" s="34" t="n">
        <v>0</v>
      </c>
      <c r="P608" s="34" t="s">
        <v>510</v>
      </c>
    </row>
    <row r="609" customFormat="false" ht="14.4" hidden="false" customHeight="false" outlineLevel="0" collapsed="false">
      <c r="A609" s="34" t="n">
        <v>608</v>
      </c>
      <c r="B609" s="35" t="n">
        <v>36818227000196</v>
      </c>
      <c r="C609" s="34" t="s">
        <v>1605</v>
      </c>
      <c r="D609" s="34" t="s">
        <v>117</v>
      </c>
      <c r="E609" s="34" t="s">
        <v>103</v>
      </c>
      <c r="F609" s="34" t="n">
        <v>1</v>
      </c>
      <c r="G609" s="34" t="n">
        <v>1</v>
      </c>
      <c r="H609" s="40" t="n">
        <v>88.6</v>
      </c>
      <c r="I609" s="34" t="n">
        <v>0</v>
      </c>
      <c r="J609" s="34" t="n">
        <v>0</v>
      </c>
      <c r="K609" s="34" t="n">
        <v>0</v>
      </c>
      <c r="L609" s="34" t="n">
        <v>101.49</v>
      </c>
      <c r="M609" s="34" t="n">
        <v>101.49</v>
      </c>
      <c r="N609" s="34" t="n">
        <v>135</v>
      </c>
      <c r="O609" s="34" t="n">
        <v>0</v>
      </c>
      <c r="P609" s="34" t="s">
        <v>501</v>
      </c>
    </row>
    <row r="610" customFormat="false" ht="14.4" hidden="false" customHeight="false" outlineLevel="0" collapsed="false">
      <c r="A610" s="34" t="n">
        <v>609</v>
      </c>
      <c r="B610" s="35" t="n">
        <v>37563265000108</v>
      </c>
      <c r="C610" s="34" t="s">
        <v>1606</v>
      </c>
      <c r="D610" s="34" t="s">
        <v>139</v>
      </c>
      <c r="E610" s="34" t="s">
        <v>527</v>
      </c>
      <c r="F610" s="34" t="n">
        <v>1</v>
      </c>
      <c r="G610" s="34" t="n">
        <v>1</v>
      </c>
      <c r="H610" s="40" t="n">
        <v>88.6</v>
      </c>
      <c r="I610" s="34" t="n">
        <v>0</v>
      </c>
      <c r="J610" s="34" t="n">
        <v>0</v>
      </c>
      <c r="K610" s="34" t="n">
        <v>0</v>
      </c>
      <c r="L610" s="34" t="n">
        <v>101.49</v>
      </c>
      <c r="M610" s="34" t="n">
        <v>101.49</v>
      </c>
      <c r="N610" s="34" t="n">
        <v>714</v>
      </c>
      <c r="O610" s="34" t="n">
        <v>0</v>
      </c>
      <c r="P610" s="34" t="s">
        <v>518</v>
      </c>
    </row>
    <row r="611" customFormat="false" ht="14.4" hidden="false" customHeight="false" outlineLevel="0" collapsed="false">
      <c r="A611" s="34" t="n">
        <v>610</v>
      </c>
      <c r="B611" s="35" t="n">
        <v>37563265000370</v>
      </c>
      <c r="C611" s="34" t="s">
        <v>1606</v>
      </c>
      <c r="D611" s="34" t="s">
        <v>139</v>
      </c>
      <c r="E611" s="34" t="s">
        <v>1607</v>
      </c>
      <c r="F611" s="34" t="n">
        <v>1</v>
      </c>
      <c r="G611" s="34" t="n">
        <v>1</v>
      </c>
      <c r="H611" s="40" t="n">
        <v>88.6</v>
      </c>
      <c r="I611" s="34" t="n">
        <v>0</v>
      </c>
      <c r="J611" s="34" t="n">
        <v>0</v>
      </c>
      <c r="K611" s="34" t="n">
        <v>0</v>
      </c>
      <c r="L611" s="34" t="n">
        <v>101.49</v>
      </c>
      <c r="M611" s="34" t="n">
        <v>101.49</v>
      </c>
      <c r="N611" s="34" t="n">
        <v>714</v>
      </c>
      <c r="O611" s="34" t="n">
        <v>0</v>
      </c>
      <c r="P611" s="34" t="s">
        <v>518</v>
      </c>
    </row>
    <row r="612" customFormat="false" ht="14.4" hidden="false" customHeight="false" outlineLevel="0" collapsed="false">
      <c r="A612" s="34" t="n">
        <v>611</v>
      </c>
      <c r="B612" s="35" t="n">
        <v>39470251000175</v>
      </c>
      <c r="C612" s="34" t="s">
        <v>1608</v>
      </c>
      <c r="D612" s="34" t="s">
        <v>848</v>
      </c>
      <c r="E612" s="34" t="s">
        <v>1609</v>
      </c>
      <c r="F612" s="34" t="n">
        <v>1</v>
      </c>
      <c r="G612" s="34" t="n">
        <v>1</v>
      </c>
      <c r="H612" s="40" t="n">
        <v>88.6</v>
      </c>
      <c r="I612" s="34" t="n">
        <v>0</v>
      </c>
      <c r="J612" s="34" t="n">
        <v>0</v>
      </c>
      <c r="K612" s="34" t="n">
        <v>0</v>
      </c>
      <c r="L612" s="34" t="n">
        <v>101.49</v>
      </c>
      <c r="M612" s="34" t="n">
        <v>101.49</v>
      </c>
      <c r="N612" s="34" t="n">
        <v>712</v>
      </c>
      <c r="O612" s="34" t="n">
        <v>0</v>
      </c>
      <c r="P612" s="34" t="s">
        <v>510</v>
      </c>
    </row>
    <row r="613" customFormat="false" ht="14.4" hidden="false" customHeight="false" outlineLevel="0" collapsed="false">
      <c r="A613" s="34" t="n">
        <v>612</v>
      </c>
      <c r="B613" s="35" t="n">
        <v>49646298000109</v>
      </c>
      <c r="C613" s="34" t="s">
        <v>1610</v>
      </c>
      <c r="D613" s="34" t="s">
        <v>713</v>
      </c>
      <c r="E613" s="34" t="s">
        <v>1611</v>
      </c>
      <c r="F613" s="34" t="n">
        <v>1</v>
      </c>
      <c r="G613" s="34" t="n">
        <v>1</v>
      </c>
      <c r="H613" s="40" t="n">
        <v>88.6</v>
      </c>
      <c r="I613" s="34" t="n">
        <v>0</v>
      </c>
      <c r="J613" s="34" t="n">
        <v>0</v>
      </c>
      <c r="K613" s="34" t="n">
        <v>0</v>
      </c>
      <c r="L613" s="34" t="n">
        <v>101.5</v>
      </c>
      <c r="M613" s="34" t="n">
        <v>101.5</v>
      </c>
      <c r="N613" s="34" t="n">
        <v>718</v>
      </c>
      <c r="O613" s="34" t="n">
        <v>0</v>
      </c>
      <c r="P613" s="34" t="s">
        <v>501</v>
      </c>
    </row>
    <row r="614" customFormat="false" ht="14.4" hidden="false" customHeight="false" outlineLevel="0" collapsed="false">
      <c r="A614" s="34" t="n">
        <v>613</v>
      </c>
      <c r="B614" s="35" t="n">
        <v>52903607000266</v>
      </c>
      <c r="C614" s="34" t="s">
        <v>1328</v>
      </c>
      <c r="D614" s="34" t="s">
        <v>77</v>
      </c>
      <c r="E614" s="34" t="s">
        <v>1612</v>
      </c>
      <c r="F614" s="34" t="n">
        <v>1</v>
      </c>
      <c r="G614" s="34" t="n">
        <v>1</v>
      </c>
      <c r="H614" s="40" t="n">
        <v>88.6</v>
      </c>
      <c r="I614" s="34" t="n">
        <v>0</v>
      </c>
      <c r="J614" s="34" t="n">
        <v>0</v>
      </c>
      <c r="K614" s="34" t="n">
        <v>0</v>
      </c>
      <c r="L614" s="34" t="n">
        <v>101.5</v>
      </c>
      <c r="M614" s="34" t="n">
        <v>101.5</v>
      </c>
      <c r="N614" s="34" t="n">
        <v>702</v>
      </c>
      <c r="O614" s="34" t="n">
        <v>0</v>
      </c>
      <c r="P614" s="34" t="s">
        <v>501</v>
      </c>
    </row>
    <row r="615" customFormat="false" ht="14.4" hidden="false" customHeight="false" outlineLevel="0" collapsed="false">
      <c r="A615" s="34" t="n">
        <v>614</v>
      </c>
      <c r="B615" s="35" t="n">
        <v>52934777000127</v>
      </c>
      <c r="C615" s="34" t="s">
        <v>1613</v>
      </c>
      <c r="D615" s="34" t="s">
        <v>764</v>
      </c>
      <c r="E615" s="34" t="s">
        <v>1614</v>
      </c>
      <c r="F615" s="34" t="n">
        <v>1</v>
      </c>
      <c r="G615" s="34" t="n">
        <v>1</v>
      </c>
      <c r="H615" s="40" t="n">
        <v>88.6</v>
      </c>
      <c r="I615" s="34" t="n">
        <v>0</v>
      </c>
      <c r="J615" s="34" t="n">
        <v>0</v>
      </c>
      <c r="K615" s="34" t="n">
        <v>0</v>
      </c>
      <c r="L615" s="34" t="n">
        <v>101.5</v>
      </c>
      <c r="M615" s="34" t="n">
        <v>101.5</v>
      </c>
      <c r="N615" s="34" t="n">
        <v>718</v>
      </c>
      <c r="O615" s="34" t="n">
        <v>0</v>
      </c>
      <c r="P615" s="34" t="s">
        <v>518</v>
      </c>
    </row>
    <row r="616" customFormat="false" ht="14.4" hidden="false" customHeight="false" outlineLevel="0" collapsed="false">
      <c r="A616" s="34" t="n">
        <v>615</v>
      </c>
      <c r="B616" s="35" t="n">
        <v>5546191000105</v>
      </c>
      <c r="C616" s="34" t="s">
        <v>1615</v>
      </c>
      <c r="D616" s="34" t="s">
        <v>737</v>
      </c>
      <c r="E616" s="34" t="s">
        <v>1616</v>
      </c>
      <c r="F616" s="34" t="n">
        <v>1</v>
      </c>
      <c r="G616" s="34" t="n">
        <v>1</v>
      </c>
      <c r="H616" s="40" t="n">
        <v>87.28</v>
      </c>
      <c r="I616" s="34" t="n">
        <v>0</v>
      </c>
      <c r="J616" s="34" t="n">
        <v>0</v>
      </c>
      <c r="K616" s="34" t="n">
        <v>0</v>
      </c>
      <c r="L616" s="34" t="n">
        <v>101.5</v>
      </c>
      <c r="M616" s="34" t="n">
        <v>101.5</v>
      </c>
      <c r="N616" s="34" t="n">
        <v>716</v>
      </c>
      <c r="O616" s="34" t="n">
        <v>0</v>
      </c>
      <c r="P616" s="34" t="s">
        <v>510</v>
      </c>
    </row>
    <row r="617" customFormat="false" ht="14.4" hidden="false" customHeight="false" outlineLevel="0" collapsed="false">
      <c r="A617" s="34" t="n">
        <v>616</v>
      </c>
      <c r="B617" s="35" t="n">
        <v>8207976000141</v>
      </c>
      <c r="C617" s="34" t="s">
        <v>1617</v>
      </c>
      <c r="D617" s="34" t="s">
        <v>1618</v>
      </c>
      <c r="E617" s="34" t="s">
        <v>1619</v>
      </c>
      <c r="F617" s="34" t="n">
        <v>1</v>
      </c>
      <c r="G617" s="34" t="n">
        <v>1</v>
      </c>
      <c r="H617" s="40" t="n">
        <v>87.28</v>
      </c>
      <c r="I617" s="34" t="n">
        <v>0</v>
      </c>
      <c r="J617" s="34" t="n">
        <v>0</v>
      </c>
      <c r="K617" s="34" t="n">
        <v>0</v>
      </c>
      <c r="L617" s="34" t="n">
        <v>101.5</v>
      </c>
      <c r="M617" s="34" t="n">
        <v>101.5</v>
      </c>
      <c r="N617" s="34" t="n">
        <v>709</v>
      </c>
      <c r="O617" s="34" t="n">
        <v>0</v>
      </c>
      <c r="P617" s="34" t="s">
        <v>501</v>
      </c>
    </row>
    <row r="618" customFormat="false" ht="14.4" hidden="false" customHeight="false" outlineLevel="0" collapsed="false">
      <c r="A618" s="34" t="n">
        <v>617</v>
      </c>
      <c r="B618" s="35" t="n">
        <v>8752211000273</v>
      </c>
      <c r="C618" s="34" t="s">
        <v>1620</v>
      </c>
      <c r="D618" s="34" t="s">
        <v>309</v>
      </c>
      <c r="E618" s="34" t="s">
        <v>1621</v>
      </c>
      <c r="F618" s="34" t="n">
        <v>1</v>
      </c>
      <c r="G618" s="34" t="n">
        <v>1</v>
      </c>
      <c r="H618" s="40" t="n">
        <v>87.28</v>
      </c>
      <c r="I618" s="34" t="n">
        <v>0</v>
      </c>
      <c r="J618" s="34" t="n">
        <v>0</v>
      </c>
      <c r="K618" s="34" t="n">
        <v>0</v>
      </c>
      <c r="L618" s="34" t="n">
        <v>101.51</v>
      </c>
      <c r="M618" s="34" t="n">
        <v>101.51</v>
      </c>
      <c r="N618" s="34" t="n">
        <v>704</v>
      </c>
      <c r="O618" s="34" t="n">
        <v>0</v>
      </c>
      <c r="P618" s="34" t="s">
        <v>501</v>
      </c>
    </row>
    <row r="619" customFormat="false" ht="14.4" hidden="false" customHeight="false" outlineLevel="0" collapsed="false">
      <c r="A619" s="34" t="n">
        <v>618</v>
      </c>
      <c r="B619" s="35" t="n">
        <v>8752211000354</v>
      </c>
      <c r="C619" s="34" t="s">
        <v>1620</v>
      </c>
      <c r="D619" s="34" t="s">
        <v>309</v>
      </c>
      <c r="E619" s="34" t="s">
        <v>1622</v>
      </c>
      <c r="F619" s="34" t="n">
        <v>1</v>
      </c>
      <c r="G619" s="34" t="n">
        <v>1</v>
      </c>
      <c r="H619" s="40" t="n">
        <v>87.28</v>
      </c>
      <c r="I619" s="34" t="n">
        <v>0</v>
      </c>
      <c r="J619" s="34" t="n">
        <v>0</v>
      </c>
      <c r="K619" s="34" t="n">
        <v>0</v>
      </c>
      <c r="L619" s="34" t="n">
        <v>101.51</v>
      </c>
      <c r="M619" s="34" t="n">
        <v>101.51</v>
      </c>
      <c r="N619" s="34" t="n">
        <v>718</v>
      </c>
      <c r="O619" s="34" t="n">
        <v>0</v>
      </c>
      <c r="P619" s="34" t="s">
        <v>501</v>
      </c>
    </row>
    <row r="620" customFormat="false" ht="14.4" hidden="false" customHeight="false" outlineLevel="0" collapsed="false">
      <c r="A620" s="34" t="n">
        <v>619</v>
      </c>
      <c r="B620" s="35" t="n">
        <v>29891809000132</v>
      </c>
      <c r="C620" s="34" t="s">
        <v>1623</v>
      </c>
      <c r="D620" s="34" t="s">
        <v>309</v>
      </c>
      <c r="E620" s="34" t="s">
        <v>1624</v>
      </c>
      <c r="F620" s="34" t="n">
        <v>1</v>
      </c>
      <c r="G620" s="34" t="n">
        <v>1</v>
      </c>
      <c r="H620" s="40" t="n">
        <v>87.28</v>
      </c>
      <c r="I620" s="34" t="n">
        <v>0</v>
      </c>
      <c r="J620" s="34" t="n">
        <v>0</v>
      </c>
      <c r="K620" s="34" t="n">
        <v>0</v>
      </c>
      <c r="L620" s="34" t="n">
        <v>101.51</v>
      </c>
      <c r="M620" s="34" t="n">
        <v>101.51</v>
      </c>
      <c r="N620" s="34" t="n">
        <v>704</v>
      </c>
      <c r="O620" s="34" t="n">
        <v>0</v>
      </c>
      <c r="P620" s="34" t="s">
        <v>504</v>
      </c>
    </row>
    <row r="621" customFormat="false" ht="14.4" hidden="false" customHeight="false" outlineLevel="0" collapsed="false">
      <c r="A621" s="34" t="n">
        <v>620</v>
      </c>
      <c r="B621" s="35" t="n">
        <v>24062709000180</v>
      </c>
      <c r="C621" s="34" t="s">
        <v>1625</v>
      </c>
      <c r="D621" s="34" t="s">
        <v>77</v>
      </c>
      <c r="E621" s="34" t="s">
        <v>1626</v>
      </c>
      <c r="F621" s="34" t="n">
        <v>0</v>
      </c>
      <c r="G621" s="34" t="n">
        <v>0</v>
      </c>
      <c r="H621" s="40" t="n">
        <v>85.42</v>
      </c>
      <c r="I621" s="34" t="n">
        <v>0</v>
      </c>
      <c r="J621" s="34" t="n">
        <v>0</v>
      </c>
      <c r="K621" s="34" t="n">
        <v>0</v>
      </c>
      <c r="L621" s="34" t="n">
        <v>101.51</v>
      </c>
      <c r="M621" s="34" t="n">
        <v>101.51</v>
      </c>
      <c r="N621" s="34" t="n">
        <v>757</v>
      </c>
      <c r="O621" s="34" t="n">
        <v>0</v>
      </c>
      <c r="P621" s="34" t="s">
        <v>518</v>
      </c>
    </row>
    <row r="622" customFormat="false" ht="14.4" hidden="false" customHeight="false" outlineLevel="0" collapsed="false">
      <c r="A622" s="34" t="n">
        <v>621</v>
      </c>
      <c r="B622" s="35" t="n">
        <v>41817174000129</v>
      </c>
      <c r="C622" s="34" t="s">
        <v>1627</v>
      </c>
      <c r="D622" s="34" t="s">
        <v>77</v>
      </c>
      <c r="E622" s="34" t="s">
        <v>1628</v>
      </c>
      <c r="F622" s="34" t="n">
        <v>5</v>
      </c>
      <c r="G622" s="34" t="n">
        <v>1</v>
      </c>
      <c r="H622" s="40" t="n">
        <v>83.22</v>
      </c>
      <c r="I622" s="34" t="n">
        <v>0</v>
      </c>
      <c r="J622" s="34" t="n">
        <v>0</v>
      </c>
      <c r="K622" s="34" t="n">
        <v>0</v>
      </c>
      <c r="L622" s="34" t="n">
        <v>101.51</v>
      </c>
      <c r="M622" s="34" t="n">
        <v>101.51</v>
      </c>
      <c r="N622" s="34" t="n">
        <v>757</v>
      </c>
      <c r="O622" s="34" t="n">
        <v>0</v>
      </c>
      <c r="P622" s="34" t="s">
        <v>510</v>
      </c>
    </row>
    <row r="623" customFormat="false" ht="14.4" hidden="false" customHeight="false" outlineLevel="0" collapsed="false">
      <c r="A623" s="34" t="n">
        <v>622</v>
      </c>
      <c r="B623" s="35" t="n">
        <v>44424720000150</v>
      </c>
      <c r="C623" s="34" t="s">
        <v>1629</v>
      </c>
      <c r="D623" s="34" t="s">
        <v>77</v>
      </c>
      <c r="E623" s="34" t="s">
        <v>1630</v>
      </c>
      <c r="F623" s="34" t="n">
        <v>3</v>
      </c>
      <c r="G623" s="34" t="n">
        <v>0</v>
      </c>
      <c r="H623" s="40" t="n">
        <v>82.77</v>
      </c>
      <c r="I623" s="34" t="n">
        <v>0</v>
      </c>
      <c r="J623" s="34" t="n">
        <v>0</v>
      </c>
      <c r="K623" s="34" t="n">
        <v>0</v>
      </c>
      <c r="L623" s="34" t="n">
        <v>101.51</v>
      </c>
      <c r="M623" s="34" t="n">
        <v>101.51</v>
      </c>
      <c r="N623" s="34" t="n">
        <v>130</v>
      </c>
      <c r="O623" s="34" t="n">
        <v>0</v>
      </c>
      <c r="P623" s="34" t="s">
        <v>776</v>
      </c>
    </row>
    <row r="624" customFormat="false" ht="14.4" hidden="false" customHeight="false" outlineLevel="0" collapsed="false">
      <c r="A624" s="34" t="n">
        <v>623</v>
      </c>
      <c r="B624" s="35" t="n">
        <v>39413121000109</v>
      </c>
      <c r="C624" s="34" t="s">
        <v>1631</v>
      </c>
      <c r="D624" s="34" t="s">
        <v>139</v>
      </c>
      <c r="E624" s="34" t="s">
        <v>1632</v>
      </c>
      <c r="F624" s="34" t="n">
        <v>4</v>
      </c>
      <c r="G624" s="34" t="n">
        <v>2</v>
      </c>
      <c r="H624" s="40" t="n">
        <v>81.98</v>
      </c>
      <c r="I624" s="34" t="n">
        <v>0</v>
      </c>
      <c r="J624" s="34" t="n">
        <v>0</v>
      </c>
      <c r="K624" s="34" t="n">
        <v>0</v>
      </c>
      <c r="L624" s="34" t="n">
        <v>101.52</v>
      </c>
      <c r="M624" s="34" t="n">
        <v>101.52</v>
      </c>
      <c r="N624" s="34" t="n">
        <v>214</v>
      </c>
      <c r="O624" s="34" t="n">
        <v>0</v>
      </c>
      <c r="P624" s="34" t="s">
        <v>518</v>
      </c>
    </row>
    <row r="625" customFormat="false" ht="14.4" hidden="false" customHeight="false" outlineLevel="0" collapsed="false">
      <c r="A625" s="34" t="n">
        <v>624</v>
      </c>
      <c r="B625" s="35" t="n">
        <v>7669269000104</v>
      </c>
      <c r="C625" s="34" t="s">
        <v>1633</v>
      </c>
      <c r="D625" s="34" t="s">
        <v>77</v>
      </c>
      <c r="E625" s="34" t="s">
        <v>1634</v>
      </c>
      <c r="F625" s="34" t="n">
        <v>3</v>
      </c>
      <c r="G625" s="34" t="n">
        <v>0</v>
      </c>
      <c r="H625" s="40" t="n">
        <v>81.16</v>
      </c>
      <c r="I625" s="34" t="n">
        <v>0</v>
      </c>
      <c r="J625" s="34" t="n">
        <v>0</v>
      </c>
      <c r="K625" s="34" t="n">
        <v>0</v>
      </c>
      <c r="L625" s="34" t="n">
        <v>101.52</v>
      </c>
      <c r="M625" s="34" t="n">
        <v>101.52</v>
      </c>
      <c r="N625" s="34" t="n">
        <v>759</v>
      </c>
      <c r="O625" s="34" t="n">
        <v>0</v>
      </c>
      <c r="P625" s="34" t="s">
        <v>501</v>
      </c>
    </row>
    <row r="626" customFormat="false" ht="14.4" hidden="false" customHeight="false" outlineLevel="0" collapsed="false">
      <c r="A626" s="34" t="n">
        <v>625</v>
      </c>
      <c r="B626" s="35" t="n">
        <v>20928345000117</v>
      </c>
      <c r="C626" s="34" t="s">
        <v>1635</v>
      </c>
      <c r="D626" s="34" t="s">
        <v>89</v>
      </c>
      <c r="E626" s="34" t="s">
        <v>1636</v>
      </c>
      <c r="F626" s="34" t="n">
        <v>2</v>
      </c>
      <c r="G626" s="34" t="n">
        <v>0</v>
      </c>
      <c r="H626" s="40" t="n">
        <v>72.68</v>
      </c>
      <c r="I626" s="34" t="n">
        <v>0</v>
      </c>
      <c r="J626" s="34" t="n">
        <v>0</v>
      </c>
      <c r="K626" s="34" t="n">
        <v>0</v>
      </c>
      <c r="L626" s="34" t="n">
        <v>101.52</v>
      </c>
      <c r="M626" s="34" t="n">
        <v>101.52</v>
      </c>
      <c r="N626" s="34" t="n">
        <v>711</v>
      </c>
      <c r="O626" s="34" t="n">
        <v>0</v>
      </c>
      <c r="P626" s="34" t="s">
        <v>776</v>
      </c>
    </row>
    <row r="627" customFormat="false" ht="14.4" hidden="false" customHeight="false" outlineLevel="0" collapsed="false">
      <c r="A627" s="34" t="n">
        <v>626</v>
      </c>
      <c r="B627" s="35" t="n">
        <v>38655997000190</v>
      </c>
      <c r="C627" s="34" t="s">
        <v>1637</v>
      </c>
      <c r="D627" s="34" t="s">
        <v>357</v>
      </c>
      <c r="E627" s="34" t="s">
        <v>1638</v>
      </c>
      <c r="F627" s="34" t="n">
        <v>1</v>
      </c>
      <c r="G627" s="34" t="n">
        <v>0</v>
      </c>
      <c r="H627" s="40" t="n">
        <v>69.06</v>
      </c>
      <c r="I627" s="34" t="n">
        <v>0</v>
      </c>
      <c r="J627" s="34" t="n">
        <v>0</v>
      </c>
      <c r="K627" s="34" t="n">
        <v>0</v>
      </c>
      <c r="L627" s="34" t="n">
        <v>101.52</v>
      </c>
      <c r="M627" s="34" t="n">
        <v>101.52</v>
      </c>
      <c r="N627" s="34" t="n">
        <v>708</v>
      </c>
      <c r="O627" s="34" t="n">
        <v>0</v>
      </c>
      <c r="P627" s="34" t="s">
        <v>1278</v>
      </c>
    </row>
    <row r="628" customFormat="false" ht="14.4" hidden="false" customHeight="false" outlineLevel="0" collapsed="false">
      <c r="A628" s="34" t="n">
        <v>627</v>
      </c>
      <c r="B628" s="35" t="n">
        <v>112373000154</v>
      </c>
      <c r="C628" s="34" t="s">
        <v>1639</v>
      </c>
      <c r="D628" s="34" t="s">
        <v>107</v>
      </c>
      <c r="E628" s="34" t="s">
        <v>1576</v>
      </c>
      <c r="F628" s="34" t="n">
        <v>0</v>
      </c>
      <c r="G628" s="34" t="n">
        <v>0</v>
      </c>
      <c r="H628" s="40" t="n">
        <v>65.52</v>
      </c>
      <c r="I628" s="34" t="n">
        <v>0</v>
      </c>
      <c r="J628" s="34" t="n">
        <v>0</v>
      </c>
      <c r="K628" s="34" t="n">
        <v>0</v>
      </c>
      <c r="L628" s="34" t="n">
        <v>101.52</v>
      </c>
      <c r="M628" s="34" t="n">
        <v>101.52</v>
      </c>
      <c r="N628" s="34" t="n">
        <v>707</v>
      </c>
      <c r="O628" s="34" t="n">
        <v>0</v>
      </c>
      <c r="P628" s="34" t="s">
        <v>518</v>
      </c>
    </row>
    <row r="629" customFormat="false" ht="14.4" hidden="false" customHeight="false" outlineLevel="0" collapsed="false">
      <c r="A629" s="34" t="n">
        <v>628</v>
      </c>
      <c r="B629" s="35" t="n">
        <v>1125355000170</v>
      </c>
      <c r="C629" s="34" t="s">
        <v>1640</v>
      </c>
      <c r="D629" s="34" t="s">
        <v>1306</v>
      </c>
      <c r="E629" s="34" t="s">
        <v>1402</v>
      </c>
      <c r="F629" s="34" t="n">
        <v>0</v>
      </c>
      <c r="G629" s="34" t="n">
        <v>0</v>
      </c>
      <c r="H629" s="40" t="n">
        <v>65.52</v>
      </c>
      <c r="I629" s="34" t="n">
        <v>0</v>
      </c>
      <c r="J629" s="34" t="n">
        <v>0</v>
      </c>
      <c r="K629" s="34" t="n">
        <v>0</v>
      </c>
      <c r="L629" s="34" t="n">
        <v>101.52</v>
      </c>
      <c r="M629" s="34" t="n">
        <v>101.52</v>
      </c>
      <c r="N629" s="34" t="n">
        <v>705</v>
      </c>
      <c r="O629" s="34" t="n">
        <v>0</v>
      </c>
      <c r="P629" s="34" t="s">
        <v>510</v>
      </c>
    </row>
    <row r="630" customFormat="false" ht="14.4" hidden="false" customHeight="false" outlineLevel="0" collapsed="false">
      <c r="A630" s="34" t="n">
        <v>629</v>
      </c>
      <c r="B630" s="35" t="n">
        <v>1462859000185</v>
      </c>
      <c r="C630" s="34" t="s">
        <v>1641</v>
      </c>
      <c r="D630" s="34" t="s">
        <v>139</v>
      </c>
      <c r="E630" s="34" t="s">
        <v>605</v>
      </c>
      <c r="F630" s="34" t="n">
        <v>0</v>
      </c>
      <c r="G630" s="34" t="n">
        <v>0</v>
      </c>
      <c r="H630" s="40" t="n">
        <v>65.52</v>
      </c>
      <c r="I630" s="34" t="n">
        <v>0</v>
      </c>
      <c r="J630" s="34" t="n">
        <v>0</v>
      </c>
      <c r="K630" s="34" t="n">
        <v>0</v>
      </c>
      <c r="L630" s="34" t="n">
        <v>101.53</v>
      </c>
      <c r="M630" s="34" t="n">
        <v>101.53</v>
      </c>
      <c r="N630" s="34" t="n">
        <v>714</v>
      </c>
      <c r="O630" s="34" t="n">
        <v>0</v>
      </c>
      <c r="P630" s="34" t="s">
        <v>501</v>
      </c>
    </row>
    <row r="631" customFormat="false" ht="14.4" hidden="false" customHeight="false" outlineLevel="0" collapsed="false">
      <c r="A631" s="34" t="n">
        <v>630</v>
      </c>
      <c r="B631" s="35" t="n">
        <v>3753165000122</v>
      </c>
      <c r="C631" s="34" t="s">
        <v>1642</v>
      </c>
      <c r="D631" s="34" t="s">
        <v>342</v>
      </c>
      <c r="E631" s="34" t="s">
        <v>898</v>
      </c>
      <c r="F631" s="34" t="n">
        <v>0</v>
      </c>
      <c r="G631" s="34" t="n">
        <v>0</v>
      </c>
      <c r="H631" s="40" t="n">
        <v>65.52</v>
      </c>
      <c r="I631" s="34" t="n">
        <v>0</v>
      </c>
      <c r="J631" s="34" t="n">
        <v>0</v>
      </c>
      <c r="K631" s="34" t="n">
        <v>0</v>
      </c>
      <c r="L631" s="34" t="n">
        <v>101.53</v>
      </c>
      <c r="M631" s="34" t="n">
        <v>101.53</v>
      </c>
      <c r="N631" s="34" t="n">
        <v>705</v>
      </c>
      <c r="O631" s="34" t="n">
        <v>0</v>
      </c>
      <c r="P631" s="34" t="s">
        <v>504</v>
      </c>
    </row>
    <row r="632" customFormat="false" ht="14.4" hidden="false" customHeight="false" outlineLevel="0" collapsed="false">
      <c r="A632" s="34" t="n">
        <v>631</v>
      </c>
      <c r="B632" s="35" t="n">
        <v>5075521000121</v>
      </c>
      <c r="C632" s="34" t="s">
        <v>1643</v>
      </c>
      <c r="D632" s="34" t="s">
        <v>744</v>
      </c>
      <c r="E632" s="34" t="s">
        <v>503</v>
      </c>
      <c r="F632" s="34" t="n">
        <v>0</v>
      </c>
      <c r="G632" s="34" t="n">
        <v>0</v>
      </c>
      <c r="H632" s="40" t="n">
        <v>65.52</v>
      </c>
      <c r="I632" s="34" t="n">
        <v>0</v>
      </c>
      <c r="J632" s="34" t="n">
        <v>0</v>
      </c>
      <c r="K632" s="34" t="n">
        <v>0</v>
      </c>
      <c r="L632" s="34" t="n">
        <v>101.53</v>
      </c>
      <c r="M632" s="34" t="n">
        <v>101.53</v>
      </c>
      <c r="N632" s="34" t="n">
        <v>718</v>
      </c>
      <c r="O632" s="34" t="n">
        <v>0</v>
      </c>
      <c r="P632" s="34" t="s">
        <v>501</v>
      </c>
    </row>
    <row r="633" customFormat="false" ht="14.4" hidden="false" customHeight="false" outlineLevel="0" collapsed="false">
      <c r="A633" s="34" t="n">
        <v>632</v>
      </c>
      <c r="B633" s="35" t="n">
        <v>7387771000122</v>
      </c>
      <c r="C633" s="34" t="s">
        <v>1644</v>
      </c>
      <c r="D633" s="34" t="s">
        <v>1562</v>
      </c>
      <c r="E633" s="34" t="s">
        <v>1645</v>
      </c>
      <c r="F633" s="34" t="n">
        <v>0</v>
      </c>
      <c r="G633" s="34" t="n">
        <v>0</v>
      </c>
      <c r="H633" s="40" t="n">
        <v>65.52</v>
      </c>
      <c r="I633" s="34" t="n">
        <v>0</v>
      </c>
      <c r="J633" s="34" t="n">
        <v>0</v>
      </c>
      <c r="K633" s="34" t="n">
        <v>0</v>
      </c>
      <c r="L633" s="34" t="n">
        <v>101.53</v>
      </c>
      <c r="M633" s="34" t="n">
        <v>101.53</v>
      </c>
      <c r="N633" s="34" t="n">
        <v>712</v>
      </c>
      <c r="O633" s="34" t="n">
        <v>0</v>
      </c>
      <c r="P633" s="34" t="s">
        <v>504</v>
      </c>
    </row>
    <row r="634" customFormat="false" ht="14.4" hidden="false" customHeight="false" outlineLevel="0" collapsed="false">
      <c r="A634" s="34" t="n">
        <v>633</v>
      </c>
      <c r="B634" s="35" t="n">
        <v>7814854000150</v>
      </c>
      <c r="C634" s="34" t="s">
        <v>1646</v>
      </c>
      <c r="D634" s="34" t="s">
        <v>309</v>
      </c>
      <c r="E634" s="34" t="s">
        <v>1647</v>
      </c>
      <c r="F634" s="34" t="n">
        <v>0</v>
      </c>
      <c r="G634" s="34" t="n">
        <v>0</v>
      </c>
      <c r="H634" s="40" t="n">
        <v>65.52</v>
      </c>
      <c r="I634" s="34" t="n">
        <v>0</v>
      </c>
      <c r="J634" s="34" t="n">
        <v>0</v>
      </c>
      <c r="K634" s="34" t="n">
        <v>0</v>
      </c>
      <c r="L634" s="34" t="n">
        <v>101.53</v>
      </c>
      <c r="M634" s="34" t="n">
        <v>101.53</v>
      </c>
      <c r="N634" s="34" t="n">
        <v>704</v>
      </c>
      <c r="O634" s="34" t="n">
        <v>0</v>
      </c>
      <c r="P634" s="34" t="s">
        <v>510</v>
      </c>
    </row>
    <row r="635" customFormat="false" ht="14.4" hidden="false" customHeight="false" outlineLevel="0" collapsed="false">
      <c r="A635" s="34" t="n">
        <v>634</v>
      </c>
      <c r="B635" s="35" t="n">
        <v>8487123000100</v>
      </c>
      <c r="C635" s="34" t="s">
        <v>1648</v>
      </c>
      <c r="D635" s="34" t="s">
        <v>77</v>
      </c>
      <c r="E635" s="34" t="s">
        <v>1649</v>
      </c>
      <c r="F635" s="34" t="n">
        <v>0</v>
      </c>
      <c r="G635" s="34" t="n">
        <v>0</v>
      </c>
      <c r="H635" s="40" t="n">
        <v>65.52</v>
      </c>
      <c r="I635" s="34" t="n">
        <v>0</v>
      </c>
      <c r="J635" s="34" t="n">
        <v>0</v>
      </c>
      <c r="K635" s="34" t="n">
        <v>0</v>
      </c>
      <c r="L635" s="34" t="n">
        <v>101.53</v>
      </c>
      <c r="M635" s="34" t="n">
        <v>101.53</v>
      </c>
      <c r="N635" s="34" t="n">
        <v>759</v>
      </c>
      <c r="O635" s="34" t="n">
        <v>0</v>
      </c>
      <c r="P635" s="34" t="s">
        <v>504</v>
      </c>
    </row>
    <row r="636" customFormat="false" ht="14.4" hidden="false" customHeight="false" outlineLevel="0" collapsed="false">
      <c r="A636" s="34" t="n">
        <v>635</v>
      </c>
      <c r="B636" s="35" t="n">
        <v>10806872000103</v>
      </c>
      <c r="C636" s="34" t="s">
        <v>1650</v>
      </c>
      <c r="D636" s="34" t="s">
        <v>692</v>
      </c>
      <c r="E636" s="34" t="s">
        <v>1155</v>
      </c>
      <c r="F636" s="34" t="n">
        <v>0</v>
      </c>
      <c r="G636" s="34" t="n">
        <v>0</v>
      </c>
      <c r="H636" s="40" t="n">
        <v>65.52</v>
      </c>
      <c r="I636" s="34" t="n">
        <v>0</v>
      </c>
      <c r="J636" s="34" t="n">
        <v>0</v>
      </c>
      <c r="K636" s="34" t="n">
        <v>0</v>
      </c>
      <c r="L636" s="34" t="n">
        <v>101.53</v>
      </c>
      <c r="M636" s="34" t="n">
        <v>101.53</v>
      </c>
      <c r="N636" s="34" t="n">
        <v>705</v>
      </c>
      <c r="O636" s="34" t="n">
        <v>0</v>
      </c>
      <c r="P636" s="34" t="s">
        <v>510</v>
      </c>
    </row>
    <row r="637" customFormat="false" ht="14.4" hidden="false" customHeight="false" outlineLevel="0" collapsed="false">
      <c r="A637" s="34" t="n">
        <v>636</v>
      </c>
      <c r="B637" s="35" t="n">
        <v>17550015000126</v>
      </c>
      <c r="C637" s="34" t="s">
        <v>1651</v>
      </c>
      <c r="D637" s="34" t="s">
        <v>744</v>
      </c>
      <c r="E637" s="34" t="s">
        <v>972</v>
      </c>
      <c r="F637" s="34" t="n">
        <v>0</v>
      </c>
      <c r="G637" s="34" t="n">
        <v>0</v>
      </c>
      <c r="H637" s="40" t="n">
        <v>65.52</v>
      </c>
      <c r="I637" s="34" t="n">
        <v>0</v>
      </c>
      <c r="J637" s="34" t="n">
        <v>0</v>
      </c>
      <c r="K637" s="34" t="n">
        <v>0</v>
      </c>
      <c r="L637" s="34" t="n">
        <v>101.54</v>
      </c>
      <c r="M637" s="34" t="n">
        <v>101.54</v>
      </c>
      <c r="N637" s="34" t="n">
        <v>718</v>
      </c>
      <c r="O637" s="34" t="n">
        <v>0</v>
      </c>
      <c r="P637" s="34" t="s">
        <v>501</v>
      </c>
    </row>
    <row r="638" customFormat="false" ht="14.4" hidden="false" customHeight="false" outlineLevel="0" collapsed="false">
      <c r="A638" s="34" t="n">
        <v>637</v>
      </c>
      <c r="B638" s="35" t="n">
        <v>19724120000160</v>
      </c>
      <c r="C638" s="34" t="s">
        <v>828</v>
      </c>
      <c r="D638" s="34" t="s">
        <v>192</v>
      </c>
      <c r="E638" s="34" t="s">
        <v>1652</v>
      </c>
      <c r="F638" s="34" t="n">
        <v>0</v>
      </c>
      <c r="G638" s="34" t="n">
        <v>0</v>
      </c>
      <c r="H638" s="40" t="n">
        <v>65.52</v>
      </c>
      <c r="I638" s="34" t="n">
        <v>0</v>
      </c>
      <c r="J638" s="34" t="n">
        <v>0</v>
      </c>
      <c r="K638" s="34" t="n">
        <v>0</v>
      </c>
      <c r="L638" s="34" t="n">
        <v>101.54</v>
      </c>
      <c r="M638" s="34" t="n">
        <v>101.54</v>
      </c>
      <c r="N638" s="34" t="n">
        <v>703</v>
      </c>
      <c r="O638" s="34" t="n">
        <v>0</v>
      </c>
      <c r="P638" s="34" t="s">
        <v>501</v>
      </c>
    </row>
    <row r="639" customFormat="false" ht="14.4" hidden="false" customHeight="false" outlineLevel="0" collapsed="false">
      <c r="A639" s="34" t="n">
        <v>638</v>
      </c>
      <c r="B639" s="35" t="n">
        <v>23651812000100</v>
      </c>
      <c r="C639" s="34" t="s">
        <v>1653</v>
      </c>
      <c r="D639" s="34" t="s">
        <v>77</v>
      </c>
      <c r="E639" s="34" t="s">
        <v>1654</v>
      </c>
      <c r="F639" s="34" t="n">
        <v>0</v>
      </c>
      <c r="G639" s="34" t="n">
        <v>0</v>
      </c>
      <c r="H639" s="40" t="n">
        <v>65.52</v>
      </c>
      <c r="I639" s="34" t="n">
        <v>0</v>
      </c>
      <c r="J639" s="34" t="n">
        <v>0</v>
      </c>
      <c r="K639" s="34" t="n">
        <v>0</v>
      </c>
      <c r="L639" s="34" t="n">
        <v>101.54</v>
      </c>
      <c r="M639" s="34" t="n">
        <v>101.54</v>
      </c>
      <c r="N639" s="34" t="n">
        <v>757</v>
      </c>
      <c r="O639" s="34" t="n">
        <v>0</v>
      </c>
      <c r="P639" s="34" t="s">
        <v>504</v>
      </c>
    </row>
    <row r="640" customFormat="false" ht="14.4" hidden="false" customHeight="false" outlineLevel="0" collapsed="false">
      <c r="A640" s="34" t="n">
        <v>639</v>
      </c>
      <c r="B640" s="35" t="n">
        <v>24493198000150</v>
      </c>
      <c r="C640" s="34" t="s">
        <v>1655</v>
      </c>
      <c r="D640" s="34" t="s">
        <v>744</v>
      </c>
      <c r="E640" s="34" t="s">
        <v>1656</v>
      </c>
      <c r="F640" s="34" t="n">
        <v>0</v>
      </c>
      <c r="G640" s="34" t="n">
        <v>0</v>
      </c>
      <c r="H640" s="40" t="n">
        <v>65.52</v>
      </c>
      <c r="I640" s="34" t="n">
        <v>0</v>
      </c>
      <c r="J640" s="34" t="n">
        <v>0</v>
      </c>
      <c r="K640" s="34" t="n">
        <v>0</v>
      </c>
      <c r="L640" s="34" t="n">
        <v>101.54</v>
      </c>
      <c r="M640" s="34" t="n">
        <v>101.54</v>
      </c>
      <c r="N640" s="34" t="n">
        <v>718</v>
      </c>
      <c r="O640" s="34" t="n">
        <v>0</v>
      </c>
      <c r="P640" s="34" t="s">
        <v>501</v>
      </c>
    </row>
    <row r="641" customFormat="false" ht="14.4" hidden="false" customHeight="false" outlineLevel="0" collapsed="false">
      <c r="A641" s="34" t="n">
        <v>640</v>
      </c>
      <c r="B641" s="35" t="n">
        <v>27093019000186</v>
      </c>
      <c r="C641" s="34" t="s">
        <v>1657</v>
      </c>
      <c r="D641" s="34" t="s">
        <v>1658</v>
      </c>
      <c r="E641" s="34" t="s">
        <v>103</v>
      </c>
      <c r="F641" s="34" t="n">
        <v>0</v>
      </c>
      <c r="G641" s="34" t="n">
        <v>0</v>
      </c>
      <c r="H641" s="40" t="n">
        <v>65.52</v>
      </c>
      <c r="I641" s="34" t="n">
        <v>0</v>
      </c>
      <c r="J641" s="34" t="n">
        <v>0</v>
      </c>
      <c r="K641" s="34" t="n">
        <v>0</v>
      </c>
      <c r="L641" s="34" t="n">
        <v>101.54</v>
      </c>
      <c r="M641" s="34" t="n">
        <v>101.54</v>
      </c>
      <c r="N641" s="34" t="n">
        <v>703</v>
      </c>
      <c r="O641" s="34" t="n">
        <v>0</v>
      </c>
      <c r="P641" s="34" t="s">
        <v>510</v>
      </c>
    </row>
    <row r="642" customFormat="false" ht="14.4" hidden="false" customHeight="false" outlineLevel="0" collapsed="false">
      <c r="A642" s="34" t="n">
        <v>641</v>
      </c>
      <c r="B642" s="35" t="n">
        <v>36529856000104</v>
      </c>
      <c r="C642" s="34" t="s">
        <v>1659</v>
      </c>
      <c r="D642" s="34" t="s">
        <v>77</v>
      </c>
      <c r="E642" s="34" t="s">
        <v>1086</v>
      </c>
      <c r="F642" s="34" t="n">
        <v>0</v>
      </c>
      <c r="G642" s="34" t="n">
        <v>0</v>
      </c>
      <c r="H642" s="40" t="n">
        <v>65.52</v>
      </c>
      <c r="I642" s="34" t="n">
        <v>0</v>
      </c>
      <c r="J642" s="34" t="n">
        <v>0</v>
      </c>
      <c r="K642" s="34" t="n">
        <v>0</v>
      </c>
      <c r="L642" s="34" t="n">
        <v>101.54</v>
      </c>
      <c r="M642" s="34" t="n">
        <v>101.54</v>
      </c>
      <c r="N642" s="34" t="n">
        <v>757</v>
      </c>
      <c r="O642" s="34" t="n">
        <v>0</v>
      </c>
      <c r="P642" s="34" t="s">
        <v>501</v>
      </c>
    </row>
    <row r="643" customFormat="false" ht="14.4" hidden="false" customHeight="false" outlineLevel="0" collapsed="false">
      <c r="A643" s="34" t="n">
        <v>642</v>
      </c>
      <c r="B643" s="35" t="n">
        <v>58690667000143</v>
      </c>
      <c r="C643" s="34" t="s">
        <v>1660</v>
      </c>
      <c r="D643" s="34" t="s">
        <v>463</v>
      </c>
      <c r="E643" s="34" t="s">
        <v>1661</v>
      </c>
      <c r="F643" s="34" t="n">
        <v>0</v>
      </c>
      <c r="G643" s="34" t="n">
        <v>0</v>
      </c>
      <c r="H643" s="40" t="n">
        <v>65.52</v>
      </c>
      <c r="I643" s="34" t="n">
        <v>0</v>
      </c>
      <c r="J643" s="34" t="n">
        <v>0</v>
      </c>
      <c r="K643" s="34" t="n">
        <v>0</v>
      </c>
      <c r="L643" s="34" t="n">
        <v>101.54</v>
      </c>
      <c r="M643" s="34" t="n">
        <v>101.54</v>
      </c>
      <c r="N643" s="34" t="n">
        <v>712</v>
      </c>
      <c r="O643" s="34" t="n">
        <v>0</v>
      </c>
      <c r="P643" s="34" t="s">
        <v>504</v>
      </c>
    </row>
    <row r="644" customFormat="false" ht="14.4" hidden="false" customHeight="false" outlineLevel="0" collapsed="false">
      <c r="A644" s="34" t="n">
        <v>643</v>
      </c>
      <c r="B644" s="35" t="n">
        <v>17218647000197</v>
      </c>
      <c r="C644" s="34" t="s">
        <v>1662</v>
      </c>
      <c r="D644" s="34" t="s">
        <v>565</v>
      </c>
      <c r="E644" s="34" t="s">
        <v>1663</v>
      </c>
      <c r="F644" s="34" t="n">
        <v>0</v>
      </c>
      <c r="G644" s="34" t="n">
        <v>0</v>
      </c>
      <c r="H644" s="40" t="n">
        <v>64.72</v>
      </c>
      <c r="I644" s="34" t="n">
        <v>0</v>
      </c>
      <c r="J644" s="34" t="n">
        <v>0</v>
      </c>
      <c r="K644" s="34" t="n">
        <v>0</v>
      </c>
      <c r="L644" s="34" t="n">
        <v>101.55</v>
      </c>
      <c r="M644" s="34" t="n">
        <v>101.55</v>
      </c>
      <c r="N644" s="34" t="n">
        <v>721</v>
      </c>
      <c r="O644" s="34" t="n">
        <v>0</v>
      </c>
      <c r="P644" s="34" t="s">
        <v>504</v>
      </c>
    </row>
    <row r="645" customFormat="false" ht="14.4" hidden="false" customHeight="false" outlineLevel="0" collapsed="false">
      <c r="A645" s="34" t="n">
        <v>644</v>
      </c>
      <c r="B645" s="35" t="n">
        <v>17732796000170</v>
      </c>
      <c r="C645" s="34" t="s">
        <v>1664</v>
      </c>
      <c r="D645" s="34" t="s">
        <v>309</v>
      </c>
      <c r="E645" s="34" t="s">
        <v>1665</v>
      </c>
      <c r="F645" s="34" t="n">
        <v>0</v>
      </c>
      <c r="G645" s="34" t="n">
        <v>0</v>
      </c>
      <c r="H645" s="40" t="n">
        <v>64.72</v>
      </c>
      <c r="I645" s="34" t="n">
        <v>0</v>
      </c>
      <c r="J645" s="34" t="n">
        <v>0</v>
      </c>
      <c r="K645" s="34" t="n">
        <v>0</v>
      </c>
      <c r="L645" s="34" t="n">
        <v>101.55</v>
      </c>
      <c r="M645" s="34" t="n">
        <v>101.55</v>
      </c>
      <c r="N645" s="34" t="n">
        <v>704</v>
      </c>
      <c r="O645" s="34" t="n">
        <v>0</v>
      </c>
      <c r="P645" s="34" t="s">
        <v>510</v>
      </c>
    </row>
    <row r="646" customFormat="false" ht="14.4" hidden="false" customHeight="false" outlineLevel="0" collapsed="false">
      <c r="A646" s="34" t="n">
        <v>645</v>
      </c>
      <c r="B646" s="35" t="n">
        <v>20773036000115</v>
      </c>
      <c r="C646" s="34" t="s">
        <v>1666</v>
      </c>
      <c r="D646" s="34" t="s">
        <v>473</v>
      </c>
      <c r="E646" s="34" t="s">
        <v>1667</v>
      </c>
      <c r="F646" s="34" t="n">
        <v>0</v>
      </c>
      <c r="G646" s="34" t="n">
        <v>0</v>
      </c>
      <c r="H646" s="40" t="n">
        <v>64.72</v>
      </c>
      <c r="I646" s="34" t="n">
        <v>0</v>
      </c>
      <c r="J646" s="34" t="n">
        <v>0</v>
      </c>
      <c r="K646" s="34" t="n">
        <v>0</v>
      </c>
      <c r="L646" s="34" t="n">
        <v>101.55</v>
      </c>
      <c r="M646" s="34" t="n">
        <v>101.55</v>
      </c>
      <c r="N646" s="34" t="n">
        <v>718</v>
      </c>
      <c r="O646" s="34" t="n">
        <v>0</v>
      </c>
      <c r="P646" s="34" t="s">
        <v>501</v>
      </c>
    </row>
    <row r="647" customFormat="false" ht="14.4" hidden="false" customHeight="false" outlineLevel="0" collapsed="false">
      <c r="A647" s="34" t="n">
        <v>646</v>
      </c>
      <c r="B647" s="35" t="n">
        <v>21203033000109</v>
      </c>
      <c r="C647" s="34" t="s">
        <v>1668</v>
      </c>
      <c r="D647" s="34" t="s">
        <v>77</v>
      </c>
      <c r="E647" s="34" t="s">
        <v>1669</v>
      </c>
      <c r="F647" s="34" t="n">
        <v>0</v>
      </c>
      <c r="G647" s="34" t="n">
        <v>0</v>
      </c>
      <c r="H647" s="40" t="n">
        <v>64.72</v>
      </c>
      <c r="I647" s="34" t="n">
        <v>0</v>
      </c>
      <c r="J647" s="34" t="n">
        <v>0</v>
      </c>
      <c r="K647" s="34" t="n">
        <v>0</v>
      </c>
      <c r="L647" s="34" t="n">
        <v>101.55</v>
      </c>
      <c r="M647" s="34" t="n">
        <v>101.55</v>
      </c>
      <c r="N647" s="34" t="n">
        <v>757</v>
      </c>
      <c r="O647" s="34" t="n">
        <v>0</v>
      </c>
      <c r="P647" s="34" t="s">
        <v>510</v>
      </c>
    </row>
    <row r="648" customFormat="false" ht="14.4" hidden="false" customHeight="false" outlineLevel="0" collapsed="false">
      <c r="A648" s="34" t="n">
        <v>647</v>
      </c>
      <c r="B648" s="35" t="n">
        <v>42158793000111</v>
      </c>
      <c r="C648" s="34" t="s">
        <v>1670</v>
      </c>
      <c r="D648" s="34" t="s">
        <v>1272</v>
      </c>
      <c r="E648" s="34" t="s">
        <v>1671</v>
      </c>
      <c r="F648" s="34" t="n">
        <v>0</v>
      </c>
      <c r="G648" s="34" t="n">
        <v>0</v>
      </c>
      <c r="H648" s="40" t="n">
        <v>64.72</v>
      </c>
      <c r="I648" s="34" t="n">
        <v>0</v>
      </c>
      <c r="J648" s="34" t="n">
        <v>0</v>
      </c>
      <c r="K648" s="34" t="n">
        <v>0</v>
      </c>
      <c r="L648" s="34" t="n">
        <v>101.55</v>
      </c>
      <c r="M648" s="34" t="n">
        <v>101.55</v>
      </c>
      <c r="N648" s="34" t="n">
        <v>709</v>
      </c>
      <c r="O648" s="34" t="n">
        <v>0</v>
      </c>
      <c r="P648" s="34" t="s">
        <v>518</v>
      </c>
    </row>
    <row r="649" customFormat="false" ht="14.4" hidden="false" customHeight="false" outlineLevel="0" collapsed="false">
      <c r="A649" s="34" t="n">
        <v>648</v>
      </c>
      <c r="B649" s="35" t="n">
        <v>48118519000103</v>
      </c>
      <c r="C649" s="34" t="s">
        <v>1672</v>
      </c>
      <c r="D649" s="34" t="s">
        <v>213</v>
      </c>
      <c r="E649" s="34" t="s">
        <v>1673</v>
      </c>
      <c r="F649" s="34" t="n">
        <v>0</v>
      </c>
      <c r="G649" s="34" t="n">
        <v>0</v>
      </c>
      <c r="H649" s="40" t="n">
        <v>64.72</v>
      </c>
      <c r="I649" s="34" t="n">
        <v>0</v>
      </c>
      <c r="J649" s="34" t="n">
        <v>0</v>
      </c>
      <c r="K649" s="34" t="n">
        <v>0</v>
      </c>
      <c r="L649" s="34" t="n">
        <v>101.55</v>
      </c>
      <c r="M649" s="34" t="n">
        <v>101.55</v>
      </c>
      <c r="N649" s="34" t="n">
        <v>709</v>
      </c>
      <c r="O649" s="34" t="n">
        <v>0</v>
      </c>
      <c r="P649" s="34" t="s">
        <v>510</v>
      </c>
    </row>
    <row r="650" customFormat="false" ht="14.4" hidden="false" customHeight="false" outlineLevel="0" collapsed="false">
      <c r="A650" s="34" t="n">
        <v>649</v>
      </c>
      <c r="B650" s="35" t="n">
        <v>50088406000146</v>
      </c>
      <c r="C650" s="34" t="s">
        <v>1674</v>
      </c>
      <c r="D650" s="34" t="s">
        <v>328</v>
      </c>
      <c r="E650" s="34" t="s">
        <v>772</v>
      </c>
      <c r="F650" s="34" t="n">
        <v>0</v>
      </c>
      <c r="G650" s="34" t="n">
        <v>0</v>
      </c>
      <c r="H650" s="40" t="n">
        <v>64.72</v>
      </c>
      <c r="I650" s="34" t="n">
        <v>0</v>
      </c>
      <c r="J650" s="34" t="n">
        <v>0</v>
      </c>
      <c r="K650" s="34" t="n">
        <v>0</v>
      </c>
      <c r="L650" s="34" t="n">
        <v>101.55</v>
      </c>
      <c r="M650" s="34" t="n">
        <v>101.55</v>
      </c>
      <c r="N650" s="34" t="n">
        <v>705</v>
      </c>
      <c r="O650" s="34" t="n">
        <v>0</v>
      </c>
      <c r="P650" s="34" t="s">
        <v>501</v>
      </c>
    </row>
    <row r="651" customFormat="false" ht="14.4" hidden="false" customHeight="false" outlineLevel="0" collapsed="false">
      <c r="A651" s="34" t="n">
        <v>650</v>
      </c>
      <c r="B651" s="35" t="n">
        <v>9093187000190</v>
      </c>
      <c r="C651" s="34" t="s">
        <v>1675</v>
      </c>
      <c r="D651" s="34" t="s">
        <v>309</v>
      </c>
      <c r="E651" s="34" t="s">
        <v>1676</v>
      </c>
      <c r="F651" s="34" t="n">
        <v>3</v>
      </c>
      <c r="G651" s="34" t="n">
        <v>2</v>
      </c>
      <c r="H651" s="40" t="n">
        <v>64.5</v>
      </c>
      <c r="I651" s="34" t="n">
        <v>0</v>
      </c>
      <c r="J651" s="34" t="n">
        <v>0</v>
      </c>
      <c r="K651" s="34" t="n">
        <v>0</v>
      </c>
      <c r="L651" s="34" t="n">
        <v>101.56</v>
      </c>
      <c r="M651" s="34" t="n">
        <v>101.56</v>
      </c>
      <c r="N651" s="34" t="n">
        <v>704</v>
      </c>
      <c r="O651" s="34" t="n">
        <v>0</v>
      </c>
      <c r="P651" s="34" t="s">
        <v>501</v>
      </c>
    </row>
    <row r="652" customFormat="false" ht="14.4" hidden="false" customHeight="false" outlineLevel="0" collapsed="false">
      <c r="A652" s="34" t="n">
        <v>651</v>
      </c>
      <c r="B652" s="35" t="n">
        <v>12826837000173</v>
      </c>
      <c r="C652" s="34" t="s">
        <v>1677</v>
      </c>
      <c r="D652" s="34" t="s">
        <v>464</v>
      </c>
      <c r="E652" s="34" t="s">
        <v>1678</v>
      </c>
      <c r="F652" s="34" t="n">
        <v>0</v>
      </c>
      <c r="G652" s="34" t="n">
        <v>0</v>
      </c>
      <c r="H652" s="40" t="n">
        <v>63.74</v>
      </c>
      <c r="I652" s="34" t="n">
        <v>0</v>
      </c>
      <c r="J652" s="34" t="n">
        <v>0</v>
      </c>
      <c r="K652" s="34" t="n">
        <v>0</v>
      </c>
      <c r="L652" s="34" t="n">
        <v>101.56</v>
      </c>
      <c r="M652" s="34" t="n">
        <v>101.56</v>
      </c>
      <c r="N652" s="34" t="n">
        <v>712</v>
      </c>
      <c r="O652" s="34" t="n">
        <v>0</v>
      </c>
      <c r="P652" s="34" t="s">
        <v>518</v>
      </c>
    </row>
    <row r="653" customFormat="false" ht="14.4" hidden="false" customHeight="false" outlineLevel="0" collapsed="false">
      <c r="A653" s="34" t="n">
        <v>652</v>
      </c>
      <c r="B653" s="35" t="n">
        <v>22289301000110</v>
      </c>
      <c r="C653" s="34" t="s">
        <v>1679</v>
      </c>
      <c r="D653" s="34" t="s">
        <v>1680</v>
      </c>
      <c r="E653" s="34" t="s">
        <v>1681</v>
      </c>
      <c r="F653" s="34" t="n">
        <v>2</v>
      </c>
      <c r="G653" s="34" t="n">
        <v>0</v>
      </c>
      <c r="H653" s="40" t="n">
        <v>63.08</v>
      </c>
      <c r="I653" s="34" t="n">
        <v>0</v>
      </c>
      <c r="J653" s="34" t="n">
        <v>0</v>
      </c>
      <c r="K653" s="34" t="n">
        <v>0</v>
      </c>
      <c r="L653" s="34" t="n">
        <v>101.56</v>
      </c>
      <c r="M653" s="34" t="n">
        <v>101.56</v>
      </c>
      <c r="N653" s="34" t="n">
        <v>708</v>
      </c>
      <c r="O653" s="34" t="n">
        <v>0</v>
      </c>
      <c r="P653" s="34" t="s">
        <v>1682</v>
      </c>
    </row>
    <row r="654" customFormat="false" ht="14.4" hidden="false" customHeight="false" outlineLevel="0" collapsed="false">
      <c r="A654" s="34" t="n">
        <v>653</v>
      </c>
      <c r="B654" s="35" t="n">
        <v>20004732000167</v>
      </c>
      <c r="C654" s="34" t="s">
        <v>1683</v>
      </c>
      <c r="D654" s="34" t="s">
        <v>548</v>
      </c>
      <c r="E654" s="34" t="s">
        <v>1684</v>
      </c>
      <c r="F654" s="34" t="n">
        <v>2</v>
      </c>
      <c r="G654" s="34" t="n">
        <v>0</v>
      </c>
      <c r="H654" s="40" t="n">
        <v>59.86</v>
      </c>
      <c r="I654" s="34" t="n">
        <v>0</v>
      </c>
      <c r="J654" s="34" t="n">
        <v>0</v>
      </c>
      <c r="K654" s="34" t="n">
        <v>0</v>
      </c>
      <c r="L654" s="34" t="n">
        <v>101.56</v>
      </c>
      <c r="M654" s="34" t="n">
        <v>101.56</v>
      </c>
      <c r="N654" s="34" t="n">
        <v>708</v>
      </c>
      <c r="O654" s="34" t="n">
        <v>0</v>
      </c>
      <c r="P654" s="34" t="s">
        <v>518</v>
      </c>
    </row>
    <row r="655" customFormat="false" ht="14.4" hidden="false" customHeight="false" outlineLevel="0" collapsed="false">
      <c r="A655" s="34" t="n">
        <v>654</v>
      </c>
      <c r="B655" s="35" t="n">
        <v>15669672000161</v>
      </c>
      <c r="C655" s="34" t="s">
        <v>1685</v>
      </c>
      <c r="D655" s="34" t="s">
        <v>77</v>
      </c>
      <c r="E655" s="34" t="s">
        <v>1686</v>
      </c>
      <c r="F655" s="34" t="n">
        <v>1</v>
      </c>
      <c r="G655" s="34" t="n">
        <v>0</v>
      </c>
      <c r="H655" s="40" t="n">
        <v>59.54</v>
      </c>
      <c r="I655" s="34" t="n">
        <v>0</v>
      </c>
      <c r="J655" s="34" t="n">
        <v>0</v>
      </c>
      <c r="K655" s="34" t="n">
        <v>0</v>
      </c>
      <c r="L655" s="34" t="n">
        <v>101.56</v>
      </c>
      <c r="M655" s="34" t="n">
        <v>101.56</v>
      </c>
      <c r="N655" s="34" t="n">
        <v>135</v>
      </c>
      <c r="O655" s="34" t="n">
        <v>0</v>
      </c>
      <c r="P655" s="34" t="s">
        <v>773</v>
      </c>
    </row>
    <row r="656" customFormat="false" ht="14.4" hidden="false" customHeight="false" outlineLevel="0" collapsed="false">
      <c r="A656" s="34" t="n">
        <v>655</v>
      </c>
      <c r="B656" s="35" t="n">
        <v>24196029000159</v>
      </c>
      <c r="C656" s="34" t="s">
        <v>1687</v>
      </c>
      <c r="D656" s="34" t="s">
        <v>357</v>
      </c>
      <c r="E656" s="34" t="s">
        <v>1688</v>
      </c>
      <c r="F656" s="34" t="n">
        <v>2</v>
      </c>
      <c r="G656" s="34" t="n">
        <v>0</v>
      </c>
      <c r="H656" s="40" t="n">
        <v>58.57</v>
      </c>
      <c r="I656" s="34" t="n">
        <v>0</v>
      </c>
      <c r="J656" s="34" t="n">
        <v>0</v>
      </c>
      <c r="K656" s="34" t="n">
        <v>0</v>
      </c>
      <c r="L656" s="34" t="n">
        <v>101.56</v>
      </c>
      <c r="M656" s="34" t="n">
        <v>101.56</v>
      </c>
      <c r="N656" s="34" t="n">
        <v>708</v>
      </c>
      <c r="O656" s="34" t="n">
        <v>0</v>
      </c>
      <c r="P656" s="34" t="s">
        <v>776</v>
      </c>
    </row>
    <row r="657" customFormat="false" ht="14.4" hidden="false" customHeight="false" outlineLevel="0" collapsed="false">
      <c r="A657" s="34" t="n">
        <v>656</v>
      </c>
      <c r="B657" s="35" t="n">
        <v>16514485000171</v>
      </c>
      <c r="C657" s="34" t="s">
        <v>1689</v>
      </c>
      <c r="D657" s="34" t="s">
        <v>77</v>
      </c>
      <c r="E657" s="34" t="s">
        <v>1690</v>
      </c>
      <c r="F657" s="34" t="n">
        <v>1</v>
      </c>
      <c r="G657" s="34" t="n">
        <v>0</v>
      </c>
      <c r="H657" s="40" t="n">
        <v>58.35</v>
      </c>
      <c r="I657" s="34" t="n">
        <v>0</v>
      </c>
      <c r="J657" s="34" t="n">
        <v>0</v>
      </c>
      <c r="K657" s="34" t="n">
        <v>0</v>
      </c>
      <c r="L657" s="34" t="n">
        <v>101.56</v>
      </c>
      <c r="M657" s="34" t="n">
        <v>101.56</v>
      </c>
      <c r="N657" s="34" t="n">
        <v>757</v>
      </c>
      <c r="O657" s="34" t="n">
        <v>0</v>
      </c>
      <c r="P657" s="34" t="s">
        <v>518</v>
      </c>
    </row>
    <row r="658" customFormat="false" ht="14.4" hidden="false" customHeight="false" outlineLevel="0" collapsed="false">
      <c r="A658" s="34" t="n">
        <v>657</v>
      </c>
      <c r="B658" s="35" t="n">
        <v>10207427000119</v>
      </c>
      <c r="C658" s="34" t="s">
        <v>1691</v>
      </c>
      <c r="D658" s="34" t="s">
        <v>197</v>
      </c>
      <c r="E658" s="34" t="s">
        <v>1692</v>
      </c>
      <c r="F658" s="34" t="n">
        <v>0</v>
      </c>
      <c r="G658" s="34" t="n">
        <v>0</v>
      </c>
      <c r="H658" s="40" t="n">
        <v>57.22</v>
      </c>
      <c r="I658" s="34" t="n">
        <v>0</v>
      </c>
      <c r="J658" s="34" t="n">
        <v>0</v>
      </c>
      <c r="K658" s="34" t="n">
        <v>0</v>
      </c>
      <c r="L658" s="34" t="n">
        <v>101.56</v>
      </c>
      <c r="M658" s="34" t="n">
        <v>101.56</v>
      </c>
      <c r="N658" s="34" t="n">
        <v>703</v>
      </c>
      <c r="O658" s="34" t="n">
        <v>0</v>
      </c>
      <c r="P658" s="34" t="s">
        <v>501</v>
      </c>
    </row>
    <row r="659" customFormat="false" ht="14.4" hidden="false" customHeight="false" outlineLevel="0" collapsed="false">
      <c r="A659" s="34" t="n">
        <v>658</v>
      </c>
      <c r="B659" s="35" t="n">
        <v>8650875000140</v>
      </c>
      <c r="C659" s="34" t="s">
        <v>390</v>
      </c>
      <c r="D659" s="34" t="s">
        <v>127</v>
      </c>
      <c r="E659" s="34" t="s">
        <v>1693</v>
      </c>
      <c r="F659" s="34" t="n">
        <v>2</v>
      </c>
      <c r="G659" s="34" t="n">
        <v>0</v>
      </c>
      <c r="H659" s="40" t="n">
        <v>54.34</v>
      </c>
      <c r="I659" s="34" t="n">
        <v>0</v>
      </c>
      <c r="J659" s="34" t="n">
        <v>0</v>
      </c>
      <c r="K659" s="34" t="n">
        <v>0</v>
      </c>
      <c r="L659" s="34" t="n">
        <v>101.57</v>
      </c>
      <c r="M659" s="34" t="n">
        <v>101.57</v>
      </c>
      <c r="N659" s="34" t="n">
        <v>708</v>
      </c>
      <c r="O659" s="34" t="n">
        <v>0</v>
      </c>
      <c r="P659" s="34" t="s">
        <v>518</v>
      </c>
    </row>
    <row r="660" customFormat="false" ht="14.4" hidden="false" customHeight="false" outlineLevel="0" collapsed="false">
      <c r="A660" s="34" t="n">
        <v>659</v>
      </c>
      <c r="B660" s="35" t="n">
        <v>565974000465</v>
      </c>
      <c r="C660" s="34" t="s">
        <v>1694</v>
      </c>
      <c r="D660" s="34" t="s">
        <v>77</v>
      </c>
      <c r="E660" s="34" t="s">
        <v>1695</v>
      </c>
      <c r="F660" s="34" t="n">
        <v>5</v>
      </c>
      <c r="G660" s="34" t="n">
        <v>0</v>
      </c>
      <c r="H660" s="40" t="n">
        <v>52.89</v>
      </c>
      <c r="I660" s="34" t="n">
        <v>0</v>
      </c>
      <c r="J660" s="34" t="n">
        <v>0</v>
      </c>
      <c r="K660" s="34" t="n">
        <v>0</v>
      </c>
      <c r="L660" s="34" t="n">
        <v>101.57</v>
      </c>
      <c r="M660" s="34" t="n">
        <v>101.57</v>
      </c>
      <c r="N660" s="34" t="n">
        <v>702</v>
      </c>
      <c r="O660" s="34" t="n">
        <v>0</v>
      </c>
      <c r="P660" s="34" t="s">
        <v>504</v>
      </c>
    </row>
    <row r="661" customFormat="false" ht="14.4" hidden="false" customHeight="false" outlineLevel="0" collapsed="false">
      <c r="A661" s="34" t="n">
        <v>660</v>
      </c>
      <c r="B661" s="35" t="n">
        <v>55630153000104</v>
      </c>
      <c r="C661" s="34" t="s">
        <v>1696</v>
      </c>
      <c r="D661" s="34" t="s">
        <v>562</v>
      </c>
      <c r="E661" s="34" t="s">
        <v>1697</v>
      </c>
      <c r="F661" s="34" t="n">
        <v>0</v>
      </c>
      <c r="G661" s="34" t="n">
        <v>-1</v>
      </c>
      <c r="H661" s="40" t="n">
        <v>47.91</v>
      </c>
      <c r="I661" s="34" t="n">
        <v>0</v>
      </c>
      <c r="J661" s="34" t="n">
        <v>0</v>
      </c>
      <c r="K661" s="34" t="n">
        <v>0</v>
      </c>
      <c r="L661" s="34" t="n">
        <v>101.57</v>
      </c>
      <c r="M661" s="34" t="n">
        <v>101.57</v>
      </c>
      <c r="N661" s="34" t="n">
        <v>705</v>
      </c>
      <c r="O661" s="34" t="n">
        <v>0</v>
      </c>
      <c r="P661" s="34" t="s">
        <v>518</v>
      </c>
    </row>
    <row r="662" customFormat="false" ht="14.4" hidden="false" customHeight="false" outlineLevel="0" collapsed="false">
      <c r="A662" s="34" t="n">
        <v>661</v>
      </c>
      <c r="B662" s="35" t="n">
        <v>7615425000235</v>
      </c>
      <c r="C662" s="34" t="s">
        <v>1446</v>
      </c>
      <c r="D662" s="34" t="s">
        <v>77</v>
      </c>
      <c r="E662" s="34" t="s">
        <v>1698</v>
      </c>
      <c r="F662" s="34" t="n">
        <v>3</v>
      </c>
      <c r="G662" s="34" t="n">
        <v>0</v>
      </c>
      <c r="H662" s="40" t="n">
        <v>45.8</v>
      </c>
      <c r="I662" s="34" t="n">
        <v>0</v>
      </c>
      <c r="J662" s="34" t="n">
        <v>0</v>
      </c>
      <c r="K662" s="34" t="n">
        <v>0</v>
      </c>
      <c r="L662" s="34" t="n">
        <v>101.57</v>
      </c>
      <c r="M662" s="34" t="n">
        <v>101.57</v>
      </c>
      <c r="N662" s="34" t="n">
        <v>759</v>
      </c>
      <c r="O662" s="34" t="n">
        <v>0</v>
      </c>
      <c r="P662" s="34" t="s">
        <v>501</v>
      </c>
    </row>
    <row r="663" customFormat="false" ht="14.4" hidden="false" customHeight="false" outlineLevel="0" collapsed="false">
      <c r="A663" s="34" t="n">
        <v>662</v>
      </c>
      <c r="B663" s="35" t="n">
        <v>29938119000191</v>
      </c>
      <c r="C663" s="34" t="s">
        <v>1699</v>
      </c>
      <c r="D663" s="34" t="s">
        <v>77</v>
      </c>
      <c r="E663" s="34" t="s">
        <v>1700</v>
      </c>
      <c r="F663" s="34" t="n">
        <v>2</v>
      </c>
      <c r="G663" s="34" t="n">
        <v>0</v>
      </c>
      <c r="H663" s="40" t="n">
        <v>45.22</v>
      </c>
      <c r="I663" s="34" t="n">
        <v>0</v>
      </c>
      <c r="J663" s="34" t="n">
        <v>0</v>
      </c>
      <c r="K663" s="34" t="n">
        <v>0</v>
      </c>
      <c r="L663" s="34" t="n">
        <v>101.57</v>
      </c>
      <c r="M663" s="34" t="n">
        <v>101.57</v>
      </c>
      <c r="N663" s="34" t="n">
        <v>759</v>
      </c>
      <c r="O663" s="34" t="n">
        <v>0</v>
      </c>
      <c r="P663" s="34" t="s">
        <v>773</v>
      </c>
    </row>
    <row r="664" customFormat="false" ht="14.4" hidden="false" customHeight="false" outlineLevel="0" collapsed="false">
      <c r="A664" s="34" t="n">
        <v>663</v>
      </c>
      <c r="B664" s="35" t="n">
        <v>6166591000158</v>
      </c>
      <c r="C664" s="34" t="s">
        <v>1701</v>
      </c>
      <c r="D664" s="34" t="s">
        <v>548</v>
      </c>
      <c r="E664" s="34" t="s">
        <v>765</v>
      </c>
      <c r="F664" s="34" t="n">
        <v>2</v>
      </c>
      <c r="G664" s="34" t="n">
        <v>0</v>
      </c>
      <c r="H664" s="40" t="n">
        <v>41.68</v>
      </c>
      <c r="I664" s="34" t="n">
        <v>0</v>
      </c>
      <c r="J664" s="34" t="n">
        <v>0</v>
      </c>
      <c r="K664" s="34" t="n">
        <v>0</v>
      </c>
      <c r="L664" s="34" t="n">
        <v>101.57</v>
      </c>
      <c r="M664" s="34" t="n">
        <v>101.57</v>
      </c>
      <c r="N664" s="34" t="n">
        <v>708</v>
      </c>
      <c r="O664" s="34" t="n">
        <v>0</v>
      </c>
      <c r="P664" s="34" t="s">
        <v>501</v>
      </c>
    </row>
    <row r="665" customFormat="false" ht="14.4" hidden="false" customHeight="false" outlineLevel="0" collapsed="false">
      <c r="A665" s="34" t="n">
        <v>664</v>
      </c>
      <c r="B665" s="35" t="n">
        <v>45603350000180</v>
      </c>
      <c r="C665" s="34" t="s">
        <v>1702</v>
      </c>
      <c r="D665" s="34" t="s">
        <v>77</v>
      </c>
      <c r="E665" s="34" t="s">
        <v>1703</v>
      </c>
      <c r="F665" s="34" t="n">
        <v>2</v>
      </c>
      <c r="G665" s="34" t="n">
        <v>1</v>
      </c>
      <c r="H665" s="40" t="n">
        <v>41.61</v>
      </c>
      <c r="I665" s="34" t="n">
        <v>0</v>
      </c>
      <c r="J665" s="34" t="n">
        <v>0</v>
      </c>
      <c r="K665" s="34" t="n">
        <v>0</v>
      </c>
      <c r="L665" s="34" t="n">
        <v>101.57</v>
      </c>
      <c r="M665" s="34" t="n">
        <v>101.57</v>
      </c>
      <c r="N665" s="34" t="n">
        <v>800</v>
      </c>
      <c r="O665" s="34" t="n">
        <v>0</v>
      </c>
      <c r="P665" s="34" t="s">
        <v>518</v>
      </c>
    </row>
    <row r="666" customFormat="false" ht="14.4" hidden="false" customHeight="false" outlineLevel="0" collapsed="false">
      <c r="A666" s="34" t="n">
        <v>665</v>
      </c>
      <c r="B666" s="35" t="n">
        <v>26924349000103</v>
      </c>
      <c r="C666" s="34" t="s">
        <v>1704</v>
      </c>
      <c r="D666" s="34" t="s">
        <v>213</v>
      </c>
      <c r="E666" s="34" t="s">
        <v>1705</v>
      </c>
      <c r="F666" s="34" t="n">
        <v>12</v>
      </c>
      <c r="G666" s="34" t="n">
        <v>1</v>
      </c>
      <c r="H666" s="40" t="n">
        <v>41.39</v>
      </c>
      <c r="I666" s="34" t="n">
        <v>0</v>
      </c>
      <c r="J666" s="34" t="n">
        <v>0</v>
      </c>
      <c r="K666" s="34" t="n">
        <v>0</v>
      </c>
      <c r="L666" s="34" t="n">
        <v>101.57</v>
      </c>
      <c r="M666" s="34" t="n">
        <v>101.57</v>
      </c>
      <c r="N666" s="34" t="n">
        <v>709</v>
      </c>
      <c r="O666" s="34" t="n">
        <v>0</v>
      </c>
      <c r="P666" s="34" t="s">
        <v>510</v>
      </c>
    </row>
    <row r="667" customFormat="false" ht="14.4" hidden="false" customHeight="false" outlineLevel="0" collapsed="false">
      <c r="A667" s="34" t="n">
        <v>666</v>
      </c>
      <c r="B667" s="35" t="n">
        <v>32928722000105</v>
      </c>
      <c r="C667" s="34" t="s">
        <v>1706</v>
      </c>
      <c r="D667" s="34" t="s">
        <v>89</v>
      </c>
      <c r="E667" s="34" t="s">
        <v>1707</v>
      </c>
      <c r="F667" s="34" t="n">
        <v>3</v>
      </c>
      <c r="G667" s="34" t="n">
        <v>0</v>
      </c>
      <c r="H667" s="40" t="n">
        <v>40.46</v>
      </c>
      <c r="I667" s="34" t="n">
        <v>0</v>
      </c>
      <c r="J667" s="34" t="n">
        <v>0</v>
      </c>
      <c r="K667" s="34" t="n">
        <v>0</v>
      </c>
      <c r="L667" s="34" t="n">
        <v>101.57</v>
      </c>
      <c r="M667" s="34" t="n">
        <v>101.57</v>
      </c>
      <c r="N667" s="34" t="n">
        <v>711</v>
      </c>
      <c r="O667" s="34" t="n">
        <v>0</v>
      </c>
      <c r="P667" s="34" t="s">
        <v>776</v>
      </c>
    </row>
    <row r="668" customFormat="false" ht="14.4" hidden="false" customHeight="false" outlineLevel="0" collapsed="false">
      <c r="A668" s="34" t="n">
        <v>667</v>
      </c>
      <c r="B668" s="35" t="n">
        <v>2947326000156</v>
      </c>
      <c r="C668" s="34" t="s">
        <v>1708</v>
      </c>
      <c r="D668" s="34" t="s">
        <v>594</v>
      </c>
      <c r="E668" s="34" t="s">
        <v>1709</v>
      </c>
      <c r="F668" s="34" t="n">
        <v>2</v>
      </c>
      <c r="G668" s="34" t="n">
        <v>1</v>
      </c>
      <c r="H668" s="40" t="n">
        <v>40.36</v>
      </c>
      <c r="I668" s="34" t="n">
        <v>0</v>
      </c>
      <c r="J668" s="34" t="n">
        <v>0</v>
      </c>
      <c r="K668" s="34" t="n">
        <v>0</v>
      </c>
      <c r="L668" s="34" t="n">
        <v>101.57</v>
      </c>
      <c r="M668" s="34" t="n">
        <v>101.57</v>
      </c>
      <c r="N668" s="34" t="n">
        <v>710</v>
      </c>
      <c r="O668" s="34" t="n">
        <v>0</v>
      </c>
      <c r="P668" s="34" t="s">
        <v>510</v>
      </c>
    </row>
    <row r="669" customFormat="false" ht="14.4" hidden="false" customHeight="false" outlineLevel="0" collapsed="false">
      <c r="A669" s="34" t="n">
        <v>668</v>
      </c>
      <c r="B669" s="35" t="n">
        <v>4780542000428</v>
      </c>
      <c r="C669" s="34" t="s">
        <v>1710</v>
      </c>
      <c r="D669" s="34" t="s">
        <v>77</v>
      </c>
      <c r="E669" s="34" t="s">
        <v>1711</v>
      </c>
      <c r="F669" s="34" t="n">
        <v>0</v>
      </c>
      <c r="G669" s="34" t="n">
        <v>0</v>
      </c>
      <c r="H669" s="40" t="n">
        <v>39.92</v>
      </c>
      <c r="I669" s="34" t="n">
        <v>0</v>
      </c>
      <c r="J669" s="34" t="n">
        <v>0</v>
      </c>
      <c r="K669" s="34" t="n">
        <v>0</v>
      </c>
      <c r="L669" s="34" t="n">
        <v>101.57</v>
      </c>
      <c r="M669" s="34" t="n">
        <v>101.57</v>
      </c>
      <c r="N669" s="34" t="n">
        <v>130</v>
      </c>
      <c r="O669" s="34" t="n">
        <v>0</v>
      </c>
      <c r="P669" s="34" t="s">
        <v>776</v>
      </c>
    </row>
    <row r="670" customFormat="false" ht="14.4" hidden="false" customHeight="false" outlineLevel="0" collapsed="false">
      <c r="A670" s="34" t="n">
        <v>669</v>
      </c>
      <c r="B670" s="35" t="n">
        <v>42434758000188</v>
      </c>
      <c r="C670" s="34" t="s">
        <v>1712</v>
      </c>
      <c r="D670" s="34" t="s">
        <v>89</v>
      </c>
      <c r="E670" s="34" t="s">
        <v>1713</v>
      </c>
      <c r="F670" s="34" t="n">
        <v>0</v>
      </c>
      <c r="G670" s="34" t="n">
        <v>0</v>
      </c>
      <c r="H670" s="40" t="n">
        <v>36.84</v>
      </c>
      <c r="I670" s="34" t="n">
        <v>0</v>
      </c>
      <c r="J670" s="34" t="n">
        <v>0</v>
      </c>
      <c r="K670" s="34" t="n">
        <v>0</v>
      </c>
      <c r="L670" s="34" t="n">
        <v>101.58</v>
      </c>
      <c r="M670" s="34" t="n">
        <v>101.58</v>
      </c>
      <c r="N670" s="34" t="n">
        <v>711</v>
      </c>
      <c r="O670" s="34" t="n">
        <v>0</v>
      </c>
      <c r="P670" s="34" t="s">
        <v>776</v>
      </c>
    </row>
    <row r="671" customFormat="false" ht="14.4" hidden="false" customHeight="false" outlineLevel="0" collapsed="false">
      <c r="A671" s="34" t="n">
        <v>670</v>
      </c>
      <c r="B671" s="35" t="n">
        <v>27345845000175</v>
      </c>
      <c r="C671" s="34" t="s">
        <v>1714</v>
      </c>
      <c r="D671" s="34" t="s">
        <v>680</v>
      </c>
      <c r="E671" s="34" t="s">
        <v>933</v>
      </c>
      <c r="F671" s="34" t="n">
        <v>0</v>
      </c>
      <c r="G671" s="34" t="n">
        <v>0</v>
      </c>
      <c r="H671" s="40" t="n">
        <v>36.73</v>
      </c>
      <c r="I671" s="34" t="n">
        <v>0</v>
      </c>
      <c r="J671" s="34" t="n">
        <v>0</v>
      </c>
      <c r="K671" s="34" t="n">
        <v>0</v>
      </c>
      <c r="L671" s="34" t="n">
        <v>101.58</v>
      </c>
      <c r="M671" s="34" t="n">
        <v>101.58</v>
      </c>
      <c r="N671" s="34" t="n">
        <v>214</v>
      </c>
      <c r="O671" s="34" t="n">
        <v>0</v>
      </c>
      <c r="P671" s="34" t="s">
        <v>518</v>
      </c>
    </row>
    <row r="672" customFormat="false" ht="14.4" hidden="false" customHeight="false" outlineLevel="0" collapsed="false">
      <c r="A672" s="34" t="n">
        <v>671</v>
      </c>
      <c r="B672" s="35" t="n">
        <v>40404232000120</v>
      </c>
      <c r="C672" s="34" t="s">
        <v>1715</v>
      </c>
      <c r="D672" s="34" t="s">
        <v>299</v>
      </c>
      <c r="E672" s="34" t="s">
        <v>1716</v>
      </c>
      <c r="F672" s="34" t="n">
        <v>0</v>
      </c>
      <c r="G672" s="34" t="n">
        <v>0</v>
      </c>
      <c r="H672" s="40" t="n">
        <v>36.21</v>
      </c>
      <c r="I672" s="34" t="n">
        <v>0</v>
      </c>
      <c r="J672" s="34" t="n">
        <v>0</v>
      </c>
      <c r="K672" s="34" t="n">
        <v>0</v>
      </c>
      <c r="L672" s="34" t="n">
        <v>101.58</v>
      </c>
      <c r="M672" s="34" t="n">
        <v>101.58</v>
      </c>
      <c r="N672" s="34" t="n">
        <v>710</v>
      </c>
      <c r="O672" s="34" t="n">
        <v>0</v>
      </c>
      <c r="P672" s="34" t="s">
        <v>510</v>
      </c>
    </row>
    <row r="673" customFormat="false" ht="14.4" hidden="false" customHeight="false" outlineLevel="0" collapsed="false">
      <c r="A673" s="34" t="n">
        <v>672</v>
      </c>
      <c r="B673" s="35" t="n">
        <v>21887813000115</v>
      </c>
      <c r="C673" s="34" t="s">
        <v>1717</v>
      </c>
      <c r="D673" s="34" t="s">
        <v>464</v>
      </c>
      <c r="E673" s="34" t="s">
        <v>1718</v>
      </c>
      <c r="F673" s="34" t="n">
        <v>0</v>
      </c>
      <c r="G673" s="34" t="n">
        <v>0</v>
      </c>
      <c r="H673" s="40" t="n">
        <v>32.33</v>
      </c>
      <c r="I673" s="34" t="n">
        <v>0</v>
      </c>
      <c r="J673" s="34" t="n">
        <v>0</v>
      </c>
      <c r="K673" s="34" t="n">
        <v>0</v>
      </c>
      <c r="L673" s="34" t="n">
        <v>101.58</v>
      </c>
      <c r="M673" s="34" t="n">
        <v>101.58</v>
      </c>
      <c r="N673" s="34" t="n">
        <v>712</v>
      </c>
      <c r="O673" s="34" t="n">
        <v>0</v>
      </c>
      <c r="P673" s="34" t="s">
        <v>510</v>
      </c>
    </row>
    <row r="674" customFormat="false" ht="14.4" hidden="false" customHeight="false" outlineLevel="0" collapsed="false">
      <c r="A674" s="34" t="n">
        <v>673</v>
      </c>
      <c r="B674" s="35" t="n">
        <v>6922578000181</v>
      </c>
      <c r="C674" s="34" t="s">
        <v>1719</v>
      </c>
      <c r="D674" s="34" t="s">
        <v>781</v>
      </c>
      <c r="E674" s="34" t="s">
        <v>1720</v>
      </c>
      <c r="F674" s="34" t="n">
        <v>1</v>
      </c>
      <c r="G674" s="34" t="n">
        <v>-1</v>
      </c>
      <c r="H674" s="40" t="n">
        <v>32.22</v>
      </c>
      <c r="I674" s="34" t="n">
        <v>0</v>
      </c>
      <c r="J674" s="34" t="n">
        <v>0</v>
      </c>
      <c r="K674" s="34" t="n">
        <v>0</v>
      </c>
      <c r="L674" s="34" t="n">
        <v>101.58</v>
      </c>
      <c r="M674" s="34" t="n">
        <v>101.58</v>
      </c>
      <c r="N674" s="34" t="n">
        <v>716</v>
      </c>
      <c r="O674" s="34" t="n">
        <v>0</v>
      </c>
      <c r="P674" s="34" t="s">
        <v>510</v>
      </c>
    </row>
    <row r="675" customFormat="false" ht="14.4" hidden="false" customHeight="false" outlineLevel="0" collapsed="false">
      <c r="A675" s="34" t="n">
        <v>674</v>
      </c>
      <c r="B675" s="35" t="n">
        <v>3146561000191</v>
      </c>
      <c r="C675" s="34" t="s">
        <v>1721</v>
      </c>
      <c r="D675" s="34" t="s">
        <v>77</v>
      </c>
      <c r="E675" s="34" t="s">
        <v>1722</v>
      </c>
      <c r="F675" s="34" t="n">
        <v>1</v>
      </c>
      <c r="G675" s="34" t="n">
        <v>0</v>
      </c>
      <c r="H675" s="40" t="n">
        <v>27.96</v>
      </c>
      <c r="I675" s="34" t="n">
        <v>0</v>
      </c>
      <c r="J675" s="34" t="n">
        <v>0</v>
      </c>
      <c r="K675" s="34" t="n">
        <v>0</v>
      </c>
      <c r="L675" s="34" t="n">
        <v>101.58</v>
      </c>
      <c r="M675" s="34" t="n">
        <v>101.58</v>
      </c>
      <c r="N675" s="34" t="n">
        <v>759</v>
      </c>
      <c r="O675" s="34" t="n">
        <v>0</v>
      </c>
      <c r="P675" s="34" t="s">
        <v>1135</v>
      </c>
    </row>
    <row r="676" customFormat="false" ht="14.4" hidden="false" customHeight="false" outlineLevel="0" collapsed="false">
      <c r="A676" s="34" t="n">
        <v>675</v>
      </c>
      <c r="B676" s="35" t="n">
        <v>5255309000146</v>
      </c>
      <c r="C676" s="34" t="s">
        <v>1723</v>
      </c>
      <c r="D676" s="34" t="s">
        <v>562</v>
      </c>
      <c r="E676" s="34" t="s">
        <v>1724</v>
      </c>
      <c r="F676" s="34" t="n">
        <v>1</v>
      </c>
      <c r="G676" s="34" t="n">
        <v>0</v>
      </c>
      <c r="H676" s="40" t="n">
        <v>27.96</v>
      </c>
      <c r="I676" s="34" t="n">
        <v>0</v>
      </c>
      <c r="J676" s="34" t="n">
        <v>0</v>
      </c>
      <c r="K676" s="34" t="n">
        <v>0</v>
      </c>
      <c r="L676" s="34" t="n">
        <v>101.58</v>
      </c>
      <c r="M676" s="34" t="n">
        <v>101.58</v>
      </c>
      <c r="N676" s="34" t="n">
        <v>705</v>
      </c>
      <c r="O676" s="34" t="n">
        <v>0</v>
      </c>
      <c r="P676" s="34" t="s">
        <v>844</v>
      </c>
    </row>
    <row r="677" customFormat="false" ht="14.4" hidden="false" customHeight="false" outlineLevel="0" collapsed="false">
      <c r="A677" s="34" t="n">
        <v>676</v>
      </c>
      <c r="B677" s="35" t="n">
        <v>57678549000238</v>
      </c>
      <c r="C677" s="34" t="s">
        <v>1448</v>
      </c>
      <c r="D677" s="34" t="s">
        <v>77</v>
      </c>
      <c r="E677" s="34" t="s">
        <v>1725</v>
      </c>
      <c r="F677" s="34" t="n">
        <v>1</v>
      </c>
      <c r="G677" s="34" t="n">
        <v>0</v>
      </c>
      <c r="H677" s="40" t="n">
        <v>26.45</v>
      </c>
      <c r="I677" s="34" t="n">
        <v>0</v>
      </c>
      <c r="J677" s="34" t="n">
        <v>0</v>
      </c>
      <c r="K677" s="34" t="n">
        <v>0</v>
      </c>
      <c r="L677" s="34" t="n">
        <v>101.58</v>
      </c>
      <c r="M677" s="34" t="n">
        <v>101.58</v>
      </c>
      <c r="N677" s="34" t="n">
        <v>130</v>
      </c>
      <c r="O677" s="34" t="n">
        <v>0</v>
      </c>
      <c r="P677" s="34" t="s">
        <v>776</v>
      </c>
    </row>
    <row r="678" customFormat="false" ht="14.4" hidden="false" customHeight="false" outlineLevel="0" collapsed="false">
      <c r="A678" s="34" t="n">
        <v>677</v>
      </c>
      <c r="B678" s="35" t="n">
        <v>8651745000122</v>
      </c>
      <c r="C678" s="34" t="s">
        <v>1726</v>
      </c>
      <c r="D678" s="34" t="s">
        <v>89</v>
      </c>
      <c r="E678" s="34" t="s">
        <v>1727</v>
      </c>
      <c r="F678" s="34" t="n">
        <v>1</v>
      </c>
      <c r="G678" s="34" t="n">
        <v>0</v>
      </c>
      <c r="H678" s="40" t="n">
        <v>25.24</v>
      </c>
      <c r="I678" s="34" t="n">
        <v>0</v>
      </c>
      <c r="J678" s="34" t="n">
        <v>0</v>
      </c>
      <c r="K678" s="34" t="n">
        <v>0</v>
      </c>
      <c r="L678" s="34" t="n">
        <v>101.58</v>
      </c>
      <c r="M678" s="34" t="n">
        <v>101.58</v>
      </c>
      <c r="N678" s="34" t="n">
        <v>711</v>
      </c>
      <c r="O678" s="34" t="n">
        <v>0</v>
      </c>
      <c r="P678" s="34" t="s">
        <v>510</v>
      </c>
    </row>
    <row r="679" customFormat="false" ht="14.4" hidden="false" customHeight="false" outlineLevel="0" collapsed="false">
      <c r="A679" s="34" t="n">
        <v>678</v>
      </c>
      <c r="B679" s="35" t="n">
        <v>9358930000196</v>
      </c>
      <c r="C679" s="34" t="s">
        <v>1728</v>
      </c>
      <c r="D679" s="34" t="s">
        <v>77</v>
      </c>
      <c r="E679" s="34" t="s">
        <v>1729</v>
      </c>
      <c r="F679" s="34" t="n">
        <v>1</v>
      </c>
      <c r="G679" s="34" t="n">
        <v>0</v>
      </c>
      <c r="H679" s="40" t="n">
        <v>25.13</v>
      </c>
      <c r="I679" s="34" t="n">
        <v>0</v>
      </c>
      <c r="J679" s="34" t="n">
        <v>0</v>
      </c>
      <c r="K679" s="34" t="n">
        <v>0</v>
      </c>
      <c r="L679" s="34" t="n">
        <v>101.58</v>
      </c>
      <c r="M679" s="34" t="n">
        <v>101.58</v>
      </c>
      <c r="N679" s="34" t="n">
        <v>759</v>
      </c>
      <c r="O679" s="34" t="n">
        <v>0</v>
      </c>
      <c r="P679" s="34" t="s">
        <v>510</v>
      </c>
    </row>
    <row r="680" customFormat="false" ht="14.4" hidden="false" customHeight="false" outlineLevel="0" collapsed="false">
      <c r="A680" s="34" t="n">
        <v>679</v>
      </c>
      <c r="B680" s="35" t="n">
        <v>40242188000107</v>
      </c>
      <c r="C680" s="34" t="s">
        <v>1730</v>
      </c>
      <c r="D680" s="34" t="s">
        <v>127</v>
      </c>
      <c r="E680" s="34" t="s">
        <v>1731</v>
      </c>
      <c r="F680" s="34" t="n">
        <v>0</v>
      </c>
      <c r="G680" s="34" t="n">
        <v>0</v>
      </c>
      <c r="H680" s="40" t="n">
        <v>24.98</v>
      </c>
      <c r="I680" s="34" t="n">
        <v>0</v>
      </c>
      <c r="J680" s="34" t="n">
        <v>0</v>
      </c>
      <c r="K680" s="34" t="n">
        <v>0</v>
      </c>
      <c r="L680" s="34" t="n">
        <v>101.58</v>
      </c>
      <c r="M680" s="34" t="n">
        <v>101.58</v>
      </c>
      <c r="N680" s="34" t="n">
        <v>708</v>
      </c>
      <c r="O680" s="34" t="n">
        <v>0</v>
      </c>
      <c r="P680" s="34" t="s">
        <v>518</v>
      </c>
    </row>
    <row r="681" customFormat="false" ht="14.4" hidden="false" customHeight="false" outlineLevel="0" collapsed="false">
      <c r="A681" s="34" t="n">
        <v>680</v>
      </c>
      <c r="B681" s="35" t="n">
        <v>8433158000167</v>
      </c>
      <c r="C681" s="34" t="s">
        <v>1732</v>
      </c>
      <c r="D681" s="34" t="s">
        <v>77</v>
      </c>
      <c r="E681" s="34" t="s">
        <v>1733</v>
      </c>
      <c r="F681" s="34" t="n">
        <v>0</v>
      </c>
      <c r="G681" s="34" t="n">
        <v>0</v>
      </c>
      <c r="H681" s="40" t="n">
        <v>24.53</v>
      </c>
      <c r="I681" s="34" t="n">
        <v>0</v>
      </c>
      <c r="J681" s="34" t="n">
        <v>0</v>
      </c>
      <c r="K681" s="34" t="n">
        <v>0</v>
      </c>
      <c r="L681" s="34" t="n">
        <v>101.58</v>
      </c>
      <c r="M681" s="34" t="n">
        <v>101.58</v>
      </c>
      <c r="N681" s="34" t="n">
        <v>759</v>
      </c>
      <c r="O681" s="34" t="n">
        <v>0</v>
      </c>
      <c r="P681" s="34" t="s">
        <v>1278</v>
      </c>
    </row>
    <row r="682" customFormat="false" ht="14.4" hidden="false" customHeight="false" outlineLevel="0" collapsed="false">
      <c r="A682" s="34" t="n">
        <v>681</v>
      </c>
      <c r="B682" s="35" t="n">
        <v>13211223000140</v>
      </c>
      <c r="C682" s="34" t="s">
        <v>1734</v>
      </c>
      <c r="D682" s="34" t="s">
        <v>77</v>
      </c>
      <c r="E682" s="34" t="s">
        <v>1735</v>
      </c>
      <c r="F682" s="34" t="n">
        <v>1</v>
      </c>
      <c r="G682" s="34" t="n">
        <v>0</v>
      </c>
      <c r="H682" s="40" t="n">
        <v>19.94</v>
      </c>
      <c r="I682" s="34" t="n">
        <v>0</v>
      </c>
      <c r="J682" s="34" t="n">
        <v>0</v>
      </c>
      <c r="K682" s="34" t="n">
        <v>0</v>
      </c>
      <c r="L682" s="34" t="n">
        <v>101.58</v>
      </c>
      <c r="M682" s="34" t="n">
        <v>101.58</v>
      </c>
      <c r="N682" s="34" t="n">
        <v>759</v>
      </c>
      <c r="O682" s="34" t="n">
        <v>0</v>
      </c>
      <c r="P682" s="34" t="s">
        <v>773</v>
      </c>
    </row>
    <row r="683" customFormat="false" ht="14.4" hidden="false" customHeight="false" outlineLevel="0" collapsed="false">
      <c r="A683" s="34" t="n">
        <v>682</v>
      </c>
      <c r="B683" s="35" t="n">
        <v>4780542000185</v>
      </c>
      <c r="C683" s="34" t="s">
        <v>1736</v>
      </c>
      <c r="D683" s="34" t="s">
        <v>77</v>
      </c>
      <c r="E683" s="34" t="s">
        <v>1737</v>
      </c>
      <c r="F683" s="34" t="n">
        <v>0</v>
      </c>
      <c r="G683" s="34" t="n">
        <v>0</v>
      </c>
      <c r="H683" s="40" t="n">
        <v>14.09</v>
      </c>
      <c r="I683" s="34" t="n">
        <v>0</v>
      </c>
      <c r="J683" s="34" t="n">
        <v>0</v>
      </c>
      <c r="K683" s="34" t="n">
        <v>0</v>
      </c>
      <c r="L683" s="34" t="n">
        <v>101.58</v>
      </c>
      <c r="M683" s="34" t="n">
        <v>101.58</v>
      </c>
      <c r="N683" s="34" t="n">
        <v>130</v>
      </c>
      <c r="O683" s="34" t="n">
        <v>0</v>
      </c>
      <c r="P683" s="34" t="s">
        <v>776</v>
      </c>
    </row>
    <row r="684" customFormat="false" ht="14.4" hidden="false" customHeight="false" outlineLevel="0" collapsed="false">
      <c r="A684" s="34" t="n">
        <v>683</v>
      </c>
      <c r="B684" s="35" t="n">
        <v>14763922000165</v>
      </c>
      <c r="C684" s="34" t="s">
        <v>1738</v>
      </c>
      <c r="D684" s="34" t="s">
        <v>994</v>
      </c>
      <c r="E684" s="34" t="s">
        <v>1739</v>
      </c>
      <c r="F684" s="34" t="n">
        <v>0</v>
      </c>
      <c r="G684" s="34" t="n">
        <v>0</v>
      </c>
      <c r="H684" s="40" t="n">
        <v>11.33</v>
      </c>
      <c r="I684" s="34" t="n">
        <v>0</v>
      </c>
      <c r="J684" s="34" t="n">
        <v>0</v>
      </c>
      <c r="K684" s="34" t="n">
        <v>0</v>
      </c>
      <c r="L684" s="34" t="n">
        <v>101.58</v>
      </c>
      <c r="M684" s="34" t="n">
        <v>101.58</v>
      </c>
      <c r="N684" s="34" t="n">
        <v>716</v>
      </c>
      <c r="O684" s="34" t="n">
        <v>0</v>
      </c>
      <c r="P684" s="34" t="s">
        <v>510</v>
      </c>
    </row>
    <row r="685" customFormat="false" ht="14.4" hidden="false" customHeight="false" outlineLevel="0" collapsed="false">
      <c r="A685" s="34" t="n">
        <v>684</v>
      </c>
      <c r="B685" s="35" t="n">
        <v>4707705000366</v>
      </c>
      <c r="C685" s="34" t="s">
        <v>1510</v>
      </c>
      <c r="D685" s="34" t="s">
        <v>77</v>
      </c>
      <c r="E685" s="34" t="s">
        <v>1054</v>
      </c>
      <c r="F685" s="34" t="n">
        <v>0</v>
      </c>
      <c r="G685" s="34" t="n">
        <v>0</v>
      </c>
      <c r="H685" s="40" t="n">
        <v>0</v>
      </c>
      <c r="I685" s="34" t="n">
        <v>0</v>
      </c>
      <c r="J685" s="34" t="n">
        <v>0</v>
      </c>
      <c r="K685" s="34" t="n">
        <v>0</v>
      </c>
      <c r="L685" s="34" t="n">
        <v>101.58</v>
      </c>
      <c r="M685" s="34" t="n">
        <v>101.58</v>
      </c>
      <c r="N685" s="34" t="n">
        <v>800</v>
      </c>
      <c r="O685" s="34" t="n">
        <v>0</v>
      </c>
      <c r="P685" s="34" t="s">
        <v>844</v>
      </c>
    </row>
    <row r="686" customFormat="false" ht="14.4" hidden="false" customHeight="false" outlineLevel="0" collapsed="false">
      <c r="A686" s="34" t="n">
        <v>685</v>
      </c>
      <c r="B686" s="35" t="n">
        <v>7586695000184</v>
      </c>
      <c r="C686" s="34" t="s">
        <v>1740</v>
      </c>
      <c r="D686" s="34" t="s">
        <v>77</v>
      </c>
      <c r="E686" s="34" t="s">
        <v>1741</v>
      </c>
      <c r="F686" s="34" t="n">
        <v>0</v>
      </c>
      <c r="G686" s="34" t="n">
        <v>0</v>
      </c>
      <c r="H686" s="40" t="n">
        <v>0</v>
      </c>
      <c r="I686" s="34" t="n">
        <v>0</v>
      </c>
      <c r="J686" s="34" t="n">
        <v>0</v>
      </c>
      <c r="K686" s="34" t="n">
        <v>0</v>
      </c>
      <c r="L686" s="34" t="n">
        <v>101.58</v>
      </c>
      <c r="M686" s="34" t="n">
        <v>101.58</v>
      </c>
      <c r="N686" s="34" t="n">
        <v>757</v>
      </c>
      <c r="O686" s="34" t="n">
        <v>0</v>
      </c>
      <c r="P686" s="34" t="s">
        <v>510</v>
      </c>
    </row>
    <row r="687" customFormat="false" ht="14.4" hidden="false" customHeight="false" outlineLevel="0" collapsed="false">
      <c r="A687" s="34" t="n">
        <v>686</v>
      </c>
      <c r="B687" s="35" t="n">
        <v>11220071000388</v>
      </c>
      <c r="C687" s="34" t="s">
        <v>1742</v>
      </c>
      <c r="D687" s="34" t="s">
        <v>77</v>
      </c>
      <c r="E687" s="34" t="s">
        <v>1743</v>
      </c>
      <c r="F687" s="34" t="n">
        <v>0</v>
      </c>
      <c r="G687" s="34" t="n">
        <v>0</v>
      </c>
      <c r="H687" s="40" t="n">
        <v>0</v>
      </c>
      <c r="I687" s="34" t="n">
        <v>0</v>
      </c>
      <c r="J687" s="34" t="n">
        <v>0</v>
      </c>
      <c r="K687" s="34" t="n">
        <v>0</v>
      </c>
      <c r="L687" s="34" t="n">
        <v>101.58</v>
      </c>
      <c r="M687" s="34" t="n">
        <v>101.58</v>
      </c>
      <c r="N687" s="34" t="n">
        <v>757</v>
      </c>
      <c r="O687" s="34" t="n">
        <v>0</v>
      </c>
      <c r="P687" s="34" t="s">
        <v>510</v>
      </c>
    </row>
    <row r="688" customFormat="false" ht="14.4" hidden="false" customHeight="false" outlineLevel="0" collapsed="false">
      <c r="A688" s="34" t="n">
        <v>687</v>
      </c>
      <c r="B688" s="35" t="n">
        <v>15442981000102</v>
      </c>
      <c r="C688" s="34" t="s">
        <v>1744</v>
      </c>
      <c r="D688" s="34" t="s">
        <v>107</v>
      </c>
      <c r="E688" s="34" t="s">
        <v>1309</v>
      </c>
      <c r="F688" s="34" t="n">
        <v>0</v>
      </c>
      <c r="G688" s="34" t="n">
        <v>0</v>
      </c>
      <c r="H688" s="40" t="n">
        <v>0</v>
      </c>
      <c r="I688" s="34" t="n">
        <v>0</v>
      </c>
      <c r="J688" s="34" t="n">
        <v>0</v>
      </c>
      <c r="K688" s="34" t="n">
        <v>0</v>
      </c>
      <c r="L688" s="34" t="n">
        <v>101.58</v>
      </c>
      <c r="M688" s="34" t="n">
        <v>101.58</v>
      </c>
      <c r="N688" s="34" t="n">
        <v>707</v>
      </c>
      <c r="O688" s="34" t="n">
        <v>0</v>
      </c>
      <c r="P688" s="34" t="s">
        <v>504</v>
      </c>
    </row>
    <row r="689" customFormat="false" ht="14.4" hidden="false" customHeight="false" outlineLevel="0" collapsed="false">
      <c r="A689" s="34" t="n">
        <v>688</v>
      </c>
      <c r="B689" s="35" t="n">
        <v>35447339000115</v>
      </c>
      <c r="C689" s="34" t="s">
        <v>1745</v>
      </c>
      <c r="D689" s="34" t="s">
        <v>336</v>
      </c>
      <c r="E689" s="34" t="s">
        <v>1746</v>
      </c>
      <c r="F689" s="34" t="n">
        <v>0</v>
      </c>
      <c r="G689" s="34" t="n">
        <v>0</v>
      </c>
      <c r="H689" s="40" t="n">
        <v>0</v>
      </c>
      <c r="I689" s="34" t="n">
        <v>0</v>
      </c>
      <c r="J689" s="34" t="n">
        <v>0</v>
      </c>
      <c r="K689" s="34" t="n">
        <v>0</v>
      </c>
      <c r="L689" s="34" t="n">
        <v>101.58</v>
      </c>
      <c r="M689" s="34" t="n">
        <v>101.58</v>
      </c>
      <c r="N689" s="34" t="n">
        <v>705</v>
      </c>
      <c r="O689" s="34" t="n">
        <v>0</v>
      </c>
      <c r="P689" s="34" t="s">
        <v>501</v>
      </c>
    </row>
    <row r="690" customFormat="false" ht="14.4" hidden="false" customHeight="false" outlineLevel="0" collapsed="false">
      <c r="A690" s="34" t="n">
        <v>689</v>
      </c>
      <c r="B690" s="35" t="n">
        <v>35795689000172</v>
      </c>
      <c r="C690" s="34" t="s">
        <v>1747</v>
      </c>
      <c r="D690" s="34" t="s">
        <v>77</v>
      </c>
      <c r="E690" s="34" t="s">
        <v>1748</v>
      </c>
      <c r="F690" s="34" t="n">
        <v>0</v>
      </c>
      <c r="G690" s="34" t="n">
        <v>0</v>
      </c>
      <c r="H690" s="40" t="n">
        <v>0</v>
      </c>
      <c r="I690" s="34" t="n">
        <v>0</v>
      </c>
      <c r="J690" s="34" t="n">
        <v>0</v>
      </c>
      <c r="K690" s="34" t="n">
        <v>0</v>
      </c>
      <c r="L690" s="34" t="n">
        <v>101.58</v>
      </c>
      <c r="M690" s="34" t="n">
        <v>101.58</v>
      </c>
      <c r="N690" s="34" t="n">
        <v>759</v>
      </c>
      <c r="O690" s="34" t="n">
        <v>0</v>
      </c>
      <c r="P690" s="34" t="s">
        <v>510</v>
      </c>
    </row>
    <row r="691" customFormat="false" ht="14.4" hidden="false" customHeight="false" outlineLevel="0" collapsed="false">
      <c r="A691" s="34" t="n">
        <v>690</v>
      </c>
      <c r="B691" s="35" t="n">
        <v>4579237000120</v>
      </c>
      <c r="C691" s="34" t="s">
        <v>883</v>
      </c>
      <c r="D691" s="34" t="s">
        <v>207</v>
      </c>
      <c r="E691" s="34" t="s">
        <v>1749</v>
      </c>
      <c r="F691" s="34" t="n">
        <v>0</v>
      </c>
      <c r="G691" s="34" t="n">
        <v>0</v>
      </c>
      <c r="H691" s="40" t="n">
        <v>-0.02</v>
      </c>
      <c r="I691" s="34" t="n">
        <v>0</v>
      </c>
      <c r="J691" s="34" t="n">
        <v>0</v>
      </c>
      <c r="K691" s="34" t="n">
        <v>0</v>
      </c>
      <c r="L691" s="34" t="n">
        <v>101.58</v>
      </c>
      <c r="M691" s="34" t="n">
        <v>101.58</v>
      </c>
      <c r="N691" s="34" t="n">
        <v>703</v>
      </c>
      <c r="O691" s="34" t="n">
        <v>0</v>
      </c>
      <c r="P691" s="34" t="s">
        <v>504</v>
      </c>
    </row>
    <row r="692" customFormat="false" ht="14.4" hidden="false" customHeight="false" outlineLevel="0" collapsed="false">
      <c r="A692" s="34" t="n">
        <v>691</v>
      </c>
      <c r="B692" s="35" t="n">
        <v>24293280000131</v>
      </c>
      <c r="C692" s="34" t="s">
        <v>1750</v>
      </c>
      <c r="D692" s="34" t="s">
        <v>154</v>
      </c>
      <c r="E692" s="34" t="s">
        <v>1751</v>
      </c>
      <c r="F692" s="34" t="n">
        <v>0</v>
      </c>
      <c r="G692" s="34" t="n">
        <v>0</v>
      </c>
      <c r="H692" s="40" t="n">
        <v>-9.99</v>
      </c>
      <c r="I692" s="34" t="n">
        <v>0</v>
      </c>
      <c r="J692" s="34" t="n">
        <v>0</v>
      </c>
      <c r="K692" s="34" t="n">
        <v>0</v>
      </c>
      <c r="L692" s="34" t="n">
        <v>101.58</v>
      </c>
      <c r="M692" s="34" t="n">
        <v>101.58</v>
      </c>
      <c r="N692" s="34" t="n">
        <v>759</v>
      </c>
      <c r="O692" s="34" t="n">
        <v>0</v>
      </c>
      <c r="P692" s="34" t="s">
        <v>518</v>
      </c>
    </row>
    <row r="693" customFormat="false" ht="14.4" hidden="false" customHeight="false" outlineLevel="0" collapsed="false">
      <c r="A693" s="34" t="n">
        <v>692</v>
      </c>
      <c r="B693" s="35" t="n">
        <v>1822531000122</v>
      </c>
      <c r="C693" s="34" t="s">
        <v>1752</v>
      </c>
      <c r="D693" s="34" t="s">
        <v>77</v>
      </c>
      <c r="E693" s="34" t="s">
        <v>1753</v>
      </c>
      <c r="F693" s="34" t="n">
        <v>0</v>
      </c>
      <c r="G693" s="34" t="n">
        <v>0</v>
      </c>
      <c r="H693" s="40" t="n">
        <v>-16.13</v>
      </c>
      <c r="I693" s="34" t="n">
        <v>0</v>
      </c>
      <c r="J693" s="34" t="n">
        <v>0</v>
      </c>
      <c r="K693" s="34" t="n">
        <v>0</v>
      </c>
      <c r="L693" s="34" t="n">
        <v>101.58</v>
      </c>
      <c r="M693" s="34" t="n">
        <v>101.58</v>
      </c>
      <c r="N693" s="34" t="n">
        <v>757</v>
      </c>
      <c r="O693" s="34" t="n">
        <v>0</v>
      </c>
      <c r="P693" s="34" t="s">
        <v>510</v>
      </c>
    </row>
    <row r="694" customFormat="false" ht="14.4" hidden="false" customHeight="false" outlineLevel="0" collapsed="false">
      <c r="A694" s="34" t="n">
        <v>693</v>
      </c>
      <c r="B694" s="35" t="n">
        <v>40899992000155</v>
      </c>
      <c r="C694" s="34" t="s">
        <v>1754</v>
      </c>
      <c r="D694" s="34" t="s">
        <v>77</v>
      </c>
      <c r="E694" s="34" t="s">
        <v>1755</v>
      </c>
      <c r="F694" s="34" t="n">
        <v>1</v>
      </c>
      <c r="G694" s="34" t="n">
        <v>0</v>
      </c>
      <c r="H694" s="40" t="n">
        <v>-19.66</v>
      </c>
      <c r="I694" s="34" t="n">
        <v>0</v>
      </c>
      <c r="J694" s="34" t="n">
        <v>0</v>
      </c>
      <c r="K694" s="34" t="n">
        <v>0</v>
      </c>
      <c r="L694" s="34" t="n">
        <v>101.58</v>
      </c>
      <c r="M694" s="34" t="n">
        <v>101.58</v>
      </c>
      <c r="N694" s="34" t="n">
        <v>759</v>
      </c>
      <c r="O694" s="34" t="n">
        <v>0</v>
      </c>
      <c r="P694" s="34" t="s">
        <v>518</v>
      </c>
    </row>
    <row r="695" customFormat="false" ht="14.4" hidden="false" customHeight="false" outlineLevel="0" collapsed="false">
      <c r="A695" s="34" t="n">
        <v>694</v>
      </c>
      <c r="B695" s="35" t="n">
        <v>8752211000435</v>
      </c>
      <c r="C695" s="34" t="s">
        <v>1620</v>
      </c>
      <c r="D695" s="34" t="s">
        <v>309</v>
      </c>
      <c r="E695" s="34" t="s">
        <v>1756</v>
      </c>
      <c r="F695" s="34" t="n">
        <v>0</v>
      </c>
      <c r="G695" s="34" t="n">
        <v>0</v>
      </c>
      <c r="H695" s="40" t="n">
        <v>-20.01</v>
      </c>
      <c r="I695" s="34" t="n">
        <v>0</v>
      </c>
      <c r="J695" s="34" t="n">
        <v>0</v>
      </c>
      <c r="K695" s="34" t="n">
        <v>0</v>
      </c>
      <c r="L695" s="34" t="n">
        <v>101.58</v>
      </c>
      <c r="M695" s="34" t="n">
        <v>101.58</v>
      </c>
      <c r="N695" s="34" t="n">
        <v>704</v>
      </c>
      <c r="O695" s="34" t="n">
        <v>0</v>
      </c>
      <c r="P695" s="34" t="s">
        <v>501</v>
      </c>
    </row>
    <row r="696" customFormat="false" ht="14.4" hidden="false" customHeight="false" outlineLevel="0" collapsed="false">
      <c r="A696" s="34" t="n">
        <v>695</v>
      </c>
      <c r="B696" s="35" t="n">
        <v>6955524000112</v>
      </c>
      <c r="C696" s="34" t="s">
        <v>1757</v>
      </c>
      <c r="D696" s="34" t="s">
        <v>631</v>
      </c>
      <c r="E696" s="34" t="s">
        <v>1758</v>
      </c>
      <c r="F696" s="34" t="n">
        <v>0</v>
      </c>
      <c r="G696" s="34" t="n">
        <v>0</v>
      </c>
      <c r="H696" s="40" t="n">
        <v>-25.7</v>
      </c>
      <c r="I696" s="34" t="n">
        <v>0</v>
      </c>
      <c r="J696" s="34" t="n">
        <v>0</v>
      </c>
      <c r="K696" s="34" t="n">
        <v>0</v>
      </c>
      <c r="L696" s="34" t="n">
        <v>101.58</v>
      </c>
      <c r="M696" s="34" t="n">
        <v>101.58</v>
      </c>
      <c r="N696" s="34" t="n">
        <v>706</v>
      </c>
      <c r="O696" s="34" t="n">
        <v>0</v>
      </c>
      <c r="P696" s="34" t="s">
        <v>501</v>
      </c>
    </row>
    <row r="697" customFormat="false" ht="14.4" hidden="false" customHeight="false" outlineLevel="0" collapsed="false">
      <c r="A697" s="34" t="n">
        <v>696</v>
      </c>
      <c r="B697" s="35" t="n">
        <v>30017600000123</v>
      </c>
      <c r="C697" s="34" t="s">
        <v>1759</v>
      </c>
      <c r="D697" s="34" t="s">
        <v>77</v>
      </c>
      <c r="E697" s="34" t="s">
        <v>1760</v>
      </c>
      <c r="F697" s="34" t="n">
        <v>0</v>
      </c>
      <c r="G697" s="34" t="n">
        <v>0</v>
      </c>
      <c r="H697" s="40" t="n">
        <v>-34.41</v>
      </c>
      <c r="I697" s="34" t="n">
        <v>0</v>
      </c>
      <c r="J697" s="34" t="n">
        <v>0</v>
      </c>
      <c r="K697" s="34" t="n">
        <v>0</v>
      </c>
      <c r="L697" s="34" t="n">
        <v>101.58</v>
      </c>
      <c r="M697" s="34" t="n">
        <v>101.58</v>
      </c>
      <c r="N697" s="34" t="n">
        <v>757</v>
      </c>
      <c r="O697" s="34" t="n">
        <v>0</v>
      </c>
      <c r="P697" s="34" t="s">
        <v>501</v>
      </c>
    </row>
    <row r="698" customFormat="false" ht="14.4" hidden="false" customHeight="false" outlineLevel="0" collapsed="false">
      <c r="A698" s="34" t="n">
        <v>697</v>
      </c>
      <c r="B698" s="35" t="n">
        <v>5472732000360</v>
      </c>
      <c r="C698" s="34" t="s">
        <v>1761</v>
      </c>
      <c r="D698" s="34" t="s">
        <v>107</v>
      </c>
      <c r="E698" s="34" t="s">
        <v>1762</v>
      </c>
      <c r="F698" s="34" t="n">
        <v>-1</v>
      </c>
      <c r="G698" s="34" t="n">
        <v>0</v>
      </c>
      <c r="H698" s="40" t="n">
        <v>-35.02</v>
      </c>
      <c r="I698" s="34" t="n">
        <v>0</v>
      </c>
      <c r="J698" s="34" t="n">
        <v>0</v>
      </c>
      <c r="K698" s="34" t="n">
        <v>0</v>
      </c>
      <c r="L698" s="34" t="n">
        <v>101.58</v>
      </c>
      <c r="M698" s="34" t="n">
        <v>101.58</v>
      </c>
      <c r="N698" s="34" t="n">
        <v>707</v>
      </c>
      <c r="O698" s="34" t="n">
        <v>0</v>
      </c>
      <c r="P698" s="34" t="s">
        <v>501</v>
      </c>
    </row>
    <row r="699" customFormat="false" ht="14.4" hidden="false" customHeight="false" outlineLevel="0" collapsed="false">
      <c r="A699" s="34" t="n">
        <v>698</v>
      </c>
      <c r="B699" s="35" t="n">
        <v>9544424000272</v>
      </c>
      <c r="C699" s="34" t="s">
        <v>1763</v>
      </c>
      <c r="D699" s="34" t="s">
        <v>117</v>
      </c>
      <c r="E699" s="34" t="s">
        <v>1764</v>
      </c>
      <c r="F699" s="34" t="n">
        <v>-2</v>
      </c>
      <c r="G699" s="34" t="n">
        <v>-1</v>
      </c>
      <c r="H699" s="40" t="n">
        <v>-49.69</v>
      </c>
      <c r="I699" s="34" t="n">
        <v>0</v>
      </c>
      <c r="J699" s="34" t="n">
        <v>0</v>
      </c>
      <c r="K699" s="34" t="n">
        <v>0</v>
      </c>
      <c r="L699" s="34" t="n">
        <v>101.58</v>
      </c>
      <c r="M699" s="34" t="n">
        <v>101.58</v>
      </c>
      <c r="N699" s="34" t="n">
        <v>702</v>
      </c>
      <c r="O699" s="34" t="n">
        <v>0</v>
      </c>
      <c r="P699" s="34" t="s">
        <v>498</v>
      </c>
    </row>
    <row r="700" customFormat="false" ht="14.4" hidden="false" customHeight="false" outlineLevel="0" collapsed="false">
      <c r="A700" s="34" t="n">
        <v>699</v>
      </c>
      <c r="B700" s="35" t="n">
        <v>4707705001176</v>
      </c>
      <c r="C700" s="34" t="s">
        <v>1510</v>
      </c>
      <c r="D700" s="34" t="s">
        <v>77</v>
      </c>
      <c r="E700" s="34" t="s">
        <v>623</v>
      </c>
      <c r="F700" s="34" t="n">
        <v>0</v>
      </c>
      <c r="G700" s="34" t="n">
        <v>0</v>
      </c>
      <c r="H700" s="40" t="n">
        <v>-59.94</v>
      </c>
      <c r="I700" s="34" t="n">
        <v>0</v>
      </c>
      <c r="J700" s="34" t="n">
        <v>0</v>
      </c>
      <c r="K700" s="34" t="n">
        <v>0</v>
      </c>
      <c r="L700" s="34" t="n">
        <v>101.58</v>
      </c>
      <c r="M700" s="34" t="n">
        <v>101.58</v>
      </c>
      <c r="N700" s="34" t="n">
        <v>800</v>
      </c>
      <c r="O700" s="34" t="n">
        <v>0</v>
      </c>
      <c r="P700" s="34" t="s">
        <v>844</v>
      </c>
    </row>
    <row r="701" customFormat="false" ht="14.4" hidden="false" customHeight="false" outlineLevel="0" collapsed="false">
      <c r="A701" s="34" t="n">
        <v>700</v>
      </c>
      <c r="B701" s="35" t="n">
        <v>48469600000120</v>
      </c>
      <c r="C701" s="34" t="s">
        <v>1765</v>
      </c>
      <c r="D701" s="34" t="s">
        <v>336</v>
      </c>
      <c r="E701" s="34" t="s">
        <v>1766</v>
      </c>
      <c r="F701" s="34" t="n">
        <v>-3</v>
      </c>
      <c r="G701" s="34" t="n">
        <v>0</v>
      </c>
      <c r="H701" s="40" t="n">
        <v>-66.26</v>
      </c>
      <c r="I701" s="34" t="n">
        <v>0</v>
      </c>
      <c r="J701" s="34" t="n">
        <v>0</v>
      </c>
      <c r="K701" s="34" t="n">
        <v>0</v>
      </c>
      <c r="L701" s="34" t="n">
        <v>101.58</v>
      </c>
      <c r="M701" s="34" t="n">
        <v>101.58</v>
      </c>
      <c r="N701" s="34" t="n">
        <v>705</v>
      </c>
      <c r="O701" s="34" t="n">
        <v>0</v>
      </c>
      <c r="P701" s="34" t="s">
        <v>501</v>
      </c>
    </row>
    <row r="702" customFormat="false" ht="14.4" hidden="false" customHeight="false" outlineLevel="0" collapsed="false">
      <c r="A702" s="34" t="n">
        <v>701</v>
      </c>
      <c r="B702" s="35" t="n">
        <v>54418890000185</v>
      </c>
      <c r="C702" s="34" t="s">
        <v>828</v>
      </c>
      <c r="D702" s="34" t="s">
        <v>77</v>
      </c>
      <c r="E702" s="34" t="s">
        <v>1767</v>
      </c>
      <c r="F702" s="34" t="n">
        <v>-2</v>
      </c>
      <c r="G702" s="34" t="n">
        <v>0</v>
      </c>
      <c r="H702" s="40" t="n">
        <v>-69.11</v>
      </c>
      <c r="I702" s="34" t="n">
        <v>0</v>
      </c>
      <c r="J702" s="34" t="n">
        <v>0</v>
      </c>
      <c r="K702" s="34" t="n">
        <v>0</v>
      </c>
      <c r="L702" s="34" t="n">
        <v>101.57</v>
      </c>
      <c r="M702" s="34" t="n">
        <v>101.57</v>
      </c>
      <c r="N702" s="34" t="n">
        <v>759</v>
      </c>
      <c r="O702" s="34" t="n">
        <v>0</v>
      </c>
      <c r="P702" s="34" t="s">
        <v>518</v>
      </c>
    </row>
    <row r="703" customFormat="false" ht="14.4" hidden="false" customHeight="false" outlineLevel="0" collapsed="false">
      <c r="A703" s="34" t="n">
        <v>702</v>
      </c>
      <c r="B703" s="35" t="n">
        <v>18366783000197</v>
      </c>
      <c r="C703" s="34" t="s">
        <v>1768</v>
      </c>
      <c r="D703" s="34" t="s">
        <v>103</v>
      </c>
      <c r="E703" s="34" t="s">
        <v>1769</v>
      </c>
      <c r="F703" s="34" t="n">
        <v>-4</v>
      </c>
      <c r="G703" s="34" t="n">
        <v>-1</v>
      </c>
      <c r="H703" s="40" t="n">
        <v>-74.47</v>
      </c>
      <c r="I703" s="34" t="n">
        <v>0</v>
      </c>
      <c r="J703" s="34" t="n">
        <v>0</v>
      </c>
      <c r="K703" s="34" t="n">
        <v>0</v>
      </c>
      <c r="L703" s="34" t="n">
        <v>101.57</v>
      </c>
      <c r="M703" s="34" t="n">
        <v>101.57</v>
      </c>
      <c r="N703" s="34" t="n">
        <v>135</v>
      </c>
      <c r="O703" s="34" t="n">
        <v>0</v>
      </c>
      <c r="P703" s="34" t="s">
        <v>501</v>
      </c>
    </row>
    <row r="704" customFormat="false" ht="14.4" hidden="false" customHeight="false" outlineLevel="0" collapsed="false">
      <c r="A704" s="34" t="n">
        <v>703</v>
      </c>
      <c r="B704" s="35" t="n">
        <v>4757459001248</v>
      </c>
      <c r="C704" s="34" t="s">
        <v>1770</v>
      </c>
      <c r="D704" s="34" t="s">
        <v>604</v>
      </c>
      <c r="E704" s="34" t="s">
        <v>1226</v>
      </c>
      <c r="F704" s="34" t="n">
        <v>-11</v>
      </c>
      <c r="G704" s="34" t="n">
        <v>-1</v>
      </c>
      <c r="H704" s="40" t="n">
        <v>-82.32</v>
      </c>
      <c r="I704" s="34" t="n">
        <v>0</v>
      </c>
      <c r="J704" s="34" t="n">
        <v>0</v>
      </c>
      <c r="K704" s="34" t="n">
        <v>0</v>
      </c>
      <c r="L704" s="34" t="n">
        <v>101.57</v>
      </c>
      <c r="M704" s="34" t="n">
        <v>101.57</v>
      </c>
      <c r="N704" s="34" t="n">
        <v>507</v>
      </c>
      <c r="O704" s="34" t="n">
        <v>0</v>
      </c>
      <c r="P704" s="34" t="s">
        <v>496</v>
      </c>
    </row>
    <row r="705" customFormat="false" ht="14.4" hidden="false" customHeight="false" outlineLevel="0" collapsed="false">
      <c r="A705" s="34" t="n">
        <v>704</v>
      </c>
      <c r="B705" s="35" t="n">
        <v>4757459002805</v>
      </c>
      <c r="C705" s="34" t="s">
        <v>1771</v>
      </c>
      <c r="D705" s="34" t="s">
        <v>604</v>
      </c>
      <c r="E705" s="34" t="s">
        <v>1772</v>
      </c>
      <c r="F705" s="34" t="n">
        <v>-11</v>
      </c>
      <c r="G705" s="34" t="n">
        <v>-1</v>
      </c>
      <c r="H705" s="40" t="n">
        <v>-82.32</v>
      </c>
      <c r="I705" s="34" t="n">
        <v>0</v>
      </c>
      <c r="J705" s="34" t="n">
        <v>0</v>
      </c>
      <c r="K705" s="34" t="n">
        <v>0</v>
      </c>
      <c r="L705" s="34" t="n">
        <v>101.57</v>
      </c>
      <c r="M705" s="34" t="n">
        <v>101.57</v>
      </c>
      <c r="N705" s="34" t="n">
        <v>507</v>
      </c>
      <c r="O705" s="34" t="n">
        <v>0</v>
      </c>
      <c r="P705" s="34" t="s">
        <v>498</v>
      </c>
    </row>
    <row r="706" customFormat="false" ht="14.4" hidden="false" customHeight="false" outlineLevel="0" collapsed="false">
      <c r="A706" s="34" t="n">
        <v>705</v>
      </c>
      <c r="B706" s="35" t="n">
        <v>4757459003291</v>
      </c>
      <c r="C706" s="34" t="s">
        <v>1773</v>
      </c>
      <c r="D706" s="34" t="s">
        <v>463</v>
      </c>
      <c r="E706" s="34" t="s">
        <v>1774</v>
      </c>
      <c r="F706" s="34" t="n">
        <v>-11</v>
      </c>
      <c r="G706" s="34" t="n">
        <v>-1</v>
      </c>
      <c r="H706" s="40" t="n">
        <v>-82.32</v>
      </c>
      <c r="I706" s="34" t="n">
        <v>0</v>
      </c>
      <c r="J706" s="34" t="n">
        <v>0</v>
      </c>
      <c r="K706" s="34" t="n">
        <v>0</v>
      </c>
      <c r="L706" s="34" t="n">
        <v>101.57</v>
      </c>
      <c r="M706" s="34" t="n">
        <v>101.57</v>
      </c>
      <c r="N706" s="34" t="n">
        <v>507</v>
      </c>
      <c r="O706" s="34" t="n">
        <v>0</v>
      </c>
      <c r="P706" s="34" t="s">
        <v>498</v>
      </c>
    </row>
    <row r="707" customFormat="false" ht="14.4" hidden="false" customHeight="false" outlineLevel="0" collapsed="false">
      <c r="A707" s="34" t="n">
        <v>706</v>
      </c>
      <c r="B707" s="35" t="n">
        <v>24845055000160</v>
      </c>
      <c r="C707" s="34" t="s">
        <v>1775</v>
      </c>
      <c r="D707" s="34" t="s">
        <v>1658</v>
      </c>
      <c r="E707" s="34" t="s">
        <v>1776</v>
      </c>
      <c r="F707" s="34" t="n">
        <v>0</v>
      </c>
      <c r="G707" s="34" t="n">
        <v>0</v>
      </c>
      <c r="H707" s="40" t="n">
        <v>-86.13</v>
      </c>
      <c r="I707" s="34" t="n">
        <v>0</v>
      </c>
      <c r="J707" s="34" t="n">
        <v>0</v>
      </c>
      <c r="K707" s="34" t="n">
        <v>0</v>
      </c>
      <c r="L707" s="34" t="n">
        <v>101.57</v>
      </c>
      <c r="M707" s="34" t="n">
        <v>101.57</v>
      </c>
      <c r="N707" s="34" t="n">
        <v>103</v>
      </c>
      <c r="O707" s="34" t="n">
        <v>0</v>
      </c>
      <c r="P707" s="34" t="s">
        <v>501</v>
      </c>
    </row>
    <row r="708" customFormat="false" ht="14.4" hidden="false" customHeight="false" outlineLevel="0" collapsed="false">
      <c r="A708" s="34" t="n">
        <v>707</v>
      </c>
      <c r="B708" s="35" t="n">
        <v>48678342000191</v>
      </c>
      <c r="C708" s="34" t="s">
        <v>1777</v>
      </c>
      <c r="D708" s="34" t="s">
        <v>103</v>
      </c>
      <c r="E708" s="34" t="s">
        <v>1778</v>
      </c>
      <c r="F708" s="34" t="n">
        <v>0</v>
      </c>
      <c r="G708" s="34" t="n">
        <v>0</v>
      </c>
      <c r="H708" s="40" t="n">
        <v>-97.53</v>
      </c>
      <c r="I708" s="34" t="n">
        <v>0</v>
      </c>
      <c r="J708" s="34" t="n">
        <v>0</v>
      </c>
      <c r="K708" s="34" t="n">
        <v>0</v>
      </c>
      <c r="L708" s="34" t="n">
        <v>101.56</v>
      </c>
      <c r="M708" s="34" t="n">
        <v>101.56</v>
      </c>
      <c r="N708" s="34" t="n">
        <v>715</v>
      </c>
      <c r="O708" s="34" t="n">
        <v>0</v>
      </c>
      <c r="P708" s="34" t="s">
        <v>834</v>
      </c>
    </row>
    <row r="709" customFormat="false" ht="14.4" hidden="false" customHeight="false" outlineLevel="0" collapsed="false">
      <c r="A709" s="34" t="n">
        <v>708</v>
      </c>
      <c r="B709" s="35" t="n">
        <v>5327650000160</v>
      </c>
      <c r="C709" s="34" t="s">
        <v>373</v>
      </c>
      <c r="D709" s="34" t="s">
        <v>548</v>
      </c>
      <c r="E709" s="34" t="s">
        <v>1196</v>
      </c>
      <c r="F709" s="34" t="n">
        <v>-10</v>
      </c>
      <c r="G709" s="34" t="n">
        <v>-1</v>
      </c>
      <c r="H709" s="40" t="n">
        <v>-101.06</v>
      </c>
      <c r="I709" s="34" t="n">
        <v>0</v>
      </c>
      <c r="J709" s="34" t="n">
        <v>0</v>
      </c>
      <c r="K709" s="34" t="n">
        <v>0</v>
      </c>
      <c r="L709" s="34" t="n">
        <v>101.56</v>
      </c>
      <c r="M709" s="34" t="n">
        <v>101.56</v>
      </c>
      <c r="N709" s="34" t="n">
        <v>708</v>
      </c>
      <c r="O709" s="34" t="n">
        <v>0</v>
      </c>
      <c r="P709" s="34" t="s">
        <v>1135</v>
      </c>
    </row>
    <row r="710" customFormat="false" ht="14.4" hidden="false" customHeight="false" outlineLevel="0" collapsed="false">
      <c r="A710" s="34" t="n">
        <v>709</v>
      </c>
      <c r="B710" s="35" t="n">
        <v>3112629000111</v>
      </c>
      <c r="C710" s="34" t="s">
        <v>1779</v>
      </c>
      <c r="D710" s="34" t="s">
        <v>737</v>
      </c>
      <c r="E710" s="34" t="s">
        <v>1780</v>
      </c>
      <c r="F710" s="34" t="n">
        <v>-2</v>
      </c>
      <c r="G710" s="34" t="n">
        <v>0</v>
      </c>
      <c r="H710" s="40" t="n">
        <v>-103.78</v>
      </c>
      <c r="I710" s="34" t="n">
        <v>0</v>
      </c>
      <c r="J710" s="34" t="n">
        <v>0</v>
      </c>
      <c r="K710" s="34" t="n">
        <v>0</v>
      </c>
      <c r="L710" s="34" t="n">
        <v>101.56</v>
      </c>
      <c r="M710" s="34" t="n">
        <v>101.56</v>
      </c>
      <c r="N710" s="34" t="n">
        <v>716</v>
      </c>
      <c r="O710" s="34" t="n">
        <v>0</v>
      </c>
      <c r="P710" s="34" t="s">
        <v>501</v>
      </c>
    </row>
    <row r="711" customFormat="false" ht="14.4" hidden="false" customHeight="false" outlineLevel="0" collapsed="false">
      <c r="A711" s="34" t="n">
        <v>710</v>
      </c>
      <c r="B711" s="35" t="n">
        <v>28519613000230</v>
      </c>
      <c r="C711" s="34" t="s">
        <v>1781</v>
      </c>
      <c r="D711" s="34" t="s">
        <v>139</v>
      </c>
      <c r="E711" s="34" t="s">
        <v>1016</v>
      </c>
      <c r="F711" s="34" t="n">
        <v>-3</v>
      </c>
      <c r="G711" s="34" t="n">
        <v>0</v>
      </c>
      <c r="H711" s="40" t="n">
        <v>-105.47</v>
      </c>
      <c r="I711" s="34" t="n">
        <v>0</v>
      </c>
      <c r="J711" s="34" t="n">
        <v>0</v>
      </c>
      <c r="K711" s="34" t="n">
        <v>0</v>
      </c>
      <c r="L711" s="34" t="n">
        <v>101.56</v>
      </c>
      <c r="M711" s="34" t="n">
        <v>101.56</v>
      </c>
      <c r="N711" s="34" t="n">
        <v>714</v>
      </c>
      <c r="O711" s="34" t="n">
        <v>0</v>
      </c>
      <c r="P711" s="34" t="s">
        <v>501</v>
      </c>
    </row>
    <row r="712" customFormat="false" ht="14.4" hidden="false" customHeight="false" outlineLevel="0" collapsed="false">
      <c r="A712" s="34" t="n">
        <v>711</v>
      </c>
      <c r="B712" s="35" t="n">
        <v>1957570000137</v>
      </c>
      <c r="C712" s="34" t="s">
        <v>1782</v>
      </c>
      <c r="D712" s="34" t="s">
        <v>548</v>
      </c>
      <c r="E712" s="34" t="s">
        <v>1783</v>
      </c>
      <c r="F712" s="34" t="n">
        <v>-1</v>
      </c>
      <c r="G712" s="34" t="n">
        <v>0</v>
      </c>
      <c r="H712" s="40" t="n">
        <v>-105.66</v>
      </c>
      <c r="I712" s="34" t="n">
        <v>0</v>
      </c>
      <c r="J712" s="34" t="n">
        <v>0</v>
      </c>
      <c r="K712" s="34" t="n">
        <v>0</v>
      </c>
      <c r="L712" s="34" t="n">
        <v>101.55</v>
      </c>
      <c r="M712" s="34" t="n">
        <v>101.55</v>
      </c>
      <c r="N712" s="34" t="n">
        <v>708</v>
      </c>
      <c r="O712" s="34" t="n">
        <v>0</v>
      </c>
      <c r="P712" s="34" t="s">
        <v>501</v>
      </c>
    </row>
    <row r="713" customFormat="false" ht="14.4" hidden="false" customHeight="false" outlineLevel="0" collapsed="false">
      <c r="A713" s="34" t="n">
        <v>712</v>
      </c>
      <c r="B713" s="35" t="n">
        <v>32846942000181</v>
      </c>
      <c r="C713" s="34" t="s">
        <v>1784</v>
      </c>
      <c r="D713" s="34" t="s">
        <v>213</v>
      </c>
      <c r="E713" s="34" t="s">
        <v>1785</v>
      </c>
      <c r="F713" s="34" t="n">
        <v>-13</v>
      </c>
      <c r="G713" s="34" t="n">
        <v>-1</v>
      </c>
      <c r="H713" s="40" t="n">
        <v>-111.79</v>
      </c>
      <c r="I713" s="34" t="n">
        <v>-0.01</v>
      </c>
      <c r="J713" s="34" t="n">
        <v>0</v>
      </c>
      <c r="K713" s="34" t="n">
        <v>0</v>
      </c>
      <c r="L713" s="34" t="n">
        <v>101.55</v>
      </c>
      <c r="M713" s="34" t="n">
        <v>101.55</v>
      </c>
      <c r="N713" s="34" t="n">
        <v>709</v>
      </c>
      <c r="O713" s="34" t="n">
        <v>0</v>
      </c>
      <c r="P713" s="34" t="s">
        <v>518</v>
      </c>
    </row>
    <row r="714" customFormat="false" ht="14.4" hidden="false" customHeight="false" outlineLevel="0" collapsed="false">
      <c r="A714" s="34" t="n">
        <v>713</v>
      </c>
      <c r="B714" s="35" t="n">
        <v>26552839000126</v>
      </c>
      <c r="C714" s="34" t="s">
        <v>1786</v>
      </c>
      <c r="D714" s="34" t="s">
        <v>562</v>
      </c>
      <c r="E714" s="34" t="s">
        <v>1711</v>
      </c>
      <c r="F714" s="34" t="n">
        <v>-2</v>
      </c>
      <c r="G714" s="34" t="n">
        <v>-1</v>
      </c>
      <c r="H714" s="40" t="n">
        <v>-114.48</v>
      </c>
      <c r="I714" s="34" t="n">
        <v>0</v>
      </c>
      <c r="J714" s="34" t="n">
        <v>0</v>
      </c>
      <c r="K714" s="34" t="n">
        <v>0</v>
      </c>
      <c r="L714" s="34" t="n">
        <v>101.55</v>
      </c>
      <c r="M714" s="34" t="n">
        <v>101.55</v>
      </c>
      <c r="N714" s="34" t="n">
        <v>705</v>
      </c>
      <c r="O714" s="34" t="n">
        <v>0</v>
      </c>
      <c r="P714" s="34" t="s">
        <v>776</v>
      </c>
    </row>
    <row r="715" customFormat="false" ht="14.4" hidden="false" customHeight="false" outlineLevel="0" collapsed="false">
      <c r="A715" s="34" t="n">
        <v>714</v>
      </c>
      <c r="B715" s="35" t="n">
        <v>18694393000146</v>
      </c>
      <c r="C715" s="34" t="s">
        <v>1787</v>
      </c>
      <c r="D715" s="34" t="s">
        <v>213</v>
      </c>
      <c r="E715" s="34" t="s">
        <v>1788</v>
      </c>
      <c r="F715" s="34" t="n">
        <v>-2</v>
      </c>
      <c r="G715" s="34" t="n">
        <v>-2</v>
      </c>
      <c r="H715" s="40" t="n">
        <v>-115.16</v>
      </c>
      <c r="I715" s="34" t="n">
        <v>0</v>
      </c>
      <c r="J715" s="34" t="n">
        <v>0</v>
      </c>
      <c r="K715" s="34" t="n">
        <v>0</v>
      </c>
      <c r="L715" s="34" t="n">
        <v>101.55</v>
      </c>
      <c r="M715" s="34" t="n">
        <v>101.55</v>
      </c>
      <c r="N715" s="34" t="n">
        <v>709</v>
      </c>
      <c r="O715" s="34" t="n">
        <v>0</v>
      </c>
      <c r="P715" s="34" t="s">
        <v>510</v>
      </c>
    </row>
    <row r="716" customFormat="false" ht="14.4" hidden="false" customHeight="false" outlineLevel="0" collapsed="false">
      <c r="A716" s="34" t="n">
        <v>715</v>
      </c>
      <c r="B716" s="35" t="n">
        <v>27590237000126</v>
      </c>
      <c r="C716" s="34" t="s">
        <v>1789</v>
      </c>
      <c r="D716" s="34" t="s">
        <v>581</v>
      </c>
      <c r="E716" s="34" t="s">
        <v>1790</v>
      </c>
      <c r="F716" s="34" t="n">
        <v>-4</v>
      </c>
      <c r="G716" s="34" t="n">
        <v>-3</v>
      </c>
      <c r="H716" s="40" t="n">
        <v>-118.05</v>
      </c>
      <c r="I716" s="34" t="n">
        <v>0</v>
      </c>
      <c r="J716" s="34" t="n">
        <v>-0.01</v>
      </c>
      <c r="K716" s="34" t="n">
        <v>0</v>
      </c>
      <c r="L716" s="34" t="n">
        <v>101.54</v>
      </c>
      <c r="M716" s="34" t="n">
        <v>101.54</v>
      </c>
      <c r="N716" s="34" t="n">
        <v>710</v>
      </c>
      <c r="O716" s="34" t="n">
        <v>0</v>
      </c>
      <c r="P716" s="34" t="s">
        <v>504</v>
      </c>
    </row>
    <row r="717" customFormat="false" ht="14.4" hidden="false" customHeight="false" outlineLevel="0" collapsed="false">
      <c r="A717" s="34" t="n">
        <v>716</v>
      </c>
      <c r="B717" s="35" t="n">
        <v>48814257000103</v>
      </c>
      <c r="C717" s="34" t="s">
        <v>1791</v>
      </c>
      <c r="D717" s="34" t="s">
        <v>737</v>
      </c>
      <c r="E717" s="34" t="s">
        <v>1792</v>
      </c>
      <c r="F717" s="34" t="n">
        <v>-3</v>
      </c>
      <c r="G717" s="34" t="n">
        <v>-1</v>
      </c>
      <c r="H717" s="40" t="n">
        <v>-119.54</v>
      </c>
      <c r="I717" s="34" t="n">
        <v>0</v>
      </c>
      <c r="J717" s="34" t="n">
        <v>0</v>
      </c>
      <c r="K717" s="34" t="n">
        <v>0</v>
      </c>
      <c r="L717" s="34" t="n">
        <v>101.54</v>
      </c>
      <c r="M717" s="34" t="n">
        <v>101.54</v>
      </c>
      <c r="N717" s="34" t="n">
        <v>716</v>
      </c>
      <c r="O717" s="34" t="n">
        <v>0</v>
      </c>
      <c r="P717" s="34" t="s">
        <v>773</v>
      </c>
    </row>
    <row r="718" customFormat="false" ht="14.4" hidden="false" customHeight="false" outlineLevel="0" collapsed="false">
      <c r="A718" s="34" t="n">
        <v>717</v>
      </c>
      <c r="B718" s="35" t="n">
        <v>26552839000398</v>
      </c>
      <c r="C718" s="34" t="s">
        <v>1786</v>
      </c>
      <c r="D718" s="34" t="s">
        <v>562</v>
      </c>
      <c r="E718" s="34" t="s">
        <v>1793</v>
      </c>
      <c r="F718" s="34" t="n">
        <v>-2</v>
      </c>
      <c r="G718" s="34" t="n">
        <v>-1</v>
      </c>
      <c r="H718" s="40" t="n">
        <v>-120.62</v>
      </c>
      <c r="I718" s="34" t="n">
        <v>0</v>
      </c>
      <c r="J718" s="34" t="n">
        <v>0</v>
      </c>
      <c r="K718" s="34" t="n">
        <v>0</v>
      </c>
      <c r="L718" s="34" t="n">
        <v>101.54</v>
      </c>
      <c r="M718" s="34" t="n">
        <v>101.54</v>
      </c>
      <c r="N718" s="34" t="n">
        <v>705</v>
      </c>
      <c r="O718" s="34" t="n">
        <v>0</v>
      </c>
      <c r="P718" s="34" t="s">
        <v>501</v>
      </c>
    </row>
    <row r="719" customFormat="false" ht="14.4" hidden="false" customHeight="false" outlineLevel="0" collapsed="false">
      <c r="A719" s="34" t="n">
        <v>718</v>
      </c>
      <c r="B719" s="35" t="n">
        <v>21406986000174</v>
      </c>
      <c r="C719" s="34" t="s">
        <v>1794</v>
      </c>
      <c r="D719" s="34" t="s">
        <v>139</v>
      </c>
      <c r="E719" s="34" t="s">
        <v>1795</v>
      </c>
      <c r="F719" s="34" t="n">
        <v>-3</v>
      </c>
      <c r="G719" s="34" t="n">
        <v>-1</v>
      </c>
      <c r="H719" s="40" t="n">
        <v>-127.07</v>
      </c>
      <c r="I719" s="34" t="n">
        <v>0</v>
      </c>
      <c r="J719" s="34" t="n">
        <v>0</v>
      </c>
      <c r="K719" s="34" t="n">
        <v>0</v>
      </c>
      <c r="L719" s="34" t="n">
        <v>101.54</v>
      </c>
      <c r="M719" s="34" t="n">
        <v>101.54</v>
      </c>
      <c r="N719" s="34" t="n">
        <v>714</v>
      </c>
      <c r="O719" s="34" t="n">
        <v>0</v>
      </c>
      <c r="P719" s="34" t="s">
        <v>800</v>
      </c>
    </row>
    <row r="720" customFormat="false" ht="14.4" hidden="false" customHeight="false" outlineLevel="0" collapsed="false">
      <c r="A720" s="34" t="n">
        <v>719</v>
      </c>
      <c r="B720" s="35" t="n">
        <v>22965953000127</v>
      </c>
      <c r="C720" s="34" t="s">
        <v>1796</v>
      </c>
      <c r="D720" s="34" t="s">
        <v>631</v>
      </c>
      <c r="E720" s="34" t="s">
        <v>1797</v>
      </c>
      <c r="F720" s="34" t="n">
        <v>-13</v>
      </c>
      <c r="G720" s="34" t="n">
        <v>-1</v>
      </c>
      <c r="H720" s="40" t="n">
        <v>-136.52</v>
      </c>
      <c r="I720" s="34" t="n">
        <v>0</v>
      </c>
      <c r="J720" s="34" t="n">
        <v>0</v>
      </c>
      <c r="K720" s="34" t="n">
        <v>0</v>
      </c>
      <c r="L720" s="34" t="n">
        <v>101.53</v>
      </c>
      <c r="M720" s="34" t="n">
        <v>101.53</v>
      </c>
      <c r="N720" s="34" t="n">
        <v>706</v>
      </c>
      <c r="O720" s="34" t="n">
        <v>0</v>
      </c>
      <c r="P720" s="34" t="s">
        <v>504</v>
      </c>
    </row>
    <row r="721" customFormat="false" ht="14.4" hidden="false" customHeight="false" outlineLevel="0" collapsed="false">
      <c r="A721" s="34" t="n">
        <v>720</v>
      </c>
      <c r="B721" s="35" t="n">
        <v>10957498000139</v>
      </c>
      <c r="C721" s="34" t="s">
        <v>1798</v>
      </c>
      <c r="D721" s="34" t="s">
        <v>1658</v>
      </c>
      <c r="E721" s="34" t="s">
        <v>192</v>
      </c>
      <c r="F721" s="34" t="n">
        <v>-4</v>
      </c>
      <c r="G721" s="34" t="n">
        <v>-1</v>
      </c>
      <c r="H721" s="40" t="n">
        <v>-137.19</v>
      </c>
      <c r="I721" s="34" t="n">
        <v>0</v>
      </c>
      <c r="J721" s="34" t="n">
        <v>0</v>
      </c>
      <c r="K721" s="34" t="n">
        <v>0</v>
      </c>
      <c r="L721" s="34" t="n">
        <v>101.53</v>
      </c>
      <c r="M721" s="34" t="n">
        <v>101.53</v>
      </c>
      <c r="N721" s="34" t="n">
        <v>703</v>
      </c>
      <c r="O721" s="34" t="n">
        <v>0</v>
      </c>
      <c r="P721" s="34" t="s">
        <v>510</v>
      </c>
    </row>
    <row r="722" customFormat="false" ht="14.4" hidden="false" customHeight="false" outlineLevel="0" collapsed="false">
      <c r="A722" s="34" t="n">
        <v>721</v>
      </c>
      <c r="B722" s="35" t="n">
        <v>11421810000138</v>
      </c>
      <c r="C722" s="34" t="s">
        <v>1799</v>
      </c>
      <c r="D722" s="34" t="s">
        <v>762</v>
      </c>
      <c r="E722" s="34" t="s">
        <v>1800</v>
      </c>
      <c r="F722" s="34" t="n">
        <v>-6</v>
      </c>
      <c r="G722" s="34" t="n">
        <v>-2</v>
      </c>
      <c r="H722" s="40" t="n">
        <v>-163.07</v>
      </c>
      <c r="I722" s="34" t="n">
        <v>0</v>
      </c>
      <c r="J722" s="34" t="n">
        <v>0</v>
      </c>
      <c r="K722" s="34" t="n">
        <v>0</v>
      </c>
      <c r="L722" s="34" t="n">
        <v>101.53</v>
      </c>
      <c r="M722" s="34" t="n">
        <v>101.53</v>
      </c>
      <c r="N722" s="34" t="n">
        <v>135</v>
      </c>
      <c r="O722" s="34" t="n">
        <v>0</v>
      </c>
      <c r="P722" s="34" t="s">
        <v>501</v>
      </c>
    </row>
    <row r="723" customFormat="false" ht="14.4" hidden="false" customHeight="false" outlineLevel="0" collapsed="false">
      <c r="A723" s="34" t="n">
        <v>722</v>
      </c>
      <c r="B723" s="35" t="n">
        <v>25089146000186</v>
      </c>
      <c r="C723" s="34" t="s">
        <v>1801</v>
      </c>
      <c r="D723" s="34" t="s">
        <v>192</v>
      </c>
      <c r="E723" s="34" t="s">
        <v>1802</v>
      </c>
      <c r="F723" s="34" t="n">
        <v>-6</v>
      </c>
      <c r="G723" s="34" t="n">
        <v>-2</v>
      </c>
      <c r="H723" s="40" t="n">
        <v>-163.07</v>
      </c>
      <c r="I723" s="34" t="n">
        <v>0</v>
      </c>
      <c r="J723" s="34" t="n">
        <v>0</v>
      </c>
      <c r="K723" s="34" t="n">
        <v>0</v>
      </c>
      <c r="L723" s="34" t="n">
        <v>101.52</v>
      </c>
      <c r="M723" s="34" t="n">
        <v>101.52</v>
      </c>
      <c r="N723" s="34" t="n">
        <v>703</v>
      </c>
      <c r="O723" s="34" t="n">
        <v>0</v>
      </c>
      <c r="P723" s="34" t="s">
        <v>1135</v>
      </c>
    </row>
    <row r="724" customFormat="false" ht="14.4" hidden="false" customHeight="false" outlineLevel="0" collapsed="false">
      <c r="A724" s="34" t="n">
        <v>723</v>
      </c>
      <c r="B724" s="35" t="n">
        <v>2081079000158</v>
      </c>
      <c r="C724" s="34" t="s">
        <v>1803</v>
      </c>
      <c r="D724" s="34" t="s">
        <v>77</v>
      </c>
      <c r="E724" s="34" t="s">
        <v>1804</v>
      </c>
      <c r="F724" s="34" t="n">
        <v>-7</v>
      </c>
      <c r="G724" s="34" t="n">
        <v>-1</v>
      </c>
      <c r="H724" s="40" t="n">
        <v>-190.12</v>
      </c>
      <c r="I724" s="34" t="n">
        <v>0</v>
      </c>
      <c r="J724" s="34" t="n">
        <v>0</v>
      </c>
      <c r="K724" s="34" t="n">
        <v>0</v>
      </c>
      <c r="L724" s="34" t="n">
        <v>101.52</v>
      </c>
      <c r="M724" s="34" t="n">
        <v>101.52</v>
      </c>
      <c r="N724" s="34" t="n">
        <v>759</v>
      </c>
      <c r="O724" s="34" t="n">
        <v>0</v>
      </c>
      <c r="P724" s="34" t="s">
        <v>510</v>
      </c>
    </row>
    <row r="725" customFormat="false" ht="14.4" hidden="false" customHeight="false" outlineLevel="0" collapsed="false">
      <c r="A725" s="34" t="n">
        <v>724</v>
      </c>
      <c r="B725" s="35" t="n">
        <v>27401974000214</v>
      </c>
      <c r="C725" s="34" t="s">
        <v>1805</v>
      </c>
      <c r="D725" s="34" t="s">
        <v>77</v>
      </c>
      <c r="E725" s="34" t="s">
        <v>1806</v>
      </c>
      <c r="F725" s="34" t="n">
        <v>-7</v>
      </c>
      <c r="G725" s="34" t="n">
        <v>-1</v>
      </c>
      <c r="H725" s="40" t="n">
        <v>-193.52</v>
      </c>
      <c r="I725" s="34" t="n">
        <v>0</v>
      </c>
      <c r="J725" s="34" t="n">
        <v>0</v>
      </c>
      <c r="K725" s="34" t="n">
        <v>0</v>
      </c>
      <c r="L725" s="34" t="n">
        <v>101.52</v>
      </c>
      <c r="M725" s="34" t="n">
        <v>101.52</v>
      </c>
      <c r="N725" s="34" t="n">
        <v>130</v>
      </c>
      <c r="O725" s="34" t="n">
        <v>0</v>
      </c>
      <c r="P725" s="34" t="s">
        <v>1278</v>
      </c>
    </row>
    <row r="726" customFormat="false" ht="14.4" hidden="false" customHeight="false" outlineLevel="0" collapsed="false">
      <c r="A726" s="34" t="n">
        <v>725</v>
      </c>
      <c r="B726" s="35" t="n">
        <v>7028514000285</v>
      </c>
      <c r="C726" s="34" t="s">
        <v>655</v>
      </c>
      <c r="D726" s="34" t="s">
        <v>653</v>
      </c>
      <c r="E726" s="34" t="s">
        <v>526</v>
      </c>
      <c r="F726" s="34" t="n">
        <v>-9</v>
      </c>
      <c r="G726" s="34" t="n">
        <v>-4</v>
      </c>
      <c r="H726" s="40" t="n">
        <v>-194.21</v>
      </c>
      <c r="I726" s="34" t="n">
        <v>0</v>
      </c>
      <c r="J726" s="34" t="n">
        <v>-0.01</v>
      </c>
      <c r="K726" s="34" t="n">
        <v>0</v>
      </c>
      <c r="L726" s="34" t="n">
        <v>101.51</v>
      </c>
      <c r="M726" s="34" t="n">
        <v>101.51</v>
      </c>
      <c r="N726" s="34" t="n">
        <v>706</v>
      </c>
      <c r="O726" s="34" t="n">
        <v>0</v>
      </c>
      <c r="P726" s="34" t="s">
        <v>504</v>
      </c>
    </row>
    <row r="727" customFormat="false" ht="14.4" hidden="false" customHeight="false" outlineLevel="0" collapsed="false">
      <c r="A727" s="34" t="n">
        <v>726</v>
      </c>
      <c r="B727" s="35" t="n">
        <v>42843954000106</v>
      </c>
      <c r="C727" s="34" t="s">
        <v>1807</v>
      </c>
      <c r="D727" s="34" t="s">
        <v>594</v>
      </c>
      <c r="E727" s="34" t="s">
        <v>1321</v>
      </c>
      <c r="F727" s="34" t="n">
        <v>-19</v>
      </c>
      <c r="G727" s="34" t="n">
        <v>-2</v>
      </c>
      <c r="H727" s="40" t="n">
        <v>-195.54</v>
      </c>
      <c r="I727" s="34" t="n">
        <v>-0.01</v>
      </c>
      <c r="J727" s="34" t="n">
        <v>0</v>
      </c>
      <c r="K727" s="34" t="n">
        <v>0</v>
      </c>
      <c r="L727" s="34" t="n">
        <v>101.51</v>
      </c>
      <c r="M727" s="34" t="n">
        <v>101.51</v>
      </c>
      <c r="N727" s="34" t="n">
        <v>710</v>
      </c>
      <c r="O727" s="34" t="n">
        <v>0</v>
      </c>
      <c r="P727" s="34" t="s">
        <v>510</v>
      </c>
    </row>
    <row r="728" customFormat="false" ht="14.4" hidden="false" customHeight="false" outlineLevel="0" collapsed="false">
      <c r="A728" s="34" t="n">
        <v>727</v>
      </c>
      <c r="B728" s="35" t="n">
        <v>5941606000145</v>
      </c>
      <c r="C728" s="34" t="s">
        <v>1808</v>
      </c>
      <c r="D728" s="34" t="s">
        <v>357</v>
      </c>
      <c r="E728" s="34" t="s">
        <v>1809</v>
      </c>
      <c r="F728" s="34" t="n">
        <v>-19</v>
      </c>
      <c r="G728" s="34" t="n">
        <v>-3</v>
      </c>
      <c r="H728" s="40" t="n">
        <v>-208.29</v>
      </c>
      <c r="I728" s="34" t="n">
        <v>-0.01</v>
      </c>
      <c r="J728" s="34" t="n">
        <v>-0.01</v>
      </c>
      <c r="K728" s="34" t="n">
        <v>0</v>
      </c>
      <c r="L728" s="34" t="n">
        <v>101.5</v>
      </c>
      <c r="M728" s="34" t="n">
        <v>101.5</v>
      </c>
      <c r="N728" s="34" t="n">
        <v>708</v>
      </c>
      <c r="O728" s="34" t="n">
        <v>0</v>
      </c>
      <c r="P728" s="34" t="s">
        <v>510</v>
      </c>
    </row>
    <row r="729" customFormat="false" ht="14.4" hidden="false" customHeight="false" outlineLevel="0" collapsed="false">
      <c r="A729" s="34" t="n">
        <v>728</v>
      </c>
      <c r="B729" s="35" t="n">
        <v>70356449000687</v>
      </c>
      <c r="C729" s="34" t="s">
        <v>1810</v>
      </c>
      <c r="D729" s="34" t="s">
        <v>548</v>
      </c>
      <c r="E729" s="34" t="s">
        <v>1811</v>
      </c>
      <c r="F729" s="34" t="n">
        <v>-7</v>
      </c>
      <c r="G729" s="34" t="n">
        <v>-1</v>
      </c>
      <c r="H729" s="40" t="n">
        <v>-233.47</v>
      </c>
      <c r="I729" s="34" t="n">
        <v>0</v>
      </c>
      <c r="J729" s="34" t="n">
        <v>0</v>
      </c>
      <c r="K729" s="34" t="n">
        <v>0</v>
      </c>
      <c r="L729" s="34" t="n">
        <v>101.5</v>
      </c>
      <c r="M729" s="34" t="n">
        <v>101.5</v>
      </c>
      <c r="N729" s="34" t="n">
        <v>708</v>
      </c>
      <c r="O729" s="34" t="n">
        <v>0</v>
      </c>
      <c r="P729" s="34" t="s">
        <v>501</v>
      </c>
    </row>
    <row r="730" customFormat="false" ht="14.4" hidden="false" customHeight="false" outlineLevel="0" collapsed="false">
      <c r="A730" s="34" t="n">
        <v>729</v>
      </c>
      <c r="B730" s="35" t="n">
        <v>4757459000438</v>
      </c>
      <c r="C730" s="34" t="s">
        <v>1812</v>
      </c>
      <c r="D730" s="34" t="s">
        <v>107</v>
      </c>
      <c r="E730" s="34" t="s">
        <v>1813</v>
      </c>
      <c r="F730" s="34" t="n">
        <v>-24</v>
      </c>
      <c r="G730" s="34" t="n">
        <v>-2</v>
      </c>
      <c r="H730" s="40" t="n">
        <v>-242.94</v>
      </c>
      <c r="I730" s="34" t="n">
        <v>-0.01</v>
      </c>
      <c r="J730" s="34" t="n">
        <v>0</v>
      </c>
      <c r="K730" s="34" t="n">
        <v>0</v>
      </c>
      <c r="L730" s="34" t="n">
        <v>101.49</v>
      </c>
      <c r="M730" s="34" t="n">
        <v>101.49</v>
      </c>
      <c r="N730" s="34" t="n">
        <v>507</v>
      </c>
      <c r="O730" s="34" t="n">
        <v>0</v>
      </c>
      <c r="P730" s="34" t="s">
        <v>496</v>
      </c>
    </row>
    <row r="731" customFormat="false" ht="14.4" hidden="false" customHeight="false" outlineLevel="0" collapsed="false">
      <c r="A731" s="34" t="n">
        <v>730</v>
      </c>
      <c r="B731" s="35" t="n">
        <v>4757459001400</v>
      </c>
      <c r="C731" s="34" t="s">
        <v>1814</v>
      </c>
      <c r="D731" s="34" t="s">
        <v>107</v>
      </c>
      <c r="E731" s="34" t="s">
        <v>1815</v>
      </c>
      <c r="F731" s="34" t="n">
        <v>-24</v>
      </c>
      <c r="G731" s="34" t="n">
        <v>-2</v>
      </c>
      <c r="H731" s="40" t="n">
        <v>-242.94</v>
      </c>
      <c r="I731" s="34" t="n">
        <v>-0.01</v>
      </c>
      <c r="J731" s="34" t="n">
        <v>0</v>
      </c>
      <c r="K731" s="34" t="n">
        <v>0</v>
      </c>
      <c r="L731" s="34" t="n">
        <v>101.49</v>
      </c>
      <c r="M731" s="34" t="n">
        <v>101.49</v>
      </c>
      <c r="N731" s="34" t="n">
        <v>507</v>
      </c>
      <c r="O731" s="34" t="n">
        <v>0</v>
      </c>
      <c r="P731" s="34" t="s">
        <v>496</v>
      </c>
    </row>
    <row r="732" customFormat="false" ht="14.4" hidden="false" customHeight="false" outlineLevel="0" collapsed="false">
      <c r="A732" s="34" t="n">
        <v>731</v>
      </c>
      <c r="B732" s="35" t="n">
        <v>4757459001914</v>
      </c>
      <c r="C732" s="34" t="s">
        <v>1816</v>
      </c>
      <c r="D732" s="34" t="s">
        <v>107</v>
      </c>
      <c r="E732" s="34" t="s">
        <v>1817</v>
      </c>
      <c r="F732" s="34" t="n">
        <v>-24</v>
      </c>
      <c r="G732" s="34" t="n">
        <v>-2</v>
      </c>
      <c r="H732" s="40" t="n">
        <v>-242.94</v>
      </c>
      <c r="I732" s="34" t="n">
        <v>-0.01</v>
      </c>
      <c r="J732" s="34" t="n">
        <v>0</v>
      </c>
      <c r="K732" s="34" t="n">
        <v>0</v>
      </c>
      <c r="L732" s="34" t="n">
        <v>101.48</v>
      </c>
      <c r="M732" s="34" t="n">
        <v>101.48</v>
      </c>
      <c r="N732" s="34" t="n">
        <v>507</v>
      </c>
      <c r="O732" s="34" t="n">
        <v>0</v>
      </c>
      <c r="P732" s="34" t="s">
        <v>498</v>
      </c>
    </row>
    <row r="733" customFormat="false" ht="14.4" hidden="false" customHeight="false" outlineLevel="0" collapsed="false">
      <c r="A733" s="34" t="n">
        <v>732</v>
      </c>
      <c r="B733" s="35" t="n">
        <v>4757459003968</v>
      </c>
      <c r="C733" s="34" t="s">
        <v>1818</v>
      </c>
      <c r="D733" s="34" t="s">
        <v>107</v>
      </c>
      <c r="E733" s="34" t="s">
        <v>1819</v>
      </c>
      <c r="F733" s="34" t="n">
        <v>-24</v>
      </c>
      <c r="G733" s="34" t="n">
        <v>-2</v>
      </c>
      <c r="H733" s="40" t="n">
        <v>-242.94</v>
      </c>
      <c r="I733" s="34" t="n">
        <v>-0.01</v>
      </c>
      <c r="J733" s="34" t="n">
        <v>0</v>
      </c>
      <c r="K733" s="34" t="n">
        <v>0</v>
      </c>
      <c r="L733" s="34" t="n">
        <v>101.48</v>
      </c>
      <c r="M733" s="34" t="n">
        <v>101.48</v>
      </c>
      <c r="N733" s="34" t="n">
        <v>507</v>
      </c>
      <c r="O733" s="34" t="n">
        <v>0</v>
      </c>
      <c r="P733" s="34" t="s">
        <v>496</v>
      </c>
    </row>
    <row r="734" customFormat="false" ht="14.4" hidden="false" customHeight="false" outlineLevel="0" collapsed="false">
      <c r="A734" s="34" t="n">
        <v>733</v>
      </c>
      <c r="B734" s="35" t="n">
        <v>4757459004000</v>
      </c>
      <c r="C734" s="34" t="s">
        <v>1820</v>
      </c>
      <c r="D734" s="34" t="s">
        <v>192</v>
      </c>
      <c r="E734" s="34" t="s">
        <v>1821</v>
      </c>
      <c r="F734" s="34" t="n">
        <v>-24</v>
      </c>
      <c r="G734" s="34" t="n">
        <v>-2</v>
      </c>
      <c r="H734" s="40" t="n">
        <v>-242.94</v>
      </c>
      <c r="I734" s="34" t="n">
        <v>-0.01</v>
      </c>
      <c r="J734" s="34" t="n">
        <v>0</v>
      </c>
      <c r="K734" s="34" t="n">
        <v>0</v>
      </c>
      <c r="L734" s="34" t="n">
        <v>101.47</v>
      </c>
      <c r="M734" s="34" t="n">
        <v>101.47</v>
      </c>
      <c r="N734" s="34" t="n">
        <v>507</v>
      </c>
      <c r="O734" s="34" t="n">
        <v>0</v>
      </c>
      <c r="P734" s="34" t="s">
        <v>496</v>
      </c>
    </row>
    <row r="735" customFormat="false" ht="14.4" hidden="false" customHeight="false" outlineLevel="0" collapsed="false">
      <c r="A735" s="34" t="n">
        <v>734</v>
      </c>
      <c r="B735" s="35" t="n">
        <v>20335148000607</v>
      </c>
      <c r="C735" s="34" t="s">
        <v>502</v>
      </c>
      <c r="D735" s="34" t="s">
        <v>103</v>
      </c>
      <c r="E735" s="34" t="s">
        <v>1822</v>
      </c>
      <c r="F735" s="34" t="n">
        <v>-24</v>
      </c>
      <c r="G735" s="34" t="n">
        <v>-2</v>
      </c>
      <c r="H735" s="40" t="n">
        <v>-242.94</v>
      </c>
      <c r="I735" s="34" t="n">
        <v>-0.01</v>
      </c>
      <c r="J735" s="34" t="n">
        <v>0</v>
      </c>
      <c r="K735" s="34" t="n">
        <v>0</v>
      </c>
      <c r="L735" s="34" t="n">
        <v>101.47</v>
      </c>
      <c r="M735" s="34" t="n">
        <v>101.47</v>
      </c>
      <c r="N735" s="34" t="n">
        <v>507</v>
      </c>
      <c r="O735" s="34" t="n">
        <v>0</v>
      </c>
      <c r="P735" s="34" t="s">
        <v>504</v>
      </c>
    </row>
    <row r="736" customFormat="false" ht="14.4" hidden="false" customHeight="false" outlineLevel="0" collapsed="false">
      <c r="A736" s="34" t="n">
        <v>735</v>
      </c>
      <c r="B736" s="35" t="n">
        <v>4757459002996</v>
      </c>
      <c r="C736" s="34" t="s">
        <v>1823</v>
      </c>
      <c r="D736" s="34" t="s">
        <v>631</v>
      </c>
      <c r="E736" s="34" t="s">
        <v>1824</v>
      </c>
      <c r="F736" s="34" t="n">
        <v>-26</v>
      </c>
      <c r="G736" s="34" t="n">
        <v>-2</v>
      </c>
      <c r="H736" s="40" t="n">
        <v>-266.04</v>
      </c>
      <c r="I736" s="34" t="n">
        <v>-0.01</v>
      </c>
      <c r="J736" s="34" t="n">
        <v>0</v>
      </c>
      <c r="K736" s="34" t="n">
        <v>0</v>
      </c>
      <c r="L736" s="34" t="n">
        <v>101.46</v>
      </c>
      <c r="M736" s="34" t="n">
        <v>101.46</v>
      </c>
      <c r="N736" s="34" t="n">
        <v>507</v>
      </c>
      <c r="O736" s="34" t="n">
        <v>0</v>
      </c>
      <c r="P736" s="34" t="s">
        <v>504</v>
      </c>
    </row>
    <row r="737" customFormat="false" ht="14.4" hidden="false" customHeight="false" outlineLevel="0" collapsed="false">
      <c r="A737" s="34" t="n">
        <v>736</v>
      </c>
      <c r="B737" s="35" t="n">
        <v>9144217000140</v>
      </c>
      <c r="C737" s="34" t="s">
        <v>1825</v>
      </c>
      <c r="D737" s="34" t="s">
        <v>77</v>
      </c>
      <c r="E737" s="34" t="s">
        <v>1529</v>
      </c>
      <c r="F737" s="34" t="n">
        <v>-14</v>
      </c>
      <c r="G737" s="34" t="n">
        <v>-2</v>
      </c>
      <c r="H737" s="40" t="n">
        <v>-283.55</v>
      </c>
      <c r="I737" s="34" t="n">
        <v>-0.01</v>
      </c>
      <c r="J737" s="34" t="n">
        <v>0</v>
      </c>
      <c r="K737" s="34" t="n">
        <v>0</v>
      </c>
      <c r="L737" s="34" t="n">
        <v>101.45</v>
      </c>
      <c r="M737" s="34" t="n">
        <v>101.45</v>
      </c>
      <c r="N737" s="34" t="n">
        <v>759</v>
      </c>
      <c r="O737" s="34" t="n">
        <v>0</v>
      </c>
      <c r="P737" s="34" t="s">
        <v>501</v>
      </c>
    </row>
    <row r="738" customFormat="false" ht="14.4" hidden="false" customHeight="false" outlineLevel="0" collapsed="false">
      <c r="A738" s="34" t="n">
        <v>737</v>
      </c>
      <c r="B738" s="35" t="n">
        <v>24632432000183</v>
      </c>
      <c r="C738" s="34" t="s">
        <v>1826</v>
      </c>
      <c r="D738" s="34" t="s">
        <v>475</v>
      </c>
      <c r="E738" s="34" t="s">
        <v>537</v>
      </c>
      <c r="F738" s="34" t="n">
        <v>-7</v>
      </c>
      <c r="G738" s="34" t="n">
        <v>-2</v>
      </c>
      <c r="H738" s="40" t="n">
        <v>-320.38</v>
      </c>
      <c r="I738" s="34" t="n">
        <v>0</v>
      </c>
      <c r="J738" s="34" t="n">
        <v>0</v>
      </c>
      <c r="K738" s="34" t="n">
        <v>0</v>
      </c>
      <c r="L738" s="34" t="n">
        <v>101.45</v>
      </c>
      <c r="M738" s="34" t="n">
        <v>101.45</v>
      </c>
      <c r="N738" s="34" t="n">
        <v>709</v>
      </c>
      <c r="O738" s="34" t="n">
        <v>0</v>
      </c>
      <c r="P738" s="34" t="s">
        <v>504</v>
      </c>
    </row>
    <row r="739" customFormat="false" ht="14.4" hidden="false" customHeight="false" outlineLevel="0" collapsed="false">
      <c r="A739" s="34" t="n">
        <v>738</v>
      </c>
      <c r="B739" s="35" t="n">
        <v>35336977000169</v>
      </c>
      <c r="C739" s="34" t="s">
        <v>1827</v>
      </c>
      <c r="D739" s="34" t="s">
        <v>1272</v>
      </c>
      <c r="E739" s="34" t="s">
        <v>1828</v>
      </c>
      <c r="F739" s="34" t="n">
        <v>-6</v>
      </c>
      <c r="G739" s="34" t="n">
        <v>-1</v>
      </c>
      <c r="H739" s="40" t="n">
        <v>-374.24</v>
      </c>
      <c r="I739" s="34" t="n">
        <v>0</v>
      </c>
      <c r="J739" s="34" t="n">
        <v>0</v>
      </c>
      <c r="K739" s="34" t="n">
        <v>0</v>
      </c>
      <c r="L739" s="34" t="n">
        <v>101.44</v>
      </c>
      <c r="M739" s="34" t="n">
        <v>101.44</v>
      </c>
      <c r="N739" s="34" t="n">
        <v>709</v>
      </c>
      <c r="O739" s="34" t="n">
        <v>0</v>
      </c>
      <c r="P739" s="34" t="s">
        <v>518</v>
      </c>
    </row>
    <row r="740" customFormat="false" ht="14.4" hidden="false" customHeight="false" outlineLevel="0" collapsed="false">
      <c r="A740" s="34" t="n">
        <v>739</v>
      </c>
      <c r="B740" s="35" t="n">
        <v>5542293000152</v>
      </c>
      <c r="C740" s="34" t="s">
        <v>1829</v>
      </c>
      <c r="D740" s="34" t="s">
        <v>207</v>
      </c>
      <c r="E740" s="34" t="s">
        <v>777</v>
      </c>
      <c r="F740" s="34" t="n">
        <v>-23</v>
      </c>
      <c r="G740" s="34" t="n">
        <v>-10</v>
      </c>
      <c r="H740" s="40" t="n">
        <v>-378.94</v>
      </c>
      <c r="I740" s="34" t="n">
        <v>-0.01</v>
      </c>
      <c r="J740" s="34" t="n">
        <v>-0.04</v>
      </c>
      <c r="K740" s="34" t="n">
        <v>0</v>
      </c>
      <c r="L740" s="34" t="n">
        <v>101.43</v>
      </c>
      <c r="M740" s="34" t="n">
        <v>101.43</v>
      </c>
      <c r="N740" s="34" t="n">
        <v>703</v>
      </c>
      <c r="O740" s="34" t="n">
        <v>0</v>
      </c>
      <c r="P740" s="34" t="s">
        <v>504</v>
      </c>
    </row>
    <row r="741" customFormat="false" ht="14.4" hidden="false" customHeight="false" outlineLevel="0" collapsed="false">
      <c r="A741" s="34" t="n">
        <v>740</v>
      </c>
      <c r="B741" s="35" t="n">
        <v>8752211000192</v>
      </c>
      <c r="C741" s="34" t="s">
        <v>1620</v>
      </c>
      <c r="D741" s="34" t="s">
        <v>309</v>
      </c>
      <c r="E741" s="34" t="s">
        <v>1830</v>
      </c>
      <c r="F741" s="34" t="n">
        <v>-18</v>
      </c>
      <c r="G741" s="34" t="n">
        <v>-2</v>
      </c>
      <c r="H741" s="40" t="n">
        <v>-438.41</v>
      </c>
      <c r="I741" s="34" t="n">
        <v>-0.01</v>
      </c>
      <c r="J741" s="34" t="n">
        <v>0</v>
      </c>
      <c r="K741" s="34" t="n">
        <v>0</v>
      </c>
      <c r="L741" s="34" t="n">
        <v>101.42</v>
      </c>
      <c r="M741" s="34" t="n">
        <v>101.42</v>
      </c>
      <c r="N741" s="34" t="n">
        <v>704</v>
      </c>
      <c r="O741" s="34" t="n">
        <v>0</v>
      </c>
      <c r="P741" s="34" t="s">
        <v>498</v>
      </c>
    </row>
    <row r="742" customFormat="false" ht="14.4" hidden="false" customHeight="false" outlineLevel="0" collapsed="false">
      <c r="A742" s="34" t="n">
        <v>741</v>
      </c>
      <c r="B742" s="35" t="n">
        <v>5550574000157</v>
      </c>
      <c r="C742" s="34" t="s">
        <v>1831</v>
      </c>
      <c r="D742" s="34" t="s">
        <v>713</v>
      </c>
      <c r="E742" s="34" t="s">
        <v>1832</v>
      </c>
      <c r="F742" s="34" t="n">
        <v>-8</v>
      </c>
      <c r="G742" s="34" t="n">
        <v>-1</v>
      </c>
      <c r="H742" s="40" t="n">
        <v>-507.82</v>
      </c>
      <c r="I742" s="34" t="n">
        <v>0</v>
      </c>
      <c r="J742" s="34" t="n">
        <v>0</v>
      </c>
      <c r="K742" s="34" t="n">
        <v>-0.01</v>
      </c>
      <c r="L742" s="34" t="n">
        <v>101.41</v>
      </c>
      <c r="M742" s="34" t="n">
        <v>101.41</v>
      </c>
      <c r="N742" s="34" t="n">
        <v>718</v>
      </c>
      <c r="O742" s="34" t="n">
        <v>0</v>
      </c>
      <c r="P742" s="34" t="s">
        <v>510</v>
      </c>
    </row>
    <row r="743" customFormat="false" ht="14.4" hidden="false" customHeight="false" outlineLevel="0" collapsed="false">
      <c r="A743" s="34" t="n">
        <v>742</v>
      </c>
      <c r="B743" s="35" t="n">
        <v>565974000384</v>
      </c>
      <c r="C743" s="34" t="s">
        <v>1694</v>
      </c>
      <c r="D743" s="34" t="s">
        <v>77</v>
      </c>
      <c r="E743" s="34" t="s">
        <v>1833</v>
      </c>
      <c r="F743" s="34" t="n">
        <v>-46</v>
      </c>
      <c r="G743" s="34" t="n">
        <v>-5</v>
      </c>
      <c r="H743" s="40" t="n">
        <v>-508.81</v>
      </c>
      <c r="I743" s="34" t="n">
        <v>-0.03</v>
      </c>
      <c r="J743" s="34" t="n">
        <v>-0.02</v>
      </c>
      <c r="K743" s="34" t="n">
        <v>-0.01</v>
      </c>
      <c r="L743" s="34" t="n">
        <v>101.4</v>
      </c>
      <c r="M743" s="34" t="n">
        <v>101.4</v>
      </c>
      <c r="N743" s="34" t="n">
        <v>702</v>
      </c>
      <c r="O743" s="34" t="n">
        <v>0</v>
      </c>
      <c r="P743" s="34" t="s">
        <v>504</v>
      </c>
    </row>
    <row r="744" customFormat="false" ht="14.4" hidden="false" customHeight="false" outlineLevel="0" collapsed="false">
      <c r="A744" s="34" t="n">
        <v>743</v>
      </c>
      <c r="B744" s="35" t="n">
        <v>58446069000123</v>
      </c>
      <c r="C744" s="34" t="s">
        <v>1834</v>
      </c>
      <c r="D744" s="34" t="s">
        <v>103</v>
      </c>
      <c r="E744" s="34" t="s">
        <v>1835</v>
      </c>
      <c r="F744" s="34" t="n">
        <v>-24</v>
      </c>
      <c r="G744" s="34" t="n">
        <v>-5</v>
      </c>
      <c r="H744" s="40" t="n">
        <v>-532.76</v>
      </c>
      <c r="I744" s="34" t="n">
        <v>-0.01</v>
      </c>
      <c r="J744" s="34" t="n">
        <v>-0.01</v>
      </c>
      <c r="K744" s="34" t="n">
        <v>-0.01</v>
      </c>
      <c r="L744" s="34" t="n">
        <v>101.39</v>
      </c>
      <c r="M744" s="34" t="n">
        <v>101.39</v>
      </c>
      <c r="N744" s="34" t="n">
        <v>715</v>
      </c>
      <c r="O744" s="34" t="n">
        <v>0</v>
      </c>
      <c r="P744" s="34" t="s">
        <v>776</v>
      </c>
    </row>
    <row r="745" customFormat="false" ht="14.4" hidden="false" customHeight="false" outlineLevel="0" collapsed="false">
      <c r="A745" s="34" t="n">
        <v>744</v>
      </c>
      <c r="B745" s="35" t="n">
        <v>17258190000144</v>
      </c>
      <c r="C745" s="34" t="s">
        <v>1836</v>
      </c>
      <c r="D745" s="34" t="s">
        <v>1591</v>
      </c>
      <c r="E745" s="34" t="s">
        <v>1837</v>
      </c>
      <c r="F745" s="34" t="n">
        <v>-11</v>
      </c>
      <c r="G745" s="34" t="n">
        <v>-3</v>
      </c>
      <c r="H745" s="40" t="n">
        <v>-549.25</v>
      </c>
      <c r="I745" s="34" t="n">
        <v>0</v>
      </c>
      <c r="J745" s="34" t="n">
        <v>-0.01</v>
      </c>
      <c r="K745" s="34" t="n">
        <v>-0.01</v>
      </c>
      <c r="L745" s="34" t="n">
        <v>101.38</v>
      </c>
      <c r="M745" s="34" t="n">
        <v>101.38</v>
      </c>
      <c r="N745" s="34" t="n">
        <v>718</v>
      </c>
      <c r="O745" s="34" t="n">
        <v>0</v>
      </c>
      <c r="P745" s="34" t="s">
        <v>510</v>
      </c>
    </row>
    <row r="746" customFormat="false" ht="14.4" hidden="false" customHeight="false" outlineLevel="0" collapsed="false">
      <c r="A746" s="34" t="n">
        <v>745</v>
      </c>
      <c r="B746" s="35" t="n">
        <v>33012213000192</v>
      </c>
      <c r="C746" s="34" t="s">
        <v>1838</v>
      </c>
      <c r="D746" s="34" t="s">
        <v>848</v>
      </c>
      <c r="E746" s="34" t="s">
        <v>1839</v>
      </c>
      <c r="F746" s="34" t="n">
        <v>-52</v>
      </c>
      <c r="G746" s="34" t="n">
        <v>-7</v>
      </c>
      <c r="H746" s="40" t="n">
        <v>-587.44</v>
      </c>
      <c r="I746" s="34" t="n">
        <v>-0.03</v>
      </c>
      <c r="J746" s="34" t="n">
        <v>-0.02</v>
      </c>
      <c r="K746" s="34" t="n">
        <v>-0.01</v>
      </c>
      <c r="L746" s="34" t="n">
        <v>101.36</v>
      </c>
      <c r="M746" s="34" t="n">
        <v>101.36</v>
      </c>
      <c r="N746" s="34" t="n">
        <v>800</v>
      </c>
      <c r="O746" s="34" t="n">
        <v>0</v>
      </c>
      <c r="P746" s="34" t="s">
        <v>510</v>
      </c>
    </row>
    <row r="747" customFormat="false" ht="14.4" hidden="false" customHeight="false" outlineLevel="0" collapsed="false">
      <c r="A747" s="34" t="n">
        <v>746</v>
      </c>
      <c r="B747" s="35" t="n">
        <v>33768854000414</v>
      </c>
      <c r="C747" s="34" t="s">
        <v>1840</v>
      </c>
      <c r="D747" s="34" t="s">
        <v>89</v>
      </c>
      <c r="E747" s="34" t="s">
        <v>1841</v>
      </c>
      <c r="F747" s="34" t="n">
        <v>-39</v>
      </c>
      <c r="G747" s="34" t="n">
        <v>-4</v>
      </c>
      <c r="H747" s="40" t="n">
        <v>-677.34</v>
      </c>
      <c r="I747" s="34" t="n">
        <v>-0.02</v>
      </c>
      <c r="J747" s="34" t="n">
        <v>-0.01</v>
      </c>
      <c r="K747" s="34" t="n">
        <v>-0.01</v>
      </c>
      <c r="L747" s="34" t="n">
        <v>101.35</v>
      </c>
      <c r="M747" s="34" t="n">
        <v>101.35</v>
      </c>
      <c r="N747" s="34" t="n">
        <v>711</v>
      </c>
      <c r="O747" s="34" t="n">
        <v>0</v>
      </c>
      <c r="P747" s="34" t="s">
        <v>496</v>
      </c>
    </row>
    <row r="748" customFormat="false" ht="14.4" hidden="false" customHeight="false" outlineLevel="0" collapsed="false">
      <c r="A748" s="34" t="n">
        <v>747</v>
      </c>
      <c r="B748" s="35" t="n">
        <v>9544424000191</v>
      </c>
      <c r="C748" s="34" t="s">
        <v>1763</v>
      </c>
      <c r="D748" s="34" t="s">
        <v>117</v>
      </c>
      <c r="E748" s="34" t="s">
        <v>1842</v>
      </c>
      <c r="F748" s="34" t="n">
        <v>-9</v>
      </c>
      <c r="G748" s="34" t="n">
        <v>-1</v>
      </c>
      <c r="H748" s="40" t="n">
        <v>-727.17</v>
      </c>
      <c r="I748" s="34" t="n">
        <v>0</v>
      </c>
      <c r="J748" s="34" t="n">
        <v>0</v>
      </c>
      <c r="K748" s="34" t="n">
        <v>-0.01</v>
      </c>
      <c r="L748" s="34" t="n">
        <v>101.33</v>
      </c>
      <c r="M748" s="34" t="n">
        <v>101.33</v>
      </c>
      <c r="N748" s="34" t="n">
        <v>702</v>
      </c>
      <c r="O748" s="34" t="n">
        <v>0</v>
      </c>
      <c r="P748" s="34" t="s">
        <v>504</v>
      </c>
    </row>
    <row r="749" customFormat="false" ht="14.4" hidden="false" customHeight="false" outlineLevel="0" collapsed="false">
      <c r="A749" s="34" t="n">
        <v>748</v>
      </c>
      <c r="B749" s="35" t="n">
        <v>59411879000107</v>
      </c>
      <c r="C749" s="34" t="s">
        <v>1843</v>
      </c>
      <c r="D749" s="34" t="s">
        <v>809</v>
      </c>
      <c r="E749" s="34" t="s">
        <v>1844</v>
      </c>
      <c r="F749" s="34" t="n">
        <v>-30</v>
      </c>
      <c r="G749" s="34" t="n">
        <v>-5</v>
      </c>
      <c r="H749" s="40" t="n">
        <v>-727.92</v>
      </c>
      <c r="I749" s="34" t="n">
        <v>-0.02</v>
      </c>
      <c r="J749" s="34" t="n">
        <v>-0.02</v>
      </c>
      <c r="K749" s="34" t="n">
        <v>-0.01</v>
      </c>
      <c r="L749" s="34" t="n">
        <v>101.32</v>
      </c>
      <c r="M749" s="34" t="n">
        <v>101.32</v>
      </c>
      <c r="N749" s="34" t="n">
        <v>705</v>
      </c>
      <c r="O749" s="34" t="n">
        <v>0</v>
      </c>
      <c r="P749" s="34" t="s">
        <v>510</v>
      </c>
    </row>
    <row r="750" customFormat="false" ht="14.4" hidden="false" customHeight="false" outlineLevel="0" collapsed="false">
      <c r="A750" s="34" t="n">
        <v>749</v>
      </c>
      <c r="B750" s="35" t="n">
        <v>33768854000252</v>
      </c>
      <c r="C750" s="34" t="s">
        <v>1845</v>
      </c>
      <c r="D750" s="34" t="s">
        <v>89</v>
      </c>
      <c r="E750" s="34" t="s">
        <v>1846</v>
      </c>
      <c r="F750" s="34" t="n">
        <v>-37</v>
      </c>
      <c r="G750" s="34" t="n">
        <v>-4</v>
      </c>
      <c r="H750" s="40" t="n">
        <v>-754.43</v>
      </c>
      <c r="I750" s="34" t="n">
        <v>-0.02</v>
      </c>
      <c r="J750" s="34" t="n">
        <v>-0.01</v>
      </c>
      <c r="K750" s="34" t="n">
        <v>-0.01</v>
      </c>
      <c r="L750" s="34" t="n">
        <v>101.3</v>
      </c>
      <c r="M750" s="34" t="n">
        <v>101.3</v>
      </c>
      <c r="N750" s="34" t="n">
        <v>711</v>
      </c>
      <c r="O750" s="34" t="n">
        <v>0</v>
      </c>
      <c r="P750" s="34" t="s">
        <v>496</v>
      </c>
    </row>
    <row r="751" customFormat="false" ht="14.4" hidden="false" customHeight="false" outlineLevel="0" collapsed="false">
      <c r="A751" s="34" t="n">
        <v>750</v>
      </c>
      <c r="B751" s="35" t="n">
        <v>11580120000121</v>
      </c>
      <c r="C751" s="34" t="s">
        <v>1847</v>
      </c>
      <c r="D751" s="34" t="s">
        <v>117</v>
      </c>
      <c r="E751" s="34" t="s">
        <v>1842</v>
      </c>
      <c r="F751" s="34" t="n">
        <v>-53</v>
      </c>
      <c r="G751" s="34" t="n">
        <v>-4</v>
      </c>
      <c r="H751" s="40" t="n">
        <v>-982.62</v>
      </c>
      <c r="I751" s="34" t="n">
        <v>-0.03</v>
      </c>
      <c r="J751" s="34" t="n">
        <v>-0.01</v>
      </c>
      <c r="K751" s="34" t="n">
        <v>-0.02</v>
      </c>
      <c r="L751" s="34" t="n">
        <v>101.28</v>
      </c>
      <c r="M751" s="34" t="n">
        <v>101.28</v>
      </c>
      <c r="N751" s="34" t="n">
        <v>702</v>
      </c>
      <c r="O751" s="34" t="n">
        <v>0</v>
      </c>
      <c r="P751" s="34" t="s">
        <v>504</v>
      </c>
    </row>
    <row r="752" customFormat="false" ht="14.4" hidden="false" customHeight="false" outlineLevel="0" collapsed="false">
      <c r="A752" s="34" t="n">
        <v>751</v>
      </c>
      <c r="B752" s="35" t="n">
        <v>1602811000206</v>
      </c>
      <c r="C752" s="34" t="s">
        <v>1848</v>
      </c>
      <c r="D752" s="34" t="s">
        <v>357</v>
      </c>
      <c r="E752" s="34" t="s">
        <v>1849</v>
      </c>
      <c r="F752" s="34" t="n">
        <v>-28</v>
      </c>
      <c r="G752" s="34" t="n">
        <v>-6</v>
      </c>
      <c r="H752" s="40" t="n">
        <v>-1092.47</v>
      </c>
      <c r="I752" s="34" t="n">
        <v>-0.02</v>
      </c>
      <c r="J752" s="34" t="n">
        <v>-0.02</v>
      </c>
      <c r="K752" s="34" t="n">
        <v>-0.02</v>
      </c>
      <c r="L752" s="34" t="n">
        <v>101.25</v>
      </c>
      <c r="M752" s="34" t="n">
        <v>101.25</v>
      </c>
      <c r="N752" s="34" t="n">
        <v>708</v>
      </c>
      <c r="O752" s="34" t="n">
        <v>0</v>
      </c>
      <c r="P752" s="34" t="s">
        <v>501</v>
      </c>
    </row>
    <row r="753" customFormat="false" ht="14.4" hidden="false" customHeight="false" outlineLevel="0" collapsed="false">
      <c r="A753" s="34" t="n">
        <v>752</v>
      </c>
      <c r="B753" s="35" t="n">
        <v>565974000112</v>
      </c>
      <c r="C753" s="34" t="s">
        <v>1850</v>
      </c>
      <c r="D753" s="34" t="s">
        <v>77</v>
      </c>
      <c r="E753" s="34" t="s">
        <v>1311</v>
      </c>
      <c r="F753" s="34" t="n">
        <v>-105</v>
      </c>
      <c r="G753" s="34" t="n">
        <v>-11</v>
      </c>
      <c r="H753" s="40" t="n">
        <v>-1146.13</v>
      </c>
      <c r="I753" s="34" t="n">
        <v>-0.07</v>
      </c>
      <c r="J753" s="34" t="n">
        <v>-0.04</v>
      </c>
      <c r="K753" s="34" t="n">
        <v>-0.02</v>
      </c>
      <c r="L753" s="34" t="n">
        <v>101.23</v>
      </c>
      <c r="M753" s="34" t="n">
        <v>101.23</v>
      </c>
      <c r="N753" s="34" t="n">
        <v>702</v>
      </c>
      <c r="O753" s="34" t="n">
        <v>0</v>
      </c>
      <c r="P753" s="34" t="s">
        <v>504</v>
      </c>
    </row>
    <row r="754" customFormat="false" ht="14.4" hidden="false" customHeight="false" outlineLevel="0" collapsed="false">
      <c r="A754" s="34" t="n">
        <v>753</v>
      </c>
      <c r="B754" s="35" t="n">
        <v>8370598000201</v>
      </c>
      <c r="C754" s="34" t="s">
        <v>1851</v>
      </c>
      <c r="D754" s="34" t="s">
        <v>77</v>
      </c>
      <c r="E754" s="34" t="s">
        <v>728</v>
      </c>
      <c r="F754" s="34" t="n">
        <v>-96</v>
      </c>
      <c r="G754" s="34" t="n">
        <v>-10</v>
      </c>
      <c r="H754" s="40" t="n">
        <v>-1235.94</v>
      </c>
      <c r="I754" s="34" t="n">
        <v>-0.06</v>
      </c>
      <c r="J754" s="34" t="n">
        <v>-0.04</v>
      </c>
      <c r="K754" s="34" t="n">
        <v>-0.02</v>
      </c>
      <c r="L754" s="34" t="n">
        <v>101.2</v>
      </c>
      <c r="M754" s="34" t="n">
        <v>101.2</v>
      </c>
      <c r="N754" s="34" t="n">
        <v>132</v>
      </c>
      <c r="O754" s="34" t="n">
        <v>0</v>
      </c>
      <c r="P754" s="34" t="s">
        <v>504</v>
      </c>
    </row>
    <row r="755" customFormat="false" ht="14.4" hidden="false" customHeight="false" outlineLevel="0" collapsed="false">
      <c r="A755" s="34" t="n">
        <v>754</v>
      </c>
      <c r="B755" s="35" t="n">
        <v>49540108000166</v>
      </c>
      <c r="C755" s="34" t="s">
        <v>1852</v>
      </c>
      <c r="D755" s="34" t="s">
        <v>389</v>
      </c>
      <c r="E755" s="34" t="s">
        <v>1853</v>
      </c>
      <c r="F755" s="34" t="n">
        <v>-25</v>
      </c>
      <c r="G755" s="34" t="n">
        <v>-3</v>
      </c>
      <c r="H755" s="40" t="n">
        <v>-1373.63</v>
      </c>
      <c r="I755" s="34" t="n">
        <v>-0.01</v>
      </c>
      <c r="J755" s="34" t="n">
        <v>-0.01</v>
      </c>
      <c r="K755" s="34" t="n">
        <v>-0.02</v>
      </c>
      <c r="L755" s="34" t="n">
        <v>101.17</v>
      </c>
      <c r="M755" s="34" t="n">
        <v>101.17</v>
      </c>
      <c r="N755" s="34" t="n">
        <v>708</v>
      </c>
      <c r="O755" s="34" t="n">
        <v>0</v>
      </c>
      <c r="P755" s="34" t="s">
        <v>510</v>
      </c>
    </row>
    <row r="756" customFormat="false" ht="14.4" hidden="false" customHeight="false" outlineLevel="0" collapsed="false">
      <c r="A756" s="34" t="n">
        <v>755</v>
      </c>
      <c r="B756" s="35" t="n">
        <v>5880618000298</v>
      </c>
      <c r="C756" s="34" t="s">
        <v>1854</v>
      </c>
      <c r="D756" s="34" t="s">
        <v>562</v>
      </c>
      <c r="E756" s="34" t="s">
        <v>1855</v>
      </c>
      <c r="F756" s="34" t="n">
        <v>-70</v>
      </c>
      <c r="G756" s="34" t="n">
        <v>-11</v>
      </c>
      <c r="H756" s="40" t="n">
        <v>-2292.76</v>
      </c>
      <c r="I756" s="34" t="n">
        <v>-0.05</v>
      </c>
      <c r="J756" s="34" t="n">
        <v>-0.04</v>
      </c>
      <c r="K756" s="34" t="n">
        <v>-0.04</v>
      </c>
      <c r="L756" s="34" t="n">
        <v>101.12</v>
      </c>
      <c r="M756" s="34" t="n">
        <v>101.12</v>
      </c>
      <c r="N756" s="34" t="n">
        <v>705</v>
      </c>
      <c r="O756" s="34" t="n">
        <v>0</v>
      </c>
      <c r="P756" s="34" t="s">
        <v>496</v>
      </c>
    </row>
    <row r="757" customFormat="false" ht="14.4" hidden="false" customHeight="false" outlineLevel="0" collapsed="false">
      <c r="A757" s="34" t="n">
        <v>756</v>
      </c>
      <c r="B757" s="35" t="n">
        <v>6968830000193</v>
      </c>
      <c r="C757" s="34" t="s">
        <v>1856</v>
      </c>
      <c r="D757" s="34" t="s">
        <v>631</v>
      </c>
      <c r="E757" s="34" t="s">
        <v>726</v>
      </c>
      <c r="F757" s="34" t="n">
        <v>-120</v>
      </c>
      <c r="G757" s="34" t="n">
        <v>-36</v>
      </c>
      <c r="H757" s="40" t="n">
        <v>-2733.26</v>
      </c>
      <c r="I757" s="34" t="n">
        <v>-0.08</v>
      </c>
      <c r="J757" s="34" t="n">
        <v>-0.15</v>
      </c>
      <c r="K757" s="34" t="n">
        <v>-0.05</v>
      </c>
      <c r="L757" s="34" t="n">
        <v>101.06</v>
      </c>
      <c r="M757" s="34" t="n">
        <v>101.06</v>
      </c>
      <c r="N757" s="34" t="n">
        <v>706</v>
      </c>
      <c r="O757" s="34" t="n">
        <v>0</v>
      </c>
      <c r="P757" s="34" t="s">
        <v>504</v>
      </c>
    </row>
    <row r="758" customFormat="false" ht="14.4" hidden="false" customHeight="false" outlineLevel="0" collapsed="false">
      <c r="A758" s="34" t="n">
        <v>757</v>
      </c>
      <c r="B758" s="35" t="n">
        <v>2231484000105</v>
      </c>
      <c r="C758" s="34" t="s">
        <v>1857</v>
      </c>
      <c r="D758" s="34" t="s">
        <v>328</v>
      </c>
      <c r="E758" s="34" t="s">
        <v>503</v>
      </c>
      <c r="F758" s="34" t="n">
        <v>-158</v>
      </c>
      <c r="G758" s="34" t="n">
        <v>-24</v>
      </c>
      <c r="H758" s="40" t="n">
        <v>-3591.55</v>
      </c>
      <c r="I758" s="34" t="n">
        <v>-0.11</v>
      </c>
      <c r="J758" s="34" t="n">
        <v>-0.09</v>
      </c>
      <c r="K758" s="34" t="n">
        <v>-0.07</v>
      </c>
      <c r="L758" s="34" t="n">
        <v>100.99</v>
      </c>
      <c r="M758" s="34" t="n">
        <v>100.99</v>
      </c>
      <c r="N758" s="34" t="n">
        <v>705</v>
      </c>
      <c r="O758" s="34" t="n">
        <v>0</v>
      </c>
      <c r="P758" s="34" t="s">
        <v>501</v>
      </c>
    </row>
    <row r="759" customFormat="false" ht="14.4" hidden="false" customHeight="false" outlineLevel="0" collapsed="false">
      <c r="A759" s="34" t="n">
        <v>758</v>
      </c>
      <c r="B759" s="35" t="n">
        <v>15208813000149</v>
      </c>
      <c r="C759" s="34" t="s">
        <v>1858</v>
      </c>
      <c r="D759" s="34" t="s">
        <v>881</v>
      </c>
      <c r="E759" s="34" t="s">
        <v>503</v>
      </c>
      <c r="F759" s="34" t="n">
        <v>-173</v>
      </c>
      <c r="G759" s="34" t="n">
        <v>-36</v>
      </c>
      <c r="H759" s="40" t="n">
        <v>-4278.25</v>
      </c>
      <c r="I759" s="34" t="n">
        <v>-0.12</v>
      </c>
      <c r="J759" s="34" t="n">
        <v>-0.15</v>
      </c>
      <c r="K759" s="34" t="n">
        <v>-0.09</v>
      </c>
      <c r="L759" s="34" t="n">
        <v>100.89</v>
      </c>
      <c r="M759" s="34" t="n">
        <v>100.89</v>
      </c>
      <c r="N759" s="34" t="n">
        <v>718</v>
      </c>
      <c r="O759" s="34" t="n">
        <v>0</v>
      </c>
      <c r="P759" s="34" t="s">
        <v>501</v>
      </c>
    </row>
    <row r="760" customFormat="false" ht="14.4" hidden="false" customHeight="false" outlineLevel="0" collapsed="false">
      <c r="A760" s="34" t="n">
        <v>759</v>
      </c>
      <c r="B760" s="35" t="n">
        <v>565974000201</v>
      </c>
      <c r="C760" s="34" t="s">
        <v>1850</v>
      </c>
      <c r="D760" s="34" t="s">
        <v>77</v>
      </c>
      <c r="E760" s="34" t="s">
        <v>1859</v>
      </c>
      <c r="F760" s="34" t="n">
        <v>-145</v>
      </c>
      <c r="G760" s="34" t="n">
        <v>-16</v>
      </c>
      <c r="H760" s="40" t="n">
        <v>-4312.44</v>
      </c>
      <c r="I760" s="34" t="n">
        <v>-0.1</v>
      </c>
      <c r="J760" s="34" t="n">
        <v>-0.06</v>
      </c>
      <c r="K760" s="34" t="n">
        <v>-0.09</v>
      </c>
      <c r="L760" s="34" t="n">
        <v>100.8</v>
      </c>
      <c r="M760" s="34" t="n">
        <v>100.8</v>
      </c>
      <c r="N760" s="34" t="n">
        <v>702</v>
      </c>
      <c r="O760" s="34" t="n">
        <v>0</v>
      </c>
      <c r="P760" s="34" t="s">
        <v>501</v>
      </c>
    </row>
    <row r="761" customFormat="false" ht="14.4" hidden="false" customHeight="false" outlineLevel="0" collapsed="false">
      <c r="A761" s="34" t="n">
        <v>760</v>
      </c>
      <c r="B761" s="35" t="n">
        <v>20043000000186</v>
      </c>
      <c r="C761" s="34" t="s">
        <v>1860</v>
      </c>
      <c r="D761" s="34" t="s">
        <v>1591</v>
      </c>
      <c r="E761" s="34" t="s">
        <v>1861</v>
      </c>
      <c r="F761" s="34" t="n">
        <v>-387</v>
      </c>
      <c r="G761" s="34" t="n">
        <v>-48</v>
      </c>
      <c r="H761" s="40" t="n">
        <v>-10663.91</v>
      </c>
      <c r="I761" s="34" t="n">
        <v>-0.27</v>
      </c>
      <c r="J761" s="34" t="n">
        <v>-0.2</v>
      </c>
      <c r="K761" s="34" t="n">
        <v>-0.23</v>
      </c>
      <c r="L761" s="34" t="n">
        <v>100.57</v>
      </c>
      <c r="M761" s="34" t="n">
        <v>100.57</v>
      </c>
      <c r="N761" s="34" t="n">
        <v>718</v>
      </c>
      <c r="O761" s="34" t="n">
        <v>0</v>
      </c>
      <c r="P761" s="34" t="s">
        <v>501</v>
      </c>
    </row>
    <row r="762" customFormat="false" ht="14.4" hidden="false" customHeight="false" outlineLevel="0" collapsed="false">
      <c r="A762" s="34" t="n">
        <v>761</v>
      </c>
      <c r="B762" s="35" t="n">
        <v>6968830000274</v>
      </c>
      <c r="C762" s="34" t="s">
        <v>1856</v>
      </c>
      <c r="D762" s="34" t="s">
        <v>842</v>
      </c>
      <c r="E762" s="34" t="s">
        <v>843</v>
      </c>
      <c r="F762" s="34" t="n">
        <v>-872</v>
      </c>
      <c r="G762" s="34" t="n">
        <v>-115</v>
      </c>
      <c r="H762" s="40" t="n">
        <v>-26324.66</v>
      </c>
      <c r="I762" s="34" t="n">
        <v>-0.62</v>
      </c>
      <c r="J762" s="34" t="n">
        <v>-0.48</v>
      </c>
      <c r="K762" s="34" t="n">
        <v>-0.57</v>
      </c>
      <c r="L762" s="34" t="n">
        <v>100</v>
      </c>
      <c r="M762" s="34" t="n">
        <v>100</v>
      </c>
      <c r="N762" s="34" t="n">
        <v>706</v>
      </c>
      <c r="O762" s="34" t="n">
        <v>0</v>
      </c>
      <c r="P762" s="34" t="s">
        <v>501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M157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1" activeCellId="0" sqref="C21"/>
    </sheetView>
  </sheetViews>
  <sheetFormatPr defaultColWidth="9.109375" defaultRowHeight="14.4" customHeight="false" zeroHeight="false" outlineLevelRow="0" outlineLevelCol="1"/>
  <cols>
    <col collapsed="false" customWidth="true" hidden="false" outlineLevel="0" max="1" min="1" style="27" width="16"/>
    <col collapsed="false" customWidth="true" hidden="false" outlineLevel="0" max="2" min="2" style="27" width="50.11"/>
    <col collapsed="false" customWidth="true" hidden="false" outlineLevel="0" max="3" min="3" style="41" width="15"/>
    <col collapsed="false" customWidth="true" hidden="true" outlineLevel="1" max="4" min="4" style="27" width="8.67"/>
    <col collapsed="false" customWidth="true" hidden="false" outlineLevel="0" max="5" min="5" style="27" width="11.56"/>
    <col collapsed="false" customWidth="true" hidden="true" outlineLevel="1" max="6" min="6" style="27" width="8.44"/>
    <col collapsed="false" customWidth="false" hidden="true" outlineLevel="1" max="7" min="7" style="27" width="9.11"/>
    <col collapsed="false" customWidth="true" hidden="true" outlineLevel="1" max="8" min="8" style="27" width="11.44"/>
    <col collapsed="false" customWidth="true" hidden="true" outlineLevel="1" max="9" min="9" style="27" width="6.56"/>
    <col collapsed="false" customWidth="true" hidden="true" outlineLevel="1" max="10" min="10" style="27" width="12.67"/>
    <col collapsed="false" customWidth="true" hidden="false" outlineLevel="0" max="11" min="11" style="27" width="15.22"/>
    <col collapsed="false" customWidth="true" hidden="false" outlineLevel="0" max="12" min="12" style="27" width="10"/>
    <col collapsed="false" customWidth="true" hidden="false" outlineLevel="0" max="13" min="13" style="28" width="15.11"/>
    <col collapsed="false" customWidth="false" hidden="false" outlineLevel="0" max="16384" min="14" style="32" width="9.11"/>
  </cols>
  <sheetData>
    <row r="1" customFormat="false" ht="14.4" hidden="false" customHeight="false" outlineLevel="0" collapsed="false">
      <c r="A1" s="29" t="s">
        <v>1862</v>
      </c>
      <c r="B1" s="29" t="s">
        <v>1863</v>
      </c>
      <c r="C1" s="41" t="s">
        <v>1864</v>
      </c>
      <c r="D1" s="29" t="s">
        <v>1865</v>
      </c>
      <c r="E1" s="29" t="s">
        <v>1866</v>
      </c>
      <c r="F1" s="29" t="s">
        <v>1867</v>
      </c>
      <c r="G1" s="29" t="s">
        <v>1868</v>
      </c>
      <c r="H1" s="29" t="s">
        <v>1869</v>
      </c>
      <c r="I1" s="29" t="s">
        <v>1870</v>
      </c>
      <c r="J1" s="29" t="s">
        <v>1871</v>
      </c>
      <c r="K1" s="29" t="s">
        <v>1872</v>
      </c>
      <c r="L1" s="29" t="s">
        <v>1873</v>
      </c>
      <c r="M1" s="42" t="s">
        <v>43</v>
      </c>
    </row>
    <row r="2" customFormat="false" ht="14.4" hidden="false" customHeight="false" outlineLevel="0" collapsed="false">
      <c r="A2" s="27" t="n">
        <v>11100009</v>
      </c>
      <c r="B2" s="27" t="s">
        <v>1874</v>
      </c>
      <c r="C2" s="43" t="n">
        <v>14.73</v>
      </c>
      <c r="D2" s="27" t="n">
        <v>0</v>
      </c>
      <c r="E2" s="27" t="n">
        <v>3</v>
      </c>
      <c r="F2" s="27" t="n">
        <v>4.91</v>
      </c>
      <c r="G2" s="27" t="s">
        <v>1875</v>
      </c>
      <c r="H2" s="27" t="s">
        <v>68</v>
      </c>
      <c r="I2" s="27" t="s">
        <v>1876</v>
      </c>
      <c r="J2" s="27" t="s">
        <v>1877</v>
      </c>
      <c r="K2" s="27" t="n">
        <v>1067</v>
      </c>
      <c r="L2" s="27" t="n">
        <v>135</v>
      </c>
      <c r="M2" s="28" t="n">
        <f aca="false">IFERROR(VLOOKUP((OFFSET(hoje12_326_ana9,1,10,1,1)&amp;"."&amp;OFFSET(hoje12_326_ana9,1,11,1,1)),'12.326'!A:D,4,0),"-")</f>
        <v>7691695000144</v>
      </c>
    </row>
    <row r="3" customFormat="false" ht="14.4" hidden="false" customHeight="false" outlineLevel="0" collapsed="false">
      <c r="A3" s="27" t="n">
        <v>11100017</v>
      </c>
      <c r="B3" s="27" t="s">
        <v>1878</v>
      </c>
      <c r="C3" s="43" t="n">
        <v>22.26</v>
      </c>
      <c r="D3" s="27" t="n">
        <v>0</v>
      </c>
      <c r="E3" s="27" t="n">
        <v>3</v>
      </c>
      <c r="F3" s="27" t="n">
        <v>7.42</v>
      </c>
      <c r="G3" s="27" t="s">
        <v>1875</v>
      </c>
      <c r="H3" s="27" t="s">
        <v>68</v>
      </c>
      <c r="I3" s="27" t="s">
        <v>1876</v>
      </c>
      <c r="J3" s="27" t="s">
        <v>1877</v>
      </c>
      <c r="K3" s="27" t="n">
        <v>1067</v>
      </c>
      <c r="L3" s="27" t="n">
        <v>135</v>
      </c>
      <c r="M3" s="28" t="n">
        <f aca="false">IFERROR(VLOOKUP((OFFSET(hoje12_326_ana9,2,10,1,1)&amp;"."&amp;OFFSET(hoje12_326_ana9,2,11,1,1)),'12.326'!A:D,4,0),"-")</f>
        <v>7691695000144</v>
      </c>
    </row>
    <row r="4" customFormat="false" ht="14.4" hidden="false" customHeight="false" outlineLevel="0" collapsed="false">
      <c r="A4" s="27" t="n">
        <v>11100034</v>
      </c>
      <c r="B4" s="27" t="s">
        <v>1879</v>
      </c>
      <c r="C4" s="43" t="n">
        <v>14.73</v>
      </c>
      <c r="D4" s="27" t="n">
        <v>0</v>
      </c>
      <c r="E4" s="27" t="n">
        <v>3</v>
      </c>
      <c r="F4" s="27" t="n">
        <v>4.91</v>
      </c>
      <c r="G4" s="27" t="s">
        <v>1875</v>
      </c>
      <c r="H4" s="27" t="s">
        <v>68</v>
      </c>
      <c r="I4" s="27" t="s">
        <v>1876</v>
      </c>
      <c r="J4" s="27" t="s">
        <v>1877</v>
      </c>
      <c r="K4" s="27" t="n">
        <v>1067</v>
      </c>
      <c r="L4" s="27" t="n">
        <v>135</v>
      </c>
      <c r="M4" s="28" t="n">
        <f aca="false">IFERROR(VLOOKUP((OFFSET(hoje12_326_ana9,3,10,1,1)&amp;"."&amp;OFFSET(hoje12_326_ana9,3,11,1,1)),'12.326'!A:D,4,0),"-")</f>
        <v>7691695000144</v>
      </c>
    </row>
    <row r="5" customFormat="false" ht="14.4" hidden="false" customHeight="false" outlineLevel="0" collapsed="false">
      <c r="A5" s="27" t="n">
        <v>11100059</v>
      </c>
      <c r="B5" s="27" t="s">
        <v>1880</v>
      </c>
      <c r="C5" s="43" t="n">
        <v>117.7</v>
      </c>
      <c r="D5" s="27" t="n">
        <v>0</v>
      </c>
      <c r="E5" s="27" t="n">
        <v>2</v>
      </c>
      <c r="F5" s="27" t="n">
        <v>58.85</v>
      </c>
      <c r="G5" s="27" t="s">
        <v>1875</v>
      </c>
      <c r="H5" s="27" t="s">
        <v>68</v>
      </c>
      <c r="I5" s="27" t="s">
        <v>1876</v>
      </c>
      <c r="J5" s="27" t="s">
        <v>1877</v>
      </c>
      <c r="K5" s="27" t="n">
        <v>1067</v>
      </c>
      <c r="L5" s="27" t="n">
        <v>135</v>
      </c>
      <c r="M5" s="28" t="n">
        <f aca="false">IFERROR(VLOOKUP((OFFSET(hoje12_326_ana9,4,10,1,1)&amp;"."&amp;OFFSET(hoje12_326_ana9,4,11,1,1)),'12.326'!A:D,4,0),"-")</f>
        <v>7691695000144</v>
      </c>
    </row>
    <row r="6" customFormat="false" ht="14.4" hidden="false" customHeight="false" outlineLevel="0" collapsed="false">
      <c r="A6" s="27" t="n">
        <v>11100213</v>
      </c>
      <c r="B6" s="27" t="s">
        <v>1881</v>
      </c>
      <c r="C6" s="43" t="n">
        <v>31.44</v>
      </c>
      <c r="D6" s="27" t="n">
        <v>0</v>
      </c>
      <c r="E6" s="27" t="n">
        <v>12</v>
      </c>
      <c r="F6" s="27" t="n">
        <v>2.62</v>
      </c>
      <c r="G6" s="27" t="s">
        <v>1875</v>
      </c>
      <c r="H6" s="27" t="s">
        <v>68</v>
      </c>
      <c r="I6" s="27" t="s">
        <v>1876</v>
      </c>
      <c r="J6" s="27" t="s">
        <v>1877</v>
      </c>
      <c r="K6" s="27" t="n">
        <v>1067</v>
      </c>
      <c r="L6" s="27" t="n">
        <v>135</v>
      </c>
      <c r="M6" s="28" t="n">
        <f aca="false">IFERROR(VLOOKUP((OFFSET(hoje12_326_ana9,5,10,1,1)&amp;"."&amp;OFFSET(hoje12_326_ana9,5,11,1,1)),'12.326'!A:D,4,0),"-")</f>
        <v>7691695000144</v>
      </c>
    </row>
    <row r="7" customFormat="false" ht="14.4" hidden="false" customHeight="false" outlineLevel="0" collapsed="false">
      <c r="A7" s="27" t="n">
        <v>11100689</v>
      </c>
      <c r="B7" s="27" t="s">
        <v>1882</v>
      </c>
      <c r="C7" s="43" t="n">
        <v>49.03</v>
      </c>
      <c r="D7" s="27" t="n">
        <v>2.57</v>
      </c>
      <c r="E7" s="27" t="n">
        <v>24</v>
      </c>
      <c r="F7" s="27" t="n">
        <v>2.15</v>
      </c>
      <c r="G7" s="27" t="s">
        <v>1875</v>
      </c>
      <c r="H7" s="27" t="s">
        <v>1883</v>
      </c>
      <c r="I7" s="27" t="s">
        <v>1876</v>
      </c>
      <c r="J7" s="27" t="s">
        <v>1884</v>
      </c>
      <c r="K7" s="27" t="n">
        <v>1067</v>
      </c>
      <c r="L7" s="27" t="n">
        <v>135</v>
      </c>
      <c r="M7" s="28" t="n">
        <f aca="false">IFERROR(VLOOKUP((OFFSET(hoje12_326_ana9,6,10,1,1)&amp;"."&amp;OFFSET(hoje12_326_ana9,6,11,1,1)),'12.326'!A:D,4,0),"-")</f>
        <v>7691695000144</v>
      </c>
    </row>
    <row r="8" customFormat="false" ht="14.4" hidden="false" customHeight="false" outlineLevel="0" collapsed="false">
      <c r="A8" s="27" t="n">
        <v>11100728</v>
      </c>
      <c r="B8" s="27" t="s">
        <v>1885</v>
      </c>
      <c r="C8" s="43" t="n">
        <v>49.03</v>
      </c>
      <c r="D8" s="27" t="n">
        <v>2.57</v>
      </c>
      <c r="E8" s="27" t="n">
        <v>24</v>
      </c>
      <c r="F8" s="27" t="n">
        <v>2.15</v>
      </c>
      <c r="G8" s="27" t="s">
        <v>1875</v>
      </c>
      <c r="H8" s="27" t="s">
        <v>1883</v>
      </c>
      <c r="I8" s="27" t="s">
        <v>1876</v>
      </c>
      <c r="J8" s="27" t="s">
        <v>1884</v>
      </c>
      <c r="K8" s="27" t="n">
        <v>1067</v>
      </c>
      <c r="L8" s="27" t="n">
        <v>135</v>
      </c>
      <c r="M8" s="28" t="n">
        <f aca="false">IFERROR(VLOOKUP((OFFSET(hoje12_326_ana9,7,10,1,1)&amp;"."&amp;OFFSET(hoje12_326_ana9,7,11,1,1)),'12.326'!A:D,4,0),"-")</f>
        <v>7691695000144</v>
      </c>
    </row>
    <row r="9" customFormat="false" ht="14.4" hidden="false" customHeight="false" outlineLevel="0" collapsed="false">
      <c r="A9" s="27" t="n">
        <v>11101000</v>
      </c>
      <c r="B9" s="27" t="s">
        <v>1886</v>
      </c>
      <c r="C9" s="43" t="n">
        <v>68.97</v>
      </c>
      <c r="D9" s="27" t="n">
        <v>0</v>
      </c>
      <c r="E9" s="27" t="n">
        <v>3</v>
      </c>
      <c r="F9" s="27" t="n">
        <v>22.99</v>
      </c>
      <c r="G9" s="27" t="s">
        <v>1875</v>
      </c>
      <c r="H9" s="27" t="s">
        <v>68</v>
      </c>
      <c r="I9" s="27" t="s">
        <v>1876</v>
      </c>
      <c r="J9" s="27" t="s">
        <v>1877</v>
      </c>
      <c r="K9" s="27" t="n">
        <v>211001</v>
      </c>
      <c r="L9" s="27" t="n">
        <v>211</v>
      </c>
      <c r="M9" s="28" t="n">
        <f aca="false">IFERROR(VLOOKUP((OFFSET(hoje12_326_ana9,8,10,1,1)&amp;"."&amp;OFFSET(hoje12_326_ana9,8,11,1,1)),'12.326'!A:D,4,0),"-")</f>
        <v>12887219000303</v>
      </c>
    </row>
    <row r="10" customFormat="false" ht="14.4" hidden="false" customHeight="false" outlineLevel="0" collapsed="false">
      <c r="A10" s="27" t="n">
        <v>11100998</v>
      </c>
      <c r="B10" s="27" t="s">
        <v>1887</v>
      </c>
      <c r="C10" s="43" t="n">
        <v>45.03</v>
      </c>
      <c r="D10" s="27" t="n">
        <v>0</v>
      </c>
      <c r="E10" s="27" t="n">
        <v>3</v>
      </c>
      <c r="F10" s="27" t="n">
        <v>15.01</v>
      </c>
      <c r="G10" s="27" t="s">
        <v>1875</v>
      </c>
      <c r="H10" s="27" t="s">
        <v>68</v>
      </c>
      <c r="I10" s="27" t="s">
        <v>1876</v>
      </c>
      <c r="J10" s="27" t="s">
        <v>1877</v>
      </c>
      <c r="K10" s="27" t="n">
        <v>211001</v>
      </c>
      <c r="L10" s="27" t="n">
        <v>211</v>
      </c>
      <c r="M10" s="28" t="n">
        <f aca="false">IFERROR(VLOOKUP((OFFSET(hoje12_326_ana9,9,10,1,1)&amp;"."&amp;OFFSET(hoje12_326_ana9,9,11,1,1)),'12.326'!A:D,4,0),"-")</f>
        <v>12887219000303</v>
      </c>
    </row>
    <row r="11" customFormat="false" ht="14.4" hidden="false" customHeight="false" outlineLevel="0" collapsed="false">
      <c r="A11" s="27" t="n">
        <v>11101004</v>
      </c>
      <c r="B11" s="27" t="s">
        <v>1888</v>
      </c>
      <c r="C11" s="43" t="n">
        <v>32.28</v>
      </c>
      <c r="D11" s="27" t="n">
        <v>0</v>
      </c>
      <c r="E11" s="27" t="n">
        <v>3</v>
      </c>
      <c r="F11" s="27" t="n">
        <v>10.76</v>
      </c>
      <c r="G11" s="27" t="s">
        <v>1875</v>
      </c>
      <c r="H11" s="27" t="s">
        <v>68</v>
      </c>
      <c r="I11" s="27" t="s">
        <v>1876</v>
      </c>
      <c r="J11" s="27" t="s">
        <v>1877</v>
      </c>
      <c r="K11" s="27" t="n">
        <v>211001</v>
      </c>
      <c r="L11" s="27" t="n">
        <v>211</v>
      </c>
      <c r="M11" s="28" t="n">
        <f aca="false">IFERROR(VLOOKUP((OFFSET(hoje12_326_ana9,10,10,1,1)&amp;"."&amp;OFFSET(hoje12_326_ana9,10,11,1,1)),'12.326'!A:D,4,0),"-")</f>
        <v>12887219000303</v>
      </c>
    </row>
    <row r="12" customFormat="false" ht="14.4" hidden="false" customHeight="false" outlineLevel="0" collapsed="false">
      <c r="A12" s="27" t="n">
        <v>11101003</v>
      </c>
      <c r="B12" s="27" t="s">
        <v>1889</v>
      </c>
      <c r="C12" s="43" t="n">
        <v>32.28</v>
      </c>
      <c r="D12" s="27" t="n">
        <v>0</v>
      </c>
      <c r="E12" s="27" t="n">
        <v>3</v>
      </c>
      <c r="F12" s="27" t="n">
        <v>10.76</v>
      </c>
      <c r="G12" s="27" t="s">
        <v>1875</v>
      </c>
      <c r="H12" s="27" t="s">
        <v>68</v>
      </c>
      <c r="I12" s="27" t="s">
        <v>1876</v>
      </c>
      <c r="J12" s="27" t="s">
        <v>1877</v>
      </c>
      <c r="K12" s="27" t="n">
        <v>211001</v>
      </c>
      <c r="L12" s="27" t="n">
        <v>211</v>
      </c>
      <c r="M12" s="28" t="n">
        <f aca="false">IFERROR(VLOOKUP((OFFSET(hoje12_326_ana9,11,10,1,1)&amp;"."&amp;OFFSET(hoje12_326_ana9,11,11,1,1)),'12.326'!A:D,4,0),"-")</f>
        <v>12887219000303</v>
      </c>
    </row>
    <row r="13" customFormat="false" ht="14.4" hidden="false" customHeight="false" outlineLevel="0" collapsed="false">
      <c r="A13" s="27" t="n">
        <v>11101000</v>
      </c>
      <c r="B13" s="27" t="s">
        <v>1886</v>
      </c>
      <c r="C13" s="43" t="n">
        <v>68.97</v>
      </c>
      <c r="D13" s="27" t="n">
        <v>0</v>
      </c>
      <c r="E13" s="27" t="n">
        <v>3</v>
      </c>
      <c r="F13" s="27" t="n">
        <v>22.99</v>
      </c>
      <c r="G13" s="27" t="s">
        <v>1875</v>
      </c>
      <c r="H13" s="27" t="s">
        <v>68</v>
      </c>
      <c r="I13" s="27" t="s">
        <v>1876</v>
      </c>
      <c r="J13" s="27" t="s">
        <v>1877</v>
      </c>
      <c r="K13" s="27" t="n">
        <v>211002</v>
      </c>
      <c r="L13" s="27" t="n">
        <v>211</v>
      </c>
      <c r="M13" s="28" t="n">
        <f aca="false">IFERROR(VLOOKUP((OFFSET(hoje12_326_ana9,12,10,1,1)&amp;"."&amp;OFFSET(hoje12_326_ana9,12,11,1,1)),'12.326'!A:D,4,0),"-")</f>
        <v>12887219000567</v>
      </c>
    </row>
    <row r="14" customFormat="false" ht="14.4" hidden="false" customHeight="false" outlineLevel="0" collapsed="false">
      <c r="A14" s="27" t="n">
        <v>11100998</v>
      </c>
      <c r="B14" s="27" t="s">
        <v>1887</v>
      </c>
      <c r="C14" s="43" t="n">
        <v>45.03</v>
      </c>
      <c r="D14" s="27" t="n">
        <v>0</v>
      </c>
      <c r="E14" s="27" t="n">
        <v>3</v>
      </c>
      <c r="F14" s="27" t="n">
        <v>15.01</v>
      </c>
      <c r="G14" s="27" t="s">
        <v>1875</v>
      </c>
      <c r="H14" s="27" t="s">
        <v>68</v>
      </c>
      <c r="I14" s="27" t="s">
        <v>1876</v>
      </c>
      <c r="J14" s="27" t="s">
        <v>1877</v>
      </c>
      <c r="K14" s="27" t="n">
        <v>211002</v>
      </c>
      <c r="L14" s="27" t="n">
        <v>211</v>
      </c>
      <c r="M14" s="28" t="n">
        <f aca="false">IFERROR(VLOOKUP((OFFSET(hoje12_326_ana9,13,10,1,1)&amp;"."&amp;OFFSET(hoje12_326_ana9,13,11,1,1)),'12.326'!A:D,4,0),"-")</f>
        <v>12887219000567</v>
      </c>
    </row>
    <row r="15" customFormat="false" ht="14.4" hidden="false" customHeight="false" outlineLevel="0" collapsed="false">
      <c r="A15" s="27" t="n">
        <v>11101004</v>
      </c>
      <c r="B15" s="27" t="s">
        <v>1888</v>
      </c>
      <c r="C15" s="43" t="n">
        <v>32.28</v>
      </c>
      <c r="D15" s="27" t="n">
        <v>0</v>
      </c>
      <c r="E15" s="27" t="n">
        <v>3</v>
      </c>
      <c r="F15" s="27" t="n">
        <v>10.76</v>
      </c>
      <c r="G15" s="27" t="s">
        <v>1875</v>
      </c>
      <c r="H15" s="27" t="s">
        <v>68</v>
      </c>
      <c r="I15" s="27" t="s">
        <v>1876</v>
      </c>
      <c r="J15" s="27" t="s">
        <v>1877</v>
      </c>
      <c r="K15" s="27" t="n">
        <v>211002</v>
      </c>
      <c r="L15" s="27" t="n">
        <v>211</v>
      </c>
      <c r="M15" s="28" t="n">
        <f aca="false">IFERROR(VLOOKUP((OFFSET(hoje12_326_ana9,14,10,1,1)&amp;"."&amp;OFFSET(hoje12_326_ana9,14,11,1,1)),'12.326'!A:D,4,0),"-")</f>
        <v>12887219000567</v>
      </c>
    </row>
    <row r="16" customFormat="false" ht="14.4" hidden="false" customHeight="false" outlineLevel="0" collapsed="false">
      <c r="A16" s="27" t="n">
        <v>11101003</v>
      </c>
      <c r="B16" s="27" t="s">
        <v>1889</v>
      </c>
      <c r="C16" s="43" t="n">
        <v>32.28</v>
      </c>
      <c r="D16" s="27" t="n">
        <v>0</v>
      </c>
      <c r="E16" s="27" t="n">
        <v>3</v>
      </c>
      <c r="F16" s="27" t="n">
        <v>10.76</v>
      </c>
      <c r="G16" s="27" t="s">
        <v>1875</v>
      </c>
      <c r="H16" s="27" t="s">
        <v>68</v>
      </c>
      <c r="I16" s="27" t="s">
        <v>1876</v>
      </c>
      <c r="J16" s="27" t="s">
        <v>1877</v>
      </c>
      <c r="K16" s="27" t="n">
        <v>211002</v>
      </c>
      <c r="L16" s="27" t="n">
        <v>211</v>
      </c>
      <c r="M16" s="28" t="n">
        <f aca="false">IFERROR(VLOOKUP((OFFSET(hoje12_326_ana9,15,10,1,1)&amp;"."&amp;OFFSET(hoje12_326_ana9,15,11,1,1)),'12.326'!A:D,4,0),"-")</f>
        <v>12887219000567</v>
      </c>
    </row>
    <row r="17" customFormat="false" ht="14.4" hidden="false" customHeight="false" outlineLevel="0" collapsed="false">
      <c r="A17" s="27" t="n">
        <v>11101000</v>
      </c>
      <c r="B17" s="27" t="s">
        <v>1886</v>
      </c>
      <c r="C17" s="43" t="n">
        <v>68.97</v>
      </c>
      <c r="D17" s="27" t="n">
        <v>0</v>
      </c>
      <c r="E17" s="27" t="n">
        <v>3</v>
      </c>
      <c r="F17" s="27" t="n">
        <v>22.99</v>
      </c>
      <c r="G17" s="27" t="s">
        <v>1875</v>
      </c>
      <c r="H17" s="27" t="s">
        <v>68</v>
      </c>
      <c r="I17" s="27" t="s">
        <v>1876</v>
      </c>
      <c r="J17" s="27" t="s">
        <v>1877</v>
      </c>
      <c r="K17" s="27" t="n">
        <v>211003</v>
      </c>
      <c r="L17" s="27" t="n">
        <v>211</v>
      </c>
      <c r="M17" s="28" t="n">
        <f aca="false">IFERROR(VLOOKUP((OFFSET(hoje12_326_ana9,16,10,1,1)&amp;"."&amp;OFFSET(hoje12_326_ana9,16,11,1,1)),'12.326'!A:D,4,0),"-")</f>
        <v>12887219000214</v>
      </c>
    </row>
    <row r="18" customFormat="false" ht="14.4" hidden="false" customHeight="false" outlineLevel="0" collapsed="false">
      <c r="A18" s="27" t="n">
        <v>11100998</v>
      </c>
      <c r="B18" s="27" t="s">
        <v>1887</v>
      </c>
      <c r="C18" s="43" t="n">
        <v>45.03</v>
      </c>
      <c r="D18" s="27" t="n">
        <v>0</v>
      </c>
      <c r="E18" s="27" t="n">
        <v>3</v>
      </c>
      <c r="F18" s="27" t="n">
        <v>15.01</v>
      </c>
      <c r="G18" s="27" t="s">
        <v>1875</v>
      </c>
      <c r="H18" s="27" t="s">
        <v>68</v>
      </c>
      <c r="I18" s="27" t="s">
        <v>1876</v>
      </c>
      <c r="J18" s="27" t="s">
        <v>1877</v>
      </c>
      <c r="K18" s="27" t="n">
        <v>211003</v>
      </c>
      <c r="L18" s="27" t="n">
        <v>211</v>
      </c>
      <c r="M18" s="28" t="n">
        <f aca="false">IFERROR(VLOOKUP((OFFSET(hoje12_326_ana9,17,10,1,1)&amp;"."&amp;OFFSET(hoje12_326_ana9,17,11,1,1)),'12.326'!A:D,4,0),"-")</f>
        <v>12887219000214</v>
      </c>
    </row>
    <row r="19" customFormat="false" ht="14.4" hidden="false" customHeight="false" outlineLevel="0" collapsed="false">
      <c r="A19" s="27" t="n">
        <v>11101004</v>
      </c>
      <c r="B19" s="27" t="s">
        <v>1888</v>
      </c>
      <c r="C19" s="43" t="n">
        <v>32.28</v>
      </c>
      <c r="D19" s="27" t="n">
        <v>0</v>
      </c>
      <c r="E19" s="27" t="n">
        <v>3</v>
      </c>
      <c r="F19" s="27" t="n">
        <v>10.76</v>
      </c>
      <c r="G19" s="27" t="s">
        <v>1875</v>
      </c>
      <c r="H19" s="27" t="s">
        <v>68</v>
      </c>
      <c r="I19" s="27" t="s">
        <v>1876</v>
      </c>
      <c r="J19" s="27" t="s">
        <v>1877</v>
      </c>
      <c r="K19" s="27" t="n">
        <v>211003</v>
      </c>
      <c r="L19" s="27" t="n">
        <v>211</v>
      </c>
      <c r="M19" s="28" t="n">
        <f aca="false">IFERROR(VLOOKUP((OFFSET(hoje12_326_ana9,18,10,1,1)&amp;"."&amp;OFFSET(hoje12_326_ana9,18,11,1,1)),'12.326'!A:D,4,0),"-")</f>
        <v>12887219000214</v>
      </c>
    </row>
    <row r="20" customFormat="false" ht="14.4" hidden="false" customHeight="false" outlineLevel="0" collapsed="false">
      <c r="A20" s="27" t="n">
        <v>11101003</v>
      </c>
      <c r="B20" s="27" t="s">
        <v>1889</v>
      </c>
      <c r="C20" s="43" t="n">
        <v>32.28</v>
      </c>
      <c r="D20" s="27" t="n">
        <v>0</v>
      </c>
      <c r="E20" s="27" t="n">
        <v>3</v>
      </c>
      <c r="F20" s="27" t="n">
        <v>10.76</v>
      </c>
      <c r="G20" s="27" t="s">
        <v>1875</v>
      </c>
      <c r="H20" s="27" t="s">
        <v>68</v>
      </c>
      <c r="I20" s="27" t="s">
        <v>1876</v>
      </c>
      <c r="J20" s="27" t="s">
        <v>1877</v>
      </c>
      <c r="K20" s="27" t="n">
        <v>211003</v>
      </c>
      <c r="L20" s="27" t="n">
        <v>211</v>
      </c>
      <c r="M20" s="28" t="n">
        <f aca="false">IFERROR(VLOOKUP((OFFSET(hoje12_326_ana9,19,10,1,1)&amp;"."&amp;OFFSET(hoje12_326_ana9,19,11,1,1)),'12.326'!A:D,4,0),"-")</f>
        <v>12887219000214</v>
      </c>
    </row>
    <row r="21" customFormat="false" ht="14.4" hidden="false" customHeight="false" outlineLevel="0" collapsed="false">
      <c r="A21" s="27" t="n">
        <v>11101000</v>
      </c>
      <c r="B21" s="27" t="s">
        <v>1886</v>
      </c>
      <c r="C21" s="43" t="n">
        <v>68.97</v>
      </c>
      <c r="D21" s="27" t="n">
        <v>0</v>
      </c>
      <c r="E21" s="27" t="n">
        <v>3</v>
      </c>
      <c r="F21" s="27" t="n">
        <v>22.99</v>
      </c>
      <c r="G21" s="27" t="s">
        <v>1875</v>
      </c>
      <c r="H21" s="27" t="s">
        <v>68</v>
      </c>
      <c r="I21" s="27" t="s">
        <v>1876</v>
      </c>
      <c r="J21" s="27" t="s">
        <v>1877</v>
      </c>
      <c r="K21" s="27" t="n">
        <v>211004</v>
      </c>
      <c r="L21" s="27" t="n">
        <v>211</v>
      </c>
      <c r="M21" s="28" t="n">
        <f aca="false">IFERROR(VLOOKUP((OFFSET(hoje12_326_ana9,20,10,1,1)&amp;"."&amp;OFFSET(hoje12_326_ana9,20,11,1,1)),'12.326'!A:D,4,0),"-")</f>
        <v>12887219000133</v>
      </c>
    </row>
    <row r="22" customFormat="false" ht="14.4" hidden="false" customHeight="false" outlineLevel="0" collapsed="false">
      <c r="A22" s="27" t="n">
        <v>11100998</v>
      </c>
      <c r="B22" s="27" t="s">
        <v>1887</v>
      </c>
      <c r="C22" s="43" t="n">
        <v>45.03</v>
      </c>
      <c r="D22" s="27" t="n">
        <v>0</v>
      </c>
      <c r="E22" s="27" t="n">
        <v>3</v>
      </c>
      <c r="F22" s="27" t="n">
        <v>15.01</v>
      </c>
      <c r="G22" s="27" t="s">
        <v>1875</v>
      </c>
      <c r="H22" s="27" t="s">
        <v>68</v>
      </c>
      <c r="I22" s="27" t="s">
        <v>1876</v>
      </c>
      <c r="J22" s="27" t="s">
        <v>1877</v>
      </c>
      <c r="K22" s="27" t="n">
        <v>211004</v>
      </c>
      <c r="L22" s="27" t="n">
        <v>211</v>
      </c>
      <c r="M22" s="28" t="n">
        <f aca="false">IFERROR(VLOOKUP((OFFSET(hoje12_326_ana9,21,10,1,1)&amp;"."&amp;OFFSET(hoje12_326_ana9,21,11,1,1)),'12.326'!A:D,4,0),"-")</f>
        <v>12887219000133</v>
      </c>
    </row>
    <row r="23" customFormat="false" ht="14.4" hidden="false" customHeight="false" outlineLevel="0" collapsed="false">
      <c r="A23" s="27" t="n">
        <v>11101004</v>
      </c>
      <c r="B23" s="27" t="s">
        <v>1888</v>
      </c>
      <c r="C23" s="43" t="n">
        <v>32.28</v>
      </c>
      <c r="D23" s="27" t="n">
        <v>0</v>
      </c>
      <c r="E23" s="27" t="n">
        <v>3</v>
      </c>
      <c r="F23" s="27" t="n">
        <v>10.76</v>
      </c>
      <c r="G23" s="27" t="s">
        <v>1875</v>
      </c>
      <c r="H23" s="27" t="s">
        <v>68</v>
      </c>
      <c r="I23" s="27" t="s">
        <v>1876</v>
      </c>
      <c r="J23" s="27" t="s">
        <v>1877</v>
      </c>
      <c r="K23" s="27" t="n">
        <v>211004</v>
      </c>
      <c r="L23" s="27" t="n">
        <v>211</v>
      </c>
      <c r="M23" s="28" t="n">
        <f aca="false">IFERROR(VLOOKUP((OFFSET(hoje12_326_ana9,22,10,1,1)&amp;"."&amp;OFFSET(hoje12_326_ana9,22,11,1,1)),'12.326'!A:D,4,0),"-")</f>
        <v>12887219000133</v>
      </c>
    </row>
    <row r="24" customFormat="false" ht="14.4" hidden="false" customHeight="false" outlineLevel="0" collapsed="false">
      <c r="A24" s="27" t="n">
        <v>11101003</v>
      </c>
      <c r="B24" s="27" t="s">
        <v>1889</v>
      </c>
      <c r="C24" s="43" t="n">
        <v>32.28</v>
      </c>
      <c r="D24" s="27" t="n">
        <v>0</v>
      </c>
      <c r="E24" s="27" t="n">
        <v>3</v>
      </c>
      <c r="F24" s="27" t="n">
        <v>10.76</v>
      </c>
      <c r="G24" s="27" t="s">
        <v>1875</v>
      </c>
      <c r="H24" s="27" t="s">
        <v>68</v>
      </c>
      <c r="I24" s="27" t="s">
        <v>1876</v>
      </c>
      <c r="J24" s="27" t="s">
        <v>1877</v>
      </c>
      <c r="K24" s="27" t="n">
        <v>211004</v>
      </c>
      <c r="L24" s="27" t="n">
        <v>211</v>
      </c>
      <c r="M24" s="28" t="n">
        <f aca="false">IFERROR(VLOOKUP((OFFSET(hoje12_326_ana9,23,10,1,1)&amp;"."&amp;OFFSET(hoje12_326_ana9,23,11,1,1)),'12.326'!A:D,4,0),"-")</f>
        <v>12887219000133</v>
      </c>
    </row>
    <row r="25" customFormat="false" ht="14.4" hidden="false" customHeight="false" outlineLevel="0" collapsed="false">
      <c r="A25" s="27" t="n">
        <v>11100987</v>
      </c>
      <c r="B25" s="27" t="s">
        <v>1890</v>
      </c>
      <c r="C25" s="43" t="n">
        <v>501.6</v>
      </c>
      <c r="D25" s="27" t="n">
        <v>0</v>
      </c>
      <c r="E25" s="27" t="n">
        <v>48</v>
      </c>
      <c r="F25" s="27" t="n">
        <v>10.45</v>
      </c>
      <c r="G25" s="27" t="s">
        <v>1875</v>
      </c>
      <c r="H25" s="27" t="s">
        <v>68</v>
      </c>
      <c r="I25" s="27" t="s">
        <v>1876</v>
      </c>
      <c r="J25" s="27" t="s">
        <v>1877</v>
      </c>
      <c r="K25" s="27" t="n">
        <v>600</v>
      </c>
      <c r="L25" s="27" t="n">
        <v>507</v>
      </c>
      <c r="M25" s="28" t="n">
        <f aca="false">IFERROR(VLOOKUP((OFFSET(hoje12_326_ana9,24,10,1,1)&amp;"."&amp;OFFSET(hoje12_326_ana9,24,11,1,1)),'12.326'!A:D,4,0),"-")</f>
        <v>20335148000275</v>
      </c>
    </row>
    <row r="26" customFormat="false" ht="14.4" hidden="false" customHeight="false" outlineLevel="0" collapsed="false">
      <c r="A26" s="27" t="n">
        <v>11100992</v>
      </c>
      <c r="B26" s="27" t="s">
        <v>1891</v>
      </c>
      <c r="C26" s="43" t="n">
        <v>736.8</v>
      </c>
      <c r="D26" s="27" t="n">
        <v>0</v>
      </c>
      <c r="E26" s="27" t="n">
        <v>48</v>
      </c>
      <c r="F26" s="27" t="n">
        <v>15.35</v>
      </c>
      <c r="G26" s="27" t="s">
        <v>1875</v>
      </c>
      <c r="H26" s="27" t="s">
        <v>68</v>
      </c>
      <c r="I26" s="27" t="s">
        <v>1876</v>
      </c>
      <c r="J26" s="27" t="s">
        <v>1877</v>
      </c>
      <c r="K26" s="27" t="n">
        <v>600</v>
      </c>
      <c r="L26" s="27" t="n">
        <v>507</v>
      </c>
      <c r="M26" s="28" t="n">
        <f aca="false">IFERROR(VLOOKUP((OFFSET(hoje12_326_ana9,25,10,1,1)&amp;"."&amp;OFFSET(hoje12_326_ana9,25,11,1,1)),'12.326'!A:D,4,0),"-")</f>
        <v>20335148000275</v>
      </c>
    </row>
    <row r="27" customFormat="false" ht="14.4" hidden="false" customHeight="false" outlineLevel="0" collapsed="false">
      <c r="A27" s="27" t="n">
        <v>11100998</v>
      </c>
      <c r="B27" s="27" t="s">
        <v>1887</v>
      </c>
      <c r="C27" s="43" t="n">
        <v>1080.72</v>
      </c>
      <c r="D27" s="27" t="n">
        <v>0</v>
      </c>
      <c r="E27" s="27" t="n">
        <v>72</v>
      </c>
      <c r="F27" s="27" t="n">
        <v>15.01</v>
      </c>
      <c r="G27" s="27" t="s">
        <v>1875</v>
      </c>
      <c r="H27" s="27" t="s">
        <v>68</v>
      </c>
      <c r="I27" s="27" t="s">
        <v>1876</v>
      </c>
      <c r="J27" s="27" t="s">
        <v>1877</v>
      </c>
      <c r="K27" s="27" t="n">
        <v>600</v>
      </c>
      <c r="L27" s="27" t="n">
        <v>507</v>
      </c>
      <c r="M27" s="28" t="n">
        <f aca="false">IFERROR(VLOOKUP((OFFSET(hoje12_326_ana9,26,10,1,1)&amp;"."&amp;OFFSET(hoje12_326_ana9,26,11,1,1)),'12.326'!A:D,4,0),"-")</f>
        <v>20335148000275</v>
      </c>
    </row>
    <row r="28" customFormat="false" ht="14.4" hidden="false" customHeight="false" outlineLevel="0" collapsed="false">
      <c r="A28" s="27" t="n">
        <v>11101000</v>
      </c>
      <c r="B28" s="27" t="s">
        <v>1886</v>
      </c>
      <c r="C28" s="43" t="n">
        <v>275.88</v>
      </c>
      <c r="D28" s="27" t="n">
        <v>0</v>
      </c>
      <c r="E28" s="27" t="n">
        <v>12</v>
      </c>
      <c r="F28" s="27" t="n">
        <v>22.99</v>
      </c>
      <c r="G28" s="27" t="s">
        <v>1875</v>
      </c>
      <c r="H28" s="27" t="s">
        <v>68</v>
      </c>
      <c r="I28" s="27" t="s">
        <v>1876</v>
      </c>
      <c r="J28" s="27" t="s">
        <v>1877</v>
      </c>
      <c r="K28" s="27" t="n">
        <v>600</v>
      </c>
      <c r="L28" s="27" t="n">
        <v>507</v>
      </c>
      <c r="M28" s="28" t="n">
        <f aca="false">IFERROR(VLOOKUP((OFFSET(hoje12_326_ana9,27,10,1,1)&amp;"."&amp;OFFSET(hoje12_326_ana9,27,11,1,1)),'12.326'!A:D,4,0),"-")</f>
        <v>20335148000275</v>
      </c>
    </row>
    <row r="29" customFormat="false" ht="14.4" hidden="false" customHeight="false" outlineLevel="0" collapsed="false">
      <c r="A29" s="27" t="n">
        <v>11101003</v>
      </c>
      <c r="B29" s="27" t="s">
        <v>1889</v>
      </c>
      <c r="C29" s="43" t="n">
        <v>109.75</v>
      </c>
      <c r="D29" s="27" t="n">
        <v>19.37</v>
      </c>
      <c r="E29" s="27" t="n">
        <v>12</v>
      </c>
      <c r="F29" s="27" t="n">
        <v>10.76</v>
      </c>
      <c r="G29" s="27" t="s">
        <v>1875</v>
      </c>
      <c r="H29" s="27" t="s">
        <v>1892</v>
      </c>
      <c r="I29" s="27" t="s">
        <v>1876</v>
      </c>
      <c r="J29" s="27" t="s">
        <v>1893</v>
      </c>
      <c r="K29" s="27" t="n">
        <v>600</v>
      </c>
      <c r="L29" s="27" t="n">
        <v>507</v>
      </c>
      <c r="M29" s="28" t="n">
        <f aca="false">IFERROR(VLOOKUP((OFFSET(hoje12_326_ana9,28,10,1,1)&amp;"."&amp;OFFSET(hoje12_326_ana9,28,11,1,1)),'12.326'!A:D,4,0),"-")</f>
        <v>20335148000275</v>
      </c>
    </row>
    <row r="30" customFormat="false" ht="14.4" hidden="false" customHeight="false" outlineLevel="0" collapsed="false">
      <c r="A30" s="27" t="n">
        <v>11101004</v>
      </c>
      <c r="B30" s="27" t="s">
        <v>1888</v>
      </c>
      <c r="C30" s="43" t="n">
        <v>109.75</v>
      </c>
      <c r="D30" s="27" t="n">
        <v>19.37</v>
      </c>
      <c r="E30" s="27" t="n">
        <v>12</v>
      </c>
      <c r="F30" s="27" t="n">
        <v>10.76</v>
      </c>
      <c r="G30" s="27" t="s">
        <v>1875</v>
      </c>
      <c r="H30" s="27" t="s">
        <v>1892</v>
      </c>
      <c r="I30" s="27" t="s">
        <v>1876</v>
      </c>
      <c r="J30" s="27" t="s">
        <v>1893</v>
      </c>
      <c r="K30" s="27" t="n">
        <v>600</v>
      </c>
      <c r="L30" s="27" t="n">
        <v>507</v>
      </c>
      <c r="M30" s="28" t="n">
        <f aca="false">IFERROR(VLOOKUP((OFFSET(hoje12_326_ana9,29,10,1,1)&amp;"."&amp;OFFSET(hoje12_326_ana9,29,11,1,1)),'12.326'!A:D,4,0),"-")</f>
        <v>20335148000275</v>
      </c>
    </row>
    <row r="31" customFormat="false" ht="14.4" hidden="false" customHeight="false" outlineLevel="0" collapsed="false">
      <c r="A31" s="27" t="n">
        <v>11100987</v>
      </c>
      <c r="B31" s="27" t="s">
        <v>1890</v>
      </c>
      <c r="C31" s="43" t="n">
        <v>501.6</v>
      </c>
      <c r="D31" s="27" t="n">
        <v>0</v>
      </c>
      <c r="E31" s="27" t="n">
        <v>48</v>
      </c>
      <c r="F31" s="27" t="n">
        <v>10.45</v>
      </c>
      <c r="G31" s="27" t="s">
        <v>1875</v>
      </c>
      <c r="H31" s="27" t="s">
        <v>68</v>
      </c>
      <c r="I31" s="27" t="s">
        <v>1876</v>
      </c>
      <c r="J31" s="27" t="s">
        <v>1877</v>
      </c>
      <c r="K31" s="27" t="n">
        <v>601</v>
      </c>
      <c r="L31" s="27" t="n">
        <v>507</v>
      </c>
      <c r="M31" s="28" t="n">
        <f aca="false">IFERROR(VLOOKUP((OFFSET(hoje12_326_ana9,30,10,1,1)&amp;"."&amp;OFFSET(hoje12_326_ana9,30,11,1,1)),'12.326'!A:D,4,0),"-")</f>
        <v>20335148000194</v>
      </c>
    </row>
    <row r="32" customFormat="false" ht="14.4" hidden="false" customHeight="false" outlineLevel="0" collapsed="false">
      <c r="A32" s="27" t="n">
        <v>11100992</v>
      </c>
      <c r="B32" s="27" t="s">
        <v>1891</v>
      </c>
      <c r="C32" s="43" t="n">
        <v>736.8</v>
      </c>
      <c r="D32" s="27" t="n">
        <v>0</v>
      </c>
      <c r="E32" s="27" t="n">
        <v>48</v>
      </c>
      <c r="F32" s="27" t="n">
        <v>15.35</v>
      </c>
      <c r="G32" s="27" t="s">
        <v>1875</v>
      </c>
      <c r="H32" s="27" t="s">
        <v>68</v>
      </c>
      <c r="I32" s="27" t="s">
        <v>1876</v>
      </c>
      <c r="J32" s="27" t="s">
        <v>1877</v>
      </c>
      <c r="K32" s="27" t="n">
        <v>601</v>
      </c>
      <c r="L32" s="27" t="n">
        <v>507</v>
      </c>
      <c r="M32" s="28" t="n">
        <f aca="false">IFERROR(VLOOKUP((OFFSET(hoje12_326_ana9,31,10,1,1)&amp;"."&amp;OFFSET(hoje12_326_ana9,31,11,1,1)),'12.326'!A:D,4,0),"-")</f>
        <v>20335148000194</v>
      </c>
    </row>
    <row r="33" customFormat="false" ht="14.4" hidden="false" customHeight="false" outlineLevel="0" collapsed="false">
      <c r="A33" s="27" t="n">
        <v>11100998</v>
      </c>
      <c r="B33" s="27" t="s">
        <v>1887</v>
      </c>
      <c r="C33" s="43" t="n">
        <v>1080.72</v>
      </c>
      <c r="D33" s="27" t="n">
        <v>0</v>
      </c>
      <c r="E33" s="27" t="n">
        <v>72</v>
      </c>
      <c r="F33" s="27" t="n">
        <v>15.01</v>
      </c>
      <c r="G33" s="27" t="s">
        <v>1875</v>
      </c>
      <c r="H33" s="27" t="s">
        <v>68</v>
      </c>
      <c r="I33" s="27" t="s">
        <v>1876</v>
      </c>
      <c r="J33" s="27" t="s">
        <v>1877</v>
      </c>
      <c r="K33" s="27" t="n">
        <v>601</v>
      </c>
      <c r="L33" s="27" t="n">
        <v>507</v>
      </c>
      <c r="M33" s="28" t="n">
        <f aca="false">IFERROR(VLOOKUP((OFFSET(hoje12_326_ana9,32,10,1,1)&amp;"."&amp;OFFSET(hoje12_326_ana9,32,11,1,1)),'12.326'!A:D,4,0),"-")</f>
        <v>20335148000194</v>
      </c>
    </row>
    <row r="34" customFormat="false" ht="14.4" hidden="false" customHeight="false" outlineLevel="0" collapsed="false">
      <c r="A34" s="27" t="n">
        <v>11101000</v>
      </c>
      <c r="B34" s="27" t="s">
        <v>1886</v>
      </c>
      <c r="C34" s="43" t="n">
        <v>275.88</v>
      </c>
      <c r="D34" s="27" t="n">
        <v>0</v>
      </c>
      <c r="E34" s="27" t="n">
        <v>12</v>
      </c>
      <c r="F34" s="27" t="n">
        <v>22.99</v>
      </c>
      <c r="G34" s="27" t="s">
        <v>1875</v>
      </c>
      <c r="H34" s="27" t="s">
        <v>68</v>
      </c>
      <c r="I34" s="27" t="s">
        <v>1876</v>
      </c>
      <c r="J34" s="27" t="s">
        <v>1877</v>
      </c>
      <c r="K34" s="27" t="n">
        <v>601</v>
      </c>
      <c r="L34" s="27" t="n">
        <v>507</v>
      </c>
      <c r="M34" s="28" t="n">
        <f aca="false">IFERROR(VLOOKUP((OFFSET(hoje12_326_ana9,33,10,1,1)&amp;"."&amp;OFFSET(hoje12_326_ana9,33,11,1,1)),'12.326'!A:D,4,0),"-")</f>
        <v>20335148000194</v>
      </c>
    </row>
    <row r="35" customFormat="false" ht="14.4" hidden="false" customHeight="false" outlineLevel="0" collapsed="false">
      <c r="A35" s="27" t="n">
        <v>11101003</v>
      </c>
      <c r="B35" s="27" t="s">
        <v>1889</v>
      </c>
      <c r="C35" s="43" t="n">
        <v>109.75</v>
      </c>
      <c r="D35" s="27" t="n">
        <v>19.37</v>
      </c>
      <c r="E35" s="27" t="n">
        <v>12</v>
      </c>
      <c r="F35" s="27" t="n">
        <v>10.76</v>
      </c>
      <c r="G35" s="27" t="s">
        <v>1875</v>
      </c>
      <c r="H35" s="27" t="s">
        <v>1892</v>
      </c>
      <c r="I35" s="27" t="s">
        <v>1876</v>
      </c>
      <c r="J35" s="27" t="s">
        <v>1893</v>
      </c>
      <c r="K35" s="27" t="n">
        <v>601</v>
      </c>
      <c r="L35" s="27" t="n">
        <v>507</v>
      </c>
      <c r="M35" s="28" t="n">
        <f aca="false">IFERROR(VLOOKUP((OFFSET(hoje12_326_ana9,34,10,1,1)&amp;"."&amp;OFFSET(hoje12_326_ana9,34,11,1,1)),'12.326'!A:D,4,0),"-")</f>
        <v>20335148000194</v>
      </c>
    </row>
    <row r="36" customFormat="false" ht="14.4" hidden="false" customHeight="false" outlineLevel="0" collapsed="false">
      <c r="A36" s="27" t="n">
        <v>11101004</v>
      </c>
      <c r="B36" s="27" t="s">
        <v>1888</v>
      </c>
      <c r="C36" s="43" t="n">
        <v>109.75</v>
      </c>
      <c r="D36" s="27" t="n">
        <v>19.37</v>
      </c>
      <c r="E36" s="27" t="n">
        <v>12</v>
      </c>
      <c r="F36" s="27" t="n">
        <v>10.76</v>
      </c>
      <c r="G36" s="27" t="s">
        <v>1875</v>
      </c>
      <c r="H36" s="27" t="s">
        <v>1892</v>
      </c>
      <c r="I36" s="27" t="s">
        <v>1876</v>
      </c>
      <c r="J36" s="27" t="s">
        <v>1893</v>
      </c>
      <c r="K36" s="27" t="n">
        <v>601</v>
      </c>
      <c r="L36" s="27" t="n">
        <v>507</v>
      </c>
      <c r="M36" s="28" t="n">
        <f aca="false">IFERROR(VLOOKUP((OFFSET(hoje12_326_ana9,35,10,1,1)&amp;"."&amp;OFFSET(hoje12_326_ana9,35,11,1,1)),'12.326'!A:D,4,0),"-")</f>
        <v>20335148000194</v>
      </c>
    </row>
    <row r="37" customFormat="false" ht="14.4" hidden="false" customHeight="false" outlineLevel="0" collapsed="false">
      <c r="A37" s="27" t="n">
        <v>11101000</v>
      </c>
      <c r="B37" s="27" t="s">
        <v>1886</v>
      </c>
      <c r="C37" s="43" t="n">
        <v>68.97</v>
      </c>
      <c r="D37" s="27" t="n">
        <v>0</v>
      </c>
      <c r="E37" s="27" t="n">
        <v>3</v>
      </c>
      <c r="F37" s="27" t="n">
        <v>22.99</v>
      </c>
      <c r="G37" s="27" t="s">
        <v>1875</v>
      </c>
      <c r="H37" s="27" t="s">
        <v>68</v>
      </c>
      <c r="I37" s="27" t="s">
        <v>1876</v>
      </c>
      <c r="J37" s="27" t="s">
        <v>1877</v>
      </c>
      <c r="K37" s="27" t="n">
        <v>507001</v>
      </c>
      <c r="L37" s="27" t="n">
        <v>507</v>
      </c>
      <c r="M37" s="28" t="n">
        <f aca="false">IFERROR(VLOOKUP((OFFSET(hoje12_326_ana9,36,10,1,1)&amp;"."&amp;OFFSET(hoje12_326_ana9,36,11,1,1)),'12.326'!A:D,4,0),"-")</f>
        <v>20335148000194</v>
      </c>
    </row>
    <row r="38" customFormat="false" ht="14.4" hidden="false" customHeight="false" outlineLevel="0" collapsed="false">
      <c r="A38" s="27" t="n">
        <v>11100998</v>
      </c>
      <c r="B38" s="27" t="s">
        <v>1887</v>
      </c>
      <c r="C38" s="43" t="n">
        <v>45.03</v>
      </c>
      <c r="D38" s="27" t="n">
        <v>0</v>
      </c>
      <c r="E38" s="27" t="n">
        <v>3</v>
      </c>
      <c r="F38" s="27" t="n">
        <v>15.01</v>
      </c>
      <c r="G38" s="27" t="s">
        <v>1875</v>
      </c>
      <c r="H38" s="27" t="s">
        <v>68</v>
      </c>
      <c r="I38" s="27" t="s">
        <v>1876</v>
      </c>
      <c r="J38" s="27" t="s">
        <v>1877</v>
      </c>
      <c r="K38" s="27" t="n">
        <v>507001</v>
      </c>
      <c r="L38" s="27" t="n">
        <v>507</v>
      </c>
      <c r="M38" s="28" t="n">
        <f aca="false">IFERROR(VLOOKUP((OFFSET(hoje12_326_ana9,37,10,1,1)&amp;"."&amp;OFFSET(hoje12_326_ana9,37,11,1,1)),'12.326'!A:D,4,0),"-")</f>
        <v>20335148000194</v>
      </c>
    </row>
    <row r="39" customFormat="false" ht="14.4" hidden="false" customHeight="false" outlineLevel="0" collapsed="false">
      <c r="A39" s="27" t="n">
        <v>11101004</v>
      </c>
      <c r="B39" s="27" t="s">
        <v>1888</v>
      </c>
      <c r="C39" s="43" t="n">
        <v>32.28</v>
      </c>
      <c r="D39" s="27" t="n">
        <v>0</v>
      </c>
      <c r="E39" s="27" t="n">
        <v>3</v>
      </c>
      <c r="F39" s="27" t="n">
        <v>10.76</v>
      </c>
      <c r="G39" s="27" t="s">
        <v>1875</v>
      </c>
      <c r="H39" s="27" t="s">
        <v>68</v>
      </c>
      <c r="I39" s="27" t="s">
        <v>1876</v>
      </c>
      <c r="J39" s="27" t="s">
        <v>1877</v>
      </c>
      <c r="K39" s="27" t="n">
        <v>507001</v>
      </c>
      <c r="L39" s="27" t="n">
        <v>507</v>
      </c>
      <c r="M39" s="28" t="n">
        <f aca="false">IFERROR(VLOOKUP((OFFSET(hoje12_326_ana9,38,10,1,1)&amp;"."&amp;OFFSET(hoje12_326_ana9,38,11,1,1)),'12.326'!A:D,4,0),"-")</f>
        <v>20335148000194</v>
      </c>
    </row>
    <row r="40" customFormat="false" ht="14.4" hidden="false" customHeight="false" outlineLevel="0" collapsed="false">
      <c r="A40" s="27" t="n">
        <v>11101003</v>
      </c>
      <c r="B40" s="27" t="s">
        <v>1889</v>
      </c>
      <c r="C40" s="43" t="n">
        <v>32.28</v>
      </c>
      <c r="D40" s="27" t="n">
        <v>0</v>
      </c>
      <c r="E40" s="27" t="n">
        <v>3</v>
      </c>
      <c r="F40" s="27" t="n">
        <v>10.76</v>
      </c>
      <c r="G40" s="27" t="s">
        <v>1875</v>
      </c>
      <c r="H40" s="27" t="s">
        <v>68</v>
      </c>
      <c r="I40" s="27" t="s">
        <v>1876</v>
      </c>
      <c r="J40" s="27" t="s">
        <v>1877</v>
      </c>
      <c r="K40" s="27" t="n">
        <v>507001</v>
      </c>
      <c r="L40" s="27" t="n">
        <v>507</v>
      </c>
      <c r="M40" s="28" t="n">
        <f aca="false">IFERROR(VLOOKUP((OFFSET(hoje12_326_ana9,39,10,1,1)&amp;"."&amp;OFFSET(hoje12_326_ana9,39,11,1,1)),'12.326'!A:D,4,0),"-")</f>
        <v>20335148000194</v>
      </c>
    </row>
    <row r="41" customFormat="false" ht="14.4" hidden="false" customHeight="false" outlineLevel="0" collapsed="false">
      <c r="A41" s="27" t="n">
        <v>11101000</v>
      </c>
      <c r="B41" s="27" t="s">
        <v>1886</v>
      </c>
      <c r="C41" s="43" t="n">
        <v>68.97</v>
      </c>
      <c r="D41" s="27" t="n">
        <v>0</v>
      </c>
      <c r="E41" s="27" t="n">
        <v>3</v>
      </c>
      <c r="F41" s="27" t="n">
        <v>22.99</v>
      </c>
      <c r="G41" s="27" t="s">
        <v>1875</v>
      </c>
      <c r="H41" s="27" t="s">
        <v>68</v>
      </c>
      <c r="I41" s="27" t="s">
        <v>1876</v>
      </c>
      <c r="J41" s="27" t="s">
        <v>1877</v>
      </c>
      <c r="K41" s="27" t="n">
        <v>507002</v>
      </c>
      <c r="L41" s="27" t="n">
        <v>507</v>
      </c>
      <c r="M41" s="28" t="n">
        <f aca="false">IFERROR(VLOOKUP((OFFSET(hoje12_326_ana9,40,10,1,1)&amp;"."&amp;OFFSET(hoje12_326_ana9,40,11,1,1)),'12.326'!A:D,4,0),"-")</f>
        <v>20335148000275</v>
      </c>
    </row>
    <row r="42" customFormat="false" ht="14.4" hidden="false" customHeight="false" outlineLevel="0" collapsed="false">
      <c r="A42" s="27" t="n">
        <v>11100998</v>
      </c>
      <c r="B42" s="27" t="s">
        <v>1887</v>
      </c>
      <c r="C42" s="43" t="n">
        <v>45.03</v>
      </c>
      <c r="D42" s="27" t="n">
        <v>0</v>
      </c>
      <c r="E42" s="27" t="n">
        <v>3</v>
      </c>
      <c r="F42" s="27" t="n">
        <v>15.01</v>
      </c>
      <c r="G42" s="27" t="s">
        <v>1875</v>
      </c>
      <c r="H42" s="27" t="s">
        <v>68</v>
      </c>
      <c r="I42" s="27" t="s">
        <v>1876</v>
      </c>
      <c r="J42" s="27" t="s">
        <v>1877</v>
      </c>
      <c r="K42" s="27" t="n">
        <v>507002</v>
      </c>
      <c r="L42" s="27" t="n">
        <v>507</v>
      </c>
      <c r="M42" s="28" t="n">
        <f aca="false">IFERROR(VLOOKUP((OFFSET(hoje12_326_ana9,41,10,1,1)&amp;"."&amp;OFFSET(hoje12_326_ana9,41,11,1,1)),'12.326'!A:D,4,0),"-")</f>
        <v>20335148000275</v>
      </c>
    </row>
    <row r="43" customFormat="false" ht="14.4" hidden="false" customHeight="false" outlineLevel="0" collapsed="false">
      <c r="A43" s="27" t="n">
        <v>11101004</v>
      </c>
      <c r="B43" s="27" t="s">
        <v>1888</v>
      </c>
      <c r="C43" s="43" t="n">
        <v>32.28</v>
      </c>
      <c r="D43" s="27" t="n">
        <v>0</v>
      </c>
      <c r="E43" s="27" t="n">
        <v>3</v>
      </c>
      <c r="F43" s="27" t="n">
        <v>10.76</v>
      </c>
      <c r="G43" s="27" t="s">
        <v>1875</v>
      </c>
      <c r="H43" s="27" t="s">
        <v>68</v>
      </c>
      <c r="I43" s="27" t="s">
        <v>1876</v>
      </c>
      <c r="J43" s="27" t="s">
        <v>1877</v>
      </c>
      <c r="K43" s="27" t="n">
        <v>507002</v>
      </c>
      <c r="L43" s="27" t="n">
        <v>507</v>
      </c>
      <c r="M43" s="28" t="n">
        <f aca="false">IFERROR(VLOOKUP((OFFSET(hoje12_326_ana9,42,10,1,1)&amp;"."&amp;OFFSET(hoje12_326_ana9,42,11,1,1)),'12.326'!A:D,4,0),"-")</f>
        <v>20335148000275</v>
      </c>
    </row>
    <row r="44" customFormat="false" ht="14.4" hidden="false" customHeight="false" outlineLevel="0" collapsed="false">
      <c r="A44" s="27" t="n">
        <v>11101003</v>
      </c>
      <c r="B44" s="27" t="s">
        <v>1889</v>
      </c>
      <c r="C44" s="43" t="n">
        <v>32.28</v>
      </c>
      <c r="D44" s="27" t="n">
        <v>0</v>
      </c>
      <c r="E44" s="27" t="n">
        <v>3</v>
      </c>
      <c r="F44" s="27" t="n">
        <v>10.76</v>
      </c>
      <c r="G44" s="27" t="s">
        <v>1875</v>
      </c>
      <c r="H44" s="27" t="s">
        <v>68</v>
      </c>
      <c r="I44" s="27" t="s">
        <v>1876</v>
      </c>
      <c r="J44" s="27" t="s">
        <v>1877</v>
      </c>
      <c r="K44" s="27" t="n">
        <v>507002</v>
      </c>
      <c r="L44" s="27" t="n">
        <v>507</v>
      </c>
      <c r="M44" s="28" t="n">
        <f aca="false">IFERROR(VLOOKUP((OFFSET(hoje12_326_ana9,43,10,1,1)&amp;"."&amp;OFFSET(hoje12_326_ana9,43,11,1,1)),'12.326'!A:D,4,0),"-")</f>
        <v>20335148000275</v>
      </c>
    </row>
    <row r="45" customFormat="false" ht="14.4" hidden="false" customHeight="false" outlineLevel="0" collapsed="false">
      <c r="A45" s="27" t="n">
        <v>11101000</v>
      </c>
      <c r="B45" s="27" t="s">
        <v>1886</v>
      </c>
      <c r="C45" s="43" t="n">
        <v>68.97</v>
      </c>
      <c r="D45" s="27" t="n">
        <v>0</v>
      </c>
      <c r="E45" s="27" t="n">
        <v>3</v>
      </c>
      <c r="F45" s="27" t="n">
        <v>22.99</v>
      </c>
      <c r="G45" s="27" t="s">
        <v>1875</v>
      </c>
      <c r="H45" s="27" t="s">
        <v>68</v>
      </c>
      <c r="I45" s="27" t="s">
        <v>1876</v>
      </c>
      <c r="J45" s="27" t="s">
        <v>1877</v>
      </c>
      <c r="K45" s="27" t="n">
        <v>507003</v>
      </c>
      <c r="L45" s="27" t="n">
        <v>507</v>
      </c>
      <c r="M45" s="28" t="n">
        <f aca="false">IFERROR(VLOOKUP((OFFSET(hoje12_326_ana9,44,10,1,1)&amp;"."&amp;OFFSET(hoje12_326_ana9,44,11,1,1)),'12.326'!A:D,4,0),"-")</f>
        <v>4757459000519</v>
      </c>
    </row>
    <row r="46" customFormat="false" ht="14.4" hidden="false" customHeight="false" outlineLevel="0" collapsed="false">
      <c r="A46" s="27" t="n">
        <v>11100998</v>
      </c>
      <c r="B46" s="27" t="s">
        <v>1887</v>
      </c>
      <c r="C46" s="43" t="n">
        <v>45.03</v>
      </c>
      <c r="D46" s="27" t="n">
        <v>0</v>
      </c>
      <c r="E46" s="27" t="n">
        <v>3</v>
      </c>
      <c r="F46" s="27" t="n">
        <v>15.01</v>
      </c>
      <c r="G46" s="27" t="s">
        <v>1875</v>
      </c>
      <c r="H46" s="27" t="s">
        <v>68</v>
      </c>
      <c r="I46" s="27" t="s">
        <v>1876</v>
      </c>
      <c r="J46" s="27" t="s">
        <v>1877</v>
      </c>
      <c r="K46" s="27" t="n">
        <v>507003</v>
      </c>
      <c r="L46" s="27" t="n">
        <v>507</v>
      </c>
      <c r="M46" s="28" t="n">
        <f aca="false">IFERROR(VLOOKUP((OFFSET(hoje12_326_ana9,45,10,1,1)&amp;"."&amp;OFFSET(hoje12_326_ana9,45,11,1,1)),'12.326'!A:D,4,0),"-")</f>
        <v>4757459000519</v>
      </c>
    </row>
    <row r="47" customFormat="false" ht="14.4" hidden="false" customHeight="false" outlineLevel="0" collapsed="false">
      <c r="A47" s="27" t="n">
        <v>11101004</v>
      </c>
      <c r="B47" s="27" t="s">
        <v>1888</v>
      </c>
      <c r="C47" s="43" t="n">
        <v>32.28</v>
      </c>
      <c r="D47" s="27" t="n">
        <v>0</v>
      </c>
      <c r="E47" s="27" t="n">
        <v>3</v>
      </c>
      <c r="F47" s="27" t="n">
        <v>10.76</v>
      </c>
      <c r="G47" s="27" t="s">
        <v>1875</v>
      </c>
      <c r="H47" s="27" t="s">
        <v>68</v>
      </c>
      <c r="I47" s="27" t="s">
        <v>1876</v>
      </c>
      <c r="J47" s="27" t="s">
        <v>1877</v>
      </c>
      <c r="K47" s="27" t="n">
        <v>507003</v>
      </c>
      <c r="L47" s="27" t="n">
        <v>507</v>
      </c>
      <c r="M47" s="28" t="n">
        <f aca="false">IFERROR(VLOOKUP((OFFSET(hoje12_326_ana9,46,10,1,1)&amp;"."&amp;OFFSET(hoje12_326_ana9,46,11,1,1)),'12.326'!A:D,4,0),"-")</f>
        <v>4757459000519</v>
      </c>
    </row>
    <row r="48" customFormat="false" ht="14.4" hidden="false" customHeight="false" outlineLevel="0" collapsed="false">
      <c r="A48" s="27" t="n">
        <v>11101003</v>
      </c>
      <c r="B48" s="27" t="s">
        <v>1889</v>
      </c>
      <c r="C48" s="43" t="n">
        <v>32.28</v>
      </c>
      <c r="D48" s="27" t="n">
        <v>0</v>
      </c>
      <c r="E48" s="27" t="n">
        <v>3</v>
      </c>
      <c r="F48" s="27" t="n">
        <v>10.76</v>
      </c>
      <c r="G48" s="27" t="s">
        <v>1875</v>
      </c>
      <c r="H48" s="27" t="s">
        <v>68</v>
      </c>
      <c r="I48" s="27" t="s">
        <v>1876</v>
      </c>
      <c r="J48" s="27" t="s">
        <v>1877</v>
      </c>
      <c r="K48" s="27" t="n">
        <v>507003</v>
      </c>
      <c r="L48" s="27" t="n">
        <v>507</v>
      </c>
      <c r="M48" s="28" t="n">
        <f aca="false">IFERROR(VLOOKUP((OFFSET(hoje12_326_ana9,47,10,1,1)&amp;"."&amp;OFFSET(hoje12_326_ana9,47,11,1,1)),'12.326'!A:D,4,0),"-")</f>
        <v>4757459000519</v>
      </c>
    </row>
    <row r="49" customFormat="false" ht="14.4" hidden="false" customHeight="false" outlineLevel="0" collapsed="false">
      <c r="A49" s="27" t="n">
        <v>11100988</v>
      </c>
      <c r="B49" s="27" t="s">
        <v>1894</v>
      </c>
      <c r="C49" s="43" t="n">
        <v>37.26</v>
      </c>
      <c r="D49" s="27" t="n">
        <v>4.14</v>
      </c>
      <c r="E49" s="27" t="n">
        <v>6</v>
      </c>
      <c r="F49" s="27" t="n">
        <v>6.9</v>
      </c>
      <c r="G49" s="27" t="s">
        <v>1875</v>
      </c>
      <c r="H49" s="27" t="s">
        <v>1895</v>
      </c>
      <c r="I49" s="27" t="s">
        <v>1876</v>
      </c>
      <c r="J49" s="27" t="s">
        <v>1896</v>
      </c>
      <c r="K49" s="27" t="n">
        <v>1240</v>
      </c>
      <c r="L49" s="27" t="n">
        <v>702</v>
      </c>
      <c r="M49" s="28" t="n">
        <f aca="false">IFERROR(VLOOKUP((OFFSET(hoje12_326_ana9,48,10,1,1)&amp;"."&amp;OFFSET(hoje12_326_ana9,48,11,1,1)),'12.326'!A:D,4,0),"-")</f>
        <v>35831943000140</v>
      </c>
    </row>
    <row r="50" customFormat="false" ht="14.4" hidden="false" customHeight="false" outlineLevel="0" collapsed="false">
      <c r="A50" s="27" t="n">
        <v>11100995</v>
      </c>
      <c r="B50" s="27" t="s">
        <v>1897</v>
      </c>
      <c r="C50" s="43" t="n">
        <v>89.04</v>
      </c>
      <c r="D50" s="27" t="n">
        <v>0</v>
      </c>
      <c r="E50" s="27" t="n">
        <v>6</v>
      </c>
      <c r="F50" s="27" t="n">
        <v>14.84</v>
      </c>
      <c r="G50" s="27" t="s">
        <v>1875</v>
      </c>
      <c r="H50" s="27" t="s">
        <v>68</v>
      </c>
      <c r="I50" s="27" t="s">
        <v>1876</v>
      </c>
      <c r="J50" s="27" t="s">
        <v>1877</v>
      </c>
      <c r="K50" s="27" t="n">
        <v>1240</v>
      </c>
      <c r="L50" s="27" t="n">
        <v>702</v>
      </c>
      <c r="M50" s="28" t="n">
        <f aca="false">IFERROR(VLOOKUP((OFFSET(hoje12_326_ana9,49,10,1,1)&amp;"."&amp;OFFSET(hoje12_326_ana9,49,11,1,1)),'12.326'!A:D,4,0),"-")</f>
        <v>35831943000140</v>
      </c>
    </row>
    <row r="51" customFormat="false" ht="14.4" hidden="false" customHeight="false" outlineLevel="0" collapsed="false">
      <c r="A51" s="27" t="n">
        <v>11100998</v>
      </c>
      <c r="B51" s="27" t="s">
        <v>1887</v>
      </c>
      <c r="C51" s="43" t="n">
        <v>180.12</v>
      </c>
      <c r="D51" s="27" t="n">
        <v>0</v>
      </c>
      <c r="E51" s="27" t="n">
        <v>12</v>
      </c>
      <c r="F51" s="27" t="n">
        <v>15.01</v>
      </c>
      <c r="G51" s="27" t="s">
        <v>1875</v>
      </c>
      <c r="H51" s="27" t="s">
        <v>68</v>
      </c>
      <c r="I51" s="27" t="s">
        <v>1876</v>
      </c>
      <c r="J51" s="27" t="s">
        <v>1877</v>
      </c>
      <c r="K51" s="27" t="n">
        <v>1240</v>
      </c>
      <c r="L51" s="27" t="n">
        <v>702</v>
      </c>
      <c r="M51" s="28" t="n">
        <f aca="false">IFERROR(VLOOKUP((OFFSET(hoje12_326_ana9,50,10,1,1)&amp;"."&amp;OFFSET(hoje12_326_ana9,50,11,1,1)),'12.326'!A:D,4,0),"-")</f>
        <v>35831943000140</v>
      </c>
    </row>
    <row r="52" customFormat="false" ht="14.4" hidden="false" customHeight="false" outlineLevel="0" collapsed="false">
      <c r="A52" s="27" t="n">
        <v>11100987</v>
      </c>
      <c r="B52" s="27" t="s">
        <v>1890</v>
      </c>
      <c r="C52" s="43" t="n">
        <v>250.8</v>
      </c>
      <c r="D52" s="27" t="n">
        <v>0</v>
      </c>
      <c r="E52" s="27" t="n">
        <v>24</v>
      </c>
      <c r="F52" s="27" t="n">
        <v>10.45</v>
      </c>
      <c r="G52" s="27" t="s">
        <v>1875</v>
      </c>
      <c r="H52" s="27" t="s">
        <v>68</v>
      </c>
      <c r="I52" s="27" t="s">
        <v>1876</v>
      </c>
      <c r="J52" s="27" t="s">
        <v>1877</v>
      </c>
      <c r="K52" s="27" t="n">
        <v>1240</v>
      </c>
      <c r="L52" s="27" t="n">
        <v>702</v>
      </c>
      <c r="M52" s="28" t="n">
        <f aca="false">IFERROR(VLOOKUP((OFFSET(hoje12_326_ana9,51,10,1,1)&amp;"."&amp;OFFSET(hoje12_326_ana9,51,11,1,1)),'12.326'!A:D,4,0),"-")</f>
        <v>35831943000140</v>
      </c>
    </row>
    <row r="53" customFormat="false" ht="14.4" hidden="false" customHeight="false" outlineLevel="0" collapsed="false">
      <c r="A53" s="27" t="n">
        <v>11100993</v>
      </c>
      <c r="B53" s="27" t="s">
        <v>1898</v>
      </c>
      <c r="C53" s="43" t="n">
        <v>22.1</v>
      </c>
      <c r="D53" s="27" t="n">
        <v>3.9</v>
      </c>
      <c r="E53" s="27" t="n">
        <v>4</v>
      </c>
      <c r="F53" s="27" t="n">
        <v>6.5</v>
      </c>
      <c r="G53" s="27" t="s">
        <v>1875</v>
      </c>
      <c r="H53" s="27" t="s">
        <v>1892</v>
      </c>
      <c r="I53" s="27" t="s">
        <v>1876</v>
      </c>
      <c r="J53" s="27" t="s">
        <v>1899</v>
      </c>
      <c r="K53" s="27" t="n">
        <v>1240</v>
      </c>
      <c r="L53" s="27" t="n">
        <v>702</v>
      </c>
      <c r="M53" s="28" t="n">
        <f aca="false">IFERROR(VLOOKUP((OFFSET(hoje12_326_ana9,52,10,1,1)&amp;"."&amp;OFFSET(hoje12_326_ana9,52,11,1,1)),'12.326'!A:D,4,0),"-")</f>
        <v>35831943000140</v>
      </c>
    </row>
    <row r="54" customFormat="false" ht="14.4" hidden="false" customHeight="false" outlineLevel="0" collapsed="false">
      <c r="A54" s="27" t="n">
        <v>11100990</v>
      </c>
      <c r="B54" s="27" t="s">
        <v>1900</v>
      </c>
      <c r="C54" s="43" t="n">
        <v>22.1</v>
      </c>
      <c r="D54" s="27" t="n">
        <v>3.9</v>
      </c>
      <c r="E54" s="27" t="n">
        <v>4</v>
      </c>
      <c r="F54" s="27" t="n">
        <v>6.5</v>
      </c>
      <c r="G54" s="27" t="s">
        <v>1875</v>
      </c>
      <c r="H54" s="27" t="s">
        <v>1892</v>
      </c>
      <c r="I54" s="27" t="s">
        <v>1876</v>
      </c>
      <c r="J54" s="27" t="s">
        <v>1899</v>
      </c>
      <c r="K54" s="27" t="n">
        <v>1240</v>
      </c>
      <c r="L54" s="27" t="n">
        <v>702</v>
      </c>
      <c r="M54" s="28" t="n">
        <f aca="false">IFERROR(VLOOKUP((OFFSET(hoje12_326_ana9,53,10,1,1)&amp;"."&amp;OFFSET(hoje12_326_ana9,53,11,1,1)),'12.326'!A:D,4,0),"-")</f>
        <v>35831943000140</v>
      </c>
    </row>
    <row r="55" customFormat="false" ht="14.4" hidden="false" customHeight="false" outlineLevel="0" collapsed="false">
      <c r="A55" s="27" t="n">
        <v>11101003</v>
      </c>
      <c r="B55" s="27" t="s">
        <v>1889</v>
      </c>
      <c r="C55" s="43" t="n">
        <v>54.88</v>
      </c>
      <c r="D55" s="27" t="n">
        <v>9.68</v>
      </c>
      <c r="E55" s="27" t="n">
        <v>6</v>
      </c>
      <c r="F55" s="27" t="n">
        <v>10.76</v>
      </c>
      <c r="G55" s="27" t="s">
        <v>1875</v>
      </c>
      <c r="H55" s="27" t="s">
        <v>1892</v>
      </c>
      <c r="I55" s="27" t="s">
        <v>1876</v>
      </c>
      <c r="J55" s="27" t="s">
        <v>1901</v>
      </c>
      <c r="K55" s="27" t="n">
        <v>1240</v>
      </c>
      <c r="L55" s="27" t="n">
        <v>702</v>
      </c>
      <c r="M55" s="28" t="n">
        <f aca="false">IFERROR(VLOOKUP((OFFSET(hoje12_326_ana9,54,10,1,1)&amp;"."&amp;OFFSET(hoje12_326_ana9,54,11,1,1)),'12.326'!A:D,4,0),"-")</f>
        <v>35831943000140</v>
      </c>
    </row>
    <row r="56" customFormat="false" ht="14.4" hidden="false" customHeight="false" outlineLevel="0" collapsed="false">
      <c r="A56" s="27" t="n">
        <v>11101004</v>
      </c>
      <c r="B56" s="27" t="s">
        <v>1888</v>
      </c>
      <c r="C56" s="43" t="n">
        <v>54.88</v>
      </c>
      <c r="D56" s="27" t="n">
        <v>9.68</v>
      </c>
      <c r="E56" s="27" t="n">
        <v>6</v>
      </c>
      <c r="F56" s="27" t="n">
        <v>10.76</v>
      </c>
      <c r="G56" s="27" t="s">
        <v>1875</v>
      </c>
      <c r="H56" s="27" t="s">
        <v>1892</v>
      </c>
      <c r="I56" s="27" t="s">
        <v>1876</v>
      </c>
      <c r="J56" s="27" t="s">
        <v>1901</v>
      </c>
      <c r="K56" s="27" t="n">
        <v>1240</v>
      </c>
      <c r="L56" s="27" t="n">
        <v>702</v>
      </c>
      <c r="M56" s="28" t="n">
        <f aca="false">IFERROR(VLOOKUP((OFFSET(hoje12_326_ana9,55,10,1,1)&amp;"."&amp;OFFSET(hoje12_326_ana9,55,11,1,1)),'12.326'!A:D,4,0),"-")</f>
        <v>35831943000140</v>
      </c>
    </row>
    <row r="57" customFormat="false" ht="14.4" hidden="false" customHeight="false" outlineLevel="0" collapsed="false">
      <c r="A57" s="27" t="n">
        <v>11100986</v>
      </c>
      <c r="B57" s="27" t="s">
        <v>1902</v>
      </c>
      <c r="C57" s="43" t="n">
        <v>44.01</v>
      </c>
      <c r="D57" s="27" t="n">
        <v>7.77</v>
      </c>
      <c r="E57" s="27" t="n">
        <v>3</v>
      </c>
      <c r="F57" s="27" t="n">
        <v>17.26</v>
      </c>
      <c r="G57" s="27" t="s">
        <v>1875</v>
      </c>
      <c r="H57" s="27" t="s">
        <v>1892</v>
      </c>
      <c r="I57" s="27" t="s">
        <v>1876</v>
      </c>
      <c r="J57" s="27" t="s">
        <v>1903</v>
      </c>
      <c r="K57" s="27" t="n">
        <v>1240</v>
      </c>
      <c r="L57" s="27" t="n">
        <v>702</v>
      </c>
      <c r="M57" s="28" t="n">
        <f aca="false">IFERROR(VLOOKUP((OFFSET(hoje12_326_ana9,56,10,1,1)&amp;"."&amp;OFFSET(hoje12_326_ana9,56,11,1,1)),'12.326'!A:D,4,0),"-")</f>
        <v>35831943000140</v>
      </c>
    </row>
    <row r="58" customFormat="false" ht="14.4" hidden="false" customHeight="false" outlineLevel="0" collapsed="false">
      <c r="A58" s="27" t="n">
        <v>11100989</v>
      </c>
      <c r="B58" s="27" t="s">
        <v>1904</v>
      </c>
      <c r="C58" s="43" t="n">
        <v>35.53</v>
      </c>
      <c r="D58" s="27" t="n">
        <v>3.95</v>
      </c>
      <c r="E58" s="27" t="n">
        <v>6</v>
      </c>
      <c r="F58" s="27" t="n">
        <v>6.58</v>
      </c>
      <c r="G58" s="27" t="s">
        <v>1875</v>
      </c>
      <c r="H58" s="27" t="s">
        <v>1895</v>
      </c>
      <c r="I58" s="27" t="s">
        <v>1876</v>
      </c>
      <c r="J58" s="27" t="s">
        <v>1905</v>
      </c>
      <c r="K58" s="27" t="n">
        <v>1240</v>
      </c>
      <c r="L58" s="27" t="n">
        <v>702</v>
      </c>
      <c r="M58" s="28" t="n">
        <f aca="false">IFERROR(VLOOKUP((OFFSET(hoje12_326_ana9,57,10,1,1)&amp;"."&amp;OFFSET(hoje12_326_ana9,57,11,1,1)),'12.326'!A:D,4,0),"-")</f>
        <v>35831943000140</v>
      </c>
    </row>
    <row r="59" customFormat="false" ht="14.4" hidden="false" customHeight="false" outlineLevel="0" collapsed="false">
      <c r="A59" s="27" t="n">
        <v>11100988</v>
      </c>
      <c r="B59" s="27" t="s">
        <v>1894</v>
      </c>
      <c r="C59" s="43" t="n">
        <v>37.26</v>
      </c>
      <c r="D59" s="27" t="n">
        <v>4.14</v>
      </c>
      <c r="E59" s="27" t="n">
        <v>6</v>
      </c>
      <c r="F59" s="27" t="n">
        <v>6.9</v>
      </c>
      <c r="G59" s="27" t="s">
        <v>1875</v>
      </c>
      <c r="H59" s="27" t="s">
        <v>1895</v>
      </c>
      <c r="I59" s="27" t="s">
        <v>1876</v>
      </c>
      <c r="J59" s="27" t="s">
        <v>1896</v>
      </c>
      <c r="K59" s="27" t="n">
        <v>1241</v>
      </c>
      <c r="L59" s="27" t="n">
        <v>702</v>
      </c>
      <c r="M59" s="28" t="n">
        <f aca="false">IFERROR(VLOOKUP((OFFSET(hoje12_326_ana9,58,10,1,1)&amp;"."&amp;OFFSET(hoje12_326_ana9,58,11,1,1)),'12.326'!A:D,4,0),"-")</f>
        <v>35831943000302</v>
      </c>
    </row>
    <row r="60" customFormat="false" ht="14.4" hidden="false" customHeight="false" outlineLevel="0" collapsed="false">
      <c r="A60" s="27" t="n">
        <v>11100995</v>
      </c>
      <c r="B60" s="27" t="s">
        <v>1897</v>
      </c>
      <c r="C60" s="43" t="n">
        <v>89.04</v>
      </c>
      <c r="D60" s="27" t="n">
        <v>0</v>
      </c>
      <c r="E60" s="27" t="n">
        <v>6</v>
      </c>
      <c r="F60" s="27" t="n">
        <v>14.84</v>
      </c>
      <c r="G60" s="27" t="s">
        <v>1875</v>
      </c>
      <c r="H60" s="27" t="s">
        <v>68</v>
      </c>
      <c r="I60" s="27" t="s">
        <v>1876</v>
      </c>
      <c r="J60" s="27" t="s">
        <v>1877</v>
      </c>
      <c r="K60" s="27" t="n">
        <v>1241</v>
      </c>
      <c r="L60" s="27" t="n">
        <v>702</v>
      </c>
      <c r="M60" s="28" t="n">
        <f aca="false">IFERROR(VLOOKUP((OFFSET(hoje12_326_ana9,59,10,1,1)&amp;"."&amp;OFFSET(hoje12_326_ana9,59,11,1,1)),'12.326'!A:D,4,0),"-")</f>
        <v>35831943000302</v>
      </c>
    </row>
    <row r="61" customFormat="false" ht="14.4" hidden="false" customHeight="false" outlineLevel="0" collapsed="false">
      <c r="A61" s="27" t="n">
        <v>11100998</v>
      </c>
      <c r="B61" s="27" t="s">
        <v>1887</v>
      </c>
      <c r="C61" s="43" t="n">
        <v>180.12</v>
      </c>
      <c r="D61" s="27" t="n">
        <v>0</v>
      </c>
      <c r="E61" s="27" t="n">
        <v>12</v>
      </c>
      <c r="F61" s="27" t="n">
        <v>15.01</v>
      </c>
      <c r="G61" s="27" t="s">
        <v>1875</v>
      </c>
      <c r="H61" s="27" t="s">
        <v>68</v>
      </c>
      <c r="I61" s="27" t="s">
        <v>1876</v>
      </c>
      <c r="J61" s="27" t="s">
        <v>1877</v>
      </c>
      <c r="K61" s="27" t="n">
        <v>1241</v>
      </c>
      <c r="L61" s="27" t="n">
        <v>702</v>
      </c>
      <c r="M61" s="28" t="n">
        <f aca="false">IFERROR(VLOOKUP((OFFSET(hoje12_326_ana9,60,10,1,1)&amp;"."&amp;OFFSET(hoje12_326_ana9,60,11,1,1)),'12.326'!A:D,4,0),"-")</f>
        <v>35831943000302</v>
      </c>
    </row>
    <row r="62" customFormat="false" ht="14.4" hidden="false" customHeight="false" outlineLevel="0" collapsed="false">
      <c r="A62" s="27" t="n">
        <v>11100987</v>
      </c>
      <c r="B62" s="27" t="s">
        <v>1890</v>
      </c>
      <c r="C62" s="43" t="n">
        <v>250.8</v>
      </c>
      <c r="D62" s="27" t="n">
        <v>0</v>
      </c>
      <c r="E62" s="27" t="n">
        <v>24</v>
      </c>
      <c r="F62" s="27" t="n">
        <v>10.45</v>
      </c>
      <c r="G62" s="27" t="s">
        <v>1875</v>
      </c>
      <c r="H62" s="27" t="s">
        <v>68</v>
      </c>
      <c r="I62" s="27" t="s">
        <v>1876</v>
      </c>
      <c r="J62" s="27" t="s">
        <v>1877</v>
      </c>
      <c r="K62" s="27" t="n">
        <v>1241</v>
      </c>
      <c r="L62" s="27" t="n">
        <v>702</v>
      </c>
      <c r="M62" s="28" t="n">
        <f aca="false">IFERROR(VLOOKUP((OFFSET(hoje12_326_ana9,61,10,1,1)&amp;"."&amp;OFFSET(hoje12_326_ana9,61,11,1,1)),'12.326'!A:D,4,0),"-")</f>
        <v>35831943000302</v>
      </c>
    </row>
    <row r="63" customFormat="false" ht="14.4" hidden="false" customHeight="false" outlineLevel="0" collapsed="false">
      <c r="A63" s="27" t="n">
        <v>11100993</v>
      </c>
      <c r="B63" s="27" t="s">
        <v>1898</v>
      </c>
      <c r="C63" s="43" t="n">
        <v>22.1</v>
      </c>
      <c r="D63" s="27" t="n">
        <v>3.9</v>
      </c>
      <c r="E63" s="27" t="n">
        <v>4</v>
      </c>
      <c r="F63" s="27" t="n">
        <v>6.5</v>
      </c>
      <c r="G63" s="27" t="s">
        <v>1875</v>
      </c>
      <c r="H63" s="27" t="s">
        <v>1892</v>
      </c>
      <c r="I63" s="27" t="s">
        <v>1876</v>
      </c>
      <c r="J63" s="27" t="s">
        <v>1899</v>
      </c>
      <c r="K63" s="27" t="n">
        <v>1241</v>
      </c>
      <c r="L63" s="27" t="n">
        <v>702</v>
      </c>
      <c r="M63" s="28" t="n">
        <f aca="false">IFERROR(VLOOKUP((OFFSET(hoje12_326_ana9,62,10,1,1)&amp;"."&amp;OFFSET(hoje12_326_ana9,62,11,1,1)),'12.326'!A:D,4,0),"-")</f>
        <v>35831943000302</v>
      </c>
    </row>
    <row r="64" customFormat="false" ht="14.4" hidden="false" customHeight="false" outlineLevel="0" collapsed="false">
      <c r="A64" s="27" t="n">
        <v>11100990</v>
      </c>
      <c r="B64" s="27" t="s">
        <v>1900</v>
      </c>
      <c r="C64" s="43" t="n">
        <v>22.1</v>
      </c>
      <c r="D64" s="27" t="n">
        <v>3.9</v>
      </c>
      <c r="E64" s="27" t="n">
        <v>4</v>
      </c>
      <c r="F64" s="27" t="n">
        <v>6.5</v>
      </c>
      <c r="G64" s="27" t="s">
        <v>1875</v>
      </c>
      <c r="H64" s="27" t="s">
        <v>1892</v>
      </c>
      <c r="I64" s="27" t="s">
        <v>1876</v>
      </c>
      <c r="J64" s="27" t="s">
        <v>1899</v>
      </c>
      <c r="K64" s="27" t="n">
        <v>1241</v>
      </c>
      <c r="L64" s="27" t="n">
        <v>702</v>
      </c>
      <c r="M64" s="28" t="n">
        <f aca="false">IFERROR(VLOOKUP((OFFSET(hoje12_326_ana9,63,10,1,1)&amp;"."&amp;OFFSET(hoje12_326_ana9,63,11,1,1)),'12.326'!A:D,4,0),"-")</f>
        <v>35831943000302</v>
      </c>
    </row>
    <row r="65" customFormat="false" ht="14.4" hidden="false" customHeight="false" outlineLevel="0" collapsed="false">
      <c r="A65" s="27" t="n">
        <v>11101003</v>
      </c>
      <c r="B65" s="27" t="s">
        <v>1889</v>
      </c>
      <c r="C65" s="43" t="n">
        <v>54.88</v>
      </c>
      <c r="D65" s="27" t="n">
        <v>9.68</v>
      </c>
      <c r="E65" s="27" t="n">
        <v>6</v>
      </c>
      <c r="F65" s="27" t="n">
        <v>10.76</v>
      </c>
      <c r="G65" s="27" t="s">
        <v>1875</v>
      </c>
      <c r="H65" s="27" t="s">
        <v>1892</v>
      </c>
      <c r="I65" s="27" t="s">
        <v>1876</v>
      </c>
      <c r="J65" s="27" t="s">
        <v>1901</v>
      </c>
      <c r="K65" s="27" t="n">
        <v>1241</v>
      </c>
      <c r="L65" s="27" t="n">
        <v>702</v>
      </c>
      <c r="M65" s="28" t="n">
        <f aca="false">IFERROR(VLOOKUP((OFFSET(hoje12_326_ana9,64,10,1,1)&amp;"."&amp;OFFSET(hoje12_326_ana9,64,11,1,1)),'12.326'!A:D,4,0),"-")</f>
        <v>35831943000302</v>
      </c>
    </row>
    <row r="66" customFormat="false" ht="14.4" hidden="false" customHeight="false" outlineLevel="0" collapsed="false">
      <c r="A66" s="27" t="n">
        <v>11101004</v>
      </c>
      <c r="B66" s="27" t="s">
        <v>1888</v>
      </c>
      <c r="C66" s="43" t="n">
        <v>54.88</v>
      </c>
      <c r="D66" s="27" t="n">
        <v>9.68</v>
      </c>
      <c r="E66" s="27" t="n">
        <v>6</v>
      </c>
      <c r="F66" s="27" t="n">
        <v>10.76</v>
      </c>
      <c r="G66" s="27" t="s">
        <v>1875</v>
      </c>
      <c r="H66" s="27" t="s">
        <v>1892</v>
      </c>
      <c r="I66" s="27" t="s">
        <v>1876</v>
      </c>
      <c r="J66" s="27" t="s">
        <v>1901</v>
      </c>
      <c r="K66" s="27" t="n">
        <v>1241</v>
      </c>
      <c r="L66" s="27" t="n">
        <v>702</v>
      </c>
      <c r="M66" s="28" t="n">
        <f aca="false">IFERROR(VLOOKUP((OFFSET(hoje12_326_ana9,65,10,1,1)&amp;"."&amp;OFFSET(hoje12_326_ana9,65,11,1,1)),'12.326'!A:D,4,0),"-")</f>
        <v>35831943000302</v>
      </c>
    </row>
    <row r="67" customFormat="false" ht="14.4" hidden="false" customHeight="false" outlineLevel="0" collapsed="false">
      <c r="A67" s="27" t="n">
        <v>11100986</v>
      </c>
      <c r="B67" s="27" t="s">
        <v>1902</v>
      </c>
      <c r="C67" s="43" t="n">
        <v>44.01</v>
      </c>
      <c r="D67" s="27" t="n">
        <v>7.77</v>
      </c>
      <c r="E67" s="27" t="n">
        <v>3</v>
      </c>
      <c r="F67" s="27" t="n">
        <v>17.26</v>
      </c>
      <c r="G67" s="27" t="s">
        <v>1875</v>
      </c>
      <c r="H67" s="27" t="s">
        <v>1892</v>
      </c>
      <c r="I67" s="27" t="s">
        <v>1876</v>
      </c>
      <c r="J67" s="27" t="s">
        <v>1903</v>
      </c>
      <c r="K67" s="27" t="n">
        <v>1241</v>
      </c>
      <c r="L67" s="27" t="n">
        <v>702</v>
      </c>
      <c r="M67" s="28" t="n">
        <f aca="false">IFERROR(VLOOKUP((OFFSET(hoje12_326_ana9,66,10,1,1)&amp;"."&amp;OFFSET(hoje12_326_ana9,66,11,1,1)),'12.326'!A:D,4,0),"-")</f>
        <v>35831943000302</v>
      </c>
    </row>
    <row r="68" customFormat="false" ht="14.4" hidden="false" customHeight="false" outlineLevel="0" collapsed="false">
      <c r="A68" s="27" t="n">
        <v>11100989</v>
      </c>
      <c r="B68" s="27" t="s">
        <v>1904</v>
      </c>
      <c r="C68" s="43" t="n">
        <v>35.53</v>
      </c>
      <c r="D68" s="27" t="n">
        <v>3.95</v>
      </c>
      <c r="E68" s="27" t="n">
        <v>6</v>
      </c>
      <c r="F68" s="27" t="n">
        <v>6.58</v>
      </c>
      <c r="G68" s="27" t="s">
        <v>1875</v>
      </c>
      <c r="H68" s="27" t="s">
        <v>1895</v>
      </c>
      <c r="I68" s="27" t="s">
        <v>1876</v>
      </c>
      <c r="J68" s="27" t="s">
        <v>1905</v>
      </c>
      <c r="K68" s="27" t="n">
        <v>1241</v>
      </c>
      <c r="L68" s="27" t="n">
        <v>702</v>
      </c>
      <c r="M68" s="28" t="n">
        <f aca="false">IFERROR(VLOOKUP((OFFSET(hoje12_326_ana9,67,10,1,1)&amp;"."&amp;OFFSET(hoje12_326_ana9,67,11,1,1)),'12.326'!A:D,4,0),"-")</f>
        <v>35831943000302</v>
      </c>
    </row>
    <row r="69" customFormat="false" ht="14.4" hidden="false" customHeight="false" outlineLevel="0" collapsed="false">
      <c r="A69" s="27" t="n">
        <v>11100988</v>
      </c>
      <c r="B69" s="27" t="s">
        <v>1894</v>
      </c>
      <c r="C69" s="43" t="n">
        <v>37.26</v>
      </c>
      <c r="D69" s="27" t="n">
        <v>4.14</v>
      </c>
      <c r="E69" s="27" t="n">
        <v>6</v>
      </c>
      <c r="F69" s="27" t="n">
        <v>6.9</v>
      </c>
      <c r="G69" s="27" t="s">
        <v>1875</v>
      </c>
      <c r="H69" s="27" t="s">
        <v>1895</v>
      </c>
      <c r="I69" s="27" t="s">
        <v>1876</v>
      </c>
      <c r="J69" s="27" t="s">
        <v>1896</v>
      </c>
      <c r="K69" s="27" t="n">
        <v>1242</v>
      </c>
      <c r="L69" s="27" t="n">
        <v>702</v>
      </c>
      <c r="M69" s="28" t="n">
        <f aca="false">IFERROR(VLOOKUP((OFFSET(hoje12_326_ana9,68,10,1,1)&amp;"."&amp;OFFSET(hoje12_326_ana9,68,11,1,1)),'12.326'!A:D,4,0),"-")</f>
        <v>35831943000493</v>
      </c>
    </row>
    <row r="70" customFormat="false" ht="14.4" hidden="false" customHeight="false" outlineLevel="0" collapsed="false">
      <c r="A70" s="27" t="n">
        <v>11100995</v>
      </c>
      <c r="B70" s="27" t="s">
        <v>1897</v>
      </c>
      <c r="C70" s="43" t="n">
        <v>89.04</v>
      </c>
      <c r="D70" s="27" t="n">
        <v>0</v>
      </c>
      <c r="E70" s="27" t="n">
        <v>6</v>
      </c>
      <c r="F70" s="27" t="n">
        <v>14.84</v>
      </c>
      <c r="G70" s="27" t="s">
        <v>1875</v>
      </c>
      <c r="H70" s="27" t="s">
        <v>68</v>
      </c>
      <c r="I70" s="27" t="s">
        <v>1876</v>
      </c>
      <c r="J70" s="27" t="s">
        <v>1877</v>
      </c>
      <c r="K70" s="27" t="n">
        <v>1242</v>
      </c>
      <c r="L70" s="27" t="n">
        <v>702</v>
      </c>
      <c r="M70" s="28" t="n">
        <f aca="false">IFERROR(VLOOKUP((OFFSET(hoje12_326_ana9,69,10,1,1)&amp;"."&amp;OFFSET(hoje12_326_ana9,69,11,1,1)),'12.326'!A:D,4,0),"-")</f>
        <v>35831943000493</v>
      </c>
    </row>
    <row r="71" customFormat="false" ht="14.4" hidden="false" customHeight="false" outlineLevel="0" collapsed="false">
      <c r="A71" s="27" t="n">
        <v>11100998</v>
      </c>
      <c r="B71" s="27" t="s">
        <v>1887</v>
      </c>
      <c r="C71" s="43" t="n">
        <v>180.12</v>
      </c>
      <c r="D71" s="27" t="n">
        <v>0</v>
      </c>
      <c r="E71" s="27" t="n">
        <v>12</v>
      </c>
      <c r="F71" s="27" t="n">
        <v>15.01</v>
      </c>
      <c r="G71" s="27" t="s">
        <v>1875</v>
      </c>
      <c r="H71" s="27" t="s">
        <v>68</v>
      </c>
      <c r="I71" s="27" t="s">
        <v>1876</v>
      </c>
      <c r="J71" s="27" t="s">
        <v>1877</v>
      </c>
      <c r="K71" s="27" t="n">
        <v>1242</v>
      </c>
      <c r="L71" s="27" t="n">
        <v>702</v>
      </c>
      <c r="M71" s="28" t="n">
        <f aca="false">IFERROR(VLOOKUP((OFFSET(hoje12_326_ana9,70,10,1,1)&amp;"."&amp;OFFSET(hoje12_326_ana9,70,11,1,1)),'12.326'!A:D,4,0),"-")</f>
        <v>35831943000493</v>
      </c>
    </row>
    <row r="72" customFormat="false" ht="14.4" hidden="false" customHeight="false" outlineLevel="0" collapsed="false">
      <c r="A72" s="27" t="n">
        <v>11100987</v>
      </c>
      <c r="B72" s="27" t="s">
        <v>1890</v>
      </c>
      <c r="C72" s="43" t="n">
        <v>250.8</v>
      </c>
      <c r="D72" s="27" t="n">
        <v>0</v>
      </c>
      <c r="E72" s="27" t="n">
        <v>24</v>
      </c>
      <c r="F72" s="27" t="n">
        <v>10.45</v>
      </c>
      <c r="G72" s="27" t="s">
        <v>1875</v>
      </c>
      <c r="H72" s="27" t="s">
        <v>68</v>
      </c>
      <c r="I72" s="27" t="s">
        <v>1876</v>
      </c>
      <c r="J72" s="27" t="s">
        <v>1877</v>
      </c>
      <c r="K72" s="27" t="n">
        <v>1242</v>
      </c>
      <c r="L72" s="27" t="n">
        <v>702</v>
      </c>
      <c r="M72" s="28" t="n">
        <f aca="false">IFERROR(VLOOKUP((OFFSET(hoje12_326_ana9,71,10,1,1)&amp;"."&amp;OFFSET(hoje12_326_ana9,71,11,1,1)),'12.326'!A:D,4,0),"-")</f>
        <v>35831943000493</v>
      </c>
    </row>
    <row r="73" customFormat="false" ht="14.4" hidden="false" customHeight="false" outlineLevel="0" collapsed="false">
      <c r="A73" s="27" t="n">
        <v>11100993</v>
      </c>
      <c r="B73" s="27" t="s">
        <v>1898</v>
      </c>
      <c r="C73" s="43" t="n">
        <v>22.1</v>
      </c>
      <c r="D73" s="27" t="n">
        <v>3.9</v>
      </c>
      <c r="E73" s="27" t="n">
        <v>4</v>
      </c>
      <c r="F73" s="27" t="n">
        <v>6.5</v>
      </c>
      <c r="G73" s="27" t="s">
        <v>1875</v>
      </c>
      <c r="H73" s="27" t="s">
        <v>1892</v>
      </c>
      <c r="I73" s="27" t="s">
        <v>1876</v>
      </c>
      <c r="J73" s="27" t="s">
        <v>1899</v>
      </c>
      <c r="K73" s="27" t="n">
        <v>1242</v>
      </c>
      <c r="L73" s="27" t="n">
        <v>702</v>
      </c>
      <c r="M73" s="28" t="n">
        <f aca="false">IFERROR(VLOOKUP((OFFSET(hoje12_326_ana9,72,10,1,1)&amp;"."&amp;OFFSET(hoje12_326_ana9,72,11,1,1)),'12.326'!A:D,4,0),"-")</f>
        <v>35831943000493</v>
      </c>
    </row>
    <row r="74" customFormat="false" ht="14.4" hidden="false" customHeight="false" outlineLevel="0" collapsed="false">
      <c r="A74" s="27" t="n">
        <v>11100990</v>
      </c>
      <c r="B74" s="27" t="s">
        <v>1900</v>
      </c>
      <c r="C74" s="43" t="n">
        <v>22.1</v>
      </c>
      <c r="D74" s="27" t="n">
        <v>3.9</v>
      </c>
      <c r="E74" s="27" t="n">
        <v>4</v>
      </c>
      <c r="F74" s="27" t="n">
        <v>6.5</v>
      </c>
      <c r="G74" s="27" t="s">
        <v>1875</v>
      </c>
      <c r="H74" s="27" t="s">
        <v>1892</v>
      </c>
      <c r="I74" s="27" t="s">
        <v>1876</v>
      </c>
      <c r="J74" s="27" t="s">
        <v>1899</v>
      </c>
      <c r="K74" s="27" t="n">
        <v>1242</v>
      </c>
      <c r="L74" s="27" t="n">
        <v>702</v>
      </c>
      <c r="M74" s="28" t="n">
        <f aca="false">IFERROR(VLOOKUP((OFFSET(hoje12_326_ana9,73,10,1,1)&amp;"."&amp;OFFSET(hoje12_326_ana9,73,11,1,1)),'12.326'!A:D,4,0),"-")</f>
        <v>35831943000493</v>
      </c>
    </row>
    <row r="75" customFormat="false" ht="14.4" hidden="false" customHeight="false" outlineLevel="0" collapsed="false">
      <c r="A75" s="27" t="n">
        <v>11101003</v>
      </c>
      <c r="B75" s="27" t="s">
        <v>1889</v>
      </c>
      <c r="C75" s="43" t="n">
        <v>54.88</v>
      </c>
      <c r="D75" s="27" t="n">
        <v>9.68</v>
      </c>
      <c r="E75" s="27" t="n">
        <v>6</v>
      </c>
      <c r="F75" s="27" t="n">
        <v>10.76</v>
      </c>
      <c r="G75" s="27" t="s">
        <v>1875</v>
      </c>
      <c r="H75" s="27" t="s">
        <v>1892</v>
      </c>
      <c r="I75" s="27" t="s">
        <v>1876</v>
      </c>
      <c r="J75" s="27" t="s">
        <v>1901</v>
      </c>
      <c r="K75" s="27" t="n">
        <v>1242</v>
      </c>
      <c r="L75" s="27" t="n">
        <v>702</v>
      </c>
      <c r="M75" s="28" t="n">
        <f aca="false">IFERROR(VLOOKUP((OFFSET(hoje12_326_ana9,74,10,1,1)&amp;"."&amp;OFFSET(hoje12_326_ana9,74,11,1,1)),'12.326'!A:D,4,0),"-")</f>
        <v>35831943000493</v>
      </c>
    </row>
    <row r="76" customFormat="false" ht="14.4" hidden="false" customHeight="false" outlineLevel="0" collapsed="false">
      <c r="A76" s="27" t="n">
        <v>11101004</v>
      </c>
      <c r="B76" s="27" t="s">
        <v>1888</v>
      </c>
      <c r="C76" s="43" t="n">
        <v>54.88</v>
      </c>
      <c r="D76" s="27" t="n">
        <v>9.68</v>
      </c>
      <c r="E76" s="27" t="n">
        <v>6</v>
      </c>
      <c r="F76" s="27" t="n">
        <v>10.76</v>
      </c>
      <c r="G76" s="27" t="s">
        <v>1875</v>
      </c>
      <c r="H76" s="27" t="s">
        <v>1892</v>
      </c>
      <c r="I76" s="27" t="s">
        <v>1876</v>
      </c>
      <c r="J76" s="27" t="s">
        <v>1901</v>
      </c>
      <c r="K76" s="27" t="n">
        <v>1242</v>
      </c>
      <c r="L76" s="27" t="n">
        <v>702</v>
      </c>
      <c r="M76" s="28" t="n">
        <f aca="false">IFERROR(VLOOKUP((OFFSET(hoje12_326_ana9,75,10,1,1)&amp;"."&amp;OFFSET(hoje12_326_ana9,75,11,1,1)),'12.326'!A:D,4,0),"-")</f>
        <v>35831943000493</v>
      </c>
    </row>
    <row r="77" customFormat="false" ht="14.4" hidden="false" customHeight="false" outlineLevel="0" collapsed="false">
      <c r="A77" s="27" t="n">
        <v>11100986</v>
      </c>
      <c r="B77" s="27" t="s">
        <v>1902</v>
      </c>
      <c r="C77" s="43" t="n">
        <v>44.01</v>
      </c>
      <c r="D77" s="27" t="n">
        <v>7.77</v>
      </c>
      <c r="E77" s="27" t="n">
        <v>3</v>
      </c>
      <c r="F77" s="27" t="n">
        <v>17.26</v>
      </c>
      <c r="G77" s="27" t="s">
        <v>1875</v>
      </c>
      <c r="H77" s="27" t="s">
        <v>1892</v>
      </c>
      <c r="I77" s="27" t="s">
        <v>1876</v>
      </c>
      <c r="J77" s="27" t="s">
        <v>1903</v>
      </c>
      <c r="K77" s="27" t="n">
        <v>1242</v>
      </c>
      <c r="L77" s="27" t="n">
        <v>702</v>
      </c>
      <c r="M77" s="28" t="n">
        <f aca="false">IFERROR(VLOOKUP((OFFSET(hoje12_326_ana9,76,10,1,1)&amp;"."&amp;OFFSET(hoje12_326_ana9,76,11,1,1)),'12.326'!A:D,4,0),"-")</f>
        <v>35831943000493</v>
      </c>
    </row>
    <row r="78" customFormat="false" ht="14.4" hidden="false" customHeight="false" outlineLevel="0" collapsed="false">
      <c r="A78" s="27" t="n">
        <v>11100989</v>
      </c>
      <c r="B78" s="27" t="s">
        <v>1904</v>
      </c>
      <c r="C78" s="43" t="n">
        <v>35.53</v>
      </c>
      <c r="D78" s="27" t="n">
        <v>3.95</v>
      </c>
      <c r="E78" s="27" t="n">
        <v>6</v>
      </c>
      <c r="F78" s="27" t="n">
        <v>6.58</v>
      </c>
      <c r="G78" s="27" t="s">
        <v>1875</v>
      </c>
      <c r="H78" s="27" t="s">
        <v>1895</v>
      </c>
      <c r="I78" s="27" t="s">
        <v>1876</v>
      </c>
      <c r="J78" s="27" t="s">
        <v>1905</v>
      </c>
      <c r="K78" s="27" t="n">
        <v>1242</v>
      </c>
      <c r="L78" s="27" t="n">
        <v>702</v>
      </c>
      <c r="M78" s="28" t="n">
        <f aca="false">IFERROR(VLOOKUP((OFFSET(hoje12_326_ana9,77,10,1,1)&amp;"."&amp;OFFSET(hoje12_326_ana9,77,11,1,1)),'12.326'!A:D,4,0),"-")</f>
        <v>35831943000493</v>
      </c>
    </row>
    <row r="79" customFormat="false" ht="14.4" hidden="false" customHeight="false" outlineLevel="0" collapsed="false">
      <c r="A79" s="27" t="n">
        <v>11100988</v>
      </c>
      <c r="B79" s="27" t="s">
        <v>1894</v>
      </c>
      <c r="C79" s="43" t="n">
        <v>37.26</v>
      </c>
      <c r="D79" s="27" t="n">
        <v>4.14</v>
      </c>
      <c r="E79" s="27" t="n">
        <v>6</v>
      </c>
      <c r="F79" s="27" t="n">
        <v>6.9</v>
      </c>
      <c r="G79" s="27" t="s">
        <v>1875</v>
      </c>
      <c r="H79" s="27" t="s">
        <v>1895</v>
      </c>
      <c r="I79" s="27" t="s">
        <v>1876</v>
      </c>
      <c r="J79" s="27" t="s">
        <v>1896</v>
      </c>
      <c r="K79" s="27" t="n">
        <v>1243</v>
      </c>
      <c r="L79" s="27" t="n">
        <v>702</v>
      </c>
      <c r="M79" s="28" t="n">
        <f aca="false">IFERROR(VLOOKUP((OFFSET(hoje12_326_ana9,78,10,1,1)&amp;"."&amp;OFFSET(hoje12_326_ana9,78,11,1,1)),'12.326'!A:D,4,0),"-")</f>
        <v>35831943000574</v>
      </c>
    </row>
    <row r="80" customFormat="false" ht="14.4" hidden="false" customHeight="false" outlineLevel="0" collapsed="false">
      <c r="A80" s="27" t="n">
        <v>11100995</v>
      </c>
      <c r="B80" s="27" t="s">
        <v>1897</v>
      </c>
      <c r="C80" s="43" t="n">
        <v>89.04</v>
      </c>
      <c r="D80" s="27" t="n">
        <v>0</v>
      </c>
      <c r="E80" s="27" t="n">
        <v>6</v>
      </c>
      <c r="F80" s="27" t="n">
        <v>14.84</v>
      </c>
      <c r="G80" s="27" t="s">
        <v>1875</v>
      </c>
      <c r="H80" s="27" t="s">
        <v>68</v>
      </c>
      <c r="I80" s="27" t="s">
        <v>1876</v>
      </c>
      <c r="J80" s="27" t="s">
        <v>1877</v>
      </c>
      <c r="K80" s="27" t="n">
        <v>1243</v>
      </c>
      <c r="L80" s="27" t="n">
        <v>702</v>
      </c>
      <c r="M80" s="28" t="n">
        <f aca="false">IFERROR(VLOOKUP((OFFSET(hoje12_326_ana9,79,10,1,1)&amp;"."&amp;OFFSET(hoje12_326_ana9,79,11,1,1)),'12.326'!A:D,4,0),"-")</f>
        <v>35831943000574</v>
      </c>
    </row>
    <row r="81" customFormat="false" ht="14.4" hidden="false" customHeight="false" outlineLevel="0" collapsed="false">
      <c r="A81" s="27" t="n">
        <v>11100998</v>
      </c>
      <c r="B81" s="27" t="s">
        <v>1887</v>
      </c>
      <c r="C81" s="43" t="n">
        <v>180.12</v>
      </c>
      <c r="D81" s="27" t="n">
        <v>0</v>
      </c>
      <c r="E81" s="27" t="n">
        <v>12</v>
      </c>
      <c r="F81" s="27" t="n">
        <v>15.01</v>
      </c>
      <c r="G81" s="27" t="s">
        <v>1875</v>
      </c>
      <c r="H81" s="27" t="s">
        <v>68</v>
      </c>
      <c r="I81" s="27" t="s">
        <v>1876</v>
      </c>
      <c r="J81" s="27" t="s">
        <v>1877</v>
      </c>
      <c r="K81" s="27" t="n">
        <v>1243</v>
      </c>
      <c r="L81" s="27" t="n">
        <v>702</v>
      </c>
      <c r="M81" s="28" t="n">
        <f aca="false">IFERROR(VLOOKUP((OFFSET(hoje12_326_ana9,80,10,1,1)&amp;"."&amp;OFFSET(hoje12_326_ana9,80,11,1,1)),'12.326'!A:D,4,0),"-")</f>
        <v>35831943000574</v>
      </c>
    </row>
    <row r="82" customFormat="false" ht="14.4" hidden="false" customHeight="false" outlineLevel="0" collapsed="false">
      <c r="A82" s="27" t="n">
        <v>11100987</v>
      </c>
      <c r="B82" s="27" t="s">
        <v>1890</v>
      </c>
      <c r="C82" s="43" t="n">
        <v>250.8</v>
      </c>
      <c r="D82" s="27" t="n">
        <v>0</v>
      </c>
      <c r="E82" s="27" t="n">
        <v>24</v>
      </c>
      <c r="F82" s="27" t="n">
        <v>10.45</v>
      </c>
      <c r="G82" s="27" t="s">
        <v>1875</v>
      </c>
      <c r="H82" s="27" t="s">
        <v>68</v>
      </c>
      <c r="I82" s="27" t="s">
        <v>1876</v>
      </c>
      <c r="J82" s="27" t="s">
        <v>1877</v>
      </c>
      <c r="K82" s="27" t="n">
        <v>1243</v>
      </c>
      <c r="L82" s="27" t="n">
        <v>702</v>
      </c>
      <c r="M82" s="28" t="n">
        <f aca="false">IFERROR(VLOOKUP((OFFSET(hoje12_326_ana9,81,10,1,1)&amp;"."&amp;OFFSET(hoje12_326_ana9,81,11,1,1)),'12.326'!A:D,4,0),"-")</f>
        <v>35831943000574</v>
      </c>
    </row>
    <row r="83" customFormat="false" ht="14.4" hidden="false" customHeight="false" outlineLevel="0" collapsed="false">
      <c r="A83" s="27" t="n">
        <v>11100993</v>
      </c>
      <c r="B83" s="27" t="s">
        <v>1898</v>
      </c>
      <c r="C83" s="43" t="n">
        <v>22.1</v>
      </c>
      <c r="D83" s="27" t="n">
        <v>3.9</v>
      </c>
      <c r="E83" s="27" t="n">
        <v>4</v>
      </c>
      <c r="F83" s="27" t="n">
        <v>6.5</v>
      </c>
      <c r="G83" s="27" t="s">
        <v>1875</v>
      </c>
      <c r="H83" s="27" t="s">
        <v>1892</v>
      </c>
      <c r="I83" s="27" t="s">
        <v>1876</v>
      </c>
      <c r="J83" s="27" t="s">
        <v>1899</v>
      </c>
      <c r="K83" s="27" t="n">
        <v>1243</v>
      </c>
      <c r="L83" s="27" t="n">
        <v>702</v>
      </c>
      <c r="M83" s="28" t="n">
        <f aca="false">IFERROR(VLOOKUP((OFFSET(hoje12_326_ana9,82,10,1,1)&amp;"."&amp;OFFSET(hoje12_326_ana9,82,11,1,1)),'12.326'!A:D,4,0),"-")</f>
        <v>35831943000574</v>
      </c>
    </row>
    <row r="84" customFormat="false" ht="14.4" hidden="false" customHeight="false" outlineLevel="0" collapsed="false">
      <c r="A84" s="27" t="n">
        <v>11100990</v>
      </c>
      <c r="B84" s="27" t="s">
        <v>1900</v>
      </c>
      <c r="C84" s="43" t="n">
        <v>22.1</v>
      </c>
      <c r="D84" s="27" t="n">
        <v>3.9</v>
      </c>
      <c r="E84" s="27" t="n">
        <v>4</v>
      </c>
      <c r="F84" s="27" t="n">
        <v>6.5</v>
      </c>
      <c r="G84" s="27" t="s">
        <v>1875</v>
      </c>
      <c r="H84" s="27" t="s">
        <v>1892</v>
      </c>
      <c r="I84" s="27" t="s">
        <v>1876</v>
      </c>
      <c r="J84" s="27" t="s">
        <v>1899</v>
      </c>
      <c r="K84" s="27" t="n">
        <v>1243</v>
      </c>
      <c r="L84" s="27" t="n">
        <v>702</v>
      </c>
      <c r="M84" s="28" t="n">
        <f aca="false">IFERROR(VLOOKUP((OFFSET(hoje12_326_ana9,83,10,1,1)&amp;"."&amp;OFFSET(hoje12_326_ana9,83,11,1,1)),'12.326'!A:D,4,0),"-")</f>
        <v>35831943000574</v>
      </c>
    </row>
    <row r="85" customFormat="false" ht="14.4" hidden="false" customHeight="false" outlineLevel="0" collapsed="false">
      <c r="A85" s="27" t="n">
        <v>11101003</v>
      </c>
      <c r="B85" s="27" t="s">
        <v>1889</v>
      </c>
      <c r="C85" s="43" t="n">
        <v>54.88</v>
      </c>
      <c r="D85" s="27" t="n">
        <v>9.68</v>
      </c>
      <c r="E85" s="27" t="n">
        <v>6</v>
      </c>
      <c r="F85" s="27" t="n">
        <v>10.76</v>
      </c>
      <c r="G85" s="27" t="s">
        <v>1875</v>
      </c>
      <c r="H85" s="27" t="s">
        <v>1892</v>
      </c>
      <c r="I85" s="27" t="s">
        <v>1876</v>
      </c>
      <c r="J85" s="27" t="s">
        <v>1901</v>
      </c>
      <c r="K85" s="27" t="n">
        <v>1243</v>
      </c>
      <c r="L85" s="27" t="n">
        <v>702</v>
      </c>
      <c r="M85" s="28" t="n">
        <f aca="false">IFERROR(VLOOKUP((OFFSET(hoje12_326_ana9,84,10,1,1)&amp;"."&amp;OFFSET(hoje12_326_ana9,84,11,1,1)),'12.326'!A:D,4,0),"-")</f>
        <v>35831943000574</v>
      </c>
    </row>
    <row r="86" customFormat="false" ht="14.4" hidden="false" customHeight="false" outlineLevel="0" collapsed="false">
      <c r="A86" s="27" t="n">
        <v>11101004</v>
      </c>
      <c r="B86" s="27" t="s">
        <v>1888</v>
      </c>
      <c r="C86" s="43" t="n">
        <v>54.88</v>
      </c>
      <c r="D86" s="27" t="n">
        <v>9.68</v>
      </c>
      <c r="E86" s="27" t="n">
        <v>6</v>
      </c>
      <c r="F86" s="27" t="n">
        <v>10.76</v>
      </c>
      <c r="G86" s="27" t="s">
        <v>1875</v>
      </c>
      <c r="H86" s="27" t="s">
        <v>1892</v>
      </c>
      <c r="I86" s="27" t="s">
        <v>1876</v>
      </c>
      <c r="J86" s="27" t="s">
        <v>1901</v>
      </c>
      <c r="K86" s="27" t="n">
        <v>1243</v>
      </c>
      <c r="L86" s="27" t="n">
        <v>702</v>
      </c>
      <c r="M86" s="28" t="n">
        <f aca="false">IFERROR(VLOOKUP((OFFSET(hoje12_326_ana9,85,10,1,1)&amp;"."&amp;OFFSET(hoje12_326_ana9,85,11,1,1)),'12.326'!A:D,4,0),"-")</f>
        <v>35831943000574</v>
      </c>
    </row>
    <row r="87" customFormat="false" ht="14.4" hidden="false" customHeight="false" outlineLevel="0" collapsed="false">
      <c r="A87" s="27" t="n">
        <v>11100986</v>
      </c>
      <c r="B87" s="27" t="s">
        <v>1902</v>
      </c>
      <c r="C87" s="43" t="n">
        <v>44.01</v>
      </c>
      <c r="D87" s="27" t="n">
        <v>7.77</v>
      </c>
      <c r="E87" s="27" t="n">
        <v>3</v>
      </c>
      <c r="F87" s="27" t="n">
        <v>17.26</v>
      </c>
      <c r="G87" s="27" t="s">
        <v>1875</v>
      </c>
      <c r="H87" s="27" t="s">
        <v>1892</v>
      </c>
      <c r="I87" s="27" t="s">
        <v>1876</v>
      </c>
      <c r="J87" s="27" t="s">
        <v>1903</v>
      </c>
      <c r="K87" s="27" t="n">
        <v>1243</v>
      </c>
      <c r="L87" s="27" t="n">
        <v>702</v>
      </c>
      <c r="M87" s="28" t="n">
        <f aca="false">IFERROR(VLOOKUP((OFFSET(hoje12_326_ana9,86,10,1,1)&amp;"."&amp;OFFSET(hoje12_326_ana9,86,11,1,1)),'12.326'!A:D,4,0),"-")</f>
        <v>35831943000574</v>
      </c>
    </row>
    <row r="88" customFormat="false" ht="14.4" hidden="false" customHeight="false" outlineLevel="0" collapsed="false">
      <c r="A88" s="27" t="n">
        <v>11100989</v>
      </c>
      <c r="B88" s="27" t="s">
        <v>1904</v>
      </c>
      <c r="C88" s="43" t="n">
        <v>35.53</v>
      </c>
      <c r="D88" s="27" t="n">
        <v>3.95</v>
      </c>
      <c r="E88" s="27" t="n">
        <v>6</v>
      </c>
      <c r="F88" s="27" t="n">
        <v>6.58</v>
      </c>
      <c r="G88" s="27" t="s">
        <v>1875</v>
      </c>
      <c r="H88" s="27" t="s">
        <v>1895</v>
      </c>
      <c r="I88" s="27" t="s">
        <v>1876</v>
      </c>
      <c r="J88" s="27" t="s">
        <v>1905</v>
      </c>
      <c r="K88" s="27" t="n">
        <v>1243</v>
      </c>
      <c r="L88" s="27" t="n">
        <v>702</v>
      </c>
      <c r="M88" s="28" t="n">
        <f aca="false">IFERROR(VLOOKUP((OFFSET(hoje12_326_ana9,87,10,1,1)&amp;"."&amp;OFFSET(hoje12_326_ana9,87,11,1,1)),'12.326'!A:D,4,0),"-")</f>
        <v>35831943000574</v>
      </c>
    </row>
    <row r="89" customFormat="false" ht="14.4" hidden="false" customHeight="false" outlineLevel="0" collapsed="false">
      <c r="A89" s="27" t="n">
        <v>11100988</v>
      </c>
      <c r="B89" s="27" t="s">
        <v>1894</v>
      </c>
      <c r="C89" s="43" t="n">
        <v>37.26</v>
      </c>
      <c r="D89" s="27" t="n">
        <v>4.14</v>
      </c>
      <c r="E89" s="27" t="n">
        <v>6</v>
      </c>
      <c r="F89" s="27" t="n">
        <v>6.9</v>
      </c>
      <c r="G89" s="27" t="s">
        <v>1875</v>
      </c>
      <c r="H89" s="27" t="s">
        <v>1895</v>
      </c>
      <c r="I89" s="27" t="s">
        <v>1876</v>
      </c>
      <c r="J89" s="27" t="s">
        <v>1896</v>
      </c>
      <c r="K89" s="27" t="n">
        <v>1244</v>
      </c>
      <c r="L89" s="27" t="n">
        <v>702</v>
      </c>
      <c r="M89" s="28" t="n">
        <f aca="false">IFERROR(VLOOKUP((OFFSET(hoje12_326_ana9,88,10,1,1)&amp;"."&amp;OFFSET(hoje12_326_ana9,88,11,1,1)),'12.326'!A:D,4,0),"-")</f>
        <v>35831943000736</v>
      </c>
    </row>
    <row r="90" customFormat="false" ht="14.4" hidden="false" customHeight="false" outlineLevel="0" collapsed="false">
      <c r="A90" s="27" t="n">
        <v>11100995</v>
      </c>
      <c r="B90" s="27" t="s">
        <v>1897</v>
      </c>
      <c r="C90" s="43" t="n">
        <v>89.04</v>
      </c>
      <c r="D90" s="27" t="n">
        <v>0</v>
      </c>
      <c r="E90" s="27" t="n">
        <v>6</v>
      </c>
      <c r="F90" s="27" t="n">
        <v>14.84</v>
      </c>
      <c r="G90" s="27" t="s">
        <v>1875</v>
      </c>
      <c r="H90" s="27" t="s">
        <v>68</v>
      </c>
      <c r="I90" s="27" t="s">
        <v>1876</v>
      </c>
      <c r="J90" s="27" t="s">
        <v>1877</v>
      </c>
      <c r="K90" s="27" t="n">
        <v>1244</v>
      </c>
      <c r="L90" s="27" t="n">
        <v>702</v>
      </c>
      <c r="M90" s="28" t="n">
        <f aca="false">IFERROR(VLOOKUP((OFFSET(hoje12_326_ana9,89,10,1,1)&amp;"."&amp;OFFSET(hoje12_326_ana9,89,11,1,1)),'12.326'!A:D,4,0),"-")</f>
        <v>35831943000736</v>
      </c>
    </row>
    <row r="91" customFormat="false" ht="14.4" hidden="false" customHeight="false" outlineLevel="0" collapsed="false">
      <c r="A91" s="27" t="n">
        <v>11100998</v>
      </c>
      <c r="B91" s="27" t="s">
        <v>1887</v>
      </c>
      <c r="C91" s="43" t="n">
        <v>180.12</v>
      </c>
      <c r="D91" s="27" t="n">
        <v>0</v>
      </c>
      <c r="E91" s="27" t="n">
        <v>12</v>
      </c>
      <c r="F91" s="27" t="n">
        <v>15.01</v>
      </c>
      <c r="G91" s="27" t="s">
        <v>1875</v>
      </c>
      <c r="H91" s="27" t="s">
        <v>68</v>
      </c>
      <c r="I91" s="27" t="s">
        <v>1876</v>
      </c>
      <c r="J91" s="27" t="s">
        <v>1877</v>
      </c>
      <c r="K91" s="27" t="n">
        <v>1244</v>
      </c>
      <c r="L91" s="27" t="n">
        <v>702</v>
      </c>
      <c r="M91" s="28" t="n">
        <f aca="false">IFERROR(VLOOKUP((OFFSET(hoje12_326_ana9,90,10,1,1)&amp;"."&amp;OFFSET(hoje12_326_ana9,90,11,1,1)),'12.326'!A:D,4,0),"-")</f>
        <v>35831943000736</v>
      </c>
    </row>
    <row r="92" customFormat="false" ht="14.4" hidden="false" customHeight="false" outlineLevel="0" collapsed="false">
      <c r="A92" s="27" t="n">
        <v>11100987</v>
      </c>
      <c r="B92" s="27" t="s">
        <v>1890</v>
      </c>
      <c r="C92" s="43" t="n">
        <v>125.4</v>
      </c>
      <c r="D92" s="27" t="n">
        <v>0</v>
      </c>
      <c r="E92" s="27" t="n">
        <v>12</v>
      </c>
      <c r="F92" s="27" t="n">
        <v>10.45</v>
      </c>
      <c r="G92" s="27" t="s">
        <v>1875</v>
      </c>
      <c r="H92" s="27" t="s">
        <v>68</v>
      </c>
      <c r="I92" s="27" t="s">
        <v>1876</v>
      </c>
      <c r="J92" s="27" t="s">
        <v>1877</v>
      </c>
      <c r="K92" s="27" t="n">
        <v>1244</v>
      </c>
      <c r="L92" s="27" t="n">
        <v>702</v>
      </c>
      <c r="M92" s="28" t="n">
        <f aca="false">IFERROR(VLOOKUP((OFFSET(hoje12_326_ana9,91,10,1,1)&amp;"."&amp;OFFSET(hoje12_326_ana9,91,11,1,1)),'12.326'!A:D,4,0),"-")</f>
        <v>35831943000736</v>
      </c>
    </row>
    <row r="93" customFormat="false" ht="14.4" hidden="false" customHeight="false" outlineLevel="0" collapsed="false">
      <c r="A93" s="27" t="n">
        <v>11100993</v>
      </c>
      <c r="B93" s="27" t="s">
        <v>1898</v>
      </c>
      <c r="C93" s="43" t="n">
        <v>22.1</v>
      </c>
      <c r="D93" s="27" t="n">
        <v>3.9</v>
      </c>
      <c r="E93" s="27" t="n">
        <v>4</v>
      </c>
      <c r="F93" s="27" t="n">
        <v>6.5</v>
      </c>
      <c r="G93" s="27" t="s">
        <v>1875</v>
      </c>
      <c r="H93" s="27" t="s">
        <v>1892</v>
      </c>
      <c r="I93" s="27" t="s">
        <v>1876</v>
      </c>
      <c r="J93" s="27" t="s">
        <v>1899</v>
      </c>
      <c r="K93" s="27" t="n">
        <v>1244</v>
      </c>
      <c r="L93" s="27" t="n">
        <v>702</v>
      </c>
      <c r="M93" s="28" t="n">
        <f aca="false">IFERROR(VLOOKUP((OFFSET(hoje12_326_ana9,92,10,1,1)&amp;"."&amp;OFFSET(hoje12_326_ana9,92,11,1,1)),'12.326'!A:D,4,0),"-")</f>
        <v>35831943000736</v>
      </c>
    </row>
    <row r="94" customFormat="false" ht="14.4" hidden="false" customHeight="false" outlineLevel="0" collapsed="false">
      <c r="A94" s="27" t="n">
        <v>11100990</v>
      </c>
      <c r="B94" s="27" t="s">
        <v>1900</v>
      </c>
      <c r="C94" s="43" t="n">
        <v>22.1</v>
      </c>
      <c r="D94" s="27" t="n">
        <v>3.9</v>
      </c>
      <c r="E94" s="27" t="n">
        <v>4</v>
      </c>
      <c r="F94" s="27" t="n">
        <v>6.5</v>
      </c>
      <c r="G94" s="27" t="s">
        <v>1875</v>
      </c>
      <c r="H94" s="27" t="s">
        <v>1892</v>
      </c>
      <c r="I94" s="27" t="s">
        <v>1876</v>
      </c>
      <c r="J94" s="27" t="s">
        <v>1899</v>
      </c>
      <c r="K94" s="27" t="n">
        <v>1244</v>
      </c>
      <c r="L94" s="27" t="n">
        <v>702</v>
      </c>
      <c r="M94" s="28" t="n">
        <f aca="false">IFERROR(VLOOKUP((OFFSET(hoje12_326_ana9,93,10,1,1)&amp;"."&amp;OFFSET(hoje12_326_ana9,93,11,1,1)),'12.326'!A:D,4,0),"-")</f>
        <v>35831943000736</v>
      </c>
    </row>
    <row r="95" customFormat="false" ht="14.4" hidden="false" customHeight="false" outlineLevel="0" collapsed="false">
      <c r="A95" s="27" t="n">
        <v>11101003</v>
      </c>
      <c r="B95" s="27" t="s">
        <v>1889</v>
      </c>
      <c r="C95" s="43" t="n">
        <v>54.88</v>
      </c>
      <c r="D95" s="27" t="n">
        <v>9.68</v>
      </c>
      <c r="E95" s="27" t="n">
        <v>6</v>
      </c>
      <c r="F95" s="27" t="n">
        <v>10.76</v>
      </c>
      <c r="G95" s="27" t="s">
        <v>1875</v>
      </c>
      <c r="H95" s="27" t="s">
        <v>1892</v>
      </c>
      <c r="I95" s="27" t="s">
        <v>1876</v>
      </c>
      <c r="J95" s="27" t="s">
        <v>1901</v>
      </c>
      <c r="K95" s="27" t="n">
        <v>1244</v>
      </c>
      <c r="L95" s="27" t="n">
        <v>702</v>
      </c>
      <c r="M95" s="28" t="n">
        <f aca="false">IFERROR(VLOOKUP((OFFSET(hoje12_326_ana9,94,10,1,1)&amp;"."&amp;OFFSET(hoje12_326_ana9,94,11,1,1)),'12.326'!A:D,4,0),"-")</f>
        <v>35831943000736</v>
      </c>
    </row>
    <row r="96" customFormat="false" ht="14.4" hidden="false" customHeight="false" outlineLevel="0" collapsed="false">
      <c r="A96" s="27" t="n">
        <v>11101004</v>
      </c>
      <c r="B96" s="27" t="s">
        <v>1888</v>
      </c>
      <c r="C96" s="43" t="n">
        <v>54.88</v>
      </c>
      <c r="D96" s="27" t="n">
        <v>9.68</v>
      </c>
      <c r="E96" s="27" t="n">
        <v>6</v>
      </c>
      <c r="F96" s="27" t="n">
        <v>10.76</v>
      </c>
      <c r="G96" s="27" t="s">
        <v>1875</v>
      </c>
      <c r="H96" s="27" t="s">
        <v>1892</v>
      </c>
      <c r="I96" s="27" t="s">
        <v>1876</v>
      </c>
      <c r="J96" s="27" t="s">
        <v>1901</v>
      </c>
      <c r="K96" s="27" t="n">
        <v>1244</v>
      </c>
      <c r="L96" s="27" t="n">
        <v>702</v>
      </c>
      <c r="M96" s="28" t="n">
        <f aca="false">IFERROR(VLOOKUP((OFFSET(hoje12_326_ana9,95,10,1,1)&amp;"."&amp;OFFSET(hoje12_326_ana9,95,11,1,1)),'12.326'!A:D,4,0),"-")</f>
        <v>35831943000736</v>
      </c>
    </row>
    <row r="97" customFormat="false" ht="14.4" hidden="false" customHeight="false" outlineLevel="0" collapsed="false">
      <c r="A97" s="27" t="n">
        <v>11100986</v>
      </c>
      <c r="B97" s="27" t="s">
        <v>1902</v>
      </c>
      <c r="C97" s="43" t="n">
        <v>44.01</v>
      </c>
      <c r="D97" s="27" t="n">
        <v>7.77</v>
      </c>
      <c r="E97" s="27" t="n">
        <v>3</v>
      </c>
      <c r="F97" s="27" t="n">
        <v>17.26</v>
      </c>
      <c r="G97" s="27" t="s">
        <v>1875</v>
      </c>
      <c r="H97" s="27" t="s">
        <v>1892</v>
      </c>
      <c r="I97" s="27" t="s">
        <v>1876</v>
      </c>
      <c r="J97" s="27" t="s">
        <v>1903</v>
      </c>
      <c r="K97" s="27" t="n">
        <v>1244</v>
      </c>
      <c r="L97" s="27" t="n">
        <v>702</v>
      </c>
      <c r="M97" s="28" t="n">
        <f aca="false">IFERROR(VLOOKUP((OFFSET(hoje12_326_ana9,96,10,1,1)&amp;"."&amp;OFFSET(hoje12_326_ana9,96,11,1,1)),'12.326'!A:D,4,0),"-")</f>
        <v>35831943000736</v>
      </c>
    </row>
    <row r="98" customFormat="false" ht="14.4" hidden="false" customHeight="false" outlineLevel="0" collapsed="false">
      <c r="A98" s="27" t="n">
        <v>11100989</v>
      </c>
      <c r="B98" s="27" t="s">
        <v>1904</v>
      </c>
      <c r="C98" s="43" t="n">
        <v>35.53</v>
      </c>
      <c r="D98" s="27" t="n">
        <v>3.95</v>
      </c>
      <c r="E98" s="27" t="n">
        <v>6</v>
      </c>
      <c r="F98" s="27" t="n">
        <v>6.58</v>
      </c>
      <c r="G98" s="27" t="s">
        <v>1875</v>
      </c>
      <c r="H98" s="27" t="s">
        <v>1895</v>
      </c>
      <c r="I98" s="27" t="s">
        <v>1876</v>
      </c>
      <c r="J98" s="27" t="s">
        <v>1905</v>
      </c>
      <c r="K98" s="27" t="n">
        <v>1244</v>
      </c>
      <c r="L98" s="27" t="n">
        <v>702</v>
      </c>
      <c r="M98" s="28" t="n">
        <f aca="false">IFERROR(VLOOKUP((OFFSET(hoje12_326_ana9,97,10,1,1)&amp;"."&amp;OFFSET(hoje12_326_ana9,97,11,1,1)),'12.326'!A:D,4,0),"-")</f>
        <v>35831943000736</v>
      </c>
    </row>
    <row r="99" customFormat="false" ht="14.4" hidden="false" customHeight="false" outlineLevel="0" collapsed="false">
      <c r="A99" s="27" t="n">
        <v>11100988</v>
      </c>
      <c r="B99" s="27" t="s">
        <v>1894</v>
      </c>
      <c r="C99" s="43" t="n">
        <v>37.26</v>
      </c>
      <c r="D99" s="27" t="n">
        <v>4.14</v>
      </c>
      <c r="E99" s="27" t="n">
        <v>6</v>
      </c>
      <c r="F99" s="27" t="n">
        <v>6.9</v>
      </c>
      <c r="G99" s="27" t="s">
        <v>1875</v>
      </c>
      <c r="H99" s="27" t="s">
        <v>1895</v>
      </c>
      <c r="I99" s="27" t="s">
        <v>1876</v>
      </c>
      <c r="J99" s="27" t="s">
        <v>1896</v>
      </c>
      <c r="K99" s="27" t="n">
        <v>1245</v>
      </c>
      <c r="L99" s="27" t="n">
        <v>702</v>
      </c>
      <c r="M99" s="28" t="n">
        <f aca="false">IFERROR(VLOOKUP((OFFSET(hoje12_326_ana9,98,10,1,1)&amp;"."&amp;OFFSET(hoje12_326_ana9,98,11,1,1)),'12.326'!A:D,4,0),"-")</f>
        <v>35831943000906</v>
      </c>
    </row>
    <row r="100" customFormat="false" ht="14.4" hidden="false" customHeight="false" outlineLevel="0" collapsed="false">
      <c r="A100" s="27" t="n">
        <v>11100995</v>
      </c>
      <c r="B100" s="27" t="s">
        <v>1897</v>
      </c>
      <c r="C100" s="43" t="n">
        <v>89.04</v>
      </c>
      <c r="D100" s="27" t="n">
        <v>0</v>
      </c>
      <c r="E100" s="27" t="n">
        <v>6</v>
      </c>
      <c r="F100" s="27" t="n">
        <v>14.84</v>
      </c>
      <c r="G100" s="27" t="s">
        <v>1875</v>
      </c>
      <c r="H100" s="27" t="s">
        <v>68</v>
      </c>
      <c r="I100" s="27" t="s">
        <v>1876</v>
      </c>
      <c r="J100" s="27" t="s">
        <v>1877</v>
      </c>
      <c r="K100" s="27" t="n">
        <v>1245</v>
      </c>
      <c r="L100" s="27" t="n">
        <v>702</v>
      </c>
      <c r="M100" s="28" t="n">
        <f aca="false">IFERROR(VLOOKUP((OFFSET(hoje12_326_ana9,99,10,1,1)&amp;"."&amp;OFFSET(hoje12_326_ana9,99,11,1,1)),'12.326'!A:D,4,0),"-")</f>
        <v>35831943000906</v>
      </c>
    </row>
    <row r="101" customFormat="false" ht="14.4" hidden="false" customHeight="false" outlineLevel="0" collapsed="false">
      <c r="A101" s="27" t="n">
        <v>11100998</v>
      </c>
      <c r="B101" s="27" t="s">
        <v>1887</v>
      </c>
      <c r="C101" s="43" t="n">
        <v>180.12</v>
      </c>
      <c r="D101" s="27" t="n">
        <v>0</v>
      </c>
      <c r="E101" s="27" t="n">
        <v>12</v>
      </c>
      <c r="F101" s="27" t="n">
        <v>15.01</v>
      </c>
      <c r="G101" s="27" t="s">
        <v>1875</v>
      </c>
      <c r="H101" s="27" t="s">
        <v>68</v>
      </c>
      <c r="I101" s="27" t="s">
        <v>1876</v>
      </c>
      <c r="J101" s="27" t="s">
        <v>1877</v>
      </c>
      <c r="K101" s="27" t="n">
        <v>1245</v>
      </c>
      <c r="L101" s="27" t="n">
        <v>702</v>
      </c>
      <c r="M101" s="28" t="n">
        <f aca="false">IFERROR(VLOOKUP((OFFSET(hoje12_326_ana9,100,10,1,1)&amp;"."&amp;OFFSET(hoje12_326_ana9,100,11,1,1)),'12.326'!A:D,4,0),"-")</f>
        <v>35831943000906</v>
      </c>
    </row>
    <row r="102" customFormat="false" ht="14.4" hidden="false" customHeight="false" outlineLevel="0" collapsed="false">
      <c r="A102" s="27" t="n">
        <v>11100987</v>
      </c>
      <c r="B102" s="27" t="s">
        <v>1890</v>
      </c>
      <c r="C102" s="43" t="n">
        <v>250.8</v>
      </c>
      <c r="D102" s="27" t="n">
        <v>0</v>
      </c>
      <c r="E102" s="27" t="n">
        <v>24</v>
      </c>
      <c r="F102" s="27" t="n">
        <v>10.45</v>
      </c>
      <c r="G102" s="27" t="s">
        <v>1875</v>
      </c>
      <c r="H102" s="27" t="s">
        <v>68</v>
      </c>
      <c r="I102" s="27" t="s">
        <v>1876</v>
      </c>
      <c r="J102" s="27" t="s">
        <v>1877</v>
      </c>
      <c r="K102" s="27" t="n">
        <v>1245</v>
      </c>
      <c r="L102" s="27" t="n">
        <v>702</v>
      </c>
      <c r="M102" s="28" t="n">
        <f aca="false">IFERROR(VLOOKUP((OFFSET(hoje12_326_ana9,101,10,1,1)&amp;"."&amp;OFFSET(hoje12_326_ana9,101,11,1,1)),'12.326'!A:D,4,0),"-")</f>
        <v>35831943000906</v>
      </c>
    </row>
    <row r="103" customFormat="false" ht="14.4" hidden="false" customHeight="false" outlineLevel="0" collapsed="false">
      <c r="A103" s="27" t="n">
        <v>11100985</v>
      </c>
      <c r="B103" s="27" t="s">
        <v>1906</v>
      </c>
      <c r="C103" s="43" t="n">
        <v>62.88</v>
      </c>
      <c r="D103" s="27" t="n">
        <v>0</v>
      </c>
      <c r="E103" s="27" t="n">
        <v>3</v>
      </c>
      <c r="F103" s="27" t="n">
        <v>20.96</v>
      </c>
      <c r="G103" s="27" t="s">
        <v>1875</v>
      </c>
      <c r="H103" s="27" t="s">
        <v>68</v>
      </c>
      <c r="I103" s="27" t="s">
        <v>1876</v>
      </c>
      <c r="J103" s="27" t="s">
        <v>1877</v>
      </c>
      <c r="K103" s="27" t="n">
        <v>1245</v>
      </c>
      <c r="L103" s="27" t="n">
        <v>702</v>
      </c>
      <c r="M103" s="28" t="n">
        <f aca="false">IFERROR(VLOOKUP((OFFSET(hoje12_326_ana9,102,10,1,1)&amp;"."&amp;OFFSET(hoje12_326_ana9,102,11,1,1)),'12.326'!A:D,4,0),"-")</f>
        <v>35831943000906</v>
      </c>
    </row>
    <row r="104" customFormat="false" ht="14.4" hidden="false" customHeight="false" outlineLevel="0" collapsed="false">
      <c r="A104" s="27" t="n">
        <v>11100993</v>
      </c>
      <c r="B104" s="27" t="s">
        <v>1898</v>
      </c>
      <c r="C104" s="43" t="n">
        <v>22.1</v>
      </c>
      <c r="D104" s="27" t="n">
        <v>3.9</v>
      </c>
      <c r="E104" s="27" t="n">
        <v>4</v>
      </c>
      <c r="F104" s="27" t="n">
        <v>6.5</v>
      </c>
      <c r="G104" s="27" t="s">
        <v>1875</v>
      </c>
      <c r="H104" s="27" t="s">
        <v>1892</v>
      </c>
      <c r="I104" s="27" t="s">
        <v>1876</v>
      </c>
      <c r="J104" s="27" t="s">
        <v>1899</v>
      </c>
      <c r="K104" s="27" t="n">
        <v>1245</v>
      </c>
      <c r="L104" s="27" t="n">
        <v>702</v>
      </c>
      <c r="M104" s="28" t="n">
        <f aca="false">IFERROR(VLOOKUP((OFFSET(hoje12_326_ana9,103,10,1,1)&amp;"."&amp;OFFSET(hoje12_326_ana9,103,11,1,1)),'12.326'!A:D,4,0),"-")</f>
        <v>35831943000906</v>
      </c>
    </row>
    <row r="105" customFormat="false" ht="14.4" hidden="false" customHeight="false" outlineLevel="0" collapsed="false">
      <c r="A105" s="27" t="n">
        <v>11100990</v>
      </c>
      <c r="B105" s="27" t="s">
        <v>1900</v>
      </c>
      <c r="C105" s="43" t="n">
        <v>22.1</v>
      </c>
      <c r="D105" s="27" t="n">
        <v>3.9</v>
      </c>
      <c r="E105" s="27" t="n">
        <v>4</v>
      </c>
      <c r="F105" s="27" t="n">
        <v>6.5</v>
      </c>
      <c r="G105" s="27" t="s">
        <v>1875</v>
      </c>
      <c r="H105" s="27" t="s">
        <v>1892</v>
      </c>
      <c r="I105" s="27" t="s">
        <v>1876</v>
      </c>
      <c r="J105" s="27" t="s">
        <v>1899</v>
      </c>
      <c r="K105" s="27" t="n">
        <v>1245</v>
      </c>
      <c r="L105" s="27" t="n">
        <v>702</v>
      </c>
      <c r="M105" s="28" t="n">
        <f aca="false">IFERROR(VLOOKUP((OFFSET(hoje12_326_ana9,104,10,1,1)&amp;"."&amp;OFFSET(hoje12_326_ana9,104,11,1,1)),'12.326'!A:D,4,0),"-")</f>
        <v>35831943000906</v>
      </c>
    </row>
    <row r="106" customFormat="false" ht="14.4" hidden="false" customHeight="false" outlineLevel="0" collapsed="false">
      <c r="A106" s="27" t="n">
        <v>11101003</v>
      </c>
      <c r="B106" s="27" t="s">
        <v>1889</v>
      </c>
      <c r="C106" s="43" t="n">
        <v>54.88</v>
      </c>
      <c r="D106" s="27" t="n">
        <v>9.68</v>
      </c>
      <c r="E106" s="27" t="n">
        <v>6</v>
      </c>
      <c r="F106" s="27" t="n">
        <v>10.76</v>
      </c>
      <c r="G106" s="27" t="s">
        <v>1875</v>
      </c>
      <c r="H106" s="27" t="s">
        <v>1892</v>
      </c>
      <c r="I106" s="27" t="s">
        <v>1876</v>
      </c>
      <c r="J106" s="27" t="s">
        <v>1901</v>
      </c>
      <c r="K106" s="27" t="n">
        <v>1245</v>
      </c>
      <c r="L106" s="27" t="n">
        <v>702</v>
      </c>
      <c r="M106" s="28" t="n">
        <f aca="false">IFERROR(VLOOKUP((OFFSET(hoje12_326_ana9,105,10,1,1)&amp;"."&amp;OFFSET(hoje12_326_ana9,105,11,1,1)),'12.326'!A:D,4,0),"-")</f>
        <v>35831943000906</v>
      </c>
    </row>
    <row r="107" customFormat="false" ht="14.4" hidden="false" customHeight="false" outlineLevel="0" collapsed="false">
      <c r="A107" s="27" t="n">
        <v>11101004</v>
      </c>
      <c r="B107" s="27" t="s">
        <v>1888</v>
      </c>
      <c r="C107" s="43" t="n">
        <v>54.88</v>
      </c>
      <c r="D107" s="27" t="n">
        <v>9.68</v>
      </c>
      <c r="E107" s="27" t="n">
        <v>6</v>
      </c>
      <c r="F107" s="27" t="n">
        <v>10.76</v>
      </c>
      <c r="G107" s="27" t="s">
        <v>1875</v>
      </c>
      <c r="H107" s="27" t="s">
        <v>1892</v>
      </c>
      <c r="I107" s="27" t="s">
        <v>1876</v>
      </c>
      <c r="J107" s="27" t="s">
        <v>1901</v>
      </c>
      <c r="K107" s="27" t="n">
        <v>1245</v>
      </c>
      <c r="L107" s="27" t="n">
        <v>702</v>
      </c>
      <c r="M107" s="28" t="n">
        <f aca="false">IFERROR(VLOOKUP((OFFSET(hoje12_326_ana9,106,10,1,1)&amp;"."&amp;OFFSET(hoje12_326_ana9,106,11,1,1)),'12.326'!A:D,4,0),"-")</f>
        <v>35831943000906</v>
      </c>
    </row>
    <row r="108" customFormat="false" ht="14.4" hidden="false" customHeight="false" outlineLevel="0" collapsed="false">
      <c r="A108" s="27" t="n">
        <v>11100986</v>
      </c>
      <c r="B108" s="27" t="s">
        <v>1902</v>
      </c>
      <c r="C108" s="43" t="n">
        <v>44.01</v>
      </c>
      <c r="D108" s="27" t="n">
        <v>7.77</v>
      </c>
      <c r="E108" s="27" t="n">
        <v>3</v>
      </c>
      <c r="F108" s="27" t="n">
        <v>17.26</v>
      </c>
      <c r="G108" s="27" t="s">
        <v>1875</v>
      </c>
      <c r="H108" s="27" t="s">
        <v>1892</v>
      </c>
      <c r="I108" s="27" t="s">
        <v>1876</v>
      </c>
      <c r="J108" s="27" t="s">
        <v>1903</v>
      </c>
      <c r="K108" s="27" t="n">
        <v>1245</v>
      </c>
      <c r="L108" s="27" t="n">
        <v>702</v>
      </c>
      <c r="M108" s="28" t="n">
        <f aca="false">IFERROR(VLOOKUP((OFFSET(hoje12_326_ana9,107,10,1,1)&amp;"."&amp;OFFSET(hoje12_326_ana9,107,11,1,1)),'12.326'!A:D,4,0),"-")</f>
        <v>35831943000906</v>
      </c>
    </row>
    <row r="109" customFormat="false" ht="14.4" hidden="false" customHeight="false" outlineLevel="0" collapsed="false">
      <c r="A109" s="27" t="n">
        <v>11100989</v>
      </c>
      <c r="B109" s="27" t="s">
        <v>1904</v>
      </c>
      <c r="C109" s="43" t="n">
        <v>35.53</v>
      </c>
      <c r="D109" s="27" t="n">
        <v>3.95</v>
      </c>
      <c r="E109" s="27" t="n">
        <v>6</v>
      </c>
      <c r="F109" s="27" t="n">
        <v>6.58</v>
      </c>
      <c r="G109" s="27" t="s">
        <v>1875</v>
      </c>
      <c r="H109" s="27" t="s">
        <v>1895</v>
      </c>
      <c r="I109" s="27" t="s">
        <v>1876</v>
      </c>
      <c r="J109" s="27" t="s">
        <v>1905</v>
      </c>
      <c r="K109" s="27" t="n">
        <v>1245</v>
      </c>
      <c r="L109" s="27" t="n">
        <v>702</v>
      </c>
      <c r="M109" s="28" t="n">
        <f aca="false">IFERROR(VLOOKUP((OFFSET(hoje12_326_ana9,108,10,1,1)&amp;"."&amp;OFFSET(hoje12_326_ana9,108,11,1,1)),'12.326'!A:D,4,0),"-")</f>
        <v>35831943000906</v>
      </c>
    </row>
    <row r="110" customFormat="false" ht="14.4" hidden="false" customHeight="false" outlineLevel="0" collapsed="false">
      <c r="A110" s="27" t="n">
        <v>11100988</v>
      </c>
      <c r="B110" s="27" t="s">
        <v>1894</v>
      </c>
      <c r="C110" s="43" t="n">
        <v>37.26</v>
      </c>
      <c r="D110" s="27" t="n">
        <v>4.14</v>
      </c>
      <c r="E110" s="27" t="n">
        <v>6</v>
      </c>
      <c r="F110" s="27" t="n">
        <v>6.9</v>
      </c>
      <c r="G110" s="27" t="s">
        <v>1875</v>
      </c>
      <c r="H110" s="27" t="s">
        <v>1895</v>
      </c>
      <c r="I110" s="27" t="s">
        <v>1876</v>
      </c>
      <c r="J110" s="27" t="s">
        <v>1896</v>
      </c>
      <c r="K110" s="27" t="n">
        <v>1246</v>
      </c>
      <c r="L110" s="27" t="n">
        <v>702</v>
      </c>
      <c r="M110" s="28" t="n">
        <f aca="false">IFERROR(VLOOKUP((OFFSET(hoje12_326_ana9,109,10,1,1)&amp;"."&amp;OFFSET(hoje12_326_ana9,109,11,1,1)),'12.326'!A:D,4,0),"-")</f>
        <v>35831943000221</v>
      </c>
    </row>
    <row r="111" customFormat="false" ht="14.4" hidden="false" customHeight="false" outlineLevel="0" collapsed="false">
      <c r="A111" s="27" t="n">
        <v>11100995</v>
      </c>
      <c r="B111" s="27" t="s">
        <v>1897</v>
      </c>
      <c r="C111" s="43" t="n">
        <v>89.04</v>
      </c>
      <c r="D111" s="27" t="n">
        <v>0</v>
      </c>
      <c r="E111" s="27" t="n">
        <v>6</v>
      </c>
      <c r="F111" s="27" t="n">
        <v>14.84</v>
      </c>
      <c r="G111" s="27" t="s">
        <v>1875</v>
      </c>
      <c r="H111" s="27" t="s">
        <v>68</v>
      </c>
      <c r="I111" s="27" t="s">
        <v>1876</v>
      </c>
      <c r="J111" s="27" t="s">
        <v>1877</v>
      </c>
      <c r="K111" s="27" t="n">
        <v>1246</v>
      </c>
      <c r="L111" s="27" t="n">
        <v>702</v>
      </c>
      <c r="M111" s="28" t="n">
        <f aca="false">IFERROR(VLOOKUP((OFFSET(hoje12_326_ana9,110,10,1,1)&amp;"."&amp;OFFSET(hoje12_326_ana9,110,11,1,1)),'12.326'!A:D,4,0),"-")</f>
        <v>35831943000221</v>
      </c>
    </row>
    <row r="112" customFormat="false" ht="14.4" hidden="false" customHeight="false" outlineLevel="0" collapsed="false">
      <c r="A112" s="27" t="n">
        <v>11100998</v>
      </c>
      <c r="B112" s="27" t="s">
        <v>1887</v>
      </c>
      <c r="C112" s="43" t="n">
        <v>180.12</v>
      </c>
      <c r="D112" s="27" t="n">
        <v>0</v>
      </c>
      <c r="E112" s="27" t="n">
        <v>12</v>
      </c>
      <c r="F112" s="27" t="n">
        <v>15.01</v>
      </c>
      <c r="G112" s="27" t="s">
        <v>1875</v>
      </c>
      <c r="H112" s="27" t="s">
        <v>68</v>
      </c>
      <c r="I112" s="27" t="s">
        <v>1876</v>
      </c>
      <c r="J112" s="27" t="s">
        <v>1877</v>
      </c>
      <c r="K112" s="27" t="n">
        <v>1246</v>
      </c>
      <c r="L112" s="27" t="n">
        <v>702</v>
      </c>
      <c r="M112" s="28" t="n">
        <f aca="false">IFERROR(VLOOKUP((OFFSET(hoje12_326_ana9,111,10,1,1)&amp;"."&amp;OFFSET(hoje12_326_ana9,111,11,1,1)),'12.326'!A:D,4,0),"-")</f>
        <v>35831943000221</v>
      </c>
    </row>
    <row r="113" customFormat="false" ht="14.4" hidden="false" customHeight="false" outlineLevel="0" collapsed="false">
      <c r="A113" s="27" t="n">
        <v>11100987</v>
      </c>
      <c r="B113" s="27" t="s">
        <v>1890</v>
      </c>
      <c r="C113" s="43" t="n">
        <v>250.8</v>
      </c>
      <c r="D113" s="27" t="n">
        <v>0</v>
      </c>
      <c r="E113" s="27" t="n">
        <v>24</v>
      </c>
      <c r="F113" s="27" t="n">
        <v>10.45</v>
      </c>
      <c r="G113" s="27" t="s">
        <v>1875</v>
      </c>
      <c r="H113" s="27" t="s">
        <v>68</v>
      </c>
      <c r="I113" s="27" t="s">
        <v>1876</v>
      </c>
      <c r="J113" s="27" t="s">
        <v>1877</v>
      </c>
      <c r="K113" s="27" t="n">
        <v>1246</v>
      </c>
      <c r="L113" s="27" t="n">
        <v>702</v>
      </c>
      <c r="M113" s="28" t="n">
        <f aca="false">IFERROR(VLOOKUP((OFFSET(hoje12_326_ana9,112,10,1,1)&amp;"."&amp;OFFSET(hoje12_326_ana9,112,11,1,1)),'12.326'!A:D,4,0),"-")</f>
        <v>35831943000221</v>
      </c>
    </row>
    <row r="114" customFormat="false" ht="14.4" hidden="false" customHeight="false" outlineLevel="0" collapsed="false">
      <c r="A114" s="27" t="n">
        <v>11100985</v>
      </c>
      <c r="B114" s="27" t="s">
        <v>1906</v>
      </c>
      <c r="C114" s="43" t="n">
        <v>62.88</v>
      </c>
      <c r="D114" s="27" t="n">
        <v>0</v>
      </c>
      <c r="E114" s="27" t="n">
        <v>3</v>
      </c>
      <c r="F114" s="27" t="n">
        <v>20.96</v>
      </c>
      <c r="G114" s="27" t="s">
        <v>1875</v>
      </c>
      <c r="H114" s="27" t="s">
        <v>68</v>
      </c>
      <c r="I114" s="27" t="s">
        <v>1876</v>
      </c>
      <c r="J114" s="27" t="s">
        <v>1877</v>
      </c>
      <c r="K114" s="27" t="n">
        <v>1246</v>
      </c>
      <c r="L114" s="27" t="n">
        <v>702</v>
      </c>
      <c r="M114" s="28" t="n">
        <f aca="false">IFERROR(VLOOKUP((OFFSET(hoje12_326_ana9,113,10,1,1)&amp;"."&amp;OFFSET(hoje12_326_ana9,113,11,1,1)),'12.326'!A:D,4,0),"-")</f>
        <v>35831943000221</v>
      </c>
    </row>
    <row r="115" customFormat="false" ht="14.4" hidden="false" customHeight="false" outlineLevel="0" collapsed="false">
      <c r="A115" s="27" t="n">
        <v>11100993</v>
      </c>
      <c r="B115" s="27" t="s">
        <v>1898</v>
      </c>
      <c r="C115" s="43" t="n">
        <v>22.1</v>
      </c>
      <c r="D115" s="27" t="n">
        <v>3.9</v>
      </c>
      <c r="E115" s="27" t="n">
        <v>4</v>
      </c>
      <c r="F115" s="27" t="n">
        <v>6.5</v>
      </c>
      <c r="G115" s="27" t="s">
        <v>1875</v>
      </c>
      <c r="H115" s="27" t="s">
        <v>1892</v>
      </c>
      <c r="I115" s="27" t="s">
        <v>1876</v>
      </c>
      <c r="J115" s="27" t="s">
        <v>1899</v>
      </c>
      <c r="K115" s="27" t="n">
        <v>1246</v>
      </c>
      <c r="L115" s="27" t="n">
        <v>702</v>
      </c>
      <c r="M115" s="28" t="n">
        <f aca="false">IFERROR(VLOOKUP((OFFSET(hoje12_326_ana9,114,10,1,1)&amp;"."&amp;OFFSET(hoje12_326_ana9,114,11,1,1)),'12.326'!A:D,4,0),"-")</f>
        <v>35831943000221</v>
      </c>
    </row>
    <row r="116" customFormat="false" ht="14.4" hidden="false" customHeight="false" outlineLevel="0" collapsed="false">
      <c r="A116" s="27" t="n">
        <v>11100990</v>
      </c>
      <c r="B116" s="27" t="s">
        <v>1900</v>
      </c>
      <c r="C116" s="43" t="n">
        <v>22.1</v>
      </c>
      <c r="D116" s="27" t="n">
        <v>3.9</v>
      </c>
      <c r="E116" s="27" t="n">
        <v>4</v>
      </c>
      <c r="F116" s="27" t="n">
        <v>6.5</v>
      </c>
      <c r="G116" s="27" t="s">
        <v>1875</v>
      </c>
      <c r="H116" s="27" t="s">
        <v>1892</v>
      </c>
      <c r="I116" s="27" t="s">
        <v>1876</v>
      </c>
      <c r="J116" s="27" t="s">
        <v>1899</v>
      </c>
      <c r="K116" s="27" t="n">
        <v>1246</v>
      </c>
      <c r="L116" s="27" t="n">
        <v>702</v>
      </c>
      <c r="M116" s="28" t="n">
        <f aca="false">IFERROR(VLOOKUP((OFFSET(hoje12_326_ana9,115,10,1,1)&amp;"."&amp;OFFSET(hoje12_326_ana9,115,11,1,1)),'12.326'!A:D,4,0),"-")</f>
        <v>35831943000221</v>
      </c>
    </row>
    <row r="117" customFormat="false" ht="14.4" hidden="false" customHeight="false" outlineLevel="0" collapsed="false">
      <c r="A117" s="27" t="n">
        <v>11101003</v>
      </c>
      <c r="B117" s="27" t="s">
        <v>1889</v>
      </c>
      <c r="C117" s="43" t="n">
        <v>54.88</v>
      </c>
      <c r="D117" s="27" t="n">
        <v>9.68</v>
      </c>
      <c r="E117" s="27" t="n">
        <v>6</v>
      </c>
      <c r="F117" s="27" t="n">
        <v>10.76</v>
      </c>
      <c r="G117" s="27" t="s">
        <v>1875</v>
      </c>
      <c r="H117" s="27" t="s">
        <v>1892</v>
      </c>
      <c r="I117" s="27" t="s">
        <v>1876</v>
      </c>
      <c r="J117" s="27" t="s">
        <v>1901</v>
      </c>
      <c r="K117" s="27" t="n">
        <v>1246</v>
      </c>
      <c r="L117" s="27" t="n">
        <v>702</v>
      </c>
      <c r="M117" s="28" t="n">
        <f aca="false">IFERROR(VLOOKUP((OFFSET(hoje12_326_ana9,116,10,1,1)&amp;"."&amp;OFFSET(hoje12_326_ana9,116,11,1,1)),'12.326'!A:D,4,0),"-")</f>
        <v>35831943000221</v>
      </c>
    </row>
    <row r="118" customFormat="false" ht="14.4" hidden="false" customHeight="false" outlineLevel="0" collapsed="false">
      <c r="A118" s="27" t="n">
        <v>11101004</v>
      </c>
      <c r="B118" s="27" t="s">
        <v>1888</v>
      </c>
      <c r="C118" s="43" t="n">
        <v>54.88</v>
      </c>
      <c r="D118" s="27" t="n">
        <v>9.68</v>
      </c>
      <c r="E118" s="27" t="n">
        <v>6</v>
      </c>
      <c r="F118" s="27" t="n">
        <v>10.76</v>
      </c>
      <c r="G118" s="27" t="s">
        <v>1875</v>
      </c>
      <c r="H118" s="27" t="s">
        <v>1892</v>
      </c>
      <c r="I118" s="27" t="s">
        <v>1876</v>
      </c>
      <c r="J118" s="27" t="s">
        <v>1901</v>
      </c>
      <c r="K118" s="27" t="n">
        <v>1246</v>
      </c>
      <c r="L118" s="27" t="n">
        <v>702</v>
      </c>
      <c r="M118" s="28" t="n">
        <f aca="false">IFERROR(VLOOKUP((OFFSET(hoje12_326_ana9,117,10,1,1)&amp;"."&amp;OFFSET(hoje12_326_ana9,117,11,1,1)),'12.326'!A:D,4,0),"-")</f>
        <v>35831943000221</v>
      </c>
    </row>
    <row r="119" customFormat="false" ht="14.4" hidden="false" customHeight="false" outlineLevel="0" collapsed="false">
      <c r="A119" s="27" t="n">
        <v>11100986</v>
      </c>
      <c r="B119" s="27" t="s">
        <v>1902</v>
      </c>
      <c r="C119" s="43" t="n">
        <v>44.01</v>
      </c>
      <c r="D119" s="27" t="n">
        <v>7.77</v>
      </c>
      <c r="E119" s="27" t="n">
        <v>3</v>
      </c>
      <c r="F119" s="27" t="n">
        <v>17.26</v>
      </c>
      <c r="G119" s="27" t="s">
        <v>1875</v>
      </c>
      <c r="H119" s="27" t="s">
        <v>1892</v>
      </c>
      <c r="I119" s="27" t="s">
        <v>1876</v>
      </c>
      <c r="J119" s="27" t="s">
        <v>1903</v>
      </c>
      <c r="K119" s="27" t="n">
        <v>1246</v>
      </c>
      <c r="L119" s="27" t="n">
        <v>702</v>
      </c>
      <c r="M119" s="28" t="n">
        <f aca="false">IFERROR(VLOOKUP((OFFSET(hoje12_326_ana9,118,10,1,1)&amp;"."&amp;OFFSET(hoje12_326_ana9,118,11,1,1)),'12.326'!A:D,4,0),"-")</f>
        <v>35831943000221</v>
      </c>
    </row>
    <row r="120" customFormat="false" ht="14.4" hidden="false" customHeight="false" outlineLevel="0" collapsed="false">
      <c r="A120" s="27" t="n">
        <v>11100989</v>
      </c>
      <c r="B120" s="27" t="s">
        <v>1904</v>
      </c>
      <c r="C120" s="43" t="n">
        <v>35.53</v>
      </c>
      <c r="D120" s="27" t="n">
        <v>3.95</v>
      </c>
      <c r="E120" s="27" t="n">
        <v>6</v>
      </c>
      <c r="F120" s="27" t="n">
        <v>6.58</v>
      </c>
      <c r="G120" s="27" t="s">
        <v>1875</v>
      </c>
      <c r="H120" s="27" t="s">
        <v>1895</v>
      </c>
      <c r="I120" s="27" t="s">
        <v>1876</v>
      </c>
      <c r="J120" s="27" t="s">
        <v>1905</v>
      </c>
      <c r="K120" s="27" t="n">
        <v>1246</v>
      </c>
      <c r="L120" s="27" t="n">
        <v>702</v>
      </c>
      <c r="M120" s="28" t="n">
        <f aca="false">IFERROR(VLOOKUP((OFFSET(hoje12_326_ana9,119,10,1,1)&amp;"."&amp;OFFSET(hoje12_326_ana9,119,11,1,1)),'12.326'!A:D,4,0),"-")</f>
        <v>35831943000221</v>
      </c>
    </row>
    <row r="121" customFormat="false" ht="14.4" hidden="false" customHeight="false" outlineLevel="0" collapsed="false">
      <c r="A121" s="27" t="n">
        <v>11100146</v>
      </c>
      <c r="B121" s="27" t="s">
        <v>1907</v>
      </c>
      <c r="C121" s="43" t="n">
        <v>17123.89</v>
      </c>
      <c r="D121" s="27" t="n">
        <v>1560.11</v>
      </c>
      <c r="E121" s="27" t="n">
        <v>2160</v>
      </c>
      <c r="F121" s="27" t="n">
        <v>8.65</v>
      </c>
      <c r="G121" s="27" t="s">
        <v>1875</v>
      </c>
      <c r="H121" s="27" t="s">
        <v>1908</v>
      </c>
      <c r="I121" s="27" t="s">
        <v>1876</v>
      </c>
      <c r="J121" s="27" t="s">
        <v>1909</v>
      </c>
      <c r="K121" s="27" t="n">
        <v>1247</v>
      </c>
      <c r="L121" s="27" t="n">
        <v>702</v>
      </c>
      <c r="M121" s="28" t="n">
        <f aca="false">IFERROR(VLOOKUP((OFFSET(hoje12_326_ana9,120,10,1,1)&amp;"."&amp;OFFSET(hoje12_326_ana9,120,11,1,1)),'12.326'!A:D,4,0),"-")</f>
        <v>9531413001815</v>
      </c>
    </row>
    <row r="122" customFormat="false" ht="14.4" hidden="false" customHeight="false" outlineLevel="0" collapsed="false">
      <c r="A122" s="27" t="n">
        <v>11100091</v>
      </c>
      <c r="B122" s="27" t="s">
        <v>1910</v>
      </c>
      <c r="C122" s="43" t="n">
        <v>1324.8</v>
      </c>
      <c r="D122" s="27" t="n">
        <v>0</v>
      </c>
      <c r="E122" s="27" t="n">
        <v>288</v>
      </c>
      <c r="F122" s="27" t="n">
        <v>4.6</v>
      </c>
      <c r="G122" s="27" t="s">
        <v>1875</v>
      </c>
      <c r="H122" s="27" t="s">
        <v>68</v>
      </c>
      <c r="I122" s="27" t="s">
        <v>1876</v>
      </c>
      <c r="J122" s="27" t="s">
        <v>1877</v>
      </c>
      <c r="K122" s="27" t="n">
        <v>1247</v>
      </c>
      <c r="L122" s="27" t="n">
        <v>702</v>
      </c>
      <c r="M122" s="28" t="n">
        <f aca="false">IFERROR(VLOOKUP((OFFSET(hoje12_326_ana9,121,10,1,1)&amp;"."&amp;OFFSET(hoje12_326_ana9,121,11,1,1)),'12.326'!A:D,4,0),"-")</f>
        <v>9531413001815</v>
      </c>
    </row>
    <row r="123" customFormat="false" ht="14.4" hidden="false" customHeight="false" outlineLevel="0" collapsed="false">
      <c r="A123" s="27" t="n">
        <v>11100093</v>
      </c>
      <c r="B123" s="27" t="s">
        <v>1911</v>
      </c>
      <c r="C123" s="43" t="n">
        <v>11088</v>
      </c>
      <c r="D123" s="27" t="n">
        <v>0</v>
      </c>
      <c r="E123" s="27" t="n">
        <v>1440</v>
      </c>
      <c r="F123" s="27" t="n">
        <v>7.7</v>
      </c>
      <c r="G123" s="27" t="s">
        <v>1875</v>
      </c>
      <c r="H123" s="27" t="s">
        <v>68</v>
      </c>
      <c r="I123" s="27" t="s">
        <v>1876</v>
      </c>
      <c r="J123" s="27" t="s">
        <v>1877</v>
      </c>
      <c r="K123" s="27" t="n">
        <v>1247</v>
      </c>
      <c r="L123" s="27" t="n">
        <v>702</v>
      </c>
      <c r="M123" s="28" t="n">
        <f aca="false">IFERROR(VLOOKUP((OFFSET(hoje12_326_ana9,122,10,1,1)&amp;"."&amp;OFFSET(hoje12_326_ana9,122,11,1,1)),'12.326'!A:D,4,0),"-")</f>
        <v>9531413001815</v>
      </c>
    </row>
    <row r="124" customFormat="false" ht="14.4" hidden="false" customHeight="false" outlineLevel="0" collapsed="false">
      <c r="A124" s="27" t="n">
        <v>11100097</v>
      </c>
      <c r="B124" s="27" t="s">
        <v>1912</v>
      </c>
      <c r="C124" s="43" t="n">
        <v>251.04</v>
      </c>
      <c r="D124" s="27" t="n">
        <v>0</v>
      </c>
      <c r="E124" s="27" t="n">
        <v>24</v>
      </c>
      <c r="F124" s="27" t="n">
        <v>10.46</v>
      </c>
      <c r="G124" s="27" t="s">
        <v>1875</v>
      </c>
      <c r="H124" s="27" t="s">
        <v>68</v>
      </c>
      <c r="I124" s="27" t="s">
        <v>1876</v>
      </c>
      <c r="J124" s="27" t="s">
        <v>1877</v>
      </c>
      <c r="K124" s="27" t="n">
        <v>1247</v>
      </c>
      <c r="L124" s="27" t="n">
        <v>702</v>
      </c>
      <c r="M124" s="28" t="n">
        <f aca="false">IFERROR(VLOOKUP((OFFSET(hoje12_326_ana9,123,10,1,1)&amp;"."&amp;OFFSET(hoje12_326_ana9,123,11,1,1)),'12.326'!A:D,4,0),"-")</f>
        <v>9531413001815</v>
      </c>
    </row>
    <row r="125" customFormat="false" ht="14.4" hidden="false" customHeight="false" outlineLevel="0" collapsed="false">
      <c r="A125" s="27" t="n">
        <v>11100101</v>
      </c>
      <c r="B125" s="27" t="s">
        <v>1913</v>
      </c>
      <c r="C125" s="43" t="n">
        <v>251.04</v>
      </c>
      <c r="D125" s="27" t="n">
        <v>0</v>
      </c>
      <c r="E125" s="27" t="n">
        <v>24</v>
      </c>
      <c r="F125" s="27" t="n">
        <v>10.46</v>
      </c>
      <c r="G125" s="27" t="s">
        <v>1875</v>
      </c>
      <c r="H125" s="27" t="s">
        <v>68</v>
      </c>
      <c r="I125" s="27" t="s">
        <v>1876</v>
      </c>
      <c r="J125" s="27" t="s">
        <v>1877</v>
      </c>
      <c r="K125" s="27" t="n">
        <v>1247</v>
      </c>
      <c r="L125" s="27" t="n">
        <v>702</v>
      </c>
      <c r="M125" s="28" t="n">
        <f aca="false">IFERROR(VLOOKUP((OFFSET(hoje12_326_ana9,124,10,1,1)&amp;"."&amp;OFFSET(hoje12_326_ana9,124,11,1,1)),'12.326'!A:D,4,0),"-")</f>
        <v>9531413001815</v>
      </c>
    </row>
    <row r="126" customFormat="false" ht="14.4" hidden="false" customHeight="false" outlineLevel="0" collapsed="false">
      <c r="A126" s="27" t="n">
        <v>11100137</v>
      </c>
      <c r="B126" s="27" t="s">
        <v>1914</v>
      </c>
      <c r="C126" s="43" t="n">
        <v>727.2</v>
      </c>
      <c r="D126" s="27" t="n">
        <v>0</v>
      </c>
      <c r="E126" s="27" t="n">
        <v>144</v>
      </c>
      <c r="F126" s="27" t="n">
        <v>5.05</v>
      </c>
      <c r="G126" s="27" t="s">
        <v>1875</v>
      </c>
      <c r="H126" s="27" t="s">
        <v>68</v>
      </c>
      <c r="I126" s="27" t="s">
        <v>1876</v>
      </c>
      <c r="J126" s="27" t="s">
        <v>1877</v>
      </c>
      <c r="K126" s="27" t="n">
        <v>1247</v>
      </c>
      <c r="L126" s="27" t="n">
        <v>702</v>
      </c>
      <c r="M126" s="28" t="n">
        <f aca="false">IFERROR(VLOOKUP((OFFSET(hoje12_326_ana9,125,10,1,1)&amp;"."&amp;OFFSET(hoje12_326_ana9,125,11,1,1)),'12.326'!A:D,4,0),"-")</f>
        <v>9531413001815</v>
      </c>
    </row>
    <row r="127" customFormat="false" ht="14.4" hidden="false" customHeight="false" outlineLevel="0" collapsed="false">
      <c r="A127" s="27" t="n">
        <v>11100145</v>
      </c>
      <c r="B127" s="27" t="s">
        <v>1915</v>
      </c>
      <c r="C127" s="43" t="n">
        <v>1818</v>
      </c>
      <c r="D127" s="27" t="n">
        <v>0</v>
      </c>
      <c r="E127" s="27" t="n">
        <v>360</v>
      </c>
      <c r="F127" s="27" t="n">
        <v>5.05</v>
      </c>
      <c r="G127" s="27" t="s">
        <v>1875</v>
      </c>
      <c r="H127" s="27" t="s">
        <v>68</v>
      </c>
      <c r="I127" s="27" t="s">
        <v>1876</v>
      </c>
      <c r="J127" s="27" t="s">
        <v>1877</v>
      </c>
      <c r="K127" s="27" t="n">
        <v>1247</v>
      </c>
      <c r="L127" s="27" t="n">
        <v>702</v>
      </c>
      <c r="M127" s="28" t="n">
        <f aca="false">IFERROR(VLOOKUP((OFFSET(hoje12_326_ana9,126,10,1,1)&amp;"."&amp;OFFSET(hoje12_326_ana9,126,11,1,1)),'12.326'!A:D,4,0),"-")</f>
        <v>9531413001815</v>
      </c>
    </row>
    <row r="128" customFormat="false" ht="14.4" hidden="false" customHeight="false" outlineLevel="0" collapsed="false">
      <c r="A128" s="27" t="n">
        <v>11100148</v>
      </c>
      <c r="B128" s="27" t="s">
        <v>1916</v>
      </c>
      <c r="C128" s="43" t="n">
        <v>501.6</v>
      </c>
      <c r="D128" s="27" t="n">
        <v>0</v>
      </c>
      <c r="E128" s="27" t="n">
        <v>48</v>
      </c>
      <c r="F128" s="27" t="n">
        <v>10.45</v>
      </c>
      <c r="G128" s="27" t="s">
        <v>1875</v>
      </c>
      <c r="H128" s="27" t="s">
        <v>68</v>
      </c>
      <c r="I128" s="27" t="s">
        <v>1876</v>
      </c>
      <c r="J128" s="27" t="s">
        <v>1877</v>
      </c>
      <c r="K128" s="27" t="n">
        <v>1247</v>
      </c>
      <c r="L128" s="27" t="n">
        <v>702</v>
      </c>
      <c r="M128" s="28" t="n">
        <f aca="false">IFERROR(VLOOKUP((OFFSET(hoje12_326_ana9,127,10,1,1)&amp;"."&amp;OFFSET(hoje12_326_ana9,127,11,1,1)),'12.326'!A:D,4,0),"-")</f>
        <v>9531413001815</v>
      </c>
    </row>
    <row r="129" customFormat="false" ht="14.4" hidden="false" customHeight="false" outlineLevel="0" collapsed="false">
      <c r="A129" s="27" t="n">
        <v>11100155</v>
      </c>
      <c r="B129" s="27" t="s">
        <v>1917</v>
      </c>
      <c r="C129" s="43" t="n">
        <v>501.6</v>
      </c>
      <c r="D129" s="27" t="n">
        <v>0</v>
      </c>
      <c r="E129" s="27" t="n">
        <v>48</v>
      </c>
      <c r="F129" s="27" t="n">
        <v>10.45</v>
      </c>
      <c r="G129" s="27" t="s">
        <v>1875</v>
      </c>
      <c r="H129" s="27" t="s">
        <v>68</v>
      </c>
      <c r="I129" s="27" t="s">
        <v>1876</v>
      </c>
      <c r="J129" s="27" t="s">
        <v>1877</v>
      </c>
      <c r="K129" s="27" t="n">
        <v>1247</v>
      </c>
      <c r="L129" s="27" t="n">
        <v>702</v>
      </c>
      <c r="M129" s="28" t="n">
        <f aca="false">IFERROR(VLOOKUP((OFFSET(hoje12_326_ana9,128,10,1,1)&amp;"."&amp;OFFSET(hoje12_326_ana9,128,11,1,1)),'12.326'!A:D,4,0),"-")</f>
        <v>9531413001815</v>
      </c>
    </row>
    <row r="130" customFormat="false" ht="14.4" hidden="false" customHeight="false" outlineLevel="0" collapsed="false">
      <c r="A130" s="27" t="n">
        <v>11100156</v>
      </c>
      <c r="B130" s="27" t="s">
        <v>1918</v>
      </c>
      <c r="C130" s="43" t="n">
        <v>552.96</v>
      </c>
      <c r="D130" s="27" t="n">
        <v>0</v>
      </c>
      <c r="E130" s="27" t="n">
        <v>36</v>
      </c>
      <c r="F130" s="27" t="n">
        <v>15.36</v>
      </c>
      <c r="G130" s="27" t="s">
        <v>1875</v>
      </c>
      <c r="H130" s="27" t="s">
        <v>68</v>
      </c>
      <c r="I130" s="27" t="s">
        <v>1876</v>
      </c>
      <c r="J130" s="27" t="s">
        <v>1877</v>
      </c>
      <c r="K130" s="27" t="n">
        <v>1247</v>
      </c>
      <c r="L130" s="27" t="n">
        <v>702</v>
      </c>
      <c r="M130" s="28" t="n">
        <f aca="false">IFERROR(VLOOKUP((OFFSET(hoje12_326_ana9,129,10,1,1)&amp;"."&amp;OFFSET(hoje12_326_ana9,129,11,1,1)),'12.326'!A:D,4,0),"-")</f>
        <v>9531413001815</v>
      </c>
    </row>
    <row r="131" customFormat="false" ht="14.4" hidden="false" customHeight="false" outlineLevel="0" collapsed="false">
      <c r="A131" s="27" t="n">
        <v>11100191</v>
      </c>
      <c r="B131" s="27" t="s">
        <v>1919</v>
      </c>
      <c r="C131" s="43" t="n">
        <v>501.6</v>
      </c>
      <c r="D131" s="27" t="n">
        <v>0</v>
      </c>
      <c r="E131" s="27" t="n">
        <v>48</v>
      </c>
      <c r="F131" s="27" t="n">
        <v>10.45</v>
      </c>
      <c r="G131" s="27" t="s">
        <v>1875</v>
      </c>
      <c r="H131" s="27" t="s">
        <v>68</v>
      </c>
      <c r="I131" s="27" t="s">
        <v>1876</v>
      </c>
      <c r="J131" s="27" t="s">
        <v>1877</v>
      </c>
      <c r="K131" s="27" t="n">
        <v>1247</v>
      </c>
      <c r="L131" s="27" t="n">
        <v>702</v>
      </c>
      <c r="M131" s="28" t="n">
        <f aca="false">IFERROR(VLOOKUP((OFFSET(hoje12_326_ana9,130,10,1,1)&amp;"."&amp;OFFSET(hoje12_326_ana9,130,11,1,1)),'12.326'!A:D,4,0),"-")</f>
        <v>9531413001815</v>
      </c>
    </row>
    <row r="132" customFormat="false" ht="14.4" hidden="false" customHeight="false" outlineLevel="0" collapsed="false">
      <c r="A132" s="27" t="n">
        <v>11100193</v>
      </c>
      <c r="B132" s="27" t="s">
        <v>1920</v>
      </c>
      <c r="C132" s="43" t="n">
        <v>552.96</v>
      </c>
      <c r="D132" s="27" t="n">
        <v>0</v>
      </c>
      <c r="E132" s="27" t="n">
        <v>36</v>
      </c>
      <c r="F132" s="27" t="n">
        <v>15.36</v>
      </c>
      <c r="G132" s="27" t="s">
        <v>1875</v>
      </c>
      <c r="H132" s="27" t="s">
        <v>68</v>
      </c>
      <c r="I132" s="27" t="s">
        <v>1876</v>
      </c>
      <c r="J132" s="27" t="s">
        <v>1877</v>
      </c>
      <c r="K132" s="27" t="n">
        <v>1247</v>
      </c>
      <c r="L132" s="27" t="n">
        <v>702</v>
      </c>
      <c r="M132" s="28" t="n">
        <f aca="false">IFERROR(VLOOKUP((OFFSET(hoje12_326_ana9,131,10,1,1)&amp;"."&amp;OFFSET(hoje12_326_ana9,131,11,1,1)),'12.326'!A:D,4,0),"-")</f>
        <v>9531413001815</v>
      </c>
    </row>
    <row r="133" customFormat="false" ht="14.4" hidden="false" customHeight="false" outlineLevel="0" collapsed="false">
      <c r="A133" s="27" t="n">
        <v>11100205</v>
      </c>
      <c r="B133" s="27" t="s">
        <v>1921</v>
      </c>
      <c r="C133" s="43" t="n">
        <v>437.76</v>
      </c>
      <c r="D133" s="27" t="n">
        <v>0</v>
      </c>
      <c r="E133" s="27" t="n">
        <v>72</v>
      </c>
      <c r="F133" s="27" t="n">
        <v>6.08</v>
      </c>
      <c r="G133" s="27" t="s">
        <v>1875</v>
      </c>
      <c r="H133" s="27" t="s">
        <v>68</v>
      </c>
      <c r="I133" s="27" t="s">
        <v>1876</v>
      </c>
      <c r="J133" s="27" t="s">
        <v>1877</v>
      </c>
      <c r="K133" s="27" t="n">
        <v>1247</v>
      </c>
      <c r="L133" s="27" t="n">
        <v>702</v>
      </c>
      <c r="M133" s="28" t="n">
        <f aca="false">IFERROR(VLOOKUP((OFFSET(hoje12_326_ana9,132,10,1,1)&amp;"."&amp;OFFSET(hoje12_326_ana9,132,11,1,1)),'12.326'!A:D,4,0),"-")</f>
        <v>9531413001815</v>
      </c>
    </row>
    <row r="134" customFormat="false" ht="14.4" hidden="false" customHeight="false" outlineLevel="0" collapsed="false">
      <c r="A134" s="27" t="n">
        <v>11100214</v>
      </c>
      <c r="B134" s="27" t="s">
        <v>1922</v>
      </c>
      <c r="C134" s="43" t="n">
        <v>822.96</v>
      </c>
      <c r="D134" s="27" t="n">
        <v>0</v>
      </c>
      <c r="E134" s="27" t="n">
        <v>216</v>
      </c>
      <c r="F134" s="27" t="n">
        <v>3.81</v>
      </c>
      <c r="G134" s="27" t="s">
        <v>1875</v>
      </c>
      <c r="H134" s="27" t="s">
        <v>68</v>
      </c>
      <c r="I134" s="27" t="s">
        <v>1876</v>
      </c>
      <c r="J134" s="27" t="s">
        <v>1877</v>
      </c>
      <c r="K134" s="27" t="n">
        <v>1247</v>
      </c>
      <c r="L134" s="27" t="n">
        <v>702</v>
      </c>
      <c r="M134" s="28" t="n">
        <f aca="false">IFERROR(VLOOKUP((OFFSET(hoje12_326_ana9,133,10,1,1)&amp;"."&amp;OFFSET(hoje12_326_ana9,133,11,1,1)),'12.326'!A:D,4,0),"-")</f>
        <v>9531413001815</v>
      </c>
    </row>
    <row r="135" customFormat="false" ht="14.4" hidden="false" customHeight="false" outlineLevel="0" collapsed="false">
      <c r="A135" s="27" t="n">
        <v>11100216</v>
      </c>
      <c r="B135" s="27" t="s">
        <v>1923</v>
      </c>
      <c r="C135" s="43" t="n">
        <v>790.56</v>
      </c>
      <c r="D135" s="27" t="n">
        <v>0</v>
      </c>
      <c r="E135" s="27" t="n">
        <v>144</v>
      </c>
      <c r="F135" s="27" t="n">
        <v>5.49</v>
      </c>
      <c r="G135" s="27" t="s">
        <v>1875</v>
      </c>
      <c r="H135" s="27" t="s">
        <v>68</v>
      </c>
      <c r="I135" s="27" t="s">
        <v>1876</v>
      </c>
      <c r="J135" s="27" t="s">
        <v>1877</v>
      </c>
      <c r="K135" s="27" t="n">
        <v>1247</v>
      </c>
      <c r="L135" s="27" t="n">
        <v>702</v>
      </c>
      <c r="M135" s="28" t="n">
        <f aca="false">IFERROR(VLOOKUP((OFFSET(hoje12_326_ana9,134,10,1,1)&amp;"."&amp;OFFSET(hoje12_326_ana9,134,11,1,1)),'12.326'!A:D,4,0),"-")</f>
        <v>9531413001815</v>
      </c>
    </row>
    <row r="136" customFormat="false" ht="14.4" hidden="false" customHeight="false" outlineLevel="0" collapsed="false">
      <c r="A136" s="27" t="n">
        <v>11100239</v>
      </c>
      <c r="B136" s="27" t="s">
        <v>1924</v>
      </c>
      <c r="C136" s="43" t="n">
        <v>3247.2</v>
      </c>
      <c r="D136" s="27" t="n">
        <v>0</v>
      </c>
      <c r="E136" s="27" t="n">
        <v>720</v>
      </c>
      <c r="F136" s="27" t="n">
        <v>4.51</v>
      </c>
      <c r="G136" s="27" t="s">
        <v>1875</v>
      </c>
      <c r="H136" s="27" t="s">
        <v>68</v>
      </c>
      <c r="I136" s="27" t="s">
        <v>1876</v>
      </c>
      <c r="J136" s="27" t="s">
        <v>1877</v>
      </c>
      <c r="K136" s="27" t="n">
        <v>1247</v>
      </c>
      <c r="L136" s="27" t="n">
        <v>702</v>
      </c>
      <c r="M136" s="28" t="n">
        <f aca="false">IFERROR(VLOOKUP((OFFSET(hoje12_326_ana9,135,10,1,1)&amp;"."&amp;OFFSET(hoje12_326_ana9,135,11,1,1)),'12.326'!A:D,4,0),"-")</f>
        <v>9531413001815</v>
      </c>
    </row>
    <row r="137" customFormat="false" ht="14.4" hidden="false" customHeight="false" outlineLevel="0" collapsed="false">
      <c r="A137" s="27" t="n">
        <v>11100254</v>
      </c>
      <c r="B137" s="27" t="s">
        <v>1925</v>
      </c>
      <c r="C137" s="43" t="n">
        <v>111.94</v>
      </c>
      <c r="D137" s="27" t="n">
        <v>12.44</v>
      </c>
      <c r="E137" s="27" t="n">
        <v>18</v>
      </c>
      <c r="F137" s="27" t="n">
        <v>6.91</v>
      </c>
      <c r="G137" s="27" t="s">
        <v>1875</v>
      </c>
      <c r="H137" s="27" t="s">
        <v>1895</v>
      </c>
      <c r="I137" s="27" t="s">
        <v>1876</v>
      </c>
      <c r="J137" s="27" t="s">
        <v>1926</v>
      </c>
      <c r="K137" s="27" t="n">
        <v>1247</v>
      </c>
      <c r="L137" s="27" t="n">
        <v>702</v>
      </c>
      <c r="M137" s="28" t="n">
        <f aca="false">IFERROR(VLOOKUP((OFFSET(hoje12_326_ana9,136,10,1,1)&amp;"."&amp;OFFSET(hoje12_326_ana9,136,11,1,1)),'12.326'!A:D,4,0),"-")</f>
        <v>9531413001815</v>
      </c>
    </row>
    <row r="138" customFormat="false" ht="14.4" hidden="false" customHeight="false" outlineLevel="0" collapsed="false">
      <c r="A138" s="27" t="n">
        <v>11100255</v>
      </c>
      <c r="B138" s="27" t="s">
        <v>1927</v>
      </c>
      <c r="C138" s="43" t="n">
        <v>111.94</v>
      </c>
      <c r="D138" s="27" t="n">
        <v>12.44</v>
      </c>
      <c r="E138" s="27" t="n">
        <v>18</v>
      </c>
      <c r="F138" s="27" t="n">
        <v>6.91</v>
      </c>
      <c r="G138" s="27" t="s">
        <v>1875</v>
      </c>
      <c r="H138" s="27" t="s">
        <v>1895</v>
      </c>
      <c r="I138" s="27" t="s">
        <v>1876</v>
      </c>
      <c r="J138" s="27" t="s">
        <v>1926</v>
      </c>
      <c r="K138" s="27" t="n">
        <v>1247</v>
      </c>
      <c r="L138" s="27" t="n">
        <v>702</v>
      </c>
      <c r="M138" s="28" t="n">
        <f aca="false">IFERROR(VLOOKUP((OFFSET(hoje12_326_ana9,137,10,1,1)&amp;"."&amp;OFFSET(hoje12_326_ana9,137,11,1,1)),'12.326'!A:D,4,0),"-")</f>
        <v>9531413001815</v>
      </c>
    </row>
    <row r="139" customFormat="false" ht="14.4" hidden="false" customHeight="false" outlineLevel="0" collapsed="false">
      <c r="A139" s="27" t="n">
        <v>11100256</v>
      </c>
      <c r="B139" s="27" t="s">
        <v>1928</v>
      </c>
      <c r="C139" s="43" t="n">
        <v>111.94</v>
      </c>
      <c r="D139" s="27" t="n">
        <v>12.44</v>
      </c>
      <c r="E139" s="27" t="n">
        <v>18</v>
      </c>
      <c r="F139" s="27" t="n">
        <v>6.91</v>
      </c>
      <c r="G139" s="27" t="s">
        <v>1875</v>
      </c>
      <c r="H139" s="27" t="s">
        <v>1895</v>
      </c>
      <c r="I139" s="27" t="s">
        <v>1876</v>
      </c>
      <c r="J139" s="27" t="s">
        <v>1926</v>
      </c>
      <c r="K139" s="27" t="n">
        <v>1247</v>
      </c>
      <c r="L139" s="27" t="n">
        <v>702</v>
      </c>
      <c r="M139" s="28" t="n">
        <f aca="false">IFERROR(VLOOKUP((OFFSET(hoje12_326_ana9,138,10,1,1)&amp;"."&amp;OFFSET(hoje12_326_ana9,138,11,1,1)),'12.326'!A:D,4,0),"-")</f>
        <v>9531413001815</v>
      </c>
    </row>
    <row r="140" customFormat="false" ht="14.4" hidden="false" customHeight="false" outlineLevel="0" collapsed="false">
      <c r="A140" s="27" t="n">
        <v>11100261</v>
      </c>
      <c r="B140" s="27" t="s">
        <v>1929</v>
      </c>
      <c r="C140" s="43" t="n">
        <v>42.88</v>
      </c>
      <c r="D140" s="27" t="n">
        <v>4.76</v>
      </c>
      <c r="E140" s="27" t="n">
        <v>6</v>
      </c>
      <c r="F140" s="27" t="n">
        <v>7.94</v>
      </c>
      <c r="G140" s="27" t="s">
        <v>1875</v>
      </c>
      <c r="H140" s="27" t="s">
        <v>1895</v>
      </c>
      <c r="I140" s="27" t="s">
        <v>1876</v>
      </c>
      <c r="J140" s="27" t="s">
        <v>1930</v>
      </c>
      <c r="K140" s="27" t="n">
        <v>1247</v>
      </c>
      <c r="L140" s="27" t="n">
        <v>702</v>
      </c>
      <c r="M140" s="28" t="n">
        <f aca="false">IFERROR(VLOOKUP((OFFSET(hoje12_326_ana9,139,10,1,1)&amp;"."&amp;OFFSET(hoje12_326_ana9,139,11,1,1)),'12.326'!A:D,4,0),"-")</f>
        <v>9531413001815</v>
      </c>
    </row>
    <row r="141" customFormat="false" ht="14.4" hidden="false" customHeight="false" outlineLevel="0" collapsed="false">
      <c r="A141" s="27" t="n">
        <v>11100262</v>
      </c>
      <c r="B141" s="27" t="s">
        <v>1931</v>
      </c>
      <c r="C141" s="43" t="n">
        <v>42.82</v>
      </c>
      <c r="D141" s="27" t="n">
        <v>4.76</v>
      </c>
      <c r="E141" s="27" t="n">
        <v>6</v>
      </c>
      <c r="F141" s="27" t="n">
        <v>7.93</v>
      </c>
      <c r="G141" s="27" t="s">
        <v>1875</v>
      </c>
      <c r="H141" s="27" t="s">
        <v>1895</v>
      </c>
      <c r="I141" s="27" t="s">
        <v>1876</v>
      </c>
      <c r="J141" s="27" t="s">
        <v>1932</v>
      </c>
      <c r="K141" s="27" t="n">
        <v>1247</v>
      </c>
      <c r="L141" s="27" t="n">
        <v>702</v>
      </c>
      <c r="M141" s="28" t="n">
        <f aca="false">IFERROR(VLOOKUP((OFFSET(hoje12_326_ana9,140,10,1,1)&amp;"."&amp;OFFSET(hoje12_326_ana9,140,11,1,1)),'12.326'!A:D,4,0),"-")</f>
        <v>9531413001815</v>
      </c>
    </row>
    <row r="142" customFormat="false" ht="14.4" hidden="false" customHeight="false" outlineLevel="0" collapsed="false">
      <c r="A142" s="27" t="n">
        <v>11100264</v>
      </c>
      <c r="B142" s="27" t="s">
        <v>1933</v>
      </c>
      <c r="C142" s="43" t="n">
        <v>42.88</v>
      </c>
      <c r="D142" s="27" t="n">
        <v>4.76</v>
      </c>
      <c r="E142" s="27" t="n">
        <v>6</v>
      </c>
      <c r="F142" s="27" t="n">
        <v>7.94</v>
      </c>
      <c r="G142" s="27" t="s">
        <v>1875</v>
      </c>
      <c r="H142" s="27" t="s">
        <v>1895</v>
      </c>
      <c r="I142" s="27" t="s">
        <v>1876</v>
      </c>
      <c r="J142" s="27" t="s">
        <v>1930</v>
      </c>
      <c r="K142" s="27" t="n">
        <v>1247</v>
      </c>
      <c r="L142" s="27" t="n">
        <v>702</v>
      </c>
      <c r="M142" s="28" t="n">
        <f aca="false">IFERROR(VLOOKUP((OFFSET(hoje12_326_ana9,141,10,1,1)&amp;"."&amp;OFFSET(hoje12_326_ana9,141,11,1,1)),'12.326'!A:D,4,0),"-")</f>
        <v>9531413001815</v>
      </c>
    </row>
    <row r="143" customFormat="false" ht="14.4" hidden="false" customHeight="false" outlineLevel="0" collapsed="false">
      <c r="A143" s="27" t="n">
        <v>11100271</v>
      </c>
      <c r="B143" s="27" t="s">
        <v>1934</v>
      </c>
      <c r="C143" s="43" t="n">
        <v>64.31</v>
      </c>
      <c r="D143" s="27" t="n">
        <v>7.15</v>
      </c>
      <c r="E143" s="27" t="n">
        <v>6</v>
      </c>
      <c r="F143" s="27" t="n">
        <v>11.91</v>
      </c>
      <c r="G143" s="27" t="s">
        <v>1875</v>
      </c>
      <c r="H143" s="27" t="s">
        <v>1895</v>
      </c>
      <c r="I143" s="27" t="s">
        <v>1876</v>
      </c>
      <c r="J143" s="27" t="s">
        <v>1935</v>
      </c>
      <c r="K143" s="27" t="n">
        <v>1247</v>
      </c>
      <c r="L143" s="27" t="n">
        <v>702</v>
      </c>
      <c r="M143" s="28" t="n">
        <f aca="false">IFERROR(VLOOKUP((OFFSET(hoje12_326_ana9,142,10,1,1)&amp;"."&amp;OFFSET(hoje12_326_ana9,142,11,1,1)),'12.326'!A:D,4,0),"-")</f>
        <v>9531413001815</v>
      </c>
    </row>
    <row r="144" customFormat="false" ht="14.4" hidden="false" customHeight="false" outlineLevel="0" collapsed="false">
      <c r="A144" s="27" t="n">
        <v>11100280</v>
      </c>
      <c r="B144" s="27" t="s">
        <v>1936</v>
      </c>
      <c r="C144" s="43" t="n">
        <v>42.88</v>
      </c>
      <c r="D144" s="27" t="n">
        <v>4.76</v>
      </c>
      <c r="E144" s="27" t="n">
        <v>6</v>
      </c>
      <c r="F144" s="27" t="n">
        <v>7.94</v>
      </c>
      <c r="G144" s="27" t="s">
        <v>1875</v>
      </c>
      <c r="H144" s="27" t="s">
        <v>1895</v>
      </c>
      <c r="I144" s="27" t="s">
        <v>1876</v>
      </c>
      <c r="J144" s="27" t="s">
        <v>1930</v>
      </c>
      <c r="K144" s="27" t="n">
        <v>1247</v>
      </c>
      <c r="L144" s="27" t="n">
        <v>702</v>
      </c>
      <c r="M144" s="28" t="n">
        <f aca="false">IFERROR(VLOOKUP((OFFSET(hoje12_326_ana9,143,10,1,1)&amp;"."&amp;OFFSET(hoje12_326_ana9,143,11,1,1)),'12.326'!A:D,4,0),"-")</f>
        <v>9531413001815</v>
      </c>
    </row>
    <row r="145" customFormat="false" ht="14.4" hidden="false" customHeight="false" outlineLevel="0" collapsed="false">
      <c r="A145" s="27" t="n">
        <v>11100314</v>
      </c>
      <c r="B145" s="27" t="s">
        <v>1937</v>
      </c>
      <c r="C145" s="43" t="n">
        <v>125.04</v>
      </c>
      <c r="D145" s="27" t="n">
        <v>0</v>
      </c>
      <c r="E145" s="27" t="n">
        <v>12</v>
      </c>
      <c r="F145" s="27" t="n">
        <v>10.42</v>
      </c>
      <c r="G145" s="27" t="s">
        <v>1875</v>
      </c>
      <c r="H145" s="27" t="s">
        <v>68</v>
      </c>
      <c r="I145" s="27" t="s">
        <v>1876</v>
      </c>
      <c r="J145" s="27" t="s">
        <v>1877</v>
      </c>
      <c r="K145" s="27" t="n">
        <v>1247</v>
      </c>
      <c r="L145" s="27" t="n">
        <v>702</v>
      </c>
      <c r="M145" s="28" t="n">
        <f aca="false">IFERROR(VLOOKUP((OFFSET(hoje12_326_ana9,144,10,1,1)&amp;"."&amp;OFFSET(hoje12_326_ana9,144,11,1,1)),'12.326'!A:D,4,0),"-")</f>
        <v>9531413001815</v>
      </c>
    </row>
    <row r="146" customFormat="false" ht="14.4" hidden="false" customHeight="false" outlineLevel="0" collapsed="false">
      <c r="A146" s="27" t="n">
        <v>11100318</v>
      </c>
      <c r="B146" s="27" t="s">
        <v>1938</v>
      </c>
      <c r="C146" s="43" t="n">
        <v>260.4</v>
      </c>
      <c r="D146" s="27" t="n">
        <v>0</v>
      </c>
      <c r="E146" s="27" t="n">
        <v>60</v>
      </c>
      <c r="F146" s="27" t="n">
        <v>4.34</v>
      </c>
      <c r="G146" s="27" t="s">
        <v>1875</v>
      </c>
      <c r="H146" s="27" t="s">
        <v>68</v>
      </c>
      <c r="I146" s="27" t="s">
        <v>1876</v>
      </c>
      <c r="J146" s="27" t="s">
        <v>1877</v>
      </c>
      <c r="K146" s="27" t="n">
        <v>1247</v>
      </c>
      <c r="L146" s="27" t="n">
        <v>702</v>
      </c>
      <c r="M146" s="28" t="n">
        <f aca="false">IFERROR(VLOOKUP((OFFSET(hoje12_326_ana9,145,10,1,1)&amp;"."&amp;OFFSET(hoje12_326_ana9,145,11,1,1)),'12.326'!A:D,4,0),"-")</f>
        <v>9531413001815</v>
      </c>
    </row>
    <row r="147" customFormat="false" ht="14.4" hidden="false" customHeight="false" outlineLevel="0" collapsed="false">
      <c r="A147" s="27" t="n">
        <v>11100324</v>
      </c>
      <c r="B147" s="27" t="s">
        <v>1939</v>
      </c>
      <c r="C147" s="43" t="n">
        <v>189.12</v>
      </c>
      <c r="D147" s="27" t="n">
        <v>0</v>
      </c>
      <c r="E147" s="27" t="n">
        <v>12</v>
      </c>
      <c r="F147" s="27" t="n">
        <v>15.76</v>
      </c>
      <c r="G147" s="27" t="s">
        <v>1875</v>
      </c>
      <c r="H147" s="27" t="s">
        <v>68</v>
      </c>
      <c r="I147" s="27" t="s">
        <v>1876</v>
      </c>
      <c r="J147" s="27" t="s">
        <v>1877</v>
      </c>
      <c r="K147" s="27" t="n">
        <v>1247</v>
      </c>
      <c r="L147" s="27" t="n">
        <v>702</v>
      </c>
      <c r="M147" s="28" t="n">
        <f aca="false">IFERROR(VLOOKUP((OFFSET(hoje12_326_ana9,146,10,1,1)&amp;"."&amp;OFFSET(hoje12_326_ana9,146,11,1,1)),'12.326'!A:D,4,0),"-")</f>
        <v>9531413001815</v>
      </c>
    </row>
    <row r="148" customFormat="false" ht="14.4" hidden="false" customHeight="false" outlineLevel="0" collapsed="false">
      <c r="A148" s="27" t="n">
        <v>11100337</v>
      </c>
      <c r="B148" s="27" t="s">
        <v>1940</v>
      </c>
      <c r="C148" s="43" t="n">
        <v>174.84</v>
      </c>
      <c r="D148" s="27" t="n">
        <v>0</v>
      </c>
      <c r="E148" s="27" t="n">
        <v>12</v>
      </c>
      <c r="F148" s="27" t="n">
        <v>14.57</v>
      </c>
      <c r="G148" s="27" t="s">
        <v>1875</v>
      </c>
      <c r="H148" s="27" t="s">
        <v>68</v>
      </c>
      <c r="I148" s="27" t="s">
        <v>1876</v>
      </c>
      <c r="J148" s="27" t="s">
        <v>1877</v>
      </c>
      <c r="K148" s="27" t="n">
        <v>1247</v>
      </c>
      <c r="L148" s="27" t="n">
        <v>702</v>
      </c>
      <c r="M148" s="28" t="n">
        <f aca="false">IFERROR(VLOOKUP((OFFSET(hoje12_326_ana9,147,10,1,1)&amp;"."&amp;OFFSET(hoje12_326_ana9,147,11,1,1)),'12.326'!A:D,4,0),"-")</f>
        <v>9531413001815</v>
      </c>
    </row>
    <row r="149" customFormat="false" ht="14.4" hidden="false" customHeight="false" outlineLevel="0" collapsed="false">
      <c r="A149" s="27" t="n">
        <v>11100350</v>
      </c>
      <c r="B149" s="27" t="s">
        <v>1941</v>
      </c>
      <c r="C149" s="43" t="n">
        <v>131.16</v>
      </c>
      <c r="D149" s="27" t="n">
        <v>0</v>
      </c>
      <c r="E149" s="27" t="n">
        <v>12</v>
      </c>
      <c r="F149" s="27" t="n">
        <v>10.93</v>
      </c>
      <c r="G149" s="27" t="s">
        <v>1875</v>
      </c>
      <c r="H149" s="27" t="s">
        <v>68</v>
      </c>
      <c r="I149" s="27" t="s">
        <v>1876</v>
      </c>
      <c r="J149" s="27" t="s">
        <v>1877</v>
      </c>
      <c r="K149" s="27" t="n">
        <v>1247</v>
      </c>
      <c r="L149" s="27" t="n">
        <v>702</v>
      </c>
      <c r="M149" s="28" t="n">
        <f aca="false">IFERROR(VLOOKUP((OFFSET(hoje12_326_ana9,148,10,1,1)&amp;"."&amp;OFFSET(hoje12_326_ana9,148,11,1,1)),'12.326'!A:D,4,0),"-")</f>
        <v>9531413001815</v>
      </c>
    </row>
    <row r="150" customFormat="false" ht="14.4" hidden="false" customHeight="false" outlineLevel="0" collapsed="false">
      <c r="A150" s="27" t="n">
        <v>11100362</v>
      </c>
      <c r="B150" s="27" t="s">
        <v>1942</v>
      </c>
      <c r="C150" s="43" t="n">
        <v>117.72</v>
      </c>
      <c r="D150" s="27" t="n">
        <v>0</v>
      </c>
      <c r="E150" s="27" t="n">
        <v>12</v>
      </c>
      <c r="F150" s="27" t="n">
        <v>9.81</v>
      </c>
      <c r="G150" s="27" t="s">
        <v>1875</v>
      </c>
      <c r="H150" s="27" t="s">
        <v>68</v>
      </c>
      <c r="I150" s="27" t="s">
        <v>1876</v>
      </c>
      <c r="J150" s="27" t="s">
        <v>1877</v>
      </c>
      <c r="K150" s="27" t="n">
        <v>1247</v>
      </c>
      <c r="L150" s="27" t="n">
        <v>702</v>
      </c>
      <c r="M150" s="28" t="n">
        <f aca="false">IFERROR(VLOOKUP((OFFSET(hoje12_326_ana9,149,10,1,1)&amp;"."&amp;OFFSET(hoje12_326_ana9,149,11,1,1)),'12.326'!A:D,4,0),"-")</f>
        <v>9531413001815</v>
      </c>
    </row>
    <row r="151" customFormat="false" ht="14.4" hidden="false" customHeight="false" outlineLevel="0" collapsed="false">
      <c r="A151" s="27" t="n">
        <v>11100366</v>
      </c>
      <c r="B151" s="27" t="s">
        <v>1943</v>
      </c>
      <c r="C151" s="43" t="n">
        <v>87.72</v>
      </c>
      <c r="D151" s="27" t="n">
        <v>0</v>
      </c>
      <c r="E151" s="27" t="n">
        <v>6</v>
      </c>
      <c r="F151" s="27" t="n">
        <v>14.62</v>
      </c>
      <c r="G151" s="27" t="s">
        <v>1875</v>
      </c>
      <c r="H151" s="27" t="s">
        <v>68</v>
      </c>
      <c r="I151" s="27" t="s">
        <v>1876</v>
      </c>
      <c r="J151" s="27" t="s">
        <v>1877</v>
      </c>
      <c r="K151" s="27" t="n">
        <v>1247</v>
      </c>
      <c r="L151" s="27" t="n">
        <v>702</v>
      </c>
      <c r="M151" s="28" t="n">
        <f aca="false">IFERROR(VLOOKUP((OFFSET(hoje12_326_ana9,150,10,1,1)&amp;"."&amp;OFFSET(hoje12_326_ana9,150,11,1,1)),'12.326'!A:D,4,0),"-")</f>
        <v>9531413001815</v>
      </c>
    </row>
    <row r="152" customFormat="false" ht="14.4" hidden="false" customHeight="false" outlineLevel="0" collapsed="false">
      <c r="A152" s="27" t="n">
        <v>11100377</v>
      </c>
      <c r="B152" s="27" t="s">
        <v>1944</v>
      </c>
      <c r="C152" s="43" t="n">
        <v>132.48</v>
      </c>
      <c r="D152" s="27" t="n">
        <v>0</v>
      </c>
      <c r="E152" s="27" t="n">
        <v>12</v>
      </c>
      <c r="F152" s="27" t="n">
        <v>11.04</v>
      </c>
      <c r="G152" s="27" t="s">
        <v>1875</v>
      </c>
      <c r="H152" s="27" t="s">
        <v>68</v>
      </c>
      <c r="I152" s="27" t="s">
        <v>1876</v>
      </c>
      <c r="J152" s="27" t="s">
        <v>1877</v>
      </c>
      <c r="K152" s="27" t="n">
        <v>1247</v>
      </c>
      <c r="L152" s="27" t="n">
        <v>702</v>
      </c>
      <c r="M152" s="28" t="n">
        <f aca="false">IFERROR(VLOOKUP((OFFSET(hoje12_326_ana9,151,10,1,1)&amp;"."&amp;OFFSET(hoje12_326_ana9,151,11,1,1)),'12.326'!A:D,4,0),"-")</f>
        <v>9531413001815</v>
      </c>
    </row>
    <row r="153" customFormat="false" ht="14.4" hidden="false" customHeight="false" outlineLevel="0" collapsed="false">
      <c r="A153" s="27" t="n">
        <v>11100421</v>
      </c>
      <c r="B153" s="27" t="s">
        <v>1945</v>
      </c>
      <c r="C153" s="43" t="n">
        <v>331.92</v>
      </c>
      <c r="D153" s="27" t="n">
        <v>0</v>
      </c>
      <c r="E153" s="27" t="n">
        <v>36</v>
      </c>
      <c r="F153" s="27" t="n">
        <v>9.22</v>
      </c>
      <c r="G153" s="27" t="s">
        <v>1875</v>
      </c>
      <c r="H153" s="27" t="s">
        <v>68</v>
      </c>
      <c r="I153" s="27" t="s">
        <v>1876</v>
      </c>
      <c r="J153" s="27" t="s">
        <v>1877</v>
      </c>
      <c r="K153" s="27" t="n">
        <v>1247</v>
      </c>
      <c r="L153" s="27" t="n">
        <v>702</v>
      </c>
      <c r="M153" s="28" t="n">
        <f aca="false">IFERROR(VLOOKUP((OFFSET(hoje12_326_ana9,152,10,1,1)&amp;"."&amp;OFFSET(hoje12_326_ana9,152,11,1,1)),'12.326'!A:D,4,0),"-")</f>
        <v>9531413001815</v>
      </c>
    </row>
    <row r="154" customFormat="false" ht="14.4" hidden="false" customHeight="false" outlineLevel="0" collapsed="false">
      <c r="A154" s="27" t="n">
        <v>11100464</v>
      </c>
      <c r="B154" s="27" t="s">
        <v>1946</v>
      </c>
      <c r="C154" s="43" t="n">
        <v>694.08</v>
      </c>
      <c r="D154" s="27" t="n">
        <v>0</v>
      </c>
      <c r="E154" s="27" t="n">
        <v>144</v>
      </c>
      <c r="F154" s="27" t="n">
        <v>4.82</v>
      </c>
      <c r="G154" s="27" t="s">
        <v>1875</v>
      </c>
      <c r="H154" s="27" t="s">
        <v>68</v>
      </c>
      <c r="I154" s="27" t="s">
        <v>1876</v>
      </c>
      <c r="J154" s="27" t="s">
        <v>1877</v>
      </c>
      <c r="K154" s="27" t="n">
        <v>1247</v>
      </c>
      <c r="L154" s="27" t="n">
        <v>702</v>
      </c>
      <c r="M154" s="28" t="n">
        <f aca="false">IFERROR(VLOOKUP((OFFSET(hoje12_326_ana9,153,10,1,1)&amp;"."&amp;OFFSET(hoje12_326_ana9,153,11,1,1)),'12.326'!A:D,4,0),"-")</f>
        <v>9531413001815</v>
      </c>
    </row>
    <row r="155" customFormat="false" ht="14.4" hidden="false" customHeight="false" outlineLevel="0" collapsed="false">
      <c r="A155" s="27" t="n">
        <v>11100475</v>
      </c>
      <c r="B155" s="27" t="s">
        <v>1947</v>
      </c>
      <c r="C155" s="43" t="n">
        <v>187.94</v>
      </c>
      <c r="D155" s="27" t="n">
        <v>1.9</v>
      </c>
      <c r="E155" s="27" t="n">
        <v>24</v>
      </c>
      <c r="F155" s="27" t="n">
        <v>7.91</v>
      </c>
      <c r="G155" s="27" t="s">
        <v>1875</v>
      </c>
      <c r="H155" s="27" t="s">
        <v>1948</v>
      </c>
      <c r="I155" s="27" t="s">
        <v>1876</v>
      </c>
      <c r="J155" s="27" t="s">
        <v>1949</v>
      </c>
      <c r="K155" s="27" t="n">
        <v>1247</v>
      </c>
      <c r="L155" s="27" t="n">
        <v>702</v>
      </c>
      <c r="M155" s="28" t="n">
        <f aca="false">IFERROR(VLOOKUP((OFFSET(hoje12_326_ana9,154,10,1,1)&amp;"."&amp;OFFSET(hoje12_326_ana9,154,11,1,1)),'12.326'!A:D,4,0),"-")</f>
        <v>9531413001815</v>
      </c>
    </row>
    <row r="156" customFormat="false" ht="14.4" hidden="false" customHeight="false" outlineLevel="0" collapsed="false">
      <c r="A156" s="27" t="n">
        <v>11100477</v>
      </c>
      <c r="B156" s="27" t="s">
        <v>1950</v>
      </c>
      <c r="C156" s="43" t="n">
        <v>179.52</v>
      </c>
      <c r="D156" s="27" t="n">
        <v>0</v>
      </c>
      <c r="E156" s="27" t="n">
        <v>24</v>
      </c>
      <c r="F156" s="27" t="n">
        <v>7.48</v>
      </c>
      <c r="G156" s="27" t="s">
        <v>1875</v>
      </c>
      <c r="H156" s="27" t="s">
        <v>68</v>
      </c>
      <c r="I156" s="27" t="s">
        <v>1876</v>
      </c>
      <c r="J156" s="27" t="s">
        <v>1877</v>
      </c>
      <c r="K156" s="27" t="n">
        <v>1247</v>
      </c>
      <c r="L156" s="27" t="n">
        <v>702</v>
      </c>
      <c r="M156" s="28" t="n">
        <f aca="false">IFERROR(VLOOKUP((OFFSET(hoje12_326_ana9,155,10,1,1)&amp;"."&amp;OFFSET(hoje12_326_ana9,155,11,1,1)),'12.326'!A:D,4,0),"-")</f>
        <v>9531413001815</v>
      </c>
    </row>
    <row r="157" customFormat="false" ht="14.4" hidden="false" customHeight="false" outlineLevel="0" collapsed="false">
      <c r="A157" s="27" t="n">
        <v>11100501</v>
      </c>
      <c r="B157" s="27" t="s">
        <v>1951</v>
      </c>
      <c r="C157" s="43" t="n">
        <v>300.24</v>
      </c>
      <c r="D157" s="27" t="n">
        <v>0</v>
      </c>
      <c r="E157" s="27" t="n">
        <v>24</v>
      </c>
      <c r="F157" s="27" t="n">
        <v>12.51</v>
      </c>
      <c r="G157" s="27" t="s">
        <v>1875</v>
      </c>
      <c r="H157" s="27" t="s">
        <v>68</v>
      </c>
      <c r="I157" s="27" t="s">
        <v>1876</v>
      </c>
      <c r="J157" s="27" t="s">
        <v>1877</v>
      </c>
      <c r="K157" s="27" t="n">
        <v>1247</v>
      </c>
      <c r="L157" s="27" t="n">
        <v>702</v>
      </c>
      <c r="M157" s="28" t="n">
        <f aca="false">IFERROR(VLOOKUP((OFFSET(hoje12_326_ana9,156,10,1,1)&amp;"."&amp;OFFSET(hoje12_326_ana9,156,11,1,1)),'12.326'!A:D,4,0),"-")</f>
        <v>9531413001815</v>
      </c>
    </row>
    <row r="158" customFormat="false" ht="14.4" hidden="false" customHeight="false" outlineLevel="0" collapsed="false">
      <c r="A158" s="27" t="n">
        <v>11100503</v>
      </c>
      <c r="B158" s="27" t="s">
        <v>1952</v>
      </c>
      <c r="C158" s="43" t="n">
        <v>150.12</v>
      </c>
      <c r="D158" s="27" t="n">
        <v>0</v>
      </c>
      <c r="E158" s="27" t="n">
        <v>12</v>
      </c>
      <c r="F158" s="27" t="n">
        <v>12.51</v>
      </c>
      <c r="G158" s="27" t="s">
        <v>1875</v>
      </c>
      <c r="H158" s="27" t="s">
        <v>68</v>
      </c>
      <c r="I158" s="27" t="s">
        <v>1876</v>
      </c>
      <c r="J158" s="27" t="s">
        <v>1877</v>
      </c>
      <c r="K158" s="27" t="n">
        <v>1247</v>
      </c>
      <c r="L158" s="27" t="n">
        <v>702</v>
      </c>
      <c r="M158" s="28" t="n">
        <f aca="false">IFERROR(VLOOKUP((OFFSET(hoje12_326_ana9,157,10,1,1)&amp;"."&amp;OFFSET(hoje12_326_ana9,157,11,1,1)),'12.326'!A:D,4,0),"-")</f>
        <v>9531413001815</v>
      </c>
    </row>
    <row r="159" customFormat="false" ht="14.4" hidden="false" customHeight="false" outlineLevel="0" collapsed="false">
      <c r="A159" s="27" t="n">
        <v>11100511</v>
      </c>
      <c r="B159" s="27" t="s">
        <v>1953</v>
      </c>
      <c r="C159" s="43" t="n">
        <v>150.12</v>
      </c>
      <c r="D159" s="27" t="n">
        <v>0</v>
      </c>
      <c r="E159" s="27" t="n">
        <v>12</v>
      </c>
      <c r="F159" s="27" t="n">
        <v>12.51</v>
      </c>
      <c r="G159" s="27" t="s">
        <v>1875</v>
      </c>
      <c r="H159" s="27" t="s">
        <v>68</v>
      </c>
      <c r="I159" s="27" t="s">
        <v>1876</v>
      </c>
      <c r="J159" s="27" t="s">
        <v>1877</v>
      </c>
      <c r="K159" s="27" t="n">
        <v>1247</v>
      </c>
      <c r="L159" s="27" t="n">
        <v>702</v>
      </c>
      <c r="M159" s="28" t="n">
        <f aca="false">IFERROR(VLOOKUP((OFFSET(hoje12_326_ana9,158,10,1,1)&amp;"."&amp;OFFSET(hoje12_326_ana9,158,11,1,1)),'12.326'!A:D,4,0),"-")</f>
        <v>9531413001815</v>
      </c>
    </row>
    <row r="160" customFormat="false" ht="14.4" hidden="false" customHeight="false" outlineLevel="0" collapsed="false">
      <c r="A160" s="27" t="n">
        <v>11100565</v>
      </c>
      <c r="B160" s="27" t="s">
        <v>1954</v>
      </c>
      <c r="C160" s="43" t="n">
        <v>203.76</v>
      </c>
      <c r="D160" s="27" t="n">
        <v>0</v>
      </c>
      <c r="E160" s="27" t="n">
        <v>12</v>
      </c>
      <c r="F160" s="27" t="n">
        <v>16.98</v>
      </c>
      <c r="G160" s="27" t="s">
        <v>1875</v>
      </c>
      <c r="H160" s="27" t="s">
        <v>68</v>
      </c>
      <c r="I160" s="27" t="s">
        <v>1876</v>
      </c>
      <c r="J160" s="27" t="s">
        <v>1877</v>
      </c>
      <c r="K160" s="27" t="n">
        <v>1247</v>
      </c>
      <c r="L160" s="27" t="n">
        <v>702</v>
      </c>
      <c r="M160" s="28" t="n">
        <f aca="false">IFERROR(VLOOKUP((OFFSET(hoje12_326_ana9,159,10,1,1)&amp;"."&amp;OFFSET(hoje12_326_ana9,159,11,1,1)),'12.326'!A:D,4,0),"-")</f>
        <v>9531413001815</v>
      </c>
    </row>
    <row r="161" customFormat="false" ht="14.4" hidden="false" customHeight="false" outlineLevel="0" collapsed="false">
      <c r="A161" s="27" t="n">
        <v>11100638</v>
      </c>
      <c r="B161" s="27" t="s">
        <v>1955</v>
      </c>
      <c r="C161" s="43" t="n">
        <v>205.8</v>
      </c>
      <c r="D161" s="27" t="n">
        <v>0</v>
      </c>
      <c r="E161" s="27" t="n">
        <v>12</v>
      </c>
      <c r="F161" s="27" t="n">
        <v>17.15</v>
      </c>
      <c r="G161" s="27" t="s">
        <v>1875</v>
      </c>
      <c r="H161" s="27" t="s">
        <v>68</v>
      </c>
      <c r="I161" s="27" t="s">
        <v>1876</v>
      </c>
      <c r="J161" s="27" t="s">
        <v>1877</v>
      </c>
      <c r="K161" s="27" t="n">
        <v>1247</v>
      </c>
      <c r="L161" s="27" t="n">
        <v>702</v>
      </c>
      <c r="M161" s="28" t="n">
        <f aca="false">IFERROR(VLOOKUP((OFFSET(hoje12_326_ana9,160,10,1,1)&amp;"."&amp;OFFSET(hoje12_326_ana9,160,11,1,1)),'12.326'!A:D,4,0),"-")</f>
        <v>9531413001815</v>
      </c>
    </row>
    <row r="162" customFormat="false" ht="14.4" hidden="false" customHeight="false" outlineLevel="0" collapsed="false">
      <c r="A162" s="27" t="n">
        <v>11100677</v>
      </c>
      <c r="B162" s="27" t="s">
        <v>1956</v>
      </c>
      <c r="C162" s="43" t="n">
        <v>477.65</v>
      </c>
      <c r="D162" s="27" t="n">
        <v>4.75</v>
      </c>
      <c r="E162" s="27" t="n">
        <v>144</v>
      </c>
      <c r="F162" s="27" t="n">
        <v>3.35</v>
      </c>
      <c r="G162" s="27" t="s">
        <v>1875</v>
      </c>
      <c r="H162" s="27" t="s">
        <v>1948</v>
      </c>
      <c r="I162" s="27" t="s">
        <v>1876</v>
      </c>
      <c r="J162" s="27" t="s">
        <v>1957</v>
      </c>
      <c r="K162" s="27" t="n">
        <v>1247</v>
      </c>
      <c r="L162" s="27" t="n">
        <v>702</v>
      </c>
      <c r="M162" s="28" t="n">
        <f aca="false">IFERROR(VLOOKUP((OFFSET(hoje12_326_ana9,161,10,1,1)&amp;"."&amp;OFFSET(hoje12_326_ana9,161,11,1,1)),'12.326'!A:D,4,0),"-")</f>
        <v>9531413001815</v>
      </c>
    </row>
    <row r="163" customFormat="false" ht="14.4" hidden="false" customHeight="false" outlineLevel="0" collapsed="false">
      <c r="A163" s="27" t="n">
        <v>11100682</v>
      </c>
      <c r="B163" s="27" t="s">
        <v>1958</v>
      </c>
      <c r="C163" s="43" t="n">
        <v>477.65</v>
      </c>
      <c r="D163" s="27" t="n">
        <v>4.75</v>
      </c>
      <c r="E163" s="27" t="n">
        <v>144</v>
      </c>
      <c r="F163" s="27" t="n">
        <v>3.35</v>
      </c>
      <c r="G163" s="27" t="s">
        <v>1875</v>
      </c>
      <c r="H163" s="27" t="s">
        <v>1948</v>
      </c>
      <c r="I163" s="27" t="s">
        <v>1876</v>
      </c>
      <c r="J163" s="27" t="s">
        <v>1957</v>
      </c>
      <c r="K163" s="27" t="n">
        <v>1247</v>
      </c>
      <c r="L163" s="27" t="n">
        <v>702</v>
      </c>
      <c r="M163" s="28" t="n">
        <f aca="false">IFERROR(VLOOKUP((OFFSET(hoje12_326_ana9,162,10,1,1)&amp;"."&amp;OFFSET(hoje12_326_ana9,162,11,1,1)),'12.326'!A:D,4,0),"-")</f>
        <v>9531413001815</v>
      </c>
    </row>
    <row r="164" customFormat="false" ht="14.4" hidden="false" customHeight="false" outlineLevel="0" collapsed="false">
      <c r="A164" s="27" t="n">
        <v>11100695</v>
      </c>
      <c r="B164" s="27" t="s">
        <v>1959</v>
      </c>
      <c r="C164" s="43" t="n">
        <v>442.51</v>
      </c>
      <c r="D164" s="27" t="n">
        <v>38.45</v>
      </c>
      <c r="E164" s="27" t="n">
        <v>144</v>
      </c>
      <c r="F164" s="27" t="n">
        <v>3.34</v>
      </c>
      <c r="G164" s="27" t="s">
        <v>1875</v>
      </c>
      <c r="H164" s="27" t="s">
        <v>1960</v>
      </c>
      <c r="I164" s="27" t="s">
        <v>1876</v>
      </c>
      <c r="J164" s="27" t="s">
        <v>1961</v>
      </c>
      <c r="K164" s="27" t="n">
        <v>1247</v>
      </c>
      <c r="L164" s="27" t="n">
        <v>702</v>
      </c>
      <c r="M164" s="28" t="n">
        <f aca="false">IFERROR(VLOOKUP((OFFSET(hoje12_326_ana9,163,10,1,1)&amp;"."&amp;OFFSET(hoje12_326_ana9,163,11,1,1)),'12.326'!A:D,4,0),"-")</f>
        <v>9531413001815</v>
      </c>
    </row>
    <row r="165" customFormat="false" ht="14.4" hidden="false" customHeight="false" outlineLevel="0" collapsed="false">
      <c r="A165" s="27" t="n">
        <v>11100724</v>
      </c>
      <c r="B165" s="27" t="s">
        <v>1962</v>
      </c>
      <c r="C165" s="43" t="n">
        <v>477.65</v>
      </c>
      <c r="D165" s="27" t="n">
        <v>4.75</v>
      </c>
      <c r="E165" s="27" t="n">
        <v>144</v>
      </c>
      <c r="F165" s="27" t="n">
        <v>3.35</v>
      </c>
      <c r="G165" s="27" t="s">
        <v>1875</v>
      </c>
      <c r="H165" s="27" t="s">
        <v>1948</v>
      </c>
      <c r="I165" s="27" t="s">
        <v>1876</v>
      </c>
      <c r="J165" s="27" t="s">
        <v>1957</v>
      </c>
      <c r="K165" s="27" t="n">
        <v>1247</v>
      </c>
      <c r="L165" s="27" t="n">
        <v>702</v>
      </c>
      <c r="M165" s="28" t="n">
        <f aca="false">IFERROR(VLOOKUP((OFFSET(hoje12_326_ana9,164,10,1,1)&amp;"."&amp;OFFSET(hoje12_326_ana9,164,11,1,1)),'12.326'!A:D,4,0),"-")</f>
        <v>9531413001815</v>
      </c>
    </row>
    <row r="166" customFormat="false" ht="14.4" hidden="false" customHeight="false" outlineLevel="0" collapsed="false">
      <c r="A166" s="27" t="n">
        <v>11100820</v>
      </c>
      <c r="B166" s="27" t="s">
        <v>1963</v>
      </c>
      <c r="C166" s="43" t="n">
        <v>711.72</v>
      </c>
      <c r="D166" s="27" t="n">
        <v>79.08</v>
      </c>
      <c r="E166" s="27" t="n">
        <v>120</v>
      </c>
      <c r="F166" s="27" t="n">
        <v>6.59</v>
      </c>
      <c r="G166" s="27" t="s">
        <v>1875</v>
      </c>
      <c r="H166" s="27" t="s">
        <v>1895</v>
      </c>
      <c r="I166" s="27" t="s">
        <v>1876</v>
      </c>
      <c r="J166" s="27" t="s">
        <v>1964</v>
      </c>
      <c r="K166" s="27" t="n">
        <v>1247</v>
      </c>
      <c r="L166" s="27" t="n">
        <v>702</v>
      </c>
      <c r="M166" s="28" t="n">
        <f aca="false">IFERROR(VLOOKUP((OFFSET(hoje12_326_ana9,165,10,1,1)&amp;"."&amp;OFFSET(hoje12_326_ana9,165,11,1,1)),'12.326'!A:D,4,0),"-")</f>
        <v>9531413001815</v>
      </c>
    </row>
    <row r="167" customFormat="false" ht="14.4" hidden="false" customHeight="false" outlineLevel="0" collapsed="false">
      <c r="A167" s="27" t="n">
        <v>11100821</v>
      </c>
      <c r="B167" s="27" t="s">
        <v>1965</v>
      </c>
      <c r="C167" s="43" t="n">
        <v>374.4</v>
      </c>
      <c r="D167" s="27" t="n">
        <v>0</v>
      </c>
      <c r="E167" s="27" t="n">
        <v>36</v>
      </c>
      <c r="F167" s="27" t="n">
        <v>10.4</v>
      </c>
      <c r="G167" s="27" t="s">
        <v>1875</v>
      </c>
      <c r="H167" s="27" t="s">
        <v>68</v>
      </c>
      <c r="I167" s="27" t="s">
        <v>1876</v>
      </c>
      <c r="J167" s="27" t="s">
        <v>1877</v>
      </c>
      <c r="K167" s="27" t="n">
        <v>1247</v>
      </c>
      <c r="L167" s="27" t="n">
        <v>702</v>
      </c>
      <c r="M167" s="28" t="n">
        <f aca="false">IFERROR(VLOOKUP((OFFSET(hoje12_326_ana9,166,10,1,1)&amp;"."&amp;OFFSET(hoje12_326_ana9,166,11,1,1)),'12.326'!A:D,4,0),"-")</f>
        <v>9531413001815</v>
      </c>
    </row>
    <row r="168" customFormat="false" ht="14.4" hidden="false" customHeight="false" outlineLevel="0" collapsed="false">
      <c r="A168" s="27" t="n">
        <v>11100822</v>
      </c>
      <c r="B168" s="27" t="s">
        <v>1966</v>
      </c>
      <c r="C168" s="43" t="n">
        <v>711.72</v>
      </c>
      <c r="D168" s="27" t="n">
        <v>79.08</v>
      </c>
      <c r="E168" s="27" t="n">
        <v>120</v>
      </c>
      <c r="F168" s="27" t="n">
        <v>6.59</v>
      </c>
      <c r="G168" s="27" t="s">
        <v>1875</v>
      </c>
      <c r="H168" s="27" t="s">
        <v>1895</v>
      </c>
      <c r="I168" s="27" t="s">
        <v>1876</v>
      </c>
      <c r="J168" s="27" t="s">
        <v>1964</v>
      </c>
      <c r="K168" s="27" t="n">
        <v>1247</v>
      </c>
      <c r="L168" s="27" t="n">
        <v>702</v>
      </c>
      <c r="M168" s="28" t="n">
        <f aca="false">IFERROR(VLOOKUP((OFFSET(hoje12_326_ana9,167,10,1,1)&amp;"."&amp;OFFSET(hoje12_326_ana9,167,11,1,1)),'12.326'!A:D,4,0),"-")</f>
        <v>9531413001815</v>
      </c>
    </row>
    <row r="169" customFormat="false" ht="14.4" hidden="false" customHeight="false" outlineLevel="0" collapsed="false">
      <c r="A169" s="27" t="n">
        <v>11100824</v>
      </c>
      <c r="B169" s="27" t="s">
        <v>1967</v>
      </c>
      <c r="C169" s="43" t="n">
        <v>711.72</v>
      </c>
      <c r="D169" s="27" t="n">
        <v>79.08</v>
      </c>
      <c r="E169" s="27" t="n">
        <v>120</v>
      </c>
      <c r="F169" s="27" t="n">
        <v>6.59</v>
      </c>
      <c r="G169" s="27" t="s">
        <v>1875</v>
      </c>
      <c r="H169" s="27" t="s">
        <v>1895</v>
      </c>
      <c r="I169" s="27" t="s">
        <v>1876</v>
      </c>
      <c r="J169" s="27" t="s">
        <v>1964</v>
      </c>
      <c r="K169" s="27" t="n">
        <v>1247</v>
      </c>
      <c r="L169" s="27" t="n">
        <v>702</v>
      </c>
      <c r="M169" s="28" t="n">
        <f aca="false">IFERROR(VLOOKUP((OFFSET(hoje12_326_ana9,168,10,1,1)&amp;"."&amp;OFFSET(hoje12_326_ana9,168,11,1,1)),'12.326'!A:D,4,0),"-")</f>
        <v>9531413001815</v>
      </c>
    </row>
    <row r="170" customFormat="false" ht="14.4" hidden="false" customHeight="false" outlineLevel="0" collapsed="false">
      <c r="A170" s="27" t="n">
        <v>11100826</v>
      </c>
      <c r="B170" s="27" t="s">
        <v>1968</v>
      </c>
      <c r="C170" s="43" t="n">
        <v>711.72</v>
      </c>
      <c r="D170" s="27" t="n">
        <v>79.08</v>
      </c>
      <c r="E170" s="27" t="n">
        <v>120</v>
      </c>
      <c r="F170" s="27" t="n">
        <v>6.59</v>
      </c>
      <c r="G170" s="27" t="s">
        <v>1875</v>
      </c>
      <c r="H170" s="27" t="s">
        <v>1895</v>
      </c>
      <c r="I170" s="27" t="s">
        <v>1876</v>
      </c>
      <c r="J170" s="27" t="s">
        <v>1964</v>
      </c>
      <c r="K170" s="27" t="n">
        <v>1247</v>
      </c>
      <c r="L170" s="27" t="n">
        <v>702</v>
      </c>
      <c r="M170" s="28" t="n">
        <f aca="false">IFERROR(VLOOKUP((OFFSET(hoje12_326_ana9,169,10,1,1)&amp;"."&amp;OFFSET(hoje12_326_ana9,169,11,1,1)),'12.326'!A:D,4,0),"-")</f>
        <v>9531413001815</v>
      </c>
    </row>
    <row r="171" customFormat="false" ht="14.4" hidden="false" customHeight="false" outlineLevel="0" collapsed="false">
      <c r="A171" s="27" t="n">
        <v>11100830</v>
      </c>
      <c r="B171" s="27" t="s">
        <v>1969</v>
      </c>
      <c r="C171" s="43" t="n">
        <v>139</v>
      </c>
      <c r="D171" s="27" t="n">
        <v>15.44</v>
      </c>
      <c r="E171" s="27" t="n">
        <v>12</v>
      </c>
      <c r="F171" s="27" t="n">
        <v>12.87</v>
      </c>
      <c r="G171" s="27" t="s">
        <v>1875</v>
      </c>
      <c r="H171" s="27" t="s">
        <v>1895</v>
      </c>
      <c r="I171" s="27" t="s">
        <v>1876</v>
      </c>
      <c r="J171" s="27" t="s">
        <v>1970</v>
      </c>
      <c r="K171" s="27" t="n">
        <v>1247</v>
      </c>
      <c r="L171" s="27" t="n">
        <v>702</v>
      </c>
      <c r="M171" s="28" t="n">
        <f aca="false">IFERROR(VLOOKUP((OFFSET(hoje12_326_ana9,170,10,1,1)&amp;"."&amp;OFFSET(hoje12_326_ana9,170,11,1,1)),'12.326'!A:D,4,0),"-")</f>
        <v>9531413001815</v>
      </c>
    </row>
    <row r="172" customFormat="false" ht="14.4" hidden="false" customHeight="false" outlineLevel="0" collapsed="false">
      <c r="A172" s="27" t="n">
        <v>11100837</v>
      </c>
      <c r="B172" s="27" t="s">
        <v>1971</v>
      </c>
      <c r="C172" s="43" t="n">
        <v>143.4</v>
      </c>
      <c r="D172" s="27" t="n">
        <v>0</v>
      </c>
      <c r="E172" s="27" t="n">
        <v>12</v>
      </c>
      <c r="F172" s="27" t="n">
        <v>11.95</v>
      </c>
      <c r="G172" s="27" t="s">
        <v>1875</v>
      </c>
      <c r="H172" s="27" t="s">
        <v>68</v>
      </c>
      <c r="I172" s="27" t="s">
        <v>1876</v>
      </c>
      <c r="J172" s="27" t="s">
        <v>1877</v>
      </c>
      <c r="K172" s="27" t="n">
        <v>1247</v>
      </c>
      <c r="L172" s="27" t="n">
        <v>702</v>
      </c>
      <c r="M172" s="28" t="n">
        <f aca="false">IFERROR(VLOOKUP((OFFSET(hoje12_326_ana9,171,10,1,1)&amp;"."&amp;OFFSET(hoje12_326_ana9,171,11,1,1)),'12.326'!A:D,4,0),"-")</f>
        <v>9531413001815</v>
      </c>
    </row>
    <row r="173" customFormat="false" ht="14.4" hidden="false" customHeight="false" outlineLevel="0" collapsed="false">
      <c r="A173" s="27" t="n">
        <v>11100838</v>
      </c>
      <c r="B173" s="27" t="s">
        <v>1972</v>
      </c>
      <c r="C173" s="43" t="n">
        <v>81.76</v>
      </c>
      <c r="D173" s="27" t="n">
        <v>9.08</v>
      </c>
      <c r="E173" s="27" t="n">
        <v>12</v>
      </c>
      <c r="F173" s="27" t="n">
        <v>7.57</v>
      </c>
      <c r="G173" s="27" t="s">
        <v>1875</v>
      </c>
      <c r="H173" s="27" t="s">
        <v>1895</v>
      </c>
      <c r="I173" s="27" t="s">
        <v>1876</v>
      </c>
      <c r="J173" s="27" t="s">
        <v>1973</v>
      </c>
      <c r="K173" s="27" t="n">
        <v>1247</v>
      </c>
      <c r="L173" s="27" t="n">
        <v>702</v>
      </c>
      <c r="M173" s="28" t="n">
        <f aca="false">IFERROR(VLOOKUP((OFFSET(hoje12_326_ana9,172,10,1,1)&amp;"."&amp;OFFSET(hoje12_326_ana9,172,11,1,1)),'12.326'!A:D,4,0),"-")</f>
        <v>9531413001815</v>
      </c>
    </row>
    <row r="174" customFormat="false" ht="14.4" hidden="false" customHeight="false" outlineLevel="0" collapsed="false">
      <c r="A174" s="27" t="n">
        <v>11100841</v>
      </c>
      <c r="B174" s="27" t="s">
        <v>1974</v>
      </c>
      <c r="C174" s="43" t="n">
        <v>81.76</v>
      </c>
      <c r="D174" s="27" t="n">
        <v>9.08</v>
      </c>
      <c r="E174" s="27" t="n">
        <v>12</v>
      </c>
      <c r="F174" s="27" t="n">
        <v>7.57</v>
      </c>
      <c r="G174" s="27" t="s">
        <v>1875</v>
      </c>
      <c r="H174" s="27" t="s">
        <v>1895</v>
      </c>
      <c r="I174" s="27" t="s">
        <v>1876</v>
      </c>
      <c r="J174" s="27" t="s">
        <v>1973</v>
      </c>
      <c r="K174" s="27" t="n">
        <v>1247</v>
      </c>
      <c r="L174" s="27" t="n">
        <v>702</v>
      </c>
      <c r="M174" s="28" t="n">
        <f aca="false">IFERROR(VLOOKUP((OFFSET(hoje12_326_ana9,173,10,1,1)&amp;"."&amp;OFFSET(hoje12_326_ana9,173,11,1,1)),'12.326'!A:D,4,0),"-")</f>
        <v>9531413001815</v>
      </c>
    </row>
    <row r="175" customFormat="false" ht="14.4" hidden="false" customHeight="false" outlineLevel="0" collapsed="false">
      <c r="A175" s="27" t="n">
        <v>11100843</v>
      </c>
      <c r="B175" s="27" t="s">
        <v>1975</v>
      </c>
      <c r="C175" s="43" t="n">
        <v>81.76</v>
      </c>
      <c r="D175" s="27" t="n">
        <v>9.08</v>
      </c>
      <c r="E175" s="27" t="n">
        <v>12</v>
      </c>
      <c r="F175" s="27" t="n">
        <v>7.57</v>
      </c>
      <c r="G175" s="27" t="s">
        <v>1875</v>
      </c>
      <c r="H175" s="27" t="s">
        <v>1895</v>
      </c>
      <c r="I175" s="27" t="s">
        <v>1876</v>
      </c>
      <c r="J175" s="27" t="s">
        <v>1973</v>
      </c>
      <c r="K175" s="27" t="n">
        <v>1247</v>
      </c>
      <c r="L175" s="27" t="n">
        <v>702</v>
      </c>
      <c r="M175" s="28" t="n">
        <f aca="false">IFERROR(VLOOKUP((OFFSET(hoje12_326_ana9,174,10,1,1)&amp;"."&amp;OFFSET(hoje12_326_ana9,174,11,1,1)),'12.326'!A:D,4,0),"-")</f>
        <v>9531413001815</v>
      </c>
    </row>
    <row r="176" customFormat="false" ht="14.4" hidden="false" customHeight="false" outlineLevel="0" collapsed="false">
      <c r="A176" s="27" t="n">
        <v>11100849</v>
      </c>
      <c r="B176" s="27" t="s">
        <v>1976</v>
      </c>
      <c r="C176" s="43" t="n">
        <v>122.58</v>
      </c>
      <c r="D176" s="27" t="n">
        <v>13.62</v>
      </c>
      <c r="E176" s="27" t="n">
        <v>12</v>
      </c>
      <c r="F176" s="27" t="n">
        <v>11.35</v>
      </c>
      <c r="G176" s="27" t="s">
        <v>1875</v>
      </c>
      <c r="H176" s="27" t="s">
        <v>1895</v>
      </c>
      <c r="I176" s="27" t="s">
        <v>1876</v>
      </c>
      <c r="J176" s="27" t="s">
        <v>1977</v>
      </c>
      <c r="K176" s="27" t="n">
        <v>1247</v>
      </c>
      <c r="L176" s="27" t="n">
        <v>702</v>
      </c>
      <c r="M176" s="28" t="n">
        <f aca="false">IFERROR(VLOOKUP((OFFSET(hoje12_326_ana9,175,10,1,1)&amp;"."&amp;OFFSET(hoje12_326_ana9,175,11,1,1)),'12.326'!A:D,4,0),"-")</f>
        <v>9531413001815</v>
      </c>
    </row>
    <row r="177" customFormat="false" ht="14.4" hidden="false" customHeight="false" outlineLevel="0" collapsed="false">
      <c r="A177" s="27" t="n">
        <v>11100853</v>
      </c>
      <c r="B177" s="27" t="s">
        <v>1978</v>
      </c>
      <c r="C177" s="43" t="n">
        <v>69.5</v>
      </c>
      <c r="D177" s="27" t="n">
        <v>7.72</v>
      </c>
      <c r="E177" s="27" t="n">
        <v>6</v>
      </c>
      <c r="F177" s="27" t="n">
        <v>12.87</v>
      </c>
      <c r="G177" s="27" t="s">
        <v>1875</v>
      </c>
      <c r="H177" s="27" t="s">
        <v>1895</v>
      </c>
      <c r="I177" s="27" t="s">
        <v>1876</v>
      </c>
      <c r="J177" s="27" t="s">
        <v>1979</v>
      </c>
      <c r="K177" s="27" t="n">
        <v>1247</v>
      </c>
      <c r="L177" s="27" t="n">
        <v>702</v>
      </c>
      <c r="M177" s="28" t="n">
        <f aca="false">IFERROR(VLOOKUP((OFFSET(hoje12_326_ana9,176,10,1,1)&amp;"."&amp;OFFSET(hoje12_326_ana9,176,11,1,1)),'12.326'!A:D,4,0),"-")</f>
        <v>9531413001815</v>
      </c>
    </row>
    <row r="178" customFormat="false" ht="14.4" hidden="false" customHeight="false" outlineLevel="0" collapsed="false">
      <c r="A178" s="27" t="n">
        <v>11100854</v>
      </c>
      <c r="B178" s="27" t="s">
        <v>1980</v>
      </c>
      <c r="C178" s="43" t="n">
        <v>69.5</v>
      </c>
      <c r="D178" s="27" t="n">
        <v>7.72</v>
      </c>
      <c r="E178" s="27" t="n">
        <v>6</v>
      </c>
      <c r="F178" s="27" t="n">
        <v>12.87</v>
      </c>
      <c r="G178" s="27" t="s">
        <v>1875</v>
      </c>
      <c r="H178" s="27" t="s">
        <v>1895</v>
      </c>
      <c r="I178" s="27" t="s">
        <v>1876</v>
      </c>
      <c r="J178" s="27" t="s">
        <v>1979</v>
      </c>
      <c r="K178" s="27" t="n">
        <v>1247</v>
      </c>
      <c r="L178" s="27" t="n">
        <v>702</v>
      </c>
      <c r="M178" s="28" t="n">
        <f aca="false">IFERROR(VLOOKUP((OFFSET(hoje12_326_ana9,177,10,1,1)&amp;"."&amp;OFFSET(hoje12_326_ana9,177,11,1,1)),'12.326'!A:D,4,0),"-")</f>
        <v>9531413001815</v>
      </c>
    </row>
    <row r="179" customFormat="false" ht="14.4" hidden="false" customHeight="false" outlineLevel="0" collapsed="false">
      <c r="A179" s="27" t="n">
        <v>11100863</v>
      </c>
      <c r="B179" s="27" t="s">
        <v>1981</v>
      </c>
      <c r="C179" s="43" t="n">
        <v>81.76</v>
      </c>
      <c r="D179" s="27" t="n">
        <v>9.08</v>
      </c>
      <c r="E179" s="27" t="n">
        <v>12</v>
      </c>
      <c r="F179" s="27" t="n">
        <v>7.57</v>
      </c>
      <c r="G179" s="27" t="s">
        <v>1875</v>
      </c>
      <c r="H179" s="27" t="s">
        <v>1895</v>
      </c>
      <c r="I179" s="27" t="s">
        <v>1876</v>
      </c>
      <c r="J179" s="27" t="s">
        <v>1973</v>
      </c>
      <c r="K179" s="27" t="n">
        <v>1247</v>
      </c>
      <c r="L179" s="27" t="n">
        <v>702</v>
      </c>
      <c r="M179" s="28" t="n">
        <f aca="false">IFERROR(VLOOKUP((OFFSET(hoje12_326_ana9,178,10,1,1)&amp;"."&amp;OFFSET(hoje12_326_ana9,178,11,1,1)),'12.326'!A:D,4,0),"-")</f>
        <v>9531413001815</v>
      </c>
    </row>
    <row r="180" customFormat="false" ht="14.4" hidden="false" customHeight="false" outlineLevel="0" collapsed="false">
      <c r="A180" s="27" t="n">
        <v>11100865</v>
      </c>
      <c r="B180" s="27" t="s">
        <v>1982</v>
      </c>
      <c r="C180" s="43" t="n">
        <v>81.76</v>
      </c>
      <c r="D180" s="27" t="n">
        <v>9.08</v>
      </c>
      <c r="E180" s="27" t="n">
        <v>12</v>
      </c>
      <c r="F180" s="27" t="n">
        <v>7.57</v>
      </c>
      <c r="G180" s="27" t="s">
        <v>1875</v>
      </c>
      <c r="H180" s="27" t="s">
        <v>1895</v>
      </c>
      <c r="I180" s="27" t="s">
        <v>1876</v>
      </c>
      <c r="J180" s="27" t="s">
        <v>1973</v>
      </c>
      <c r="K180" s="27" t="n">
        <v>1247</v>
      </c>
      <c r="L180" s="27" t="n">
        <v>702</v>
      </c>
      <c r="M180" s="28" t="n">
        <f aca="false">IFERROR(VLOOKUP((OFFSET(hoje12_326_ana9,179,10,1,1)&amp;"."&amp;OFFSET(hoje12_326_ana9,179,11,1,1)),'12.326'!A:D,4,0),"-")</f>
        <v>9531413001815</v>
      </c>
    </row>
    <row r="181" customFormat="false" ht="14.4" hidden="false" customHeight="false" outlineLevel="0" collapsed="false">
      <c r="A181" s="27" t="n">
        <v>11100913</v>
      </c>
      <c r="B181" s="27" t="s">
        <v>1983</v>
      </c>
      <c r="C181" s="43" t="n">
        <v>157.2</v>
      </c>
      <c r="D181" s="27" t="n">
        <v>0</v>
      </c>
      <c r="E181" s="27" t="n">
        <v>12</v>
      </c>
      <c r="F181" s="27" t="n">
        <v>13.1</v>
      </c>
      <c r="G181" s="27" t="s">
        <v>1875</v>
      </c>
      <c r="H181" s="27" t="s">
        <v>68</v>
      </c>
      <c r="I181" s="27" t="s">
        <v>1876</v>
      </c>
      <c r="J181" s="27" t="s">
        <v>1877</v>
      </c>
      <c r="K181" s="27" t="n">
        <v>1247</v>
      </c>
      <c r="L181" s="27" t="n">
        <v>702</v>
      </c>
      <c r="M181" s="28" t="n">
        <f aca="false">IFERROR(VLOOKUP((OFFSET(hoje12_326_ana9,180,10,1,1)&amp;"."&amp;OFFSET(hoje12_326_ana9,180,11,1,1)),'12.326'!A:D,4,0),"-")</f>
        <v>9531413001815</v>
      </c>
    </row>
    <row r="182" customFormat="false" ht="14.4" hidden="false" customHeight="false" outlineLevel="0" collapsed="false">
      <c r="A182" s="27" t="n">
        <v>11100918</v>
      </c>
      <c r="B182" s="27" t="s">
        <v>1984</v>
      </c>
      <c r="C182" s="43" t="n">
        <v>271.44</v>
      </c>
      <c r="D182" s="27" t="n">
        <v>0</v>
      </c>
      <c r="E182" s="27" t="n">
        <v>12</v>
      </c>
      <c r="F182" s="27" t="n">
        <v>22.62</v>
      </c>
      <c r="G182" s="27" t="s">
        <v>1875</v>
      </c>
      <c r="H182" s="27" t="s">
        <v>68</v>
      </c>
      <c r="I182" s="27" t="s">
        <v>1876</v>
      </c>
      <c r="J182" s="27" t="s">
        <v>1877</v>
      </c>
      <c r="K182" s="27" t="n">
        <v>1247</v>
      </c>
      <c r="L182" s="27" t="n">
        <v>702</v>
      </c>
      <c r="M182" s="28" t="n">
        <f aca="false">IFERROR(VLOOKUP((OFFSET(hoje12_326_ana9,181,10,1,1)&amp;"."&amp;OFFSET(hoje12_326_ana9,181,11,1,1)),'12.326'!A:D,4,0),"-")</f>
        <v>9531413001815</v>
      </c>
    </row>
    <row r="183" customFormat="false" ht="14.4" hidden="false" customHeight="false" outlineLevel="0" collapsed="false">
      <c r="A183" s="27" t="n">
        <v>11100940</v>
      </c>
      <c r="B183" s="27" t="s">
        <v>1985</v>
      </c>
      <c r="C183" s="43" t="n">
        <v>552.96</v>
      </c>
      <c r="D183" s="27" t="n">
        <v>0</v>
      </c>
      <c r="E183" s="27" t="n">
        <v>36</v>
      </c>
      <c r="F183" s="27" t="n">
        <v>15.36</v>
      </c>
      <c r="G183" s="27" t="s">
        <v>1875</v>
      </c>
      <c r="H183" s="27" t="s">
        <v>68</v>
      </c>
      <c r="I183" s="27" t="s">
        <v>1876</v>
      </c>
      <c r="J183" s="27" t="s">
        <v>1877</v>
      </c>
      <c r="K183" s="27" t="n">
        <v>1247</v>
      </c>
      <c r="L183" s="27" t="n">
        <v>702</v>
      </c>
      <c r="M183" s="28" t="n">
        <f aca="false">IFERROR(VLOOKUP((OFFSET(hoje12_326_ana9,182,10,1,1)&amp;"."&amp;OFFSET(hoje12_326_ana9,182,11,1,1)),'12.326'!A:D,4,0),"-")</f>
        <v>9531413001815</v>
      </c>
    </row>
    <row r="184" customFormat="false" ht="14.4" hidden="false" customHeight="false" outlineLevel="0" collapsed="false">
      <c r="A184" s="27" t="n">
        <v>11100957</v>
      </c>
      <c r="B184" s="27" t="s">
        <v>1986</v>
      </c>
      <c r="C184" s="43" t="n">
        <v>379.08</v>
      </c>
      <c r="D184" s="27" t="n">
        <v>0</v>
      </c>
      <c r="E184" s="27" t="n">
        <v>36</v>
      </c>
      <c r="F184" s="27" t="n">
        <v>10.53</v>
      </c>
      <c r="G184" s="27" t="s">
        <v>1875</v>
      </c>
      <c r="H184" s="27" t="s">
        <v>68</v>
      </c>
      <c r="I184" s="27" t="s">
        <v>1876</v>
      </c>
      <c r="J184" s="27" t="s">
        <v>1877</v>
      </c>
      <c r="K184" s="27" t="n">
        <v>1247</v>
      </c>
      <c r="L184" s="27" t="n">
        <v>702</v>
      </c>
      <c r="M184" s="28" t="n">
        <f aca="false">IFERROR(VLOOKUP((OFFSET(hoje12_326_ana9,183,10,1,1)&amp;"."&amp;OFFSET(hoje12_326_ana9,183,11,1,1)),'12.326'!A:D,4,0),"-")</f>
        <v>9531413001815</v>
      </c>
    </row>
    <row r="185" customFormat="false" ht="14.4" hidden="false" customHeight="false" outlineLevel="0" collapsed="false">
      <c r="A185" s="27" t="n">
        <v>11100959</v>
      </c>
      <c r="B185" s="27" t="s">
        <v>1987</v>
      </c>
      <c r="C185" s="43" t="n">
        <v>120.24</v>
      </c>
      <c r="D185" s="27" t="n">
        <v>0</v>
      </c>
      <c r="E185" s="27" t="n">
        <v>24</v>
      </c>
      <c r="F185" s="27" t="n">
        <v>5.01</v>
      </c>
      <c r="G185" s="27" t="s">
        <v>1875</v>
      </c>
      <c r="H185" s="27" t="s">
        <v>68</v>
      </c>
      <c r="I185" s="27" t="s">
        <v>1876</v>
      </c>
      <c r="J185" s="27" t="s">
        <v>1877</v>
      </c>
      <c r="K185" s="27" t="n">
        <v>1247</v>
      </c>
      <c r="L185" s="27" t="n">
        <v>702</v>
      </c>
      <c r="M185" s="28" t="n">
        <f aca="false">IFERROR(VLOOKUP((OFFSET(hoje12_326_ana9,184,10,1,1)&amp;"."&amp;OFFSET(hoje12_326_ana9,184,11,1,1)),'12.326'!A:D,4,0),"-")</f>
        <v>9531413001815</v>
      </c>
    </row>
    <row r="186" customFormat="false" ht="14.4" hidden="false" customHeight="false" outlineLevel="0" collapsed="false">
      <c r="A186" s="27" t="n">
        <v>11100963</v>
      </c>
      <c r="B186" s="27" t="s">
        <v>1988</v>
      </c>
      <c r="C186" s="43" t="n">
        <v>161.76</v>
      </c>
      <c r="D186" s="27" t="n">
        <v>0</v>
      </c>
      <c r="E186" s="27" t="n">
        <v>12</v>
      </c>
      <c r="F186" s="27" t="n">
        <v>13.48</v>
      </c>
      <c r="G186" s="27" t="s">
        <v>1875</v>
      </c>
      <c r="H186" s="27" t="s">
        <v>68</v>
      </c>
      <c r="I186" s="27" t="s">
        <v>1876</v>
      </c>
      <c r="J186" s="27" t="s">
        <v>1877</v>
      </c>
      <c r="K186" s="27" t="n">
        <v>1247</v>
      </c>
      <c r="L186" s="27" t="n">
        <v>702</v>
      </c>
      <c r="M186" s="28" t="n">
        <f aca="false">IFERROR(VLOOKUP((OFFSET(hoje12_326_ana9,185,10,1,1)&amp;"."&amp;OFFSET(hoje12_326_ana9,185,11,1,1)),'12.326'!A:D,4,0),"-")</f>
        <v>9531413001815</v>
      </c>
    </row>
    <row r="187" customFormat="false" ht="14.4" hidden="false" customHeight="false" outlineLevel="0" collapsed="false">
      <c r="A187" s="27" t="n">
        <v>11100784</v>
      </c>
      <c r="B187" s="27" t="s">
        <v>1989</v>
      </c>
      <c r="C187" s="43" t="n">
        <v>83.41</v>
      </c>
      <c r="D187" s="27" t="n">
        <v>35.75</v>
      </c>
      <c r="E187" s="27" t="n">
        <v>36</v>
      </c>
      <c r="F187" s="27" t="n">
        <v>3.31</v>
      </c>
      <c r="G187" s="27" t="s">
        <v>1875</v>
      </c>
      <c r="H187" s="27" t="s">
        <v>1990</v>
      </c>
      <c r="I187" s="27" t="s">
        <v>1876</v>
      </c>
      <c r="J187" s="27" t="s">
        <v>1991</v>
      </c>
      <c r="K187" s="27" t="n">
        <v>1248</v>
      </c>
      <c r="L187" s="27" t="n">
        <v>702</v>
      </c>
      <c r="M187" s="28" t="n">
        <f aca="false">IFERROR(VLOOKUP((OFFSET(hoje12_326_ana9,186,10,1,1)&amp;"."&amp;OFFSET(hoje12_326_ana9,186,11,1,1)),'12.326'!A:D,4,0),"-")</f>
        <v>9531413000339</v>
      </c>
    </row>
    <row r="188" customFormat="false" ht="14.4" hidden="false" customHeight="false" outlineLevel="0" collapsed="false">
      <c r="A188" s="27" t="n">
        <v>11100861</v>
      </c>
      <c r="B188" s="27" t="s">
        <v>1992</v>
      </c>
      <c r="C188" s="43" t="n">
        <v>64.97</v>
      </c>
      <c r="D188" s="27" t="n">
        <v>6.76</v>
      </c>
      <c r="E188" s="27" t="n">
        <v>9</v>
      </c>
      <c r="F188" s="27" t="n">
        <v>7.97</v>
      </c>
      <c r="G188" s="27" t="s">
        <v>1875</v>
      </c>
      <c r="H188" s="27" t="s">
        <v>1993</v>
      </c>
      <c r="I188" s="27" t="s">
        <v>1876</v>
      </c>
      <c r="J188" s="27" t="s">
        <v>1994</v>
      </c>
      <c r="K188" s="27" t="n">
        <v>1248</v>
      </c>
      <c r="L188" s="27" t="n">
        <v>702</v>
      </c>
      <c r="M188" s="28" t="n">
        <f aca="false">IFERROR(VLOOKUP((OFFSET(hoje12_326_ana9,187,10,1,1)&amp;"."&amp;OFFSET(hoje12_326_ana9,187,11,1,1)),'12.326'!A:D,4,0),"-")</f>
        <v>9531413000339</v>
      </c>
    </row>
    <row r="189" customFormat="false" ht="14.4" hidden="false" customHeight="false" outlineLevel="0" collapsed="false">
      <c r="A189" s="27" t="n">
        <v>11100751</v>
      </c>
      <c r="B189" s="27" t="s">
        <v>1995</v>
      </c>
      <c r="C189" s="43" t="n">
        <v>139.02</v>
      </c>
      <c r="D189" s="27" t="n">
        <v>59.58</v>
      </c>
      <c r="E189" s="27" t="n">
        <v>60</v>
      </c>
      <c r="F189" s="27" t="n">
        <v>3.31</v>
      </c>
      <c r="G189" s="27" t="s">
        <v>1875</v>
      </c>
      <c r="H189" s="27" t="s">
        <v>1990</v>
      </c>
      <c r="I189" s="27" t="s">
        <v>1876</v>
      </c>
      <c r="J189" s="27" t="s">
        <v>1996</v>
      </c>
      <c r="K189" s="27" t="n">
        <v>1248</v>
      </c>
      <c r="L189" s="27" t="n">
        <v>702</v>
      </c>
      <c r="M189" s="28" t="n">
        <f aca="false">IFERROR(VLOOKUP((OFFSET(hoje12_326_ana9,188,10,1,1)&amp;"."&amp;OFFSET(hoje12_326_ana9,188,11,1,1)),'12.326'!A:D,4,0),"-")</f>
        <v>9531413000339</v>
      </c>
    </row>
    <row r="190" customFormat="false" ht="14.4" hidden="false" customHeight="false" outlineLevel="0" collapsed="false">
      <c r="A190" s="27" t="n">
        <v>11100778</v>
      </c>
      <c r="B190" s="27" t="s">
        <v>1997</v>
      </c>
      <c r="C190" s="43" t="n">
        <v>417.06</v>
      </c>
      <c r="D190" s="27" t="n">
        <v>178.74</v>
      </c>
      <c r="E190" s="27" t="n">
        <v>180</v>
      </c>
      <c r="F190" s="27" t="n">
        <v>3.31</v>
      </c>
      <c r="G190" s="27" t="s">
        <v>1875</v>
      </c>
      <c r="H190" s="27" t="s">
        <v>1990</v>
      </c>
      <c r="I190" s="27" t="s">
        <v>1876</v>
      </c>
      <c r="J190" s="27" t="s">
        <v>1998</v>
      </c>
      <c r="K190" s="27" t="n">
        <v>1248</v>
      </c>
      <c r="L190" s="27" t="n">
        <v>702</v>
      </c>
      <c r="M190" s="28" t="n">
        <f aca="false">IFERROR(VLOOKUP((OFFSET(hoje12_326_ana9,189,10,1,1)&amp;"."&amp;OFFSET(hoje12_326_ana9,189,11,1,1)),'12.326'!A:D,4,0),"-")</f>
        <v>9531413000339</v>
      </c>
    </row>
    <row r="191" customFormat="false" ht="14.4" hidden="false" customHeight="false" outlineLevel="0" collapsed="false">
      <c r="A191" s="27" t="n">
        <v>11100747</v>
      </c>
      <c r="B191" s="27" t="s">
        <v>1999</v>
      </c>
      <c r="C191" s="43" t="n">
        <v>111.22</v>
      </c>
      <c r="D191" s="27" t="n">
        <v>47.66</v>
      </c>
      <c r="E191" s="27" t="n">
        <v>48</v>
      </c>
      <c r="F191" s="27" t="n">
        <v>3.31</v>
      </c>
      <c r="G191" s="27" t="s">
        <v>1875</v>
      </c>
      <c r="H191" s="27" t="s">
        <v>1990</v>
      </c>
      <c r="I191" s="27" t="s">
        <v>1876</v>
      </c>
      <c r="J191" s="27" t="s">
        <v>2000</v>
      </c>
      <c r="K191" s="27" t="n">
        <v>1248</v>
      </c>
      <c r="L191" s="27" t="n">
        <v>702</v>
      </c>
      <c r="M191" s="28" t="n">
        <f aca="false">IFERROR(VLOOKUP((OFFSET(hoje12_326_ana9,190,10,1,1)&amp;"."&amp;OFFSET(hoje12_326_ana9,190,11,1,1)),'12.326'!A:D,4,0),"-")</f>
        <v>9531413000339</v>
      </c>
    </row>
    <row r="192" customFormat="false" ht="14.4" hidden="false" customHeight="false" outlineLevel="0" collapsed="false">
      <c r="A192" s="27" t="n">
        <v>11100462</v>
      </c>
      <c r="B192" s="27" t="s">
        <v>2001</v>
      </c>
      <c r="C192" s="43" t="n">
        <v>122.26</v>
      </c>
      <c r="D192" s="27" t="n">
        <v>13.58</v>
      </c>
      <c r="E192" s="27" t="n">
        <v>24</v>
      </c>
      <c r="F192" s="27" t="n">
        <v>5.66</v>
      </c>
      <c r="G192" s="27" t="s">
        <v>1875</v>
      </c>
      <c r="H192" s="27" t="s">
        <v>1895</v>
      </c>
      <c r="I192" s="27" t="s">
        <v>1876</v>
      </c>
      <c r="J192" s="27" t="s">
        <v>2002</v>
      </c>
      <c r="K192" s="27" t="n">
        <v>1248</v>
      </c>
      <c r="L192" s="27" t="n">
        <v>702</v>
      </c>
      <c r="M192" s="28" t="n">
        <f aca="false">IFERROR(VLOOKUP((OFFSET(hoje12_326_ana9,191,10,1,1)&amp;"."&amp;OFFSET(hoje12_326_ana9,191,11,1,1)),'12.326'!A:D,4,0),"-")</f>
        <v>9531413000339</v>
      </c>
    </row>
    <row r="193" customFormat="false" ht="14.4" hidden="false" customHeight="false" outlineLevel="0" collapsed="false">
      <c r="A193" s="27" t="n">
        <v>11100817</v>
      </c>
      <c r="B193" s="27" t="s">
        <v>2003</v>
      </c>
      <c r="C193" s="43" t="n">
        <v>146.15</v>
      </c>
      <c r="D193" s="27" t="n">
        <v>19.93</v>
      </c>
      <c r="E193" s="27" t="n">
        <v>12</v>
      </c>
      <c r="F193" s="27" t="n">
        <v>13.84</v>
      </c>
      <c r="G193" s="27" t="s">
        <v>1875</v>
      </c>
      <c r="H193" s="27" t="s">
        <v>2004</v>
      </c>
      <c r="I193" s="27" t="s">
        <v>1876</v>
      </c>
      <c r="J193" s="27" t="s">
        <v>2005</v>
      </c>
      <c r="K193" s="27" t="n">
        <v>1248</v>
      </c>
      <c r="L193" s="27" t="n">
        <v>702</v>
      </c>
      <c r="M193" s="28" t="n">
        <f aca="false">IFERROR(VLOOKUP((OFFSET(hoje12_326_ana9,192,10,1,1)&amp;"."&amp;OFFSET(hoje12_326_ana9,192,11,1,1)),'12.326'!A:D,4,0),"-")</f>
        <v>9531413000339</v>
      </c>
    </row>
    <row r="194" customFormat="false" ht="14.4" hidden="false" customHeight="false" outlineLevel="0" collapsed="false">
      <c r="A194" s="27" t="n">
        <v>11100238</v>
      </c>
      <c r="B194" s="27" t="s">
        <v>2006</v>
      </c>
      <c r="C194" s="43" t="n">
        <v>836.04</v>
      </c>
      <c r="D194" s="27" t="n">
        <v>82.69</v>
      </c>
      <c r="E194" s="27" t="n">
        <v>288</v>
      </c>
      <c r="F194" s="27" t="n">
        <v>3.19</v>
      </c>
      <c r="G194" s="27" t="s">
        <v>1875</v>
      </c>
      <c r="H194" s="27" t="s">
        <v>2007</v>
      </c>
      <c r="I194" s="27" t="s">
        <v>1876</v>
      </c>
      <c r="J194" s="27" t="s">
        <v>2008</v>
      </c>
      <c r="K194" s="27" t="n">
        <v>1248</v>
      </c>
      <c r="L194" s="27" t="n">
        <v>702</v>
      </c>
      <c r="M194" s="28" t="n">
        <f aca="false">IFERROR(VLOOKUP((OFFSET(hoje12_326_ana9,193,10,1,1)&amp;"."&amp;OFFSET(hoje12_326_ana9,193,11,1,1)),'12.326'!A:D,4,0),"-")</f>
        <v>9531413000339</v>
      </c>
    </row>
    <row r="195" customFormat="false" ht="14.4" hidden="false" customHeight="false" outlineLevel="0" collapsed="false">
      <c r="A195" s="27" t="n">
        <v>11100957</v>
      </c>
      <c r="B195" s="27" t="s">
        <v>1986</v>
      </c>
      <c r="C195" s="43" t="n">
        <v>265.92</v>
      </c>
      <c r="D195" s="27" t="n">
        <v>0</v>
      </c>
      <c r="E195" s="27" t="n">
        <v>24</v>
      </c>
      <c r="F195" s="27" t="n">
        <v>11.08</v>
      </c>
      <c r="G195" s="27" t="s">
        <v>1875</v>
      </c>
      <c r="H195" s="27" t="s">
        <v>68</v>
      </c>
      <c r="I195" s="27" t="s">
        <v>1876</v>
      </c>
      <c r="J195" s="27" t="s">
        <v>1877</v>
      </c>
      <c r="K195" s="27" t="n">
        <v>1248</v>
      </c>
      <c r="L195" s="27" t="n">
        <v>702</v>
      </c>
      <c r="M195" s="28" t="n">
        <f aca="false">IFERROR(VLOOKUP((OFFSET(hoje12_326_ana9,194,10,1,1)&amp;"."&amp;OFFSET(hoje12_326_ana9,194,11,1,1)),'12.326'!A:D,4,0),"-")</f>
        <v>9531413000339</v>
      </c>
    </row>
    <row r="196" customFormat="false" ht="14.4" hidden="false" customHeight="false" outlineLevel="0" collapsed="false">
      <c r="A196" s="27" t="n">
        <v>11100093</v>
      </c>
      <c r="B196" s="27" t="s">
        <v>1911</v>
      </c>
      <c r="C196" s="43" t="n">
        <v>1167.84</v>
      </c>
      <c r="D196" s="27" t="n">
        <v>0</v>
      </c>
      <c r="E196" s="27" t="n">
        <v>144</v>
      </c>
      <c r="F196" s="27" t="n">
        <v>8.11</v>
      </c>
      <c r="G196" s="27" t="s">
        <v>1875</v>
      </c>
      <c r="H196" s="27" t="s">
        <v>68</v>
      </c>
      <c r="I196" s="27" t="s">
        <v>1876</v>
      </c>
      <c r="J196" s="27" t="s">
        <v>1877</v>
      </c>
      <c r="K196" s="27" t="n">
        <v>1248</v>
      </c>
      <c r="L196" s="27" t="n">
        <v>702</v>
      </c>
      <c r="M196" s="28" t="n">
        <f aca="false">IFERROR(VLOOKUP((OFFSET(hoje12_326_ana9,195,10,1,1)&amp;"."&amp;OFFSET(hoje12_326_ana9,195,11,1,1)),'12.326'!A:D,4,0),"-")</f>
        <v>9531413000339</v>
      </c>
    </row>
    <row r="197" customFormat="false" ht="14.4" hidden="false" customHeight="false" outlineLevel="0" collapsed="false">
      <c r="A197" s="27" t="n">
        <v>11100097</v>
      </c>
      <c r="B197" s="27" t="s">
        <v>1912</v>
      </c>
      <c r="C197" s="43" t="n">
        <v>132.12</v>
      </c>
      <c r="D197" s="27" t="n">
        <v>0</v>
      </c>
      <c r="E197" s="27" t="n">
        <v>12</v>
      </c>
      <c r="F197" s="27" t="n">
        <v>11.01</v>
      </c>
      <c r="G197" s="27" t="s">
        <v>1875</v>
      </c>
      <c r="H197" s="27" t="s">
        <v>68</v>
      </c>
      <c r="I197" s="27" t="s">
        <v>1876</v>
      </c>
      <c r="J197" s="27" t="s">
        <v>1877</v>
      </c>
      <c r="K197" s="27" t="n">
        <v>1248</v>
      </c>
      <c r="L197" s="27" t="n">
        <v>702</v>
      </c>
      <c r="M197" s="28" t="n">
        <f aca="false">IFERROR(VLOOKUP((OFFSET(hoje12_326_ana9,196,10,1,1)&amp;"."&amp;OFFSET(hoje12_326_ana9,196,11,1,1)),'12.326'!A:D,4,0),"-")</f>
        <v>9531413000339</v>
      </c>
    </row>
    <row r="198" customFormat="false" ht="14.4" hidden="false" customHeight="false" outlineLevel="0" collapsed="false">
      <c r="A198" s="27" t="n">
        <v>11100156</v>
      </c>
      <c r="B198" s="27" t="s">
        <v>1918</v>
      </c>
      <c r="C198" s="43" t="n">
        <v>194.04</v>
      </c>
      <c r="D198" s="27" t="n">
        <v>0</v>
      </c>
      <c r="E198" s="27" t="n">
        <v>12</v>
      </c>
      <c r="F198" s="27" t="n">
        <v>16.17</v>
      </c>
      <c r="G198" s="27" t="s">
        <v>1875</v>
      </c>
      <c r="H198" s="27" t="s">
        <v>68</v>
      </c>
      <c r="I198" s="27" t="s">
        <v>1876</v>
      </c>
      <c r="J198" s="27" t="s">
        <v>1877</v>
      </c>
      <c r="K198" s="27" t="n">
        <v>1248</v>
      </c>
      <c r="L198" s="27" t="n">
        <v>702</v>
      </c>
      <c r="M198" s="28" t="n">
        <f aca="false">IFERROR(VLOOKUP((OFFSET(hoje12_326_ana9,197,10,1,1)&amp;"."&amp;OFFSET(hoje12_326_ana9,197,11,1,1)),'12.326'!A:D,4,0),"-")</f>
        <v>9531413000339</v>
      </c>
    </row>
    <row r="199" customFormat="false" ht="14.4" hidden="false" customHeight="false" outlineLevel="0" collapsed="false">
      <c r="A199" s="27" t="n">
        <v>11100477</v>
      </c>
      <c r="B199" s="27" t="s">
        <v>1950</v>
      </c>
      <c r="C199" s="43" t="n">
        <v>94.44</v>
      </c>
      <c r="D199" s="27" t="n">
        <v>0</v>
      </c>
      <c r="E199" s="27" t="n">
        <v>12</v>
      </c>
      <c r="F199" s="27" t="n">
        <v>7.87</v>
      </c>
      <c r="G199" s="27" t="s">
        <v>1875</v>
      </c>
      <c r="H199" s="27" t="s">
        <v>68</v>
      </c>
      <c r="I199" s="27" t="s">
        <v>1876</v>
      </c>
      <c r="J199" s="27" t="s">
        <v>1877</v>
      </c>
      <c r="K199" s="27" t="n">
        <v>1248</v>
      </c>
      <c r="L199" s="27" t="n">
        <v>702</v>
      </c>
      <c r="M199" s="28" t="n">
        <f aca="false">IFERROR(VLOOKUP((OFFSET(hoje12_326_ana9,198,10,1,1)&amp;"."&amp;OFFSET(hoje12_326_ana9,198,11,1,1)),'12.326'!A:D,4,0),"-")</f>
        <v>9531413000339</v>
      </c>
    </row>
    <row r="200" customFormat="false" ht="14.4" hidden="false" customHeight="false" outlineLevel="0" collapsed="false">
      <c r="A200" s="27" t="n">
        <v>11100475</v>
      </c>
      <c r="B200" s="27" t="s">
        <v>1947</v>
      </c>
      <c r="C200" s="43" t="n">
        <v>96.96</v>
      </c>
      <c r="D200" s="27" t="n">
        <v>3</v>
      </c>
      <c r="E200" s="27" t="n">
        <v>12</v>
      </c>
      <c r="F200" s="27" t="n">
        <v>8.33</v>
      </c>
      <c r="G200" s="27" t="s">
        <v>1875</v>
      </c>
      <c r="H200" s="27" t="s">
        <v>2009</v>
      </c>
      <c r="I200" s="27" t="s">
        <v>1876</v>
      </c>
      <c r="J200" s="27" t="s">
        <v>2010</v>
      </c>
      <c r="K200" s="27" t="n">
        <v>1248</v>
      </c>
      <c r="L200" s="27" t="n">
        <v>702</v>
      </c>
      <c r="M200" s="28" t="n">
        <f aca="false">IFERROR(VLOOKUP((OFFSET(hoje12_326_ana9,199,10,1,1)&amp;"."&amp;OFFSET(hoje12_326_ana9,199,11,1,1)),'12.326'!A:D,4,0),"-")</f>
        <v>9531413000339</v>
      </c>
    </row>
    <row r="201" customFormat="false" ht="14.4" hidden="false" customHeight="false" outlineLevel="0" collapsed="false">
      <c r="A201" s="27" t="n">
        <v>11100191</v>
      </c>
      <c r="B201" s="27" t="s">
        <v>1919</v>
      </c>
      <c r="C201" s="43" t="n">
        <v>129.36</v>
      </c>
      <c r="D201" s="27" t="n">
        <v>2.64</v>
      </c>
      <c r="E201" s="27" t="n">
        <v>12</v>
      </c>
      <c r="F201" s="27" t="n">
        <v>11</v>
      </c>
      <c r="G201" s="27" t="s">
        <v>1875</v>
      </c>
      <c r="H201" s="27" t="s">
        <v>2011</v>
      </c>
      <c r="I201" s="27" t="s">
        <v>1876</v>
      </c>
      <c r="J201" s="27" t="s">
        <v>2012</v>
      </c>
      <c r="K201" s="27" t="n">
        <v>1248</v>
      </c>
      <c r="L201" s="27" t="n">
        <v>702</v>
      </c>
      <c r="M201" s="28" t="n">
        <f aca="false">IFERROR(VLOOKUP((OFFSET(hoje12_326_ana9,200,10,1,1)&amp;"."&amp;OFFSET(hoje12_326_ana9,200,11,1,1)),'12.326'!A:D,4,0),"-")</f>
        <v>9531413000339</v>
      </c>
    </row>
    <row r="202" customFormat="false" ht="14.4" hidden="false" customHeight="false" outlineLevel="0" collapsed="false">
      <c r="A202" s="27" t="n">
        <v>11100091</v>
      </c>
      <c r="B202" s="27" t="s">
        <v>1910</v>
      </c>
      <c r="C202" s="43" t="n">
        <v>1536.73</v>
      </c>
      <c r="D202" s="27" t="n">
        <v>31.43</v>
      </c>
      <c r="E202" s="27" t="n">
        <v>324</v>
      </c>
      <c r="F202" s="27" t="n">
        <v>4.84</v>
      </c>
      <c r="G202" s="27" t="s">
        <v>1875</v>
      </c>
      <c r="H202" s="27" t="s">
        <v>2011</v>
      </c>
      <c r="I202" s="27" t="s">
        <v>1876</v>
      </c>
      <c r="J202" s="27" t="s">
        <v>2013</v>
      </c>
      <c r="K202" s="27" t="n">
        <v>1248</v>
      </c>
      <c r="L202" s="27" t="n">
        <v>702</v>
      </c>
      <c r="M202" s="28" t="n">
        <f aca="false">IFERROR(VLOOKUP((OFFSET(hoje12_326_ana9,201,10,1,1)&amp;"."&amp;OFFSET(hoje12_326_ana9,201,11,1,1)),'12.326'!A:D,4,0),"-")</f>
        <v>9531413000339</v>
      </c>
    </row>
    <row r="203" customFormat="false" ht="14.4" hidden="false" customHeight="false" outlineLevel="0" collapsed="false">
      <c r="A203" s="27" t="n">
        <v>11100155</v>
      </c>
      <c r="B203" s="27" t="s">
        <v>1917</v>
      </c>
      <c r="C203" s="43" t="n">
        <v>258.72</v>
      </c>
      <c r="D203" s="27" t="n">
        <v>5.28</v>
      </c>
      <c r="E203" s="27" t="n">
        <v>24</v>
      </c>
      <c r="F203" s="27" t="n">
        <v>11</v>
      </c>
      <c r="G203" s="27" t="s">
        <v>1875</v>
      </c>
      <c r="H203" s="27" t="s">
        <v>2011</v>
      </c>
      <c r="I203" s="27" t="s">
        <v>1876</v>
      </c>
      <c r="J203" s="27" t="s">
        <v>2014</v>
      </c>
      <c r="K203" s="27" t="n">
        <v>1248</v>
      </c>
      <c r="L203" s="27" t="n">
        <v>702</v>
      </c>
      <c r="M203" s="28" t="n">
        <f aca="false">IFERROR(VLOOKUP((OFFSET(hoje12_326_ana9,202,10,1,1)&amp;"."&amp;OFFSET(hoje12_326_ana9,202,11,1,1)),'12.326'!A:D,4,0),"-")</f>
        <v>9531413000339</v>
      </c>
    </row>
    <row r="204" customFormat="false" ht="14.4" hidden="false" customHeight="false" outlineLevel="0" collapsed="false">
      <c r="A204" s="27" t="n">
        <v>11100937</v>
      </c>
      <c r="B204" s="27" t="s">
        <v>2015</v>
      </c>
      <c r="C204" s="43" t="n">
        <v>283.2</v>
      </c>
      <c r="D204" s="27" t="n">
        <v>0</v>
      </c>
      <c r="E204" s="27" t="n">
        <v>12</v>
      </c>
      <c r="F204" s="27" t="n">
        <v>23.6</v>
      </c>
      <c r="G204" s="27" t="s">
        <v>1875</v>
      </c>
      <c r="H204" s="27" t="s">
        <v>68</v>
      </c>
      <c r="I204" s="27" t="s">
        <v>1876</v>
      </c>
      <c r="J204" s="27" t="s">
        <v>1877</v>
      </c>
      <c r="K204" s="27" t="n">
        <v>1248</v>
      </c>
      <c r="L204" s="27" t="n">
        <v>702</v>
      </c>
      <c r="M204" s="28" t="n">
        <f aca="false">IFERROR(VLOOKUP((OFFSET(hoje12_326_ana9,203,10,1,1)&amp;"."&amp;OFFSET(hoje12_326_ana9,203,11,1,1)),'12.326'!A:D,4,0),"-")</f>
        <v>9531413000339</v>
      </c>
    </row>
    <row r="205" customFormat="false" ht="14.4" hidden="false" customHeight="false" outlineLevel="0" collapsed="false">
      <c r="A205" s="27" t="n">
        <v>11100421</v>
      </c>
      <c r="B205" s="27" t="s">
        <v>1945</v>
      </c>
      <c r="C205" s="43" t="n">
        <v>116.52</v>
      </c>
      <c r="D205" s="27" t="n">
        <v>0</v>
      </c>
      <c r="E205" s="27" t="n">
        <v>12</v>
      </c>
      <c r="F205" s="27" t="n">
        <v>9.71</v>
      </c>
      <c r="G205" s="27" t="s">
        <v>1875</v>
      </c>
      <c r="H205" s="27" t="s">
        <v>68</v>
      </c>
      <c r="I205" s="27" t="s">
        <v>1876</v>
      </c>
      <c r="J205" s="27" t="s">
        <v>1877</v>
      </c>
      <c r="K205" s="27" t="n">
        <v>1248</v>
      </c>
      <c r="L205" s="27" t="n">
        <v>702</v>
      </c>
      <c r="M205" s="28" t="n">
        <f aca="false">IFERROR(VLOOKUP((OFFSET(hoje12_326_ana9,204,10,1,1)&amp;"."&amp;OFFSET(hoje12_326_ana9,204,11,1,1)),'12.326'!A:D,4,0),"-")</f>
        <v>9531413000339</v>
      </c>
    </row>
    <row r="206" customFormat="false" ht="14.4" hidden="false" customHeight="false" outlineLevel="0" collapsed="false">
      <c r="A206" s="27" t="n">
        <v>11100963</v>
      </c>
      <c r="B206" s="27" t="s">
        <v>1988</v>
      </c>
      <c r="C206" s="43" t="n">
        <v>170.28</v>
      </c>
      <c r="D206" s="27" t="n">
        <v>0</v>
      </c>
      <c r="E206" s="27" t="n">
        <v>12</v>
      </c>
      <c r="F206" s="27" t="n">
        <v>14.19</v>
      </c>
      <c r="G206" s="27" t="s">
        <v>1875</v>
      </c>
      <c r="H206" s="27" t="s">
        <v>68</v>
      </c>
      <c r="I206" s="27" t="s">
        <v>1876</v>
      </c>
      <c r="J206" s="27" t="s">
        <v>1877</v>
      </c>
      <c r="K206" s="27" t="n">
        <v>1248</v>
      </c>
      <c r="L206" s="27" t="n">
        <v>702</v>
      </c>
      <c r="M206" s="28" t="n">
        <f aca="false">IFERROR(VLOOKUP((OFFSET(hoje12_326_ana9,205,10,1,1)&amp;"."&amp;OFFSET(hoje12_326_ana9,205,11,1,1)),'12.326'!A:D,4,0),"-")</f>
        <v>9531413000339</v>
      </c>
    </row>
    <row r="207" customFormat="false" ht="14.4" hidden="false" customHeight="false" outlineLevel="0" collapsed="false">
      <c r="A207" s="27" t="n">
        <v>11100314</v>
      </c>
      <c r="B207" s="27" t="s">
        <v>1937</v>
      </c>
      <c r="C207" s="43" t="n">
        <v>263.28</v>
      </c>
      <c r="D207" s="27" t="n">
        <v>0</v>
      </c>
      <c r="E207" s="27" t="n">
        <v>24</v>
      </c>
      <c r="F207" s="27" t="n">
        <v>10.97</v>
      </c>
      <c r="G207" s="27" t="s">
        <v>1875</v>
      </c>
      <c r="H207" s="27" t="s">
        <v>68</v>
      </c>
      <c r="I207" s="27" t="s">
        <v>1876</v>
      </c>
      <c r="J207" s="27" t="s">
        <v>1877</v>
      </c>
      <c r="K207" s="27" t="n">
        <v>1248</v>
      </c>
      <c r="L207" s="27" t="n">
        <v>702</v>
      </c>
      <c r="M207" s="28" t="n">
        <f aca="false">IFERROR(VLOOKUP((OFFSET(hoje12_326_ana9,206,10,1,1)&amp;"."&amp;OFFSET(hoje12_326_ana9,206,11,1,1)),'12.326'!A:D,4,0),"-")</f>
        <v>9531413000339</v>
      </c>
    </row>
    <row r="208" customFormat="false" ht="14.4" hidden="false" customHeight="false" outlineLevel="0" collapsed="false">
      <c r="A208" s="27" t="n">
        <v>11100318</v>
      </c>
      <c r="B208" s="27" t="s">
        <v>1938</v>
      </c>
      <c r="C208" s="43" t="n">
        <v>164.52</v>
      </c>
      <c r="D208" s="27" t="n">
        <v>0</v>
      </c>
      <c r="E208" s="27" t="n">
        <v>36</v>
      </c>
      <c r="F208" s="27" t="n">
        <v>4.57</v>
      </c>
      <c r="G208" s="27" t="s">
        <v>1875</v>
      </c>
      <c r="H208" s="27" t="s">
        <v>68</v>
      </c>
      <c r="I208" s="27" t="s">
        <v>1876</v>
      </c>
      <c r="J208" s="27" t="s">
        <v>1877</v>
      </c>
      <c r="K208" s="27" t="n">
        <v>1248</v>
      </c>
      <c r="L208" s="27" t="n">
        <v>702</v>
      </c>
      <c r="M208" s="28" t="n">
        <f aca="false">IFERROR(VLOOKUP((OFFSET(hoje12_326_ana9,207,10,1,1)&amp;"."&amp;OFFSET(hoje12_326_ana9,207,11,1,1)),'12.326'!A:D,4,0),"-")</f>
        <v>9531413000339</v>
      </c>
    </row>
    <row r="209" customFormat="false" ht="14.4" hidden="false" customHeight="false" outlineLevel="0" collapsed="false">
      <c r="A209" s="27" t="n">
        <v>11100362</v>
      </c>
      <c r="B209" s="27" t="s">
        <v>1942</v>
      </c>
      <c r="C209" s="43" t="n">
        <v>61.98</v>
      </c>
      <c r="D209" s="27" t="n">
        <v>0</v>
      </c>
      <c r="E209" s="27" t="n">
        <v>6</v>
      </c>
      <c r="F209" s="27" t="n">
        <v>10.33</v>
      </c>
      <c r="G209" s="27" t="s">
        <v>1875</v>
      </c>
      <c r="H209" s="27" t="s">
        <v>68</v>
      </c>
      <c r="I209" s="27" t="s">
        <v>1876</v>
      </c>
      <c r="J209" s="27" t="s">
        <v>1877</v>
      </c>
      <c r="K209" s="27" t="n">
        <v>1248</v>
      </c>
      <c r="L209" s="27" t="n">
        <v>702</v>
      </c>
      <c r="M209" s="28" t="n">
        <f aca="false">IFERROR(VLOOKUP((OFFSET(hoje12_326_ana9,208,10,1,1)&amp;"."&amp;OFFSET(hoje12_326_ana9,208,11,1,1)),'12.326'!A:D,4,0),"-")</f>
        <v>9531413000339</v>
      </c>
    </row>
    <row r="210" customFormat="false" ht="14.4" hidden="false" customHeight="false" outlineLevel="0" collapsed="false">
      <c r="A210" s="27" t="n">
        <v>11100820</v>
      </c>
      <c r="B210" s="27" t="s">
        <v>1963</v>
      </c>
      <c r="C210" s="43" t="n">
        <v>37.48</v>
      </c>
      <c r="D210" s="27" t="n">
        <v>4.16</v>
      </c>
      <c r="E210" s="27" t="n">
        <v>6</v>
      </c>
      <c r="F210" s="27" t="n">
        <v>6.94</v>
      </c>
      <c r="G210" s="27" t="s">
        <v>1875</v>
      </c>
      <c r="H210" s="27" t="s">
        <v>1895</v>
      </c>
      <c r="I210" s="27" t="s">
        <v>1876</v>
      </c>
      <c r="J210" s="27" t="s">
        <v>2016</v>
      </c>
      <c r="K210" s="27" t="n">
        <v>1248</v>
      </c>
      <c r="L210" s="27" t="n">
        <v>702</v>
      </c>
      <c r="M210" s="28" t="n">
        <f aca="false">IFERROR(VLOOKUP((OFFSET(hoje12_326_ana9,209,10,1,1)&amp;"."&amp;OFFSET(hoje12_326_ana9,209,11,1,1)),'12.326'!A:D,4,0),"-")</f>
        <v>9531413000339</v>
      </c>
    </row>
    <row r="211" customFormat="false" ht="14.4" hidden="false" customHeight="false" outlineLevel="0" collapsed="false">
      <c r="A211" s="27" t="n">
        <v>11100826</v>
      </c>
      <c r="B211" s="27" t="s">
        <v>1968</v>
      </c>
      <c r="C211" s="43" t="n">
        <v>112.43</v>
      </c>
      <c r="D211" s="27" t="n">
        <v>12.49</v>
      </c>
      <c r="E211" s="27" t="n">
        <v>18</v>
      </c>
      <c r="F211" s="27" t="n">
        <v>6.94</v>
      </c>
      <c r="G211" s="27" t="s">
        <v>1875</v>
      </c>
      <c r="H211" s="27" t="s">
        <v>1895</v>
      </c>
      <c r="I211" s="27" t="s">
        <v>1876</v>
      </c>
      <c r="J211" s="27" t="s">
        <v>2017</v>
      </c>
      <c r="K211" s="27" t="n">
        <v>1248</v>
      </c>
      <c r="L211" s="27" t="n">
        <v>702</v>
      </c>
      <c r="M211" s="28" t="n">
        <f aca="false">IFERROR(VLOOKUP((OFFSET(hoje12_326_ana9,210,10,1,1)&amp;"."&amp;OFFSET(hoje12_326_ana9,210,11,1,1)),'12.326'!A:D,4,0),"-")</f>
        <v>9531413000339</v>
      </c>
    </row>
    <row r="212" customFormat="false" ht="14.4" hidden="false" customHeight="false" outlineLevel="0" collapsed="false">
      <c r="A212" s="27" t="n">
        <v>11100822</v>
      </c>
      <c r="B212" s="27" t="s">
        <v>1966</v>
      </c>
      <c r="C212" s="43" t="n">
        <v>187.38</v>
      </c>
      <c r="D212" s="27" t="n">
        <v>20.82</v>
      </c>
      <c r="E212" s="27" t="n">
        <v>30</v>
      </c>
      <c r="F212" s="27" t="n">
        <v>6.94</v>
      </c>
      <c r="G212" s="27" t="s">
        <v>1875</v>
      </c>
      <c r="H212" s="27" t="s">
        <v>1895</v>
      </c>
      <c r="I212" s="27" t="s">
        <v>1876</v>
      </c>
      <c r="J212" s="27" t="s">
        <v>2018</v>
      </c>
      <c r="K212" s="27" t="n">
        <v>1248</v>
      </c>
      <c r="L212" s="27" t="n">
        <v>702</v>
      </c>
      <c r="M212" s="28" t="n">
        <f aca="false">IFERROR(VLOOKUP((OFFSET(hoje12_326_ana9,211,10,1,1)&amp;"."&amp;OFFSET(hoje12_326_ana9,211,11,1,1)),'12.326'!A:D,4,0),"-")</f>
        <v>9531413000339</v>
      </c>
    </row>
    <row r="213" customFormat="false" ht="14.4" hidden="false" customHeight="false" outlineLevel="0" collapsed="false">
      <c r="A213" s="27" t="n">
        <v>11100824</v>
      </c>
      <c r="B213" s="27" t="s">
        <v>1967</v>
      </c>
      <c r="C213" s="43" t="n">
        <v>74.95</v>
      </c>
      <c r="D213" s="27" t="n">
        <v>8.33</v>
      </c>
      <c r="E213" s="27" t="n">
        <v>12</v>
      </c>
      <c r="F213" s="27" t="n">
        <v>6.94</v>
      </c>
      <c r="G213" s="27" t="s">
        <v>1875</v>
      </c>
      <c r="H213" s="27" t="s">
        <v>1895</v>
      </c>
      <c r="I213" s="27" t="s">
        <v>1876</v>
      </c>
      <c r="J213" s="27" t="s">
        <v>2019</v>
      </c>
      <c r="K213" s="27" t="n">
        <v>1248</v>
      </c>
      <c r="L213" s="27" t="n">
        <v>702</v>
      </c>
      <c r="M213" s="28" t="n">
        <f aca="false">IFERROR(VLOOKUP((OFFSET(hoje12_326_ana9,212,10,1,1)&amp;"."&amp;OFFSET(hoje12_326_ana9,212,11,1,1)),'12.326'!A:D,4,0),"-")</f>
        <v>9531413000339</v>
      </c>
    </row>
    <row r="214" customFormat="false" ht="14.4" hidden="false" customHeight="false" outlineLevel="0" collapsed="false">
      <c r="A214" s="27" t="n">
        <v>11100511</v>
      </c>
      <c r="B214" s="27" t="s">
        <v>1953</v>
      </c>
      <c r="C214" s="43" t="n">
        <v>77.44</v>
      </c>
      <c r="D214" s="27" t="n">
        <v>1.58</v>
      </c>
      <c r="E214" s="27" t="n">
        <v>6</v>
      </c>
      <c r="F214" s="27" t="n">
        <v>13.17</v>
      </c>
      <c r="G214" s="27" t="s">
        <v>1875</v>
      </c>
      <c r="H214" s="27" t="s">
        <v>2011</v>
      </c>
      <c r="I214" s="27" t="s">
        <v>1876</v>
      </c>
      <c r="J214" s="27" t="s">
        <v>2020</v>
      </c>
      <c r="K214" s="27" t="n">
        <v>1248</v>
      </c>
      <c r="L214" s="27" t="n">
        <v>702</v>
      </c>
      <c r="M214" s="28" t="n">
        <f aca="false">IFERROR(VLOOKUP((OFFSET(hoje12_326_ana9,213,10,1,1)&amp;"."&amp;OFFSET(hoje12_326_ana9,213,11,1,1)),'12.326'!A:D,4,0),"-")</f>
        <v>9531413000339</v>
      </c>
    </row>
    <row r="215" customFormat="false" ht="14.4" hidden="false" customHeight="false" outlineLevel="0" collapsed="false">
      <c r="A215" s="27" t="n">
        <v>11100501</v>
      </c>
      <c r="B215" s="27" t="s">
        <v>1951</v>
      </c>
      <c r="C215" s="43" t="n">
        <v>232.33</v>
      </c>
      <c r="D215" s="27" t="n">
        <v>4.73</v>
      </c>
      <c r="E215" s="27" t="n">
        <v>18</v>
      </c>
      <c r="F215" s="27" t="n">
        <v>13.17</v>
      </c>
      <c r="G215" s="27" t="s">
        <v>1875</v>
      </c>
      <c r="H215" s="27" t="s">
        <v>2011</v>
      </c>
      <c r="I215" s="27" t="s">
        <v>1876</v>
      </c>
      <c r="J215" s="27" t="s">
        <v>2021</v>
      </c>
      <c r="K215" s="27" t="n">
        <v>1248</v>
      </c>
      <c r="L215" s="27" t="n">
        <v>702</v>
      </c>
      <c r="M215" s="28" t="n">
        <f aca="false">IFERROR(VLOOKUP((OFFSET(hoje12_326_ana9,214,10,1,1)&amp;"."&amp;OFFSET(hoje12_326_ana9,214,11,1,1)),'12.326'!A:D,4,0),"-")</f>
        <v>9531413000339</v>
      </c>
    </row>
    <row r="216" customFormat="false" ht="14.4" hidden="false" customHeight="false" outlineLevel="0" collapsed="false">
      <c r="A216" s="27" t="n">
        <v>11100503</v>
      </c>
      <c r="B216" s="27" t="s">
        <v>1952</v>
      </c>
      <c r="C216" s="43" t="n">
        <v>154.88</v>
      </c>
      <c r="D216" s="27" t="n">
        <v>3.16</v>
      </c>
      <c r="E216" s="27" t="n">
        <v>12</v>
      </c>
      <c r="F216" s="27" t="n">
        <v>13.17</v>
      </c>
      <c r="G216" s="27" t="s">
        <v>1875</v>
      </c>
      <c r="H216" s="27" t="s">
        <v>2011</v>
      </c>
      <c r="I216" s="27" t="s">
        <v>1876</v>
      </c>
      <c r="J216" s="27" t="s">
        <v>2022</v>
      </c>
      <c r="K216" s="27" t="n">
        <v>1248</v>
      </c>
      <c r="L216" s="27" t="n">
        <v>702</v>
      </c>
      <c r="M216" s="28" t="n">
        <f aca="false">IFERROR(VLOOKUP((OFFSET(hoje12_326_ana9,215,10,1,1)&amp;"."&amp;OFFSET(hoje12_326_ana9,215,11,1,1)),'12.326'!A:D,4,0),"-")</f>
        <v>9531413000339</v>
      </c>
    </row>
    <row r="217" customFormat="false" ht="14.4" hidden="false" customHeight="false" outlineLevel="0" collapsed="false">
      <c r="A217" s="27" t="n">
        <v>11100261</v>
      </c>
      <c r="B217" s="27" t="s">
        <v>1929</v>
      </c>
      <c r="C217" s="43" t="n">
        <v>45.14</v>
      </c>
      <c r="D217" s="27" t="n">
        <v>5.02</v>
      </c>
      <c r="E217" s="27" t="n">
        <v>6</v>
      </c>
      <c r="F217" s="27" t="n">
        <v>8.36</v>
      </c>
      <c r="G217" s="27" t="s">
        <v>1875</v>
      </c>
      <c r="H217" s="27" t="s">
        <v>1895</v>
      </c>
      <c r="I217" s="27" t="s">
        <v>1876</v>
      </c>
      <c r="J217" s="27" t="s">
        <v>2023</v>
      </c>
      <c r="K217" s="27" t="n">
        <v>1248</v>
      </c>
      <c r="L217" s="27" t="n">
        <v>702</v>
      </c>
      <c r="M217" s="28" t="n">
        <f aca="false">IFERROR(VLOOKUP((OFFSET(hoje12_326_ana9,216,10,1,1)&amp;"."&amp;OFFSET(hoje12_326_ana9,216,11,1,1)),'12.326'!A:D,4,0),"-")</f>
        <v>9531413000339</v>
      </c>
    </row>
    <row r="218" customFormat="false" ht="14.4" hidden="false" customHeight="false" outlineLevel="0" collapsed="false">
      <c r="A218" s="27" t="n">
        <v>11100724</v>
      </c>
      <c r="B218" s="27" t="s">
        <v>1962</v>
      </c>
      <c r="C218" s="43" t="n">
        <v>194.88</v>
      </c>
      <c r="D218" s="27" t="n">
        <v>16.92</v>
      </c>
      <c r="E218" s="27" t="n">
        <v>60</v>
      </c>
      <c r="F218" s="27" t="n">
        <v>3.53</v>
      </c>
      <c r="G218" s="27" t="s">
        <v>1875</v>
      </c>
      <c r="H218" s="27" t="s">
        <v>1960</v>
      </c>
      <c r="I218" s="27" t="s">
        <v>1876</v>
      </c>
      <c r="J218" s="27" t="s">
        <v>2024</v>
      </c>
      <c r="K218" s="27" t="n">
        <v>1248</v>
      </c>
      <c r="L218" s="27" t="n">
        <v>702</v>
      </c>
      <c r="M218" s="28" t="n">
        <f aca="false">IFERROR(VLOOKUP((OFFSET(hoje12_326_ana9,217,10,1,1)&amp;"."&amp;OFFSET(hoje12_326_ana9,217,11,1,1)),'12.326'!A:D,4,0),"-")</f>
        <v>9531413000339</v>
      </c>
    </row>
    <row r="219" customFormat="false" ht="14.4" hidden="false" customHeight="false" outlineLevel="0" collapsed="false">
      <c r="A219" s="27" t="n">
        <v>11100695</v>
      </c>
      <c r="B219" s="27" t="s">
        <v>1959</v>
      </c>
      <c r="C219" s="43" t="n">
        <v>116.57</v>
      </c>
      <c r="D219" s="27" t="n">
        <v>10.15</v>
      </c>
      <c r="E219" s="27" t="n">
        <v>36</v>
      </c>
      <c r="F219" s="27" t="n">
        <v>3.52</v>
      </c>
      <c r="G219" s="27" t="s">
        <v>1875</v>
      </c>
      <c r="H219" s="27" t="s">
        <v>1960</v>
      </c>
      <c r="I219" s="27" t="s">
        <v>1876</v>
      </c>
      <c r="J219" s="27" t="s">
        <v>2025</v>
      </c>
      <c r="K219" s="27" t="n">
        <v>1248</v>
      </c>
      <c r="L219" s="27" t="n">
        <v>702</v>
      </c>
      <c r="M219" s="28" t="n">
        <f aca="false">IFERROR(VLOOKUP((OFFSET(hoje12_326_ana9,218,10,1,1)&amp;"."&amp;OFFSET(hoje12_326_ana9,218,11,1,1)),'12.326'!A:D,4,0),"-")</f>
        <v>9531413000339</v>
      </c>
    </row>
    <row r="220" customFormat="false" ht="14.4" hidden="false" customHeight="false" outlineLevel="0" collapsed="false">
      <c r="A220" s="27" t="n">
        <v>11100830</v>
      </c>
      <c r="B220" s="27" t="s">
        <v>1969</v>
      </c>
      <c r="C220" s="43" t="n">
        <v>73.17</v>
      </c>
      <c r="D220" s="27" t="n">
        <v>8.13</v>
      </c>
      <c r="E220" s="27" t="n">
        <v>6</v>
      </c>
      <c r="F220" s="27" t="n">
        <v>13.55</v>
      </c>
      <c r="G220" s="27" t="s">
        <v>1875</v>
      </c>
      <c r="H220" s="27" t="s">
        <v>1895</v>
      </c>
      <c r="I220" s="27" t="s">
        <v>1876</v>
      </c>
      <c r="J220" s="27" t="s">
        <v>2026</v>
      </c>
      <c r="K220" s="27" t="n">
        <v>1248</v>
      </c>
      <c r="L220" s="27" t="n">
        <v>702</v>
      </c>
      <c r="M220" s="28" t="n">
        <f aca="false">IFERROR(VLOOKUP((OFFSET(hoje12_326_ana9,219,10,1,1)&amp;"."&amp;OFFSET(hoje12_326_ana9,219,11,1,1)),'12.326'!A:D,4,0),"-")</f>
        <v>9531413000339</v>
      </c>
    </row>
    <row r="221" customFormat="false" ht="14.4" hidden="false" customHeight="false" outlineLevel="0" collapsed="false">
      <c r="A221" s="27" t="n">
        <v>11100838</v>
      </c>
      <c r="B221" s="27" t="s">
        <v>1972</v>
      </c>
      <c r="C221" s="43" t="n">
        <v>43.04</v>
      </c>
      <c r="D221" s="27" t="n">
        <v>4.78</v>
      </c>
      <c r="E221" s="27" t="n">
        <v>6</v>
      </c>
      <c r="F221" s="27" t="n">
        <v>7.97</v>
      </c>
      <c r="G221" s="27" t="s">
        <v>1875</v>
      </c>
      <c r="H221" s="27" t="s">
        <v>1895</v>
      </c>
      <c r="I221" s="27" t="s">
        <v>1876</v>
      </c>
      <c r="J221" s="27" t="s">
        <v>2027</v>
      </c>
      <c r="K221" s="27" t="n">
        <v>1248</v>
      </c>
      <c r="L221" s="27" t="n">
        <v>702</v>
      </c>
      <c r="M221" s="28" t="n">
        <f aca="false">IFERROR(VLOOKUP((OFFSET(hoje12_326_ana9,220,10,1,1)&amp;"."&amp;OFFSET(hoje12_326_ana9,220,11,1,1)),'12.326'!A:D,4,0),"-")</f>
        <v>9531413000339</v>
      </c>
    </row>
    <row r="222" customFormat="false" ht="14.4" hidden="false" customHeight="false" outlineLevel="0" collapsed="false">
      <c r="A222" s="27" t="n">
        <v>11100843</v>
      </c>
      <c r="B222" s="27" t="s">
        <v>1975</v>
      </c>
      <c r="C222" s="43" t="n">
        <v>86.08</v>
      </c>
      <c r="D222" s="27" t="n">
        <v>9.56</v>
      </c>
      <c r="E222" s="27" t="n">
        <v>12</v>
      </c>
      <c r="F222" s="27" t="n">
        <v>7.97</v>
      </c>
      <c r="G222" s="27" t="s">
        <v>1875</v>
      </c>
      <c r="H222" s="27" t="s">
        <v>1895</v>
      </c>
      <c r="I222" s="27" t="s">
        <v>1876</v>
      </c>
      <c r="J222" s="27" t="s">
        <v>2028</v>
      </c>
      <c r="K222" s="27" t="n">
        <v>1248</v>
      </c>
      <c r="L222" s="27" t="n">
        <v>702</v>
      </c>
      <c r="M222" s="28" t="n">
        <f aca="false">IFERROR(VLOOKUP((OFFSET(hoje12_326_ana9,221,10,1,1)&amp;"."&amp;OFFSET(hoje12_326_ana9,221,11,1,1)),'12.326'!A:D,4,0),"-")</f>
        <v>9531413000339</v>
      </c>
    </row>
    <row r="223" customFormat="false" ht="14.4" hidden="false" customHeight="false" outlineLevel="0" collapsed="false">
      <c r="A223" s="27" t="n">
        <v>11100698</v>
      </c>
      <c r="B223" s="27" t="s">
        <v>2029</v>
      </c>
      <c r="C223" s="43" t="n">
        <v>81</v>
      </c>
      <c r="D223" s="27" t="n">
        <v>0</v>
      </c>
      <c r="E223" s="27" t="n">
        <v>36</v>
      </c>
      <c r="F223" s="27" t="n">
        <v>2.25</v>
      </c>
      <c r="G223" s="27" t="s">
        <v>1875</v>
      </c>
      <c r="H223" s="27" t="s">
        <v>68</v>
      </c>
      <c r="I223" s="27" t="s">
        <v>1876</v>
      </c>
      <c r="J223" s="27" t="s">
        <v>1877</v>
      </c>
      <c r="K223" s="27" t="n">
        <v>1248</v>
      </c>
      <c r="L223" s="27" t="n">
        <v>702</v>
      </c>
      <c r="M223" s="28" t="n">
        <f aca="false">IFERROR(VLOOKUP((OFFSET(hoje12_326_ana9,222,10,1,1)&amp;"."&amp;OFFSET(hoje12_326_ana9,222,11,1,1)),'12.326'!A:D,4,0),"-")</f>
        <v>9531413000339</v>
      </c>
    </row>
    <row r="224" customFormat="false" ht="14.4" hidden="false" customHeight="false" outlineLevel="0" collapsed="false">
      <c r="A224" s="27" t="n">
        <v>11100728</v>
      </c>
      <c r="B224" s="27" t="s">
        <v>1885</v>
      </c>
      <c r="C224" s="43" t="n">
        <v>69.66</v>
      </c>
      <c r="D224" s="27" t="n">
        <v>11.34</v>
      </c>
      <c r="E224" s="27" t="n">
        <v>36</v>
      </c>
      <c r="F224" s="27" t="n">
        <v>2.25</v>
      </c>
      <c r="G224" s="27" t="s">
        <v>1875</v>
      </c>
      <c r="H224" s="27" t="s">
        <v>2030</v>
      </c>
      <c r="I224" s="27" t="s">
        <v>1876</v>
      </c>
      <c r="J224" s="27" t="s">
        <v>2031</v>
      </c>
      <c r="K224" s="27" t="n">
        <v>1248</v>
      </c>
      <c r="L224" s="27" t="n">
        <v>702</v>
      </c>
      <c r="M224" s="28" t="n">
        <f aca="false">IFERROR(VLOOKUP((OFFSET(hoje12_326_ana9,223,10,1,1)&amp;"."&amp;OFFSET(hoje12_326_ana9,223,11,1,1)),'12.326'!A:D,4,0),"-")</f>
        <v>9531413000339</v>
      </c>
    </row>
    <row r="225" customFormat="false" ht="14.4" hidden="false" customHeight="false" outlineLevel="0" collapsed="false">
      <c r="A225" s="27" t="n">
        <v>11100740</v>
      </c>
      <c r="B225" s="27" t="s">
        <v>2032</v>
      </c>
      <c r="C225" s="43" t="n">
        <v>46.44</v>
      </c>
      <c r="D225" s="27" t="n">
        <v>0</v>
      </c>
      <c r="E225" s="27" t="n">
        <v>12</v>
      </c>
      <c r="F225" s="27" t="n">
        <v>3.87</v>
      </c>
      <c r="G225" s="27" t="s">
        <v>1875</v>
      </c>
      <c r="H225" s="27" t="s">
        <v>68</v>
      </c>
      <c r="I225" s="27" t="s">
        <v>1876</v>
      </c>
      <c r="J225" s="27" t="s">
        <v>1877</v>
      </c>
      <c r="K225" s="27" t="n">
        <v>1248</v>
      </c>
      <c r="L225" s="27" t="n">
        <v>702</v>
      </c>
      <c r="M225" s="28" t="n">
        <f aca="false">IFERROR(VLOOKUP((OFFSET(hoje12_326_ana9,224,10,1,1)&amp;"."&amp;OFFSET(hoje12_326_ana9,224,11,1,1)),'12.326'!A:D,4,0),"-")</f>
        <v>9531413000339</v>
      </c>
    </row>
    <row r="226" customFormat="false" ht="14.4" hidden="false" customHeight="false" outlineLevel="0" collapsed="false">
      <c r="A226" s="27" t="n">
        <v>11100216</v>
      </c>
      <c r="B226" s="27" t="s">
        <v>1923</v>
      </c>
      <c r="C226" s="43" t="n">
        <v>554.88</v>
      </c>
      <c r="D226" s="27" t="n">
        <v>0</v>
      </c>
      <c r="E226" s="27" t="n">
        <v>96</v>
      </c>
      <c r="F226" s="27" t="n">
        <v>5.78</v>
      </c>
      <c r="G226" s="27" t="s">
        <v>1875</v>
      </c>
      <c r="H226" s="27" t="s">
        <v>68</v>
      </c>
      <c r="I226" s="27" t="s">
        <v>1876</v>
      </c>
      <c r="J226" s="27" t="s">
        <v>1877</v>
      </c>
      <c r="K226" s="27" t="n">
        <v>1248</v>
      </c>
      <c r="L226" s="27" t="n">
        <v>702</v>
      </c>
      <c r="M226" s="28" t="n">
        <f aca="false">IFERROR(VLOOKUP((OFFSET(hoje12_326_ana9,225,10,1,1)&amp;"."&amp;OFFSET(hoje12_326_ana9,225,11,1,1)),'12.326'!A:D,4,0),"-")</f>
        <v>9531413000339</v>
      </c>
    </row>
    <row r="227" customFormat="false" ht="14.4" hidden="false" customHeight="false" outlineLevel="0" collapsed="false">
      <c r="A227" s="27" t="n">
        <v>11100239</v>
      </c>
      <c r="B227" s="27" t="s">
        <v>1924</v>
      </c>
      <c r="C227" s="43" t="n">
        <v>513</v>
      </c>
      <c r="D227" s="27" t="n">
        <v>0</v>
      </c>
      <c r="E227" s="27" t="n">
        <v>108</v>
      </c>
      <c r="F227" s="27" t="n">
        <v>4.75</v>
      </c>
      <c r="G227" s="27" t="s">
        <v>1875</v>
      </c>
      <c r="H227" s="27" t="s">
        <v>68</v>
      </c>
      <c r="I227" s="27" t="s">
        <v>1876</v>
      </c>
      <c r="J227" s="27" t="s">
        <v>1877</v>
      </c>
      <c r="K227" s="27" t="n">
        <v>1248</v>
      </c>
      <c r="L227" s="27" t="n">
        <v>702</v>
      </c>
      <c r="M227" s="28" t="n">
        <f aca="false">IFERROR(VLOOKUP((OFFSET(hoje12_326_ana9,226,10,1,1)&amp;"."&amp;OFFSET(hoje12_326_ana9,226,11,1,1)),'12.326'!A:D,4,0),"-")</f>
        <v>9531413000339</v>
      </c>
    </row>
    <row r="228" customFormat="false" ht="14.4" hidden="false" customHeight="false" outlineLevel="0" collapsed="false">
      <c r="A228" s="27" t="n">
        <v>11100214</v>
      </c>
      <c r="B228" s="27" t="s">
        <v>1922</v>
      </c>
      <c r="C228" s="43" t="n">
        <v>577.44</v>
      </c>
      <c r="D228" s="27" t="n">
        <v>0</v>
      </c>
      <c r="E228" s="27" t="n">
        <v>144</v>
      </c>
      <c r="F228" s="27" t="n">
        <v>4.01</v>
      </c>
      <c r="G228" s="27" t="s">
        <v>1875</v>
      </c>
      <c r="H228" s="27" t="s">
        <v>68</v>
      </c>
      <c r="I228" s="27" t="s">
        <v>1876</v>
      </c>
      <c r="J228" s="27" t="s">
        <v>1877</v>
      </c>
      <c r="K228" s="27" t="n">
        <v>1248</v>
      </c>
      <c r="L228" s="27" t="n">
        <v>702</v>
      </c>
      <c r="M228" s="28" t="n">
        <f aca="false">IFERROR(VLOOKUP((OFFSET(hoje12_326_ana9,227,10,1,1)&amp;"."&amp;OFFSET(hoje12_326_ana9,227,11,1,1)),'12.326'!A:D,4,0),"-")</f>
        <v>9531413000339</v>
      </c>
    </row>
    <row r="229" customFormat="false" ht="14.4" hidden="false" customHeight="false" outlineLevel="0" collapsed="false">
      <c r="A229" s="27" t="n">
        <v>11100097</v>
      </c>
      <c r="B229" s="27" t="s">
        <v>1912</v>
      </c>
      <c r="C229" s="43" t="n">
        <v>132.12</v>
      </c>
      <c r="D229" s="27" t="n">
        <v>0</v>
      </c>
      <c r="E229" s="27" t="n">
        <v>12</v>
      </c>
      <c r="F229" s="27" t="n">
        <v>11.01</v>
      </c>
      <c r="G229" s="27" t="s">
        <v>1875</v>
      </c>
      <c r="H229" s="27" t="s">
        <v>68</v>
      </c>
      <c r="I229" s="27" t="s">
        <v>1876</v>
      </c>
      <c r="J229" s="27" t="s">
        <v>1877</v>
      </c>
      <c r="K229" s="27" t="n">
        <v>1249</v>
      </c>
      <c r="L229" s="27" t="n">
        <v>702</v>
      </c>
      <c r="M229" s="28" t="n">
        <f aca="false">IFERROR(VLOOKUP((OFFSET(hoje12_326_ana9,228,10,1,1)&amp;"."&amp;OFFSET(hoje12_326_ana9,228,11,1,1)),'12.326'!A:D,4,0),"-")</f>
        <v>9531413001491</v>
      </c>
    </row>
    <row r="230" customFormat="false" ht="14.4" hidden="false" customHeight="false" outlineLevel="0" collapsed="false">
      <c r="A230" s="27" t="n">
        <v>11100156</v>
      </c>
      <c r="B230" s="27" t="s">
        <v>1918</v>
      </c>
      <c r="C230" s="43" t="n">
        <v>194.04</v>
      </c>
      <c r="D230" s="27" t="n">
        <v>0</v>
      </c>
      <c r="E230" s="27" t="n">
        <v>12</v>
      </c>
      <c r="F230" s="27" t="n">
        <v>16.17</v>
      </c>
      <c r="G230" s="27" t="s">
        <v>1875</v>
      </c>
      <c r="H230" s="27" t="s">
        <v>68</v>
      </c>
      <c r="I230" s="27" t="s">
        <v>1876</v>
      </c>
      <c r="J230" s="27" t="s">
        <v>1877</v>
      </c>
      <c r="K230" s="27" t="n">
        <v>1249</v>
      </c>
      <c r="L230" s="27" t="n">
        <v>702</v>
      </c>
      <c r="M230" s="28" t="n">
        <f aca="false">IFERROR(VLOOKUP((OFFSET(hoje12_326_ana9,229,10,1,1)&amp;"."&amp;OFFSET(hoje12_326_ana9,229,11,1,1)),'12.326'!A:D,4,0),"-")</f>
        <v>9531413001491</v>
      </c>
    </row>
    <row r="231" customFormat="false" ht="14.4" hidden="false" customHeight="false" outlineLevel="0" collapsed="false">
      <c r="A231" s="27" t="n">
        <v>11100145</v>
      </c>
      <c r="B231" s="27" t="s">
        <v>1915</v>
      </c>
      <c r="C231" s="43" t="n">
        <v>371.52</v>
      </c>
      <c r="D231" s="27" t="n">
        <v>11.52</v>
      </c>
      <c r="E231" s="27" t="n">
        <v>72</v>
      </c>
      <c r="F231" s="27" t="n">
        <v>5.32</v>
      </c>
      <c r="G231" s="27" t="s">
        <v>1875</v>
      </c>
      <c r="H231" s="27" t="s">
        <v>2009</v>
      </c>
      <c r="I231" s="27" t="s">
        <v>1876</v>
      </c>
      <c r="J231" s="27" t="s">
        <v>2033</v>
      </c>
      <c r="K231" s="27" t="n">
        <v>1249</v>
      </c>
      <c r="L231" s="27" t="n">
        <v>702</v>
      </c>
      <c r="M231" s="28" t="n">
        <f aca="false">IFERROR(VLOOKUP((OFFSET(hoje12_326_ana9,230,10,1,1)&amp;"."&amp;OFFSET(hoje12_326_ana9,230,11,1,1)),'12.326'!A:D,4,0),"-")</f>
        <v>9531413001491</v>
      </c>
    </row>
    <row r="232" customFormat="false" ht="14.4" hidden="false" customHeight="false" outlineLevel="0" collapsed="false">
      <c r="A232" s="27" t="n">
        <v>11100475</v>
      </c>
      <c r="B232" s="27" t="s">
        <v>1947</v>
      </c>
      <c r="C232" s="43" t="n">
        <v>48.48</v>
      </c>
      <c r="D232" s="27" t="n">
        <v>1.5</v>
      </c>
      <c r="E232" s="27" t="n">
        <v>6</v>
      </c>
      <c r="F232" s="27" t="n">
        <v>8.33</v>
      </c>
      <c r="G232" s="27" t="s">
        <v>1875</v>
      </c>
      <c r="H232" s="27" t="s">
        <v>2009</v>
      </c>
      <c r="I232" s="27" t="s">
        <v>1876</v>
      </c>
      <c r="J232" s="27" t="s">
        <v>2034</v>
      </c>
      <c r="K232" s="27" t="n">
        <v>1249</v>
      </c>
      <c r="L232" s="27" t="n">
        <v>702</v>
      </c>
      <c r="M232" s="28" t="n">
        <f aca="false">IFERROR(VLOOKUP((OFFSET(hoje12_326_ana9,231,10,1,1)&amp;"."&amp;OFFSET(hoje12_326_ana9,231,11,1,1)),'12.326'!A:D,4,0),"-")</f>
        <v>9531413001491</v>
      </c>
    </row>
    <row r="233" customFormat="false" ht="14.4" hidden="false" customHeight="false" outlineLevel="0" collapsed="false">
      <c r="A233" s="27" t="n">
        <v>11100138</v>
      </c>
      <c r="B233" s="27" t="s">
        <v>2035</v>
      </c>
      <c r="C233" s="43" t="n">
        <v>295.78</v>
      </c>
      <c r="D233" s="27" t="n">
        <v>9.14</v>
      </c>
      <c r="E233" s="27" t="n">
        <v>36</v>
      </c>
      <c r="F233" s="27" t="n">
        <v>8.47</v>
      </c>
      <c r="G233" s="27" t="s">
        <v>1875</v>
      </c>
      <c r="H233" s="27" t="s">
        <v>2009</v>
      </c>
      <c r="I233" s="27" t="s">
        <v>1876</v>
      </c>
      <c r="J233" s="27" t="s">
        <v>2036</v>
      </c>
      <c r="K233" s="27" t="n">
        <v>1249</v>
      </c>
      <c r="L233" s="27" t="n">
        <v>702</v>
      </c>
      <c r="M233" s="28" t="n">
        <f aca="false">IFERROR(VLOOKUP((OFFSET(hoje12_326_ana9,232,10,1,1)&amp;"."&amp;OFFSET(hoje12_326_ana9,232,11,1,1)),'12.326'!A:D,4,0),"-")</f>
        <v>9531413001491</v>
      </c>
    </row>
    <row r="234" customFormat="false" ht="14.4" hidden="false" customHeight="false" outlineLevel="0" collapsed="false">
      <c r="A234" s="27" t="n">
        <v>11100091</v>
      </c>
      <c r="B234" s="27" t="s">
        <v>1910</v>
      </c>
      <c r="C234" s="43" t="n">
        <v>112.68</v>
      </c>
      <c r="D234" s="27" t="n">
        <v>3.48</v>
      </c>
      <c r="E234" s="27" t="n">
        <v>24</v>
      </c>
      <c r="F234" s="27" t="n">
        <v>4.84</v>
      </c>
      <c r="G234" s="27" t="s">
        <v>1875</v>
      </c>
      <c r="H234" s="27" t="s">
        <v>2009</v>
      </c>
      <c r="I234" s="27" t="s">
        <v>1876</v>
      </c>
      <c r="J234" s="27" t="s">
        <v>2037</v>
      </c>
      <c r="K234" s="27" t="n">
        <v>1249</v>
      </c>
      <c r="L234" s="27" t="n">
        <v>702</v>
      </c>
      <c r="M234" s="28" t="n">
        <f aca="false">IFERROR(VLOOKUP((OFFSET(hoje12_326_ana9,233,10,1,1)&amp;"."&amp;OFFSET(hoje12_326_ana9,233,11,1,1)),'12.326'!A:D,4,0),"-")</f>
        <v>9531413001491</v>
      </c>
    </row>
    <row r="235" customFormat="false" ht="14.4" hidden="false" customHeight="false" outlineLevel="0" collapsed="false">
      <c r="A235" s="27" t="n">
        <v>11100155</v>
      </c>
      <c r="B235" s="27" t="s">
        <v>1917</v>
      </c>
      <c r="C235" s="43" t="n">
        <v>129.36</v>
      </c>
      <c r="D235" s="27" t="n">
        <v>2.64</v>
      </c>
      <c r="E235" s="27" t="n">
        <v>12</v>
      </c>
      <c r="F235" s="27" t="n">
        <v>11</v>
      </c>
      <c r="G235" s="27" t="s">
        <v>1875</v>
      </c>
      <c r="H235" s="27" t="s">
        <v>2011</v>
      </c>
      <c r="I235" s="27" t="s">
        <v>1876</v>
      </c>
      <c r="J235" s="27" t="s">
        <v>2012</v>
      </c>
      <c r="K235" s="27" t="n">
        <v>1249</v>
      </c>
      <c r="L235" s="27" t="n">
        <v>702</v>
      </c>
      <c r="M235" s="28" t="n">
        <f aca="false">IFERROR(VLOOKUP((OFFSET(hoje12_326_ana9,234,10,1,1)&amp;"."&amp;OFFSET(hoje12_326_ana9,234,11,1,1)),'12.326'!A:D,4,0),"-")</f>
        <v>9531413001491</v>
      </c>
    </row>
    <row r="236" customFormat="false" ht="14.4" hidden="false" customHeight="false" outlineLevel="0" collapsed="false">
      <c r="A236" s="27" t="n">
        <v>11100421</v>
      </c>
      <c r="B236" s="27" t="s">
        <v>1945</v>
      </c>
      <c r="C236" s="43" t="n">
        <v>58.26</v>
      </c>
      <c r="D236" s="27" t="n">
        <v>0</v>
      </c>
      <c r="E236" s="27" t="n">
        <v>6</v>
      </c>
      <c r="F236" s="27" t="n">
        <v>9.71</v>
      </c>
      <c r="G236" s="27" t="s">
        <v>1875</v>
      </c>
      <c r="H236" s="27" t="s">
        <v>68</v>
      </c>
      <c r="I236" s="27" t="s">
        <v>1876</v>
      </c>
      <c r="J236" s="27" t="s">
        <v>1877</v>
      </c>
      <c r="K236" s="27" t="n">
        <v>1249</v>
      </c>
      <c r="L236" s="27" t="n">
        <v>702</v>
      </c>
      <c r="M236" s="28" t="n">
        <f aca="false">IFERROR(VLOOKUP((OFFSET(hoje12_326_ana9,235,10,1,1)&amp;"."&amp;OFFSET(hoje12_326_ana9,235,11,1,1)),'12.326'!A:D,4,0),"-")</f>
        <v>9531413001491</v>
      </c>
    </row>
    <row r="237" customFormat="false" ht="14.4" hidden="false" customHeight="false" outlineLevel="0" collapsed="false">
      <c r="A237" s="27" t="n">
        <v>11100963</v>
      </c>
      <c r="B237" s="27" t="s">
        <v>1988</v>
      </c>
      <c r="C237" s="43" t="n">
        <v>56.76</v>
      </c>
      <c r="D237" s="27" t="n">
        <v>0</v>
      </c>
      <c r="E237" s="27" t="n">
        <v>4</v>
      </c>
      <c r="F237" s="27" t="n">
        <v>14.19</v>
      </c>
      <c r="G237" s="27" t="s">
        <v>1875</v>
      </c>
      <c r="H237" s="27" t="s">
        <v>68</v>
      </c>
      <c r="I237" s="27" t="s">
        <v>1876</v>
      </c>
      <c r="J237" s="27" t="s">
        <v>1877</v>
      </c>
      <c r="K237" s="27" t="n">
        <v>1249</v>
      </c>
      <c r="L237" s="27" t="n">
        <v>702</v>
      </c>
      <c r="M237" s="28" t="n">
        <f aca="false">IFERROR(VLOOKUP((OFFSET(hoje12_326_ana9,236,10,1,1)&amp;"."&amp;OFFSET(hoje12_326_ana9,236,11,1,1)),'12.326'!A:D,4,0),"-")</f>
        <v>9531413001491</v>
      </c>
    </row>
    <row r="238" customFormat="false" ht="14.4" hidden="false" customHeight="false" outlineLevel="0" collapsed="false">
      <c r="A238" s="27" t="n">
        <v>11100318</v>
      </c>
      <c r="B238" s="27" t="s">
        <v>1938</v>
      </c>
      <c r="C238" s="43" t="n">
        <v>54.84</v>
      </c>
      <c r="D238" s="27" t="n">
        <v>0</v>
      </c>
      <c r="E238" s="27" t="n">
        <v>12</v>
      </c>
      <c r="F238" s="27" t="n">
        <v>4.57</v>
      </c>
      <c r="G238" s="27" t="s">
        <v>1875</v>
      </c>
      <c r="H238" s="27" t="s">
        <v>68</v>
      </c>
      <c r="I238" s="27" t="s">
        <v>1876</v>
      </c>
      <c r="J238" s="27" t="s">
        <v>1877</v>
      </c>
      <c r="K238" s="27" t="n">
        <v>1249</v>
      </c>
      <c r="L238" s="27" t="n">
        <v>702</v>
      </c>
      <c r="M238" s="28" t="n">
        <f aca="false">IFERROR(VLOOKUP((OFFSET(hoje12_326_ana9,237,10,1,1)&amp;"."&amp;OFFSET(hoje12_326_ana9,237,11,1,1)),'12.326'!A:D,4,0),"-")</f>
        <v>9531413001491</v>
      </c>
    </row>
    <row r="239" customFormat="false" ht="14.4" hidden="false" customHeight="false" outlineLevel="0" collapsed="false">
      <c r="A239" s="27" t="n">
        <v>11100362</v>
      </c>
      <c r="B239" s="27" t="s">
        <v>1942</v>
      </c>
      <c r="C239" s="43" t="n">
        <v>61.98</v>
      </c>
      <c r="D239" s="27" t="n">
        <v>0</v>
      </c>
      <c r="E239" s="27" t="n">
        <v>6</v>
      </c>
      <c r="F239" s="27" t="n">
        <v>10.33</v>
      </c>
      <c r="G239" s="27" t="s">
        <v>1875</v>
      </c>
      <c r="H239" s="27" t="s">
        <v>68</v>
      </c>
      <c r="I239" s="27" t="s">
        <v>1876</v>
      </c>
      <c r="J239" s="27" t="s">
        <v>1877</v>
      </c>
      <c r="K239" s="27" t="n">
        <v>1249</v>
      </c>
      <c r="L239" s="27" t="n">
        <v>702</v>
      </c>
      <c r="M239" s="28" t="n">
        <f aca="false">IFERROR(VLOOKUP((OFFSET(hoje12_326_ana9,238,10,1,1)&amp;"."&amp;OFFSET(hoje12_326_ana9,238,11,1,1)),'12.326'!A:D,4,0),"-")</f>
        <v>9531413001491</v>
      </c>
    </row>
    <row r="240" customFormat="false" ht="14.4" hidden="false" customHeight="false" outlineLevel="0" collapsed="false">
      <c r="A240" s="27" t="n">
        <v>11100826</v>
      </c>
      <c r="B240" s="27" t="s">
        <v>1968</v>
      </c>
      <c r="C240" s="43" t="n">
        <v>112.43</v>
      </c>
      <c r="D240" s="27" t="n">
        <v>12.49</v>
      </c>
      <c r="E240" s="27" t="n">
        <v>18</v>
      </c>
      <c r="F240" s="27" t="n">
        <v>6.94</v>
      </c>
      <c r="G240" s="27" t="s">
        <v>1875</v>
      </c>
      <c r="H240" s="27" t="s">
        <v>1895</v>
      </c>
      <c r="I240" s="27" t="s">
        <v>1876</v>
      </c>
      <c r="J240" s="27" t="s">
        <v>2017</v>
      </c>
      <c r="K240" s="27" t="n">
        <v>1249</v>
      </c>
      <c r="L240" s="27" t="n">
        <v>702</v>
      </c>
      <c r="M240" s="28" t="n">
        <f aca="false">IFERROR(VLOOKUP((OFFSET(hoje12_326_ana9,239,10,1,1)&amp;"."&amp;OFFSET(hoje12_326_ana9,239,11,1,1)),'12.326'!A:D,4,0),"-")</f>
        <v>9531413001491</v>
      </c>
    </row>
    <row r="241" customFormat="false" ht="14.4" hidden="false" customHeight="false" outlineLevel="0" collapsed="false">
      <c r="A241" s="27" t="n">
        <v>11100822</v>
      </c>
      <c r="B241" s="27" t="s">
        <v>1966</v>
      </c>
      <c r="C241" s="43" t="n">
        <v>187.38</v>
      </c>
      <c r="D241" s="27" t="n">
        <v>20.82</v>
      </c>
      <c r="E241" s="27" t="n">
        <v>30</v>
      </c>
      <c r="F241" s="27" t="n">
        <v>6.94</v>
      </c>
      <c r="G241" s="27" t="s">
        <v>1875</v>
      </c>
      <c r="H241" s="27" t="s">
        <v>1895</v>
      </c>
      <c r="I241" s="27" t="s">
        <v>1876</v>
      </c>
      <c r="J241" s="27" t="s">
        <v>2018</v>
      </c>
      <c r="K241" s="27" t="n">
        <v>1249</v>
      </c>
      <c r="L241" s="27" t="n">
        <v>702</v>
      </c>
      <c r="M241" s="28" t="n">
        <f aca="false">IFERROR(VLOOKUP((OFFSET(hoje12_326_ana9,240,10,1,1)&amp;"."&amp;OFFSET(hoje12_326_ana9,240,11,1,1)),'12.326'!A:D,4,0),"-")</f>
        <v>9531413001491</v>
      </c>
    </row>
    <row r="242" customFormat="false" ht="14.4" hidden="false" customHeight="false" outlineLevel="0" collapsed="false">
      <c r="A242" s="27" t="n">
        <v>11100824</v>
      </c>
      <c r="B242" s="27" t="s">
        <v>1967</v>
      </c>
      <c r="C242" s="43" t="n">
        <v>112.43</v>
      </c>
      <c r="D242" s="27" t="n">
        <v>12.49</v>
      </c>
      <c r="E242" s="27" t="n">
        <v>18</v>
      </c>
      <c r="F242" s="27" t="n">
        <v>6.94</v>
      </c>
      <c r="G242" s="27" t="s">
        <v>1875</v>
      </c>
      <c r="H242" s="27" t="s">
        <v>1895</v>
      </c>
      <c r="I242" s="27" t="s">
        <v>1876</v>
      </c>
      <c r="J242" s="27" t="s">
        <v>2017</v>
      </c>
      <c r="K242" s="27" t="n">
        <v>1249</v>
      </c>
      <c r="L242" s="27" t="n">
        <v>702</v>
      </c>
      <c r="M242" s="28" t="n">
        <f aca="false">IFERROR(VLOOKUP((OFFSET(hoje12_326_ana9,241,10,1,1)&amp;"."&amp;OFFSET(hoje12_326_ana9,241,11,1,1)),'12.326'!A:D,4,0),"-")</f>
        <v>9531413001491</v>
      </c>
    </row>
    <row r="243" customFormat="false" ht="14.4" hidden="false" customHeight="false" outlineLevel="0" collapsed="false">
      <c r="A243" s="27" t="n">
        <v>11100821</v>
      </c>
      <c r="B243" s="27" t="s">
        <v>1965</v>
      </c>
      <c r="C243" s="43" t="n">
        <v>394.2</v>
      </c>
      <c r="D243" s="27" t="n">
        <v>0</v>
      </c>
      <c r="E243" s="27" t="n">
        <v>36</v>
      </c>
      <c r="F243" s="27" t="n">
        <v>10.95</v>
      </c>
      <c r="G243" s="27" t="s">
        <v>1875</v>
      </c>
      <c r="H243" s="27" t="s">
        <v>68</v>
      </c>
      <c r="I243" s="27" t="s">
        <v>1876</v>
      </c>
      <c r="J243" s="27" t="s">
        <v>1877</v>
      </c>
      <c r="K243" s="27" t="n">
        <v>1249</v>
      </c>
      <c r="L243" s="27" t="n">
        <v>702</v>
      </c>
      <c r="M243" s="28" t="n">
        <f aca="false">IFERROR(VLOOKUP((OFFSET(hoje12_326_ana9,242,10,1,1)&amp;"."&amp;OFFSET(hoje12_326_ana9,242,11,1,1)),'12.326'!A:D,4,0),"-")</f>
        <v>9531413001491</v>
      </c>
    </row>
    <row r="244" customFormat="false" ht="14.4" hidden="false" customHeight="false" outlineLevel="0" collapsed="false">
      <c r="A244" s="27" t="n">
        <v>11100262</v>
      </c>
      <c r="B244" s="27" t="s">
        <v>1931</v>
      </c>
      <c r="C244" s="43" t="n">
        <v>45.09</v>
      </c>
      <c r="D244" s="27" t="n">
        <v>5.01</v>
      </c>
      <c r="E244" s="27" t="n">
        <v>6</v>
      </c>
      <c r="F244" s="27" t="n">
        <v>8.35</v>
      </c>
      <c r="G244" s="27" t="s">
        <v>1875</v>
      </c>
      <c r="H244" s="27" t="s">
        <v>1895</v>
      </c>
      <c r="I244" s="27" t="s">
        <v>1876</v>
      </c>
      <c r="J244" s="27" t="s">
        <v>2023</v>
      </c>
      <c r="K244" s="27" t="n">
        <v>1249</v>
      </c>
      <c r="L244" s="27" t="n">
        <v>702</v>
      </c>
      <c r="M244" s="28" t="n">
        <f aca="false">IFERROR(VLOOKUP((OFFSET(hoje12_326_ana9,243,10,1,1)&amp;"."&amp;OFFSET(hoje12_326_ana9,243,11,1,1)),'12.326'!A:D,4,0),"-")</f>
        <v>9531413001491</v>
      </c>
    </row>
    <row r="245" customFormat="false" ht="14.4" hidden="false" customHeight="false" outlineLevel="0" collapsed="false">
      <c r="A245" s="27" t="n">
        <v>11100565</v>
      </c>
      <c r="B245" s="27" t="s">
        <v>1954</v>
      </c>
      <c r="C245" s="43" t="n">
        <v>105.08</v>
      </c>
      <c r="D245" s="27" t="n">
        <v>2.14</v>
      </c>
      <c r="E245" s="27" t="n">
        <v>6</v>
      </c>
      <c r="F245" s="27" t="n">
        <v>17.87</v>
      </c>
      <c r="G245" s="27" t="s">
        <v>1875</v>
      </c>
      <c r="H245" s="27" t="s">
        <v>2011</v>
      </c>
      <c r="I245" s="27" t="s">
        <v>1876</v>
      </c>
      <c r="J245" s="27" t="s">
        <v>2038</v>
      </c>
      <c r="K245" s="27" t="n">
        <v>1249</v>
      </c>
      <c r="L245" s="27" t="n">
        <v>702</v>
      </c>
      <c r="M245" s="28" t="n">
        <f aca="false">IFERROR(VLOOKUP((OFFSET(hoje12_326_ana9,244,10,1,1)&amp;"."&amp;OFFSET(hoje12_326_ana9,244,11,1,1)),'12.326'!A:D,4,0),"-")</f>
        <v>9531413001491</v>
      </c>
    </row>
    <row r="246" customFormat="false" ht="14.4" hidden="false" customHeight="false" outlineLevel="0" collapsed="false">
      <c r="A246" s="27" t="n">
        <v>11100682</v>
      </c>
      <c r="B246" s="27" t="s">
        <v>1958</v>
      </c>
      <c r="C246" s="43" t="n">
        <v>116.93</v>
      </c>
      <c r="D246" s="27" t="n">
        <v>10.15</v>
      </c>
      <c r="E246" s="27" t="n">
        <v>36</v>
      </c>
      <c r="F246" s="27" t="n">
        <v>3.53</v>
      </c>
      <c r="G246" s="27" t="s">
        <v>1875</v>
      </c>
      <c r="H246" s="27" t="s">
        <v>1960</v>
      </c>
      <c r="I246" s="27" t="s">
        <v>1876</v>
      </c>
      <c r="J246" s="27" t="s">
        <v>2039</v>
      </c>
      <c r="K246" s="27" t="n">
        <v>1249</v>
      </c>
      <c r="L246" s="27" t="n">
        <v>702</v>
      </c>
      <c r="M246" s="28" t="n">
        <f aca="false">IFERROR(VLOOKUP((OFFSET(hoje12_326_ana9,245,10,1,1)&amp;"."&amp;OFFSET(hoje12_326_ana9,245,11,1,1)),'12.326'!A:D,4,0),"-")</f>
        <v>9531413001491</v>
      </c>
    </row>
    <row r="247" customFormat="false" ht="14.4" hidden="false" customHeight="false" outlineLevel="0" collapsed="false">
      <c r="A247" s="27" t="n">
        <v>11100724</v>
      </c>
      <c r="B247" s="27" t="s">
        <v>1962</v>
      </c>
      <c r="C247" s="43" t="n">
        <v>116.93</v>
      </c>
      <c r="D247" s="27" t="n">
        <v>10.15</v>
      </c>
      <c r="E247" s="27" t="n">
        <v>36</v>
      </c>
      <c r="F247" s="27" t="n">
        <v>3.53</v>
      </c>
      <c r="G247" s="27" t="s">
        <v>1875</v>
      </c>
      <c r="H247" s="27" t="s">
        <v>1960</v>
      </c>
      <c r="I247" s="27" t="s">
        <v>1876</v>
      </c>
      <c r="J247" s="27" t="s">
        <v>2039</v>
      </c>
      <c r="K247" s="27" t="n">
        <v>1249</v>
      </c>
      <c r="L247" s="27" t="n">
        <v>702</v>
      </c>
      <c r="M247" s="28" t="n">
        <f aca="false">IFERROR(VLOOKUP((OFFSET(hoje12_326_ana9,246,10,1,1)&amp;"."&amp;OFFSET(hoje12_326_ana9,246,11,1,1)),'12.326'!A:D,4,0),"-")</f>
        <v>9531413001491</v>
      </c>
    </row>
    <row r="248" customFormat="false" ht="14.4" hidden="false" customHeight="false" outlineLevel="0" collapsed="false">
      <c r="A248" s="27" t="n">
        <v>11100695</v>
      </c>
      <c r="B248" s="27" t="s">
        <v>1959</v>
      </c>
      <c r="C248" s="43" t="n">
        <v>38.86</v>
      </c>
      <c r="D248" s="27" t="n">
        <v>3.38</v>
      </c>
      <c r="E248" s="27" t="n">
        <v>12</v>
      </c>
      <c r="F248" s="27" t="n">
        <v>3.52</v>
      </c>
      <c r="G248" s="27" t="s">
        <v>1875</v>
      </c>
      <c r="H248" s="27" t="s">
        <v>1960</v>
      </c>
      <c r="I248" s="27" t="s">
        <v>1876</v>
      </c>
      <c r="J248" s="27" t="s">
        <v>2040</v>
      </c>
      <c r="K248" s="27" t="n">
        <v>1249</v>
      </c>
      <c r="L248" s="27" t="n">
        <v>702</v>
      </c>
      <c r="M248" s="28" t="n">
        <f aca="false">IFERROR(VLOOKUP((OFFSET(hoje12_326_ana9,247,10,1,1)&amp;"."&amp;OFFSET(hoje12_326_ana9,247,11,1,1)),'12.326'!A:D,4,0),"-")</f>
        <v>9531413001491</v>
      </c>
    </row>
    <row r="249" customFormat="false" ht="14.4" hidden="false" customHeight="false" outlineLevel="0" collapsed="false">
      <c r="A249" s="27" t="n">
        <v>11100838</v>
      </c>
      <c r="B249" s="27" t="s">
        <v>1972</v>
      </c>
      <c r="C249" s="43" t="n">
        <v>43.04</v>
      </c>
      <c r="D249" s="27" t="n">
        <v>4.78</v>
      </c>
      <c r="E249" s="27" t="n">
        <v>6</v>
      </c>
      <c r="F249" s="27" t="n">
        <v>7.97</v>
      </c>
      <c r="G249" s="27" t="s">
        <v>1875</v>
      </c>
      <c r="H249" s="27" t="s">
        <v>1895</v>
      </c>
      <c r="I249" s="27" t="s">
        <v>1876</v>
      </c>
      <c r="J249" s="27" t="s">
        <v>2027</v>
      </c>
      <c r="K249" s="27" t="n">
        <v>1249</v>
      </c>
      <c r="L249" s="27" t="n">
        <v>702</v>
      </c>
      <c r="M249" s="28" t="n">
        <f aca="false">IFERROR(VLOOKUP((OFFSET(hoje12_326_ana9,248,10,1,1)&amp;"."&amp;OFFSET(hoje12_326_ana9,248,11,1,1)),'12.326'!A:D,4,0),"-")</f>
        <v>9531413001491</v>
      </c>
    </row>
    <row r="250" customFormat="false" ht="14.4" hidden="false" customHeight="false" outlineLevel="0" collapsed="false">
      <c r="A250" s="27" t="n">
        <v>11100843</v>
      </c>
      <c r="B250" s="27" t="s">
        <v>1975</v>
      </c>
      <c r="C250" s="43" t="n">
        <v>43.04</v>
      </c>
      <c r="D250" s="27" t="n">
        <v>4.78</v>
      </c>
      <c r="E250" s="27" t="n">
        <v>6</v>
      </c>
      <c r="F250" s="27" t="n">
        <v>7.97</v>
      </c>
      <c r="G250" s="27" t="s">
        <v>1875</v>
      </c>
      <c r="H250" s="27" t="s">
        <v>1895</v>
      </c>
      <c r="I250" s="27" t="s">
        <v>1876</v>
      </c>
      <c r="J250" s="27" t="s">
        <v>2027</v>
      </c>
      <c r="K250" s="27" t="n">
        <v>1249</v>
      </c>
      <c r="L250" s="27" t="n">
        <v>702</v>
      </c>
      <c r="M250" s="28" t="n">
        <f aca="false">IFERROR(VLOOKUP((OFFSET(hoje12_326_ana9,249,10,1,1)&amp;"."&amp;OFFSET(hoje12_326_ana9,249,11,1,1)),'12.326'!A:D,4,0),"-")</f>
        <v>9531413001491</v>
      </c>
    </row>
    <row r="251" customFormat="false" ht="14.4" hidden="false" customHeight="false" outlineLevel="0" collapsed="false">
      <c r="A251" s="27" t="n">
        <v>11100841</v>
      </c>
      <c r="B251" s="27" t="s">
        <v>1974</v>
      </c>
      <c r="C251" s="43" t="n">
        <v>43.04</v>
      </c>
      <c r="D251" s="27" t="n">
        <v>4.78</v>
      </c>
      <c r="E251" s="27" t="n">
        <v>6</v>
      </c>
      <c r="F251" s="27" t="n">
        <v>7.97</v>
      </c>
      <c r="G251" s="27" t="s">
        <v>1875</v>
      </c>
      <c r="H251" s="27" t="s">
        <v>1895</v>
      </c>
      <c r="I251" s="27" t="s">
        <v>1876</v>
      </c>
      <c r="J251" s="27" t="s">
        <v>2027</v>
      </c>
      <c r="K251" s="27" t="n">
        <v>1249</v>
      </c>
      <c r="L251" s="27" t="n">
        <v>702</v>
      </c>
      <c r="M251" s="28" t="n">
        <f aca="false">IFERROR(VLOOKUP((OFFSET(hoje12_326_ana9,250,10,1,1)&amp;"."&amp;OFFSET(hoje12_326_ana9,250,11,1,1)),'12.326'!A:D,4,0),"-")</f>
        <v>9531413001491</v>
      </c>
    </row>
    <row r="252" customFormat="false" ht="14.4" hidden="false" customHeight="false" outlineLevel="0" collapsed="false">
      <c r="A252" s="27" t="n">
        <v>11100849</v>
      </c>
      <c r="B252" s="27" t="s">
        <v>1976</v>
      </c>
      <c r="C252" s="43" t="n">
        <v>70.98</v>
      </c>
      <c r="D252" s="27" t="n">
        <v>0.72</v>
      </c>
      <c r="E252" s="27" t="n">
        <v>6</v>
      </c>
      <c r="F252" s="27" t="n">
        <v>11.95</v>
      </c>
      <c r="G252" s="27" t="s">
        <v>1875</v>
      </c>
      <c r="H252" s="27" t="s">
        <v>1948</v>
      </c>
      <c r="I252" s="27" t="s">
        <v>1876</v>
      </c>
      <c r="J252" s="27" t="s">
        <v>2041</v>
      </c>
      <c r="K252" s="27" t="n">
        <v>1249</v>
      </c>
      <c r="L252" s="27" t="n">
        <v>702</v>
      </c>
      <c r="M252" s="28" t="n">
        <f aca="false">IFERROR(VLOOKUP((OFFSET(hoje12_326_ana9,251,10,1,1)&amp;"."&amp;OFFSET(hoje12_326_ana9,251,11,1,1)),'12.326'!A:D,4,0),"-")</f>
        <v>9531413001491</v>
      </c>
    </row>
    <row r="253" customFormat="false" ht="14.4" hidden="false" customHeight="false" outlineLevel="0" collapsed="false">
      <c r="A253" s="27" t="n">
        <v>11100959</v>
      </c>
      <c r="B253" s="27" t="s">
        <v>1987</v>
      </c>
      <c r="C253" s="43" t="n">
        <v>126.48</v>
      </c>
      <c r="D253" s="27" t="n">
        <v>0</v>
      </c>
      <c r="E253" s="27" t="n">
        <v>24</v>
      </c>
      <c r="F253" s="27" t="n">
        <v>5.27</v>
      </c>
      <c r="G253" s="27" t="s">
        <v>1875</v>
      </c>
      <c r="H253" s="27" t="s">
        <v>68</v>
      </c>
      <c r="I253" s="27" t="s">
        <v>1876</v>
      </c>
      <c r="J253" s="27" t="s">
        <v>1877</v>
      </c>
      <c r="K253" s="27" t="n">
        <v>1249</v>
      </c>
      <c r="L253" s="27" t="n">
        <v>702</v>
      </c>
      <c r="M253" s="28" t="n">
        <f aca="false">IFERROR(VLOOKUP((OFFSET(hoje12_326_ana9,252,10,1,1)&amp;"."&amp;OFFSET(hoje12_326_ana9,252,11,1,1)),'12.326'!A:D,4,0),"-")</f>
        <v>9531413001491</v>
      </c>
    </row>
    <row r="254" customFormat="false" ht="14.4" hidden="false" customHeight="false" outlineLevel="0" collapsed="false">
      <c r="A254" s="27" t="n">
        <v>11100740</v>
      </c>
      <c r="B254" s="27" t="s">
        <v>2032</v>
      </c>
      <c r="C254" s="43" t="n">
        <v>46.44</v>
      </c>
      <c r="D254" s="27" t="n">
        <v>0</v>
      </c>
      <c r="E254" s="27" t="n">
        <v>12</v>
      </c>
      <c r="F254" s="27" t="n">
        <v>3.87</v>
      </c>
      <c r="G254" s="27" t="s">
        <v>1875</v>
      </c>
      <c r="H254" s="27" t="s">
        <v>68</v>
      </c>
      <c r="I254" s="27" t="s">
        <v>1876</v>
      </c>
      <c r="J254" s="27" t="s">
        <v>1877</v>
      </c>
      <c r="K254" s="27" t="n">
        <v>1249</v>
      </c>
      <c r="L254" s="27" t="n">
        <v>702</v>
      </c>
      <c r="M254" s="28" t="n">
        <f aca="false">IFERROR(VLOOKUP((OFFSET(hoje12_326_ana9,253,10,1,1)&amp;"."&amp;OFFSET(hoje12_326_ana9,253,11,1,1)),'12.326'!A:D,4,0),"-")</f>
        <v>9531413001491</v>
      </c>
    </row>
    <row r="255" customFormat="false" ht="14.4" hidden="false" customHeight="false" outlineLevel="0" collapsed="false">
      <c r="A255" s="27" t="n">
        <v>11100239</v>
      </c>
      <c r="B255" s="27" t="s">
        <v>1924</v>
      </c>
      <c r="C255" s="43" t="n">
        <v>171</v>
      </c>
      <c r="D255" s="27" t="n">
        <v>0</v>
      </c>
      <c r="E255" s="27" t="n">
        <v>36</v>
      </c>
      <c r="F255" s="27" t="n">
        <v>4.75</v>
      </c>
      <c r="G255" s="27" t="s">
        <v>1875</v>
      </c>
      <c r="H255" s="27" t="s">
        <v>68</v>
      </c>
      <c r="I255" s="27" t="s">
        <v>1876</v>
      </c>
      <c r="J255" s="27" t="s">
        <v>1877</v>
      </c>
      <c r="K255" s="27" t="n">
        <v>1249</v>
      </c>
      <c r="L255" s="27" t="n">
        <v>702</v>
      </c>
      <c r="M255" s="28" t="n">
        <f aca="false">IFERROR(VLOOKUP((OFFSET(hoje12_326_ana9,254,10,1,1)&amp;"."&amp;OFFSET(hoje12_326_ana9,254,11,1,1)),'12.326'!A:D,4,0),"-")</f>
        <v>9531413001491</v>
      </c>
    </row>
    <row r="256" customFormat="false" ht="14.4" hidden="false" customHeight="false" outlineLevel="0" collapsed="false">
      <c r="A256" s="27" t="n">
        <v>11100214</v>
      </c>
      <c r="B256" s="27" t="s">
        <v>1922</v>
      </c>
      <c r="C256" s="43" t="n">
        <v>571.68</v>
      </c>
      <c r="D256" s="27" t="n">
        <v>5.76</v>
      </c>
      <c r="E256" s="27" t="n">
        <v>144</v>
      </c>
      <c r="F256" s="27" t="n">
        <v>4.01</v>
      </c>
      <c r="G256" s="27" t="s">
        <v>1875</v>
      </c>
      <c r="H256" s="27" t="s">
        <v>1948</v>
      </c>
      <c r="I256" s="27" t="s">
        <v>1876</v>
      </c>
      <c r="J256" s="27" t="s">
        <v>2042</v>
      </c>
      <c r="K256" s="27" t="n">
        <v>1249</v>
      </c>
      <c r="L256" s="27" t="n">
        <v>702</v>
      </c>
      <c r="M256" s="28" t="n">
        <f aca="false">IFERROR(VLOOKUP((OFFSET(hoje12_326_ana9,255,10,1,1)&amp;"."&amp;OFFSET(hoje12_326_ana9,255,11,1,1)),'12.326'!A:D,4,0),"-")</f>
        <v>9531413001491</v>
      </c>
    </row>
    <row r="257" customFormat="false" ht="14.4" hidden="false" customHeight="false" outlineLevel="0" collapsed="false">
      <c r="A257" s="27" t="n">
        <v>11100736</v>
      </c>
      <c r="B257" s="27" t="s">
        <v>2043</v>
      </c>
      <c r="C257" s="43" t="n">
        <v>27.22</v>
      </c>
      <c r="D257" s="27" t="n">
        <v>11.66</v>
      </c>
      <c r="E257" s="27" t="n">
        <v>12</v>
      </c>
      <c r="F257" s="27" t="n">
        <v>3.24</v>
      </c>
      <c r="G257" s="27" t="s">
        <v>1875</v>
      </c>
      <c r="H257" s="27" t="s">
        <v>1990</v>
      </c>
      <c r="I257" s="27" t="s">
        <v>1876</v>
      </c>
      <c r="J257" s="27" t="s">
        <v>2044</v>
      </c>
      <c r="K257" s="27" t="n">
        <v>1250</v>
      </c>
      <c r="L257" s="27" t="n">
        <v>702</v>
      </c>
      <c r="M257" s="28" t="n">
        <f aca="false">IFERROR(VLOOKUP((OFFSET(hoje12_326_ana9,256,10,1,1)&amp;"."&amp;OFFSET(hoje12_326_ana9,256,11,1,1)),'12.326'!A:D,4,0),"-")</f>
        <v>9531413001068</v>
      </c>
    </row>
    <row r="258" customFormat="false" ht="14.4" hidden="false" customHeight="false" outlineLevel="0" collapsed="false">
      <c r="A258" s="27" t="n">
        <v>11100317</v>
      </c>
      <c r="B258" s="27" t="s">
        <v>2045</v>
      </c>
      <c r="C258" s="43" t="n">
        <v>105.29</v>
      </c>
      <c r="D258" s="27" t="n">
        <v>23.11</v>
      </c>
      <c r="E258" s="27" t="n">
        <v>24</v>
      </c>
      <c r="F258" s="27" t="n">
        <v>5.35</v>
      </c>
      <c r="G258" s="27" t="s">
        <v>1875</v>
      </c>
      <c r="H258" s="27" t="s">
        <v>2046</v>
      </c>
      <c r="I258" s="27" t="s">
        <v>1876</v>
      </c>
      <c r="J258" s="27" t="s">
        <v>2047</v>
      </c>
      <c r="K258" s="27" t="n">
        <v>1250</v>
      </c>
      <c r="L258" s="27" t="n">
        <v>702</v>
      </c>
      <c r="M258" s="28" t="n">
        <f aca="false">IFERROR(VLOOKUP((OFFSET(hoje12_326_ana9,257,10,1,1)&amp;"."&amp;OFFSET(hoje12_326_ana9,257,11,1,1)),'12.326'!A:D,4,0),"-")</f>
        <v>9531413001068</v>
      </c>
    </row>
    <row r="259" customFormat="false" ht="14.4" hidden="false" customHeight="false" outlineLevel="0" collapsed="false">
      <c r="A259" s="27" t="n">
        <v>11100117</v>
      </c>
      <c r="B259" s="27" t="s">
        <v>2048</v>
      </c>
      <c r="C259" s="43" t="n">
        <v>173.39</v>
      </c>
      <c r="D259" s="27" t="n">
        <v>9.13</v>
      </c>
      <c r="E259" s="27" t="n">
        <v>12</v>
      </c>
      <c r="F259" s="27" t="n">
        <v>15.21</v>
      </c>
      <c r="G259" s="27" t="s">
        <v>1875</v>
      </c>
      <c r="H259" s="27" t="s">
        <v>1883</v>
      </c>
      <c r="I259" s="27" t="s">
        <v>1876</v>
      </c>
      <c r="J259" s="27" t="s">
        <v>2049</v>
      </c>
      <c r="K259" s="27" t="n">
        <v>1250</v>
      </c>
      <c r="L259" s="27" t="n">
        <v>702</v>
      </c>
      <c r="M259" s="28" t="n">
        <f aca="false">IFERROR(VLOOKUP((OFFSET(hoje12_326_ana9,258,10,1,1)&amp;"."&amp;OFFSET(hoje12_326_ana9,258,11,1,1)),'12.326'!A:D,4,0),"-")</f>
        <v>9531413001068</v>
      </c>
    </row>
    <row r="260" customFormat="false" ht="14.4" hidden="false" customHeight="false" outlineLevel="0" collapsed="false">
      <c r="A260" s="27" t="n">
        <v>11100957</v>
      </c>
      <c r="B260" s="27" t="s">
        <v>1986</v>
      </c>
      <c r="C260" s="43" t="n">
        <v>130.32</v>
      </c>
      <c r="D260" s="27" t="n">
        <v>0</v>
      </c>
      <c r="E260" s="27" t="n">
        <v>12</v>
      </c>
      <c r="F260" s="27" t="n">
        <v>10.86</v>
      </c>
      <c r="G260" s="27" t="s">
        <v>1875</v>
      </c>
      <c r="H260" s="27" t="s">
        <v>68</v>
      </c>
      <c r="I260" s="27" t="s">
        <v>1876</v>
      </c>
      <c r="J260" s="27" t="s">
        <v>1877</v>
      </c>
      <c r="K260" s="27" t="n">
        <v>1250</v>
      </c>
      <c r="L260" s="27" t="n">
        <v>702</v>
      </c>
      <c r="M260" s="28" t="n">
        <f aca="false">IFERROR(VLOOKUP((OFFSET(hoje12_326_ana9,259,10,1,1)&amp;"."&amp;OFFSET(hoje12_326_ana9,259,11,1,1)),'12.326'!A:D,4,0),"-")</f>
        <v>9531413001068</v>
      </c>
    </row>
    <row r="261" customFormat="false" ht="14.4" hidden="false" customHeight="false" outlineLevel="0" collapsed="false">
      <c r="A261" s="27" t="n">
        <v>11100156</v>
      </c>
      <c r="B261" s="27" t="s">
        <v>1918</v>
      </c>
      <c r="C261" s="43" t="n">
        <v>190.08</v>
      </c>
      <c r="D261" s="27" t="n">
        <v>0</v>
      </c>
      <c r="E261" s="27" t="n">
        <v>12</v>
      </c>
      <c r="F261" s="27" t="n">
        <v>15.84</v>
      </c>
      <c r="G261" s="27" t="s">
        <v>1875</v>
      </c>
      <c r="H261" s="27" t="s">
        <v>68</v>
      </c>
      <c r="I261" s="27" t="s">
        <v>1876</v>
      </c>
      <c r="J261" s="27" t="s">
        <v>1877</v>
      </c>
      <c r="K261" s="27" t="n">
        <v>1250</v>
      </c>
      <c r="L261" s="27" t="n">
        <v>702</v>
      </c>
      <c r="M261" s="28" t="n">
        <f aca="false">IFERROR(VLOOKUP((OFFSET(hoje12_326_ana9,260,10,1,1)&amp;"."&amp;OFFSET(hoje12_326_ana9,260,11,1,1)),'12.326'!A:D,4,0),"-")</f>
        <v>9531413001068</v>
      </c>
    </row>
    <row r="262" customFormat="false" ht="14.4" hidden="false" customHeight="false" outlineLevel="0" collapsed="false">
      <c r="A262" s="27" t="n">
        <v>11100138</v>
      </c>
      <c r="B262" s="27" t="s">
        <v>2035</v>
      </c>
      <c r="C262" s="43" t="n">
        <v>591.62</v>
      </c>
      <c r="D262" s="27" t="n">
        <v>5.98</v>
      </c>
      <c r="E262" s="27" t="n">
        <v>72</v>
      </c>
      <c r="F262" s="27" t="n">
        <v>8.3</v>
      </c>
      <c r="G262" s="27" t="s">
        <v>1875</v>
      </c>
      <c r="H262" s="27" t="s">
        <v>1948</v>
      </c>
      <c r="I262" s="27" t="s">
        <v>1876</v>
      </c>
      <c r="J262" s="27" t="s">
        <v>2050</v>
      </c>
      <c r="K262" s="27" t="n">
        <v>1250</v>
      </c>
      <c r="L262" s="27" t="n">
        <v>702</v>
      </c>
      <c r="M262" s="28" t="n">
        <f aca="false">IFERROR(VLOOKUP((OFFSET(hoje12_326_ana9,261,10,1,1)&amp;"."&amp;OFFSET(hoje12_326_ana9,261,11,1,1)),'12.326'!A:D,4,0),"-")</f>
        <v>9531413001068</v>
      </c>
    </row>
    <row r="263" customFormat="false" ht="14.4" hidden="false" customHeight="false" outlineLevel="0" collapsed="false">
      <c r="A263" s="27" t="n">
        <v>11100191</v>
      </c>
      <c r="B263" s="27" t="s">
        <v>1919</v>
      </c>
      <c r="C263" s="43" t="n">
        <v>127.94</v>
      </c>
      <c r="D263" s="27" t="n">
        <v>1.3</v>
      </c>
      <c r="E263" s="27" t="n">
        <v>12</v>
      </c>
      <c r="F263" s="27" t="n">
        <v>10.77</v>
      </c>
      <c r="G263" s="27" t="s">
        <v>1875</v>
      </c>
      <c r="H263" s="27" t="s">
        <v>1948</v>
      </c>
      <c r="I263" s="27" t="s">
        <v>1876</v>
      </c>
      <c r="J263" s="27" t="s">
        <v>2051</v>
      </c>
      <c r="K263" s="27" t="n">
        <v>1250</v>
      </c>
      <c r="L263" s="27" t="n">
        <v>702</v>
      </c>
      <c r="M263" s="28" t="n">
        <f aca="false">IFERROR(VLOOKUP((OFFSET(hoje12_326_ana9,262,10,1,1)&amp;"."&amp;OFFSET(hoje12_326_ana9,262,11,1,1)),'12.326'!A:D,4,0),"-")</f>
        <v>9531413001068</v>
      </c>
    </row>
    <row r="264" customFormat="false" ht="14.4" hidden="false" customHeight="false" outlineLevel="0" collapsed="false">
      <c r="A264" s="27" t="n">
        <v>11100091</v>
      </c>
      <c r="B264" s="27" t="s">
        <v>1910</v>
      </c>
      <c r="C264" s="43" t="n">
        <v>675.79</v>
      </c>
      <c r="D264" s="27" t="n">
        <v>6.77</v>
      </c>
      <c r="E264" s="27" t="n">
        <v>144</v>
      </c>
      <c r="F264" s="27" t="n">
        <v>4.74</v>
      </c>
      <c r="G264" s="27" t="s">
        <v>1875</v>
      </c>
      <c r="H264" s="27" t="s">
        <v>1948</v>
      </c>
      <c r="I264" s="27" t="s">
        <v>1876</v>
      </c>
      <c r="J264" s="27" t="s">
        <v>2052</v>
      </c>
      <c r="K264" s="27" t="n">
        <v>1250</v>
      </c>
      <c r="L264" s="27" t="n">
        <v>702</v>
      </c>
      <c r="M264" s="28" t="n">
        <f aca="false">IFERROR(VLOOKUP((OFFSET(hoje12_326_ana9,263,10,1,1)&amp;"."&amp;OFFSET(hoje12_326_ana9,263,11,1,1)),'12.326'!A:D,4,0),"-")</f>
        <v>9531413001068</v>
      </c>
    </row>
    <row r="265" customFormat="false" ht="14.4" hidden="false" customHeight="false" outlineLevel="0" collapsed="false">
      <c r="A265" s="27" t="n">
        <v>11100151</v>
      </c>
      <c r="B265" s="27" t="s">
        <v>2053</v>
      </c>
      <c r="C265" s="43" t="n">
        <v>127.94</v>
      </c>
      <c r="D265" s="27" t="n">
        <v>1.3</v>
      </c>
      <c r="E265" s="27" t="n">
        <v>12</v>
      </c>
      <c r="F265" s="27" t="n">
        <v>10.77</v>
      </c>
      <c r="G265" s="27" t="s">
        <v>1875</v>
      </c>
      <c r="H265" s="27" t="s">
        <v>1948</v>
      </c>
      <c r="I265" s="27" t="s">
        <v>1876</v>
      </c>
      <c r="J265" s="27" t="s">
        <v>2051</v>
      </c>
      <c r="K265" s="27" t="n">
        <v>1250</v>
      </c>
      <c r="L265" s="27" t="n">
        <v>702</v>
      </c>
      <c r="M265" s="28" t="n">
        <f aca="false">IFERROR(VLOOKUP((OFFSET(hoje12_326_ana9,264,10,1,1)&amp;"."&amp;OFFSET(hoje12_326_ana9,264,11,1,1)),'12.326'!A:D,4,0),"-")</f>
        <v>9531413001068</v>
      </c>
    </row>
    <row r="266" customFormat="false" ht="14.4" hidden="false" customHeight="false" outlineLevel="0" collapsed="false">
      <c r="A266" s="27" t="n">
        <v>11100937</v>
      </c>
      <c r="B266" s="27" t="s">
        <v>2015</v>
      </c>
      <c r="C266" s="43" t="n">
        <v>184.88</v>
      </c>
      <c r="D266" s="27" t="n">
        <v>0</v>
      </c>
      <c r="E266" s="27" t="n">
        <v>8</v>
      </c>
      <c r="F266" s="27" t="n">
        <v>23.11</v>
      </c>
      <c r="G266" s="27" t="s">
        <v>1875</v>
      </c>
      <c r="H266" s="27" t="s">
        <v>68</v>
      </c>
      <c r="I266" s="27" t="s">
        <v>1876</v>
      </c>
      <c r="J266" s="27" t="s">
        <v>1877</v>
      </c>
      <c r="K266" s="27" t="n">
        <v>1250</v>
      </c>
      <c r="L266" s="27" t="n">
        <v>702</v>
      </c>
      <c r="M266" s="28" t="n">
        <f aca="false">IFERROR(VLOOKUP((OFFSET(hoje12_326_ana9,265,10,1,1)&amp;"."&amp;OFFSET(hoje12_326_ana9,265,11,1,1)),'12.326'!A:D,4,0),"-")</f>
        <v>9531413001068</v>
      </c>
    </row>
    <row r="267" customFormat="false" ht="14.4" hidden="false" customHeight="false" outlineLevel="0" collapsed="false">
      <c r="A267" s="27" t="n">
        <v>11100421</v>
      </c>
      <c r="B267" s="27" t="s">
        <v>1945</v>
      </c>
      <c r="C267" s="43" t="n">
        <v>114.12</v>
      </c>
      <c r="D267" s="27" t="n">
        <v>0</v>
      </c>
      <c r="E267" s="27" t="n">
        <v>12</v>
      </c>
      <c r="F267" s="27" t="n">
        <v>9.51</v>
      </c>
      <c r="G267" s="27" t="s">
        <v>1875</v>
      </c>
      <c r="H267" s="27" t="s">
        <v>68</v>
      </c>
      <c r="I267" s="27" t="s">
        <v>1876</v>
      </c>
      <c r="J267" s="27" t="s">
        <v>1877</v>
      </c>
      <c r="K267" s="27" t="n">
        <v>1250</v>
      </c>
      <c r="L267" s="27" t="n">
        <v>702</v>
      </c>
      <c r="M267" s="28" t="n">
        <f aca="false">IFERROR(VLOOKUP((OFFSET(hoje12_326_ana9,266,10,1,1)&amp;"."&amp;OFFSET(hoje12_326_ana9,266,11,1,1)),'12.326'!A:D,4,0),"-")</f>
        <v>9531413001068</v>
      </c>
    </row>
    <row r="268" customFormat="false" ht="14.4" hidden="false" customHeight="false" outlineLevel="0" collapsed="false">
      <c r="A268" s="27" t="n">
        <v>11100314</v>
      </c>
      <c r="B268" s="27" t="s">
        <v>1937</v>
      </c>
      <c r="C268" s="43" t="n">
        <v>128.88</v>
      </c>
      <c r="D268" s="27" t="n">
        <v>0</v>
      </c>
      <c r="E268" s="27" t="n">
        <v>12</v>
      </c>
      <c r="F268" s="27" t="n">
        <v>10.74</v>
      </c>
      <c r="G268" s="27" t="s">
        <v>1875</v>
      </c>
      <c r="H268" s="27" t="s">
        <v>68</v>
      </c>
      <c r="I268" s="27" t="s">
        <v>1876</v>
      </c>
      <c r="J268" s="27" t="s">
        <v>1877</v>
      </c>
      <c r="K268" s="27" t="n">
        <v>1250</v>
      </c>
      <c r="L268" s="27" t="n">
        <v>702</v>
      </c>
      <c r="M268" s="28" t="n">
        <f aca="false">IFERROR(VLOOKUP((OFFSET(hoje12_326_ana9,267,10,1,1)&amp;"."&amp;OFFSET(hoje12_326_ana9,267,11,1,1)),'12.326'!A:D,4,0),"-")</f>
        <v>9531413001068</v>
      </c>
    </row>
    <row r="269" customFormat="false" ht="14.4" hidden="false" customHeight="false" outlineLevel="0" collapsed="false">
      <c r="A269" s="27" t="n">
        <v>11100318</v>
      </c>
      <c r="B269" s="27" t="s">
        <v>1938</v>
      </c>
      <c r="C269" s="43" t="n">
        <v>53.64</v>
      </c>
      <c r="D269" s="27" t="n">
        <v>0</v>
      </c>
      <c r="E269" s="27" t="n">
        <v>12</v>
      </c>
      <c r="F269" s="27" t="n">
        <v>4.47</v>
      </c>
      <c r="G269" s="27" t="s">
        <v>1875</v>
      </c>
      <c r="H269" s="27" t="s">
        <v>68</v>
      </c>
      <c r="I269" s="27" t="s">
        <v>1876</v>
      </c>
      <c r="J269" s="27" t="s">
        <v>1877</v>
      </c>
      <c r="K269" s="27" t="n">
        <v>1250</v>
      </c>
      <c r="L269" s="27" t="n">
        <v>702</v>
      </c>
      <c r="M269" s="28" t="n">
        <f aca="false">IFERROR(VLOOKUP((OFFSET(hoje12_326_ana9,268,10,1,1)&amp;"."&amp;OFFSET(hoje12_326_ana9,268,11,1,1)),'12.326'!A:D,4,0),"-")</f>
        <v>9531413001068</v>
      </c>
    </row>
    <row r="270" customFormat="false" ht="14.4" hidden="false" customHeight="false" outlineLevel="0" collapsed="false">
      <c r="A270" s="27" t="n">
        <v>11100362</v>
      </c>
      <c r="B270" s="27" t="s">
        <v>1942</v>
      </c>
      <c r="C270" s="43" t="n">
        <v>60.66</v>
      </c>
      <c r="D270" s="27" t="n">
        <v>0</v>
      </c>
      <c r="E270" s="27" t="n">
        <v>6</v>
      </c>
      <c r="F270" s="27" t="n">
        <v>10.11</v>
      </c>
      <c r="G270" s="27" t="s">
        <v>1875</v>
      </c>
      <c r="H270" s="27" t="s">
        <v>68</v>
      </c>
      <c r="I270" s="27" t="s">
        <v>1876</v>
      </c>
      <c r="J270" s="27" t="s">
        <v>1877</v>
      </c>
      <c r="K270" s="27" t="n">
        <v>1250</v>
      </c>
      <c r="L270" s="27" t="n">
        <v>702</v>
      </c>
      <c r="M270" s="28" t="n">
        <f aca="false">IFERROR(VLOOKUP((OFFSET(hoje12_326_ana9,269,10,1,1)&amp;"."&amp;OFFSET(hoje12_326_ana9,269,11,1,1)),'12.326'!A:D,4,0),"-")</f>
        <v>9531413001068</v>
      </c>
    </row>
    <row r="271" customFormat="false" ht="14.4" hidden="false" customHeight="false" outlineLevel="0" collapsed="false">
      <c r="A271" s="27" t="n">
        <v>11100820</v>
      </c>
      <c r="B271" s="27" t="s">
        <v>1963</v>
      </c>
      <c r="C271" s="43" t="n">
        <v>73.33</v>
      </c>
      <c r="D271" s="27" t="n">
        <v>8.15</v>
      </c>
      <c r="E271" s="27" t="n">
        <v>12</v>
      </c>
      <c r="F271" s="27" t="n">
        <v>6.79</v>
      </c>
      <c r="G271" s="27" t="s">
        <v>1875</v>
      </c>
      <c r="H271" s="27" t="s">
        <v>1895</v>
      </c>
      <c r="I271" s="27" t="s">
        <v>1876</v>
      </c>
      <c r="J271" s="27" t="s">
        <v>2054</v>
      </c>
      <c r="K271" s="27" t="n">
        <v>1250</v>
      </c>
      <c r="L271" s="27" t="n">
        <v>702</v>
      </c>
      <c r="M271" s="28" t="n">
        <f aca="false">IFERROR(VLOOKUP((OFFSET(hoje12_326_ana9,270,10,1,1)&amp;"."&amp;OFFSET(hoje12_326_ana9,270,11,1,1)),'12.326'!A:D,4,0),"-")</f>
        <v>9531413001068</v>
      </c>
    </row>
    <row r="272" customFormat="false" ht="14.4" hidden="false" customHeight="false" outlineLevel="0" collapsed="false">
      <c r="A272" s="27" t="n">
        <v>11100824</v>
      </c>
      <c r="B272" s="27" t="s">
        <v>1967</v>
      </c>
      <c r="C272" s="43" t="n">
        <v>73.33</v>
      </c>
      <c r="D272" s="27" t="n">
        <v>8.15</v>
      </c>
      <c r="E272" s="27" t="n">
        <v>12</v>
      </c>
      <c r="F272" s="27" t="n">
        <v>6.79</v>
      </c>
      <c r="G272" s="27" t="s">
        <v>1875</v>
      </c>
      <c r="H272" s="27" t="s">
        <v>1895</v>
      </c>
      <c r="I272" s="27" t="s">
        <v>1876</v>
      </c>
      <c r="J272" s="27" t="s">
        <v>2054</v>
      </c>
      <c r="K272" s="27" t="n">
        <v>1250</v>
      </c>
      <c r="L272" s="27" t="n">
        <v>702</v>
      </c>
      <c r="M272" s="28" t="n">
        <f aca="false">IFERROR(VLOOKUP((OFFSET(hoje12_326_ana9,271,10,1,1)&amp;"."&amp;OFFSET(hoje12_326_ana9,271,11,1,1)),'12.326'!A:D,4,0),"-")</f>
        <v>9531413001068</v>
      </c>
    </row>
    <row r="273" customFormat="false" ht="14.4" hidden="false" customHeight="false" outlineLevel="0" collapsed="false">
      <c r="A273" s="27" t="n">
        <v>11100262</v>
      </c>
      <c r="B273" s="27" t="s">
        <v>1931</v>
      </c>
      <c r="C273" s="43" t="n">
        <v>44.17</v>
      </c>
      <c r="D273" s="27" t="n">
        <v>4.91</v>
      </c>
      <c r="E273" s="27" t="n">
        <v>6</v>
      </c>
      <c r="F273" s="27" t="n">
        <v>8.18</v>
      </c>
      <c r="G273" s="27" t="s">
        <v>1875</v>
      </c>
      <c r="H273" s="27" t="s">
        <v>1895</v>
      </c>
      <c r="I273" s="27" t="s">
        <v>1876</v>
      </c>
      <c r="J273" s="27" t="s">
        <v>2055</v>
      </c>
      <c r="K273" s="27" t="n">
        <v>1250</v>
      </c>
      <c r="L273" s="27" t="n">
        <v>702</v>
      </c>
      <c r="M273" s="28" t="n">
        <f aca="false">IFERROR(VLOOKUP((OFFSET(hoje12_326_ana9,272,10,1,1)&amp;"."&amp;OFFSET(hoje12_326_ana9,272,11,1,1)),'12.326'!A:D,4,0),"-")</f>
        <v>9531413001068</v>
      </c>
    </row>
    <row r="274" customFormat="false" ht="14.4" hidden="false" customHeight="false" outlineLevel="0" collapsed="false">
      <c r="A274" s="27" t="n">
        <v>11100565</v>
      </c>
      <c r="B274" s="27" t="s">
        <v>1954</v>
      </c>
      <c r="C274" s="43" t="n">
        <v>102.96</v>
      </c>
      <c r="D274" s="27" t="n">
        <v>2.1</v>
      </c>
      <c r="E274" s="27" t="n">
        <v>6</v>
      </c>
      <c r="F274" s="27" t="n">
        <v>17.51</v>
      </c>
      <c r="G274" s="27" t="s">
        <v>1875</v>
      </c>
      <c r="H274" s="27" t="s">
        <v>2011</v>
      </c>
      <c r="I274" s="27" t="s">
        <v>1876</v>
      </c>
      <c r="J274" s="27" t="s">
        <v>2056</v>
      </c>
      <c r="K274" s="27" t="n">
        <v>1250</v>
      </c>
      <c r="L274" s="27" t="n">
        <v>702</v>
      </c>
      <c r="M274" s="28" t="n">
        <f aca="false">IFERROR(VLOOKUP((OFFSET(hoje12_326_ana9,273,10,1,1)&amp;"."&amp;OFFSET(hoje12_326_ana9,273,11,1,1)),'12.326'!A:D,4,0),"-")</f>
        <v>9531413001068</v>
      </c>
    </row>
    <row r="275" customFormat="false" ht="14.4" hidden="false" customHeight="false" outlineLevel="0" collapsed="false">
      <c r="A275" s="27" t="n">
        <v>11100724</v>
      </c>
      <c r="B275" s="27" t="s">
        <v>1962</v>
      </c>
      <c r="C275" s="43" t="n">
        <v>152.35</v>
      </c>
      <c r="D275" s="27" t="n">
        <v>13.25</v>
      </c>
      <c r="E275" s="27" t="n">
        <v>48</v>
      </c>
      <c r="F275" s="27" t="n">
        <v>3.45</v>
      </c>
      <c r="G275" s="27" t="s">
        <v>1875</v>
      </c>
      <c r="H275" s="27" t="s">
        <v>1960</v>
      </c>
      <c r="I275" s="27" t="s">
        <v>1876</v>
      </c>
      <c r="J275" s="27" t="s">
        <v>2057</v>
      </c>
      <c r="K275" s="27" t="n">
        <v>1250</v>
      </c>
      <c r="L275" s="27" t="n">
        <v>702</v>
      </c>
      <c r="M275" s="28" t="n">
        <f aca="false">IFERROR(VLOOKUP((OFFSET(hoje12_326_ana9,274,10,1,1)&amp;"."&amp;OFFSET(hoje12_326_ana9,274,11,1,1)),'12.326'!A:D,4,0),"-")</f>
        <v>9531413001068</v>
      </c>
    </row>
    <row r="276" customFormat="false" ht="14.4" hidden="false" customHeight="false" outlineLevel="0" collapsed="false">
      <c r="A276" s="27" t="n">
        <v>11100837</v>
      </c>
      <c r="B276" s="27" t="s">
        <v>1971</v>
      </c>
      <c r="C276" s="43" t="n">
        <v>73.92</v>
      </c>
      <c r="D276" s="27" t="n">
        <v>0</v>
      </c>
      <c r="E276" s="27" t="n">
        <v>6</v>
      </c>
      <c r="F276" s="27" t="n">
        <v>12.32</v>
      </c>
      <c r="G276" s="27" t="s">
        <v>1875</v>
      </c>
      <c r="H276" s="27" t="s">
        <v>68</v>
      </c>
      <c r="I276" s="27" t="s">
        <v>1876</v>
      </c>
      <c r="J276" s="27" t="s">
        <v>1877</v>
      </c>
      <c r="K276" s="27" t="n">
        <v>1250</v>
      </c>
      <c r="L276" s="27" t="n">
        <v>702</v>
      </c>
      <c r="M276" s="28" t="n">
        <f aca="false">IFERROR(VLOOKUP((OFFSET(hoje12_326_ana9,275,10,1,1)&amp;"."&amp;OFFSET(hoje12_326_ana9,275,11,1,1)),'12.326'!A:D,4,0),"-")</f>
        <v>9531413001068</v>
      </c>
    </row>
    <row r="277" customFormat="false" ht="14.4" hidden="false" customHeight="false" outlineLevel="0" collapsed="false">
      <c r="A277" s="27" t="n">
        <v>11100863</v>
      </c>
      <c r="B277" s="27" t="s">
        <v>1981</v>
      </c>
      <c r="C277" s="43" t="n">
        <v>42.12</v>
      </c>
      <c r="D277" s="27" t="n">
        <v>4.68</v>
      </c>
      <c r="E277" s="27" t="n">
        <v>6</v>
      </c>
      <c r="F277" s="27" t="n">
        <v>7.8</v>
      </c>
      <c r="G277" s="27" t="s">
        <v>1875</v>
      </c>
      <c r="H277" s="27" t="s">
        <v>1895</v>
      </c>
      <c r="I277" s="27" t="s">
        <v>1876</v>
      </c>
      <c r="J277" s="27" t="s">
        <v>2058</v>
      </c>
      <c r="K277" s="27" t="n">
        <v>1250</v>
      </c>
      <c r="L277" s="27" t="n">
        <v>702</v>
      </c>
      <c r="M277" s="28" t="n">
        <f aca="false">IFERROR(VLOOKUP((OFFSET(hoje12_326_ana9,276,10,1,1)&amp;"."&amp;OFFSET(hoje12_326_ana9,276,11,1,1)),'12.326'!A:D,4,0),"-")</f>
        <v>9531413001068</v>
      </c>
    </row>
    <row r="278" customFormat="false" ht="14.4" hidden="false" customHeight="false" outlineLevel="0" collapsed="false">
      <c r="A278" s="27" t="n">
        <v>11100865</v>
      </c>
      <c r="B278" s="27" t="s">
        <v>1982</v>
      </c>
      <c r="C278" s="43" t="n">
        <v>42.12</v>
      </c>
      <c r="D278" s="27" t="n">
        <v>4.68</v>
      </c>
      <c r="E278" s="27" t="n">
        <v>6</v>
      </c>
      <c r="F278" s="27" t="n">
        <v>7.8</v>
      </c>
      <c r="G278" s="27" t="s">
        <v>1875</v>
      </c>
      <c r="H278" s="27" t="s">
        <v>1895</v>
      </c>
      <c r="I278" s="27" t="s">
        <v>1876</v>
      </c>
      <c r="J278" s="27" t="s">
        <v>2058</v>
      </c>
      <c r="K278" s="27" t="n">
        <v>1250</v>
      </c>
      <c r="L278" s="27" t="n">
        <v>702</v>
      </c>
      <c r="M278" s="28" t="n">
        <f aca="false">IFERROR(VLOOKUP((OFFSET(hoje12_326_ana9,277,10,1,1)&amp;"."&amp;OFFSET(hoje12_326_ana9,277,11,1,1)),'12.326'!A:D,4,0),"-")</f>
        <v>9531413001068</v>
      </c>
    </row>
    <row r="279" customFormat="false" ht="14.4" hidden="false" customHeight="false" outlineLevel="0" collapsed="false">
      <c r="A279" s="27" t="n">
        <v>11100838</v>
      </c>
      <c r="B279" s="27" t="s">
        <v>1972</v>
      </c>
      <c r="C279" s="43" t="n">
        <v>42.12</v>
      </c>
      <c r="D279" s="27" t="n">
        <v>4.68</v>
      </c>
      <c r="E279" s="27" t="n">
        <v>6</v>
      </c>
      <c r="F279" s="27" t="n">
        <v>7.8</v>
      </c>
      <c r="G279" s="27" t="s">
        <v>1875</v>
      </c>
      <c r="H279" s="27" t="s">
        <v>1895</v>
      </c>
      <c r="I279" s="27" t="s">
        <v>1876</v>
      </c>
      <c r="J279" s="27" t="s">
        <v>2058</v>
      </c>
      <c r="K279" s="27" t="n">
        <v>1250</v>
      </c>
      <c r="L279" s="27" t="n">
        <v>702</v>
      </c>
      <c r="M279" s="28" t="n">
        <f aca="false">IFERROR(VLOOKUP((OFFSET(hoje12_326_ana9,278,10,1,1)&amp;"."&amp;OFFSET(hoje12_326_ana9,278,11,1,1)),'12.326'!A:D,4,0),"-")</f>
        <v>9531413001068</v>
      </c>
    </row>
    <row r="280" customFormat="false" ht="14.4" hidden="false" customHeight="false" outlineLevel="0" collapsed="false">
      <c r="A280" s="27" t="n">
        <v>11100698</v>
      </c>
      <c r="B280" s="27" t="s">
        <v>2029</v>
      </c>
      <c r="C280" s="43" t="n">
        <v>79.56</v>
      </c>
      <c r="D280" s="27" t="n">
        <v>0</v>
      </c>
      <c r="E280" s="27" t="n">
        <v>36</v>
      </c>
      <c r="F280" s="27" t="n">
        <v>2.21</v>
      </c>
      <c r="G280" s="27" t="s">
        <v>1875</v>
      </c>
      <c r="H280" s="27" t="s">
        <v>68</v>
      </c>
      <c r="I280" s="27" t="s">
        <v>1876</v>
      </c>
      <c r="J280" s="27" t="s">
        <v>1877</v>
      </c>
      <c r="K280" s="27" t="n">
        <v>1250</v>
      </c>
      <c r="L280" s="27" t="n">
        <v>702</v>
      </c>
      <c r="M280" s="28" t="n">
        <f aca="false">IFERROR(VLOOKUP((OFFSET(hoje12_326_ana9,279,10,1,1)&amp;"."&amp;OFFSET(hoje12_326_ana9,279,11,1,1)),'12.326'!A:D,4,0),"-")</f>
        <v>9531413001068</v>
      </c>
    </row>
    <row r="281" customFormat="false" ht="14.4" hidden="false" customHeight="false" outlineLevel="0" collapsed="false">
      <c r="A281" s="27" t="n">
        <v>11100708</v>
      </c>
      <c r="B281" s="27" t="s">
        <v>2059</v>
      </c>
      <c r="C281" s="43" t="n">
        <v>79.56</v>
      </c>
      <c r="D281" s="27" t="n">
        <v>0</v>
      </c>
      <c r="E281" s="27" t="n">
        <v>36</v>
      </c>
      <c r="F281" s="27" t="n">
        <v>2.21</v>
      </c>
      <c r="G281" s="27" t="s">
        <v>1875</v>
      </c>
      <c r="H281" s="27" t="s">
        <v>68</v>
      </c>
      <c r="I281" s="27" t="s">
        <v>1876</v>
      </c>
      <c r="J281" s="27" t="s">
        <v>1877</v>
      </c>
      <c r="K281" s="27" t="n">
        <v>1250</v>
      </c>
      <c r="L281" s="27" t="n">
        <v>702</v>
      </c>
      <c r="M281" s="28" t="n">
        <f aca="false">IFERROR(VLOOKUP((OFFSET(hoje12_326_ana9,280,10,1,1)&amp;"."&amp;OFFSET(hoje12_326_ana9,280,11,1,1)),'12.326'!A:D,4,0),"-")</f>
        <v>9531413001068</v>
      </c>
    </row>
    <row r="282" customFormat="false" ht="14.4" hidden="false" customHeight="false" outlineLevel="0" collapsed="false">
      <c r="A282" s="27" t="n">
        <v>11100959</v>
      </c>
      <c r="B282" s="27" t="s">
        <v>1987</v>
      </c>
      <c r="C282" s="43" t="n">
        <v>123.84</v>
      </c>
      <c r="D282" s="27" t="n">
        <v>0</v>
      </c>
      <c r="E282" s="27" t="n">
        <v>24</v>
      </c>
      <c r="F282" s="27" t="n">
        <v>5.16</v>
      </c>
      <c r="G282" s="27" t="s">
        <v>1875</v>
      </c>
      <c r="H282" s="27" t="s">
        <v>68</v>
      </c>
      <c r="I282" s="27" t="s">
        <v>1876</v>
      </c>
      <c r="J282" s="27" t="s">
        <v>1877</v>
      </c>
      <c r="K282" s="27" t="n">
        <v>1250</v>
      </c>
      <c r="L282" s="27" t="n">
        <v>702</v>
      </c>
      <c r="M282" s="28" t="n">
        <f aca="false">IFERROR(VLOOKUP((OFFSET(hoje12_326_ana9,281,10,1,1)&amp;"."&amp;OFFSET(hoje12_326_ana9,281,11,1,1)),'12.326'!A:D,4,0),"-")</f>
        <v>9531413001068</v>
      </c>
    </row>
    <row r="283" customFormat="false" ht="14.4" hidden="false" customHeight="false" outlineLevel="0" collapsed="false">
      <c r="A283" s="27" t="n">
        <v>11100784</v>
      </c>
      <c r="B283" s="27" t="s">
        <v>1989</v>
      </c>
      <c r="C283" s="43" t="n">
        <v>27.8</v>
      </c>
      <c r="D283" s="27" t="n">
        <v>11.92</v>
      </c>
      <c r="E283" s="27" t="n">
        <v>12</v>
      </c>
      <c r="F283" s="27" t="n">
        <v>3.31</v>
      </c>
      <c r="G283" s="27" t="s">
        <v>1875</v>
      </c>
      <c r="H283" s="27" t="s">
        <v>1990</v>
      </c>
      <c r="I283" s="27" t="s">
        <v>1876</v>
      </c>
      <c r="J283" s="27" t="s">
        <v>2060</v>
      </c>
      <c r="K283" s="27" t="n">
        <v>1251</v>
      </c>
      <c r="L283" s="27" t="n">
        <v>702</v>
      </c>
      <c r="M283" s="28" t="n">
        <f aca="false">IFERROR(VLOOKUP((OFFSET(hoje12_326_ana9,282,10,1,1)&amp;"."&amp;OFFSET(hoje12_326_ana9,282,11,1,1)),'12.326'!A:D,4,0),"-")</f>
        <v>9531413000258</v>
      </c>
    </row>
    <row r="284" customFormat="false" ht="14.4" hidden="false" customHeight="false" outlineLevel="0" collapsed="false">
      <c r="A284" s="27" t="n">
        <v>11100773</v>
      </c>
      <c r="B284" s="27" t="s">
        <v>2061</v>
      </c>
      <c r="C284" s="43" t="n">
        <v>55.61</v>
      </c>
      <c r="D284" s="27" t="n">
        <v>23.83</v>
      </c>
      <c r="E284" s="27" t="n">
        <v>24</v>
      </c>
      <c r="F284" s="27" t="n">
        <v>3.31</v>
      </c>
      <c r="G284" s="27" t="s">
        <v>1875</v>
      </c>
      <c r="H284" s="27" t="s">
        <v>1990</v>
      </c>
      <c r="I284" s="27" t="s">
        <v>1876</v>
      </c>
      <c r="J284" s="27" t="s">
        <v>2062</v>
      </c>
      <c r="K284" s="27" t="n">
        <v>1251</v>
      </c>
      <c r="L284" s="27" t="n">
        <v>702</v>
      </c>
      <c r="M284" s="28" t="n">
        <f aca="false">IFERROR(VLOOKUP((OFFSET(hoje12_326_ana9,283,10,1,1)&amp;"."&amp;OFFSET(hoje12_326_ana9,283,11,1,1)),'12.326'!A:D,4,0),"-")</f>
        <v>9531413000258</v>
      </c>
    </row>
    <row r="285" customFormat="false" ht="14.4" hidden="false" customHeight="false" outlineLevel="0" collapsed="false">
      <c r="A285" s="27" t="n">
        <v>11100778</v>
      </c>
      <c r="B285" s="27" t="s">
        <v>1997</v>
      </c>
      <c r="C285" s="43" t="n">
        <v>27.8</v>
      </c>
      <c r="D285" s="27" t="n">
        <v>11.92</v>
      </c>
      <c r="E285" s="27" t="n">
        <v>12</v>
      </c>
      <c r="F285" s="27" t="n">
        <v>3.31</v>
      </c>
      <c r="G285" s="27" t="s">
        <v>1875</v>
      </c>
      <c r="H285" s="27" t="s">
        <v>1990</v>
      </c>
      <c r="I285" s="27" t="s">
        <v>1876</v>
      </c>
      <c r="J285" s="27" t="s">
        <v>2060</v>
      </c>
      <c r="K285" s="27" t="n">
        <v>1251</v>
      </c>
      <c r="L285" s="27" t="n">
        <v>702</v>
      </c>
      <c r="M285" s="28" t="n">
        <f aca="false">IFERROR(VLOOKUP((OFFSET(hoje12_326_ana9,284,10,1,1)&amp;"."&amp;OFFSET(hoje12_326_ana9,284,11,1,1)),'12.326'!A:D,4,0),"-")</f>
        <v>9531413000258</v>
      </c>
    </row>
    <row r="286" customFormat="false" ht="14.4" hidden="false" customHeight="false" outlineLevel="0" collapsed="false">
      <c r="A286" s="27" t="n">
        <v>11100751</v>
      </c>
      <c r="B286" s="27" t="s">
        <v>1995</v>
      </c>
      <c r="C286" s="43" t="n">
        <v>27.8</v>
      </c>
      <c r="D286" s="27" t="n">
        <v>11.92</v>
      </c>
      <c r="E286" s="27" t="n">
        <v>12</v>
      </c>
      <c r="F286" s="27" t="n">
        <v>3.31</v>
      </c>
      <c r="G286" s="27" t="s">
        <v>1875</v>
      </c>
      <c r="H286" s="27" t="s">
        <v>1990</v>
      </c>
      <c r="I286" s="27" t="s">
        <v>1876</v>
      </c>
      <c r="J286" s="27" t="s">
        <v>2060</v>
      </c>
      <c r="K286" s="27" t="n">
        <v>1251</v>
      </c>
      <c r="L286" s="27" t="n">
        <v>702</v>
      </c>
      <c r="M286" s="28" t="n">
        <f aca="false">IFERROR(VLOOKUP((OFFSET(hoje12_326_ana9,285,10,1,1)&amp;"."&amp;OFFSET(hoje12_326_ana9,285,11,1,1)),'12.326'!A:D,4,0),"-")</f>
        <v>9531413000258</v>
      </c>
    </row>
    <row r="287" customFormat="false" ht="14.4" hidden="false" customHeight="false" outlineLevel="0" collapsed="false">
      <c r="A287" s="27" t="n">
        <v>11100138</v>
      </c>
      <c r="B287" s="27" t="s">
        <v>2035</v>
      </c>
      <c r="C287" s="43" t="n">
        <v>98.59</v>
      </c>
      <c r="D287" s="27" t="n">
        <v>3.05</v>
      </c>
      <c r="E287" s="27" t="n">
        <v>12</v>
      </c>
      <c r="F287" s="27" t="n">
        <v>8.47</v>
      </c>
      <c r="G287" s="27" t="s">
        <v>1875</v>
      </c>
      <c r="H287" s="27" t="s">
        <v>2009</v>
      </c>
      <c r="I287" s="27" t="s">
        <v>1876</v>
      </c>
      <c r="J287" s="27" t="s">
        <v>2063</v>
      </c>
      <c r="K287" s="27" t="n">
        <v>1251</v>
      </c>
      <c r="L287" s="27" t="n">
        <v>702</v>
      </c>
      <c r="M287" s="28" t="n">
        <f aca="false">IFERROR(VLOOKUP((OFFSET(hoje12_326_ana9,286,10,1,1)&amp;"."&amp;OFFSET(hoje12_326_ana9,286,11,1,1)),'12.326'!A:D,4,0),"-")</f>
        <v>9531413000258</v>
      </c>
    </row>
    <row r="288" customFormat="false" ht="14.4" hidden="false" customHeight="false" outlineLevel="0" collapsed="false">
      <c r="A288" s="27" t="n">
        <v>11100091</v>
      </c>
      <c r="B288" s="27" t="s">
        <v>1910</v>
      </c>
      <c r="C288" s="43" t="n">
        <v>225.36</v>
      </c>
      <c r="D288" s="27" t="n">
        <v>6.96</v>
      </c>
      <c r="E288" s="27" t="n">
        <v>48</v>
      </c>
      <c r="F288" s="27" t="n">
        <v>4.84</v>
      </c>
      <c r="G288" s="27" t="s">
        <v>1875</v>
      </c>
      <c r="H288" s="27" t="s">
        <v>2009</v>
      </c>
      <c r="I288" s="27" t="s">
        <v>1876</v>
      </c>
      <c r="J288" s="27" t="s">
        <v>2064</v>
      </c>
      <c r="K288" s="27" t="n">
        <v>1251</v>
      </c>
      <c r="L288" s="27" t="n">
        <v>702</v>
      </c>
      <c r="M288" s="28" t="n">
        <f aca="false">IFERROR(VLOOKUP((OFFSET(hoje12_326_ana9,287,10,1,1)&amp;"."&amp;OFFSET(hoje12_326_ana9,287,11,1,1)),'12.326'!A:D,4,0),"-")</f>
        <v>9531413000258</v>
      </c>
    </row>
    <row r="289" customFormat="false" ht="14.4" hidden="false" customHeight="false" outlineLevel="0" collapsed="false">
      <c r="A289" s="27" t="n">
        <v>11100148</v>
      </c>
      <c r="B289" s="27" t="s">
        <v>1916</v>
      </c>
      <c r="C289" s="43" t="n">
        <v>128.04</v>
      </c>
      <c r="D289" s="27" t="n">
        <v>3.96</v>
      </c>
      <c r="E289" s="27" t="n">
        <v>12</v>
      </c>
      <c r="F289" s="27" t="n">
        <v>11</v>
      </c>
      <c r="G289" s="27" t="s">
        <v>1875</v>
      </c>
      <c r="H289" s="27" t="s">
        <v>2009</v>
      </c>
      <c r="I289" s="27" t="s">
        <v>1876</v>
      </c>
      <c r="J289" s="27" t="s">
        <v>2065</v>
      </c>
      <c r="K289" s="27" t="n">
        <v>1251</v>
      </c>
      <c r="L289" s="27" t="n">
        <v>702</v>
      </c>
      <c r="M289" s="28" t="n">
        <f aca="false">IFERROR(VLOOKUP((OFFSET(hoje12_326_ana9,288,10,1,1)&amp;"."&amp;OFFSET(hoje12_326_ana9,288,11,1,1)),'12.326'!A:D,4,0),"-")</f>
        <v>9531413000258</v>
      </c>
    </row>
    <row r="290" customFormat="false" ht="14.4" hidden="false" customHeight="false" outlineLevel="0" collapsed="false">
      <c r="A290" s="27" t="n">
        <v>11100963</v>
      </c>
      <c r="B290" s="27" t="s">
        <v>1988</v>
      </c>
      <c r="C290" s="43" t="n">
        <v>56.76</v>
      </c>
      <c r="D290" s="27" t="n">
        <v>0</v>
      </c>
      <c r="E290" s="27" t="n">
        <v>4</v>
      </c>
      <c r="F290" s="27" t="n">
        <v>14.19</v>
      </c>
      <c r="G290" s="27" t="s">
        <v>1875</v>
      </c>
      <c r="H290" s="27" t="s">
        <v>68</v>
      </c>
      <c r="I290" s="27" t="s">
        <v>1876</v>
      </c>
      <c r="J290" s="27" t="s">
        <v>1877</v>
      </c>
      <c r="K290" s="27" t="n">
        <v>1251</v>
      </c>
      <c r="L290" s="27" t="n">
        <v>702</v>
      </c>
      <c r="M290" s="28" t="n">
        <f aca="false">IFERROR(VLOOKUP((OFFSET(hoje12_326_ana9,289,10,1,1)&amp;"."&amp;OFFSET(hoje12_326_ana9,289,11,1,1)),'12.326'!A:D,4,0),"-")</f>
        <v>9531413000258</v>
      </c>
    </row>
    <row r="291" customFormat="false" ht="14.4" hidden="false" customHeight="false" outlineLevel="0" collapsed="false">
      <c r="A291" s="27" t="n">
        <v>11100314</v>
      </c>
      <c r="B291" s="27" t="s">
        <v>1937</v>
      </c>
      <c r="C291" s="43" t="n">
        <v>131.64</v>
      </c>
      <c r="D291" s="27" t="n">
        <v>0</v>
      </c>
      <c r="E291" s="27" t="n">
        <v>12</v>
      </c>
      <c r="F291" s="27" t="n">
        <v>10.97</v>
      </c>
      <c r="G291" s="27" t="s">
        <v>1875</v>
      </c>
      <c r="H291" s="27" t="s">
        <v>68</v>
      </c>
      <c r="I291" s="27" t="s">
        <v>1876</v>
      </c>
      <c r="J291" s="27" t="s">
        <v>1877</v>
      </c>
      <c r="K291" s="27" t="n">
        <v>1251</v>
      </c>
      <c r="L291" s="27" t="n">
        <v>702</v>
      </c>
      <c r="M291" s="28" t="n">
        <f aca="false">IFERROR(VLOOKUP((OFFSET(hoje12_326_ana9,290,10,1,1)&amp;"."&amp;OFFSET(hoje12_326_ana9,290,11,1,1)),'12.326'!A:D,4,0),"-")</f>
        <v>9531413000258</v>
      </c>
    </row>
    <row r="292" customFormat="false" ht="14.4" hidden="false" customHeight="false" outlineLevel="0" collapsed="false">
      <c r="A292" s="27" t="n">
        <v>11100677</v>
      </c>
      <c r="B292" s="27" t="s">
        <v>1956</v>
      </c>
      <c r="C292" s="43" t="n">
        <v>77.95</v>
      </c>
      <c r="D292" s="27" t="n">
        <v>6.77</v>
      </c>
      <c r="E292" s="27" t="n">
        <v>24</v>
      </c>
      <c r="F292" s="27" t="n">
        <v>3.53</v>
      </c>
      <c r="G292" s="27" t="s">
        <v>1875</v>
      </c>
      <c r="H292" s="27" t="s">
        <v>1960</v>
      </c>
      <c r="I292" s="27" t="s">
        <v>1876</v>
      </c>
      <c r="J292" s="27" t="s">
        <v>2066</v>
      </c>
      <c r="K292" s="27" t="n">
        <v>1251</v>
      </c>
      <c r="L292" s="27" t="n">
        <v>702</v>
      </c>
      <c r="M292" s="28" t="n">
        <f aca="false">IFERROR(VLOOKUP((OFFSET(hoje12_326_ana9,291,10,1,1)&amp;"."&amp;OFFSET(hoje12_326_ana9,291,11,1,1)),'12.326'!A:D,4,0),"-")</f>
        <v>9531413000258</v>
      </c>
    </row>
    <row r="293" customFormat="false" ht="14.4" hidden="false" customHeight="false" outlineLevel="0" collapsed="false">
      <c r="A293" s="27" t="n">
        <v>11100682</v>
      </c>
      <c r="B293" s="27" t="s">
        <v>1958</v>
      </c>
      <c r="C293" s="43" t="n">
        <v>77.95</v>
      </c>
      <c r="D293" s="27" t="n">
        <v>6.77</v>
      </c>
      <c r="E293" s="27" t="n">
        <v>24</v>
      </c>
      <c r="F293" s="27" t="n">
        <v>3.53</v>
      </c>
      <c r="G293" s="27" t="s">
        <v>1875</v>
      </c>
      <c r="H293" s="27" t="s">
        <v>1960</v>
      </c>
      <c r="I293" s="27" t="s">
        <v>1876</v>
      </c>
      <c r="J293" s="27" t="s">
        <v>2066</v>
      </c>
      <c r="K293" s="27" t="n">
        <v>1251</v>
      </c>
      <c r="L293" s="27" t="n">
        <v>702</v>
      </c>
      <c r="M293" s="28" t="n">
        <f aca="false">IFERROR(VLOOKUP((OFFSET(hoje12_326_ana9,292,10,1,1)&amp;"."&amp;OFFSET(hoje12_326_ana9,292,11,1,1)),'12.326'!A:D,4,0),"-")</f>
        <v>9531413000258</v>
      </c>
    </row>
    <row r="294" customFormat="false" ht="14.4" hidden="false" customHeight="false" outlineLevel="0" collapsed="false">
      <c r="A294" s="27" t="n">
        <v>11100695</v>
      </c>
      <c r="B294" s="27" t="s">
        <v>1959</v>
      </c>
      <c r="C294" s="43" t="n">
        <v>38.86</v>
      </c>
      <c r="D294" s="27" t="n">
        <v>3.38</v>
      </c>
      <c r="E294" s="27" t="n">
        <v>12</v>
      </c>
      <c r="F294" s="27" t="n">
        <v>3.52</v>
      </c>
      <c r="G294" s="27" t="s">
        <v>1875</v>
      </c>
      <c r="H294" s="27" t="s">
        <v>1960</v>
      </c>
      <c r="I294" s="27" t="s">
        <v>1876</v>
      </c>
      <c r="J294" s="27" t="s">
        <v>2040</v>
      </c>
      <c r="K294" s="27" t="n">
        <v>1251</v>
      </c>
      <c r="L294" s="27" t="n">
        <v>702</v>
      </c>
      <c r="M294" s="28" t="n">
        <f aca="false">IFERROR(VLOOKUP((OFFSET(hoje12_326_ana9,293,10,1,1)&amp;"."&amp;OFFSET(hoje12_326_ana9,293,11,1,1)),'12.326'!A:D,4,0),"-")</f>
        <v>9531413000258</v>
      </c>
    </row>
    <row r="295" customFormat="false" ht="14.4" hidden="false" customHeight="false" outlineLevel="0" collapsed="false">
      <c r="A295" s="27" t="n">
        <v>11100837</v>
      </c>
      <c r="B295" s="27" t="s">
        <v>1971</v>
      </c>
      <c r="C295" s="43" t="n">
        <v>75.48</v>
      </c>
      <c r="D295" s="27" t="n">
        <v>0</v>
      </c>
      <c r="E295" s="27" t="n">
        <v>6</v>
      </c>
      <c r="F295" s="27" t="n">
        <v>12.58</v>
      </c>
      <c r="G295" s="27" t="s">
        <v>1875</v>
      </c>
      <c r="H295" s="27" t="s">
        <v>68</v>
      </c>
      <c r="I295" s="27" t="s">
        <v>1876</v>
      </c>
      <c r="J295" s="27" t="s">
        <v>1877</v>
      </c>
      <c r="K295" s="27" t="n">
        <v>1251</v>
      </c>
      <c r="L295" s="27" t="n">
        <v>702</v>
      </c>
      <c r="M295" s="28" t="n">
        <f aca="false">IFERROR(VLOOKUP((OFFSET(hoje12_326_ana9,294,10,1,1)&amp;"."&amp;OFFSET(hoje12_326_ana9,294,11,1,1)),'12.326'!A:D,4,0),"-")</f>
        <v>9531413000258</v>
      </c>
    </row>
    <row r="296" customFormat="false" ht="14.4" hidden="false" customHeight="false" outlineLevel="0" collapsed="false">
      <c r="A296" s="27" t="n">
        <v>11100698</v>
      </c>
      <c r="B296" s="27" t="s">
        <v>2029</v>
      </c>
      <c r="C296" s="43" t="n">
        <v>81</v>
      </c>
      <c r="D296" s="27" t="n">
        <v>0</v>
      </c>
      <c r="E296" s="27" t="n">
        <v>36</v>
      </c>
      <c r="F296" s="27" t="n">
        <v>2.25</v>
      </c>
      <c r="G296" s="27" t="s">
        <v>1875</v>
      </c>
      <c r="H296" s="27" t="s">
        <v>68</v>
      </c>
      <c r="I296" s="27" t="s">
        <v>1876</v>
      </c>
      <c r="J296" s="27" t="s">
        <v>1877</v>
      </c>
      <c r="K296" s="27" t="n">
        <v>1251</v>
      </c>
      <c r="L296" s="27" t="n">
        <v>702</v>
      </c>
      <c r="M296" s="28" t="n">
        <f aca="false">IFERROR(VLOOKUP((OFFSET(hoje12_326_ana9,295,10,1,1)&amp;"."&amp;OFFSET(hoje12_326_ana9,295,11,1,1)),'12.326'!A:D,4,0),"-")</f>
        <v>9531413000258</v>
      </c>
    </row>
    <row r="297" customFormat="false" ht="14.4" hidden="false" customHeight="false" outlineLevel="0" collapsed="false">
      <c r="A297" s="27" t="n">
        <v>11100205</v>
      </c>
      <c r="B297" s="27" t="s">
        <v>1921</v>
      </c>
      <c r="C297" s="43" t="n">
        <v>76.8</v>
      </c>
      <c r="D297" s="27" t="n">
        <v>0</v>
      </c>
      <c r="E297" s="27" t="n">
        <v>12</v>
      </c>
      <c r="F297" s="27" t="n">
        <v>6.4</v>
      </c>
      <c r="G297" s="27" t="s">
        <v>1875</v>
      </c>
      <c r="H297" s="27" t="s">
        <v>68</v>
      </c>
      <c r="I297" s="27" t="s">
        <v>1876</v>
      </c>
      <c r="J297" s="27" t="s">
        <v>1877</v>
      </c>
      <c r="K297" s="27" t="n">
        <v>1251</v>
      </c>
      <c r="L297" s="27" t="n">
        <v>702</v>
      </c>
      <c r="M297" s="28" t="n">
        <f aca="false">IFERROR(VLOOKUP((OFFSET(hoje12_326_ana9,296,10,1,1)&amp;"."&amp;OFFSET(hoje12_326_ana9,296,11,1,1)),'12.326'!A:D,4,0),"-")</f>
        <v>9531413000258</v>
      </c>
    </row>
    <row r="298" customFormat="false" ht="14.4" hidden="false" customHeight="false" outlineLevel="0" collapsed="false">
      <c r="A298" s="27" t="n">
        <v>11100317</v>
      </c>
      <c r="B298" s="27" t="s">
        <v>2045</v>
      </c>
      <c r="C298" s="43" t="n">
        <v>368.51</v>
      </c>
      <c r="D298" s="27" t="n">
        <v>80.89</v>
      </c>
      <c r="E298" s="27" t="n">
        <v>84</v>
      </c>
      <c r="F298" s="27" t="n">
        <v>5.35</v>
      </c>
      <c r="G298" s="27" t="s">
        <v>1875</v>
      </c>
      <c r="H298" s="27" t="s">
        <v>2046</v>
      </c>
      <c r="I298" s="27" t="s">
        <v>1876</v>
      </c>
      <c r="J298" s="27" t="s">
        <v>2067</v>
      </c>
      <c r="K298" s="27" t="n">
        <v>1252</v>
      </c>
      <c r="L298" s="27" t="n">
        <v>702</v>
      </c>
      <c r="M298" s="28" t="n">
        <f aca="false">IFERROR(VLOOKUP((OFFSET(hoje12_326_ana9,297,10,1,1)&amp;"."&amp;OFFSET(hoje12_326_ana9,297,11,1,1)),'12.326'!A:D,4,0),"-")</f>
        <v>9531413000762</v>
      </c>
    </row>
    <row r="299" customFormat="false" ht="14.4" hidden="false" customHeight="false" outlineLevel="0" collapsed="false">
      <c r="A299" s="27" t="n">
        <v>11100751</v>
      </c>
      <c r="B299" s="27" t="s">
        <v>1995</v>
      </c>
      <c r="C299" s="43" t="n">
        <v>81.65</v>
      </c>
      <c r="D299" s="27" t="n">
        <v>34.99</v>
      </c>
      <c r="E299" s="27" t="n">
        <v>36</v>
      </c>
      <c r="F299" s="27" t="n">
        <v>3.24</v>
      </c>
      <c r="G299" s="27" t="s">
        <v>1875</v>
      </c>
      <c r="H299" s="27" t="s">
        <v>1990</v>
      </c>
      <c r="I299" s="27" t="s">
        <v>1876</v>
      </c>
      <c r="J299" s="27" t="s">
        <v>2068</v>
      </c>
      <c r="K299" s="27" t="n">
        <v>1252</v>
      </c>
      <c r="L299" s="27" t="n">
        <v>702</v>
      </c>
      <c r="M299" s="28" t="n">
        <f aca="false">IFERROR(VLOOKUP((OFFSET(hoje12_326_ana9,298,10,1,1)&amp;"."&amp;OFFSET(hoje12_326_ana9,298,11,1,1)),'12.326'!A:D,4,0),"-")</f>
        <v>9531413000762</v>
      </c>
    </row>
    <row r="300" customFormat="false" ht="14.4" hidden="false" customHeight="false" outlineLevel="0" collapsed="false">
      <c r="A300" s="27" t="n">
        <v>11100836</v>
      </c>
      <c r="B300" s="27" t="s">
        <v>2069</v>
      </c>
      <c r="C300" s="43" t="n">
        <v>43.06</v>
      </c>
      <c r="D300" s="27" t="n">
        <v>3.74</v>
      </c>
      <c r="E300" s="27" t="n">
        <v>6</v>
      </c>
      <c r="F300" s="27" t="n">
        <v>7.8</v>
      </c>
      <c r="G300" s="27" t="s">
        <v>1875</v>
      </c>
      <c r="H300" s="27" t="s">
        <v>1960</v>
      </c>
      <c r="I300" s="27" t="s">
        <v>1876</v>
      </c>
      <c r="J300" s="27" t="s">
        <v>2070</v>
      </c>
      <c r="K300" s="27" t="n">
        <v>1252</v>
      </c>
      <c r="L300" s="27" t="n">
        <v>702</v>
      </c>
      <c r="M300" s="28" t="n">
        <f aca="false">IFERROR(VLOOKUP((OFFSET(hoje12_326_ana9,299,10,1,1)&amp;"."&amp;OFFSET(hoje12_326_ana9,299,11,1,1)),'12.326'!A:D,4,0),"-")</f>
        <v>9531413000762</v>
      </c>
    </row>
    <row r="301" customFormat="false" ht="14.4" hidden="false" customHeight="false" outlineLevel="0" collapsed="false">
      <c r="A301" s="27" t="n">
        <v>11100773</v>
      </c>
      <c r="B301" s="27" t="s">
        <v>2061</v>
      </c>
      <c r="C301" s="43" t="n">
        <v>27.22</v>
      </c>
      <c r="D301" s="27" t="n">
        <v>11.66</v>
      </c>
      <c r="E301" s="27" t="n">
        <v>12</v>
      </c>
      <c r="F301" s="27" t="n">
        <v>3.24</v>
      </c>
      <c r="G301" s="27" t="s">
        <v>1875</v>
      </c>
      <c r="H301" s="27" t="s">
        <v>1990</v>
      </c>
      <c r="I301" s="27" t="s">
        <v>1876</v>
      </c>
      <c r="J301" s="27" t="s">
        <v>2044</v>
      </c>
      <c r="K301" s="27" t="n">
        <v>1252</v>
      </c>
      <c r="L301" s="27" t="n">
        <v>702</v>
      </c>
      <c r="M301" s="28" t="n">
        <f aca="false">IFERROR(VLOOKUP((OFFSET(hoje12_326_ana9,300,10,1,1)&amp;"."&amp;OFFSET(hoje12_326_ana9,300,11,1,1)),'12.326'!A:D,4,0),"-")</f>
        <v>9531413000762</v>
      </c>
    </row>
    <row r="302" customFormat="false" ht="14.4" hidden="false" customHeight="false" outlineLevel="0" collapsed="false">
      <c r="A302" s="27" t="n">
        <v>11100861</v>
      </c>
      <c r="B302" s="27" t="s">
        <v>1992</v>
      </c>
      <c r="C302" s="43" t="n">
        <v>21.2</v>
      </c>
      <c r="D302" s="27" t="n">
        <v>2.2</v>
      </c>
      <c r="E302" s="27" t="n">
        <v>3</v>
      </c>
      <c r="F302" s="27" t="n">
        <v>7.8</v>
      </c>
      <c r="G302" s="27" t="s">
        <v>1875</v>
      </c>
      <c r="H302" s="27" t="s">
        <v>1993</v>
      </c>
      <c r="I302" s="27" t="s">
        <v>1876</v>
      </c>
      <c r="J302" s="27" t="s">
        <v>2071</v>
      </c>
      <c r="K302" s="27" t="n">
        <v>1252</v>
      </c>
      <c r="L302" s="27" t="n">
        <v>702</v>
      </c>
      <c r="M302" s="28" t="n">
        <f aca="false">IFERROR(VLOOKUP((OFFSET(hoje12_326_ana9,301,10,1,1)&amp;"."&amp;OFFSET(hoje12_326_ana9,301,11,1,1)),'12.326'!A:D,4,0),"-")</f>
        <v>9531413000762</v>
      </c>
    </row>
    <row r="303" customFormat="false" ht="14.4" hidden="false" customHeight="false" outlineLevel="0" collapsed="false">
      <c r="A303" s="27" t="n">
        <v>11100117</v>
      </c>
      <c r="B303" s="27" t="s">
        <v>2048</v>
      </c>
      <c r="C303" s="43" t="n">
        <v>177.05</v>
      </c>
      <c r="D303" s="27" t="n">
        <v>5.47</v>
      </c>
      <c r="E303" s="27" t="n">
        <v>12</v>
      </c>
      <c r="F303" s="27" t="n">
        <v>15.21</v>
      </c>
      <c r="G303" s="27" t="s">
        <v>1875</v>
      </c>
      <c r="H303" s="27" t="s">
        <v>2009</v>
      </c>
      <c r="I303" s="27" t="s">
        <v>1876</v>
      </c>
      <c r="J303" s="27" t="s">
        <v>2072</v>
      </c>
      <c r="K303" s="27" t="n">
        <v>1252</v>
      </c>
      <c r="L303" s="27" t="n">
        <v>702</v>
      </c>
      <c r="M303" s="28" t="n">
        <f aca="false">IFERROR(VLOOKUP((OFFSET(hoje12_326_ana9,302,10,1,1)&amp;"."&amp;OFFSET(hoje12_326_ana9,302,11,1,1)),'12.326'!A:D,4,0),"-")</f>
        <v>9531413000762</v>
      </c>
    </row>
    <row r="304" customFormat="false" ht="14.4" hidden="false" customHeight="false" outlineLevel="0" collapsed="false">
      <c r="A304" s="27" t="n">
        <v>11100156</v>
      </c>
      <c r="B304" s="27" t="s">
        <v>1918</v>
      </c>
      <c r="C304" s="43" t="n">
        <v>190.08</v>
      </c>
      <c r="D304" s="27" t="n">
        <v>0</v>
      </c>
      <c r="E304" s="27" t="n">
        <v>12</v>
      </c>
      <c r="F304" s="27" t="n">
        <v>15.84</v>
      </c>
      <c r="G304" s="27" t="s">
        <v>1875</v>
      </c>
      <c r="H304" s="27" t="s">
        <v>68</v>
      </c>
      <c r="I304" s="27" t="s">
        <v>1876</v>
      </c>
      <c r="J304" s="27" t="s">
        <v>1877</v>
      </c>
      <c r="K304" s="27" t="n">
        <v>1252</v>
      </c>
      <c r="L304" s="27" t="n">
        <v>702</v>
      </c>
      <c r="M304" s="28" t="n">
        <f aca="false">IFERROR(VLOOKUP((OFFSET(hoje12_326_ana9,303,10,1,1)&amp;"."&amp;OFFSET(hoje12_326_ana9,303,11,1,1)),'12.326'!A:D,4,0),"-")</f>
        <v>9531413000762</v>
      </c>
    </row>
    <row r="305" customFormat="false" ht="14.4" hidden="false" customHeight="false" outlineLevel="0" collapsed="false">
      <c r="A305" s="27" t="n">
        <v>11100475</v>
      </c>
      <c r="B305" s="27" t="s">
        <v>1947</v>
      </c>
      <c r="C305" s="43" t="n">
        <v>47.44</v>
      </c>
      <c r="D305" s="27" t="n">
        <v>1.46</v>
      </c>
      <c r="E305" s="27" t="n">
        <v>6</v>
      </c>
      <c r="F305" s="27" t="n">
        <v>8.15</v>
      </c>
      <c r="G305" s="27" t="s">
        <v>1875</v>
      </c>
      <c r="H305" s="27" t="s">
        <v>2009</v>
      </c>
      <c r="I305" s="27" t="s">
        <v>1876</v>
      </c>
      <c r="J305" s="27" t="s">
        <v>2073</v>
      </c>
      <c r="K305" s="27" t="n">
        <v>1252</v>
      </c>
      <c r="L305" s="27" t="n">
        <v>702</v>
      </c>
      <c r="M305" s="28" t="n">
        <f aca="false">IFERROR(VLOOKUP((OFFSET(hoje12_326_ana9,304,10,1,1)&amp;"."&amp;OFFSET(hoje12_326_ana9,304,11,1,1)),'12.326'!A:D,4,0),"-")</f>
        <v>9531413000762</v>
      </c>
    </row>
    <row r="306" customFormat="false" ht="14.4" hidden="false" customHeight="false" outlineLevel="0" collapsed="false">
      <c r="A306" s="27" t="n">
        <v>11100138</v>
      </c>
      <c r="B306" s="27" t="s">
        <v>2035</v>
      </c>
      <c r="C306" s="43" t="n">
        <v>197.21</v>
      </c>
      <c r="D306" s="27" t="n">
        <v>1.99</v>
      </c>
      <c r="E306" s="27" t="n">
        <v>24</v>
      </c>
      <c r="F306" s="27" t="n">
        <v>8.3</v>
      </c>
      <c r="G306" s="27" t="s">
        <v>1875</v>
      </c>
      <c r="H306" s="27" t="s">
        <v>1948</v>
      </c>
      <c r="I306" s="27" t="s">
        <v>1876</v>
      </c>
      <c r="J306" s="27" t="s">
        <v>2074</v>
      </c>
      <c r="K306" s="27" t="n">
        <v>1252</v>
      </c>
      <c r="L306" s="27" t="n">
        <v>702</v>
      </c>
      <c r="M306" s="28" t="n">
        <f aca="false">IFERROR(VLOOKUP((OFFSET(hoje12_326_ana9,305,10,1,1)&amp;"."&amp;OFFSET(hoje12_326_ana9,305,11,1,1)),'12.326'!A:D,4,0),"-")</f>
        <v>9531413000762</v>
      </c>
    </row>
    <row r="307" customFormat="false" ht="14.4" hidden="false" customHeight="false" outlineLevel="0" collapsed="false">
      <c r="A307" s="27" t="n">
        <v>11100155</v>
      </c>
      <c r="B307" s="27" t="s">
        <v>1917</v>
      </c>
      <c r="C307" s="43" t="n">
        <v>255.89</v>
      </c>
      <c r="D307" s="27" t="n">
        <v>2.59</v>
      </c>
      <c r="E307" s="27" t="n">
        <v>24</v>
      </c>
      <c r="F307" s="27" t="n">
        <v>10.77</v>
      </c>
      <c r="G307" s="27" t="s">
        <v>1875</v>
      </c>
      <c r="H307" s="27" t="s">
        <v>1948</v>
      </c>
      <c r="I307" s="27" t="s">
        <v>1876</v>
      </c>
      <c r="J307" s="27" t="s">
        <v>1884</v>
      </c>
      <c r="K307" s="27" t="n">
        <v>1252</v>
      </c>
      <c r="L307" s="27" t="n">
        <v>702</v>
      </c>
      <c r="M307" s="28" t="n">
        <f aca="false">IFERROR(VLOOKUP((OFFSET(hoje12_326_ana9,306,10,1,1)&amp;"."&amp;OFFSET(hoje12_326_ana9,306,11,1,1)),'12.326'!A:D,4,0),"-")</f>
        <v>9531413000762</v>
      </c>
    </row>
    <row r="308" customFormat="false" ht="14.4" hidden="false" customHeight="false" outlineLevel="0" collapsed="false">
      <c r="A308" s="27" t="n">
        <v>11100937</v>
      </c>
      <c r="B308" s="27" t="s">
        <v>2015</v>
      </c>
      <c r="C308" s="43" t="n">
        <v>462.2</v>
      </c>
      <c r="D308" s="27" t="n">
        <v>0</v>
      </c>
      <c r="E308" s="27" t="n">
        <v>20</v>
      </c>
      <c r="F308" s="27" t="n">
        <v>23.11</v>
      </c>
      <c r="G308" s="27" t="s">
        <v>1875</v>
      </c>
      <c r="H308" s="27" t="s">
        <v>68</v>
      </c>
      <c r="I308" s="27" t="s">
        <v>1876</v>
      </c>
      <c r="J308" s="27" t="s">
        <v>1877</v>
      </c>
      <c r="K308" s="27" t="n">
        <v>1252</v>
      </c>
      <c r="L308" s="27" t="n">
        <v>702</v>
      </c>
      <c r="M308" s="28" t="n">
        <f aca="false">IFERROR(VLOOKUP((OFFSET(hoje12_326_ana9,307,10,1,1)&amp;"."&amp;OFFSET(hoje12_326_ana9,307,11,1,1)),'12.326'!A:D,4,0),"-")</f>
        <v>9531413000762</v>
      </c>
    </row>
    <row r="309" customFormat="false" ht="14.4" hidden="false" customHeight="false" outlineLevel="0" collapsed="false">
      <c r="A309" s="27" t="n">
        <v>11100963</v>
      </c>
      <c r="B309" s="27" t="s">
        <v>1988</v>
      </c>
      <c r="C309" s="43" t="n">
        <v>55.6</v>
      </c>
      <c r="D309" s="27" t="n">
        <v>0</v>
      </c>
      <c r="E309" s="27" t="n">
        <v>4</v>
      </c>
      <c r="F309" s="27" t="n">
        <v>13.9</v>
      </c>
      <c r="G309" s="27" t="s">
        <v>1875</v>
      </c>
      <c r="H309" s="27" t="s">
        <v>68</v>
      </c>
      <c r="I309" s="27" t="s">
        <v>1876</v>
      </c>
      <c r="J309" s="27" t="s">
        <v>1877</v>
      </c>
      <c r="K309" s="27" t="n">
        <v>1252</v>
      </c>
      <c r="L309" s="27" t="n">
        <v>702</v>
      </c>
      <c r="M309" s="28" t="n">
        <f aca="false">IFERROR(VLOOKUP((OFFSET(hoje12_326_ana9,308,10,1,1)&amp;"."&amp;OFFSET(hoje12_326_ana9,308,11,1,1)),'12.326'!A:D,4,0),"-")</f>
        <v>9531413000762</v>
      </c>
    </row>
    <row r="310" customFormat="false" ht="14.4" hidden="false" customHeight="false" outlineLevel="0" collapsed="false">
      <c r="A310" s="27" t="n">
        <v>11100256</v>
      </c>
      <c r="B310" s="27" t="s">
        <v>1928</v>
      </c>
      <c r="C310" s="43" t="n">
        <v>38.45</v>
      </c>
      <c r="D310" s="27" t="n">
        <v>4.27</v>
      </c>
      <c r="E310" s="27" t="n">
        <v>6</v>
      </c>
      <c r="F310" s="27" t="n">
        <v>7.12</v>
      </c>
      <c r="G310" s="27" t="s">
        <v>1875</v>
      </c>
      <c r="H310" s="27" t="s">
        <v>1895</v>
      </c>
      <c r="I310" s="27" t="s">
        <v>1876</v>
      </c>
      <c r="J310" s="27" t="s">
        <v>2075</v>
      </c>
      <c r="K310" s="27" t="n">
        <v>1252</v>
      </c>
      <c r="L310" s="27" t="n">
        <v>702</v>
      </c>
      <c r="M310" s="28" t="n">
        <f aca="false">IFERROR(VLOOKUP((OFFSET(hoje12_326_ana9,309,10,1,1)&amp;"."&amp;OFFSET(hoje12_326_ana9,309,11,1,1)),'12.326'!A:D,4,0),"-")</f>
        <v>9531413000762</v>
      </c>
    </row>
    <row r="311" customFormat="false" ht="14.4" hidden="false" customHeight="false" outlineLevel="0" collapsed="false">
      <c r="A311" s="27" t="n">
        <v>11100826</v>
      </c>
      <c r="B311" s="27" t="s">
        <v>1968</v>
      </c>
      <c r="C311" s="43" t="n">
        <v>110</v>
      </c>
      <c r="D311" s="27" t="n">
        <v>12.22</v>
      </c>
      <c r="E311" s="27" t="n">
        <v>18</v>
      </c>
      <c r="F311" s="27" t="n">
        <v>6.79</v>
      </c>
      <c r="G311" s="27" t="s">
        <v>1875</v>
      </c>
      <c r="H311" s="27" t="s">
        <v>1895</v>
      </c>
      <c r="I311" s="27" t="s">
        <v>1876</v>
      </c>
      <c r="J311" s="27" t="s">
        <v>2076</v>
      </c>
      <c r="K311" s="27" t="n">
        <v>1252</v>
      </c>
      <c r="L311" s="27" t="n">
        <v>702</v>
      </c>
      <c r="M311" s="28" t="n">
        <f aca="false">IFERROR(VLOOKUP((OFFSET(hoje12_326_ana9,310,10,1,1)&amp;"."&amp;OFFSET(hoje12_326_ana9,310,11,1,1)),'12.326'!A:D,4,0),"-")</f>
        <v>9531413000762</v>
      </c>
    </row>
    <row r="312" customFormat="false" ht="14.4" hidden="false" customHeight="false" outlineLevel="0" collapsed="false">
      <c r="A312" s="27" t="n">
        <v>11100822</v>
      </c>
      <c r="B312" s="27" t="s">
        <v>1966</v>
      </c>
      <c r="C312" s="43" t="n">
        <v>146.66</v>
      </c>
      <c r="D312" s="27" t="n">
        <v>16.3</v>
      </c>
      <c r="E312" s="27" t="n">
        <v>24</v>
      </c>
      <c r="F312" s="27" t="n">
        <v>6.79</v>
      </c>
      <c r="G312" s="27" t="s">
        <v>1875</v>
      </c>
      <c r="H312" s="27" t="s">
        <v>1895</v>
      </c>
      <c r="I312" s="27" t="s">
        <v>1876</v>
      </c>
      <c r="J312" s="27" t="s">
        <v>2077</v>
      </c>
      <c r="K312" s="27" t="n">
        <v>1252</v>
      </c>
      <c r="L312" s="27" t="n">
        <v>702</v>
      </c>
      <c r="M312" s="28" t="n">
        <f aca="false">IFERROR(VLOOKUP((OFFSET(hoje12_326_ana9,311,10,1,1)&amp;"."&amp;OFFSET(hoje12_326_ana9,311,11,1,1)),'12.326'!A:D,4,0),"-")</f>
        <v>9531413000762</v>
      </c>
    </row>
    <row r="313" customFormat="false" ht="14.4" hidden="false" customHeight="false" outlineLevel="0" collapsed="false">
      <c r="A313" s="27" t="n">
        <v>11100824</v>
      </c>
      <c r="B313" s="27" t="s">
        <v>1967</v>
      </c>
      <c r="C313" s="43" t="n">
        <v>146.66</v>
      </c>
      <c r="D313" s="27" t="n">
        <v>16.3</v>
      </c>
      <c r="E313" s="27" t="n">
        <v>24</v>
      </c>
      <c r="F313" s="27" t="n">
        <v>6.79</v>
      </c>
      <c r="G313" s="27" t="s">
        <v>1875</v>
      </c>
      <c r="H313" s="27" t="s">
        <v>1895</v>
      </c>
      <c r="I313" s="27" t="s">
        <v>1876</v>
      </c>
      <c r="J313" s="27" t="s">
        <v>2077</v>
      </c>
      <c r="K313" s="27" t="n">
        <v>1252</v>
      </c>
      <c r="L313" s="27" t="n">
        <v>702</v>
      </c>
      <c r="M313" s="28" t="n">
        <f aca="false">IFERROR(VLOOKUP((OFFSET(hoje12_326_ana9,312,10,1,1)&amp;"."&amp;OFFSET(hoje12_326_ana9,312,11,1,1)),'12.326'!A:D,4,0),"-")</f>
        <v>9531413000762</v>
      </c>
    </row>
    <row r="314" customFormat="false" ht="14.4" hidden="false" customHeight="false" outlineLevel="0" collapsed="false">
      <c r="A314" s="27" t="n">
        <v>11100821</v>
      </c>
      <c r="B314" s="27" t="s">
        <v>1965</v>
      </c>
      <c r="C314" s="43" t="n">
        <v>64.32</v>
      </c>
      <c r="D314" s="27" t="n">
        <v>0</v>
      </c>
      <c r="E314" s="27" t="n">
        <v>6</v>
      </c>
      <c r="F314" s="27" t="n">
        <v>10.72</v>
      </c>
      <c r="G314" s="27" t="s">
        <v>1875</v>
      </c>
      <c r="H314" s="27" t="s">
        <v>68</v>
      </c>
      <c r="I314" s="27" t="s">
        <v>1876</v>
      </c>
      <c r="J314" s="27" t="s">
        <v>1877</v>
      </c>
      <c r="K314" s="27" t="n">
        <v>1252</v>
      </c>
      <c r="L314" s="27" t="n">
        <v>702</v>
      </c>
      <c r="M314" s="28" t="n">
        <f aca="false">IFERROR(VLOOKUP((OFFSET(hoje12_326_ana9,313,10,1,1)&amp;"."&amp;OFFSET(hoje12_326_ana9,313,11,1,1)),'12.326'!A:D,4,0),"-")</f>
        <v>9531413000762</v>
      </c>
    </row>
    <row r="315" customFormat="false" ht="14.4" hidden="false" customHeight="false" outlineLevel="0" collapsed="false">
      <c r="A315" s="27" t="n">
        <v>11100501</v>
      </c>
      <c r="B315" s="27" t="s">
        <v>1951</v>
      </c>
      <c r="C315" s="43" t="n">
        <v>77.4</v>
      </c>
      <c r="D315" s="27" t="n">
        <v>0</v>
      </c>
      <c r="E315" s="27" t="n">
        <v>6</v>
      </c>
      <c r="F315" s="27" t="n">
        <v>12.9</v>
      </c>
      <c r="G315" s="27" t="s">
        <v>1875</v>
      </c>
      <c r="H315" s="27" t="s">
        <v>68</v>
      </c>
      <c r="I315" s="27" t="s">
        <v>1876</v>
      </c>
      <c r="J315" s="27" t="s">
        <v>1877</v>
      </c>
      <c r="K315" s="27" t="n">
        <v>1252</v>
      </c>
      <c r="L315" s="27" t="n">
        <v>702</v>
      </c>
      <c r="M315" s="28" t="n">
        <f aca="false">IFERROR(VLOOKUP((OFFSET(hoje12_326_ana9,314,10,1,1)&amp;"."&amp;OFFSET(hoje12_326_ana9,314,11,1,1)),'12.326'!A:D,4,0),"-")</f>
        <v>9531413000762</v>
      </c>
    </row>
    <row r="316" customFormat="false" ht="14.4" hidden="false" customHeight="false" outlineLevel="0" collapsed="false">
      <c r="A316" s="27" t="n">
        <v>11100677</v>
      </c>
      <c r="B316" s="27" t="s">
        <v>1956</v>
      </c>
      <c r="C316" s="43" t="n">
        <v>76.18</v>
      </c>
      <c r="D316" s="27" t="n">
        <v>6.62</v>
      </c>
      <c r="E316" s="27" t="n">
        <v>24</v>
      </c>
      <c r="F316" s="27" t="n">
        <v>3.45</v>
      </c>
      <c r="G316" s="27" t="s">
        <v>1875</v>
      </c>
      <c r="H316" s="27" t="s">
        <v>1960</v>
      </c>
      <c r="I316" s="27" t="s">
        <v>1876</v>
      </c>
      <c r="J316" s="27" t="s">
        <v>2078</v>
      </c>
      <c r="K316" s="27" t="n">
        <v>1252</v>
      </c>
      <c r="L316" s="27" t="n">
        <v>702</v>
      </c>
      <c r="M316" s="28" t="n">
        <f aca="false">IFERROR(VLOOKUP((OFFSET(hoje12_326_ana9,315,10,1,1)&amp;"."&amp;OFFSET(hoje12_326_ana9,315,11,1,1)),'12.326'!A:D,4,0),"-")</f>
        <v>9531413000762</v>
      </c>
    </row>
    <row r="317" customFormat="false" ht="14.4" hidden="false" customHeight="false" outlineLevel="0" collapsed="false">
      <c r="A317" s="27" t="n">
        <v>11100837</v>
      </c>
      <c r="B317" s="27" t="s">
        <v>1971</v>
      </c>
      <c r="C317" s="43" t="n">
        <v>73.92</v>
      </c>
      <c r="D317" s="27" t="n">
        <v>0</v>
      </c>
      <c r="E317" s="27" t="n">
        <v>6</v>
      </c>
      <c r="F317" s="27" t="n">
        <v>12.32</v>
      </c>
      <c r="G317" s="27" t="s">
        <v>1875</v>
      </c>
      <c r="H317" s="27" t="s">
        <v>68</v>
      </c>
      <c r="I317" s="27" t="s">
        <v>1876</v>
      </c>
      <c r="J317" s="27" t="s">
        <v>1877</v>
      </c>
      <c r="K317" s="27" t="n">
        <v>1252</v>
      </c>
      <c r="L317" s="27" t="n">
        <v>702</v>
      </c>
      <c r="M317" s="28" t="n">
        <f aca="false">IFERROR(VLOOKUP((OFFSET(hoje12_326_ana9,316,10,1,1)&amp;"."&amp;OFFSET(hoje12_326_ana9,316,11,1,1)),'12.326'!A:D,4,0),"-")</f>
        <v>9531413000762</v>
      </c>
    </row>
    <row r="318" customFormat="false" ht="14.4" hidden="false" customHeight="false" outlineLevel="0" collapsed="false">
      <c r="A318" s="27" t="n">
        <v>11100865</v>
      </c>
      <c r="B318" s="27" t="s">
        <v>1982</v>
      </c>
      <c r="C318" s="43" t="n">
        <v>42.12</v>
      </c>
      <c r="D318" s="27" t="n">
        <v>4.68</v>
      </c>
      <c r="E318" s="27" t="n">
        <v>6</v>
      </c>
      <c r="F318" s="27" t="n">
        <v>7.8</v>
      </c>
      <c r="G318" s="27" t="s">
        <v>1875</v>
      </c>
      <c r="H318" s="27" t="s">
        <v>1895</v>
      </c>
      <c r="I318" s="27" t="s">
        <v>1876</v>
      </c>
      <c r="J318" s="27" t="s">
        <v>2058</v>
      </c>
      <c r="K318" s="27" t="n">
        <v>1252</v>
      </c>
      <c r="L318" s="27" t="n">
        <v>702</v>
      </c>
      <c r="M318" s="28" t="n">
        <f aca="false">IFERROR(VLOOKUP((OFFSET(hoje12_326_ana9,317,10,1,1)&amp;"."&amp;OFFSET(hoje12_326_ana9,317,11,1,1)),'12.326'!A:D,4,0),"-")</f>
        <v>9531413000762</v>
      </c>
    </row>
    <row r="319" customFormat="false" ht="14.4" hidden="false" customHeight="false" outlineLevel="0" collapsed="false">
      <c r="A319" s="27" t="n">
        <v>11100691</v>
      </c>
      <c r="B319" s="27" t="s">
        <v>2079</v>
      </c>
      <c r="C319" s="43" t="n">
        <v>45.62</v>
      </c>
      <c r="D319" s="27" t="n">
        <v>7.42</v>
      </c>
      <c r="E319" s="27" t="n">
        <v>24</v>
      </c>
      <c r="F319" s="27" t="n">
        <v>2.21</v>
      </c>
      <c r="G319" s="27" t="s">
        <v>1875</v>
      </c>
      <c r="H319" s="27" t="s">
        <v>2030</v>
      </c>
      <c r="I319" s="27" t="s">
        <v>1876</v>
      </c>
      <c r="J319" s="27" t="s">
        <v>2080</v>
      </c>
      <c r="K319" s="27" t="n">
        <v>1252</v>
      </c>
      <c r="L319" s="27" t="n">
        <v>702</v>
      </c>
      <c r="M319" s="28" t="n">
        <f aca="false">IFERROR(VLOOKUP((OFFSET(hoje12_326_ana9,318,10,1,1)&amp;"."&amp;OFFSET(hoje12_326_ana9,318,11,1,1)),'12.326'!A:D,4,0),"-")</f>
        <v>9531413000762</v>
      </c>
    </row>
    <row r="320" customFormat="false" ht="14.4" hidden="false" customHeight="false" outlineLevel="0" collapsed="false">
      <c r="A320" s="27" t="n">
        <v>11100708</v>
      </c>
      <c r="B320" s="27" t="s">
        <v>2059</v>
      </c>
      <c r="C320" s="43" t="n">
        <v>79.56</v>
      </c>
      <c r="D320" s="27" t="n">
        <v>0</v>
      </c>
      <c r="E320" s="27" t="n">
        <v>36</v>
      </c>
      <c r="F320" s="27" t="n">
        <v>2.21</v>
      </c>
      <c r="G320" s="27" t="s">
        <v>1875</v>
      </c>
      <c r="H320" s="27" t="s">
        <v>68</v>
      </c>
      <c r="I320" s="27" t="s">
        <v>1876</v>
      </c>
      <c r="J320" s="27" t="s">
        <v>1877</v>
      </c>
      <c r="K320" s="27" t="n">
        <v>1252</v>
      </c>
      <c r="L320" s="27" t="n">
        <v>702</v>
      </c>
      <c r="M320" s="28" t="n">
        <f aca="false">IFERROR(VLOOKUP((OFFSET(hoje12_326_ana9,319,10,1,1)&amp;"."&amp;OFFSET(hoje12_326_ana9,319,11,1,1)),'12.326'!A:D,4,0),"-")</f>
        <v>9531413000762</v>
      </c>
    </row>
    <row r="321" customFormat="false" ht="14.4" hidden="false" customHeight="false" outlineLevel="0" collapsed="false">
      <c r="A321" s="27" t="n">
        <v>11100728</v>
      </c>
      <c r="B321" s="27" t="s">
        <v>1885</v>
      </c>
      <c r="C321" s="43" t="n">
        <v>45.62</v>
      </c>
      <c r="D321" s="27" t="n">
        <v>7.42</v>
      </c>
      <c r="E321" s="27" t="n">
        <v>24</v>
      </c>
      <c r="F321" s="27" t="n">
        <v>2.21</v>
      </c>
      <c r="G321" s="27" t="s">
        <v>1875</v>
      </c>
      <c r="H321" s="27" t="s">
        <v>2030</v>
      </c>
      <c r="I321" s="27" t="s">
        <v>1876</v>
      </c>
      <c r="J321" s="27" t="s">
        <v>2080</v>
      </c>
      <c r="K321" s="27" t="n">
        <v>1252</v>
      </c>
      <c r="L321" s="27" t="n">
        <v>702</v>
      </c>
      <c r="M321" s="28" t="n">
        <f aca="false">IFERROR(VLOOKUP((OFFSET(hoje12_326_ana9,320,10,1,1)&amp;"."&amp;OFFSET(hoje12_326_ana9,320,11,1,1)),'12.326'!A:D,4,0),"-")</f>
        <v>9531413000762</v>
      </c>
    </row>
    <row r="322" customFormat="false" ht="14.4" hidden="false" customHeight="false" outlineLevel="0" collapsed="false">
      <c r="A322" s="27" t="n">
        <v>11100959</v>
      </c>
      <c r="B322" s="27" t="s">
        <v>1987</v>
      </c>
      <c r="C322" s="43" t="n">
        <v>123.84</v>
      </c>
      <c r="D322" s="27" t="n">
        <v>0</v>
      </c>
      <c r="E322" s="27" t="n">
        <v>24</v>
      </c>
      <c r="F322" s="27" t="n">
        <v>5.16</v>
      </c>
      <c r="G322" s="27" t="s">
        <v>1875</v>
      </c>
      <c r="H322" s="27" t="s">
        <v>68</v>
      </c>
      <c r="I322" s="27" t="s">
        <v>1876</v>
      </c>
      <c r="J322" s="27" t="s">
        <v>1877</v>
      </c>
      <c r="K322" s="27" t="n">
        <v>1252</v>
      </c>
      <c r="L322" s="27" t="n">
        <v>702</v>
      </c>
      <c r="M322" s="28" t="n">
        <f aca="false">IFERROR(VLOOKUP((OFFSET(hoje12_326_ana9,321,10,1,1)&amp;"."&amp;OFFSET(hoje12_326_ana9,321,11,1,1)),'12.326'!A:D,4,0),"-")</f>
        <v>9531413000762</v>
      </c>
    </row>
    <row r="323" customFormat="false" ht="14.4" hidden="false" customHeight="false" outlineLevel="0" collapsed="false">
      <c r="A323" s="27" t="n">
        <v>11100464</v>
      </c>
      <c r="B323" s="27" t="s">
        <v>1946</v>
      </c>
      <c r="C323" s="43" t="n">
        <v>118.08</v>
      </c>
      <c r="D323" s="27" t="n">
        <v>1.2</v>
      </c>
      <c r="E323" s="27" t="n">
        <v>24</v>
      </c>
      <c r="F323" s="27" t="n">
        <v>4.97</v>
      </c>
      <c r="G323" s="27" t="s">
        <v>1875</v>
      </c>
      <c r="H323" s="27" t="s">
        <v>1948</v>
      </c>
      <c r="I323" s="27" t="s">
        <v>1876</v>
      </c>
      <c r="J323" s="27" t="s">
        <v>2081</v>
      </c>
      <c r="K323" s="27" t="n">
        <v>1252</v>
      </c>
      <c r="L323" s="27" t="n">
        <v>702</v>
      </c>
      <c r="M323" s="28" t="n">
        <f aca="false">IFERROR(VLOOKUP((OFFSET(hoje12_326_ana9,322,10,1,1)&amp;"."&amp;OFFSET(hoje12_326_ana9,322,11,1,1)),'12.326'!A:D,4,0),"-")</f>
        <v>9531413000762</v>
      </c>
    </row>
    <row r="324" customFormat="false" ht="14.4" hidden="false" customHeight="false" outlineLevel="0" collapsed="false">
      <c r="A324" s="27" t="n">
        <v>11100214</v>
      </c>
      <c r="B324" s="27" t="s">
        <v>1922</v>
      </c>
      <c r="C324" s="43" t="n">
        <v>565.92</v>
      </c>
      <c r="D324" s="27" t="n">
        <v>0</v>
      </c>
      <c r="E324" s="27" t="n">
        <v>144</v>
      </c>
      <c r="F324" s="27" t="n">
        <v>3.93</v>
      </c>
      <c r="G324" s="27" t="s">
        <v>1875</v>
      </c>
      <c r="H324" s="27" t="s">
        <v>68</v>
      </c>
      <c r="I324" s="27" t="s">
        <v>1876</v>
      </c>
      <c r="J324" s="27" t="s">
        <v>1877</v>
      </c>
      <c r="K324" s="27" t="n">
        <v>1252</v>
      </c>
      <c r="L324" s="27" t="n">
        <v>702</v>
      </c>
      <c r="M324" s="28" t="n">
        <f aca="false">IFERROR(VLOOKUP((OFFSET(hoje12_326_ana9,323,10,1,1)&amp;"."&amp;OFFSET(hoje12_326_ana9,323,11,1,1)),'12.326'!A:D,4,0),"-")</f>
        <v>9531413000762</v>
      </c>
    </row>
    <row r="325" customFormat="false" ht="14.4" hidden="false" customHeight="false" outlineLevel="0" collapsed="false">
      <c r="A325" s="27" t="n">
        <v>11100238</v>
      </c>
      <c r="B325" s="27" t="s">
        <v>2006</v>
      </c>
      <c r="C325" s="43" t="n">
        <v>104.5</v>
      </c>
      <c r="D325" s="27" t="n">
        <v>10.34</v>
      </c>
      <c r="E325" s="27" t="n">
        <v>36</v>
      </c>
      <c r="F325" s="27" t="n">
        <v>3.19</v>
      </c>
      <c r="G325" s="27" t="s">
        <v>1875</v>
      </c>
      <c r="H325" s="27" t="s">
        <v>2007</v>
      </c>
      <c r="I325" s="27" t="s">
        <v>1876</v>
      </c>
      <c r="J325" s="27" t="s">
        <v>2082</v>
      </c>
      <c r="K325" s="27" t="n">
        <v>1254</v>
      </c>
      <c r="L325" s="27" t="n">
        <v>702</v>
      </c>
      <c r="M325" s="28" t="n">
        <f aca="false">IFERROR(VLOOKUP((OFFSET(hoje12_326_ana9,324,10,1,1)&amp;"."&amp;OFFSET(hoje12_326_ana9,324,11,1,1)),'12.326'!A:D,4,0),"-")</f>
        <v>9531413000681</v>
      </c>
    </row>
    <row r="326" customFormat="false" ht="14.4" hidden="false" customHeight="false" outlineLevel="0" collapsed="false">
      <c r="A326" s="27" t="n">
        <v>11100093</v>
      </c>
      <c r="B326" s="27" t="s">
        <v>1911</v>
      </c>
      <c r="C326" s="43" t="n">
        <v>194.64</v>
      </c>
      <c r="D326" s="27" t="n">
        <v>0</v>
      </c>
      <c r="E326" s="27" t="n">
        <v>24</v>
      </c>
      <c r="F326" s="27" t="n">
        <v>8.11</v>
      </c>
      <c r="G326" s="27" t="s">
        <v>1875</v>
      </c>
      <c r="H326" s="27" t="s">
        <v>68</v>
      </c>
      <c r="I326" s="27" t="s">
        <v>1876</v>
      </c>
      <c r="J326" s="27" t="s">
        <v>1877</v>
      </c>
      <c r="K326" s="27" t="n">
        <v>1254</v>
      </c>
      <c r="L326" s="27" t="n">
        <v>702</v>
      </c>
      <c r="M326" s="28" t="n">
        <f aca="false">IFERROR(VLOOKUP((OFFSET(hoje12_326_ana9,325,10,1,1)&amp;"."&amp;OFFSET(hoje12_326_ana9,325,11,1,1)),'12.326'!A:D,4,0),"-")</f>
        <v>9531413000681</v>
      </c>
    </row>
    <row r="327" customFormat="false" ht="14.4" hidden="false" customHeight="false" outlineLevel="0" collapsed="false">
      <c r="A327" s="27" t="n">
        <v>11100145</v>
      </c>
      <c r="B327" s="27" t="s">
        <v>1915</v>
      </c>
      <c r="C327" s="43" t="n">
        <v>61.92</v>
      </c>
      <c r="D327" s="27" t="n">
        <v>1.92</v>
      </c>
      <c r="E327" s="27" t="n">
        <v>12</v>
      </c>
      <c r="F327" s="27" t="n">
        <v>5.32</v>
      </c>
      <c r="G327" s="27" t="s">
        <v>1875</v>
      </c>
      <c r="H327" s="27" t="s">
        <v>2009</v>
      </c>
      <c r="I327" s="27" t="s">
        <v>1876</v>
      </c>
      <c r="J327" s="27" t="s">
        <v>2083</v>
      </c>
      <c r="K327" s="27" t="n">
        <v>1254</v>
      </c>
      <c r="L327" s="27" t="n">
        <v>702</v>
      </c>
      <c r="M327" s="28" t="n">
        <f aca="false">IFERROR(VLOOKUP((OFFSET(hoje12_326_ana9,326,10,1,1)&amp;"."&amp;OFFSET(hoje12_326_ana9,326,11,1,1)),'12.326'!A:D,4,0),"-")</f>
        <v>9531413000681</v>
      </c>
    </row>
    <row r="328" customFormat="false" ht="14.4" hidden="false" customHeight="false" outlineLevel="0" collapsed="false">
      <c r="A328" s="27" t="n">
        <v>11100477</v>
      </c>
      <c r="B328" s="27" t="s">
        <v>1950</v>
      </c>
      <c r="C328" s="43" t="n">
        <v>94.44</v>
      </c>
      <c r="D328" s="27" t="n">
        <v>0</v>
      </c>
      <c r="E328" s="27" t="n">
        <v>12</v>
      </c>
      <c r="F328" s="27" t="n">
        <v>7.87</v>
      </c>
      <c r="G328" s="27" t="s">
        <v>1875</v>
      </c>
      <c r="H328" s="27" t="s">
        <v>68</v>
      </c>
      <c r="I328" s="27" t="s">
        <v>1876</v>
      </c>
      <c r="J328" s="27" t="s">
        <v>1877</v>
      </c>
      <c r="K328" s="27" t="n">
        <v>1254</v>
      </c>
      <c r="L328" s="27" t="n">
        <v>702</v>
      </c>
      <c r="M328" s="28" t="n">
        <f aca="false">IFERROR(VLOOKUP((OFFSET(hoje12_326_ana9,327,10,1,1)&amp;"."&amp;OFFSET(hoje12_326_ana9,327,11,1,1)),'12.326'!A:D,4,0),"-")</f>
        <v>9531413000681</v>
      </c>
    </row>
    <row r="329" customFormat="false" ht="14.4" hidden="false" customHeight="false" outlineLevel="0" collapsed="false">
      <c r="A329" s="27" t="n">
        <v>11100091</v>
      </c>
      <c r="B329" s="27" t="s">
        <v>1910</v>
      </c>
      <c r="C329" s="43" t="n">
        <v>56.34</v>
      </c>
      <c r="D329" s="27" t="n">
        <v>1.74</v>
      </c>
      <c r="E329" s="27" t="n">
        <v>12</v>
      </c>
      <c r="F329" s="27" t="n">
        <v>4.84</v>
      </c>
      <c r="G329" s="27" t="s">
        <v>1875</v>
      </c>
      <c r="H329" s="27" t="s">
        <v>2009</v>
      </c>
      <c r="I329" s="27" t="s">
        <v>1876</v>
      </c>
      <c r="J329" s="27" t="s">
        <v>2084</v>
      </c>
      <c r="K329" s="27" t="n">
        <v>1254</v>
      </c>
      <c r="L329" s="27" t="n">
        <v>702</v>
      </c>
      <c r="M329" s="28" t="n">
        <f aca="false">IFERROR(VLOOKUP((OFFSET(hoje12_326_ana9,328,10,1,1)&amp;"."&amp;OFFSET(hoje12_326_ana9,328,11,1,1)),'12.326'!A:D,4,0),"-")</f>
        <v>9531413000681</v>
      </c>
    </row>
    <row r="330" customFormat="false" ht="14.4" hidden="false" customHeight="false" outlineLevel="0" collapsed="false">
      <c r="A330" s="27" t="n">
        <v>11100151</v>
      </c>
      <c r="B330" s="27" t="s">
        <v>2053</v>
      </c>
      <c r="C330" s="43" t="n">
        <v>128.04</v>
      </c>
      <c r="D330" s="27" t="n">
        <v>3.96</v>
      </c>
      <c r="E330" s="27" t="n">
        <v>12</v>
      </c>
      <c r="F330" s="27" t="n">
        <v>11</v>
      </c>
      <c r="G330" s="27" t="s">
        <v>1875</v>
      </c>
      <c r="H330" s="27" t="s">
        <v>2009</v>
      </c>
      <c r="I330" s="27" t="s">
        <v>1876</v>
      </c>
      <c r="J330" s="27" t="s">
        <v>2065</v>
      </c>
      <c r="K330" s="27" t="n">
        <v>1254</v>
      </c>
      <c r="L330" s="27" t="n">
        <v>702</v>
      </c>
      <c r="M330" s="28" t="n">
        <f aca="false">IFERROR(VLOOKUP((OFFSET(hoje12_326_ana9,329,10,1,1)&amp;"."&amp;OFFSET(hoje12_326_ana9,329,11,1,1)),'12.326'!A:D,4,0),"-")</f>
        <v>9531413000681</v>
      </c>
    </row>
    <row r="331" customFormat="false" ht="14.4" hidden="false" customHeight="false" outlineLevel="0" collapsed="false">
      <c r="A331" s="27" t="n">
        <v>11100937</v>
      </c>
      <c r="B331" s="27" t="s">
        <v>2015</v>
      </c>
      <c r="C331" s="43" t="n">
        <v>188.8</v>
      </c>
      <c r="D331" s="27" t="n">
        <v>0</v>
      </c>
      <c r="E331" s="27" t="n">
        <v>8</v>
      </c>
      <c r="F331" s="27" t="n">
        <v>23.6</v>
      </c>
      <c r="G331" s="27" t="s">
        <v>1875</v>
      </c>
      <c r="H331" s="27" t="s">
        <v>68</v>
      </c>
      <c r="I331" s="27" t="s">
        <v>1876</v>
      </c>
      <c r="J331" s="27" t="s">
        <v>1877</v>
      </c>
      <c r="K331" s="27" t="n">
        <v>1254</v>
      </c>
      <c r="L331" s="27" t="n">
        <v>702</v>
      </c>
      <c r="M331" s="28" t="n">
        <f aca="false">IFERROR(VLOOKUP((OFFSET(hoje12_326_ana9,330,10,1,1)&amp;"."&amp;OFFSET(hoje12_326_ana9,330,11,1,1)),'12.326'!A:D,4,0),"-")</f>
        <v>9531413000681</v>
      </c>
    </row>
    <row r="332" customFormat="false" ht="14.4" hidden="false" customHeight="false" outlineLevel="0" collapsed="false">
      <c r="A332" s="27" t="n">
        <v>11100445</v>
      </c>
      <c r="B332" s="27" t="s">
        <v>2085</v>
      </c>
      <c r="C332" s="43" t="n">
        <v>73.32</v>
      </c>
      <c r="D332" s="27" t="n">
        <v>0</v>
      </c>
      <c r="E332" s="27" t="n">
        <v>6</v>
      </c>
      <c r="F332" s="27" t="n">
        <v>12.22</v>
      </c>
      <c r="G332" s="27" t="s">
        <v>1875</v>
      </c>
      <c r="H332" s="27" t="s">
        <v>68</v>
      </c>
      <c r="I332" s="27" t="s">
        <v>1876</v>
      </c>
      <c r="J332" s="27" t="s">
        <v>1877</v>
      </c>
      <c r="K332" s="27" t="n">
        <v>1254</v>
      </c>
      <c r="L332" s="27" t="n">
        <v>702</v>
      </c>
      <c r="M332" s="28" t="n">
        <f aca="false">IFERROR(VLOOKUP((OFFSET(hoje12_326_ana9,331,10,1,1)&amp;"."&amp;OFFSET(hoje12_326_ana9,331,11,1,1)),'12.326'!A:D,4,0),"-")</f>
        <v>9531413000681</v>
      </c>
    </row>
    <row r="333" customFormat="false" ht="14.4" hidden="false" customHeight="false" outlineLevel="0" collapsed="false">
      <c r="A333" s="27" t="n">
        <v>11100501</v>
      </c>
      <c r="B333" s="27" t="s">
        <v>1951</v>
      </c>
      <c r="C333" s="43" t="n">
        <v>77.44</v>
      </c>
      <c r="D333" s="27" t="n">
        <v>1.58</v>
      </c>
      <c r="E333" s="27" t="n">
        <v>6</v>
      </c>
      <c r="F333" s="27" t="n">
        <v>13.17</v>
      </c>
      <c r="G333" s="27" t="s">
        <v>1875</v>
      </c>
      <c r="H333" s="27" t="s">
        <v>2011</v>
      </c>
      <c r="I333" s="27" t="s">
        <v>1876</v>
      </c>
      <c r="J333" s="27" t="s">
        <v>2020</v>
      </c>
      <c r="K333" s="27" t="n">
        <v>1254</v>
      </c>
      <c r="L333" s="27" t="n">
        <v>702</v>
      </c>
      <c r="M333" s="28" t="n">
        <f aca="false">IFERROR(VLOOKUP((OFFSET(hoje12_326_ana9,332,10,1,1)&amp;"."&amp;OFFSET(hoje12_326_ana9,332,11,1,1)),'12.326'!A:D,4,0),"-")</f>
        <v>9531413000681</v>
      </c>
    </row>
    <row r="334" customFormat="false" ht="14.4" hidden="false" customHeight="false" outlineLevel="0" collapsed="false">
      <c r="A334" s="27" t="n">
        <v>11100740</v>
      </c>
      <c r="B334" s="27" t="s">
        <v>2032</v>
      </c>
      <c r="C334" s="43" t="n">
        <v>46.44</v>
      </c>
      <c r="D334" s="27" t="n">
        <v>0</v>
      </c>
      <c r="E334" s="27" t="n">
        <v>12</v>
      </c>
      <c r="F334" s="27" t="n">
        <v>3.87</v>
      </c>
      <c r="G334" s="27" t="s">
        <v>1875</v>
      </c>
      <c r="H334" s="27" t="s">
        <v>68</v>
      </c>
      <c r="I334" s="27" t="s">
        <v>1876</v>
      </c>
      <c r="J334" s="27" t="s">
        <v>1877</v>
      </c>
      <c r="K334" s="27" t="n">
        <v>1254</v>
      </c>
      <c r="L334" s="27" t="n">
        <v>702</v>
      </c>
      <c r="M334" s="28" t="n">
        <f aca="false">IFERROR(VLOOKUP((OFFSET(hoje12_326_ana9,333,10,1,1)&amp;"."&amp;OFFSET(hoje12_326_ana9,333,11,1,1)),'12.326'!A:D,4,0),"-")</f>
        <v>9531413000681</v>
      </c>
    </row>
    <row r="335" customFormat="false" ht="14.4" hidden="false" customHeight="false" outlineLevel="0" collapsed="false">
      <c r="A335" s="27" t="n">
        <v>11100205</v>
      </c>
      <c r="B335" s="27" t="s">
        <v>1921</v>
      </c>
      <c r="C335" s="43" t="n">
        <v>76.8</v>
      </c>
      <c r="D335" s="27" t="n">
        <v>0</v>
      </c>
      <c r="E335" s="27" t="n">
        <v>12</v>
      </c>
      <c r="F335" s="27" t="n">
        <v>6.4</v>
      </c>
      <c r="G335" s="27" t="s">
        <v>1875</v>
      </c>
      <c r="H335" s="27" t="s">
        <v>68</v>
      </c>
      <c r="I335" s="27" t="s">
        <v>1876</v>
      </c>
      <c r="J335" s="27" t="s">
        <v>1877</v>
      </c>
      <c r="K335" s="27" t="n">
        <v>1254</v>
      </c>
      <c r="L335" s="27" t="n">
        <v>702</v>
      </c>
      <c r="M335" s="28" t="n">
        <f aca="false">IFERROR(VLOOKUP((OFFSET(hoje12_326_ana9,334,10,1,1)&amp;"."&amp;OFFSET(hoje12_326_ana9,334,11,1,1)),'12.326'!A:D,4,0),"-")</f>
        <v>9531413000681</v>
      </c>
    </row>
    <row r="336" customFormat="false" ht="14.4" hidden="false" customHeight="false" outlineLevel="0" collapsed="false">
      <c r="A336" s="27" t="n">
        <v>11100736</v>
      </c>
      <c r="B336" s="27" t="s">
        <v>2043</v>
      </c>
      <c r="C336" s="43" t="n">
        <v>27.8</v>
      </c>
      <c r="D336" s="27" t="n">
        <v>11.92</v>
      </c>
      <c r="E336" s="27" t="n">
        <v>12</v>
      </c>
      <c r="F336" s="27" t="n">
        <v>3.31</v>
      </c>
      <c r="G336" s="27" t="s">
        <v>1875</v>
      </c>
      <c r="H336" s="27" t="s">
        <v>1990</v>
      </c>
      <c r="I336" s="27" t="s">
        <v>1876</v>
      </c>
      <c r="J336" s="27" t="s">
        <v>2060</v>
      </c>
      <c r="K336" s="27" t="n">
        <v>1255</v>
      </c>
      <c r="L336" s="27" t="n">
        <v>702</v>
      </c>
      <c r="M336" s="28" t="n">
        <f aca="false">IFERROR(VLOOKUP((OFFSET(hoje12_326_ana9,335,10,1,1)&amp;"."&amp;OFFSET(hoje12_326_ana9,335,11,1,1)),'12.326'!A:D,4,0),"-")</f>
        <v>9531413001220</v>
      </c>
    </row>
    <row r="337" customFormat="false" ht="14.4" hidden="false" customHeight="false" outlineLevel="0" collapsed="false">
      <c r="A337" s="27" t="n">
        <v>11100778</v>
      </c>
      <c r="B337" s="27" t="s">
        <v>1997</v>
      </c>
      <c r="C337" s="43" t="n">
        <v>55.61</v>
      </c>
      <c r="D337" s="27" t="n">
        <v>23.83</v>
      </c>
      <c r="E337" s="27" t="n">
        <v>24</v>
      </c>
      <c r="F337" s="27" t="n">
        <v>3.31</v>
      </c>
      <c r="G337" s="27" t="s">
        <v>1875</v>
      </c>
      <c r="H337" s="27" t="s">
        <v>1990</v>
      </c>
      <c r="I337" s="27" t="s">
        <v>1876</v>
      </c>
      <c r="J337" s="27" t="s">
        <v>2062</v>
      </c>
      <c r="K337" s="27" t="n">
        <v>1255</v>
      </c>
      <c r="L337" s="27" t="n">
        <v>702</v>
      </c>
      <c r="M337" s="28" t="n">
        <f aca="false">IFERROR(VLOOKUP((OFFSET(hoje12_326_ana9,336,10,1,1)&amp;"."&amp;OFFSET(hoje12_326_ana9,336,11,1,1)),'12.326'!A:D,4,0),"-")</f>
        <v>9531413001220</v>
      </c>
    </row>
    <row r="338" customFormat="false" ht="14.4" hidden="false" customHeight="false" outlineLevel="0" collapsed="false">
      <c r="A338" s="27" t="n">
        <v>11100773</v>
      </c>
      <c r="B338" s="27" t="s">
        <v>2061</v>
      </c>
      <c r="C338" s="43" t="n">
        <v>55.61</v>
      </c>
      <c r="D338" s="27" t="n">
        <v>23.83</v>
      </c>
      <c r="E338" s="27" t="n">
        <v>24</v>
      </c>
      <c r="F338" s="27" t="n">
        <v>3.31</v>
      </c>
      <c r="G338" s="27" t="s">
        <v>1875</v>
      </c>
      <c r="H338" s="27" t="s">
        <v>1990</v>
      </c>
      <c r="I338" s="27" t="s">
        <v>1876</v>
      </c>
      <c r="J338" s="27" t="s">
        <v>2062</v>
      </c>
      <c r="K338" s="27" t="n">
        <v>1255</v>
      </c>
      <c r="L338" s="27" t="n">
        <v>702</v>
      </c>
      <c r="M338" s="28" t="n">
        <f aca="false">IFERROR(VLOOKUP((OFFSET(hoje12_326_ana9,337,10,1,1)&amp;"."&amp;OFFSET(hoje12_326_ana9,337,11,1,1)),'12.326'!A:D,4,0),"-")</f>
        <v>9531413001220</v>
      </c>
    </row>
    <row r="339" customFormat="false" ht="14.4" hidden="false" customHeight="false" outlineLevel="0" collapsed="false">
      <c r="A339" s="27" t="n">
        <v>11100751</v>
      </c>
      <c r="B339" s="27" t="s">
        <v>1995</v>
      </c>
      <c r="C339" s="43" t="n">
        <v>139.02</v>
      </c>
      <c r="D339" s="27" t="n">
        <v>59.58</v>
      </c>
      <c r="E339" s="27" t="n">
        <v>60</v>
      </c>
      <c r="F339" s="27" t="n">
        <v>3.31</v>
      </c>
      <c r="G339" s="27" t="s">
        <v>1875</v>
      </c>
      <c r="H339" s="27" t="s">
        <v>1990</v>
      </c>
      <c r="I339" s="27" t="s">
        <v>1876</v>
      </c>
      <c r="J339" s="27" t="s">
        <v>1996</v>
      </c>
      <c r="K339" s="27" t="n">
        <v>1255</v>
      </c>
      <c r="L339" s="27" t="n">
        <v>702</v>
      </c>
      <c r="M339" s="28" t="n">
        <f aca="false">IFERROR(VLOOKUP((OFFSET(hoje12_326_ana9,338,10,1,1)&amp;"."&amp;OFFSET(hoje12_326_ana9,338,11,1,1)),'12.326'!A:D,4,0),"-")</f>
        <v>9531413001220</v>
      </c>
    </row>
    <row r="340" customFormat="false" ht="14.4" hidden="false" customHeight="false" outlineLevel="0" collapsed="false">
      <c r="A340" s="27" t="n">
        <v>11100238</v>
      </c>
      <c r="B340" s="27" t="s">
        <v>2006</v>
      </c>
      <c r="C340" s="43" t="n">
        <v>69.67</v>
      </c>
      <c r="D340" s="27" t="n">
        <v>6.89</v>
      </c>
      <c r="E340" s="27" t="n">
        <v>24</v>
      </c>
      <c r="F340" s="27" t="n">
        <v>3.19</v>
      </c>
      <c r="G340" s="27" t="s">
        <v>1875</v>
      </c>
      <c r="H340" s="27" t="s">
        <v>2007</v>
      </c>
      <c r="I340" s="27" t="s">
        <v>1876</v>
      </c>
      <c r="J340" s="27" t="s">
        <v>2086</v>
      </c>
      <c r="K340" s="27" t="n">
        <v>1255</v>
      </c>
      <c r="L340" s="27" t="n">
        <v>702</v>
      </c>
      <c r="M340" s="28" t="n">
        <f aca="false">IFERROR(VLOOKUP((OFFSET(hoje12_326_ana9,339,10,1,1)&amp;"."&amp;OFFSET(hoje12_326_ana9,339,11,1,1)),'12.326'!A:D,4,0),"-")</f>
        <v>9531413001220</v>
      </c>
    </row>
    <row r="341" customFormat="false" ht="14.4" hidden="false" customHeight="false" outlineLevel="0" collapsed="false">
      <c r="A341" s="27" t="n">
        <v>11100093</v>
      </c>
      <c r="B341" s="27" t="s">
        <v>1911</v>
      </c>
      <c r="C341" s="43" t="n">
        <v>194.64</v>
      </c>
      <c r="D341" s="27" t="n">
        <v>0</v>
      </c>
      <c r="E341" s="27" t="n">
        <v>24</v>
      </c>
      <c r="F341" s="27" t="n">
        <v>8.11</v>
      </c>
      <c r="G341" s="27" t="s">
        <v>1875</v>
      </c>
      <c r="H341" s="27" t="s">
        <v>68</v>
      </c>
      <c r="I341" s="27" t="s">
        <v>1876</v>
      </c>
      <c r="J341" s="27" t="s">
        <v>1877</v>
      </c>
      <c r="K341" s="27" t="n">
        <v>1255</v>
      </c>
      <c r="L341" s="27" t="n">
        <v>702</v>
      </c>
      <c r="M341" s="28" t="n">
        <f aca="false">IFERROR(VLOOKUP((OFFSET(hoje12_326_ana9,340,10,1,1)&amp;"."&amp;OFFSET(hoje12_326_ana9,340,11,1,1)),'12.326'!A:D,4,0),"-")</f>
        <v>9531413001220</v>
      </c>
    </row>
    <row r="342" customFormat="false" ht="14.4" hidden="false" customHeight="false" outlineLevel="0" collapsed="false">
      <c r="A342" s="27" t="n">
        <v>11100145</v>
      </c>
      <c r="B342" s="27" t="s">
        <v>1915</v>
      </c>
      <c r="C342" s="43" t="n">
        <v>247.68</v>
      </c>
      <c r="D342" s="27" t="n">
        <v>7.68</v>
      </c>
      <c r="E342" s="27" t="n">
        <v>48</v>
      </c>
      <c r="F342" s="27" t="n">
        <v>5.32</v>
      </c>
      <c r="G342" s="27" t="s">
        <v>1875</v>
      </c>
      <c r="H342" s="27" t="s">
        <v>2009</v>
      </c>
      <c r="I342" s="27" t="s">
        <v>1876</v>
      </c>
      <c r="J342" s="27" t="s">
        <v>2087</v>
      </c>
      <c r="K342" s="27" t="n">
        <v>1255</v>
      </c>
      <c r="L342" s="27" t="n">
        <v>702</v>
      </c>
      <c r="M342" s="28" t="n">
        <f aca="false">IFERROR(VLOOKUP((OFFSET(hoje12_326_ana9,341,10,1,1)&amp;"."&amp;OFFSET(hoje12_326_ana9,341,11,1,1)),'12.326'!A:D,4,0),"-")</f>
        <v>9531413001220</v>
      </c>
    </row>
    <row r="343" customFormat="false" ht="14.4" hidden="false" customHeight="false" outlineLevel="0" collapsed="false">
      <c r="A343" s="27" t="n">
        <v>11100137</v>
      </c>
      <c r="B343" s="27" t="s">
        <v>1914</v>
      </c>
      <c r="C343" s="43" t="n">
        <v>191.52</v>
      </c>
      <c r="D343" s="27" t="n">
        <v>0</v>
      </c>
      <c r="E343" s="27" t="n">
        <v>36</v>
      </c>
      <c r="F343" s="27" t="n">
        <v>5.32</v>
      </c>
      <c r="G343" s="27" t="s">
        <v>1875</v>
      </c>
      <c r="H343" s="27" t="s">
        <v>68</v>
      </c>
      <c r="I343" s="27" t="s">
        <v>1876</v>
      </c>
      <c r="J343" s="27" t="s">
        <v>1877</v>
      </c>
      <c r="K343" s="27" t="n">
        <v>1255</v>
      </c>
      <c r="L343" s="27" t="n">
        <v>702</v>
      </c>
      <c r="M343" s="28" t="n">
        <f aca="false">IFERROR(VLOOKUP((OFFSET(hoje12_326_ana9,342,10,1,1)&amp;"."&amp;OFFSET(hoje12_326_ana9,342,11,1,1)),'12.326'!A:D,4,0),"-")</f>
        <v>9531413001220</v>
      </c>
    </row>
    <row r="344" customFormat="false" ht="14.4" hidden="false" customHeight="false" outlineLevel="0" collapsed="false">
      <c r="A344" s="27" t="n">
        <v>11100477</v>
      </c>
      <c r="B344" s="27" t="s">
        <v>1950</v>
      </c>
      <c r="C344" s="43" t="n">
        <v>94.44</v>
      </c>
      <c r="D344" s="27" t="n">
        <v>0</v>
      </c>
      <c r="E344" s="27" t="n">
        <v>12</v>
      </c>
      <c r="F344" s="27" t="n">
        <v>7.87</v>
      </c>
      <c r="G344" s="27" t="s">
        <v>1875</v>
      </c>
      <c r="H344" s="27" t="s">
        <v>68</v>
      </c>
      <c r="I344" s="27" t="s">
        <v>1876</v>
      </c>
      <c r="J344" s="27" t="s">
        <v>1877</v>
      </c>
      <c r="K344" s="27" t="n">
        <v>1255</v>
      </c>
      <c r="L344" s="27" t="n">
        <v>702</v>
      </c>
      <c r="M344" s="28" t="n">
        <f aca="false">IFERROR(VLOOKUP((OFFSET(hoje12_326_ana9,343,10,1,1)&amp;"."&amp;OFFSET(hoje12_326_ana9,343,11,1,1)),'12.326'!A:D,4,0),"-")</f>
        <v>9531413001220</v>
      </c>
    </row>
    <row r="345" customFormat="false" ht="14.4" hidden="false" customHeight="false" outlineLevel="0" collapsed="false">
      <c r="A345" s="27" t="n">
        <v>11100148</v>
      </c>
      <c r="B345" s="27" t="s">
        <v>1916</v>
      </c>
      <c r="C345" s="43" t="n">
        <v>128.04</v>
      </c>
      <c r="D345" s="27" t="n">
        <v>3.96</v>
      </c>
      <c r="E345" s="27" t="n">
        <v>12</v>
      </c>
      <c r="F345" s="27" t="n">
        <v>11</v>
      </c>
      <c r="G345" s="27" t="s">
        <v>1875</v>
      </c>
      <c r="H345" s="27" t="s">
        <v>2009</v>
      </c>
      <c r="I345" s="27" t="s">
        <v>1876</v>
      </c>
      <c r="J345" s="27" t="s">
        <v>2065</v>
      </c>
      <c r="K345" s="27" t="n">
        <v>1255</v>
      </c>
      <c r="L345" s="27" t="n">
        <v>702</v>
      </c>
      <c r="M345" s="28" t="n">
        <f aca="false">IFERROR(VLOOKUP((OFFSET(hoje12_326_ana9,344,10,1,1)&amp;"."&amp;OFFSET(hoje12_326_ana9,344,11,1,1)),'12.326'!A:D,4,0),"-")</f>
        <v>9531413001220</v>
      </c>
    </row>
    <row r="346" customFormat="false" ht="14.4" hidden="false" customHeight="false" outlineLevel="0" collapsed="false">
      <c r="A346" s="27" t="n">
        <v>11100937</v>
      </c>
      <c r="B346" s="27" t="s">
        <v>2015</v>
      </c>
      <c r="C346" s="43" t="n">
        <v>283.2</v>
      </c>
      <c r="D346" s="27" t="n">
        <v>0</v>
      </c>
      <c r="E346" s="27" t="n">
        <v>12</v>
      </c>
      <c r="F346" s="27" t="n">
        <v>23.6</v>
      </c>
      <c r="G346" s="27" t="s">
        <v>1875</v>
      </c>
      <c r="H346" s="27" t="s">
        <v>68</v>
      </c>
      <c r="I346" s="27" t="s">
        <v>1876</v>
      </c>
      <c r="J346" s="27" t="s">
        <v>1877</v>
      </c>
      <c r="K346" s="27" t="n">
        <v>1255</v>
      </c>
      <c r="L346" s="27" t="n">
        <v>702</v>
      </c>
      <c r="M346" s="28" t="n">
        <f aca="false">IFERROR(VLOOKUP((OFFSET(hoje12_326_ana9,345,10,1,1)&amp;"."&amp;OFFSET(hoje12_326_ana9,345,11,1,1)),'12.326'!A:D,4,0),"-")</f>
        <v>9531413001220</v>
      </c>
    </row>
    <row r="347" customFormat="false" ht="14.4" hidden="false" customHeight="false" outlineLevel="0" collapsed="false">
      <c r="A347" s="27" t="n">
        <v>11100963</v>
      </c>
      <c r="B347" s="27" t="s">
        <v>1988</v>
      </c>
      <c r="C347" s="43" t="n">
        <v>56.76</v>
      </c>
      <c r="D347" s="27" t="n">
        <v>0</v>
      </c>
      <c r="E347" s="27" t="n">
        <v>4</v>
      </c>
      <c r="F347" s="27" t="n">
        <v>14.19</v>
      </c>
      <c r="G347" s="27" t="s">
        <v>1875</v>
      </c>
      <c r="H347" s="27" t="s">
        <v>68</v>
      </c>
      <c r="I347" s="27" t="s">
        <v>1876</v>
      </c>
      <c r="J347" s="27" t="s">
        <v>1877</v>
      </c>
      <c r="K347" s="27" t="n">
        <v>1255</v>
      </c>
      <c r="L347" s="27" t="n">
        <v>702</v>
      </c>
      <c r="M347" s="28" t="n">
        <f aca="false">IFERROR(VLOOKUP((OFFSET(hoje12_326_ana9,346,10,1,1)&amp;"."&amp;OFFSET(hoje12_326_ana9,346,11,1,1)),'12.326'!A:D,4,0),"-")</f>
        <v>9531413001220</v>
      </c>
    </row>
    <row r="348" customFormat="false" ht="14.4" hidden="false" customHeight="false" outlineLevel="0" collapsed="false">
      <c r="A348" s="27" t="n">
        <v>11100918</v>
      </c>
      <c r="B348" s="27" t="s">
        <v>1984</v>
      </c>
      <c r="C348" s="43" t="n">
        <v>277.15</v>
      </c>
      <c r="D348" s="27" t="n">
        <v>8.57</v>
      </c>
      <c r="E348" s="27" t="n">
        <v>12</v>
      </c>
      <c r="F348" s="27" t="n">
        <v>23.81</v>
      </c>
      <c r="G348" s="27" t="s">
        <v>1875</v>
      </c>
      <c r="H348" s="27" t="s">
        <v>2009</v>
      </c>
      <c r="I348" s="27" t="s">
        <v>1876</v>
      </c>
      <c r="J348" s="27" t="s">
        <v>2088</v>
      </c>
      <c r="K348" s="27" t="n">
        <v>1255</v>
      </c>
      <c r="L348" s="27" t="n">
        <v>702</v>
      </c>
      <c r="M348" s="28" t="n">
        <f aca="false">IFERROR(VLOOKUP((OFFSET(hoje12_326_ana9,347,10,1,1)&amp;"."&amp;OFFSET(hoje12_326_ana9,347,11,1,1)),'12.326'!A:D,4,0),"-")</f>
        <v>9531413001220</v>
      </c>
    </row>
    <row r="349" customFormat="false" ht="14.4" hidden="false" customHeight="false" outlineLevel="0" collapsed="false">
      <c r="A349" s="27" t="n">
        <v>11100445</v>
      </c>
      <c r="B349" s="27" t="s">
        <v>2085</v>
      </c>
      <c r="C349" s="43" t="n">
        <v>73.32</v>
      </c>
      <c r="D349" s="27" t="n">
        <v>0</v>
      </c>
      <c r="E349" s="27" t="n">
        <v>6</v>
      </c>
      <c r="F349" s="27" t="n">
        <v>12.22</v>
      </c>
      <c r="G349" s="27" t="s">
        <v>1875</v>
      </c>
      <c r="H349" s="27" t="s">
        <v>68</v>
      </c>
      <c r="I349" s="27" t="s">
        <v>1876</v>
      </c>
      <c r="J349" s="27" t="s">
        <v>1877</v>
      </c>
      <c r="K349" s="27" t="n">
        <v>1255</v>
      </c>
      <c r="L349" s="27" t="n">
        <v>702</v>
      </c>
      <c r="M349" s="28" t="n">
        <f aca="false">IFERROR(VLOOKUP((OFFSET(hoje12_326_ana9,348,10,1,1)&amp;"."&amp;OFFSET(hoje12_326_ana9,348,11,1,1)),'12.326'!A:D,4,0),"-")</f>
        <v>9531413001220</v>
      </c>
    </row>
    <row r="350" customFormat="false" ht="14.4" hidden="false" customHeight="false" outlineLevel="0" collapsed="false">
      <c r="A350" s="27" t="n">
        <v>11100501</v>
      </c>
      <c r="B350" s="27" t="s">
        <v>1951</v>
      </c>
      <c r="C350" s="43" t="n">
        <v>77.44</v>
      </c>
      <c r="D350" s="27" t="n">
        <v>1.58</v>
      </c>
      <c r="E350" s="27" t="n">
        <v>6</v>
      </c>
      <c r="F350" s="27" t="n">
        <v>13.17</v>
      </c>
      <c r="G350" s="27" t="s">
        <v>1875</v>
      </c>
      <c r="H350" s="27" t="s">
        <v>2011</v>
      </c>
      <c r="I350" s="27" t="s">
        <v>1876</v>
      </c>
      <c r="J350" s="27" t="s">
        <v>2020</v>
      </c>
      <c r="K350" s="27" t="n">
        <v>1255</v>
      </c>
      <c r="L350" s="27" t="n">
        <v>702</v>
      </c>
      <c r="M350" s="28" t="n">
        <f aca="false">IFERROR(VLOOKUP((OFFSET(hoje12_326_ana9,349,10,1,1)&amp;"."&amp;OFFSET(hoje12_326_ana9,349,11,1,1)),'12.326'!A:D,4,0),"-")</f>
        <v>9531413001220</v>
      </c>
    </row>
    <row r="351" customFormat="false" ht="14.4" hidden="false" customHeight="false" outlineLevel="0" collapsed="false">
      <c r="A351" s="27" t="n">
        <v>11100724</v>
      </c>
      <c r="B351" s="27" t="s">
        <v>1962</v>
      </c>
      <c r="C351" s="43" t="n">
        <v>38.98</v>
      </c>
      <c r="D351" s="27" t="n">
        <v>3.38</v>
      </c>
      <c r="E351" s="27" t="n">
        <v>12</v>
      </c>
      <c r="F351" s="27" t="n">
        <v>3.53</v>
      </c>
      <c r="G351" s="27" t="s">
        <v>1875</v>
      </c>
      <c r="H351" s="27" t="s">
        <v>1960</v>
      </c>
      <c r="I351" s="27" t="s">
        <v>1876</v>
      </c>
      <c r="J351" s="27" t="s">
        <v>2089</v>
      </c>
      <c r="K351" s="27" t="n">
        <v>1255</v>
      </c>
      <c r="L351" s="27" t="n">
        <v>702</v>
      </c>
      <c r="M351" s="28" t="n">
        <f aca="false">IFERROR(VLOOKUP((OFFSET(hoje12_326_ana9,350,10,1,1)&amp;"."&amp;OFFSET(hoje12_326_ana9,350,11,1,1)),'12.326'!A:D,4,0),"-")</f>
        <v>9531413001220</v>
      </c>
    </row>
    <row r="352" customFormat="false" ht="14.4" hidden="false" customHeight="false" outlineLevel="0" collapsed="false">
      <c r="A352" s="27" t="n">
        <v>11100837</v>
      </c>
      <c r="B352" s="27" t="s">
        <v>1971</v>
      </c>
      <c r="C352" s="43" t="n">
        <v>75.48</v>
      </c>
      <c r="D352" s="27" t="n">
        <v>0</v>
      </c>
      <c r="E352" s="27" t="n">
        <v>6</v>
      </c>
      <c r="F352" s="27" t="n">
        <v>12.58</v>
      </c>
      <c r="G352" s="27" t="s">
        <v>1875</v>
      </c>
      <c r="H352" s="27" t="s">
        <v>68</v>
      </c>
      <c r="I352" s="27" t="s">
        <v>1876</v>
      </c>
      <c r="J352" s="27" t="s">
        <v>1877</v>
      </c>
      <c r="K352" s="27" t="n">
        <v>1255</v>
      </c>
      <c r="L352" s="27" t="n">
        <v>702</v>
      </c>
      <c r="M352" s="28" t="n">
        <f aca="false">IFERROR(VLOOKUP((OFFSET(hoje12_326_ana9,351,10,1,1)&amp;"."&amp;OFFSET(hoje12_326_ana9,351,11,1,1)),'12.326'!A:D,4,0),"-")</f>
        <v>9531413001220</v>
      </c>
    </row>
    <row r="353" customFormat="false" ht="14.4" hidden="false" customHeight="false" outlineLevel="0" collapsed="false">
      <c r="A353" s="27" t="n">
        <v>11100728</v>
      </c>
      <c r="B353" s="27" t="s">
        <v>1885</v>
      </c>
      <c r="C353" s="43" t="n">
        <v>69.66</v>
      </c>
      <c r="D353" s="27" t="n">
        <v>11.34</v>
      </c>
      <c r="E353" s="27" t="n">
        <v>36</v>
      </c>
      <c r="F353" s="27" t="n">
        <v>2.25</v>
      </c>
      <c r="G353" s="27" t="s">
        <v>1875</v>
      </c>
      <c r="H353" s="27" t="s">
        <v>2030</v>
      </c>
      <c r="I353" s="27" t="s">
        <v>1876</v>
      </c>
      <c r="J353" s="27" t="s">
        <v>2031</v>
      </c>
      <c r="K353" s="27" t="n">
        <v>1255</v>
      </c>
      <c r="L353" s="27" t="n">
        <v>702</v>
      </c>
      <c r="M353" s="28" t="n">
        <f aca="false">IFERROR(VLOOKUP((OFFSET(hoje12_326_ana9,352,10,1,1)&amp;"."&amp;OFFSET(hoje12_326_ana9,352,11,1,1)),'12.326'!A:D,4,0),"-")</f>
        <v>9531413001220</v>
      </c>
    </row>
    <row r="354" customFormat="false" ht="14.4" hidden="false" customHeight="false" outlineLevel="0" collapsed="false">
      <c r="A354" s="27" t="n">
        <v>11100464</v>
      </c>
      <c r="B354" s="27" t="s">
        <v>1946</v>
      </c>
      <c r="C354" s="43" t="n">
        <v>59.02</v>
      </c>
      <c r="D354" s="27" t="n">
        <v>1.82</v>
      </c>
      <c r="E354" s="27" t="n">
        <v>12</v>
      </c>
      <c r="F354" s="27" t="n">
        <v>5.07</v>
      </c>
      <c r="G354" s="27" t="s">
        <v>1875</v>
      </c>
      <c r="H354" s="27" t="s">
        <v>2009</v>
      </c>
      <c r="I354" s="27" t="s">
        <v>1876</v>
      </c>
      <c r="J354" s="27" t="s">
        <v>2090</v>
      </c>
      <c r="K354" s="27" t="n">
        <v>1255</v>
      </c>
      <c r="L354" s="27" t="n">
        <v>702</v>
      </c>
      <c r="M354" s="28" t="n">
        <f aca="false">IFERROR(VLOOKUP((OFFSET(hoje12_326_ana9,353,10,1,1)&amp;"."&amp;OFFSET(hoje12_326_ana9,353,11,1,1)),'12.326'!A:D,4,0),"-")</f>
        <v>9531413001220</v>
      </c>
    </row>
    <row r="355" customFormat="false" ht="14.4" hidden="false" customHeight="false" outlineLevel="0" collapsed="false">
      <c r="A355" s="27" t="n">
        <v>11100836</v>
      </c>
      <c r="B355" s="27" t="s">
        <v>2069</v>
      </c>
      <c r="C355" s="43" t="n">
        <v>43.99</v>
      </c>
      <c r="D355" s="27" t="n">
        <v>3.83</v>
      </c>
      <c r="E355" s="27" t="n">
        <v>6</v>
      </c>
      <c r="F355" s="27" t="n">
        <v>7.97</v>
      </c>
      <c r="G355" s="27" t="s">
        <v>1875</v>
      </c>
      <c r="H355" s="27" t="s">
        <v>1960</v>
      </c>
      <c r="I355" s="27" t="s">
        <v>1876</v>
      </c>
      <c r="J355" s="27" t="s">
        <v>2091</v>
      </c>
      <c r="K355" s="27" t="n">
        <v>1256</v>
      </c>
      <c r="L355" s="27" t="n">
        <v>702</v>
      </c>
      <c r="M355" s="28" t="n">
        <f aca="false">IFERROR(VLOOKUP((OFFSET(hoje12_326_ana9,354,10,1,1)&amp;"."&amp;OFFSET(hoje12_326_ana9,354,11,1,1)),'12.326'!A:D,4,0),"-")</f>
        <v>9531413001300</v>
      </c>
    </row>
    <row r="356" customFormat="false" ht="14.4" hidden="false" customHeight="false" outlineLevel="0" collapsed="false">
      <c r="A356" s="27" t="n">
        <v>11100861</v>
      </c>
      <c r="B356" s="27" t="s">
        <v>1992</v>
      </c>
      <c r="C356" s="43" t="n">
        <v>21.66</v>
      </c>
      <c r="D356" s="27" t="n">
        <v>2.25</v>
      </c>
      <c r="E356" s="27" t="n">
        <v>3</v>
      </c>
      <c r="F356" s="27" t="n">
        <v>7.97</v>
      </c>
      <c r="G356" s="27" t="s">
        <v>1875</v>
      </c>
      <c r="H356" s="27" t="s">
        <v>1993</v>
      </c>
      <c r="I356" s="27" t="s">
        <v>1876</v>
      </c>
      <c r="J356" s="27" t="s">
        <v>2092</v>
      </c>
      <c r="K356" s="27" t="n">
        <v>1256</v>
      </c>
      <c r="L356" s="27" t="n">
        <v>702</v>
      </c>
      <c r="M356" s="28" t="n">
        <f aca="false">IFERROR(VLOOKUP((OFFSET(hoje12_326_ana9,355,10,1,1)&amp;"."&amp;OFFSET(hoje12_326_ana9,355,11,1,1)),'12.326'!A:D,4,0),"-")</f>
        <v>9531413001300</v>
      </c>
    </row>
    <row r="357" customFormat="false" ht="14.4" hidden="false" customHeight="false" outlineLevel="0" collapsed="false">
      <c r="A357" s="27" t="n">
        <v>11100117</v>
      </c>
      <c r="B357" s="27" t="s">
        <v>2048</v>
      </c>
      <c r="C357" s="43" t="n">
        <v>177.04</v>
      </c>
      <c r="D357" s="27" t="n">
        <v>9.32</v>
      </c>
      <c r="E357" s="27" t="n">
        <v>12</v>
      </c>
      <c r="F357" s="27" t="n">
        <v>15.53</v>
      </c>
      <c r="G357" s="27" t="s">
        <v>1875</v>
      </c>
      <c r="H357" s="27" t="s">
        <v>1883</v>
      </c>
      <c r="I357" s="27" t="s">
        <v>1876</v>
      </c>
      <c r="J357" s="27" t="s">
        <v>2093</v>
      </c>
      <c r="K357" s="27" t="n">
        <v>1256</v>
      </c>
      <c r="L357" s="27" t="n">
        <v>702</v>
      </c>
      <c r="M357" s="28" t="n">
        <f aca="false">IFERROR(VLOOKUP((OFFSET(hoje12_326_ana9,356,10,1,1)&amp;"."&amp;OFFSET(hoje12_326_ana9,356,11,1,1)),'12.326'!A:D,4,0),"-")</f>
        <v>9531413001300</v>
      </c>
    </row>
    <row r="358" customFormat="false" ht="14.4" hidden="false" customHeight="false" outlineLevel="0" collapsed="false">
      <c r="A358" s="27" t="n">
        <v>11100957</v>
      </c>
      <c r="B358" s="27" t="s">
        <v>1986</v>
      </c>
      <c r="C358" s="43" t="n">
        <v>132.96</v>
      </c>
      <c r="D358" s="27" t="n">
        <v>0</v>
      </c>
      <c r="E358" s="27" t="n">
        <v>12</v>
      </c>
      <c r="F358" s="27" t="n">
        <v>11.08</v>
      </c>
      <c r="G358" s="27" t="s">
        <v>1875</v>
      </c>
      <c r="H358" s="27" t="s">
        <v>68</v>
      </c>
      <c r="I358" s="27" t="s">
        <v>1876</v>
      </c>
      <c r="J358" s="27" t="s">
        <v>1877</v>
      </c>
      <c r="K358" s="27" t="n">
        <v>1256</v>
      </c>
      <c r="L358" s="27" t="n">
        <v>702</v>
      </c>
      <c r="M358" s="28" t="n">
        <f aca="false">IFERROR(VLOOKUP((OFFSET(hoje12_326_ana9,357,10,1,1)&amp;"."&amp;OFFSET(hoje12_326_ana9,357,11,1,1)),'12.326'!A:D,4,0),"-")</f>
        <v>9531413001300</v>
      </c>
    </row>
    <row r="359" customFormat="false" ht="14.4" hidden="false" customHeight="false" outlineLevel="0" collapsed="false">
      <c r="A359" s="27" t="n">
        <v>11100097</v>
      </c>
      <c r="B359" s="27" t="s">
        <v>1912</v>
      </c>
      <c r="C359" s="43" t="n">
        <v>132.12</v>
      </c>
      <c r="D359" s="27" t="n">
        <v>0</v>
      </c>
      <c r="E359" s="27" t="n">
        <v>12</v>
      </c>
      <c r="F359" s="27" t="n">
        <v>11.01</v>
      </c>
      <c r="G359" s="27" t="s">
        <v>1875</v>
      </c>
      <c r="H359" s="27" t="s">
        <v>68</v>
      </c>
      <c r="I359" s="27" t="s">
        <v>1876</v>
      </c>
      <c r="J359" s="27" t="s">
        <v>1877</v>
      </c>
      <c r="K359" s="27" t="n">
        <v>1256</v>
      </c>
      <c r="L359" s="27" t="n">
        <v>702</v>
      </c>
      <c r="M359" s="28" t="n">
        <f aca="false">IFERROR(VLOOKUP((OFFSET(hoje12_326_ana9,358,10,1,1)&amp;"."&amp;OFFSET(hoje12_326_ana9,358,11,1,1)),'12.326'!A:D,4,0),"-")</f>
        <v>9531413001300</v>
      </c>
    </row>
    <row r="360" customFormat="false" ht="14.4" hidden="false" customHeight="false" outlineLevel="0" collapsed="false">
      <c r="A360" s="27" t="n">
        <v>11100091</v>
      </c>
      <c r="B360" s="27" t="s">
        <v>1910</v>
      </c>
      <c r="C360" s="43" t="n">
        <v>676.08</v>
      </c>
      <c r="D360" s="27" t="n">
        <v>20.88</v>
      </c>
      <c r="E360" s="27" t="n">
        <v>144</v>
      </c>
      <c r="F360" s="27" t="n">
        <v>4.84</v>
      </c>
      <c r="G360" s="27" t="s">
        <v>1875</v>
      </c>
      <c r="H360" s="27" t="s">
        <v>2009</v>
      </c>
      <c r="I360" s="27" t="s">
        <v>1876</v>
      </c>
      <c r="J360" s="27" t="s">
        <v>2094</v>
      </c>
      <c r="K360" s="27" t="n">
        <v>1256</v>
      </c>
      <c r="L360" s="27" t="n">
        <v>702</v>
      </c>
      <c r="M360" s="28" t="n">
        <f aca="false">IFERROR(VLOOKUP((OFFSET(hoje12_326_ana9,359,10,1,1)&amp;"."&amp;OFFSET(hoje12_326_ana9,359,11,1,1)),'12.326'!A:D,4,0),"-")</f>
        <v>9531413001300</v>
      </c>
    </row>
    <row r="361" customFormat="false" ht="14.4" hidden="false" customHeight="false" outlineLevel="0" collapsed="false">
      <c r="A361" s="27" t="n">
        <v>11100937</v>
      </c>
      <c r="B361" s="27" t="s">
        <v>2015</v>
      </c>
      <c r="C361" s="43" t="n">
        <v>944</v>
      </c>
      <c r="D361" s="27" t="n">
        <v>0</v>
      </c>
      <c r="E361" s="27" t="n">
        <v>40</v>
      </c>
      <c r="F361" s="27" t="n">
        <v>23.6</v>
      </c>
      <c r="G361" s="27" t="s">
        <v>1875</v>
      </c>
      <c r="H361" s="27" t="s">
        <v>68</v>
      </c>
      <c r="I361" s="27" t="s">
        <v>1876</v>
      </c>
      <c r="J361" s="27" t="s">
        <v>1877</v>
      </c>
      <c r="K361" s="27" t="n">
        <v>1256</v>
      </c>
      <c r="L361" s="27" t="n">
        <v>702</v>
      </c>
      <c r="M361" s="28" t="n">
        <f aca="false">IFERROR(VLOOKUP((OFFSET(hoje12_326_ana9,360,10,1,1)&amp;"."&amp;OFFSET(hoje12_326_ana9,360,11,1,1)),'12.326'!A:D,4,0),"-")</f>
        <v>9531413001300</v>
      </c>
    </row>
    <row r="362" customFormat="false" ht="14.4" hidden="false" customHeight="false" outlineLevel="0" collapsed="false">
      <c r="A362" s="27" t="n">
        <v>11100963</v>
      </c>
      <c r="B362" s="27" t="s">
        <v>1988</v>
      </c>
      <c r="C362" s="43" t="n">
        <v>56.76</v>
      </c>
      <c r="D362" s="27" t="n">
        <v>0</v>
      </c>
      <c r="E362" s="27" t="n">
        <v>4</v>
      </c>
      <c r="F362" s="27" t="n">
        <v>14.19</v>
      </c>
      <c r="G362" s="27" t="s">
        <v>1875</v>
      </c>
      <c r="H362" s="27" t="s">
        <v>68</v>
      </c>
      <c r="I362" s="27" t="s">
        <v>1876</v>
      </c>
      <c r="J362" s="27" t="s">
        <v>1877</v>
      </c>
      <c r="K362" s="27" t="n">
        <v>1256</v>
      </c>
      <c r="L362" s="27" t="n">
        <v>702</v>
      </c>
      <c r="M362" s="28" t="n">
        <f aca="false">IFERROR(VLOOKUP((OFFSET(hoje12_326_ana9,361,10,1,1)&amp;"."&amp;OFFSET(hoje12_326_ana9,361,11,1,1)),'12.326'!A:D,4,0),"-")</f>
        <v>9531413001300</v>
      </c>
    </row>
    <row r="363" customFormat="false" ht="14.4" hidden="false" customHeight="false" outlineLevel="0" collapsed="false">
      <c r="A363" s="27" t="n">
        <v>11100314</v>
      </c>
      <c r="B363" s="27" t="s">
        <v>1937</v>
      </c>
      <c r="C363" s="43" t="n">
        <v>131.64</v>
      </c>
      <c r="D363" s="27" t="n">
        <v>0</v>
      </c>
      <c r="E363" s="27" t="n">
        <v>12</v>
      </c>
      <c r="F363" s="27" t="n">
        <v>10.97</v>
      </c>
      <c r="G363" s="27" t="s">
        <v>1875</v>
      </c>
      <c r="H363" s="27" t="s">
        <v>68</v>
      </c>
      <c r="I363" s="27" t="s">
        <v>1876</v>
      </c>
      <c r="J363" s="27" t="s">
        <v>1877</v>
      </c>
      <c r="K363" s="27" t="n">
        <v>1256</v>
      </c>
      <c r="L363" s="27" t="n">
        <v>702</v>
      </c>
      <c r="M363" s="28" t="n">
        <f aca="false">IFERROR(VLOOKUP((OFFSET(hoje12_326_ana9,362,10,1,1)&amp;"."&amp;OFFSET(hoje12_326_ana9,362,11,1,1)),'12.326'!A:D,4,0),"-")</f>
        <v>9531413001300</v>
      </c>
    </row>
    <row r="364" customFormat="false" ht="14.4" hidden="false" customHeight="false" outlineLevel="0" collapsed="false">
      <c r="A364" s="27" t="n">
        <v>11100350</v>
      </c>
      <c r="B364" s="27" t="s">
        <v>1941</v>
      </c>
      <c r="C364" s="43" t="n">
        <v>66.99</v>
      </c>
      <c r="D364" s="27" t="n">
        <v>2.07</v>
      </c>
      <c r="E364" s="27" t="n">
        <v>6</v>
      </c>
      <c r="F364" s="27" t="n">
        <v>11.51</v>
      </c>
      <c r="G364" s="27" t="s">
        <v>1875</v>
      </c>
      <c r="H364" s="27" t="s">
        <v>2009</v>
      </c>
      <c r="I364" s="27" t="s">
        <v>1876</v>
      </c>
      <c r="J364" s="27" t="s">
        <v>2095</v>
      </c>
      <c r="K364" s="27" t="n">
        <v>1256</v>
      </c>
      <c r="L364" s="27" t="n">
        <v>702</v>
      </c>
      <c r="M364" s="28" t="n">
        <f aca="false">IFERROR(VLOOKUP((OFFSET(hoje12_326_ana9,363,10,1,1)&amp;"."&amp;OFFSET(hoje12_326_ana9,363,11,1,1)),'12.326'!A:D,4,0),"-")</f>
        <v>9531413001300</v>
      </c>
    </row>
    <row r="365" customFormat="false" ht="14.4" hidden="false" customHeight="false" outlineLevel="0" collapsed="false">
      <c r="A365" s="27" t="n">
        <v>11100338</v>
      </c>
      <c r="B365" s="27" t="s">
        <v>2096</v>
      </c>
      <c r="C365" s="43" t="n">
        <v>159.31</v>
      </c>
      <c r="D365" s="27" t="n">
        <v>1.61</v>
      </c>
      <c r="E365" s="27" t="n">
        <v>6</v>
      </c>
      <c r="F365" s="27" t="n">
        <v>26.82</v>
      </c>
      <c r="G365" s="27" t="s">
        <v>1875</v>
      </c>
      <c r="H365" s="27" t="s">
        <v>1948</v>
      </c>
      <c r="I365" s="27" t="s">
        <v>1876</v>
      </c>
      <c r="J365" s="27" t="s">
        <v>2097</v>
      </c>
      <c r="K365" s="27" t="n">
        <v>1256</v>
      </c>
      <c r="L365" s="27" t="n">
        <v>702</v>
      </c>
      <c r="M365" s="28" t="n">
        <f aca="false">IFERROR(VLOOKUP((OFFSET(hoje12_326_ana9,364,10,1,1)&amp;"."&amp;OFFSET(hoje12_326_ana9,364,11,1,1)),'12.326'!A:D,4,0),"-")</f>
        <v>9531413001300</v>
      </c>
    </row>
    <row r="366" customFormat="false" ht="14.4" hidden="false" customHeight="false" outlineLevel="0" collapsed="false">
      <c r="A366" s="27" t="n">
        <v>11100256</v>
      </c>
      <c r="B366" s="27" t="s">
        <v>1928</v>
      </c>
      <c r="C366" s="43" t="n">
        <v>78.52</v>
      </c>
      <c r="D366" s="27" t="n">
        <v>8.72</v>
      </c>
      <c r="E366" s="27" t="n">
        <v>12</v>
      </c>
      <c r="F366" s="27" t="n">
        <v>7.27</v>
      </c>
      <c r="G366" s="27" t="s">
        <v>1875</v>
      </c>
      <c r="H366" s="27" t="s">
        <v>1895</v>
      </c>
      <c r="I366" s="27" t="s">
        <v>1876</v>
      </c>
      <c r="J366" s="27" t="s">
        <v>2098</v>
      </c>
      <c r="K366" s="27" t="n">
        <v>1256</v>
      </c>
      <c r="L366" s="27" t="n">
        <v>702</v>
      </c>
      <c r="M366" s="28" t="n">
        <f aca="false">IFERROR(VLOOKUP((OFFSET(hoje12_326_ana9,365,10,1,1)&amp;"."&amp;OFFSET(hoje12_326_ana9,365,11,1,1)),'12.326'!A:D,4,0),"-")</f>
        <v>9531413001300</v>
      </c>
    </row>
    <row r="367" customFormat="false" ht="14.4" hidden="false" customHeight="false" outlineLevel="0" collapsed="false">
      <c r="A367" s="27" t="n">
        <v>11100826</v>
      </c>
      <c r="B367" s="27" t="s">
        <v>1968</v>
      </c>
      <c r="C367" s="43" t="n">
        <v>37.48</v>
      </c>
      <c r="D367" s="27" t="n">
        <v>4.16</v>
      </c>
      <c r="E367" s="27" t="n">
        <v>6</v>
      </c>
      <c r="F367" s="27" t="n">
        <v>6.94</v>
      </c>
      <c r="G367" s="27" t="s">
        <v>1875</v>
      </c>
      <c r="H367" s="27" t="s">
        <v>1895</v>
      </c>
      <c r="I367" s="27" t="s">
        <v>1876</v>
      </c>
      <c r="J367" s="27" t="s">
        <v>2016</v>
      </c>
      <c r="K367" s="27" t="n">
        <v>1256</v>
      </c>
      <c r="L367" s="27" t="n">
        <v>702</v>
      </c>
      <c r="M367" s="28" t="n">
        <f aca="false">IFERROR(VLOOKUP((OFFSET(hoje12_326_ana9,366,10,1,1)&amp;"."&amp;OFFSET(hoje12_326_ana9,366,11,1,1)),'12.326'!A:D,4,0),"-")</f>
        <v>9531413001300</v>
      </c>
    </row>
    <row r="368" customFormat="false" ht="14.4" hidden="false" customHeight="false" outlineLevel="0" collapsed="false">
      <c r="A368" s="27" t="n">
        <v>11100822</v>
      </c>
      <c r="B368" s="27" t="s">
        <v>1966</v>
      </c>
      <c r="C368" s="43" t="n">
        <v>37.48</v>
      </c>
      <c r="D368" s="27" t="n">
        <v>4.16</v>
      </c>
      <c r="E368" s="27" t="n">
        <v>6</v>
      </c>
      <c r="F368" s="27" t="n">
        <v>6.94</v>
      </c>
      <c r="G368" s="27" t="s">
        <v>1875</v>
      </c>
      <c r="H368" s="27" t="s">
        <v>1895</v>
      </c>
      <c r="I368" s="27" t="s">
        <v>1876</v>
      </c>
      <c r="J368" s="27" t="s">
        <v>2016</v>
      </c>
      <c r="K368" s="27" t="n">
        <v>1256</v>
      </c>
      <c r="L368" s="27" t="n">
        <v>702</v>
      </c>
      <c r="M368" s="28" t="n">
        <f aca="false">IFERROR(VLOOKUP((OFFSET(hoje12_326_ana9,367,10,1,1)&amp;"."&amp;OFFSET(hoje12_326_ana9,367,11,1,1)),'12.326'!A:D,4,0),"-")</f>
        <v>9531413001300</v>
      </c>
    </row>
    <row r="369" customFormat="false" ht="14.4" hidden="false" customHeight="false" outlineLevel="0" collapsed="false">
      <c r="A369" s="27" t="n">
        <v>11100511</v>
      </c>
      <c r="B369" s="27" t="s">
        <v>1953</v>
      </c>
      <c r="C369" s="43" t="n">
        <v>77.44</v>
      </c>
      <c r="D369" s="27" t="n">
        <v>1.58</v>
      </c>
      <c r="E369" s="27" t="n">
        <v>6</v>
      </c>
      <c r="F369" s="27" t="n">
        <v>13.17</v>
      </c>
      <c r="G369" s="27" t="s">
        <v>1875</v>
      </c>
      <c r="H369" s="27" t="s">
        <v>2011</v>
      </c>
      <c r="I369" s="27" t="s">
        <v>1876</v>
      </c>
      <c r="J369" s="27" t="s">
        <v>2020</v>
      </c>
      <c r="K369" s="27" t="n">
        <v>1256</v>
      </c>
      <c r="L369" s="27" t="n">
        <v>702</v>
      </c>
      <c r="M369" s="28" t="n">
        <f aca="false">IFERROR(VLOOKUP((OFFSET(hoje12_326_ana9,368,10,1,1)&amp;"."&amp;OFFSET(hoje12_326_ana9,368,11,1,1)),'12.326'!A:D,4,0),"-")</f>
        <v>9531413001300</v>
      </c>
    </row>
    <row r="370" customFormat="false" ht="14.4" hidden="false" customHeight="false" outlineLevel="0" collapsed="false">
      <c r="A370" s="27" t="n">
        <v>11100501</v>
      </c>
      <c r="B370" s="27" t="s">
        <v>1951</v>
      </c>
      <c r="C370" s="43" t="n">
        <v>77.44</v>
      </c>
      <c r="D370" s="27" t="n">
        <v>1.58</v>
      </c>
      <c r="E370" s="27" t="n">
        <v>6</v>
      </c>
      <c r="F370" s="27" t="n">
        <v>13.17</v>
      </c>
      <c r="G370" s="27" t="s">
        <v>1875</v>
      </c>
      <c r="H370" s="27" t="s">
        <v>2011</v>
      </c>
      <c r="I370" s="27" t="s">
        <v>1876</v>
      </c>
      <c r="J370" s="27" t="s">
        <v>2020</v>
      </c>
      <c r="K370" s="27" t="n">
        <v>1256</v>
      </c>
      <c r="L370" s="27" t="n">
        <v>702</v>
      </c>
      <c r="M370" s="28" t="n">
        <f aca="false">IFERROR(VLOOKUP((OFFSET(hoje12_326_ana9,369,10,1,1)&amp;"."&amp;OFFSET(hoje12_326_ana9,369,11,1,1)),'12.326'!A:D,4,0),"-")</f>
        <v>9531413001300</v>
      </c>
    </row>
    <row r="371" customFormat="false" ht="14.4" hidden="false" customHeight="false" outlineLevel="0" collapsed="false">
      <c r="A371" s="27" t="n">
        <v>11100503</v>
      </c>
      <c r="B371" s="27" t="s">
        <v>1952</v>
      </c>
      <c r="C371" s="43" t="n">
        <v>77.44</v>
      </c>
      <c r="D371" s="27" t="n">
        <v>1.58</v>
      </c>
      <c r="E371" s="27" t="n">
        <v>6</v>
      </c>
      <c r="F371" s="27" t="n">
        <v>13.17</v>
      </c>
      <c r="G371" s="27" t="s">
        <v>1875</v>
      </c>
      <c r="H371" s="27" t="s">
        <v>2011</v>
      </c>
      <c r="I371" s="27" t="s">
        <v>1876</v>
      </c>
      <c r="J371" s="27" t="s">
        <v>2020</v>
      </c>
      <c r="K371" s="27" t="n">
        <v>1256</v>
      </c>
      <c r="L371" s="27" t="n">
        <v>702</v>
      </c>
      <c r="M371" s="28" t="n">
        <f aca="false">IFERROR(VLOOKUP((OFFSET(hoje12_326_ana9,370,10,1,1)&amp;"."&amp;OFFSET(hoje12_326_ana9,370,11,1,1)),'12.326'!A:D,4,0),"-")</f>
        <v>9531413001300</v>
      </c>
    </row>
    <row r="372" customFormat="false" ht="14.4" hidden="false" customHeight="false" outlineLevel="0" collapsed="false">
      <c r="A372" s="27" t="n">
        <v>11100262</v>
      </c>
      <c r="B372" s="27" t="s">
        <v>1931</v>
      </c>
      <c r="C372" s="43" t="n">
        <v>90.18</v>
      </c>
      <c r="D372" s="27" t="n">
        <v>10.02</v>
      </c>
      <c r="E372" s="27" t="n">
        <v>12</v>
      </c>
      <c r="F372" s="27" t="n">
        <v>8.35</v>
      </c>
      <c r="G372" s="27" t="s">
        <v>1875</v>
      </c>
      <c r="H372" s="27" t="s">
        <v>1895</v>
      </c>
      <c r="I372" s="27" t="s">
        <v>1876</v>
      </c>
      <c r="J372" s="27" t="s">
        <v>2099</v>
      </c>
      <c r="K372" s="27" t="n">
        <v>1256</v>
      </c>
      <c r="L372" s="27" t="n">
        <v>702</v>
      </c>
      <c r="M372" s="28" t="n">
        <f aca="false">IFERROR(VLOOKUP((OFFSET(hoje12_326_ana9,371,10,1,1)&amp;"."&amp;OFFSET(hoje12_326_ana9,371,11,1,1)),'12.326'!A:D,4,0),"-")</f>
        <v>9531413001300</v>
      </c>
    </row>
    <row r="373" customFormat="false" ht="14.4" hidden="false" customHeight="false" outlineLevel="0" collapsed="false">
      <c r="A373" s="27" t="n">
        <v>11100565</v>
      </c>
      <c r="B373" s="27" t="s">
        <v>1954</v>
      </c>
      <c r="C373" s="43" t="n">
        <v>104</v>
      </c>
      <c r="D373" s="27" t="n">
        <v>3.22</v>
      </c>
      <c r="E373" s="27" t="n">
        <v>6</v>
      </c>
      <c r="F373" s="27" t="n">
        <v>17.87</v>
      </c>
      <c r="G373" s="27" t="s">
        <v>1875</v>
      </c>
      <c r="H373" s="27" t="s">
        <v>2009</v>
      </c>
      <c r="I373" s="27" t="s">
        <v>1876</v>
      </c>
      <c r="J373" s="27" t="s">
        <v>2100</v>
      </c>
      <c r="K373" s="27" t="n">
        <v>1256</v>
      </c>
      <c r="L373" s="27" t="n">
        <v>702</v>
      </c>
      <c r="M373" s="28" t="n">
        <f aca="false">IFERROR(VLOOKUP((OFFSET(hoje12_326_ana9,372,10,1,1)&amp;"."&amp;OFFSET(hoje12_326_ana9,372,11,1,1)),'12.326'!A:D,4,0),"-")</f>
        <v>9531413001300</v>
      </c>
    </row>
    <row r="374" customFormat="false" ht="14.4" hidden="false" customHeight="false" outlineLevel="0" collapsed="false">
      <c r="A374" s="27" t="n">
        <v>11100837</v>
      </c>
      <c r="B374" s="27" t="s">
        <v>1971</v>
      </c>
      <c r="C374" s="43" t="n">
        <v>75.48</v>
      </c>
      <c r="D374" s="27" t="n">
        <v>0</v>
      </c>
      <c r="E374" s="27" t="n">
        <v>6</v>
      </c>
      <c r="F374" s="27" t="n">
        <v>12.58</v>
      </c>
      <c r="G374" s="27" t="s">
        <v>1875</v>
      </c>
      <c r="H374" s="27" t="s">
        <v>68</v>
      </c>
      <c r="I374" s="27" t="s">
        <v>1876</v>
      </c>
      <c r="J374" s="27" t="s">
        <v>1877</v>
      </c>
      <c r="K374" s="27" t="n">
        <v>1256</v>
      </c>
      <c r="L374" s="27" t="n">
        <v>702</v>
      </c>
      <c r="M374" s="28" t="n">
        <f aca="false">IFERROR(VLOOKUP((OFFSET(hoje12_326_ana9,373,10,1,1)&amp;"."&amp;OFFSET(hoje12_326_ana9,373,11,1,1)),'12.326'!A:D,4,0),"-")</f>
        <v>9531413001300</v>
      </c>
    </row>
    <row r="375" customFormat="false" ht="14.4" hidden="false" customHeight="false" outlineLevel="0" collapsed="false">
      <c r="A375" s="27" t="n">
        <v>11100865</v>
      </c>
      <c r="B375" s="27" t="s">
        <v>1982</v>
      </c>
      <c r="C375" s="43" t="n">
        <v>43.04</v>
      </c>
      <c r="D375" s="27" t="n">
        <v>4.78</v>
      </c>
      <c r="E375" s="27" t="n">
        <v>6</v>
      </c>
      <c r="F375" s="27" t="n">
        <v>7.97</v>
      </c>
      <c r="G375" s="27" t="s">
        <v>1875</v>
      </c>
      <c r="H375" s="27" t="s">
        <v>1895</v>
      </c>
      <c r="I375" s="27" t="s">
        <v>1876</v>
      </c>
      <c r="J375" s="27" t="s">
        <v>2027</v>
      </c>
      <c r="K375" s="27" t="n">
        <v>1256</v>
      </c>
      <c r="L375" s="27" t="n">
        <v>702</v>
      </c>
      <c r="M375" s="28" t="n">
        <f aca="false">IFERROR(VLOOKUP((OFFSET(hoje12_326_ana9,374,10,1,1)&amp;"."&amp;OFFSET(hoje12_326_ana9,374,11,1,1)),'12.326'!A:D,4,0),"-")</f>
        <v>9531413001300</v>
      </c>
    </row>
    <row r="376" customFormat="false" ht="14.4" hidden="false" customHeight="false" outlineLevel="0" collapsed="false">
      <c r="A376" s="27" t="n">
        <v>11100708</v>
      </c>
      <c r="B376" s="27" t="s">
        <v>2059</v>
      </c>
      <c r="C376" s="43" t="n">
        <v>27</v>
      </c>
      <c r="D376" s="27" t="n">
        <v>0</v>
      </c>
      <c r="E376" s="27" t="n">
        <v>12</v>
      </c>
      <c r="F376" s="27" t="n">
        <v>2.25</v>
      </c>
      <c r="G376" s="27" t="s">
        <v>1875</v>
      </c>
      <c r="H376" s="27" t="s">
        <v>68</v>
      </c>
      <c r="I376" s="27" t="s">
        <v>1876</v>
      </c>
      <c r="J376" s="27" t="s">
        <v>1877</v>
      </c>
      <c r="K376" s="27" t="n">
        <v>1256</v>
      </c>
      <c r="L376" s="27" t="n">
        <v>702</v>
      </c>
      <c r="M376" s="28" t="n">
        <f aca="false">IFERROR(VLOOKUP((OFFSET(hoje12_326_ana9,375,10,1,1)&amp;"."&amp;OFFSET(hoje12_326_ana9,375,11,1,1)),'12.326'!A:D,4,0),"-")</f>
        <v>9531413001300</v>
      </c>
    </row>
    <row r="377" customFormat="false" ht="14.4" hidden="false" customHeight="false" outlineLevel="0" collapsed="false">
      <c r="A377" s="27" t="n">
        <v>11100959</v>
      </c>
      <c r="B377" s="27" t="s">
        <v>1987</v>
      </c>
      <c r="C377" s="43" t="n">
        <v>252.96</v>
      </c>
      <c r="D377" s="27" t="n">
        <v>0</v>
      </c>
      <c r="E377" s="27" t="n">
        <v>48</v>
      </c>
      <c r="F377" s="27" t="n">
        <v>5.27</v>
      </c>
      <c r="G377" s="27" t="s">
        <v>1875</v>
      </c>
      <c r="H377" s="27" t="s">
        <v>68</v>
      </c>
      <c r="I377" s="27" t="s">
        <v>1876</v>
      </c>
      <c r="J377" s="27" t="s">
        <v>1877</v>
      </c>
      <c r="K377" s="27" t="n">
        <v>1256</v>
      </c>
      <c r="L377" s="27" t="n">
        <v>702</v>
      </c>
      <c r="M377" s="28" t="n">
        <f aca="false">IFERROR(VLOOKUP((OFFSET(hoje12_326_ana9,376,10,1,1)&amp;"."&amp;OFFSET(hoje12_326_ana9,376,11,1,1)),'12.326'!A:D,4,0),"-")</f>
        <v>9531413001300</v>
      </c>
    </row>
    <row r="378" customFormat="false" ht="14.4" hidden="false" customHeight="false" outlineLevel="0" collapsed="false">
      <c r="A378" s="27" t="n">
        <v>11100913</v>
      </c>
      <c r="B378" s="27" t="s">
        <v>1983</v>
      </c>
      <c r="C378" s="43" t="n">
        <v>82.74</v>
      </c>
      <c r="D378" s="27" t="n">
        <v>0</v>
      </c>
      <c r="E378" s="27" t="n">
        <v>6</v>
      </c>
      <c r="F378" s="27" t="n">
        <v>13.79</v>
      </c>
      <c r="G378" s="27" t="s">
        <v>1875</v>
      </c>
      <c r="H378" s="27" t="s">
        <v>68</v>
      </c>
      <c r="I378" s="27" t="s">
        <v>1876</v>
      </c>
      <c r="J378" s="27" t="s">
        <v>1877</v>
      </c>
      <c r="K378" s="27" t="n">
        <v>1256</v>
      </c>
      <c r="L378" s="27" t="n">
        <v>702</v>
      </c>
      <c r="M378" s="28" t="n">
        <f aca="false">IFERROR(VLOOKUP((OFFSET(hoje12_326_ana9,377,10,1,1)&amp;"."&amp;OFFSET(hoje12_326_ana9,377,11,1,1)),'12.326'!A:D,4,0),"-")</f>
        <v>9531413001300</v>
      </c>
    </row>
    <row r="379" customFormat="false" ht="14.4" hidden="false" customHeight="false" outlineLevel="0" collapsed="false">
      <c r="A379" s="27" t="n">
        <v>11100214</v>
      </c>
      <c r="B379" s="27" t="s">
        <v>1922</v>
      </c>
      <c r="C379" s="43" t="n">
        <v>571.68</v>
      </c>
      <c r="D379" s="27" t="n">
        <v>5.76</v>
      </c>
      <c r="E379" s="27" t="n">
        <v>144</v>
      </c>
      <c r="F379" s="27" t="n">
        <v>4.01</v>
      </c>
      <c r="G379" s="27" t="s">
        <v>1875</v>
      </c>
      <c r="H379" s="27" t="s">
        <v>1948</v>
      </c>
      <c r="I379" s="27" t="s">
        <v>1876</v>
      </c>
      <c r="J379" s="27" t="s">
        <v>2042</v>
      </c>
      <c r="K379" s="27" t="n">
        <v>1256</v>
      </c>
      <c r="L379" s="27" t="n">
        <v>702</v>
      </c>
      <c r="M379" s="28" t="n">
        <f aca="false">IFERROR(VLOOKUP((OFFSET(hoje12_326_ana9,378,10,1,1)&amp;"."&amp;OFFSET(hoje12_326_ana9,378,11,1,1)),'12.326'!A:D,4,0),"-")</f>
        <v>9531413001300</v>
      </c>
    </row>
    <row r="380" customFormat="false" ht="14.4" hidden="false" customHeight="false" outlineLevel="0" collapsed="false">
      <c r="A380" s="27" t="n">
        <v>11100747</v>
      </c>
      <c r="B380" s="27" t="s">
        <v>1999</v>
      </c>
      <c r="C380" s="43" t="n">
        <v>55.61</v>
      </c>
      <c r="D380" s="27" t="n">
        <v>23.83</v>
      </c>
      <c r="E380" s="27" t="n">
        <v>24</v>
      </c>
      <c r="F380" s="27" t="n">
        <v>3.31</v>
      </c>
      <c r="G380" s="27" t="s">
        <v>1875</v>
      </c>
      <c r="H380" s="27" t="s">
        <v>1990</v>
      </c>
      <c r="I380" s="27" t="s">
        <v>1876</v>
      </c>
      <c r="J380" s="27" t="s">
        <v>2062</v>
      </c>
      <c r="K380" s="27" t="n">
        <v>1257</v>
      </c>
      <c r="L380" s="27" t="n">
        <v>702</v>
      </c>
      <c r="M380" s="28" t="n">
        <f aca="false">IFERROR(VLOOKUP((OFFSET(hoje12_326_ana9,379,10,1,1)&amp;"."&amp;OFFSET(hoje12_326_ana9,379,11,1,1)),'12.326'!A:D,4,0),"-")</f>
        <v>9531413000177</v>
      </c>
    </row>
    <row r="381" customFormat="false" ht="14.4" hidden="false" customHeight="false" outlineLevel="0" collapsed="false">
      <c r="A381" s="27" t="n">
        <v>11100238</v>
      </c>
      <c r="B381" s="27" t="s">
        <v>2006</v>
      </c>
      <c r="C381" s="43" t="n">
        <v>452.85</v>
      </c>
      <c r="D381" s="27" t="n">
        <v>44.79</v>
      </c>
      <c r="E381" s="27" t="n">
        <v>156</v>
      </c>
      <c r="F381" s="27" t="n">
        <v>3.19</v>
      </c>
      <c r="G381" s="27" t="s">
        <v>1875</v>
      </c>
      <c r="H381" s="27" t="s">
        <v>2007</v>
      </c>
      <c r="I381" s="27" t="s">
        <v>1876</v>
      </c>
      <c r="J381" s="27" t="s">
        <v>2101</v>
      </c>
      <c r="K381" s="27" t="n">
        <v>1257</v>
      </c>
      <c r="L381" s="27" t="n">
        <v>702</v>
      </c>
      <c r="M381" s="28" t="n">
        <f aca="false">IFERROR(VLOOKUP((OFFSET(hoje12_326_ana9,380,10,1,1)&amp;"."&amp;OFFSET(hoje12_326_ana9,380,11,1,1)),'12.326'!A:D,4,0),"-")</f>
        <v>9531413000177</v>
      </c>
    </row>
    <row r="382" customFormat="false" ht="14.4" hidden="false" customHeight="false" outlineLevel="0" collapsed="false">
      <c r="A382" s="27" t="n">
        <v>11100861</v>
      </c>
      <c r="B382" s="27" t="s">
        <v>1992</v>
      </c>
      <c r="C382" s="43" t="n">
        <v>21.66</v>
      </c>
      <c r="D382" s="27" t="n">
        <v>2.25</v>
      </c>
      <c r="E382" s="27" t="n">
        <v>3</v>
      </c>
      <c r="F382" s="27" t="n">
        <v>7.97</v>
      </c>
      <c r="G382" s="27" t="s">
        <v>1875</v>
      </c>
      <c r="H382" s="27" t="s">
        <v>1993</v>
      </c>
      <c r="I382" s="27" t="s">
        <v>1876</v>
      </c>
      <c r="J382" s="27" t="s">
        <v>2092</v>
      </c>
      <c r="K382" s="27" t="n">
        <v>1257</v>
      </c>
      <c r="L382" s="27" t="n">
        <v>702</v>
      </c>
      <c r="M382" s="28" t="n">
        <f aca="false">IFERROR(VLOOKUP((OFFSET(hoje12_326_ana9,381,10,1,1)&amp;"."&amp;OFFSET(hoje12_326_ana9,381,11,1,1)),'12.326'!A:D,4,0),"-")</f>
        <v>9531413000177</v>
      </c>
    </row>
    <row r="383" customFormat="false" ht="14.4" hidden="false" customHeight="false" outlineLevel="0" collapsed="false">
      <c r="A383" s="27" t="n">
        <v>11100751</v>
      </c>
      <c r="B383" s="27" t="s">
        <v>1995</v>
      </c>
      <c r="C383" s="43" t="n">
        <v>83.41</v>
      </c>
      <c r="D383" s="27" t="n">
        <v>35.75</v>
      </c>
      <c r="E383" s="27" t="n">
        <v>36</v>
      </c>
      <c r="F383" s="27" t="n">
        <v>3.31</v>
      </c>
      <c r="G383" s="27" t="s">
        <v>1875</v>
      </c>
      <c r="H383" s="27" t="s">
        <v>1990</v>
      </c>
      <c r="I383" s="27" t="s">
        <v>1876</v>
      </c>
      <c r="J383" s="27" t="s">
        <v>1991</v>
      </c>
      <c r="K383" s="27" t="n">
        <v>1257</v>
      </c>
      <c r="L383" s="27" t="n">
        <v>702</v>
      </c>
      <c r="M383" s="28" t="n">
        <f aca="false">IFERROR(VLOOKUP((OFFSET(hoje12_326_ana9,382,10,1,1)&amp;"."&amp;OFFSET(hoje12_326_ana9,382,11,1,1)),'12.326'!A:D,4,0),"-")</f>
        <v>9531413000177</v>
      </c>
    </row>
    <row r="384" customFormat="false" ht="14.4" hidden="false" customHeight="false" outlineLevel="0" collapsed="false">
      <c r="A384" s="27" t="n">
        <v>11100477</v>
      </c>
      <c r="B384" s="27" t="s">
        <v>1950</v>
      </c>
      <c r="C384" s="43" t="n">
        <v>47.22</v>
      </c>
      <c r="D384" s="27" t="n">
        <v>0</v>
      </c>
      <c r="E384" s="27" t="n">
        <v>6</v>
      </c>
      <c r="F384" s="27" t="n">
        <v>7.87</v>
      </c>
      <c r="G384" s="27" t="s">
        <v>1875</v>
      </c>
      <c r="H384" s="27" t="s">
        <v>68</v>
      </c>
      <c r="I384" s="27" t="s">
        <v>1876</v>
      </c>
      <c r="J384" s="27" t="s">
        <v>1877</v>
      </c>
      <c r="K384" s="27" t="n">
        <v>1257</v>
      </c>
      <c r="L384" s="27" t="n">
        <v>702</v>
      </c>
      <c r="M384" s="28" t="n">
        <f aca="false">IFERROR(VLOOKUP((OFFSET(hoje12_326_ana9,383,10,1,1)&amp;"."&amp;OFFSET(hoje12_326_ana9,383,11,1,1)),'12.326'!A:D,4,0),"-")</f>
        <v>9531413000177</v>
      </c>
    </row>
    <row r="385" customFormat="false" ht="14.4" hidden="false" customHeight="false" outlineLevel="0" collapsed="false">
      <c r="A385" s="27" t="n">
        <v>11100475</v>
      </c>
      <c r="B385" s="27" t="s">
        <v>1947</v>
      </c>
      <c r="C385" s="43" t="n">
        <v>96.96</v>
      </c>
      <c r="D385" s="27" t="n">
        <v>3</v>
      </c>
      <c r="E385" s="27" t="n">
        <v>12</v>
      </c>
      <c r="F385" s="27" t="n">
        <v>8.33</v>
      </c>
      <c r="G385" s="27" t="s">
        <v>1875</v>
      </c>
      <c r="H385" s="27" t="s">
        <v>2009</v>
      </c>
      <c r="I385" s="27" t="s">
        <v>1876</v>
      </c>
      <c r="J385" s="27" t="s">
        <v>2010</v>
      </c>
      <c r="K385" s="27" t="n">
        <v>1257</v>
      </c>
      <c r="L385" s="27" t="n">
        <v>702</v>
      </c>
      <c r="M385" s="28" t="n">
        <f aca="false">IFERROR(VLOOKUP((OFFSET(hoje12_326_ana9,384,10,1,1)&amp;"."&amp;OFFSET(hoje12_326_ana9,384,11,1,1)),'12.326'!A:D,4,0),"-")</f>
        <v>9531413000177</v>
      </c>
    </row>
    <row r="386" customFormat="false" ht="14.4" hidden="false" customHeight="false" outlineLevel="0" collapsed="false">
      <c r="A386" s="27" t="n">
        <v>11100191</v>
      </c>
      <c r="B386" s="27" t="s">
        <v>1919</v>
      </c>
      <c r="C386" s="43" t="n">
        <v>128.04</v>
      </c>
      <c r="D386" s="27" t="n">
        <v>3.96</v>
      </c>
      <c r="E386" s="27" t="n">
        <v>12</v>
      </c>
      <c r="F386" s="27" t="n">
        <v>11</v>
      </c>
      <c r="G386" s="27" t="s">
        <v>1875</v>
      </c>
      <c r="H386" s="27" t="s">
        <v>2009</v>
      </c>
      <c r="I386" s="27" t="s">
        <v>1876</v>
      </c>
      <c r="J386" s="27" t="s">
        <v>2065</v>
      </c>
      <c r="K386" s="27" t="n">
        <v>1257</v>
      </c>
      <c r="L386" s="27" t="n">
        <v>702</v>
      </c>
      <c r="M386" s="28" t="n">
        <f aca="false">IFERROR(VLOOKUP((OFFSET(hoje12_326_ana9,385,10,1,1)&amp;"."&amp;OFFSET(hoje12_326_ana9,385,11,1,1)),'12.326'!A:D,4,0),"-")</f>
        <v>9531413000177</v>
      </c>
    </row>
    <row r="387" customFormat="false" ht="14.4" hidden="false" customHeight="false" outlineLevel="0" collapsed="false">
      <c r="A387" s="27" t="n">
        <v>11100421</v>
      </c>
      <c r="B387" s="27" t="s">
        <v>1945</v>
      </c>
      <c r="C387" s="43" t="n">
        <v>58.26</v>
      </c>
      <c r="D387" s="27" t="n">
        <v>0</v>
      </c>
      <c r="E387" s="27" t="n">
        <v>6</v>
      </c>
      <c r="F387" s="27" t="n">
        <v>9.71</v>
      </c>
      <c r="G387" s="27" t="s">
        <v>1875</v>
      </c>
      <c r="H387" s="27" t="s">
        <v>68</v>
      </c>
      <c r="I387" s="27" t="s">
        <v>1876</v>
      </c>
      <c r="J387" s="27" t="s">
        <v>1877</v>
      </c>
      <c r="K387" s="27" t="n">
        <v>1257</v>
      </c>
      <c r="L387" s="27" t="n">
        <v>702</v>
      </c>
      <c r="M387" s="28" t="n">
        <f aca="false">IFERROR(VLOOKUP((OFFSET(hoje12_326_ana9,386,10,1,1)&amp;"."&amp;OFFSET(hoje12_326_ana9,386,11,1,1)),'12.326'!A:D,4,0),"-")</f>
        <v>9531413000177</v>
      </c>
    </row>
    <row r="388" customFormat="false" ht="14.4" hidden="false" customHeight="false" outlineLevel="0" collapsed="false">
      <c r="A388" s="27" t="n">
        <v>11100314</v>
      </c>
      <c r="B388" s="27" t="s">
        <v>1937</v>
      </c>
      <c r="C388" s="43" t="n">
        <v>131.64</v>
      </c>
      <c r="D388" s="27" t="n">
        <v>0</v>
      </c>
      <c r="E388" s="27" t="n">
        <v>12</v>
      </c>
      <c r="F388" s="27" t="n">
        <v>10.97</v>
      </c>
      <c r="G388" s="27" t="s">
        <v>1875</v>
      </c>
      <c r="H388" s="27" t="s">
        <v>68</v>
      </c>
      <c r="I388" s="27" t="s">
        <v>1876</v>
      </c>
      <c r="J388" s="27" t="s">
        <v>1877</v>
      </c>
      <c r="K388" s="27" t="n">
        <v>1257</v>
      </c>
      <c r="L388" s="27" t="n">
        <v>702</v>
      </c>
      <c r="M388" s="28" t="n">
        <f aca="false">IFERROR(VLOOKUP((OFFSET(hoje12_326_ana9,387,10,1,1)&amp;"."&amp;OFFSET(hoje12_326_ana9,387,11,1,1)),'12.326'!A:D,4,0),"-")</f>
        <v>9531413000177</v>
      </c>
    </row>
    <row r="389" customFormat="false" ht="14.4" hidden="false" customHeight="false" outlineLevel="0" collapsed="false">
      <c r="A389" s="27" t="n">
        <v>11100318</v>
      </c>
      <c r="B389" s="27" t="s">
        <v>1938</v>
      </c>
      <c r="C389" s="43" t="n">
        <v>54.84</v>
      </c>
      <c r="D389" s="27" t="n">
        <v>0</v>
      </c>
      <c r="E389" s="27" t="n">
        <v>12</v>
      </c>
      <c r="F389" s="27" t="n">
        <v>4.57</v>
      </c>
      <c r="G389" s="27" t="s">
        <v>1875</v>
      </c>
      <c r="H389" s="27" t="s">
        <v>68</v>
      </c>
      <c r="I389" s="27" t="s">
        <v>1876</v>
      </c>
      <c r="J389" s="27" t="s">
        <v>1877</v>
      </c>
      <c r="K389" s="27" t="n">
        <v>1257</v>
      </c>
      <c r="L389" s="27" t="n">
        <v>702</v>
      </c>
      <c r="M389" s="28" t="n">
        <f aca="false">IFERROR(VLOOKUP((OFFSET(hoje12_326_ana9,388,10,1,1)&amp;"."&amp;OFFSET(hoje12_326_ana9,388,11,1,1)),'12.326'!A:D,4,0),"-")</f>
        <v>9531413000177</v>
      </c>
    </row>
    <row r="390" customFormat="false" ht="14.4" hidden="false" customHeight="false" outlineLevel="0" collapsed="false">
      <c r="A390" s="27" t="n">
        <v>11100826</v>
      </c>
      <c r="B390" s="27" t="s">
        <v>1968</v>
      </c>
      <c r="C390" s="43" t="n">
        <v>74.95</v>
      </c>
      <c r="D390" s="27" t="n">
        <v>8.33</v>
      </c>
      <c r="E390" s="27" t="n">
        <v>12</v>
      </c>
      <c r="F390" s="27" t="n">
        <v>6.94</v>
      </c>
      <c r="G390" s="27" t="s">
        <v>1875</v>
      </c>
      <c r="H390" s="27" t="s">
        <v>1895</v>
      </c>
      <c r="I390" s="27" t="s">
        <v>1876</v>
      </c>
      <c r="J390" s="27" t="s">
        <v>2019</v>
      </c>
      <c r="K390" s="27" t="n">
        <v>1257</v>
      </c>
      <c r="L390" s="27" t="n">
        <v>702</v>
      </c>
      <c r="M390" s="28" t="n">
        <f aca="false">IFERROR(VLOOKUP((OFFSET(hoje12_326_ana9,389,10,1,1)&amp;"."&amp;OFFSET(hoje12_326_ana9,389,11,1,1)),'12.326'!A:D,4,0),"-")</f>
        <v>9531413000177</v>
      </c>
    </row>
    <row r="391" customFormat="false" ht="14.4" hidden="false" customHeight="false" outlineLevel="0" collapsed="false">
      <c r="A391" s="27" t="n">
        <v>11100822</v>
      </c>
      <c r="B391" s="27" t="s">
        <v>1966</v>
      </c>
      <c r="C391" s="43" t="n">
        <v>37.48</v>
      </c>
      <c r="D391" s="27" t="n">
        <v>4.16</v>
      </c>
      <c r="E391" s="27" t="n">
        <v>6</v>
      </c>
      <c r="F391" s="27" t="n">
        <v>6.94</v>
      </c>
      <c r="G391" s="27" t="s">
        <v>1875</v>
      </c>
      <c r="H391" s="27" t="s">
        <v>1895</v>
      </c>
      <c r="I391" s="27" t="s">
        <v>1876</v>
      </c>
      <c r="J391" s="27" t="s">
        <v>2016</v>
      </c>
      <c r="K391" s="27" t="n">
        <v>1257</v>
      </c>
      <c r="L391" s="27" t="n">
        <v>702</v>
      </c>
      <c r="M391" s="28" t="n">
        <f aca="false">IFERROR(VLOOKUP((OFFSET(hoje12_326_ana9,390,10,1,1)&amp;"."&amp;OFFSET(hoje12_326_ana9,390,11,1,1)),'12.326'!A:D,4,0),"-")</f>
        <v>9531413000177</v>
      </c>
    </row>
    <row r="392" customFormat="false" ht="14.4" hidden="false" customHeight="false" outlineLevel="0" collapsed="false">
      <c r="A392" s="27" t="n">
        <v>11100501</v>
      </c>
      <c r="B392" s="27" t="s">
        <v>1951</v>
      </c>
      <c r="C392" s="43" t="n">
        <v>154.88</v>
      </c>
      <c r="D392" s="27" t="n">
        <v>3.16</v>
      </c>
      <c r="E392" s="27" t="n">
        <v>12</v>
      </c>
      <c r="F392" s="27" t="n">
        <v>13.17</v>
      </c>
      <c r="G392" s="27" t="s">
        <v>1875</v>
      </c>
      <c r="H392" s="27" t="s">
        <v>2011</v>
      </c>
      <c r="I392" s="27" t="s">
        <v>1876</v>
      </c>
      <c r="J392" s="27" t="s">
        <v>2022</v>
      </c>
      <c r="K392" s="27" t="n">
        <v>1257</v>
      </c>
      <c r="L392" s="27" t="n">
        <v>702</v>
      </c>
      <c r="M392" s="28" t="n">
        <f aca="false">IFERROR(VLOOKUP((OFFSET(hoje12_326_ana9,391,10,1,1)&amp;"."&amp;OFFSET(hoje12_326_ana9,391,11,1,1)),'12.326'!A:D,4,0),"-")</f>
        <v>9531413000177</v>
      </c>
    </row>
    <row r="393" customFormat="false" ht="14.4" hidden="false" customHeight="false" outlineLevel="0" collapsed="false">
      <c r="A393" s="27" t="n">
        <v>11100261</v>
      </c>
      <c r="B393" s="27" t="s">
        <v>1929</v>
      </c>
      <c r="C393" s="43" t="n">
        <v>45.14</v>
      </c>
      <c r="D393" s="27" t="n">
        <v>5.02</v>
      </c>
      <c r="E393" s="27" t="n">
        <v>6</v>
      </c>
      <c r="F393" s="27" t="n">
        <v>8.36</v>
      </c>
      <c r="G393" s="27" t="s">
        <v>1875</v>
      </c>
      <c r="H393" s="27" t="s">
        <v>1895</v>
      </c>
      <c r="I393" s="27" t="s">
        <v>1876</v>
      </c>
      <c r="J393" s="27" t="s">
        <v>2023</v>
      </c>
      <c r="K393" s="27" t="n">
        <v>1257</v>
      </c>
      <c r="L393" s="27" t="n">
        <v>702</v>
      </c>
      <c r="M393" s="28" t="n">
        <f aca="false">IFERROR(VLOOKUP((OFFSET(hoje12_326_ana9,392,10,1,1)&amp;"."&amp;OFFSET(hoje12_326_ana9,392,11,1,1)),'12.326'!A:D,4,0),"-")</f>
        <v>9531413000177</v>
      </c>
    </row>
    <row r="394" customFormat="false" ht="14.4" hidden="false" customHeight="false" outlineLevel="0" collapsed="false">
      <c r="A394" s="27" t="n">
        <v>11100264</v>
      </c>
      <c r="B394" s="27" t="s">
        <v>1933</v>
      </c>
      <c r="C394" s="43" t="n">
        <v>45.14</v>
      </c>
      <c r="D394" s="27" t="n">
        <v>5.02</v>
      </c>
      <c r="E394" s="27" t="n">
        <v>6</v>
      </c>
      <c r="F394" s="27" t="n">
        <v>8.36</v>
      </c>
      <c r="G394" s="27" t="s">
        <v>1875</v>
      </c>
      <c r="H394" s="27" t="s">
        <v>1895</v>
      </c>
      <c r="I394" s="27" t="s">
        <v>1876</v>
      </c>
      <c r="J394" s="27" t="s">
        <v>2023</v>
      </c>
      <c r="K394" s="27" t="n">
        <v>1257</v>
      </c>
      <c r="L394" s="27" t="n">
        <v>702</v>
      </c>
      <c r="M394" s="28" t="n">
        <f aca="false">IFERROR(VLOOKUP((OFFSET(hoje12_326_ana9,393,10,1,1)&amp;"."&amp;OFFSET(hoje12_326_ana9,393,11,1,1)),'12.326'!A:D,4,0),"-")</f>
        <v>9531413000177</v>
      </c>
    </row>
    <row r="395" customFormat="false" ht="14.4" hidden="false" customHeight="false" outlineLevel="0" collapsed="false">
      <c r="A395" s="27" t="n">
        <v>11100677</v>
      </c>
      <c r="B395" s="27" t="s">
        <v>1956</v>
      </c>
      <c r="C395" s="43" t="n">
        <v>38.98</v>
      </c>
      <c r="D395" s="27" t="n">
        <v>3.38</v>
      </c>
      <c r="E395" s="27" t="n">
        <v>12</v>
      </c>
      <c r="F395" s="27" t="n">
        <v>3.53</v>
      </c>
      <c r="G395" s="27" t="s">
        <v>1875</v>
      </c>
      <c r="H395" s="27" t="s">
        <v>1960</v>
      </c>
      <c r="I395" s="27" t="s">
        <v>1876</v>
      </c>
      <c r="J395" s="27" t="s">
        <v>2089</v>
      </c>
      <c r="K395" s="27" t="n">
        <v>1257</v>
      </c>
      <c r="L395" s="27" t="n">
        <v>702</v>
      </c>
      <c r="M395" s="28" t="n">
        <f aca="false">IFERROR(VLOOKUP((OFFSET(hoje12_326_ana9,394,10,1,1)&amp;"."&amp;OFFSET(hoje12_326_ana9,394,11,1,1)),'12.326'!A:D,4,0),"-")</f>
        <v>9531413000177</v>
      </c>
    </row>
    <row r="396" customFormat="false" ht="14.4" hidden="false" customHeight="false" outlineLevel="0" collapsed="false">
      <c r="A396" s="27" t="n">
        <v>11100724</v>
      </c>
      <c r="B396" s="27" t="s">
        <v>1962</v>
      </c>
      <c r="C396" s="43" t="n">
        <v>194.88</v>
      </c>
      <c r="D396" s="27" t="n">
        <v>16.92</v>
      </c>
      <c r="E396" s="27" t="n">
        <v>60</v>
      </c>
      <c r="F396" s="27" t="n">
        <v>3.53</v>
      </c>
      <c r="G396" s="27" t="s">
        <v>1875</v>
      </c>
      <c r="H396" s="27" t="s">
        <v>1960</v>
      </c>
      <c r="I396" s="27" t="s">
        <v>1876</v>
      </c>
      <c r="J396" s="27" t="s">
        <v>2024</v>
      </c>
      <c r="K396" s="27" t="n">
        <v>1257</v>
      </c>
      <c r="L396" s="27" t="n">
        <v>702</v>
      </c>
      <c r="M396" s="28" t="n">
        <f aca="false">IFERROR(VLOOKUP((OFFSET(hoje12_326_ana9,395,10,1,1)&amp;"."&amp;OFFSET(hoje12_326_ana9,395,11,1,1)),'12.326'!A:D,4,0),"-")</f>
        <v>9531413000177</v>
      </c>
    </row>
    <row r="397" customFormat="false" ht="14.4" hidden="false" customHeight="false" outlineLevel="0" collapsed="false">
      <c r="A397" s="27" t="n">
        <v>11100695</v>
      </c>
      <c r="B397" s="27" t="s">
        <v>1959</v>
      </c>
      <c r="C397" s="43" t="n">
        <v>116.57</v>
      </c>
      <c r="D397" s="27" t="n">
        <v>10.15</v>
      </c>
      <c r="E397" s="27" t="n">
        <v>36</v>
      </c>
      <c r="F397" s="27" t="n">
        <v>3.52</v>
      </c>
      <c r="G397" s="27" t="s">
        <v>1875</v>
      </c>
      <c r="H397" s="27" t="s">
        <v>1960</v>
      </c>
      <c r="I397" s="27" t="s">
        <v>1876</v>
      </c>
      <c r="J397" s="27" t="s">
        <v>2025</v>
      </c>
      <c r="K397" s="27" t="n">
        <v>1257</v>
      </c>
      <c r="L397" s="27" t="n">
        <v>702</v>
      </c>
      <c r="M397" s="28" t="n">
        <f aca="false">IFERROR(VLOOKUP((OFFSET(hoje12_326_ana9,396,10,1,1)&amp;"."&amp;OFFSET(hoje12_326_ana9,396,11,1,1)),'12.326'!A:D,4,0),"-")</f>
        <v>9531413000177</v>
      </c>
    </row>
    <row r="398" customFormat="false" ht="14.4" hidden="false" customHeight="false" outlineLevel="0" collapsed="false">
      <c r="A398" s="27" t="n">
        <v>11100837</v>
      </c>
      <c r="B398" s="27" t="s">
        <v>1971</v>
      </c>
      <c r="C398" s="43" t="n">
        <v>75.48</v>
      </c>
      <c r="D398" s="27" t="n">
        <v>0</v>
      </c>
      <c r="E398" s="27" t="n">
        <v>6</v>
      </c>
      <c r="F398" s="27" t="n">
        <v>12.58</v>
      </c>
      <c r="G398" s="27" t="s">
        <v>1875</v>
      </c>
      <c r="H398" s="27" t="s">
        <v>68</v>
      </c>
      <c r="I398" s="27" t="s">
        <v>1876</v>
      </c>
      <c r="J398" s="27" t="s">
        <v>1877</v>
      </c>
      <c r="K398" s="27" t="n">
        <v>1257</v>
      </c>
      <c r="L398" s="27" t="n">
        <v>702</v>
      </c>
      <c r="M398" s="28" t="n">
        <f aca="false">IFERROR(VLOOKUP((OFFSET(hoje12_326_ana9,397,10,1,1)&amp;"."&amp;OFFSET(hoje12_326_ana9,397,11,1,1)),'12.326'!A:D,4,0),"-")</f>
        <v>9531413000177</v>
      </c>
    </row>
    <row r="399" customFormat="false" ht="14.4" hidden="false" customHeight="false" outlineLevel="0" collapsed="false">
      <c r="A399" s="27" t="n">
        <v>11100740</v>
      </c>
      <c r="B399" s="27" t="s">
        <v>2032</v>
      </c>
      <c r="C399" s="43" t="n">
        <v>46.44</v>
      </c>
      <c r="D399" s="27" t="n">
        <v>0</v>
      </c>
      <c r="E399" s="27" t="n">
        <v>12</v>
      </c>
      <c r="F399" s="27" t="n">
        <v>3.87</v>
      </c>
      <c r="G399" s="27" t="s">
        <v>1875</v>
      </c>
      <c r="H399" s="27" t="s">
        <v>68</v>
      </c>
      <c r="I399" s="27" t="s">
        <v>1876</v>
      </c>
      <c r="J399" s="27" t="s">
        <v>1877</v>
      </c>
      <c r="K399" s="27" t="n">
        <v>1257</v>
      </c>
      <c r="L399" s="27" t="n">
        <v>702</v>
      </c>
      <c r="M399" s="28" t="n">
        <f aca="false">IFERROR(VLOOKUP((OFFSET(hoje12_326_ana9,398,10,1,1)&amp;"."&amp;OFFSET(hoje12_326_ana9,398,11,1,1)),'12.326'!A:D,4,0),"-")</f>
        <v>9531413000177</v>
      </c>
    </row>
    <row r="400" customFormat="false" ht="14.4" hidden="false" customHeight="false" outlineLevel="0" collapsed="false">
      <c r="A400" s="27" t="n">
        <v>11100216</v>
      </c>
      <c r="B400" s="27" t="s">
        <v>1923</v>
      </c>
      <c r="C400" s="43" t="n">
        <v>69.36</v>
      </c>
      <c r="D400" s="27" t="n">
        <v>0</v>
      </c>
      <c r="E400" s="27" t="n">
        <v>12</v>
      </c>
      <c r="F400" s="27" t="n">
        <v>5.78</v>
      </c>
      <c r="G400" s="27" t="s">
        <v>1875</v>
      </c>
      <c r="H400" s="27" t="s">
        <v>68</v>
      </c>
      <c r="I400" s="27" t="s">
        <v>1876</v>
      </c>
      <c r="J400" s="27" t="s">
        <v>1877</v>
      </c>
      <c r="K400" s="27" t="n">
        <v>1257</v>
      </c>
      <c r="L400" s="27" t="n">
        <v>702</v>
      </c>
      <c r="M400" s="28" t="n">
        <f aca="false">IFERROR(VLOOKUP((OFFSET(hoje12_326_ana9,399,10,1,1)&amp;"."&amp;OFFSET(hoje12_326_ana9,399,11,1,1)),'12.326'!A:D,4,0),"-")</f>
        <v>9531413000177</v>
      </c>
    </row>
    <row r="401" customFormat="false" ht="14.4" hidden="false" customHeight="false" outlineLevel="0" collapsed="false">
      <c r="A401" s="27" t="n">
        <v>11100239</v>
      </c>
      <c r="B401" s="27" t="s">
        <v>1924</v>
      </c>
      <c r="C401" s="43" t="n">
        <v>399</v>
      </c>
      <c r="D401" s="27" t="n">
        <v>0</v>
      </c>
      <c r="E401" s="27" t="n">
        <v>84</v>
      </c>
      <c r="F401" s="27" t="n">
        <v>4.75</v>
      </c>
      <c r="G401" s="27" t="s">
        <v>1875</v>
      </c>
      <c r="H401" s="27" t="s">
        <v>68</v>
      </c>
      <c r="I401" s="27" t="s">
        <v>1876</v>
      </c>
      <c r="J401" s="27" t="s">
        <v>1877</v>
      </c>
      <c r="K401" s="27" t="n">
        <v>1257</v>
      </c>
      <c r="L401" s="27" t="n">
        <v>702</v>
      </c>
      <c r="M401" s="28" t="n">
        <f aca="false">IFERROR(VLOOKUP((OFFSET(hoje12_326_ana9,400,10,1,1)&amp;"."&amp;OFFSET(hoje12_326_ana9,400,11,1,1)),'12.326'!A:D,4,0),"-")</f>
        <v>9531413000177</v>
      </c>
    </row>
    <row r="402" customFormat="false" ht="14.4" hidden="false" customHeight="false" outlineLevel="0" collapsed="false">
      <c r="A402" s="27" t="n">
        <v>11100214</v>
      </c>
      <c r="B402" s="27" t="s">
        <v>1922</v>
      </c>
      <c r="C402" s="43" t="n">
        <v>571.68</v>
      </c>
      <c r="D402" s="27" t="n">
        <v>5.76</v>
      </c>
      <c r="E402" s="27" t="n">
        <v>144</v>
      </c>
      <c r="F402" s="27" t="n">
        <v>4.01</v>
      </c>
      <c r="G402" s="27" t="s">
        <v>1875</v>
      </c>
      <c r="H402" s="27" t="s">
        <v>1948</v>
      </c>
      <c r="I402" s="27" t="s">
        <v>1876</v>
      </c>
      <c r="J402" s="27" t="s">
        <v>2042</v>
      </c>
      <c r="K402" s="27" t="n">
        <v>1257</v>
      </c>
      <c r="L402" s="27" t="n">
        <v>702</v>
      </c>
      <c r="M402" s="28" t="n">
        <f aca="false">IFERROR(VLOOKUP((OFFSET(hoje12_326_ana9,401,10,1,1)&amp;"."&amp;OFFSET(hoje12_326_ana9,401,11,1,1)),'12.326'!A:D,4,0),"-")</f>
        <v>9531413000177</v>
      </c>
    </row>
    <row r="403" customFormat="false" ht="14.4" hidden="false" customHeight="false" outlineLevel="0" collapsed="false">
      <c r="A403" s="27" t="n">
        <v>11100747</v>
      </c>
      <c r="B403" s="27" t="s">
        <v>1999</v>
      </c>
      <c r="C403" s="43" t="n">
        <v>27.8</v>
      </c>
      <c r="D403" s="27" t="n">
        <v>11.92</v>
      </c>
      <c r="E403" s="27" t="n">
        <v>12</v>
      </c>
      <c r="F403" s="27" t="n">
        <v>3.31</v>
      </c>
      <c r="G403" s="27" t="s">
        <v>1875</v>
      </c>
      <c r="H403" s="27" t="s">
        <v>1990</v>
      </c>
      <c r="I403" s="27" t="s">
        <v>1876</v>
      </c>
      <c r="J403" s="27" t="s">
        <v>2060</v>
      </c>
      <c r="K403" s="27" t="n">
        <v>1258</v>
      </c>
      <c r="L403" s="27" t="n">
        <v>702</v>
      </c>
      <c r="M403" s="28" t="n">
        <f aca="false">IFERROR(VLOOKUP((OFFSET(hoje12_326_ana9,402,10,1,1)&amp;"."&amp;OFFSET(hoje12_326_ana9,402,11,1,1)),'12.326'!A:D,4,0),"-")</f>
        <v>9531413000410</v>
      </c>
    </row>
    <row r="404" customFormat="false" ht="14.4" hidden="false" customHeight="false" outlineLevel="0" collapsed="false">
      <c r="A404" s="27" t="n">
        <v>11100751</v>
      </c>
      <c r="B404" s="27" t="s">
        <v>1995</v>
      </c>
      <c r="C404" s="43" t="n">
        <v>27.8</v>
      </c>
      <c r="D404" s="27" t="n">
        <v>11.92</v>
      </c>
      <c r="E404" s="27" t="n">
        <v>12</v>
      </c>
      <c r="F404" s="27" t="n">
        <v>3.31</v>
      </c>
      <c r="G404" s="27" t="s">
        <v>1875</v>
      </c>
      <c r="H404" s="27" t="s">
        <v>1990</v>
      </c>
      <c r="I404" s="27" t="s">
        <v>1876</v>
      </c>
      <c r="J404" s="27" t="s">
        <v>2060</v>
      </c>
      <c r="K404" s="27" t="n">
        <v>1258</v>
      </c>
      <c r="L404" s="27" t="n">
        <v>702</v>
      </c>
      <c r="M404" s="28" t="n">
        <f aca="false">IFERROR(VLOOKUP((OFFSET(hoje12_326_ana9,403,10,1,1)&amp;"."&amp;OFFSET(hoje12_326_ana9,403,11,1,1)),'12.326'!A:D,4,0),"-")</f>
        <v>9531413000410</v>
      </c>
    </row>
    <row r="405" customFormat="false" ht="14.4" hidden="false" customHeight="false" outlineLevel="0" collapsed="false">
      <c r="A405" s="27" t="n">
        <v>11100282</v>
      </c>
      <c r="B405" s="27" t="s">
        <v>2102</v>
      </c>
      <c r="C405" s="43" t="n">
        <v>45.7</v>
      </c>
      <c r="D405" s="27" t="n">
        <v>4.46</v>
      </c>
      <c r="E405" s="27" t="n">
        <v>6</v>
      </c>
      <c r="F405" s="27" t="n">
        <v>8.36</v>
      </c>
      <c r="G405" s="27" t="s">
        <v>1875</v>
      </c>
      <c r="H405" s="27" t="s">
        <v>2103</v>
      </c>
      <c r="I405" s="27" t="s">
        <v>1876</v>
      </c>
      <c r="J405" s="27" t="s">
        <v>2104</v>
      </c>
      <c r="K405" s="27" t="n">
        <v>1258</v>
      </c>
      <c r="L405" s="27" t="n">
        <v>702</v>
      </c>
      <c r="M405" s="28" t="n">
        <f aca="false">IFERROR(VLOOKUP((OFFSET(hoje12_326_ana9,404,10,1,1)&amp;"."&amp;OFFSET(hoje12_326_ana9,404,11,1,1)),'12.326'!A:D,4,0),"-")</f>
        <v>9531413000410</v>
      </c>
    </row>
    <row r="406" customFormat="false" ht="14.4" hidden="false" customHeight="false" outlineLevel="0" collapsed="false">
      <c r="A406" s="27" t="n">
        <v>11100861</v>
      </c>
      <c r="B406" s="27" t="s">
        <v>1992</v>
      </c>
      <c r="C406" s="43" t="n">
        <v>21.66</v>
      </c>
      <c r="D406" s="27" t="n">
        <v>2.25</v>
      </c>
      <c r="E406" s="27" t="n">
        <v>3</v>
      </c>
      <c r="F406" s="27" t="n">
        <v>7.97</v>
      </c>
      <c r="G406" s="27" t="s">
        <v>1875</v>
      </c>
      <c r="H406" s="27" t="s">
        <v>1993</v>
      </c>
      <c r="I406" s="27" t="s">
        <v>1876</v>
      </c>
      <c r="J406" s="27" t="s">
        <v>2092</v>
      </c>
      <c r="K406" s="27" t="n">
        <v>1258</v>
      </c>
      <c r="L406" s="27" t="n">
        <v>702</v>
      </c>
      <c r="M406" s="28" t="n">
        <f aca="false">IFERROR(VLOOKUP((OFFSET(hoje12_326_ana9,405,10,1,1)&amp;"."&amp;OFFSET(hoje12_326_ana9,405,11,1,1)),'12.326'!A:D,4,0),"-")</f>
        <v>9531413000410</v>
      </c>
    </row>
    <row r="407" customFormat="false" ht="14.4" hidden="false" customHeight="false" outlineLevel="0" collapsed="false">
      <c r="A407" s="27" t="n">
        <v>11100778</v>
      </c>
      <c r="B407" s="27" t="s">
        <v>1997</v>
      </c>
      <c r="C407" s="43" t="n">
        <v>27.8</v>
      </c>
      <c r="D407" s="27" t="n">
        <v>11.92</v>
      </c>
      <c r="E407" s="27" t="n">
        <v>12</v>
      </c>
      <c r="F407" s="27" t="n">
        <v>3.31</v>
      </c>
      <c r="G407" s="27" t="s">
        <v>1875</v>
      </c>
      <c r="H407" s="27" t="s">
        <v>1990</v>
      </c>
      <c r="I407" s="27" t="s">
        <v>1876</v>
      </c>
      <c r="J407" s="27" t="s">
        <v>2060</v>
      </c>
      <c r="K407" s="27" t="n">
        <v>1258</v>
      </c>
      <c r="L407" s="27" t="n">
        <v>702</v>
      </c>
      <c r="M407" s="28" t="n">
        <f aca="false">IFERROR(VLOOKUP((OFFSET(hoje12_326_ana9,406,10,1,1)&amp;"."&amp;OFFSET(hoje12_326_ana9,406,11,1,1)),'12.326'!A:D,4,0),"-")</f>
        <v>9531413000410</v>
      </c>
    </row>
    <row r="408" customFormat="false" ht="14.4" hidden="false" customHeight="false" outlineLevel="0" collapsed="false">
      <c r="A408" s="27" t="n">
        <v>11100238</v>
      </c>
      <c r="B408" s="27" t="s">
        <v>2006</v>
      </c>
      <c r="C408" s="43" t="n">
        <v>139.34</v>
      </c>
      <c r="D408" s="27" t="n">
        <v>13.78</v>
      </c>
      <c r="E408" s="27" t="n">
        <v>48</v>
      </c>
      <c r="F408" s="27" t="n">
        <v>3.19</v>
      </c>
      <c r="G408" s="27" t="s">
        <v>1875</v>
      </c>
      <c r="H408" s="27" t="s">
        <v>2007</v>
      </c>
      <c r="I408" s="27" t="s">
        <v>1876</v>
      </c>
      <c r="J408" s="27" t="s">
        <v>2105</v>
      </c>
      <c r="K408" s="27" t="n">
        <v>1258</v>
      </c>
      <c r="L408" s="27" t="n">
        <v>702</v>
      </c>
      <c r="M408" s="28" t="n">
        <f aca="false">IFERROR(VLOOKUP((OFFSET(hoje12_326_ana9,407,10,1,1)&amp;"."&amp;OFFSET(hoje12_326_ana9,407,11,1,1)),'12.326'!A:D,4,0),"-")</f>
        <v>9531413000410</v>
      </c>
    </row>
    <row r="409" customFormat="false" ht="14.4" hidden="false" customHeight="false" outlineLevel="0" collapsed="false">
      <c r="A409" s="27" t="n">
        <v>11100093</v>
      </c>
      <c r="B409" s="27" t="s">
        <v>1911</v>
      </c>
      <c r="C409" s="43" t="n">
        <v>389.28</v>
      </c>
      <c r="D409" s="27" t="n">
        <v>0</v>
      </c>
      <c r="E409" s="27" t="n">
        <v>48</v>
      </c>
      <c r="F409" s="27" t="n">
        <v>8.11</v>
      </c>
      <c r="G409" s="27" t="s">
        <v>1875</v>
      </c>
      <c r="H409" s="27" t="s">
        <v>68</v>
      </c>
      <c r="I409" s="27" t="s">
        <v>1876</v>
      </c>
      <c r="J409" s="27" t="s">
        <v>1877</v>
      </c>
      <c r="K409" s="27" t="n">
        <v>1258</v>
      </c>
      <c r="L409" s="27" t="n">
        <v>702</v>
      </c>
      <c r="M409" s="28" t="n">
        <f aca="false">IFERROR(VLOOKUP((OFFSET(hoje12_326_ana9,408,10,1,1)&amp;"."&amp;OFFSET(hoje12_326_ana9,408,11,1,1)),'12.326'!A:D,4,0),"-")</f>
        <v>9531413000410</v>
      </c>
    </row>
    <row r="410" customFormat="false" ht="14.4" hidden="false" customHeight="false" outlineLevel="0" collapsed="false">
      <c r="A410" s="27" t="n">
        <v>11100145</v>
      </c>
      <c r="B410" s="27" t="s">
        <v>1915</v>
      </c>
      <c r="C410" s="43" t="n">
        <v>123.84</v>
      </c>
      <c r="D410" s="27" t="n">
        <v>3.84</v>
      </c>
      <c r="E410" s="27" t="n">
        <v>24</v>
      </c>
      <c r="F410" s="27" t="n">
        <v>5.32</v>
      </c>
      <c r="G410" s="27" t="s">
        <v>1875</v>
      </c>
      <c r="H410" s="27" t="s">
        <v>2009</v>
      </c>
      <c r="I410" s="27" t="s">
        <v>1876</v>
      </c>
      <c r="J410" s="27" t="s">
        <v>2106</v>
      </c>
      <c r="K410" s="27" t="n">
        <v>1258</v>
      </c>
      <c r="L410" s="27" t="n">
        <v>702</v>
      </c>
      <c r="M410" s="28" t="n">
        <f aca="false">IFERROR(VLOOKUP((OFFSET(hoje12_326_ana9,409,10,1,1)&amp;"."&amp;OFFSET(hoje12_326_ana9,409,11,1,1)),'12.326'!A:D,4,0),"-")</f>
        <v>9531413000410</v>
      </c>
    </row>
    <row r="411" customFormat="false" ht="14.4" hidden="false" customHeight="false" outlineLevel="0" collapsed="false">
      <c r="A411" s="27" t="n">
        <v>11100191</v>
      </c>
      <c r="B411" s="27" t="s">
        <v>1919</v>
      </c>
      <c r="C411" s="43" t="n">
        <v>128.04</v>
      </c>
      <c r="D411" s="27" t="n">
        <v>3.96</v>
      </c>
      <c r="E411" s="27" t="n">
        <v>12</v>
      </c>
      <c r="F411" s="27" t="n">
        <v>11</v>
      </c>
      <c r="G411" s="27" t="s">
        <v>1875</v>
      </c>
      <c r="H411" s="27" t="s">
        <v>2009</v>
      </c>
      <c r="I411" s="27" t="s">
        <v>1876</v>
      </c>
      <c r="J411" s="27" t="s">
        <v>2065</v>
      </c>
      <c r="K411" s="27" t="n">
        <v>1258</v>
      </c>
      <c r="L411" s="27" t="n">
        <v>702</v>
      </c>
      <c r="M411" s="28" t="n">
        <f aca="false">IFERROR(VLOOKUP((OFFSET(hoje12_326_ana9,410,10,1,1)&amp;"."&amp;OFFSET(hoje12_326_ana9,410,11,1,1)),'12.326'!A:D,4,0),"-")</f>
        <v>9531413000410</v>
      </c>
    </row>
    <row r="412" customFormat="false" ht="14.4" hidden="false" customHeight="false" outlineLevel="0" collapsed="false">
      <c r="A412" s="27" t="n">
        <v>11100091</v>
      </c>
      <c r="B412" s="27" t="s">
        <v>1910</v>
      </c>
      <c r="C412" s="43" t="n">
        <v>732.42</v>
      </c>
      <c r="D412" s="27" t="n">
        <v>22.62</v>
      </c>
      <c r="E412" s="27" t="n">
        <v>156</v>
      </c>
      <c r="F412" s="27" t="n">
        <v>4.84</v>
      </c>
      <c r="G412" s="27" t="s">
        <v>1875</v>
      </c>
      <c r="H412" s="27" t="s">
        <v>2009</v>
      </c>
      <c r="I412" s="27" t="s">
        <v>1876</v>
      </c>
      <c r="J412" s="27" t="s">
        <v>2107</v>
      </c>
      <c r="K412" s="27" t="n">
        <v>1258</v>
      </c>
      <c r="L412" s="27" t="n">
        <v>702</v>
      </c>
      <c r="M412" s="28" t="n">
        <f aca="false">IFERROR(VLOOKUP((OFFSET(hoje12_326_ana9,411,10,1,1)&amp;"."&amp;OFFSET(hoje12_326_ana9,411,11,1,1)),'12.326'!A:D,4,0),"-")</f>
        <v>9531413000410</v>
      </c>
    </row>
    <row r="413" customFormat="false" ht="14.4" hidden="false" customHeight="false" outlineLevel="0" collapsed="false">
      <c r="A413" s="27" t="n">
        <v>11100155</v>
      </c>
      <c r="B413" s="27" t="s">
        <v>1917</v>
      </c>
      <c r="C413" s="43" t="n">
        <v>128.04</v>
      </c>
      <c r="D413" s="27" t="n">
        <v>3.96</v>
      </c>
      <c r="E413" s="27" t="n">
        <v>12</v>
      </c>
      <c r="F413" s="27" t="n">
        <v>11</v>
      </c>
      <c r="G413" s="27" t="s">
        <v>1875</v>
      </c>
      <c r="H413" s="27" t="s">
        <v>2009</v>
      </c>
      <c r="I413" s="27" t="s">
        <v>1876</v>
      </c>
      <c r="J413" s="27" t="s">
        <v>2065</v>
      </c>
      <c r="K413" s="27" t="n">
        <v>1258</v>
      </c>
      <c r="L413" s="27" t="n">
        <v>702</v>
      </c>
      <c r="M413" s="28" t="n">
        <f aca="false">IFERROR(VLOOKUP((OFFSET(hoje12_326_ana9,412,10,1,1)&amp;"."&amp;OFFSET(hoje12_326_ana9,412,11,1,1)),'12.326'!A:D,4,0),"-")</f>
        <v>9531413000410</v>
      </c>
    </row>
    <row r="414" customFormat="false" ht="14.4" hidden="false" customHeight="false" outlineLevel="0" collapsed="false">
      <c r="A414" s="27" t="n">
        <v>11100937</v>
      </c>
      <c r="B414" s="27" t="s">
        <v>2015</v>
      </c>
      <c r="C414" s="43" t="n">
        <v>94.4</v>
      </c>
      <c r="D414" s="27" t="n">
        <v>0</v>
      </c>
      <c r="E414" s="27" t="n">
        <v>4</v>
      </c>
      <c r="F414" s="27" t="n">
        <v>23.6</v>
      </c>
      <c r="G414" s="27" t="s">
        <v>1875</v>
      </c>
      <c r="H414" s="27" t="s">
        <v>68</v>
      </c>
      <c r="I414" s="27" t="s">
        <v>1876</v>
      </c>
      <c r="J414" s="27" t="s">
        <v>1877</v>
      </c>
      <c r="K414" s="27" t="n">
        <v>1258</v>
      </c>
      <c r="L414" s="27" t="n">
        <v>702</v>
      </c>
      <c r="M414" s="28" t="n">
        <f aca="false">IFERROR(VLOOKUP((OFFSET(hoje12_326_ana9,413,10,1,1)&amp;"."&amp;OFFSET(hoje12_326_ana9,413,11,1,1)),'12.326'!A:D,4,0),"-")</f>
        <v>9531413000410</v>
      </c>
    </row>
    <row r="415" customFormat="false" ht="14.4" hidden="false" customHeight="false" outlineLevel="0" collapsed="false">
      <c r="A415" s="27" t="n">
        <v>11100318</v>
      </c>
      <c r="B415" s="27" t="s">
        <v>1938</v>
      </c>
      <c r="C415" s="43" t="n">
        <v>54.84</v>
      </c>
      <c r="D415" s="27" t="n">
        <v>0</v>
      </c>
      <c r="E415" s="27" t="n">
        <v>12</v>
      </c>
      <c r="F415" s="27" t="n">
        <v>4.57</v>
      </c>
      <c r="G415" s="27" t="s">
        <v>1875</v>
      </c>
      <c r="H415" s="27" t="s">
        <v>68</v>
      </c>
      <c r="I415" s="27" t="s">
        <v>1876</v>
      </c>
      <c r="J415" s="27" t="s">
        <v>1877</v>
      </c>
      <c r="K415" s="27" t="n">
        <v>1258</v>
      </c>
      <c r="L415" s="27" t="n">
        <v>702</v>
      </c>
      <c r="M415" s="28" t="n">
        <f aca="false">IFERROR(VLOOKUP((OFFSET(hoje12_326_ana9,414,10,1,1)&amp;"."&amp;OFFSET(hoje12_326_ana9,414,11,1,1)),'12.326'!A:D,4,0),"-")</f>
        <v>9531413000410</v>
      </c>
    </row>
    <row r="416" customFormat="false" ht="14.4" hidden="false" customHeight="false" outlineLevel="0" collapsed="false">
      <c r="A416" s="27" t="n">
        <v>11100820</v>
      </c>
      <c r="B416" s="27" t="s">
        <v>1963</v>
      </c>
      <c r="C416" s="43" t="n">
        <v>149.9</v>
      </c>
      <c r="D416" s="27" t="n">
        <v>16.66</v>
      </c>
      <c r="E416" s="27" t="n">
        <v>24</v>
      </c>
      <c r="F416" s="27" t="n">
        <v>6.94</v>
      </c>
      <c r="G416" s="27" t="s">
        <v>1875</v>
      </c>
      <c r="H416" s="27" t="s">
        <v>1895</v>
      </c>
      <c r="I416" s="27" t="s">
        <v>1876</v>
      </c>
      <c r="J416" s="27" t="s">
        <v>2108</v>
      </c>
      <c r="K416" s="27" t="n">
        <v>1258</v>
      </c>
      <c r="L416" s="27" t="n">
        <v>702</v>
      </c>
      <c r="M416" s="28" t="n">
        <f aca="false">IFERROR(VLOOKUP((OFFSET(hoje12_326_ana9,415,10,1,1)&amp;"."&amp;OFFSET(hoje12_326_ana9,415,11,1,1)),'12.326'!A:D,4,0),"-")</f>
        <v>9531413000410</v>
      </c>
    </row>
    <row r="417" customFormat="false" ht="14.4" hidden="false" customHeight="false" outlineLevel="0" collapsed="false">
      <c r="A417" s="27" t="n">
        <v>11100826</v>
      </c>
      <c r="B417" s="27" t="s">
        <v>1968</v>
      </c>
      <c r="C417" s="43" t="n">
        <v>74.95</v>
      </c>
      <c r="D417" s="27" t="n">
        <v>8.33</v>
      </c>
      <c r="E417" s="27" t="n">
        <v>12</v>
      </c>
      <c r="F417" s="27" t="n">
        <v>6.94</v>
      </c>
      <c r="G417" s="27" t="s">
        <v>1875</v>
      </c>
      <c r="H417" s="27" t="s">
        <v>1895</v>
      </c>
      <c r="I417" s="27" t="s">
        <v>1876</v>
      </c>
      <c r="J417" s="27" t="s">
        <v>2019</v>
      </c>
      <c r="K417" s="27" t="n">
        <v>1258</v>
      </c>
      <c r="L417" s="27" t="n">
        <v>702</v>
      </c>
      <c r="M417" s="28" t="n">
        <f aca="false">IFERROR(VLOOKUP((OFFSET(hoje12_326_ana9,416,10,1,1)&amp;"."&amp;OFFSET(hoje12_326_ana9,416,11,1,1)),'12.326'!A:D,4,0),"-")</f>
        <v>9531413000410</v>
      </c>
    </row>
    <row r="418" customFormat="false" ht="14.4" hidden="false" customHeight="false" outlineLevel="0" collapsed="false">
      <c r="A418" s="27" t="n">
        <v>11100822</v>
      </c>
      <c r="B418" s="27" t="s">
        <v>1966</v>
      </c>
      <c r="C418" s="43" t="n">
        <v>37.48</v>
      </c>
      <c r="D418" s="27" t="n">
        <v>4.16</v>
      </c>
      <c r="E418" s="27" t="n">
        <v>6</v>
      </c>
      <c r="F418" s="27" t="n">
        <v>6.94</v>
      </c>
      <c r="G418" s="27" t="s">
        <v>1875</v>
      </c>
      <c r="H418" s="27" t="s">
        <v>1895</v>
      </c>
      <c r="I418" s="27" t="s">
        <v>1876</v>
      </c>
      <c r="J418" s="27" t="s">
        <v>2016</v>
      </c>
      <c r="K418" s="27" t="n">
        <v>1258</v>
      </c>
      <c r="L418" s="27" t="n">
        <v>702</v>
      </c>
      <c r="M418" s="28" t="n">
        <f aca="false">IFERROR(VLOOKUP((OFFSET(hoje12_326_ana9,417,10,1,1)&amp;"."&amp;OFFSET(hoje12_326_ana9,417,11,1,1)),'12.326'!A:D,4,0),"-")</f>
        <v>9531413000410</v>
      </c>
    </row>
    <row r="419" customFormat="false" ht="14.4" hidden="false" customHeight="false" outlineLevel="0" collapsed="false">
      <c r="A419" s="27" t="n">
        <v>11100824</v>
      </c>
      <c r="B419" s="27" t="s">
        <v>1967</v>
      </c>
      <c r="C419" s="43" t="n">
        <v>37.48</v>
      </c>
      <c r="D419" s="27" t="n">
        <v>4.16</v>
      </c>
      <c r="E419" s="27" t="n">
        <v>6</v>
      </c>
      <c r="F419" s="27" t="n">
        <v>6.94</v>
      </c>
      <c r="G419" s="27" t="s">
        <v>1875</v>
      </c>
      <c r="H419" s="27" t="s">
        <v>1895</v>
      </c>
      <c r="I419" s="27" t="s">
        <v>1876</v>
      </c>
      <c r="J419" s="27" t="s">
        <v>2016</v>
      </c>
      <c r="K419" s="27" t="n">
        <v>1258</v>
      </c>
      <c r="L419" s="27" t="n">
        <v>702</v>
      </c>
      <c r="M419" s="28" t="n">
        <f aca="false">IFERROR(VLOOKUP((OFFSET(hoje12_326_ana9,418,10,1,1)&amp;"."&amp;OFFSET(hoje12_326_ana9,418,11,1,1)),'12.326'!A:D,4,0),"-")</f>
        <v>9531413000410</v>
      </c>
    </row>
    <row r="420" customFormat="false" ht="14.4" hidden="false" customHeight="false" outlineLevel="0" collapsed="false">
      <c r="A420" s="27" t="n">
        <v>11100501</v>
      </c>
      <c r="B420" s="27" t="s">
        <v>1951</v>
      </c>
      <c r="C420" s="43" t="n">
        <v>77.44</v>
      </c>
      <c r="D420" s="27" t="n">
        <v>1.58</v>
      </c>
      <c r="E420" s="27" t="n">
        <v>6</v>
      </c>
      <c r="F420" s="27" t="n">
        <v>13.17</v>
      </c>
      <c r="G420" s="27" t="s">
        <v>1875</v>
      </c>
      <c r="H420" s="27" t="s">
        <v>2011</v>
      </c>
      <c r="I420" s="27" t="s">
        <v>1876</v>
      </c>
      <c r="J420" s="27" t="s">
        <v>2020</v>
      </c>
      <c r="K420" s="27" t="n">
        <v>1258</v>
      </c>
      <c r="L420" s="27" t="n">
        <v>702</v>
      </c>
      <c r="M420" s="28" t="n">
        <f aca="false">IFERROR(VLOOKUP((OFFSET(hoje12_326_ana9,419,10,1,1)&amp;"."&amp;OFFSET(hoje12_326_ana9,419,11,1,1)),'12.326'!A:D,4,0),"-")</f>
        <v>9531413000410</v>
      </c>
    </row>
    <row r="421" customFormat="false" ht="14.4" hidden="false" customHeight="false" outlineLevel="0" collapsed="false">
      <c r="A421" s="27" t="n">
        <v>11100264</v>
      </c>
      <c r="B421" s="27" t="s">
        <v>1933</v>
      </c>
      <c r="C421" s="43" t="n">
        <v>45.14</v>
      </c>
      <c r="D421" s="27" t="n">
        <v>5.02</v>
      </c>
      <c r="E421" s="27" t="n">
        <v>6</v>
      </c>
      <c r="F421" s="27" t="n">
        <v>8.36</v>
      </c>
      <c r="G421" s="27" t="s">
        <v>1875</v>
      </c>
      <c r="H421" s="27" t="s">
        <v>1895</v>
      </c>
      <c r="I421" s="27" t="s">
        <v>1876</v>
      </c>
      <c r="J421" s="27" t="s">
        <v>2023</v>
      </c>
      <c r="K421" s="27" t="n">
        <v>1258</v>
      </c>
      <c r="L421" s="27" t="n">
        <v>702</v>
      </c>
      <c r="M421" s="28" t="n">
        <f aca="false">IFERROR(VLOOKUP((OFFSET(hoje12_326_ana9,420,10,1,1)&amp;"."&amp;OFFSET(hoje12_326_ana9,420,11,1,1)),'12.326'!A:D,4,0),"-")</f>
        <v>9531413000410</v>
      </c>
    </row>
    <row r="422" customFormat="false" ht="14.4" hidden="false" customHeight="false" outlineLevel="0" collapsed="false">
      <c r="A422" s="27" t="n">
        <v>11100262</v>
      </c>
      <c r="B422" s="27" t="s">
        <v>1931</v>
      </c>
      <c r="C422" s="43" t="n">
        <v>45.09</v>
      </c>
      <c r="D422" s="27" t="n">
        <v>5.01</v>
      </c>
      <c r="E422" s="27" t="n">
        <v>6</v>
      </c>
      <c r="F422" s="27" t="n">
        <v>8.35</v>
      </c>
      <c r="G422" s="27" t="s">
        <v>1875</v>
      </c>
      <c r="H422" s="27" t="s">
        <v>1895</v>
      </c>
      <c r="I422" s="27" t="s">
        <v>1876</v>
      </c>
      <c r="J422" s="27" t="s">
        <v>2023</v>
      </c>
      <c r="K422" s="27" t="n">
        <v>1258</v>
      </c>
      <c r="L422" s="27" t="n">
        <v>702</v>
      </c>
      <c r="M422" s="28" t="n">
        <f aca="false">IFERROR(VLOOKUP((OFFSET(hoje12_326_ana9,421,10,1,1)&amp;"."&amp;OFFSET(hoje12_326_ana9,421,11,1,1)),'12.326'!A:D,4,0),"-")</f>
        <v>9531413000410</v>
      </c>
    </row>
    <row r="423" customFormat="false" ht="14.4" hidden="false" customHeight="false" outlineLevel="0" collapsed="false">
      <c r="A423" s="27" t="n">
        <v>11100724</v>
      </c>
      <c r="B423" s="27" t="s">
        <v>1962</v>
      </c>
      <c r="C423" s="43" t="n">
        <v>77.95</v>
      </c>
      <c r="D423" s="27" t="n">
        <v>6.77</v>
      </c>
      <c r="E423" s="27" t="n">
        <v>24</v>
      </c>
      <c r="F423" s="27" t="n">
        <v>3.53</v>
      </c>
      <c r="G423" s="27" t="s">
        <v>1875</v>
      </c>
      <c r="H423" s="27" t="s">
        <v>1960</v>
      </c>
      <c r="I423" s="27" t="s">
        <v>1876</v>
      </c>
      <c r="J423" s="27" t="s">
        <v>2066</v>
      </c>
      <c r="K423" s="27" t="n">
        <v>1258</v>
      </c>
      <c r="L423" s="27" t="n">
        <v>702</v>
      </c>
      <c r="M423" s="28" t="n">
        <f aca="false">IFERROR(VLOOKUP((OFFSET(hoje12_326_ana9,422,10,1,1)&amp;"."&amp;OFFSET(hoje12_326_ana9,422,11,1,1)),'12.326'!A:D,4,0),"-")</f>
        <v>9531413000410</v>
      </c>
    </row>
    <row r="424" customFormat="false" ht="14.4" hidden="false" customHeight="false" outlineLevel="0" collapsed="false">
      <c r="A424" s="27" t="n">
        <v>11100830</v>
      </c>
      <c r="B424" s="27" t="s">
        <v>1969</v>
      </c>
      <c r="C424" s="43" t="n">
        <v>73.17</v>
      </c>
      <c r="D424" s="27" t="n">
        <v>8.13</v>
      </c>
      <c r="E424" s="27" t="n">
        <v>6</v>
      </c>
      <c r="F424" s="27" t="n">
        <v>13.55</v>
      </c>
      <c r="G424" s="27" t="s">
        <v>1875</v>
      </c>
      <c r="H424" s="27" t="s">
        <v>1895</v>
      </c>
      <c r="I424" s="27" t="s">
        <v>1876</v>
      </c>
      <c r="J424" s="27" t="s">
        <v>2026</v>
      </c>
      <c r="K424" s="27" t="n">
        <v>1258</v>
      </c>
      <c r="L424" s="27" t="n">
        <v>702</v>
      </c>
      <c r="M424" s="28" t="n">
        <f aca="false">IFERROR(VLOOKUP((OFFSET(hoje12_326_ana9,423,10,1,1)&amp;"."&amp;OFFSET(hoje12_326_ana9,423,11,1,1)),'12.326'!A:D,4,0),"-")</f>
        <v>9531413000410</v>
      </c>
    </row>
    <row r="425" customFormat="false" ht="14.4" hidden="false" customHeight="false" outlineLevel="0" collapsed="false">
      <c r="A425" s="27" t="n">
        <v>11100841</v>
      </c>
      <c r="B425" s="27" t="s">
        <v>1974</v>
      </c>
      <c r="C425" s="43" t="n">
        <v>43.04</v>
      </c>
      <c r="D425" s="27" t="n">
        <v>4.78</v>
      </c>
      <c r="E425" s="27" t="n">
        <v>6</v>
      </c>
      <c r="F425" s="27" t="n">
        <v>7.97</v>
      </c>
      <c r="G425" s="27" t="s">
        <v>1875</v>
      </c>
      <c r="H425" s="27" t="s">
        <v>1895</v>
      </c>
      <c r="I425" s="27" t="s">
        <v>1876</v>
      </c>
      <c r="J425" s="27" t="s">
        <v>2027</v>
      </c>
      <c r="K425" s="27" t="n">
        <v>1258</v>
      </c>
      <c r="L425" s="27" t="n">
        <v>702</v>
      </c>
      <c r="M425" s="28" t="n">
        <f aca="false">IFERROR(VLOOKUP((OFFSET(hoje12_326_ana9,424,10,1,1)&amp;"."&amp;OFFSET(hoje12_326_ana9,424,11,1,1)),'12.326'!A:D,4,0),"-")</f>
        <v>9531413000410</v>
      </c>
    </row>
    <row r="426" customFormat="false" ht="14.4" hidden="false" customHeight="false" outlineLevel="0" collapsed="false">
      <c r="A426" s="27" t="n">
        <v>11100849</v>
      </c>
      <c r="B426" s="27" t="s">
        <v>1976</v>
      </c>
      <c r="C426" s="43" t="n">
        <v>69.55</v>
      </c>
      <c r="D426" s="27" t="n">
        <v>2.15</v>
      </c>
      <c r="E426" s="27" t="n">
        <v>6</v>
      </c>
      <c r="F426" s="27" t="n">
        <v>11.95</v>
      </c>
      <c r="G426" s="27" t="s">
        <v>1875</v>
      </c>
      <c r="H426" s="27" t="s">
        <v>2009</v>
      </c>
      <c r="I426" s="27" t="s">
        <v>1876</v>
      </c>
      <c r="J426" s="27" t="s">
        <v>2109</v>
      </c>
      <c r="K426" s="27" t="n">
        <v>1258</v>
      </c>
      <c r="L426" s="27" t="n">
        <v>702</v>
      </c>
      <c r="M426" s="28" t="n">
        <f aca="false">IFERROR(VLOOKUP((OFFSET(hoje12_326_ana9,425,10,1,1)&amp;"."&amp;OFFSET(hoje12_326_ana9,425,11,1,1)),'12.326'!A:D,4,0),"-")</f>
        <v>9531413000410</v>
      </c>
    </row>
    <row r="427" customFormat="false" ht="14.4" hidden="false" customHeight="false" outlineLevel="0" collapsed="false">
      <c r="A427" s="27" t="n">
        <v>11100728</v>
      </c>
      <c r="B427" s="27" t="s">
        <v>1885</v>
      </c>
      <c r="C427" s="43" t="n">
        <v>23.22</v>
      </c>
      <c r="D427" s="27" t="n">
        <v>3.78</v>
      </c>
      <c r="E427" s="27" t="n">
        <v>12</v>
      </c>
      <c r="F427" s="27" t="n">
        <v>2.25</v>
      </c>
      <c r="G427" s="27" t="s">
        <v>1875</v>
      </c>
      <c r="H427" s="27" t="s">
        <v>2030</v>
      </c>
      <c r="I427" s="27" t="s">
        <v>1876</v>
      </c>
      <c r="J427" s="27" t="s">
        <v>2110</v>
      </c>
      <c r="K427" s="27" t="n">
        <v>1258</v>
      </c>
      <c r="L427" s="27" t="n">
        <v>702</v>
      </c>
      <c r="M427" s="28" t="n">
        <f aca="false">IFERROR(VLOOKUP((OFFSET(hoje12_326_ana9,426,10,1,1)&amp;"."&amp;OFFSET(hoje12_326_ana9,426,11,1,1)),'12.326'!A:D,4,0),"-")</f>
        <v>9531413000410</v>
      </c>
    </row>
    <row r="428" customFormat="false" ht="14.4" hidden="false" customHeight="false" outlineLevel="0" collapsed="false">
      <c r="A428" s="27" t="n">
        <v>11100205</v>
      </c>
      <c r="B428" s="27" t="s">
        <v>1921</v>
      </c>
      <c r="C428" s="43" t="n">
        <v>76.8</v>
      </c>
      <c r="D428" s="27" t="n">
        <v>0</v>
      </c>
      <c r="E428" s="27" t="n">
        <v>12</v>
      </c>
      <c r="F428" s="27" t="n">
        <v>6.4</v>
      </c>
      <c r="G428" s="27" t="s">
        <v>1875</v>
      </c>
      <c r="H428" s="27" t="s">
        <v>68</v>
      </c>
      <c r="I428" s="27" t="s">
        <v>1876</v>
      </c>
      <c r="J428" s="27" t="s">
        <v>1877</v>
      </c>
      <c r="K428" s="27" t="n">
        <v>1258</v>
      </c>
      <c r="L428" s="27" t="n">
        <v>702</v>
      </c>
      <c r="M428" s="28" t="n">
        <f aca="false">IFERROR(VLOOKUP((OFFSET(hoje12_326_ana9,427,10,1,1)&amp;"."&amp;OFFSET(hoje12_326_ana9,427,11,1,1)),'12.326'!A:D,4,0),"-")</f>
        <v>9531413000410</v>
      </c>
    </row>
    <row r="429" customFormat="false" ht="14.4" hidden="false" customHeight="false" outlineLevel="0" collapsed="false">
      <c r="A429" s="27" t="n">
        <v>11100239</v>
      </c>
      <c r="B429" s="27" t="s">
        <v>1924</v>
      </c>
      <c r="C429" s="43" t="n">
        <v>57</v>
      </c>
      <c r="D429" s="27" t="n">
        <v>0</v>
      </c>
      <c r="E429" s="27" t="n">
        <v>12</v>
      </c>
      <c r="F429" s="27" t="n">
        <v>4.75</v>
      </c>
      <c r="G429" s="27" t="s">
        <v>1875</v>
      </c>
      <c r="H429" s="27" t="s">
        <v>68</v>
      </c>
      <c r="I429" s="27" t="s">
        <v>1876</v>
      </c>
      <c r="J429" s="27" t="s">
        <v>1877</v>
      </c>
      <c r="K429" s="27" t="n">
        <v>1258</v>
      </c>
      <c r="L429" s="27" t="n">
        <v>702</v>
      </c>
      <c r="M429" s="28" t="n">
        <f aca="false">IFERROR(VLOOKUP((OFFSET(hoje12_326_ana9,428,10,1,1)&amp;"."&amp;OFFSET(hoje12_326_ana9,428,11,1,1)),'12.326'!A:D,4,0),"-")</f>
        <v>9531413000410</v>
      </c>
    </row>
    <row r="430" customFormat="false" ht="14.4" hidden="false" customHeight="false" outlineLevel="0" collapsed="false">
      <c r="A430" s="27" t="n">
        <v>11101000</v>
      </c>
      <c r="B430" s="27" t="s">
        <v>1886</v>
      </c>
      <c r="C430" s="43" t="n">
        <v>68.97</v>
      </c>
      <c r="D430" s="27" t="n">
        <v>0</v>
      </c>
      <c r="E430" s="27" t="n">
        <v>3</v>
      </c>
      <c r="F430" s="27" t="n">
        <v>22.99</v>
      </c>
      <c r="G430" s="27" t="s">
        <v>1875</v>
      </c>
      <c r="H430" s="27" t="s">
        <v>68</v>
      </c>
      <c r="I430" s="27" t="s">
        <v>1876</v>
      </c>
      <c r="J430" s="27" t="s">
        <v>1877</v>
      </c>
      <c r="K430" s="27" t="n">
        <v>702001</v>
      </c>
      <c r="L430" s="27" t="n">
        <v>702</v>
      </c>
      <c r="M430" s="28" t="n">
        <f aca="false">IFERROR(VLOOKUP((OFFSET(hoje12_326_ana9,429,10,1,1)&amp;"."&amp;OFFSET(hoje12_326_ana9,429,11,1,1)),'12.326'!A:D,4,0),"-")</f>
        <v>35831943000655</v>
      </c>
    </row>
    <row r="431" customFormat="false" ht="14.4" hidden="false" customHeight="false" outlineLevel="0" collapsed="false">
      <c r="A431" s="27" t="n">
        <v>11100998</v>
      </c>
      <c r="B431" s="27" t="s">
        <v>1887</v>
      </c>
      <c r="C431" s="43" t="n">
        <v>45.03</v>
      </c>
      <c r="D431" s="27" t="n">
        <v>0</v>
      </c>
      <c r="E431" s="27" t="n">
        <v>3</v>
      </c>
      <c r="F431" s="27" t="n">
        <v>15.01</v>
      </c>
      <c r="G431" s="27" t="s">
        <v>1875</v>
      </c>
      <c r="H431" s="27" t="s">
        <v>68</v>
      </c>
      <c r="I431" s="27" t="s">
        <v>1876</v>
      </c>
      <c r="J431" s="27" t="s">
        <v>1877</v>
      </c>
      <c r="K431" s="27" t="n">
        <v>702001</v>
      </c>
      <c r="L431" s="27" t="n">
        <v>702</v>
      </c>
      <c r="M431" s="28" t="n">
        <f aca="false">IFERROR(VLOOKUP((OFFSET(hoje12_326_ana9,430,10,1,1)&amp;"."&amp;OFFSET(hoje12_326_ana9,430,11,1,1)),'12.326'!A:D,4,0),"-")</f>
        <v>35831943000655</v>
      </c>
    </row>
    <row r="432" customFormat="false" ht="14.4" hidden="false" customHeight="false" outlineLevel="0" collapsed="false">
      <c r="A432" s="27" t="n">
        <v>11101004</v>
      </c>
      <c r="B432" s="27" t="s">
        <v>1888</v>
      </c>
      <c r="C432" s="43" t="n">
        <v>32.28</v>
      </c>
      <c r="D432" s="27" t="n">
        <v>0</v>
      </c>
      <c r="E432" s="27" t="n">
        <v>3</v>
      </c>
      <c r="F432" s="27" t="n">
        <v>10.76</v>
      </c>
      <c r="G432" s="27" t="s">
        <v>1875</v>
      </c>
      <c r="H432" s="27" t="s">
        <v>68</v>
      </c>
      <c r="I432" s="27" t="s">
        <v>1876</v>
      </c>
      <c r="J432" s="27" t="s">
        <v>1877</v>
      </c>
      <c r="K432" s="27" t="n">
        <v>702001</v>
      </c>
      <c r="L432" s="27" t="n">
        <v>702</v>
      </c>
      <c r="M432" s="28" t="n">
        <f aca="false">IFERROR(VLOOKUP((OFFSET(hoje12_326_ana9,431,10,1,1)&amp;"."&amp;OFFSET(hoje12_326_ana9,431,11,1,1)),'12.326'!A:D,4,0),"-")</f>
        <v>35831943000655</v>
      </c>
    </row>
    <row r="433" customFormat="false" ht="14.4" hidden="false" customHeight="false" outlineLevel="0" collapsed="false">
      <c r="A433" s="27" t="n">
        <v>11101003</v>
      </c>
      <c r="B433" s="27" t="s">
        <v>1889</v>
      </c>
      <c r="C433" s="43" t="n">
        <v>32.28</v>
      </c>
      <c r="D433" s="27" t="n">
        <v>0</v>
      </c>
      <c r="E433" s="27" t="n">
        <v>3</v>
      </c>
      <c r="F433" s="27" t="n">
        <v>10.76</v>
      </c>
      <c r="G433" s="27" t="s">
        <v>1875</v>
      </c>
      <c r="H433" s="27" t="s">
        <v>68</v>
      </c>
      <c r="I433" s="27" t="s">
        <v>1876</v>
      </c>
      <c r="J433" s="27" t="s">
        <v>1877</v>
      </c>
      <c r="K433" s="27" t="n">
        <v>702001</v>
      </c>
      <c r="L433" s="27" t="n">
        <v>702</v>
      </c>
      <c r="M433" s="28" t="n">
        <f aca="false">IFERROR(VLOOKUP((OFFSET(hoje12_326_ana9,432,10,1,1)&amp;"."&amp;OFFSET(hoje12_326_ana9,432,11,1,1)),'12.326'!A:D,4,0),"-")</f>
        <v>35831943000655</v>
      </c>
    </row>
    <row r="434" customFormat="false" ht="14.4" hidden="false" customHeight="false" outlineLevel="0" collapsed="false">
      <c r="A434" s="27" t="n">
        <v>11100066</v>
      </c>
      <c r="B434" s="27" t="s">
        <v>2111</v>
      </c>
      <c r="C434" s="43" t="n">
        <v>150.65</v>
      </c>
      <c r="D434" s="27" t="n">
        <v>26.59</v>
      </c>
      <c r="E434" s="27" t="n">
        <v>12</v>
      </c>
      <c r="F434" s="27" t="n">
        <v>14.77</v>
      </c>
      <c r="G434" s="27" t="s">
        <v>1875</v>
      </c>
      <c r="H434" s="27" t="s">
        <v>1892</v>
      </c>
      <c r="I434" s="27" t="s">
        <v>1876</v>
      </c>
      <c r="J434" s="27" t="s">
        <v>2112</v>
      </c>
      <c r="K434" s="27" t="n">
        <v>2406</v>
      </c>
      <c r="L434" s="27" t="n">
        <v>703</v>
      </c>
      <c r="M434" s="28" t="n">
        <f aca="false">IFERROR(VLOOKUP((OFFSET(hoje12_326_ana9,433,10,1,1)&amp;"."&amp;OFFSET(hoje12_326_ana9,433,11,1,1)),'12.326'!A:D,4,0),"-")</f>
        <v>1274396000390</v>
      </c>
    </row>
    <row r="435" customFormat="false" ht="14.4" hidden="false" customHeight="false" outlineLevel="0" collapsed="false">
      <c r="A435" s="27" t="n">
        <v>11100542</v>
      </c>
      <c r="B435" s="27" t="s">
        <v>2113</v>
      </c>
      <c r="C435" s="43" t="n">
        <v>119.04</v>
      </c>
      <c r="D435" s="27" t="n">
        <v>21</v>
      </c>
      <c r="E435" s="27" t="n">
        <v>12</v>
      </c>
      <c r="F435" s="27" t="n">
        <v>11.67</v>
      </c>
      <c r="G435" s="27" t="s">
        <v>1875</v>
      </c>
      <c r="H435" s="27" t="s">
        <v>1892</v>
      </c>
      <c r="I435" s="27" t="s">
        <v>1876</v>
      </c>
      <c r="J435" s="27" t="s">
        <v>2114</v>
      </c>
      <c r="K435" s="27" t="n">
        <v>2406</v>
      </c>
      <c r="L435" s="27" t="n">
        <v>703</v>
      </c>
      <c r="M435" s="28" t="n">
        <f aca="false">IFERROR(VLOOKUP((OFFSET(hoje12_326_ana9,434,10,1,1)&amp;"."&amp;OFFSET(hoje12_326_ana9,434,11,1,1)),'12.326'!A:D,4,0),"-")</f>
        <v>1274396000390</v>
      </c>
    </row>
    <row r="436" customFormat="false" ht="14.4" hidden="false" customHeight="false" outlineLevel="0" collapsed="false">
      <c r="A436" s="27" t="n">
        <v>11100543</v>
      </c>
      <c r="B436" s="27" t="s">
        <v>2115</v>
      </c>
      <c r="C436" s="43" t="n">
        <v>174.92</v>
      </c>
      <c r="D436" s="27" t="n">
        <v>30.88</v>
      </c>
      <c r="E436" s="27" t="n">
        <v>12</v>
      </c>
      <c r="F436" s="27" t="n">
        <v>17.15</v>
      </c>
      <c r="G436" s="27" t="s">
        <v>1875</v>
      </c>
      <c r="H436" s="27" t="s">
        <v>1892</v>
      </c>
      <c r="I436" s="27" t="s">
        <v>1876</v>
      </c>
      <c r="J436" s="27" t="s">
        <v>2116</v>
      </c>
      <c r="K436" s="27" t="n">
        <v>2406</v>
      </c>
      <c r="L436" s="27" t="n">
        <v>703</v>
      </c>
      <c r="M436" s="28" t="n">
        <f aca="false">IFERROR(VLOOKUP((OFFSET(hoje12_326_ana9,435,10,1,1)&amp;"."&amp;OFFSET(hoje12_326_ana9,435,11,1,1)),'12.326'!A:D,4,0),"-")</f>
        <v>1274396000390</v>
      </c>
    </row>
    <row r="437" customFormat="false" ht="14.4" hidden="false" customHeight="false" outlineLevel="0" collapsed="false">
      <c r="A437" s="27" t="n">
        <v>11100985</v>
      </c>
      <c r="B437" s="27" t="s">
        <v>1906</v>
      </c>
      <c r="C437" s="43" t="n">
        <v>213.79</v>
      </c>
      <c r="D437" s="27" t="n">
        <v>37.73</v>
      </c>
      <c r="E437" s="27" t="n">
        <v>12</v>
      </c>
      <c r="F437" s="27" t="n">
        <v>20.96</v>
      </c>
      <c r="G437" s="27" t="s">
        <v>1875</v>
      </c>
      <c r="H437" s="27" t="s">
        <v>1892</v>
      </c>
      <c r="I437" s="27" t="s">
        <v>1876</v>
      </c>
      <c r="J437" s="27" t="s">
        <v>2117</v>
      </c>
      <c r="K437" s="27" t="n">
        <v>2406</v>
      </c>
      <c r="L437" s="27" t="n">
        <v>703</v>
      </c>
      <c r="M437" s="28" t="n">
        <f aca="false">IFERROR(VLOOKUP((OFFSET(hoje12_326_ana9,436,10,1,1)&amp;"."&amp;OFFSET(hoje12_326_ana9,436,11,1,1)),'12.326'!A:D,4,0),"-")</f>
        <v>1274396000390</v>
      </c>
    </row>
    <row r="438" customFormat="false" ht="14.4" hidden="false" customHeight="false" outlineLevel="0" collapsed="false">
      <c r="A438" s="27" t="n">
        <v>11100986</v>
      </c>
      <c r="B438" s="27" t="s">
        <v>1902</v>
      </c>
      <c r="C438" s="43" t="n">
        <v>176.05</v>
      </c>
      <c r="D438" s="27" t="n">
        <v>31.07</v>
      </c>
      <c r="E438" s="27" t="n">
        <v>12</v>
      </c>
      <c r="F438" s="27" t="n">
        <v>17.26</v>
      </c>
      <c r="G438" s="27" t="s">
        <v>1875</v>
      </c>
      <c r="H438" s="27" t="s">
        <v>1892</v>
      </c>
      <c r="I438" s="27" t="s">
        <v>1876</v>
      </c>
      <c r="J438" s="27" t="s">
        <v>2118</v>
      </c>
      <c r="K438" s="27" t="n">
        <v>2406</v>
      </c>
      <c r="L438" s="27" t="n">
        <v>703</v>
      </c>
      <c r="M438" s="28" t="n">
        <f aca="false">IFERROR(VLOOKUP((OFFSET(hoje12_326_ana9,437,10,1,1)&amp;"."&amp;OFFSET(hoje12_326_ana9,437,11,1,1)),'12.326'!A:D,4,0),"-")</f>
        <v>1274396000390</v>
      </c>
    </row>
    <row r="439" customFormat="false" ht="14.4" hidden="false" customHeight="false" outlineLevel="0" collapsed="false">
      <c r="A439" s="27" t="n">
        <v>11100987</v>
      </c>
      <c r="B439" s="27" t="s">
        <v>1890</v>
      </c>
      <c r="C439" s="43" t="n">
        <v>213.19</v>
      </c>
      <c r="D439" s="27" t="n">
        <v>37.61</v>
      </c>
      <c r="E439" s="27" t="n">
        <v>24</v>
      </c>
      <c r="F439" s="27" t="n">
        <v>10.45</v>
      </c>
      <c r="G439" s="27" t="s">
        <v>1875</v>
      </c>
      <c r="H439" s="27" t="s">
        <v>1892</v>
      </c>
      <c r="I439" s="27" t="s">
        <v>1876</v>
      </c>
      <c r="J439" s="27" t="s">
        <v>2119</v>
      </c>
      <c r="K439" s="27" t="n">
        <v>2406</v>
      </c>
      <c r="L439" s="27" t="n">
        <v>703</v>
      </c>
      <c r="M439" s="28" t="n">
        <f aca="false">IFERROR(VLOOKUP((OFFSET(hoje12_326_ana9,438,10,1,1)&amp;"."&amp;OFFSET(hoje12_326_ana9,438,11,1,1)),'12.326'!A:D,4,0),"-")</f>
        <v>1274396000390</v>
      </c>
    </row>
    <row r="440" customFormat="false" ht="14.4" hidden="false" customHeight="false" outlineLevel="0" collapsed="false">
      <c r="A440" s="27" t="n">
        <v>11100988</v>
      </c>
      <c r="B440" s="27" t="s">
        <v>1894</v>
      </c>
      <c r="C440" s="43" t="n">
        <v>70.38</v>
      </c>
      <c r="D440" s="27" t="n">
        <v>12.42</v>
      </c>
      <c r="E440" s="27" t="n">
        <v>12</v>
      </c>
      <c r="F440" s="27" t="n">
        <v>6.9</v>
      </c>
      <c r="G440" s="27" t="s">
        <v>1875</v>
      </c>
      <c r="H440" s="27" t="s">
        <v>1892</v>
      </c>
      <c r="I440" s="27" t="s">
        <v>1876</v>
      </c>
      <c r="J440" s="27" t="s">
        <v>2120</v>
      </c>
      <c r="K440" s="27" t="n">
        <v>2406</v>
      </c>
      <c r="L440" s="27" t="n">
        <v>703</v>
      </c>
      <c r="M440" s="28" t="n">
        <f aca="false">IFERROR(VLOOKUP((OFFSET(hoje12_326_ana9,439,10,1,1)&amp;"."&amp;OFFSET(hoje12_326_ana9,439,11,1,1)),'12.326'!A:D,4,0),"-")</f>
        <v>1274396000390</v>
      </c>
    </row>
    <row r="441" customFormat="false" ht="14.4" hidden="false" customHeight="false" outlineLevel="0" collapsed="false">
      <c r="A441" s="27" t="n">
        <v>11100989</v>
      </c>
      <c r="B441" s="27" t="s">
        <v>1904</v>
      </c>
      <c r="C441" s="43" t="n">
        <v>134.23</v>
      </c>
      <c r="D441" s="27" t="n">
        <v>23.69</v>
      </c>
      <c r="E441" s="27" t="n">
        <v>24</v>
      </c>
      <c r="F441" s="27" t="n">
        <v>6.58</v>
      </c>
      <c r="G441" s="27" t="s">
        <v>1875</v>
      </c>
      <c r="H441" s="27" t="s">
        <v>1892</v>
      </c>
      <c r="I441" s="27" t="s">
        <v>1876</v>
      </c>
      <c r="J441" s="27" t="s">
        <v>2121</v>
      </c>
      <c r="K441" s="27" t="n">
        <v>2406</v>
      </c>
      <c r="L441" s="27" t="n">
        <v>703</v>
      </c>
      <c r="M441" s="28" t="n">
        <f aca="false">IFERROR(VLOOKUP((OFFSET(hoje12_326_ana9,440,10,1,1)&amp;"."&amp;OFFSET(hoje12_326_ana9,440,11,1,1)),'12.326'!A:D,4,0),"-")</f>
        <v>1274396000390</v>
      </c>
    </row>
    <row r="442" customFormat="false" ht="14.4" hidden="false" customHeight="false" outlineLevel="0" collapsed="false">
      <c r="A442" s="27" t="n">
        <v>11100990</v>
      </c>
      <c r="B442" s="27" t="s">
        <v>1900</v>
      </c>
      <c r="C442" s="43" t="n">
        <v>66.3</v>
      </c>
      <c r="D442" s="27" t="n">
        <v>11.7</v>
      </c>
      <c r="E442" s="27" t="n">
        <v>12</v>
      </c>
      <c r="F442" s="27" t="n">
        <v>6.5</v>
      </c>
      <c r="G442" s="27" t="s">
        <v>1875</v>
      </c>
      <c r="H442" s="27" t="s">
        <v>1892</v>
      </c>
      <c r="I442" s="27" t="s">
        <v>1876</v>
      </c>
      <c r="J442" s="27" t="s">
        <v>2122</v>
      </c>
      <c r="K442" s="27" t="n">
        <v>2406</v>
      </c>
      <c r="L442" s="27" t="n">
        <v>703</v>
      </c>
      <c r="M442" s="28" t="n">
        <f aca="false">IFERROR(VLOOKUP((OFFSET(hoje12_326_ana9,441,10,1,1)&amp;"."&amp;OFFSET(hoje12_326_ana9,441,11,1,1)),'12.326'!A:D,4,0),"-")</f>
        <v>1274396000390</v>
      </c>
    </row>
    <row r="443" customFormat="false" ht="14.4" hidden="false" customHeight="false" outlineLevel="0" collapsed="false">
      <c r="A443" s="27" t="n">
        <v>11100992</v>
      </c>
      <c r="B443" s="27" t="s">
        <v>1891</v>
      </c>
      <c r="C443" s="43" t="n">
        <v>156.58</v>
      </c>
      <c r="D443" s="27" t="n">
        <v>27.62</v>
      </c>
      <c r="E443" s="27" t="n">
        <v>12</v>
      </c>
      <c r="F443" s="27" t="n">
        <v>15.35</v>
      </c>
      <c r="G443" s="27" t="s">
        <v>1875</v>
      </c>
      <c r="H443" s="27" t="s">
        <v>1892</v>
      </c>
      <c r="I443" s="27" t="s">
        <v>1876</v>
      </c>
      <c r="J443" s="27" t="s">
        <v>2123</v>
      </c>
      <c r="K443" s="27" t="n">
        <v>2406</v>
      </c>
      <c r="L443" s="27" t="n">
        <v>703</v>
      </c>
      <c r="M443" s="28" t="n">
        <f aca="false">IFERROR(VLOOKUP((OFFSET(hoje12_326_ana9,442,10,1,1)&amp;"."&amp;OFFSET(hoje12_326_ana9,442,11,1,1)),'12.326'!A:D,4,0),"-")</f>
        <v>1274396000390</v>
      </c>
    </row>
    <row r="444" customFormat="false" ht="14.4" hidden="false" customHeight="false" outlineLevel="0" collapsed="false">
      <c r="A444" s="27" t="n">
        <v>11100993</v>
      </c>
      <c r="B444" s="27" t="s">
        <v>1898</v>
      </c>
      <c r="C444" s="43" t="n">
        <v>66.3</v>
      </c>
      <c r="D444" s="27" t="n">
        <v>11.7</v>
      </c>
      <c r="E444" s="27" t="n">
        <v>12</v>
      </c>
      <c r="F444" s="27" t="n">
        <v>6.5</v>
      </c>
      <c r="G444" s="27" t="s">
        <v>1875</v>
      </c>
      <c r="H444" s="27" t="s">
        <v>1892</v>
      </c>
      <c r="I444" s="27" t="s">
        <v>1876</v>
      </c>
      <c r="J444" s="27" t="s">
        <v>2122</v>
      </c>
      <c r="K444" s="27" t="n">
        <v>2406</v>
      </c>
      <c r="L444" s="27" t="n">
        <v>703</v>
      </c>
      <c r="M444" s="28" t="n">
        <f aca="false">IFERROR(VLOOKUP((OFFSET(hoje12_326_ana9,443,10,1,1)&amp;"."&amp;OFFSET(hoje12_326_ana9,443,11,1,1)),'12.326'!A:D,4,0),"-")</f>
        <v>1274396000390</v>
      </c>
    </row>
    <row r="445" customFormat="false" ht="14.4" hidden="false" customHeight="false" outlineLevel="0" collapsed="false">
      <c r="A445" s="27" t="n">
        <v>11100998</v>
      </c>
      <c r="B445" s="27" t="s">
        <v>1887</v>
      </c>
      <c r="C445" s="43" t="n">
        <v>153.11</v>
      </c>
      <c r="D445" s="27" t="n">
        <v>27.01</v>
      </c>
      <c r="E445" s="27" t="n">
        <v>12</v>
      </c>
      <c r="F445" s="27" t="n">
        <v>15.01</v>
      </c>
      <c r="G445" s="27" t="s">
        <v>1875</v>
      </c>
      <c r="H445" s="27" t="s">
        <v>1892</v>
      </c>
      <c r="I445" s="27" t="s">
        <v>1876</v>
      </c>
      <c r="J445" s="27" t="s">
        <v>2124</v>
      </c>
      <c r="K445" s="27" t="n">
        <v>2406</v>
      </c>
      <c r="L445" s="27" t="n">
        <v>703</v>
      </c>
      <c r="M445" s="28" t="n">
        <f aca="false">IFERROR(VLOOKUP((OFFSET(hoje12_326_ana9,444,10,1,1)&amp;"."&amp;OFFSET(hoje12_326_ana9,444,11,1,1)),'12.326'!A:D,4,0),"-")</f>
        <v>1274396000390</v>
      </c>
    </row>
    <row r="446" customFormat="false" ht="14.4" hidden="false" customHeight="false" outlineLevel="0" collapsed="false">
      <c r="A446" s="27" t="n">
        <v>11101003</v>
      </c>
      <c r="B446" s="27" t="s">
        <v>1889</v>
      </c>
      <c r="C446" s="43" t="n">
        <v>109.75</v>
      </c>
      <c r="D446" s="27" t="n">
        <v>19.37</v>
      </c>
      <c r="E446" s="27" t="n">
        <v>12</v>
      </c>
      <c r="F446" s="27" t="n">
        <v>10.76</v>
      </c>
      <c r="G446" s="27" t="s">
        <v>1875</v>
      </c>
      <c r="H446" s="27" t="s">
        <v>1892</v>
      </c>
      <c r="I446" s="27" t="s">
        <v>1876</v>
      </c>
      <c r="J446" s="27" t="s">
        <v>1893</v>
      </c>
      <c r="K446" s="27" t="n">
        <v>2406</v>
      </c>
      <c r="L446" s="27" t="n">
        <v>703</v>
      </c>
      <c r="M446" s="28" t="n">
        <f aca="false">IFERROR(VLOOKUP((OFFSET(hoje12_326_ana9,445,10,1,1)&amp;"."&amp;OFFSET(hoje12_326_ana9,445,11,1,1)),'12.326'!A:D,4,0),"-")</f>
        <v>1274396000390</v>
      </c>
    </row>
    <row r="447" customFormat="false" ht="14.4" hidden="false" customHeight="false" outlineLevel="0" collapsed="false">
      <c r="A447" s="27" t="n">
        <v>11101004</v>
      </c>
      <c r="B447" s="27" t="s">
        <v>1888</v>
      </c>
      <c r="C447" s="43" t="n">
        <v>109.75</v>
      </c>
      <c r="D447" s="27" t="n">
        <v>19.37</v>
      </c>
      <c r="E447" s="27" t="n">
        <v>12</v>
      </c>
      <c r="F447" s="27" t="n">
        <v>10.76</v>
      </c>
      <c r="G447" s="27" t="s">
        <v>1875</v>
      </c>
      <c r="H447" s="27" t="s">
        <v>1892</v>
      </c>
      <c r="I447" s="27" t="s">
        <v>1876</v>
      </c>
      <c r="J447" s="27" t="s">
        <v>1893</v>
      </c>
      <c r="K447" s="27" t="n">
        <v>2406</v>
      </c>
      <c r="L447" s="27" t="n">
        <v>703</v>
      </c>
      <c r="M447" s="28" t="n">
        <f aca="false">IFERROR(VLOOKUP((OFFSET(hoje12_326_ana9,446,10,1,1)&amp;"."&amp;OFFSET(hoje12_326_ana9,446,11,1,1)),'12.326'!A:D,4,0),"-")</f>
        <v>1274396000390</v>
      </c>
    </row>
    <row r="448" customFormat="false" ht="14.4" hidden="false" customHeight="false" outlineLevel="0" collapsed="false">
      <c r="A448" s="27" t="n">
        <v>11100995</v>
      </c>
      <c r="B448" s="27" t="s">
        <v>1897</v>
      </c>
      <c r="C448" s="43" t="n">
        <v>178.08</v>
      </c>
      <c r="D448" s="27" t="n">
        <v>0</v>
      </c>
      <c r="E448" s="27" t="n">
        <v>12</v>
      </c>
      <c r="F448" s="27" t="n">
        <v>14.84</v>
      </c>
      <c r="G448" s="27" t="s">
        <v>1875</v>
      </c>
      <c r="H448" s="27" t="s">
        <v>68</v>
      </c>
      <c r="I448" s="27" t="s">
        <v>1876</v>
      </c>
      <c r="J448" s="27" t="s">
        <v>1877</v>
      </c>
      <c r="K448" s="27" t="n">
        <v>2406</v>
      </c>
      <c r="L448" s="27" t="n">
        <v>703</v>
      </c>
      <c r="M448" s="28" t="n">
        <f aca="false">IFERROR(VLOOKUP((OFFSET(hoje12_326_ana9,447,10,1,1)&amp;"."&amp;OFFSET(hoje12_326_ana9,447,11,1,1)),'12.326'!A:D,4,0),"-")</f>
        <v>1274396000390</v>
      </c>
    </row>
    <row r="449" customFormat="false" ht="14.4" hidden="false" customHeight="false" outlineLevel="0" collapsed="false">
      <c r="A449" s="27" t="n">
        <v>11100066</v>
      </c>
      <c r="B449" s="27" t="s">
        <v>2111</v>
      </c>
      <c r="C449" s="43" t="n">
        <v>150.65</v>
      </c>
      <c r="D449" s="27" t="n">
        <v>26.59</v>
      </c>
      <c r="E449" s="27" t="n">
        <v>12</v>
      </c>
      <c r="F449" s="27" t="n">
        <v>14.77</v>
      </c>
      <c r="G449" s="27" t="s">
        <v>1875</v>
      </c>
      <c r="H449" s="27" t="s">
        <v>1892</v>
      </c>
      <c r="I449" s="27" t="s">
        <v>1876</v>
      </c>
      <c r="J449" s="27" t="s">
        <v>2112</v>
      </c>
      <c r="K449" s="27" t="n">
        <v>2407</v>
      </c>
      <c r="L449" s="27" t="n">
        <v>703</v>
      </c>
      <c r="M449" s="28" t="n">
        <f aca="false">IFERROR(VLOOKUP((OFFSET(hoje12_326_ana9,448,10,1,1)&amp;"."&amp;OFFSET(hoje12_326_ana9,448,11,1,1)),'12.326'!A:D,4,0),"-")</f>
        <v>1274396000209</v>
      </c>
    </row>
    <row r="450" customFormat="false" ht="14.4" hidden="false" customHeight="false" outlineLevel="0" collapsed="false">
      <c r="A450" s="27" t="n">
        <v>11100542</v>
      </c>
      <c r="B450" s="27" t="s">
        <v>2113</v>
      </c>
      <c r="C450" s="43" t="n">
        <v>119.04</v>
      </c>
      <c r="D450" s="27" t="n">
        <v>21</v>
      </c>
      <c r="E450" s="27" t="n">
        <v>12</v>
      </c>
      <c r="F450" s="27" t="n">
        <v>11.67</v>
      </c>
      <c r="G450" s="27" t="s">
        <v>1875</v>
      </c>
      <c r="H450" s="27" t="s">
        <v>1892</v>
      </c>
      <c r="I450" s="27" t="s">
        <v>1876</v>
      </c>
      <c r="J450" s="27" t="s">
        <v>2114</v>
      </c>
      <c r="K450" s="27" t="n">
        <v>2407</v>
      </c>
      <c r="L450" s="27" t="n">
        <v>703</v>
      </c>
      <c r="M450" s="28" t="n">
        <f aca="false">IFERROR(VLOOKUP((OFFSET(hoje12_326_ana9,449,10,1,1)&amp;"."&amp;OFFSET(hoje12_326_ana9,449,11,1,1)),'12.326'!A:D,4,0),"-")</f>
        <v>1274396000209</v>
      </c>
    </row>
    <row r="451" customFormat="false" ht="14.4" hidden="false" customHeight="false" outlineLevel="0" collapsed="false">
      <c r="A451" s="27" t="n">
        <v>11100543</v>
      </c>
      <c r="B451" s="27" t="s">
        <v>2115</v>
      </c>
      <c r="C451" s="43" t="n">
        <v>174.92</v>
      </c>
      <c r="D451" s="27" t="n">
        <v>30.88</v>
      </c>
      <c r="E451" s="27" t="n">
        <v>12</v>
      </c>
      <c r="F451" s="27" t="n">
        <v>17.15</v>
      </c>
      <c r="G451" s="27" t="s">
        <v>1875</v>
      </c>
      <c r="H451" s="27" t="s">
        <v>1892</v>
      </c>
      <c r="I451" s="27" t="s">
        <v>1876</v>
      </c>
      <c r="J451" s="27" t="s">
        <v>2116</v>
      </c>
      <c r="K451" s="27" t="n">
        <v>2407</v>
      </c>
      <c r="L451" s="27" t="n">
        <v>703</v>
      </c>
      <c r="M451" s="28" t="n">
        <f aca="false">IFERROR(VLOOKUP((OFFSET(hoje12_326_ana9,450,10,1,1)&amp;"."&amp;OFFSET(hoje12_326_ana9,450,11,1,1)),'12.326'!A:D,4,0),"-")</f>
        <v>1274396000209</v>
      </c>
    </row>
    <row r="452" customFormat="false" ht="14.4" hidden="false" customHeight="false" outlineLevel="0" collapsed="false">
      <c r="A452" s="27" t="n">
        <v>11100985</v>
      </c>
      <c r="B452" s="27" t="s">
        <v>1906</v>
      </c>
      <c r="C452" s="43" t="n">
        <v>213.79</v>
      </c>
      <c r="D452" s="27" t="n">
        <v>37.73</v>
      </c>
      <c r="E452" s="27" t="n">
        <v>12</v>
      </c>
      <c r="F452" s="27" t="n">
        <v>20.96</v>
      </c>
      <c r="G452" s="27" t="s">
        <v>1875</v>
      </c>
      <c r="H452" s="27" t="s">
        <v>1892</v>
      </c>
      <c r="I452" s="27" t="s">
        <v>1876</v>
      </c>
      <c r="J452" s="27" t="s">
        <v>2117</v>
      </c>
      <c r="K452" s="27" t="n">
        <v>2407</v>
      </c>
      <c r="L452" s="27" t="n">
        <v>703</v>
      </c>
      <c r="M452" s="28" t="n">
        <f aca="false">IFERROR(VLOOKUP((OFFSET(hoje12_326_ana9,451,10,1,1)&amp;"."&amp;OFFSET(hoje12_326_ana9,451,11,1,1)),'12.326'!A:D,4,0),"-")</f>
        <v>1274396000209</v>
      </c>
    </row>
    <row r="453" customFormat="false" ht="14.4" hidden="false" customHeight="false" outlineLevel="0" collapsed="false">
      <c r="A453" s="27" t="n">
        <v>11100986</v>
      </c>
      <c r="B453" s="27" t="s">
        <v>1902</v>
      </c>
      <c r="C453" s="43" t="n">
        <v>176.05</v>
      </c>
      <c r="D453" s="27" t="n">
        <v>31.07</v>
      </c>
      <c r="E453" s="27" t="n">
        <v>12</v>
      </c>
      <c r="F453" s="27" t="n">
        <v>17.26</v>
      </c>
      <c r="G453" s="27" t="s">
        <v>1875</v>
      </c>
      <c r="H453" s="27" t="s">
        <v>1892</v>
      </c>
      <c r="I453" s="27" t="s">
        <v>1876</v>
      </c>
      <c r="J453" s="27" t="s">
        <v>2118</v>
      </c>
      <c r="K453" s="27" t="n">
        <v>2407</v>
      </c>
      <c r="L453" s="27" t="n">
        <v>703</v>
      </c>
      <c r="M453" s="28" t="n">
        <f aca="false">IFERROR(VLOOKUP((OFFSET(hoje12_326_ana9,452,10,1,1)&amp;"."&amp;OFFSET(hoje12_326_ana9,452,11,1,1)),'12.326'!A:D,4,0),"-")</f>
        <v>1274396000209</v>
      </c>
    </row>
    <row r="454" customFormat="false" ht="14.4" hidden="false" customHeight="false" outlineLevel="0" collapsed="false">
      <c r="A454" s="27" t="n">
        <v>11100988</v>
      </c>
      <c r="B454" s="27" t="s">
        <v>1894</v>
      </c>
      <c r="C454" s="43" t="n">
        <v>70.38</v>
      </c>
      <c r="D454" s="27" t="n">
        <v>12.42</v>
      </c>
      <c r="E454" s="27" t="n">
        <v>12</v>
      </c>
      <c r="F454" s="27" t="n">
        <v>6.9</v>
      </c>
      <c r="G454" s="27" t="s">
        <v>1875</v>
      </c>
      <c r="H454" s="27" t="s">
        <v>1892</v>
      </c>
      <c r="I454" s="27" t="s">
        <v>1876</v>
      </c>
      <c r="J454" s="27" t="s">
        <v>2120</v>
      </c>
      <c r="K454" s="27" t="n">
        <v>2407</v>
      </c>
      <c r="L454" s="27" t="n">
        <v>703</v>
      </c>
      <c r="M454" s="28" t="n">
        <f aca="false">IFERROR(VLOOKUP((OFFSET(hoje12_326_ana9,453,10,1,1)&amp;"."&amp;OFFSET(hoje12_326_ana9,453,11,1,1)),'12.326'!A:D,4,0),"-")</f>
        <v>1274396000209</v>
      </c>
    </row>
    <row r="455" customFormat="false" ht="14.4" hidden="false" customHeight="false" outlineLevel="0" collapsed="false">
      <c r="A455" s="27" t="n">
        <v>11100989</v>
      </c>
      <c r="B455" s="27" t="s">
        <v>1904</v>
      </c>
      <c r="C455" s="43" t="n">
        <v>134.23</v>
      </c>
      <c r="D455" s="27" t="n">
        <v>23.69</v>
      </c>
      <c r="E455" s="27" t="n">
        <v>24</v>
      </c>
      <c r="F455" s="27" t="n">
        <v>6.58</v>
      </c>
      <c r="G455" s="27" t="s">
        <v>1875</v>
      </c>
      <c r="H455" s="27" t="s">
        <v>1892</v>
      </c>
      <c r="I455" s="27" t="s">
        <v>1876</v>
      </c>
      <c r="J455" s="27" t="s">
        <v>2121</v>
      </c>
      <c r="K455" s="27" t="n">
        <v>2407</v>
      </c>
      <c r="L455" s="27" t="n">
        <v>703</v>
      </c>
      <c r="M455" s="28" t="n">
        <f aca="false">IFERROR(VLOOKUP((OFFSET(hoje12_326_ana9,454,10,1,1)&amp;"."&amp;OFFSET(hoje12_326_ana9,454,11,1,1)),'12.326'!A:D,4,0),"-")</f>
        <v>1274396000209</v>
      </c>
    </row>
    <row r="456" customFormat="false" ht="14.4" hidden="false" customHeight="false" outlineLevel="0" collapsed="false">
      <c r="A456" s="27" t="n">
        <v>11100990</v>
      </c>
      <c r="B456" s="27" t="s">
        <v>1900</v>
      </c>
      <c r="C456" s="43" t="n">
        <v>66.3</v>
      </c>
      <c r="D456" s="27" t="n">
        <v>11.7</v>
      </c>
      <c r="E456" s="27" t="n">
        <v>12</v>
      </c>
      <c r="F456" s="27" t="n">
        <v>6.5</v>
      </c>
      <c r="G456" s="27" t="s">
        <v>1875</v>
      </c>
      <c r="H456" s="27" t="s">
        <v>1892</v>
      </c>
      <c r="I456" s="27" t="s">
        <v>1876</v>
      </c>
      <c r="J456" s="27" t="s">
        <v>2122</v>
      </c>
      <c r="K456" s="27" t="n">
        <v>2407</v>
      </c>
      <c r="L456" s="27" t="n">
        <v>703</v>
      </c>
      <c r="M456" s="28" t="n">
        <f aca="false">IFERROR(VLOOKUP((OFFSET(hoje12_326_ana9,455,10,1,1)&amp;"."&amp;OFFSET(hoje12_326_ana9,455,11,1,1)),'12.326'!A:D,4,0),"-")</f>
        <v>1274396000209</v>
      </c>
    </row>
    <row r="457" customFormat="false" ht="14.4" hidden="false" customHeight="false" outlineLevel="0" collapsed="false">
      <c r="A457" s="27" t="n">
        <v>11100992</v>
      </c>
      <c r="B457" s="27" t="s">
        <v>1891</v>
      </c>
      <c r="C457" s="43" t="n">
        <v>156.58</v>
      </c>
      <c r="D457" s="27" t="n">
        <v>27.62</v>
      </c>
      <c r="E457" s="27" t="n">
        <v>12</v>
      </c>
      <c r="F457" s="27" t="n">
        <v>15.35</v>
      </c>
      <c r="G457" s="27" t="s">
        <v>1875</v>
      </c>
      <c r="H457" s="27" t="s">
        <v>1892</v>
      </c>
      <c r="I457" s="27" t="s">
        <v>1876</v>
      </c>
      <c r="J457" s="27" t="s">
        <v>2123</v>
      </c>
      <c r="K457" s="27" t="n">
        <v>2407</v>
      </c>
      <c r="L457" s="27" t="n">
        <v>703</v>
      </c>
      <c r="M457" s="28" t="n">
        <f aca="false">IFERROR(VLOOKUP((OFFSET(hoje12_326_ana9,456,10,1,1)&amp;"."&amp;OFFSET(hoje12_326_ana9,456,11,1,1)),'12.326'!A:D,4,0),"-")</f>
        <v>1274396000209</v>
      </c>
    </row>
    <row r="458" customFormat="false" ht="14.4" hidden="false" customHeight="false" outlineLevel="0" collapsed="false">
      <c r="A458" s="27" t="n">
        <v>11100993</v>
      </c>
      <c r="B458" s="27" t="s">
        <v>1898</v>
      </c>
      <c r="C458" s="43" t="n">
        <v>66.3</v>
      </c>
      <c r="D458" s="27" t="n">
        <v>11.7</v>
      </c>
      <c r="E458" s="27" t="n">
        <v>12</v>
      </c>
      <c r="F458" s="27" t="n">
        <v>6.5</v>
      </c>
      <c r="G458" s="27" t="s">
        <v>1875</v>
      </c>
      <c r="H458" s="27" t="s">
        <v>1892</v>
      </c>
      <c r="I458" s="27" t="s">
        <v>1876</v>
      </c>
      <c r="J458" s="27" t="s">
        <v>2122</v>
      </c>
      <c r="K458" s="27" t="n">
        <v>2407</v>
      </c>
      <c r="L458" s="27" t="n">
        <v>703</v>
      </c>
      <c r="M458" s="28" t="n">
        <f aca="false">IFERROR(VLOOKUP((OFFSET(hoje12_326_ana9,457,10,1,1)&amp;"."&amp;OFFSET(hoje12_326_ana9,457,11,1,1)),'12.326'!A:D,4,0),"-")</f>
        <v>1274396000209</v>
      </c>
    </row>
    <row r="459" customFormat="false" ht="14.4" hidden="false" customHeight="false" outlineLevel="0" collapsed="false">
      <c r="A459" s="27" t="n">
        <v>11100998</v>
      </c>
      <c r="B459" s="27" t="s">
        <v>1887</v>
      </c>
      <c r="C459" s="43" t="n">
        <v>153.11</v>
      </c>
      <c r="D459" s="27" t="n">
        <v>27.01</v>
      </c>
      <c r="E459" s="27" t="n">
        <v>12</v>
      </c>
      <c r="F459" s="27" t="n">
        <v>15.01</v>
      </c>
      <c r="G459" s="27" t="s">
        <v>1875</v>
      </c>
      <c r="H459" s="27" t="s">
        <v>1892</v>
      </c>
      <c r="I459" s="27" t="s">
        <v>1876</v>
      </c>
      <c r="J459" s="27" t="s">
        <v>2124</v>
      </c>
      <c r="K459" s="27" t="n">
        <v>2407</v>
      </c>
      <c r="L459" s="27" t="n">
        <v>703</v>
      </c>
      <c r="M459" s="28" t="n">
        <f aca="false">IFERROR(VLOOKUP((OFFSET(hoje12_326_ana9,458,10,1,1)&amp;"."&amp;OFFSET(hoje12_326_ana9,458,11,1,1)),'12.326'!A:D,4,0),"-")</f>
        <v>1274396000209</v>
      </c>
    </row>
    <row r="460" customFormat="false" ht="14.4" hidden="false" customHeight="false" outlineLevel="0" collapsed="false">
      <c r="A460" s="27" t="n">
        <v>11101003</v>
      </c>
      <c r="B460" s="27" t="s">
        <v>1889</v>
      </c>
      <c r="C460" s="43" t="n">
        <v>109.75</v>
      </c>
      <c r="D460" s="27" t="n">
        <v>19.37</v>
      </c>
      <c r="E460" s="27" t="n">
        <v>12</v>
      </c>
      <c r="F460" s="27" t="n">
        <v>10.76</v>
      </c>
      <c r="G460" s="27" t="s">
        <v>1875</v>
      </c>
      <c r="H460" s="27" t="s">
        <v>1892</v>
      </c>
      <c r="I460" s="27" t="s">
        <v>1876</v>
      </c>
      <c r="J460" s="27" t="s">
        <v>1893</v>
      </c>
      <c r="K460" s="27" t="n">
        <v>2407</v>
      </c>
      <c r="L460" s="27" t="n">
        <v>703</v>
      </c>
      <c r="M460" s="28" t="n">
        <f aca="false">IFERROR(VLOOKUP((OFFSET(hoje12_326_ana9,459,10,1,1)&amp;"."&amp;OFFSET(hoje12_326_ana9,459,11,1,1)),'12.326'!A:D,4,0),"-")</f>
        <v>1274396000209</v>
      </c>
    </row>
    <row r="461" customFormat="false" ht="14.4" hidden="false" customHeight="false" outlineLevel="0" collapsed="false">
      <c r="A461" s="27" t="n">
        <v>11101004</v>
      </c>
      <c r="B461" s="27" t="s">
        <v>1888</v>
      </c>
      <c r="C461" s="43" t="n">
        <v>109.75</v>
      </c>
      <c r="D461" s="27" t="n">
        <v>19.37</v>
      </c>
      <c r="E461" s="27" t="n">
        <v>12</v>
      </c>
      <c r="F461" s="27" t="n">
        <v>10.76</v>
      </c>
      <c r="G461" s="27" t="s">
        <v>1875</v>
      </c>
      <c r="H461" s="27" t="s">
        <v>1892</v>
      </c>
      <c r="I461" s="27" t="s">
        <v>1876</v>
      </c>
      <c r="J461" s="27" t="s">
        <v>1893</v>
      </c>
      <c r="K461" s="27" t="n">
        <v>2407</v>
      </c>
      <c r="L461" s="27" t="n">
        <v>703</v>
      </c>
      <c r="M461" s="28" t="n">
        <f aca="false">IFERROR(VLOOKUP((OFFSET(hoje12_326_ana9,460,10,1,1)&amp;"."&amp;OFFSET(hoje12_326_ana9,460,11,1,1)),'12.326'!A:D,4,0),"-")</f>
        <v>1274396000209</v>
      </c>
    </row>
    <row r="462" customFormat="false" ht="14.4" hidden="false" customHeight="false" outlineLevel="0" collapsed="false">
      <c r="A462" s="27" t="n">
        <v>11100987</v>
      </c>
      <c r="B462" s="27" t="s">
        <v>1890</v>
      </c>
      <c r="C462" s="43" t="n">
        <v>213.19</v>
      </c>
      <c r="D462" s="27" t="n">
        <v>37.61</v>
      </c>
      <c r="E462" s="27" t="n">
        <v>24</v>
      </c>
      <c r="F462" s="27" t="n">
        <v>10.45</v>
      </c>
      <c r="G462" s="27" t="s">
        <v>1875</v>
      </c>
      <c r="H462" s="27" t="s">
        <v>1892</v>
      </c>
      <c r="I462" s="27" t="s">
        <v>1876</v>
      </c>
      <c r="J462" s="27" t="s">
        <v>2119</v>
      </c>
      <c r="K462" s="27" t="n">
        <v>2407</v>
      </c>
      <c r="L462" s="27" t="n">
        <v>703</v>
      </c>
      <c r="M462" s="28" t="n">
        <f aca="false">IFERROR(VLOOKUP((OFFSET(hoje12_326_ana9,461,10,1,1)&amp;"."&amp;OFFSET(hoje12_326_ana9,461,11,1,1)),'12.326'!A:D,4,0),"-")</f>
        <v>1274396000209</v>
      </c>
    </row>
    <row r="463" customFormat="false" ht="14.4" hidden="false" customHeight="false" outlineLevel="0" collapsed="false">
      <c r="A463" s="27" t="n">
        <v>11100968</v>
      </c>
      <c r="B463" s="27" t="s">
        <v>2125</v>
      </c>
      <c r="C463" s="43" t="n">
        <v>23.51</v>
      </c>
      <c r="D463" s="27" t="n">
        <v>4.15</v>
      </c>
      <c r="E463" s="27" t="n">
        <v>3</v>
      </c>
      <c r="F463" s="27" t="n">
        <v>9.22</v>
      </c>
      <c r="G463" s="27" t="s">
        <v>1875</v>
      </c>
      <c r="H463" s="27" t="s">
        <v>1892</v>
      </c>
      <c r="I463" s="27" t="s">
        <v>1876</v>
      </c>
      <c r="J463" s="27" t="s">
        <v>1896</v>
      </c>
      <c r="K463" s="27" t="n">
        <v>2407</v>
      </c>
      <c r="L463" s="27" t="n">
        <v>703</v>
      </c>
      <c r="M463" s="28" t="n">
        <f aca="false">IFERROR(VLOOKUP((OFFSET(hoje12_326_ana9,462,10,1,1)&amp;"."&amp;OFFSET(hoje12_326_ana9,462,11,1,1)),'12.326'!A:D,4,0),"-")</f>
        <v>1274396000209</v>
      </c>
    </row>
    <row r="464" customFormat="false" ht="14.4" hidden="false" customHeight="false" outlineLevel="0" collapsed="false">
      <c r="A464" s="27" t="n">
        <v>11100216</v>
      </c>
      <c r="B464" s="27" t="s">
        <v>1923</v>
      </c>
      <c r="C464" s="43" t="n">
        <v>112.01</v>
      </c>
      <c r="D464" s="27" t="n">
        <v>19.75</v>
      </c>
      <c r="E464" s="27" t="n">
        <v>24</v>
      </c>
      <c r="F464" s="27" t="n">
        <v>5.49</v>
      </c>
      <c r="G464" s="27" t="s">
        <v>1875</v>
      </c>
      <c r="H464" s="27" t="s">
        <v>1892</v>
      </c>
      <c r="I464" s="27" t="s">
        <v>1876</v>
      </c>
      <c r="J464" s="27" t="s">
        <v>2126</v>
      </c>
      <c r="K464" s="27" t="n">
        <v>2407</v>
      </c>
      <c r="L464" s="27" t="n">
        <v>703</v>
      </c>
      <c r="M464" s="28" t="n">
        <f aca="false">IFERROR(VLOOKUP((OFFSET(hoje12_326_ana9,463,10,1,1)&amp;"."&amp;OFFSET(hoje12_326_ana9,463,11,1,1)),'12.326'!A:D,4,0),"-")</f>
        <v>1274396000209</v>
      </c>
    </row>
    <row r="465" customFormat="false" ht="14.4" hidden="false" customHeight="false" outlineLevel="0" collapsed="false">
      <c r="A465" s="27" t="n">
        <v>11100373</v>
      </c>
      <c r="B465" s="27" t="s">
        <v>2127</v>
      </c>
      <c r="C465" s="43" t="n">
        <v>34.27</v>
      </c>
      <c r="D465" s="27" t="n">
        <v>6.05</v>
      </c>
      <c r="E465" s="27" t="n">
        <v>12</v>
      </c>
      <c r="F465" s="27" t="n">
        <v>3.36</v>
      </c>
      <c r="G465" s="27" t="s">
        <v>1875</v>
      </c>
      <c r="H465" s="27" t="s">
        <v>1892</v>
      </c>
      <c r="I465" s="27" t="s">
        <v>1876</v>
      </c>
      <c r="J465" s="27" t="s">
        <v>2128</v>
      </c>
      <c r="K465" s="27" t="n">
        <v>2407</v>
      </c>
      <c r="L465" s="27" t="n">
        <v>703</v>
      </c>
      <c r="M465" s="28" t="n">
        <f aca="false">IFERROR(VLOOKUP((OFFSET(hoje12_326_ana9,464,10,1,1)&amp;"."&amp;OFFSET(hoje12_326_ana9,464,11,1,1)),'12.326'!A:D,4,0),"-")</f>
        <v>1274396000209</v>
      </c>
    </row>
    <row r="466" customFormat="false" ht="14.4" hidden="false" customHeight="false" outlineLevel="0" collapsed="false">
      <c r="A466" s="27" t="n">
        <v>11100995</v>
      </c>
      <c r="B466" s="27" t="s">
        <v>1897</v>
      </c>
      <c r="C466" s="43" t="n">
        <v>178.08</v>
      </c>
      <c r="D466" s="27" t="n">
        <v>0</v>
      </c>
      <c r="E466" s="27" t="n">
        <v>12</v>
      </c>
      <c r="F466" s="27" t="n">
        <v>14.84</v>
      </c>
      <c r="G466" s="27" t="s">
        <v>1875</v>
      </c>
      <c r="H466" s="27" t="s">
        <v>68</v>
      </c>
      <c r="I466" s="27" t="s">
        <v>1876</v>
      </c>
      <c r="J466" s="27" t="s">
        <v>1877</v>
      </c>
      <c r="K466" s="27" t="n">
        <v>2407</v>
      </c>
      <c r="L466" s="27" t="n">
        <v>703</v>
      </c>
      <c r="M466" s="28" t="n">
        <f aca="false">IFERROR(VLOOKUP((OFFSET(hoje12_326_ana9,465,10,1,1)&amp;"."&amp;OFFSET(hoje12_326_ana9,465,11,1,1)),'12.326'!A:D,4,0),"-")</f>
        <v>1274396000209</v>
      </c>
    </row>
    <row r="467" customFormat="false" ht="14.4" hidden="false" customHeight="false" outlineLevel="0" collapsed="false">
      <c r="A467" s="27" t="n">
        <v>11100066</v>
      </c>
      <c r="B467" s="27" t="s">
        <v>2111</v>
      </c>
      <c r="C467" s="43" t="n">
        <v>602.59</v>
      </c>
      <c r="D467" s="27" t="n">
        <v>106.37</v>
      </c>
      <c r="E467" s="27" t="n">
        <v>48</v>
      </c>
      <c r="F467" s="27" t="n">
        <v>14.77</v>
      </c>
      <c r="G467" s="27" t="s">
        <v>1875</v>
      </c>
      <c r="H467" s="27" t="s">
        <v>1892</v>
      </c>
      <c r="I467" s="27" t="s">
        <v>1876</v>
      </c>
      <c r="J467" s="27" t="s">
        <v>2129</v>
      </c>
      <c r="K467" s="27" t="n">
        <v>2408</v>
      </c>
      <c r="L467" s="27" t="n">
        <v>703</v>
      </c>
      <c r="M467" s="28" t="n">
        <f aca="false">IFERROR(VLOOKUP((OFFSET(hoje12_326_ana9,466,10,1,1)&amp;"."&amp;OFFSET(hoje12_326_ana9,466,11,1,1)),'12.326'!A:D,4,0),"-")</f>
        <v>1274396000632</v>
      </c>
    </row>
    <row r="468" customFormat="false" ht="14.4" hidden="false" customHeight="false" outlineLevel="0" collapsed="false">
      <c r="A468" s="27" t="n">
        <v>11100542</v>
      </c>
      <c r="B468" s="27" t="s">
        <v>2113</v>
      </c>
      <c r="C468" s="43" t="n">
        <v>357.12</v>
      </c>
      <c r="D468" s="27" t="n">
        <v>63</v>
      </c>
      <c r="E468" s="27" t="n">
        <v>36</v>
      </c>
      <c r="F468" s="27" t="n">
        <v>11.67</v>
      </c>
      <c r="G468" s="27" t="s">
        <v>1875</v>
      </c>
      <c r="H468" s="27" t="s">
        <v>1892</v>
      </c>
      <c r="I468" s="27" t="s">
        <v>1876</v>
      </c>
      <c r="J468" s="27" t="s">
        <v>2130</v>
      </c>
      <c r="K468" s="27" t="n">
        <v>2408</v>
      </c>
      <c r="L468" s="27" t="n">
        <v>703</v>
      </c>
      <c r="M468" s="28" t="n">
        <f aca="false">IFERROR(VLOOKUP((OFFSET(hoje12_326_ana9,467,10,1,1)&amp;"."&amp;OFFSET(hoje12_326_ana9,467,11,1,1)),'12.326'!A:D,4,0),"-")</f>
        <v>1274396000632</v>
      </c>
    </row>
    <row r="469" customFormat="false" ht="14.4" hidden="false" customHeight="false" outlineLevel="0" collapsed="false">
      <c r="A469" s="27" t="n">
        <v>11100543</v>
      </c>
      <c r="B469" s="27" t="s">
        <v>2115</v>
      </c>
      <c r="C469" s="43" t="n">
        <v>437.31</v>
      </c>
      <c r="D469" s="27" t="n">
        <v>77.19</v>
      </c>
      <c r="E469" s="27" t="n">
        <v>30</v>
      </c>
      <c r="F469" s="27" t="n">
        <v>17.15</v>
      </c>
      <c r="G469" s="27" t="s">
        <v>1875</v>
      </c>
      <c r="H469" s="27" t="s">
        <v>1892</v>
      </c>
      <c r="I469" s="27" t="s">
        <v>1876</v>
      </c>
      <c r="J469" s="27" t="s">
        <v>2131</v>
      </c>
      <c r="K469" s="27" t="n">
        <v>2408</v>
      </c>
      <c r="L469" s="27" t="n">
        <v>703</v>
      </c>
      <c r="M469" s="28" t="n">
        <f aca="false">IFERROR(VLOOKUP((OFFSET(hoje12_326_ana9,468,10,1,1)&amp;"."&amp;OFFSET(hoje12_326_ana9,468,11,1,1)),'12.326'!A:D,4,0),"-")</f>
        <v>1274396000632</v>
      </c>
    </row>
    <row r="470" customFormat="false" ht="14.4" hidden="false" customHeight="false" outlineLevel="0" collapsed="false">
      <c r="A470" s="27" t="n">
        <v>11100822</v>
      </c>
      <c r="B470" s="27" t="s">
        <v>1966</v>
      </c>
      <c r="C470" s="43" t="n">
        <v>711.72</v>
      </c>
      <c r="D470" s="27" t="n">
        <v>79.08</v>
      </c>
      <c r="E470" s="27" t="n">
        <v>120</v>
      </c>
      <c r="F470" s="27" t="n">
        <v>6.59</v>
      </c>
      <c r="G470" s="27" t="s">
        <v>1875</v>
      </c>
      <c r="H470" s="27" t="s">
        <v>1895</v>
      </c>
      <c r="I470" s="27" t="s">
        <v>1876</v>
      </c>
      <c r="J470" s="27" t="s">
        <v>1964</v>
      </c>
      <c r="K470" s="27" t="n">
        <v>2408</v>
      </c>
      <c r="L470" s="27" t="n">
        <v>703</v>
      </c>
      <c r="M470" s="28" t="n">
        <f aca="false">IFERROR(VLOOKUP((OFFSET(hoje12_326_ana9,469,10,1,1)&amp;"."&amp;OFFSET(hoje12_326_ana9,469,11,1,1)),'12.326'!A:D,4,0),"-")</f>
        <v>1274396000632</v>
      </c>
    </row>
    <row r="471" customFormat="false" ht="14.4" hidden="false" customHeight="false" outlineLevel="0" collapsed="false">
      <c r="A471" s="27" t="n">
        <v>11100985</v>
      </c>
      <c r="B471" s="27" t="s">
        <v>1906</v>
      </c>
      <c r="C471" s="43" t="n">
        <v>213.79</v>
      </c>
      <c r="D471" s="27" t="n">
        <v>37.73</v>
      </c>
      <c r="E471" s="27" t="n">
        <v>12</v>
      </c>
      <c r="F471" s="27" t="n">
        <v>20.96</v>
      </c>
      <c r="G471" s="27" t="s">
        <v>1875</v>
      </c>
      <c r="H471" s="27" t="s">
        <v>1892</v>
      </c>
      <c r="I471" s="27" t="s">
        <v>1876</v>
      </c>
      <c r="J471" s="27" t="s">
        <v>2117</v>
      </c>
      <c r="K471" s="27" t="n">
        <v>2408</v>
      </c>
      <c r="L471" s="27" t="n">
        <v>703</v>
      </c>
      <c r="M471" s="28" t="n">
        <f aca="false">IFERROR(VLOOKUP((OFFSET(hoje12_326_ana9,470,10,1,1)&amp;"."&amp;OFFSET(hoje12_326_ana9,470,11,1,1)),'12.326'!A:D,4,0),"-")</f>
        <v>1274396000632</v>
      </c>
    </row>
    <row r="472" customFormat="false" ht="14.4" hidden="false" customHeight="false" outlineLevel="0" collapsed="false">
      <c r="A472" s="27" t="n">
        <v>11100986</v>
      </c>
      <c r="B472" s="27" t="s">
        <v>1902</v>
      </c>
      <c r="C472" s="43" t="n">
        <v>176.05</v>
      </c>
      <c r="D472" s="27" t="n">
        <v>31.07</v>
      </c>
      <c r="E472" s="27" t="n">
        <v>12</v>
      </c>
      <c r="F472" s="27" t="n">
        <v>17.26</v>
      </c>
      <c r="G472" s="27" t="s">
        <v>1875</v>
      </c>
      <c r="H472" s="27" t="s">
        <v>1892</v>
      </c>
      <c r="I472" s="27" t="s">
        <v>1876</v>
      </c>
      <c r="J472" s="27" t="s">
        <v>2118</v>
      </c>
      <c r="K472" s="27" t="n">
        <v>2408</v>
      </c>
      <c r="L472" s="27" t="n">
        <v>703</v>
      </c>
      <c r="M472" s="28" t="n">
        <f aca="false">IFERROR(VLOOKUP((OFFSET(hoje12_326_ana9,471,10,1,1)&amp;"."&amp;OFFSET(hoje12_326_ana9,471,11,1,1)),'12.326'!A:D,4,0),"-")</f>
        <v>1274396000632</v>
      </c>
    </row>
    <row r="473" customFormat="false" ht="14.4" hidden="false" customHeight="false" outlineLevel="0" collapsed="false">
      <c r="A473" s="27" t="n">
        <v>11100987</v>
      </c>
      <c r="B473" s="27" t="s">
        <v>1890</v>
      </c>
      <c r="C473" s="43" t="n">
        <v>852.77</v>
      </c>
      <c r="D473" s="27" t="n">
        <v>150.43</v>
      </c>
      <c r="E473" s="27" t="n">
        <v>96</v>
      </c>
      <c r="F473" s="27" t="n">
        <v>10.45</v>
      </c>
      <c r="G473" s="27" t="s">
        <v>1875</v>
      </c>
      <c r="H473" s="27" t="s">
        <v>1892</v>
      </c>
      <c r="I473" s="27" t="s">
        <v>1876</v>
      </c>
      <c r="J473" s="27" t="s">
        <v>2132</v>
      </c>
      <c r="K473" s="27" t="n">
        <v>2408</v>
      </c>
      <c r="L473" s="27" t="n">
        <v>703</v>
      </c>
      <c r="M473" s="28" t="n">
        <f aca="false">IFERROR(VLOOKUP((OFFSET(hoje12_326_ana9,472,10,1,1)&amp;"."&amp;OFFSET(hoje12_326_ana9,472,11,1,1)),'12.326'!A:D,4,0),"-")</f>
        <v>1274396000632</v>
      </c>
    </row>
    <row r="474" customFormat="false" ht="14.4" hidden="false" customHeight="false" outlineLevel="0" collapsed="false">
      <c r="A474" s="27" t="n">
        <v>11100988</v>
      </c>
      <c r="B474" s="27" t="s">
        <v>1894</v>
      </c>
      <c r="C474" s="43" t="n">
        <v>190.04</v>
      </c>
      <c r="D474" s="27" t="n">
        <v>58.36</v>
      </c>
      <c r="E474" s="27" t="n">
        <v>36</v>
      </c>
      <c r="F474" s="27" t="n">
        <v>6.9</v>
      </c>
      <c r="G474" s="27" t="s">
        <v>1875</v>
      </c>
      <c r="H474" s="27" t="s">
        <v>2133</v>
      </c>
      <c r="I474" s="27" t="s">
        <v>1876</v>
      </c>
      <c r="J474" s="27" t="s">
        <v>2134</v>
      </c>
      <c r="K474" s="27" t="n">
        <v>2408</v>
      </c>
      <c r="L474" s="27" t="n">
        <v>703</v>
      </c>
      <c r="M474" s="28" t="n">
        <f aca="false">IFERROR(VLOOKUP((OFFSET(hoje12_326_ana9,473,10,1,1)&amp;"."&amp;OFFSET(hoje12_326_ana9,473,11,1,1)),'12.326'!A:D,4,0),"-")</f>
        <v>1274396000632</v>
      </c>
    </row>
    <row r="475" customFormat="false" ht="14.4" hidden="false" customHeight="false" outlineLevel="0" collapsed="false">
      <c r="A475" s="27" t="n">
        <v>11100989</v>
      </c>
      <c r="B475" s="27" t="s">
        <v>1904</v>
      </c>
      <c r="C475" s="43" t="n">
        <v>604.08</v>
      </c>
      <c r="D475" s="27" t="n">
        <v>185.52</v>
      </c>
      <c r="E475" s="27" t="n">
        <v>120</v>
      </c>
      <c r="F475" s="27" t="n">
        <v>6.58</v>
      </c>
      <c r="G475" s="27" t="s">
        <v>1875</v>
      </c>
      <c r="H475" s="27" t="s">
        <v>2133</v>
      </c>
      <c r="I475" s="27" t="s">
        <v>1876</v>
      </c>
      <c r="J475" s="27" t="s">
        <v>2135</v>
      </c>
      <c r="K475" s="27" t="n">
        <v>2408</v>
      </c>
      <c r="L475" s="27" t="n">
        <v>703</v>
      </c>
      <c r="M475" s="28" t="n">
        <f aca="false">IFERROR(VLOOKUP((OFFSET(hoje12_326_ana9,474,10,1,1)&amp;"."&amp;OFFSET(hoje12_326_ana9,474,11,1,1)),'12.326'!A:D,4,0),"-")</f>
        <v>1274396000632</v>
      </c>
    </row>
    <row r="476" customFormat="false" ht="14.4" hidden="false" customHeight="false" outlineLevel="0" collapsed="false">
      <c r="A476" s="27" t="n">
        <v>11100990</v>
      </c>
      <c r="B476" s="27" t="s">
        <v>1900</v>
      </c>
      <c r="C476" s="43" t="n">
        <v>132.6</v>
      </c>
      <c r="D476" s="27" t="n">
        <v>23.4</v>
      </c>
      <c r="E476" s="27" t="n">
        <v>24</v>
      </c>
      <c r="F476" s="27" t="n">
        <v>6.5</v>
      </c>
      <c r="G476" s="27" t="s">
        <v>1875</v>
      </c>
      <c r="H476" s="27" t="s">
        <v>1892</v>
      </c>
      <c r="I476" s="27" t="s">
        <v>1876</v>
      </c>
      <c r="J476" s="27" t="s">
        <v>2136</v>
      </c>
      <c r="K476" s="27" t="n">
        <v>2408</v>
      </c>
      <c r="L476" s="27" t="n">
        <v>703</v>
      </c>
      <c r="M476" s="28" t="n">
        <f aca="false">IFERROR(VLOOKUP((OFFSET(hoje12_326_ana9,475,10,1,1)&amp;"."&amp;OFFSET(hoje12_326_ana9,475,11,1,1)),'12.326'!A:D,4,0),"-")</f>
        <v>1274396000632</v>
      </c>
    </row>
    <row r="477" customFormat="false" ht="14.4" hidden="false" customHeight="false" outlineLevel="0" collapsed="false">
      <c r="A477" s="27" t="n">
        <v>11100992</v>
      </c>
      <c r="B477" s="27" t="s">
        <v>1891</v>
      </c>
      <c r="C477" s="43" t="n">
        <v>156.58</v>
      </c>
      <c r="D477" s="27" t="n">
        <v>27.62</v>
      </c>
      <c r="E477" s="27" t="n">
        <v>12</v>
      </c>
      <c r="F477" s="27" t="n">
        <v>15.35</v>
      </c>
      <c r="G477" s="27" t="s">
        <v>1875</v>
      </c>
      <c r="H477" s="27" t="s">
        <v>1892</v>
      </c>
      <c r="I477" s="27" t="s">
        <v>1876</v>
      </c>
      <c r="J477" s="27" t="s">
        <v>2123</v>
      </c>
      <c r="K477" s="27" t="n">
        <v>2408</v>
      </c>
      <c r="L477" s="27" t="n">
        <v>703</v>
      </c>
      <c r="M477" s="28" t="n">
        <f aca="false">IFERROR(VLOOKUP((OFFSET(hoje12_326_ana9,476,10,1,1)&amp;"."&amp;OFFSET(hoje12_326_ana9,476,11,1,1)),'12.326'!A:D,4,0),"-")</f>
        <v>1274396000632</v>
      </c>
    </row>
    <row r="478" customFormat="false" ht="14.4" hidden="false" customHeight="false" outlineLevel="0" collapsed="false">
      <c r="A478" s="27" t="n">
        <v>11100993</v>
      </c>
      <c r="B478" s="27" t="s">
        <v>1898</v>
      </c>
      <c r="C478" s="43" t="n">
        <v>132.6</v>
      </c>
      <c r="D478" s="27" t="n">
        <v>23.4</v>
      </c>
      <c r="E478" s="27" t="n">
        <v>24</v>
      </c>
      <c r="F478" s="27" t="n">
        <v>6.5</v>
      </c>
      <c r="G478" s="27" t="s">
        <v>1875</v>
      </c>
      <c r="H478" s="27" t="s">
        <v>1892</v>
      </c>
      <c r="I478" s="27" t="s">
        <v>1876</v>
      </c>
      <c r="J478" s="27" t="s">
        <v>2136</v>
      </c>
      <c r="K478" s="27" t="n">
        <v>2408</v>
      </c>
      <c r="L478" s="27" t="n">
        <v>703</v>
      </c>
      <c r="M478" s="28" t="n">
        <f aca="false">IFERROR(VLOOKUP((OFFSET(hoje12_326_ana9,477,10,1,1)&amp;"."&amp;OFFSET(hoje12_326_ana9,477,11,1,1)),'12.326'!A:D,4,0),"-")</f>
        <v>1274396000632</v>
      </c>
    </row>
    <row r="479" customFormat="false" ht="14.4" hidden="false" customHeight="false" outlineLevel="0" collapsed="false">
      <c r="A479" s="27" t="n">
        <v>11100998</v>
      </c>
      <c r="B479" s="27" t="s">
        <v>1887</v>
      </c>
      <c r="C479" s="43" t="n">
        <v>612.43</v>
      </c>
      <c r="D479" s="27" t="n">
        <v>108.05</v>
      </c>
      <c r="E479" s="27" t="n">
        <v>48</v>
      </c>
      <c r="F479" s="27" t="n">
        <v>15.01</v>
      </c>
      <c r="G479" s="27" t="s">
        <v>1875</v>
      </c>
      <c r="H479" s="27" t="s">
        <v>1892</v>
      </c>
      <c r="I479" s="27" t="s">
        <v>1876</v>
      </c>
      <c r="J479" s="27" t="s">
        <v>2137</v>
      </c>
      <c r="K479" s="27" t="n">
        <v>2408</v>
      </c>
      <c r="L479" s="27" t="n">
        <v>703</v>
      </c>
      <c r="M479" s="28" t="n">
        <f aca="false">IFERROR(VLOOKUP((OFFSET(hoje12_326_ana9,478,10,1,1)&amp;"."&amp;OFFSET(hoje12_326_ana9,478,11,1,1)),'12.326'!A:D,4,0),"-")</f>
        <v>1274396000632</v>
      </c>
    </row>
    <row r="480" customFormat="false" ht="14.4" hidden="false" customHeight="false" outlineLevel="0" collapsed="false">
      <c r="A480" s="27" t="n">
        <v>11101003</v>
      </c>
      <c r="B480" s="27" t="s">
        <v>1889</v>
      </c>
      <c r="C480" s="43" t="n">
        <v>109.75</v>
      </c>
      <c r="D480" s="27" t="n">
        <v>19.37</v>
      </c>
      <c r="E480" s="27" t="n">
        <v>12</v>
      </c>
      <c r="F480" s="27" t="n">
        <v>10.76</v>
      </c>
      <c r="G480" s="27" t="s">
        <v>1875</v>
      </c>
      <c r="H480" s="27" t="s">
        <v>1892</v>
      </c>
      <c r="I480" s="27" t="s">
        <v>1876</v>
      </c>
      <c r="J480" s="27" t="s">
        <v>1893</v>
      </c>
      <c r="K480" s="27" t="n">
        <v>2408</v>
      </c>
      <c r="L480" s="27" t="n">
        <v>703</v>
      </c>
      <c r="M480" s="28" t="n">
        <f aca="false">IFERROR(VLOOKUP((OFFSET(hoje12_326_ana9,479,10,1,1)&amp;"."&amp;OFFSET(hoje12_326_ana9,479,11,1,1)),'12.326'!A:D,4,0),"-")</f>
        <v>1274396000632</v>
      </c>
    </row>
    <row r="481" customFormat="false" ht="14.4" hidden="false" customHeight="false" outlineLevel="0" collapsed="false">
      <c r="A481" s="27" t="n">
        <v>11101004</v>
      </c>
      <c r="B481" s="27" t="s">
        <v>1888</v>
      </c>
      <c r="C481" s="43" t="n">
        <v>109.75</v>
      </c>
      <c r="D481" s="27" t="n">
        <v>19.37</v>
      </c>
      <c r="E481" s="27" t="n">
        <v>12</v>
      </c>
      <c r="F481" s="27" t="n">
        <v>10.76</v>
      </c>
      <c r="G481" s="27" t="s">
        <v>1875</v>
      </c>
      <c r="H481" s="27" t="s">
        <v>1892</v>
      </c>
      <c r="I481" s="27" t="s">
        <v>1876</v>
      </c>
      <c r="J481" s="27" t="s">
        <v>1893</v>
      </c>
      <c r="K481" s="27" t="n">
        <v>2408</v>
      </c>
      <c r="L481" s="27" t="n">
        <v>703</v>
      </c>
      <c r="M481" s="28" t="n">
        <f aca="false">IFERROR(VLOOKUP((OFFSET(hoje12_326_ana9,480,10,1,1)&amp;"."&amp;OFFSET(hoje12_326_ana9,480,11,1,1)),'12.326'!A:D,4,0),"-")</f>
        <v>1274396000632</v>
      </c>
    </row>
    <row r="482" customFormat="false" ht="14.4" hidden="false" customHeight="false" outlineLevel="0" collapsed="false">
      <c r="A482" s="27" t="n">
        <v>11100995</v>
      </c>
      <c r="B482" s="27" t="s">
        <v>1897</v>
      </c>
      <c r="C482" s="43" t="n">
        <v>356.16</v>
      </c>
      <c r="D482" s="27" t="n">
        <v>0</v>
      </c>
      <c r="E482" s="27" t="n">
        <v>24</v>
      </c>
      <c r="F482" s="27" t="n">
        <v>14.84</v>
      </c>
      <c r="G482" s="27" t="s">
        <v>1875</v>
      </c>
      <c r="H482" s="27" t="s">
        <v>68</v>
      </c>
      <c r="I482" s="27" t="s">
        <v>1876</v>
      </c>
      <c r="J482" s="27" t="s">
        <v>1877</v>
      </c>
      <c r="K482" s="27" t="n">
        <v>2408</v>
      </c>
      <c r="L482" s="27" t="n">
        <v>703</v>
      </c>
      <c r="M482" s="28" t="n">
        <f aca="false">IFERROR(VLOOKUP((OFFSET(hoje12_326_ana9,481,10,1,1)&amp;"."&amp;OFFSET(hoje12_326_ana9,481,11,1,1)),'12.326'!A:D,4,0),"-")</f>
        <v>1274396000632</v>
      </c>
    </row>
    <row r="483" customFormat="false" ht="14.4" hidden="false" customHeight="false" outlineLevel="0" collapsed="false">
      <c r="A483" s="27" t="n">
        <v>11100066</v>
      </c>
      <c r="B483" s="27" t="s">
        <v>2111</v>
      </c>
      <c r="C483" s="43" t="n">
        <v>150.65</v>
      </c>
      <c r="D483" s="27" t="n">
        <v>26.59</v>
      </c>
      <c r="E483" s="27" t="n">
        <v>12</v>
      </c>
      <c r="F483" s="27" t="n">
        <v>14.77</v>
      </c>
      <c r="G483" s="27" t="s">
        <v>1875</v>
      </c>
      <c r="H483" s="27" t="s">
        <v>1892</v>
      </c>
      <c r="I483" s="27" t="s">
        <v>1876</v>
      </c>
      <c r="J483" s="27" t="s">
        <v>2112</v>
      </c>
      <c r="K483" s="27" t="n">
        <v>2409</v>
      </c>
      <c r="L483" s="27" t="n">
        <v>703</v>
      </c>
      <c r="M483" s="28" t="n">
        <f aca="false">IFERROR(VLOOKUP((OFFSET(hoje12_326_ana9,482,10,1,1)&amp;"."&amp;OFFSET(hoje12_326_ana9,482,11,1,1)),'12.326'!A:D,4,0),"-")</f>
        <v>1274396000713</v>
      </c>
    </row>
    <row r="484" customFormat="false" ht="14.4" hidden="false" customHeight="false" outlineLevel="0" collapsed="false">
      <c r="A484" s="27" t="n">
        <v>11100542</v>
      </c>
      <c r="B484" s="27" t="s">
        <v>2113</v>
      </c>
      <c r="C484" s="43" t="n">
        <v>119.04</v>
      </c>
      <c r="D484" s="27" t="n">
        <v>21</v>
      </c>
      <c r="E484" s="27" t="n">
        <v>12</v>
      </c>
      <c r="F484" s="27" t="n">
        <v>11.67</v>
      </c>
      <c r="G484" s="27" t="s">
        <v>1875</v>
      </c>
      <c r="H484" s="27" t="s">
        <v>1892</v>
      </c>
      <c r="I484" s="27" t="s">
        <v>1876</v>
      </c>
      <c r="J484" s="27" t="s">
        <v>2114</v>
      </c>
      <c r="K484" s="27" t="n">
        <v>2409</v>
      </c>
      <c r="L484" s="27" t="n">
        <v>703</v>
      </c>
      <c r="M484" s="28" t="n">
        <f aca="false">IFERROR(VLOOKUP((OFFSET(hoje12_326_ana9,483,10,1,1)&amp;"."&amp;OFFSET(hoje12_326_ana9,483,11,1,1)),'12.326'!A:D,4,0),"-")</f>
        <v>1274396000713</v>
      </c>
    </row>
    <row r="485" customFormat="false" ht="14.4" hidden="false" customHeight="false" outlineLevel="0" collapsed="false">
      <c r="A485" s="27" t="n">
        <v>11100543</v>
      </c>
      <c r="B485" s="27" t="s">
        <v>2115</v>
      </c>
      <c r="C485" s="43" t="n">
        <v>174.92</v>
      </c>
      <c r="D485" s="27" t="n">
        <v>30.88</v>
      </c>
      <c r="E485" s="27" t="n">
        <v>12</v>
      </c>
      <c r="F485" s="27" t="n">
        <v>17.15</v>
      </c>
      <c r="G485" s="27" t="s">
        <v>1875</v>
      </c>
      <c r="H485" s="27" t="s">
        <v>1892</v>
      </c>
      <c r="I485" s="27" t="s">
        <v>1876</v>
      </c>
      <c r="J485" s="27" t="s">
        <v>2116</v>
      </c>
      <c r="K485" s="27" t="n">
        <v>2409</v>
      </c>
      <c r="L485" s="27" t="n">
        <v>703</v>
      </c>
      <c r="M485" s="28" t="n">
        <f aca="false">IFERROR(VLOOKUP((OFFSET(hoje12_326_ana9,484,10,1,1)&amp;"."&amp;OFFSET(hoje12_326_ana9,484,11,1,1)),'12.326'!A:D,4,0),"-")</f>
        <v>1274396000713</v>
      </c>
    </row>
    <row r="486" customFormat="false" ht="14.4" hidden="false" customHeight="false" outlineLevel="0" collapsed="false">
      <c r="A486" s="27" t="n">
        <v>11100985</v>
      </c>
      <c r="B486" s="27" t="s">
        <v>1906</v>
      </c>
      <c r="C486" s="43" t="n">
        <v>213.79</v>
      </c>
      <c r="D486" s="27" t="n">
        <v>37.73</v>
      </c>
      <c r="E486" s="27" t="n">
        <v>12</v>
      </c>
      <c r="F486" s="27" t="n">
        <v>20.96</v>
      </c>
      <c r="G486" s="27" t="s">
        <v>1875</v>
      </c>
      <c r="H486" s="27" t="s">
        <v>1892</v>
      </c>
      <c r="I486" s="27" t="s">
        <v>1876</v>
      </c>
      <c r="J486" s="27" t="s">
        <v>2117</v>
      </c>
      <c r="K486" s="27" t="n">
        <v>2409</v>
      </c>
      <c r="L486" s="27" t="n">
        <v>703</v>
      </c>
      <c r="M486" s="28" t="n">
        <f aca="false">IFERROR(VLOOKUP((OFFSET(hoje12_326_ana9,485,10,1,1)&amp;"."&amp;OFFSET(hoje12_326_ana9,485,11,1,1)),'12.326'!A:D,4,0),"-")</f>
        <v>1274396000713</v>
      </c>
    </row>
    <row r="487" customFormat="false" ht="14.4" hidden="false" customHeight="false" outlineLevel="0" collapsed="false">
      <c r="A487" s="27" t="n">
        <v>11100986</v>
      </c>
      <c r="B487" s="27" t="s">
        <v>1902</v>
      </c>
      <c r="C487" s="43" t="n">
        <v>176.05</v>
      </c>
      <c r="D487" s="27" t="n">
        <v>31.07</v>
      </c>
      <c r="E487" s="27" t="n">
        <v>12</v>
      </c>
      <c r="F487" s="27" t="n">
        <v>17.26</v>
      </c>
      <c r="G487" s="27" t="s">
        <v>1875</v>
      </c>
      <c r="H487" s="27" t="s">
        <v>1892</v>
      </c>
      <c r="I487" s="27" t="s">
        <v>1876</v>
      </c>
      <c r="J487" s="27" t="s">
        <v>2118</v>
      </c>
      <c r="K487" s="27" t="n">
        <v>2409</v>
      </c>
      <c r="L487" s="27" t="n">
        <v>703</v>
      </c>
      <c r="M487" s="28" t="n">
        <f aca="false">IFERROR(VLOOKUP((OFFSET(hoje12_326_ana9,486,10,1,1)&amp;"."&amp;OFFSET(hoje12_326_ana9,486,11,1,1)),'12.326'!A:D,4,0),"-")</f>
        <v>1274396000713</v>
      </c>
    </row>
    <row r="488" customFormat="false" ht="14.4" hidden="false" customHeight="false" outlineLevel="0" collapsed="false">
      <c r="A488" s="27" t="n">
        <v>11100988</v>
      </c>
      <c r="B488" s="27" t="s">
        <v>1894</v>
      </c>
      <c r="C488" s="43" t="n">
        <v>70.38</v>
      </c>
      <c r="D488" s="27" t="n">
        <v>12.42</v>
      </c>
      <c r="E488" s="27" t="n">
        <v>12</v>
      </c>
      <c r="F488" s="27" t="n">
        <v>6.9</v>
      </c>
      <c r="G488" s="27" t="s">
        <v>1875</v>
      </c>
      <c r="H488" s="27" t="s">
        <v>1892</v>
      </c>
      <c r="I488" s="27" t="s">
        <v>1876</v>
      </c>
      <c r="J488" s="27" t="s">
        <v>2120</v>
      </c>
      <c r="K488" s="27" t="n">
        <v>2409</v>
      </c>
      <c r="L488" s="27" t="n">
        <v>703</v>
      </c>
      <c r="M488" s="28" t="n">
        <f aca="false">IFERROR(VLOOKUP((OFFSET(hoje12_326_ana9,487,10,1,1)&amp;"."&amp;OFFSET(hoje12_326_ana9,487,11,1,1)),'12.326'!A:D,4,0),"-")</f>
        <v>1274396000713</v>
      </c>
    </row>
    <row r="489" customFormat="false" ht="14.4" hidden="false" customHeight="false" outlineLevel="0" collapsed="false">
      <c r="A489" s="27" t="n">
        <v>11100989</v>
      </c>
      <c r="B489" s="27" t="s">
        <v>1904</v>
      </c>
      <c r="C489" s="43" t="n">
        <v>134.23</v>
      </c>
      <c r="D489" s="27" t="n">
        <v>23.69</v>
      </c>
      <c r="E489" s="27" t="n">
        <v>24</v>
      </c>
      <c r="F489" s="27" t="n">
        <v>6.58</v>
      </c>
      <c r="G489" s="27" t="s">
        <v>1875</v>
      </c>
      <c r="H489" s="27" t="s">
        <v>1892</v>
      </c>
      <c r="I489" s="27" t="s">
        <v>1876</v>
      </c>
      <c r="J489" s="27" t="s">
        <v>2121</v>
      </c>
      <c r="K489" s="27" t="n">
        <v>2409</v>
      </c>
      <c r="L489" s="27" t="n">
        <v>703</v>
      </c>
      <c r="M489" s="28" t="n">
        <f aca="false">IFERROR(VLOOKUP((OFFSET(hoje12_326_ana9,488,10,1,1)&amp;"."&amp;OFFSET(hoje12_326_ana9,488,11,1,1)),'12.326'!A:D,4,0),"-")</f>
        <v>1274396000713</v>
      </c>
    </row>
    <row r="490" customFormat="false" ht="14.4" hidden="false" customHeight="false" outlineLevel="0" collapsed="false">
      <c r="A490" s="27" t="n">
        <v>11100990</v>
      </c>
      <c r="B490" s="27" t="s">
        <v>1900</v>
      </c>
      <c r="C490" s="43" t="n">
        <v>66.3</v>
      </c>
      <c r="D490" s="27" t="n">
        <v>11.7</v>
      </c>
      <c r="E490" s="27" t="n">
        <v>12</v>
      </c>
      <c r="F490" s="27" t="n">
        <v>6.5</v>
      </c>
      <c r="G490" s="27" t="s">
        <v>1875</v>
      </c>
      <c r="H490" s="27" t="s">
        <v>1892</v>
      </c>
      <c r="I490" s="27" t="s">
        <v>1876</v>
      </c>
      <c r="J490" s="27" t="s">
        <v>2122</v>
      </c>
      <c r="K490" s="27" t="n">
        <v>2409</v>
      </c>
      <c r="L490" s="27" t="n">
        <v>703</v>
      </c>
      <c r="M490" s="28" t="n">
        <f aca="false">IFERROR(VLOOKUP((OFFSET(hoje12_326_ana9,489,10,1,1)&amp;"."&amp;OFFSET(hoje12_326_ana9,489,11,1,1)),'12.326'!A:D,4,0),"-")</f>
        <v>1274396000713</v>
      </c>
    </row>
    <row r="491" customFormat="false" ht="14.4" hidden="false" customHeight="false" outlineLevel="0" collapsed="false">
      <c r="A491" s="27" t="n">
        <v>11100992</v>
      </c>
      <c r="B491" s="27" t="s">
        <v>1891</v>
      </c>
      <c r="C491" s="43" t="n">
        <v>156.58</v>
      </c>
      <c r="D491" s="27" t="n">
        <v>27.62</v>
      </c>
      <c r="E491" s="27" t="n">
        <v>12</v>
      </c>
      <c r="F491" s="27" t="n">
        <v>15.35</v>
      </c>
      <c r="G491" s="27" t="s">
        <v>1875</v>
      </c>
      <c r="H491" s="27" t="s">
        <v>1892</v>
      </c>
      <c r="I491" s="27" t="s">
        <v>1876</v>
      </c>
      <c r="J491" s="27" t="s">
        <v>2123</v>
      </c>
      <c r="K491" s="27" t="n">
        <v>2409</v>
      </c>
      <c r="L491" s="27" t="n">
        <v>703</v>
      </c>
      <c r="M491" s="28" t="n">
        <f aca="false">IFERROR(VLOOKUP((OFFSET(hoje12_326_ana9,490,10,1,1)&amp;"."&amp;OFFSET(hoje12_326_ana9,490,11,1,1)),'12.326'!A:D,4,0),"-")</f>
        <v>1274396000713</v>
      </c>
    </row>
    <row r="492" customFormat="false" ht="14.4" hidden="false" customHeight="false" outlineLevel="0" collapsed="false">
      <c r="A492" s="27" t="n">
        <v>11100993</v>
      </c>
      <c r="B492" s="27" t="s">
        <v>1898</v>
      </c>
      <c r="C492" s="43" t="n">
        <v>66.3</v>
      </c>
      <c r="D492" s="27" t="n">
        <v>11.7</v>
      </c>
      <c r="E492" s="27" t="n">
        <v>12</v>
      </c>
      <c r="F492" s="27" t="n">
        <v>6.5</v>
      </c>
      <c r="G492" s="27" t="s">
        <v>1875</v>
      </c>
      <c r="H492" s="27" t="s">
        <v>1892</v>
      </c>
      <c r="I492" s="27" t="s">
        <v>1876</v>
      </c>
      <c r="J492" s="27" t="s">
        <v>2122</v>
      </c>
      <c r="K492" s="27" t="n">
        <v>2409</v>
      </c>
      <c r="L492" s="27" t="n">
        <v>703</v>
      </c>
      <c r="M492" s="28" t="n">
        <f aca="false">IFERROR(VLOOKUP((OFFSET(hoje12_326_ana9,491,10,1,1)&amp;"."&amp;OFFSET(hoje12_326_ana9,491,11,1,1)),'12.326'!A:D,4,0),"-")</f>
        <v>1274396000713</v>
      </c>
    </row>
    <row r="493" customFormat="false" ht="14.4" hidden="false" customHeight="false" outlineLevel="0" collapsed="false">
      <c r="A493" s="27" t="n">
        <v>11100998</v>
      </c>
      <c r="B493" s="27" t="s">
        <v>1887</v>
      </c>
      <c r="C493" s="43" t="n">
        <v>153.11</v>
      </c>
      <c r="D493" s="27" t="n">
        <v>27.01</v>
      </c>
      <c r="E493" s="27" t="n">
        <v>12</v>
      </c>
      <c r="F493" s="27" t="n">
        <v>15.01</v>
      </c>
      <c r="G493" s="27" t="s">
        <v>1875</v>
      </c>
      <c r="H493" s="27" t="s">
        <v>1892</v>
      </c>
      <c r="I493" s="27" t="s">
        <v>1876</v>
      </c>
      <c r="J493" s="27" t="s">
        <v>2124</v>
      </c>
      <c r="K493" s="27" t="n">
        <v>2409</v>
      </c>
      <c r="L493" s="27" t="n">
        <v>703</v>
      </c>
      <c r="M493" s="28" t="n">
        <f aca="false">IFERROR(VLOOKUP((OFFSET(hoje12_326_ana9,492,10,1,1)&amp;"."&amp;OFFSET(hoje12_326_ana9,492,11,1,1)),'12.326'!A:D,4,0),"-")</f>
        <v>1274396000713</v>
      </c>
    </row>
    <row r="494" customFormat="false" ht="14.4" hidden="false" customHeight="false" outlineLevel="0" collapsed="false">
      <c r="A494" s="27" t="n">
        <v>11101003</v>
      </c>
      <c r="B494" s="27" t="s">
        <v>1889</v>
      </c>
      <c r="C494" s="43" t="n">
        <v>109.75</v>
      </c>
      <c r="D494" s="27" t="n">
        <v>19.37</v>
      </c>
      <c r="E494" s="27" t="n">
        <v>12</v>
      </c>
      <c r="F494" s="27" t="n">
        <v>10.76</v>
      </c>
      <c r="G494" s="27" t="s">
        <v>1875</v>
      </c>
      <c r="H494" s="27" t="s">
        <v>1892</v>
      </c>
      <c r="I494" s="27" t="s">
        <v>1876</v>
      </c>
      <c r="J494" s="27" t="s">
        <v>1893</v>
      </c>
      <c r="K494" s="27" t="n">
        <v>2409</v>
      </c>
      <c r="L494" s="27" t="n">
        <v>703</v>
      </c>
      <c r="M494" s="28" t="n">
        <f aca="false">IFERROR(VLOOKUP((OFFSET(hoje12_326_ana9,493,10,1,1)&amp;"."&amp;OFFSET(hoje12_326_ana9,493,11,1,1)),'12.326'!A:D,4,0),"-")</f>
        <v>1274396000713</v>
      </c>
    </row>
    <row r="495" customFormat="false" ht="14.4" hidden="false" customHeight="false" outlineLevel="0" collapsed="false">
      <c r="A495" s="27" t="n">
        <v>11101004</v>
      </c>
      <c r="B495" s="27" t="s">
        <v>1888</v>
      </c>
      <c r="C495" s="43" t="n">
        <v>109.75</v>
      </c>
      <c r="D495" s="27" t="n">
        <v>19.37</v>
      </c>
      <c r="E495" s="27" t="n">
        <v>12</v>
      </c>
      <c r="F495" s="27" t="n">
        <v>10.76</v>
      </c>
      <c r="G495" s="27" t="s">
        <v>1875</v>
      </c>
      <c r="H495" s="27" t="s">
        <v>1892</v>
      </c>
      <c r="I495" s="27" t="s">
        <v>1876</v>
      </c>
      <c r="J495" s="27" t="s">
        <v>1893</v>
      </c>
      <c r="K495" s="27" t="n">
        <v>2409</v>
      </c>
      <c r="L495" s="27" t="n">
        <v>703</v>
      </c>
      <c r="M495" s="28" t="n">
        <f aca="false">IFERROR(VLOOKUP((OFFSET(hoje12_326_ana9,494,10,1,1)&amp;"."&amp;OFFSET(hoje12_326_ana9,494,11,1,1)),'12.326'!A:D,4,0),"-")</f>
        <v>1274396000713</v>
      </c>
    </row>
    <row r="496" customFormat="false" ht="14.4" hidden="false" customHeight="false" outlineLevel="0" collapsed="false">
      <c r="A496" s="27" t="n">
        <v>11100995</v>
      </c>
      <c r="B496" s="27" t="s">
        <v>1897</v>
      </c>
      <c r="C496" s="43" t="n">
        <v>178.08</v>
      </c>
      <c r="D496" s="27" t="n">
        <v>0</v>
      </c>
      <c r="E496" s="27" t="n">
        <v>12</v>
      </c>
      <c r="F496" s="27" t="n">
        <v>14.84</v>
      </c>
      <c r="G496" s="27" t="s">
        <v>1875</v>
      </c>
      <c r="H496" s="27" t="s">
        <v>68</v>
      </c>
      <c r="I496" s="27" t="s">
        <v>1876</v>
      </c>
      <c r="J496" s="27" t="s">
        <v>1877</v>
      </c>
      <c r="K496" s="27" t="n">
        <v>2409</v>
      </c>
      <c r="L496" s="27" t="n">
        <v>703</v>
      </c>
      <c r="M496" s="28" t="n">
        <f aca="false">IFERROR(VLOOKUP((OFFSET(hoje12_326_ana9,495,10,1,1)&amp;"."&amp;OFFSET(hoje12_326_ana9,495,11,1,1)),'12.326'!A:D,4,0),"-")</f>
        <v>1274396000713</v>
      </c>
    </row>
    <row r="497" customFormat="false" ht="14.4" hidden="false" customHeight="false" outlineLevel="0" collapsed="false">
      <c r="A497" s="27" t="n">
        <v>11100066</v>
      </c>
      <c r="B497" s="27" t="s">
        <v>2111</v>
      </c>
      <c r="C497" s="43" t="n">
        <v>150.65</v>
      </c>
      <c r="D497" s="27" t="n">
        <v>26.59</v>
      </c>
      <c r="E497" s="27" t="n">
        <v>12</v>
      </c>
      <c r="F497" s="27" t="n">
        <v>14.77</v>
      </c>
      <c r="G497" s="27" t="s">
        <v>1875</v>
      </c>
      <c r="H497" s="27" t="s">
        <v>1892</v>
      </c>
      <c r="I497" s="27" t="s">
        <v>1876</v>
      </c>
      <c r="J497" s="27" t="s">
        <v>2112</v>
      </c>
      <c r="K497" s="27" t="n">
        <v>2410</v>
      </c>
      <c r="L497" s="27" t="n">
        <v>703</v>
      </c>
      <c r="M497" s="28" t="n">
        <f aca="false">IFERROR(VLOOKUP((OFFSET(hoje12_326_ana9,496,10,1,1)&amp;"."&amp;OFFSET(hoje12_326_ana9,496,11,1,1)),'12.326'!A:D,4,0),"-")</f>
        <v>1274396000802</v>
      </c>
    </row>
    <row r="498" customFormat="false" ht="14.4" hidden="false" customHeight="false" outlineLevel="0" collapsed="false">
      <c r="A498" s="27" t="n">
        <v>11100542</v>
      </c>
      <c r="B498" s="27" t="s">
        <v>2113</v>
      </c>
      <c r="C498" s="43" t="n">
        <v>119.04</v>
      </c>
      <c r="D498" s="27" t="n">
        <v>21</v>
      </c>
      <c r="E498" s="27" t="n">
        <v>12</v>
      </c>
      <c r="F498" s="27" t="n">
        <v>11.67</v>
      </c>
      <c r="G498" s="27" t="s">
        <v>1875</v>
      </c>
      <c r="H498" s="27" t="s">
        <v>1892</v>
      </c>
      <c r="I498" s="27" t="s">
        <v>1876</v>
      </c>
      <c r="J498" s="27" t="s">
        <v>2114</v>
      </c>
      <c r="K498" s="27" t="n">
        <v>2410</v>
      </c>
      <c r="L498" s="27" t="n">
        <v>703</v>
      </c>
      <c r="M498" s="28" t="n">
        <f aca="false">IFERROR(VLOOKUP((OFFSET(hoje12_326_ana9,497,10,1,1)&amp;"."&amp;OFFSET(hoje12_326_ana9,497,11,1,1)),'12.326'!A:D,4,0),"-")</f>
        <v>1274396000802</v>
      </c>
    </row>
    <row r="499" customFormat="false" ht="14.4" hidden="false" customHeight="false" outlineLevel="0" collapsed="false">
      <c r="A499" s="27" t="n">
        <v>11100543</v>
      </c>
      <c r="B499" s="27" t="s">
        <v>2115</v>
      </c>
      <c r="C499" s="43" t="n">
        <v>174.92</v>
      </c>
      <c r="D499" s="27" t="n">
        <v>30.88</v>
      </c>
      <c r="E499" s="27" t="n">
        <v>12</v>
      </c>
      <c r="F499" s="27" t="n">
        <v>17.15</v>
      </c>
      <c r="G499" s="27" t="s">
        <v>1875</v>
      </c>
      <c r="H499" s="27" t="s">
        <v>1892</v>
      </c>
      <c r="I499" s="27" t="s">
        <v>1876</v>
      </c>
      <c r="J499" s="27" t="s">
        <v>2116</v>
      </c>
      <c r="K499" s="27" t="n">
        <v>2410</v>
      </c>
      <c r="L499" s="27" t="n">
        <v>703</v>
      </c>
      <c r="M499" s="28" t="n">
        <f aca="false">IFERROR(VLOOKUP((OFFSET(hoje12_326_ana9,498,10,1,1)&amp;"."&amp;OFFSET(hoje12_326_ana9,498,11,1,1)),'12.326'!A:D,4,0),"-")</f>
        <v>1274396000802</v>
      </c>
    </row>
    <row r="500" customFormat="false" ht="14.4" hidden="false" customHeight="false" outlineLevel="0" collapsed="false">
      <c r="A500" s="27" t="n">
        <v>11100985</v>
      </c>
      <c r="B500" s="27" t="s">
        <v>1906</v>
      </c>
      <c r="C500" s="43" t="n">
        <v>213.79</v>
      </c>
      <c r="D500" s="27" t="n">
        <v>37.73</v>
      </c>
      <c r="E500" s="27" t="n">
        <v>12</v>
      </c>
      <c r="F500" s="27" t="n">
        <v>20.96</v>
      </c>
      <c r="G500" s="27" t="s">
        <v>1875</v>
      </c>
      <c r="H500" s="27" t="s">
        <v>1892</v>
      </c>
      <c r="I500" s="27" t="s">
        <v>1876</v>
      </c>
      <c r="J500" s="27" t="s">
        <v>2117</v>
      </c>
      <c r="K500" s="27" t="n">
        <v>2410</v>
      </c>
      <c r="L500" s="27" t="n">
        <v>703</v>
      </c>
      <c r="M500" s="28" t="n">
        <f aca="false">IFERROR(VLOOKUP((OFFSET(hoje12_326_ana9,499,10,1,1)&amp;"."&amp;OFFSET(hoje12_326_ana9,499,11,1,1)),'12.326'!A:D,4,0),"-")</f>
        <v>1274396000802</v>
      </c>
    </row>
    <row r="501" customFormat="false" ht="14.4" hidden="false" customHeight="false" outlineLevel="0" collapsed="false">
      <c r="A501" s="27" t="n">
        <v>11100986</v>
      </c>
      <c r="B501" s="27" t="s">
        <v>1902</v>
      </c>
      <c r="C501" s="43" t="n">
        <v>176.05</v>
      </c>
      <c r="D501" s="27" t="n">
        <v>31.07</v>
      </c>
      <c r="E501" s="27" t="n">
        <v>12</v>
      </c>
      <c r="F501" s="27" t="n">
        <v>17.26</v>
      </c>
      <c r="G501" s="27" t="s">
        <v>1875</v>
      </c>
      <c r="H501" s="27" t="s">
        <v>1892</v>
      </c>
      <c r="I501" s="27" t="s">
        <v>1876</v>
      </c>
      <c r="J501" s="27" t="s">
        <v>2118</v>
      </c>
      <c r="K501" s="27" t="n">
        <v>2410</v>
      </c>
      <c r="L501" s="27" t="n">
        <v>703</v>
      </c>
      <c r="M501" s="28" t="n">
        <f aca="false">IFERROR(VLOOKUP((OFFSET(hoje12_326_ana9,500,10,1,1)&amp;"."&amp;OFFSET(hoje12_326_ana9,500,11,1,1)),'12.326'!A:D,4,0),"-")</f>
        <v>1274396000802</v>
      </c>
    </row>
    <row r="502" customFormat="false" ht="14.4" hidden="false" customHeight="false" outlineLevel="0" collapsed="false">
      <c r="A502" s="27" t="n">
        <v>11100988</v>
      </c>
      <c r="B502" s="27" t="s">
        <v>1894</v>
      </c>
      <c r="C502" s="43" t="n">
        <v>70.38</v>
      </c>
      <c r="D502" s="27" t="n">
        <v>12.42</v>
      </c>
      <c r="E502" s="27" t="n">
        <v>12</v>
      </c>
      <c r="F502" s="27" t="n">
        <v>6.9</v>
      </c>
      <c r="G502" s="27" t="s">
        <v>1875</v>
      </c>
      <c r="H502" s="27" t="s">
        <v>1892</v>
      </c>
      <c r="I502" s="27" t="s">
        <v>1876</v>
      </c>
      <c r="J502" s="27" t="s">
        <v>2120</v>
      </c>
      <c r="K502" s="27" t="n">
        <v>2410</v>
      </c>
      <c r="L502" s="27" t="n">
        <v>703</v>
      </c>
      <c r="M502" s="28" t="n">
        <f aca="false">IFERROR(VLOOKUP((OFFSET(hoje12_326_ana9,501,10,1,1)&amp;"."&amp;OFFSET(hoje12_326_ana9,501,11,1,1)),'12.326'!A:D,4,0),"-")</f>
        <v>1274396000802</v>
      </c>
    </row>
    <row r="503" customFormat="false" ht="14.4" hidden="false" customHeight="false" outlineLevel="0" collapsed="false">
      <c r="A503" s="27" t="n">
        <v>11100989</v>
      </c>
      <c r="B503" s="27" t="s">
        <v>1904</v>
      </c>
      <c r="C503" s="43" t="n">
        <v>134.23</v>
      </c>
      <c r="D503" s="27" t="n">
        <v>23.69</v>
      </c>
      <c r="E503" s="27" t="n">
        <v>24</v>
      </c>
      <c r="F503" s="27" t="n">
        <v>6.58</v>
      </c>
      <c r="G503" s="27" t="s">
        <v>1875</v>
      </c>
      <c r="H503" s="27" t="s">
        <v>1892</v>
      </c>
      <c r="I503" s="27" t="s">
        <v>1876</v>
      </c>
      <c r="J503" s="27" t="s">
        <v>2121</v>
      </c>
      <c r="K503" s="27" t="n">
        <v>2410</v>
      </c>
      <c r="L503" s="27" t="n">
        <v>703</v>
      </c>
      <c r="M503" s="28" t="n">
        <f aca="false">IFERROR(VLOOKUP((OFFSET(hoje12_326_ana9,502,10,1,1)&amp;"."&amp;OFFSET(hoje12_326_ana9,502,11,1,1)),'12.326'!A:D,4,0),"-")</f>
        <v>1274396000802</v>
      </c>
    </row>
    <row r="504" customFormat="false" ht="14.4" hidden="false" customHeight="false" outlineLevel="0" collapsed="false">
      <c r="A504" s="27" t="n">
        <v>11100990</v>
      </c>
      <c r="B504" s="27" t="s">
        <v>1900</v>
      </c>
      <c r="C504" s="43" t="n">
        <v>66.3</v>
      </c>
      <c r="D504" s="27" t="n">
        <v>11.7</v>
      </c>
      <c r="E504" s="27" t="n">
        <v>12</v>
      </c>
      <c r="F504" s="27" t="n">
        <v>6.5</v>
      </c>
      <c r="G504" s="27" t="s">
        <v>1875</v>
      </c>
      <c r="H504" s="27" t="s">
        <v>1892</v>
      </c>
      <c r="I504" s="27" t="s">
        <v>1876</v>
      </c>
      <c r="J504" s="27" t="s">
        <v>2122</v>
      </c>
      <c r="K504" s="27" t="n">
        <v>2410</v>
      </c>
      <c r="L504" s="27" t="n">
        <v>703</v>
      </c>
      <c r="M504" s="28" t="n">
        <f aca="false">IFERROR(VLOOKUP((OFFSET(hoje12_326_ana9,503,10,1,1)&amp;"."&amp;OFFSET(hoje12_326_ana9,503,11,1,1)),'12.326'!A:D,4,0),"-")</f>
        <v>1274396000802</v>
      </c>
    </row>
    <row r="505" customFormat="false" ht="14.4" hidden="false" customHeight="false" outlineLevel="0" collapsed="false">
      <c r="A505" s="27" t="n">
        <v>11100992</v>
      </c>
      <c r="B505" s="27" t="s">
        <v>1891</v>
      </c>
      <c r="C505" s="43" t="n">
        <v>156.58</v>
      </c>
      <c r="D505" s="27" t="n">
        <v>27.62</v>
      </c>
      <c r="E505" s="27" t="n">
        <v>12</v>
      </c>
      <c r="F505" s="27" t="n">
        <v>15.35</v>
      </c>
      <c r="G505" s="27" t="s">
        <v>1875</v>
      </c>
      <c r="H505" s="27" t="s">
        <v>1892</v>
      </c>
      <c r="I505" s="27" t="s">
        <v>1876</v>
      </c>
      <c r="J505" s="27" t="s">
        <v>2123</v>
      </c>
      <c r="K505" s="27" t="n">
        <v>2410</v>
      </c>
      <c r="L505" s="27" t="n">
        <v>703</v>
      </c>
      <c r="M505" s="28" t="n">
        <f aca="false">IFERROR(VLOOKUP((OFFSET(hoje12_326_ana9,504,10,1,1)&amp;"."&amp;OFFSET(hoje12_326_ana9,504,11,1,1)),'12.326'!A:D,4,0),"-")</f>
        <v>1274396000802</v>
      </c>
    </row>
    <row r="506" customFormat="false" ht="14.4" hidden="false" customHeight="false" outlineLevel="0" collapsed="false">
      <c r="A506" s="27" t="n">
        <v>11100993</v>
      </c>
      <c r="B506" s="27" t="s">
        <v>1898</v>
      </c>
      <c r="C506" s="43" t="n">
        <v>66.3</v>
      </c>
      <c r="D506" s="27" t="n">
        <v>11.7</v>
      </c>
      <c r="E506" s="27" t="n">
        <v>12</v>
      </c>
      <c r="F506" s="27" t="n">
        <v>6.5</v>
      </c>
      <c r="G506" s="27" t="s">
        <v>1875</v>
      </c>
      <c r="H506" s="27" t="s">
        <v>1892</v>
      </c>
      <c r="I506" s="27" t="s">
        <v>1876</v>
      </c>
      <c r="J506" s="27" t="s">
        <v>2122</v>
      </c>
      <c r="K506" s="27" t="n">
        <v>2410</v>
      </c>
      <c r="L506" s="27" t="n">
        <v>703</v>
      </c>
      <c r="M506" s="28" t="n">
        <f aca="false">IFERROR(VLOOKUP((OFFSET(hoje12_326_ana9,505,10,1,1)&amp;"."&amp;OFFSET(hoje12_326_ana9,505,11,1,1)),'12.326'!A:D,4,0),"-")</f>
        <v>1274396000802</v>
      </c>
    </row>
    <row r="507" customFormat="false" ht="14.4" hidden="false" customHeight="false" outlineLevel="0" collapsed="false">
      <c r="A507" s="27" t="n">
        <v>11100998</v>
      </c>
      <c r="B507" s="27" t="s">
        <v>1887</v>
      </c>
      <c r="C507" s="43" t="n">
        <v>153.11</v>
      </c>
      <c r="D507" s="27" t="n">
        <v>27.01</v>
      </c>
      <c r="E507" s="27" t="n">
        <v>12</v>
      </c>
      <c r="F507" s="27" t="n">
        <v>15.01</v>
      </c>
      <c r="G507" s="27" t="s">
        <v>1875</v>
      </c>
      <c r="H507" s="27" t="s">
        <v>1892</v>
      </c>
      <c r="I507" s="27" t="s">
        <v>1876</v>
      </c>
      <c r="J507" s="27" t="s">
        <v>2124</v>
      </c>
      <c r="K507" s="27" t="n">
        <v>2410</v>
      </c>
      <c r="L507" s="27" t="n">
        <v>703</v>
      </c>
      <c r="M507" s="28" t="n">
        <f aca="false">IFERROR(VLOOKUP((OFFSET(hoje12_326_ana9,506,10,1,1)&amp;"."&amp;OFFSET(hoje12_326_ana9,506,11,1,1)),'12.326'!A:D,4,0),"-")</f>
        <v>1274396000802</v>
      </c>
    </row>
    <row r="508" customFormat="false" ht="14.4" hidden="false" customHeight="false" outlineLevel="0" collapsed="false">
      <c r="A508" s="27" t="n">
        <v>11101003</v>
      </c>
      <c r="B508" s="27" t="s">
        <v>1889</v>
      </c>
      <c r="C508" s="43" t="n">
        <v>109.75</v>
      </c>
      <c r="D508" s="27" t="n">
        <v>19.37</v>
      </c>
      <c r="E508" s="27" t="n">
        <v>12</v>
      </c>
      <c r="F508" s="27" t="n">
        <v>10.76</v>
      </c>
      <c r="G508" s="27" t="s">
        <v>1875</v>
      </c>
      <c r="H508" s="27" t="s">
        <v>1892</v>
      </c>
      <c r="I508" s="27" t="s">
        <v>1876</v>
      </c>
      <c r="J508" s="27" t="s">
        <v>1893</v>
      </c>
      <c r="K508" s="27" t="n">
        <v>2410</v>
      </c>
      <c r="L508" s="27" t="n">
        <v>703</v>
      </c>
      <c r="M508" s="28" t="n">
        <f aca="false">IFERROR(VLOOKUP((OFFSET(hoje12_326_ana9,507,10,1,1)&amp;"."&amp;OFFSET(hoje12_326_ana9,507,11,1,1)),'12.326'!A:D,4,0),"-")</f>
        <v>1274396000802</v>
      </c>
    </row>
    <row r="509" customFormat="false" ht="14.4" hidden="false" customHeight="false" outlineLevel="0" collapsed="false">
      <c r="A509" s="27" t="n">
        <v>11101004</v>
      </c>
      <c r="B509" s="27" t="s">
        <v>1888</v>
      </c>
      <c r="C509" s="43" t="n">
        <v>109.75</v>
      </c>
      <c r="D509" s="27" t="n">
        <v>19.37</v>
      </c>
      <c r="E509" s="27" t="n">
        <v>12</v>
      </c>
      <c r="F509" s="27" t="n">
        <v>10.76</v>
      </c>
      <c r="G509" s="27" t="s">
        <v>1875</v>
      </c>
      <c r="H509" s="27" t="s">
        <v>1892</v>
      </c>
      <c r="I509" s="27" t="s">
        <v>1876</v>
      </c>
      <c r="J509" s="27" t="s">
        <v>1893</v>
      </c>
      <c r="K509" s="27" t="n">
        <v>2410</v>
      </c>
      <c r="L509" s="27" t="n">
        <v>703</v>
      </c>
      <c r="M509" s="28" t="n">
        <f aca="false">IFERROR(VLOOKUP((OFFSET(hoje12_326_ana9,508,10,1,1)&amp;"."&amp;OFFSET(hoje12_326_ana9,508,11,1,1)),'12.326'!A:D,4,0),"-")</f>
        <v>1274396000802</v>
      </c>
    </row>
    <row r="510" customFormat="false" ht="14.4" hidden="false" customHeight="false" outlineLevel="0" collapsed="false">
      <c r="A510" s="27" t="n">
        <v>11100995</v>
      </c>
      <c r="B510" s="27" t="s">
        <v>1897</v>
      </c>
      <c r="C510" s="43" t="n">
        <v>178.08</v>
      </c>
      <c r="D510" s="27" t="n">
        <v>0</v>
      </c>
      <c r="E510" s="27" t="n">
        <v>12</v>
      </c>
      <c r="F510" s="27" t="n">
        <v>14.84</v>
      </c>
      <c r="G510" s="27" t="s">
        <v>1875</v>
      </c>
      <c r="H510" s="27" t="s">
        <v>68</v>
      </c>
      <c r="I510" s="27" t="s">
        <v>1876</v>
      </c>
      <c r="J510" s="27" t="s">
        <v>1877</v>
      </c>
      <c r="K510" s="27" t="n">
        <v>2410</v>
      </c>
      <c r="L510" s="27" t="n">
        <v>703</v>
      </c>
      <c r="M510" s="28" t="n">
        <f aca="false">IFERROR(VLOOKUP((OFFSET(hoje12_326_ana9,509,10,1,1)&amp;"."&amp;OFFSET(hoje12_326_ana9,509,11,1,1)),'12.326'!A:D,4,0),"-")</f>
        <v>1274396000802</v>
      </c>
    </row>
    <row r="511" customFormat="false" ht="14.4" hidden="false" customHeight="false" outlineLevel="0" collapsed="false">
      <c r="A511" s="27" t="n">
        <v>11100216</v>
      </c>
      <c r="B511" s="27" t="s">
        <v>1923</v>
      </c>
      <c r="C511" s="43" t="n">
        <v>168.01</v>
      </c>
      <c r="D511" s="27" t="n">
        <v>29.63</v>
      </c>
      <c r="E511" s="27" t="n">
        <v>36</v>
      </c>
      <c r="F511" s="27" t="n">
        <v>5.49</v>
      </c>
      <c r="G511" s="27" t="s">
        <v>1875</v>
      </c>
      <c r="H511" s="27" t="s">
        <v>1892</v>
      </c>
      <c r="I511" s="27" t="s">
        <v>1876</v>
      </c>
      <c r="J511" s="27" t="s">
        <v>2138</v>
      </c>
      <c r="K511" s="27" t="n">
        <v>2410</v>
      </c>
      <c r="L511" s="27" t="n">
        <v>703</v>
      </c>
      <c r="M511" s="28" t="n">
        <f aca="false">IFERROR(VLOOKUP((OFFSET(hoje12_326_ana9,510,10,1,1)&amp;"."&amp;OFFSET(hoje12_326_ana9,510,11,1,1)),'12.326'!A:D,4,0),"-")</f>
        <v>1274396000802</v>
      </c>
    </row>
    <row r="512" customFormat="false" ht="14.4" hidden="false" customHeight="false" outlineLevel="0" collapsed="false">
      <c r="A512" s="27" t="n">
        <v>11100373</v>
      </c>
      <c r="B512" s="27" t="s">
        <v>2127</v>
      </c>
      <c r="C512" s="43" t="n">
        <v>34.27</v>
      </c>
      <c r="D512" s="27" t="n">
        <v>6.05</v>
      </c>
      <c r="E512" s="27" t="n">
        <v>12</v>
      </c>
      <c r="F512" s="27" t="n">
        <v>3.36</v>
      </c>
      <c r="G512" s="27" t="s">
        <v>1875</v>
      </c>
      <c r="H512" s="27" t="s">
        <v>1892</v>
      </c>
      <c r="I512" s="27" t="s">
        <v>1876</v>
      </c>
      <c r="J512" s="27" t="s">
        <v>2128</v>
      </c>
      <c r="K512" s="27" t="n">
        <v>2410</v>
      </c>
      <c r="L512" s="27" t="n">
        <v>703</v>
      </c>
      <c r="M512" s="28" t="n">
        <f aca="false">IFERROR(VLOOKUP((OFFSET(hoje12_326_ana9,511,10,1,1)&amp;"."&amp;OFFSET(hoje12_326_ana9,511,11,1,1)),'12.326'!A:D,4,0),"-")</f>
        <v>1274396000802</v>
      </c>
    </row>
    <row r="513" customFormat="false" ht="14.4" hidden="false" customHeight="false" outlineLevel="0" collapsed="false">
      <c r="A513" s="27" t="n">
        <v>11100968</v>
      </c>
      <c r="B513" s="27" t="s">
        <v>2125</v>
      </c>
      <c r="C513" s="43" t="n">
        <v>23.51</v>
      </c>
      <c r="D513" s="27" t="n">
        <v>4.15</v>
      </c>
      <c r="E513" s="27" t="n">
        <v>3</v>
      </c>
      <c r="F513" s="27" t="n">
        <v>9.22</v>
      </c>
      <c r="G513" s="27" t="s">
        <v>1875</v>
      </c>
      <c r="H513" s="27" t="s">
        <v>1892</v>
      </c>
      <c r="I513" s="27" t="s">
        <v>1876</v>
      </c>
      <c r="J513" s="27" t="s">
        <v>1896</v>
      </c>
      <c r="K513" s="27" t="n">
        <v>2410</v>
      </c>
      <c r="L513" s="27" t="n">
        <v>703</v>
      </c>
      <c r="M513" s="28" t="n">
        <f aca="false">IFERROR(VLOOKUP((OFFSET(hoje12_326_ana9,512,10,1,1)&amp;"."&amp;OFFSET(hoje12_326_ana9,512,11,1,1)),'12.326'!A:D,4,0),"-")</f>
        <v>1274396000802</v>
      </c>
    </row>
    <row r="514" customFormat="false" ht="14.4" hidden="false" customHeight="false" outlineLevel="0" collapsed="false">
      <c r="A514" s="27" t="n">
        <v>11100976</v>
      </c>
      <c r="B514" s="27" t="s">
        <v>2139</v>
      </c>
      <c r="C514" s="43" t="n">
        <v>37.54</v>
      </c>
      <c r="D514" s="27" t="n">
        <v>13.82</v>
      </c>
      <c r="E514" s="27" t="n">
        <v>24</v>
      </c>
      <c r="F514" s="27" t="n">
        <v>2.14</v>
      </c>
      <c r="G514" s="27" t="s">
        <v>1875</v>
      </c>
      <c r="H514" s="27" t="s">
        <v>2140</v>
      </c>
      <c r="I514" s="27" t="s">
        <v>1876</v>
      </c>
      <c r="J514" s="27" t="s">
        <v>2141</v>
      </c>
      <c r="K514" s="27" t="n">
        <v>2410</v>
      </c>
      <c r="L514" s="27" t="n">
        <v>703</v>
      </c>
      <c r="M514" s="28" t="n">
        <f aca="false">IFERROR(VLOOKUP((OFFSET(hoje12_326_ana9,513,10,1,1)&amp;"."&amp;OFFSET(hoje12_326_ana9,513,11,1,1)),'12.326'!A:D,4,0),"-")</f>
        <v>1274396000802</v>
      </c>
    </row>
    <row r="515" customFormat="false" ht="14.4" hidden="false" customHeight="false" outlineLevel="0" collapsed="false">
      <c r="A515" s="27" t="n">
        <v>11100987</v>
      </c>
      <c r="B515" s="27" t="s">
        <v>1890</v>
      </c>
      <c r="C515" s="43" t="n">
        <v>106.6</v>
      </c>
      <c r="D515" s="27" t="n">
        <v>18.8</v>
      </c>
      <c r="E515" s="27" t="n">
        <v>12</v>
      </c>
      <c r="F515" s="27" t="n">
        <v>10.45</v>
      </c>
      <c r="G515" s="27" t="s">
        <v>1875</v>
      </c>
      <c r="H515" s="27" t="s">
        <v>1892</v>
      </c>
      <c r="I515" s="27" t="s">
        <v>1876</v>
      </c>
      <c r="J515" s="27" t="s">
        <v>2142</v>
      </c>
      <c r="K515" s="27" t="n">
        <v>2410</v>
      </c>
      <c r="L515" s="27" t="n">
        <v>703</v>
      </c>
      <c r="M515" s="28" t="n">
        <f aca="false">IFERROR(VLOOKUP((OFFSET(hoje12_326_ana9,514,10,1,1)&amp;"."&amp;OFFSET(hoje12_326_ana9,514,11,1,1)),'12.326'!A:D,4,0),"-")</f>
        <v>1274396000802</v>
      </c>
    </row>
    <row r="516" customFormat="false" ht="14.4" hidden="false" customHeight="false" outlineLevel="0" collapsed="false">
      <c r="A516" s="27" t="n">
        <v>11100066</v>
      </c>
      <c r="B516" s="27" t="s">
        <v>2111</v>
      </c>
      <c r="C516" s="43" t="n">
        <v>301.3</v>
      </c>
      <c r="D516" s="27" t="n">
        <v>53.18</v>
      </c>
      <c r="E516" s="27" t="n">
        <v>24</v>
      </c>
      <c r="F516" s="27" t="n">
        <v>14.77</v>
      </c>
      <c r="G516" s="27" t="s">
        <v>1875</v>
      </c>
      <c r="H516" s="27" t="s">
        <v>1892</v>
      </c>
      <c r="I516" s="27" t="s">
        <v>1876</v>
      </c>
      <c r="J516" s="27" t="s">
        <v>2143</v>
      </c>
      <c r="K516" s="27" t="n">
        <v>2412</v>
      </c>
      <c r="L516" s="27" t="n">
        <v>703</v>
      </c>
      <c r="M516" s="28" t="n">
        <f aca="false">IFERROR(VLOOKUP((OFFSET(hoje12_326_ana9,515,10,1,1)&amp;"."&amp;OFFSET(hoje12_326_ana9,515,11,1,1)),'12.326'!A:D,4,0),"-")</f>
        <v>1274396001019</v>
      </c>
    </row>
    <row r="517" customFormat="false" ht="14.4" hidden="false" customHeight="false" outlineLevel="0" collapsed="false">
      <c r="A517" s="27" t="n">
        <v>11100542</v>
      </c>
      <c r="B517" s="27" t="s">
        <v>2113</v>
      </c>
      <c r="C517" s="43" t="n">
        <v>357.12</v>
      </c>
      <c r="D517" s="27" t="n">
        <v>63</v>
      </c>
      <c r="E517" s="27" t="n">
        <v>36</v>
      </c>
      <c r="F517" s="27" t="n">
        <v>11.67</v>
      </c>
      <c r="G517" s="27" t="s">
        <v>1875</v>
      </c>
      <c r="H517" s="27" t="s">
        <v>1892</v>
      </c>
      <c r="I517" s="27" t="s">
        <v>1876</v>
      </c>
      <c r="J517" s="27" t="s">
        <v>2130</v>
      </c>
      <c r="K517" s="27" t="n">
        <v>2412</v>
      </c>
      <c r="L517" s="27" t="n">
        <v>703</v>
      </c>
      <c r="M517" s="28" t="n">
        <f aca="false">IFERROR(VLOOKUP((OFFSET(hoje12_326_ana9,516,10,1,1)&amp;"."&amp;OFFSET(hoje12_326_ana9,516,11,1,1)),'12.326'!A:D,4,0),"-")</f>
        <v>1274396001019</v>
      </c>
    </row>
    <row r="518" customFormat="false" ht="14.4" hidden="false" customHeight="false" outlineLevel="0" collapsed="false">
      <c r="A518" s="27" t="n">
        <v>11100543</v>
      </c>
      <c r="B518" s="27" t="s">
        <v>2115</v>
      </c>
      <c r="C518" s="43" t="n">
        <v>262.39</v>
      </c>
      <c r="D518" s="27" t="n">
        <v>46.31</v>
      </c>
      <c r="E518" s="27" t="n">
        <v>18</v>
      </c>
      <c r="F518" s="27" t="n">
        <v>17.15</v>
      </c>
      <c r="G518" s="27" t="s">
        <v>1875</v>
      </c>
      <c r="H518" s="27" t="s">
        <v>1892</v>
      </c>
      <c r="I518" s="27" t="s">
        <v>1876</v>
      </c>
      <c r="J518" s="27" t="s">
        <v>2144</v>
      </c>
      <c r="K518" s="27" t="n">
        <v>2412</v>
      </c>
      <c r="L518" s="27" t="n">
        <v>703</v>
      </c>
      <c r="M518" s="28" t="n">
        <f aca="false">IFERROR(VLOOKUP((OFFSET(hoje12_326_ana9,517,10,1,1)&amp;"."&amp;OFFSET(hoje12_326_ana9,517,11,1,1)),'12.326'!A:D,4,0),"-")</f>
        <v>1274396001019</v>
      </c>
    </row>
    <row r="519" customFormat="false" ht="14.4" hidden="false" customHeight="false" outlineLevel="0" collapsed="false">
      <c r="A519" s="27" t="n">
        <v>11100822</v>
      </c>
      <c r="B519" s="27" t="s">
        <v>1966</v>
      </c>
      <c r="C519" s="43" t="n">
        <v>533.79</v>
      </c>
      <c r="D519" s="27" t="n">
        <v>59.31</v>
      </c>
      <c r="E519" s="27" t="n">
        <v>90</v>
      </c>
      <c r="F519" s="27" t="n">
        <v>6.59</v>
      </c>
      <c r="G519" s="27" t="s">
        <v>1875</v>
      </c>
      <c r="H519" s="27" t="s">
        <v>1895</v>
      </c>
      <c r="I519" s="27" t="s">
        <v>1876</v>
      </c>
      <c r="J519" s="27" t="s">
        <v>2145</v>
      </c>
      <c r="K519" s="27" t="n">
        <v>2412</v>
      </c>
      <c r="L519" s="27" t="n">
        <v>703</v>
      </c>
      <c r="M519" s="28" t="n">
        <f aca="false">IFERROR(VLOOKUP((OFFSET(hoje12_326_ana9,518,10,1,1)&amp;"."&amp;OFFSET(hoje12_326_ana9,518,11,1,1)),'12.326'!A:D,4,0),"-")</f>
        <v>1274396001019</v>
      </c>
    </row>
    <row r="520" customFormat="false" ht="14.4" hidden="false" customHeight="false" outlineLevel="0" collapsed="false">
      <c r="A520" s="27" t="n">
        <v>11100985</v>
      </c>
      <c r="B520" s="27" t="s">
        <v>1906</v>
      </c>
      <c r="C520" s="43" t="n">
        <v>213.79</v>
      </c>
      <c r="D520" s="27" t="n">
        <v>37.73</v>
      </c>
      <c r="E520" s="27" t="n">
        <v>12</v>
      </c>
      <c r="F520" s="27" t="n">
        <v>20.96</v>
      </c>
      <c r="G520" s="27" t="s">
        <v>1875</v>
      </c>
      <c r="H520" s="27" t="s">
        <v>1892</v>
      </c>
      <c r="I520" s="27" t="s">
        <v>1876</v>
      </c>
      <c r="J520" s="27" t="s">
        <v>2117</v>
      </c>
      <c r="K520" s="27" t="n">
        <v>2412</v>
      </c>
      <c r="L520" s="27" t="n">
        <v>703</v>
      </c>
      <c r="M520" s="28" t="n">
        <f aca="false">IFERROR(VLOOKUP((OFFSET(hoje12_326_ana9,519,10,1,1)&amp;"."&amp;OFFSET(hoje12_326_ana9,519,11,1,1)),'12.326'!A:D,4,0),"-")</f>
        <v>1274396001019</v>
      </c>
    </row>
    <row r="521" customFormat="false" ht="14.4" hidden="false" customHeight="false" outlineLevel="0" collapsed="false">
      <c r="A521" s="27" t="n">
        <v>11100986</v>
      </c>
      <c r="B521" s="27" t="s">
        <v>1902</v>
      </c>
      <c r="C521" s="43" t="n">
        <v>176.05</v>
      </c>
      <c r="D521" s="27" t="n">
        <v>31.07</v>
      </c>
      <c r="E521" s="27" t="n">
        <v>12</v>
      </c>
      <c r="F521" s="27" t="n">
        <v>17.26</v>
      </c>
      <c r="G521" s="27" t="s">
        <v>1875</v>
      </c>
      <c r="H521" s="27" t="s">
        <v>1892</v>
      </c>
      <c r="I521" s="27" t="s">
        <v>1876</v>
      </c>
      <c r="J521" s="27" t="s">
        <v>2118</v>
      </c>
      <c r="K521" s="27" t="n">
        <v>2412</v>
      </c>
      <c r="L521" s="27" t="n">
        <v>703</v>
      </c>
      <c r="M521" s="28" t="n">
        <f aca="false">IFERROR(VLOOKUP((OFFSET(hoje12_326_ana9,520,10,1,1)&amp;"."&amp;OFFSET(hoje12_326_ana9,520,11,1,1)),'12.326'!A:D,4,0),"-")</f>
        <v>1274396001019</v>
      </c>
    </row>
    <row r="522" customFormat="false" ht="14.4" hidden="false" customHeight="false" outlineLevel="0" collapsed="false">
      <c r="A522" s="27" t="n">
        <v>11100987</v>
      </c>
      <c r="B522" s="27" t="s">
        <v>1890</v>
      </c>
      <c r="C522" s="43" t="n">
        <v>426.38</v>
      </c>
      <c r="D522" s="27" t="n">
        <v>75.22</v>
      </c>
      <c r="E522" s="27" t="n">
        <v>48</v>
      </c>
      <c r="F522" s="27" t="n">
        <v>10.45</v>
      </c>
      <c r="G522" s="27" t="s">
        <v>1875</v>
      </c>
      <c r="H522" s="27" t="s">
        <v>1892</v>
      </c>
      <c r="I522" s="27" t="s">
        <v>1876</v>
      </c>
      <c r="J522" s="27" t="s">
        <v>2146</v>
      </c>
      <c r="K522" s="27" t="n">
        <v>2412</v>
      </c>
      <c r="L522" s="27" t="n">
        <v>703</v>
      </c>
      <c r="M522" s="28" t="n">
        <f aca="false">IFERROR(VLOOKUP((OFFSET(hoje12_326_ana9,521,10,1,1)&amp;"."&amp;OFFSET(hoje12_326_ana9,521,11,1,1)),'12.326'!A:D,4,0),"-")</f>
        <v>1274396001019</v>
      </c>
    </row>
    <row r="523" customFormat="false" ht="14.4" hidden="false" customHeight="false" outlineLevel="0" collapsed="false">
      <c r="A523" s="27" t="n">
        <v>11100988</v>
      </c>
      <c r="B523" s="27" t="s">
        <v>1894</v>
      </c>
      <c r="C523" s="43" t="n">
        <v>126.7</v>
      </c>
      <c r="D523" s="27" t="n">
        <v>38.9</v>
      </c>
      <c r="E523" s="27" t="n">
        <v>24</v>
      </c>
      <c r="F523" s="27" t="n">
        <v>6.9</v>
      </c>
      <c r="G523" s="27" t="s">
        <v>1875</v>
      </c>
      <c r="H523" s="27" t="s">
        <v>2133</v>
      </c>
      <c r="I523" s="27" t="s">
        <v>1876</v>
      </c>
      <c r="J523" s="27" t="s">
        <v>2147</v>
      </c>
      <c r="K523" s="27" t="n">
        <v>2412</v>
      </c>
      <c r="L523" s="27" t="n">
        <v>703</v>
      </c>
      <c r="M523" s="28" t="n">
        <f aca="false">IFERROR(VLOOKUP((OFFSET(hoje12_326_ana9,522,10,1,1)&amp;"."&amp;OFFSET(hoje12_326_ana9,522,11,1,1)),'12.326'!A:D,4,0),"-")</f>
        <v>1274396001019</v>
      </c>
    </row>
    <row r="524" customFormat="false" ht="14.4" hidden="false" customHeight="false" outlineLevel="0" collapsed="false">
      <c r="A524" s="27" t="n">
        <v>11100989</v>
      </c>
      <c r="B524" s="27" t="s">
        <v>1904</v>
      </c>
      <c r="C524" s="43" t="n">
        <v>302.04</v>
      </c>
      <c r="D524" s="27" t="n">
        <v>92.76</v>
      </c>
      <c r="E524" s="27" t="n">
        <v>60</v>
      </c>
      <c r="F524" s="27" t="n">
        <v>6.58</v>
      </c>
      <c r="G524" s="27" t="s">
        <v>1875</v>
      </c>
      <c r="H524" s="27" t="s">
        <v>2133</v>
      </c>
      <c r="I524" s="27" t="s">
        <v>1876</v>
      </c>
      <c r="J524" s="27" t="s">
        <v>2148</v>
      </c>
      <c r="K524" s="27" t="n">
        <v>2412</v>
      </c>
      <c r="L524" s="27" t="n">
        <v>703</v>
      </c>
      <c r="M524" s="28" t="n">
        <f aca="false">IFERROR(VLOOKUP((OFFSET(hoje12_326_ana9,523,10,1,1)&amp;"."&amp;OFFSET(hoje12_326_ana9,523,11,1,1)),'12.326'!A:D,4,0),"-")</f>
        <v>1274396001019</v>
      </c>
    </row>
    <row r="525" customFormat="false" ht="14.4" hidden="false" customHeight="false" outlineLevel="0" collapsed="false">
      <c r="A525" s="27" t="n">
        <v>11100990</v>
      </c>
      <c r="B525" s="27" t="s">
        <v>1900</v>
      </c>
      <c r="C525" s="43" t="n">
        <v>66.3</v>
      </c>
      <c r="D525" s="27" t="n">
        <v>11.7</v>
      </c>
      <c r="E525" s="27" t="n">
        <v>12</v>
      </c>
      <c r="F525" s="27" t="n">
        <v>6.5</v>
      </c>
      <c r="G525" s="27" t="s">
        <v>1875</v>
      </c>
      <c r="H525" s="27" t="s">
        <v>1892</v>
      </c>
      <c r="I525" s="27" t="s">
        <v>1876</v>
      </c>
      <c r="J525" s="27" t="s">
        <v>2122</v>
      </c>
      <c r="K525" s="27" t="n">
        <v>2412</v>
      </c>
      <c r="L525" s="27" t="n">
        <v>703</v>
      </c>
      <c r="M525" s="28" t="n">
        <f aca="false">IFERROR(VLOOKUP((OFFSET(hoje12_326_ana9,524,10,1,1)&amp;"."&amp;OFFSET(hoje12_326_ana9,524,11,1,1)),'12.326'!A:D,4,0),"-")</f>
        <v>1274396001019</v>
      </c>
    </row>
    <row r="526" customFormat="false" ht="14.4" hidden="false" customHeight="false" outlineLevel="0" collapsed="false">
      <c r="A526" s="27" t="n">
        <v>11100992</v>
      </c>
      <c r="B526" s="27" t="s">
        <v>1891</v>
      </c>
      <c r="C526" s="43" t="n">
        <v>313.15</v>
      </c>
      <c r="D526" s="27" t="n">
        <v>55.25</v>
      </c>
      <c r="E526" s="27" t="n">
        <v>24</v>
      </c>
      <c r="F526" s="27" t="n">
        <v>15.35</v>
      </c>
      <c r="G526" s="27" t="s">
        <v>1875</v>
      </c>
      <c r="H526" s="27" t="s">
        <v>1892</v>
      </c>
      <c r="I526" s="27" t="s">
        <v>1876</v>
      </c>
      <c r="J526" s="27" t="s">
        <v>2149</v>
      </c>
      <c r="K526" s="27" t="n">
        <v>2412</v>
      </c>
      <c r="L526" s="27" t="n">
        <v>703</v>
      </c>
      <c r="M526" s="28" t="n">
        <f aca="false">IFERROR(VLOOKUP((OFFSET(hoje12_326_ana9,525,10,1,1)&amp;"."&amp;OFFSET(hoje12_326_ana9,525,11,1,1)),'12.326'!A:D,4,0),"-")</f>
        <v>1274396001019</v>
      </c>
    </row>
    <row r="527" customFormat="false" ht="14.4" hidden="false" customHeight="false" outlineLevel="0" collapsed="false">
      <c r="A527" s="27" t="n">
        <v>11100993</v>
      </c>
      <c r="B527" s="27" t="s">
        <v>1898</v>
      </c>
      <c r="C527" s="43" t="n">
        <v>66.3</v>
      </c>
      <c r="D527" s="27" t="n">
        <v>11.7</v>
      </c>
      <c r="E527" s="27" t="n">
        <v>12</v>
      </c>
      <c r="F527" s="27" t="n">
        <v>6.5</v>
      </c>
      <c r="G527" s="27" t="s">
        <v>1875</v>
      </c>
      <c r="H527" s="27" t="s">
        <v>1892</v>
      </c>
      <c r="I527" s="27" t="s">
        <v>1876</v>
      </c>
      <c r="J527" s="27" t="s">
        <v>2122</v>
      </c>
      <c r="K527" s="27" t="n">
        <v>2412</v>
      </c>
      <c r="L527" s="27" t="n">
        <v>703</v>
      </c>
      <c r="M527" s="28" t="n">
        <f aca="false">IFERROR(VLOOKUP((OFFSET(hoje12_326_ana9,526,10,1,1)&amp;"."&amp;OFFSET(hoje12_326_ana9,526,11,1,1)),'12.326'!A:D,4,0),"-")</f>
        <v>1274396001019</v>
      </c>
    </row>
    <row r="528" customFormat="false" ht="14.4" hidden="false" customHeight="false" outlineLevel="0" collapsed="false">
      <c r="A528" s="27" t="n">
        <v>11100995</v>
      </c>
      <c r="B528" s="27" t="s">
        <v>1897</v>
      </c>
      <c r="C528" s="43" t="n">
        <v>178.08</v>
      </c>
      <c r="D528" s="27" t="n">
        <v>0</v>
      </c>
      <c r="E528" s="27" t="n">
        <v>12</v>
      </c>
      <c r="F528" s="27" t="n">
        <v>14.84</v>
      </c>
      <c r="G528" s="27" t="s">
        <v>1875</v>
      </c>
      <c r="H528" s="27" t="s">
        <v>68</v>
      </c>
      <c r="I528" s="27" t="s">
        <v>1876</v>
      </c>
      <c r="J528" s="27" t="s">
        <v>1877</v>
      </c>
      <c r="K528" s="27" t="n">
        <v>2412</v>
      </c>
      <c r="L528" s="27" t="n">
        <v>703</v>
      </c>
      <c r="M528" s="28" t="n">
        <f aca="false">IFERROR(VLOOKUP((OFFSET(hoje12_326_ana9,527,10,1,1)&amp;"."&amp;OFFSET(hoje12_326_ana9,527,11,1,1)),'12.326'!A:D,4,0),"-")</f>
        <v>1274396001019</v>
      </c>
    </row>
    <row r="529" customFormat="false" ht="14.4" hidden="false" customHeight="false" outlineLevel="0" collapsed="false">
      <c r="A529" s="27" t="n">
        <v>11100998</v>
      </c>
      <c r="B529" s="27" t="s">
        <v>1887</v>
      </c>
      <c r="C529" s="43" t="n">
        <v>306.22</v>
      </c>
      <c r="D529" s="27" t="n">
        <v>54.02</v>
      </c>
      <c r="E529" s="27" t="n">
        <v>24</v>
      </c>
      <c r="F529" s="27" t="n">
        <v>15.01</v>
      </c>
      <c r="G529" s="27" t="s">
        <v>1875</v>
      </c>
      <c r="H529" s="27" t="s">
        <v>1892</v>
      </c>
      <c r="I529" s="27" t="s">
        <v>1876</v>
      </c>
      <c r="J529" s="27" t="s">
        <v>2150</v>
      </c>
      <c r="K529" s="27" t="n">
        <v>2412</v>
      </c>
      <c r="L529" s="27" t="n">
        <v>703</v>
      </c>
      <c r="M529" s="28" t="n">
        <f aca="false">IFERROR(VLOOKUP((OFFSET(hoje12_326_ana9,528,10,1,1)&amp;"."&amp;OFFSET(hoje12_326_ana9,528,11,1,1)),'12.326'!A:D,4,0),"-")</f>
        <v>1274396001019</v>
      </c>
    </row>
    <row r="530" customFormat="false" ht="14.4" hidden="false" customHeight="false" outlineLevel="0" collapsed="false">
      <c r="A530" s="27" t="n">
        <v>11101003</v>
      </c>
      <c r="B530" s="27" t="s">
        <v>1889</v>
      </c>
      <c r="C530" s="43" t="n">
        <v>109.75</v>
      </c>
      <c r="D530" s="27" t="n">
        <v>19.37</v>
      </c>
      <c r="E530" s="27" t="n">
        <v>12</v>
      </c>
      <c r="F530" s="27" t="n">
        <v>10.76</v>
      </c>
      <c r="G530" s="27" t="s">
        <v>1875</v>
      </c>
      <c r="H530" s="27" t="s">
        <v>1892</v>
      </c>
      <c r="I530" s="27" t="s">
        <v>1876</v>
      </c>
      <c r="J530" s="27" t="s">
        <v>1893</v>
      </c>
      <c r="K530" s="27" t="n">
        <v>2412</v>
      </c>
      <c r="L530" s="27" t="n">
        <v>703</v>
      </c>
      <c r="M530" s="28" t="n">
        <f aca="false">IFERROR(VLOOKUP((OFFSET(hoje12_326_ana9,529,10,1,1)&amp;"."&amp;OFFSET(hoje12_326_ana9,529,11,1,1)),'12.326'!A:D,4,0),"-")</f>
        <v>1274396001019</v>
      </c>
    </row>
    <row r="531" customFormat="false" ht="14.4" hidden="false" customHeight="false" outlineLevel="0" collapsed="false">
      <c r="A531" s="27" t="n">
        <v>11101004</v>
      </c>
      <c r="B531" s="27" t="s">
        <v>1888</v>
      </c>
      <c r="C531" s="43" t="n">
        <v>109.75</v>
      </c>
      <c r="D531" s="27" t="n">
        <v>19.37</v>
      </c>
      <c r="E531" s="27" t="n">
        <v>12</v>
      </c>
      <c r="F531" s="27" t="n">
        <v>10.76</v>
      </c>
      <c r="G531" s="27" t="s">
        <v>1875</v>
      </c>
      <c r="H531" s="27" t="s">
        <v>1892</v>
      </c>
      <c r="I531" s="27" t="s">
        <v>1876</v>
      </c>
      <c r="J531" s="27" t="s">
        <v>1893</v>
      </c>
      <c r="K531" s="27" t="n">
        <v>2412</v>
      </c>
      <c r="L531" s="27" t="n">
        <v>703</v>
      </c>
      <c r="M531" s="28" t="n">
        <f aca="false">IFERROR(VLOOKUP((OFFSET(hoje12_326_ana9,530,10,1,1)&amp;"."&amp;OFFSET(hoje12_326_ana9,530,11,1,1)),'12.326'!A:D,4,0),"-")</f>
        <v>1274396001019</v>
      </c>
    </row>
    <row r="532" customFormat="false" ht="14.4" hidden="false" customHeight="false" outlineLevel="0" collapsed="false">
      <c r="A532" s="27" t="n">
        <v>11100985</v>
      </c>
      <c r="B532" s="27" t="s">
        <v>1906</v>
      </c>
      <c r="C532" s="43" t="n">
        <v>213.79</v>
      </c>
      <c r="D532" s="27" t="n">
        <v>37.73</v>
      </c>
      <c r="E532" s="27" t="n">
        <v>12</v>
      </c>
      <c r="F532" s="27" t="n">
        <v>20.96</v>
      </c>
      <c r="G532" s="27" t="s">
        <v>1875</v>
      </c>
      <c r="H532" s="27" t="s">
        <v>1892</v>
      </c>
      <c r="I532" s="27" t="s">
        <v>1876</v>
      </c>
      <c r="J532" s="27" t="s">
        <v>2117</v>
      </c>
      <c r="K532" s="27" t="n">
        <v>2413</v>
      </c>
      <c r="L532" s="27" t="n">
        <v>703</v>
      </c>
      <c r="M532" s="28" t="n">
        <f aca="false">IFERROR(VLOOKUP((OFFSET(hoje12_326_ana9,531,10,1,1)&amp;"."&amp;OFFSET(hoje12_326_ana9,531,11,1,1)),'12.326'!A:D,4,0),"-")</f>
        <v>1274396000985</v>
      </c>
    </row>
    <row r="533" customFormat="false" ht="14.4" hidden="false" customHeight="false" outlineLevel="0" collapsed="false">
      <c r="A533" s="27" t="n">
        <v>11100986</v>
      </c>
      <c r="B533" s="27" t="s">
        <v>1902</v>
      </c>
      <c r="C533" s="43" t="n">
        <v>176.05</v>
      </c>
      <c r="D533" s="27" t="n">
        <v>31.07</v>
      </c>
      <c r="E533" s="27" t="n">
        <v>12</v>
      </c>
      <c r="F533" s="27" t="n">
        <v>17.26</v>
      </c>
      <c r="G533" s="27" t="s">
        <v>1875</v>
      </c>
      <c r="H533" s="27" t="s">
        <v>1892</v>
      </c>
      <c r="I533" s="27" t="s">
        <v>1876</v>
      </c>
      <c r="J533" s="27" t="s">
        <v>2118</v>
      </c>
      <c r="K533" s="27" t="n">
        <v>2413</v>
      </c>
      <c r="L533" s="27" t="n">
        <v>703</v>
      </c>
      <c r="M533" s="28" t="n">
        <f aca="false">IFERROR(VLOOKUP((OFFSET(hoje12_326_ana9,532,10,1,1)&amp;"."&amp;OFFSET(hoje12_326_ana9,532,11,1,1)),'12.326'!A:D,4,0),"-")</f>
        <v>1274396000985</v>
      </c>
    </row>
    <row r="534" customFormat="false" ht="14.4" hidden="false" customHeight="false" outlineLevel="0" collapsed="false">
      <c r="A534" s="27" t="n">
        <v>11100988</v>
      </c>
      <c r="B534" s="27" t="s">
        <v>1894</v>
      </c>
      <c r="C534" s="43" t="n">
        <v>63.35</v>
      </c>
      <c r="D534" s="27" t="n">
        <v>19.45</v>
      </c>
      <c r="E534" s="27" t="n">
        <v>12</v>
      </c>
      <c r="F534" s="27" t="n">
        <v>6.9</v>
      </c>
      <c r="G534" s="27" t="s">
        <v>1875</v>
      </c>
      <c r="H534" s="27" t="s">
        <v>2133</v>
      </c>
      <c r="I534" s="27" t="s">
        <v>1876</v>
      </c>
      <c r="J534" s="27" t="s">
        <v>2151</v>
      </c>
      <c r="K534" s="27" t="n">
        <v>2413</v>
      </c>
      <c r="L534" s="27" t="n">
        <v>703</v>
      </c>
      <c r="M534" s="28" t="n">
        <f aca="false">IFERROR(VLOOKUP((OFFSET(hoje12_326_ana9,533,10,1,1)&amp;"."&amp;OFFSET(hoje12_326_ana9,533,11,1,1)),'12.326'!A:D,4,0),"-")</f>
        <v>1274396000985</v>
      </c>
    </row>
    <row r="535" customFormat="false" ht="14.4" hidden="false" customHeight="false" outlineLevel="0" collapsed="false">
      <c r="A535" s="27" t="n">
        <v>11100989</v>
      </c>
      <c r="B535" s="27" t="s">
        <v>1904</v>
      </c>
      <c r="C535" s="43" t="n">
        <v>302.04</v>
      </c>
      <c r="D535" s="27" t="n">
        <v>92.76</v>
      </c>
      <c r="E535" s="27" t="n">
        <v>60</v>
      </c>
      <c r="F535" s="27" t="n">
        <v>6.58</v>
      </c>
      <c r="G535" s="27" t="s">
        <v>1875</v>
      </c>
      <c r="H535" s="27" t="s">
        <v>2133</v>
      </c>
      <c r="I535" s="27" t="s">
        <v>1876</v>
      </c>
      <c r="J535" s="27" t="s">
        <v>2148</v>
      </c>
      <c r="K535" s="27" t="n">
        <v>2413</v>
      </c>
      <c r="L535" s="27" t="n">
        <v>703</v>
      </c>
      <c r="M535" s="28" t="n">
        <f aca="false">IFERROR(VLOOKUP((OFFSET(hoje12_326_ana9,534,10,1,1)&amp;"."&amp;OFFSET(hoje12_326_ana9,534,11,1,1)),'12.326'!A:D,4,0),"-")</f>
        <v>1274396000985</v>
      </c>
    </row>
    <row r="536" customFormat="false" ht="14.4" hidden="false" customHeight="false" outlineLevel="0" collapsed="false">
      <c r="A536" s="27" t="n">
        <v>11100066</v>
      </c>
      <c r="B536" s="27" t="s">
        <v>2111</v>
      </c>
      <c r="C536" s="43" t="n">
        <v>150.65</v>
      </c>
      <c r="D536" s="27" t="n">
        <v>26.59</v>
      </c>
      <c r="E536" s="27" t="n">
        <v>12</v>
      </c>
      <c r="F536" s="27" t="n">
        <v>14.77</v>
      </c>
      <c r="G536" s="27" t="s">
        <v>1875</v>
      </c>
      <c r="H536" s="27" t="s">
        <v>1892</v>
      </c>
      <c r="I536" s="27" t="s">
        <v>1876</v>
      </c>
      <c r="J536" s="27" t="s">
        <v>2112</v>
      </c>
      <c r="K536" s="27" t="n">
        <v>2413</v>
      </c>
      <c r="L536" s="27" t="n">
        <v>703</v>
      </c>
      <c r="M536" s="28" t="n">
        <f aca="false">IFERROR(VLOOKUP((OFFSET(hoje12_326_ana9,535,10,1,1)&amp;"."&amp;OFFSET(hoje12_326_ana9,535,11,1,1)),'12.326'!A:D,4,0),"-")</f>
        <v>1274396000985</v>
      </c>
    </row>
    <row r="537" customFormat="false" ht="14.4" hidden="false" customHeight="false" outlineLevel="0" collapsed="false">
      <c r="A537" s="27" t="n">
        <v>11100987</v>
      </c>
      <c r="B537" s="27" t="s">
        <v>1890</v>
      </c>
      <c r="C537" s="43" t="n">
        <v>106.6</v>
      </c>
      <c r="D537" s="27" t="n">
        <v>18.8</v>
      </c>
      <c r="E537" s="27" t="n">
        <v>12</v>
      </c>
      <c r="F537" s="27" t="n">
        <v>10.45</v>
      </c>
      <c r="G537" s="27" t="s">
        <v>1875</v>
      </c>
      <c r="H537" s="27" t="s">
        <v>1892</v>
      </c>
      <c r="I537" s="27" t="s">
        <v>1876</v>
      </c>
      <c r="J537" s="27" t="s">
        <v>2142</v>
      </c>
      <c r="K537" s="27" t="n">
        <v>2413</v>
      </c>
      <c r="L537" s="27" t="n">
        <v>703</v>
      </c>
      <c r="M537" s="28" t="n">
        <f aca="false">IFERROR(VLOOKUP((OFFSET(hoje12_326_ana9,536,10,1,1)&amp;"."&amp;OFFSET(hoje12_326_ana9,536,11,1,1)),'12.326'!A:D,4,0),"-")</f>
        <v>1274396000985</v>
      </c>
    </row>
    <row r="538" customFormat="false" ht="14.4" hidden="false" customHeight="false" outlineLevel="0" collapsed="false">
      <c r="A538" s="27" t="n">
        <v>11100992</v>
      </c>
      <c r="B538" s="27" t="s">
        <v>1891</v>
      </c>
      <c r="C538" s="43" t="n">
        <v>156.58</v>
      </c>
      <c r="D538" s="27" t="n">
        <v>27.62</v>
      </c>
      <c r="E538" s="27" t="n">
        <v>12</v>
      </c>
      <c r="F538" s="27" t="n">
        <v>15.35</v>
      </c>
      <c r="G538" s="27" t="s">
        <v>1875</v>
      </c>
      <c r="H538" s="27" t="s">
        <v>1892</v>
      </c>
      <c r="I538" s="27" t="s">
        <v>1876</v>
      </c>
      <c r="J538" s="27" t="s">
        <v>2123</v>
      </c>
      <c r="K538" s="27" t="n">
        <v>2413</v>
      </c>
      <c r="L538" s="27" t="n">
        <v>703</v>
      </c>
      <c r="M538" s="28" t="n">
        <f aca="false">IFERROR(VLOOKUP((OFFSET(hoje12_326_ana9,537,10,1,1)&amp;"."&amp;OFFSET(hoje12_326_ana9,537,11,1,1)),'12.326'!A:D,4,0),"-")</f>
        <v>1274396000985</v>
      </c>
    </row>
    <row r="539" customFormat="false" ht="14.4" hidden="false" customHeight="false" outlineLevel="0" collapsed="false">
      <c r="A539" s="27" t="n">
        <v>11100990</v>
      </c>
      <c r="B539" s="27" t="s">
        <v>1900</v>
      </c>
      <c r="C539" s="43" t="n">
        <v>66.3</v>
      </c>
      <c r="D539" s="27" t="n">
        <v>11.7</v>
      </c>
      <c r="E539" s="27" t="n">
        <v>12</v>
      </c>
      <c r="F539" s="27" t="n">
        <v>6.5</v>
      </c>
      <c r="G539" s="27" t="s">
        <v>1875</v>
      </c>
      <c r="H539" s="27" t="s">
        <v>1892</v>
      </c>
      <c r="I539" s="27" t="s">
        <v>1876</v>
      </c>
      <c r="J539" s="27" t="s">
        <v>2122</v>
      </c>
      <c r="K539" s="27" t="n">
        <v>2413</v>
      </c>
      <c r="L539" s="27" t="n">
        <v>703</v>
      </c>
      <c r="M539" s="28" t="n">
        <f aca="false">IFERROR(VLOOKUP((OFFSET(hoje12_326_ana9,538,10,1,1)&amp;"."&amp;OFFSET(hoje12_326_ana9,538,11,1,1)),'12.326'!A:D,4,0),"-")</f>
        <v>1274396000985</v>
      </c>
    </row>
    <row r="540" customFormat="false" ht="14.4" hidden="false" customHeight="false" outlineLevel="0" collapsed="false">
      <c r="A540" s="27" t="n">
        <v>11100993</v>
      </c>
      <c r="B540" s="27" t="s">
        <v>1898</v>
      </c>
      <c r="C540" s="43" t="n">
        <v>66.3</v>
      </c>
      <c r="D540" s="27" t="n">
        <v>11.7</v>
      </c>
      <c r="E540" s="27" t="n">
        <v>12</v>
      </c>
      <c r="F540" s="27" t="n">
        <v>6.5</v>
      </c>
      <c r="G540" s="27" t="s">
        <v>1875</v>
      </c>
      <c r="H540" s="27" t="s">
        <v>1892</v>
      </c>
      <c r="I540" s="27" t="s">
        <v>1876</v>
      </c>
      <c r="J540" s="27" t="s">
        <v>2122</v>
      </c>
      <c r="K540" s="27" t="n">
        <v>2413</v>
      </c>
      <c r="L540" s="27" t="n">
        <v>703</v>
      </c>
      <c r="M540" s="28" t="n">
        <f aca="false">IFERROR(VLOOKUP((OFFSET(hoje12_326_ana9,539,10,1,1)&amp;"."&amp;OFFSET(hoje12_326_ana9,539,11,1,1)),'12.326'!A:D,4,0),"-")</f>
        <v>1274396000985</v>
      </c>
    </row>
    <row r="541" customFormat="false" ht="14.4" hidden="false" customHeight="false" outlineLevel="0" collapsed="false">
      <c r="A541" s="27" t="n">
        <v>11100542</v>
      </c>
      <c r="B541" s="27" t="s">
        <v>2113</v>
      </c>
      <c r="C541" s="43" t="n">
        <v>238.08</v>
      </c>
      <c r="D541" s="27" t="n">
        <v>42</v>
      </c>
      <c r="E541" s="27" t="n">
        <v>24</v>
      </c>
      <c r="F541" s="27" t="n">
        <v>11.67</v>
      </c>
      <c r="G541" s="27" t="s">
        <v>1875</v>
      </c>
      <c r="H541" s="27" t="s">
        <v>1892</v>
      </c>
      <c r="I541" s="27" t="s">
        <v>1876</v>
      </c>
      <c r="J541" s="27" t="s">
        <v>2152</v>
      </c>
      <c r="K541" s="27" t="n">
        <v>2413</v>
      </c>
      <c r="L541" s="27" t="n">
        <v>703</v>
      </c>
      <c r="M541" s="28" t="n">
        <f aca="false">IFERROR(VLOOKUP((OFFSET(hoje12_326_ana9,540,10,1,1)&amp;"."&amp;OFFSET(hoje12_326_ana9,540,11,1,1)),'12.326'!A:D,4,0),"-")</f>
        <v>1274396000985</v>
      </c>
    </row>
    <row r="542" customFormat="false" ht="14.4" hidden="false" customHeight="false" outlineLevel="0" collapsed="false">
      <c r="A542" s="27" t="n">
        <v>11100543</v>
      </c>
      <c r="B542" s="27" t="s">
        <v>2115</v>
      </c>
      <c r="C542" s="43" t="n">
        <v>174.92</v>
      </c>
      <c r="D542" s="27" t="n">
        <v>30.88</v>
      </c>
      <c r="E542" s="27" t="n">
        <v>12</v>
      </c>
      <c r="F542" s="27" t="n">
        <v>17.15</v>
      </c>
      <c r="G542" s="27" t="s">
        <v>1875</v>
      </c>
      <c r="H542" s="27" t="s">
        <v>1892</v>
      </c>
      <c r="I542" s="27" t="s">
        <v>1876</v>
      </c>
      <c r="J542" s="27" t="s">
        <v>2116</v>
      </c>
      <c r="K542" s="27" t="n">
        <v>2413</v>
      </c>
      <c r="L542" s="27" t="n">
        <v>703</v>
      </c>
      <c r="M542" s="28" t="n">
        <f aca="false">IFERROR(VLOOKUP((OFFSET(hoje12_326_ana9,541,10,1,1)&amp;"."&amp;OFFSET(hoje12_326_ana9,541,11,1,1)),'12.326'!A:D,4,0),"-")</f>
        <v>1274396000985</v>
      </c>
    </row>
    <row r="543" customFormat="false" ht="14.4" hidden="false" customHeight="false" outlineLevel="0" collapsed="false">
      <c r="A543" s="27" t="n">
        <v>11100822</v>
      </c>
      <c r="B543" s="27" t="s">
        <v>1966</v>
      </c>
      <c r="C543" s="43" t="n">
        <v>355.86</v>
      </c>
      <c r="D543" s="27" t="n">
        <v>39.54</v>
      </c>
      <c r="E543" s="27" t="n">
        <v>60</v>
      </c>
      <c r="F543" s="27" t="n">
        <v>6.59</v>
      </c>
      <c r="G543" s="27" t="s">
        <v>1875</v>
      </c>
      <c r="H543" s="27" t="s">
        <v>1895</v>
      </c>
      <c r="I543" s="27" t="s">
        <v>1876</v>
      </c>
      <c r="J543" s="27" t="s">
        <v>2153</v>
      </c>
      <c r="K543" s="27" t="n">
        <v>2413</v>
      </c>
      <c r="L543" s="27" t="n">
        <v>703</v>
      </c>
      <c r="M543" s="28" t="n">
        <f aca="false">IFERROR(VLOOKUP((OFFSET(hoje12_326_ana9,542,10,1,1)&amp;"."&amp;OFFSET(hoje12_326_ana9,542,11,1,1)),'12.326'!A:D,4,0),"-")</f>
        <v>1274396000985</v>
      </c>
    </row>
    <row r="544" customFormat="false" ht="14.4" hidden="false" customHeight="false" outlineLevel="0" collapsed="false">
      <c r="A544" s="27" t="n">
        <v>11100998</v>
      </c>
      <c r="B544" s="27" t="s">
        <v>1887</v>
      </c>
      <c r="C544" s="43" t="n">
        <v>306.22</v>
      </c>
      <c r="D544" s="27" t="n">
        <v>54.02</v>
      </c>
      <c r="E544" s="27" t="n">
        <v>24</v>
      </c>
      <c r="F544" s="27" t="n">
        <v>15.01</v>
      </c>
      <c r="G544" s="27" t="s">
        <v>1875</v>
      </c>
      <c r="H544" s="27" t="s">
        <v>1892</v>
      </c>
      <c r="I544" s="27" t="s">
        <v>1876</v>
      </c>
      <c r="J544" s="27" t="s">
        <v>2150</v>
      </c>
      <c r="K544" s="27" t="n">
        <v>2413</v>
      </c>
      <c r="L544" s="27" t="n">
        <v>703</v>
      </c>
      <c r="M544" s="28" t="n">
        <f aca="false">IFERROR(VLOOKUP((OFFSET(hoje12_326_ana9,543,10,1,1)&amp;"."&amp;OFFSET(hoje12_326_ana9,543,11,1,1)),'12.326'!A:D,4,0),"-")</f>
        <v>1274396000985</v>
      </c>
    </row>
    <row r="545" customFormat="false" ht="14.4" hidden="false" customHeight="false" outlineLevel="0" collapsed="false">
      <c r="A545" s="27" t="n">
        <v>11101003</v>
      </c>
      <c r="B545" s="27" t="s">
        <v>1889</v>
      </c>
      <c r="C545" s="43" t="n">
        <v>109.75</v>
      </c>
      <c r="D545" s="27" t="n">
        <v>19.37</v>
      </c>
      <c r="E545" s="27" t="n">
        <v>12</v>
      </c>
      <c r="F545" s="27" t="n">
        <v>10.76</v>
      </c>
      <c r="G545" s="27" t="s">
        <v>1875</v>
      </c>
      <c r="H545" s="27" t="s">
        <v>1892</v>
      </c>
      <c r="I545" s="27" t="s">
        <v>1876</v>
      </c>
      <c r="J545" s="27" t="s">
        <v>1893</v>
      </c>
      <c r="K545" s="27" t="n">
        <v>2413</v>
      </c>
      <c r="L545" s="27" t="n">
        <v>703</v>
      </c>
      <c r="M545" s="28" t="n">
        <f aca="false">IFERROR(VLOOKUP((OFFSET(hoje12_326_ana9,544,10,1,1)&amp;"."&amp;OFFSET(hoje12_326_ana9,544,11,1,1)),'12.326'!A:D,4,0),"-")</f>
        <v>1274396000985</v>
      </c>
    </row>
    <row r="546" customFormat="false" ht="14.4" hidden="false" customHeight="false" outlineLevel="0" collapsed="false">
      <c r="A546" s="27" t="n">
        <v>11101004</v>
      </c>
      <c r="B546" s="27" t="s">
        <v>1888</v>
      </c>
      <c r="C546" s="43" t="n">
        <v>109.75</v>
      </c>
      <c r="D546" s="27" t="n">
        <v>19.37</v>
      </c>
      <c r="E546" s="27" t="n">
        <v>12</v>
      </c>
      <c r="F546" s="27" t="n">
        <v>10.76</v>
      </c>
      <c r="G546" s="27" t="s">
        <v>1875</v>
      </c>
      <c r="H546" s="27" t="s">
        <v>1892</v>
      </c>
      <c r="I546" s="27" t="s">
        <v>1876</v>
      </c>
      <c r="J546" s="27" t="s">
        <v>1893</v>
      </c>
      <c r="K546" s="27" t="n">
        <v>2413</v>
      </c>
      <c r="L546" s="27" t="n">
        <v>703</v>
      </c>
      <c r="M546" s="28" t="n">
        <f aca="false">IFERROR(VLOOKUP((OFFSET(hoje12_326_ana9,545,10,1,1)&amp;"."&amp;OFFSET(hoje12_326_ana9,545,11,1,1)),'12.326'!A:D,4,0),"-")</f>
        <v>1274396000985</v>
      </c>
    </row>
    <row r="547" customFormat="false" ht="14.4" hidden="false" customHeight="false" outlineLevel="0" collapsed="false">
      <c r="A547" s="27" t="n">
        <v>11100373</v>
      </c>
      <c r="B547" s="27" t="s">
        <v>2127</v>
      </c>
      <c r="C547" s="43" t="n">
        <v>34.27</v>
      </c>
      <c r="D547" s="27" t="n">
        <v>6.05</v>
      </c>
      <c r="E547" s="27" t="n">
        <v>12</v>
      </c>
      <c r="F547" s="27" t="n">
        <v>3.36</v>
      </c>
      <c r="G547" s="27" t="s">
        <v>1875</v>
      </c>
      <c r="H547" s="27" t="s">
        <v>1892</v>
      </c>
      <c r="I547" s="27" t="s">
        <v>1876</v>
      </c>
      <c r="J547" s="27" t="s">
        <v>2128</v>
      </c>
      <c r="K547" s="27" t="n">
        <v>2413</v>
      </c>
      <c r="L547" s="27" t="n">
        <v>703</v>
      </c>
      <c r="M547" s="28" t="n">
        <f aca="false">IFERROR(VLOOKUP((OFFSET(hoje12_326_ana9,546,10,1,1)&amp;"."&amp;OFFSET(hoje12_326_ana9,546,11,1,1)),'12.326'!A:D,4,0),"-")</f>
        <v>1274396000985</v>
      </c>
    </row>
    <row r="548" customFormat="false" ht="14.4" hidden="false" customHeight="false" outlineLevel="0" collapsed="false">
      <c r="A548" s="27" t="n">
        <v>11100968</v>
      </c>
      <c r="B548" s="27" t="s">
        <v>2125</v>
      </c>
      <c r="C548" s="43" t="n">
        <v>47.02</v>
      </c>
      <c r="D548" s="27" t="n">
        <v>8.3</v>
      </c>
      <c r="E548" s="27" t="n">
        <v>6</v>
      </c>
      <c r="F548" s="27" t="n">
        <v>9.22</v>
      </c>
      <c r="G548" s="27" t="s">
        <v>1875</v>
      </c>
      <c r="H548" s="27" t="s">
        <v>1892</v>
      </c>
      <c r="I548" s="27" t="s">
        <v>1876</v>
      </c>
      <c r="J548" s="27" t="s">
        <v>2154</v>
      </c>
      <c r="K548" s="27" t="n">
        <v>2413</v>
      </c>
      <c r="L548" s="27" t="n">
        <v>703</v>
      </c>
      <c r="M548" s="28" t="n">
        <f aca="false">IFERROR(VLOOKUP((OFFSET(hoje12_326_ana9,547,10,1,1)&amp;"."&amp;OFFSET(hoje12_326_ana9,547,11,1,1)),'12.326'!A:D,4,0),"-")</f>
        <v>1274396000985</v>
      </c>
    </row>
    <row r="549" customFormat="false" ht="14.4" hidden="false" customHeight="false" outlineLevel="0" collapsed="false">
      <c r="A549" s="27" t="n">
        <v>11100216</v>
      </c>
      <c r="B549" s="27" t="s">
        <v>1923</v>
      </c>
      <c r="C549" s="43" t="n">
        <v>336.02</v>
      </c>
      <c r="D549" s="27" t="n">
        <v>59.26</v>
      </c>
      <c r="E549" s="27" t="n">
        <v>72</v>
      </c>
      <c r="F549" s="27" t="n">
        <v>5.49</v>
      </c>
      <c r="G549" s="27" t="s">
        <v>1875</v>
      </c>
      <c r="H549" s="27" t="s">
        <v>1892</v>
      </c>
      <c r="I549" s="27" t="s">
        <v>1876</v>
      </c>
      <c r="J549" s="27" t="s">
        <v>2155</v>
      </c>
      <c r="K549" s="27" t="n">
        <v>2413</v>
      </c>
      <c r="L549" s="27" t="n">
        <v>703</v>
      </c>
      <c r="M549" s="28" t="n">
        <f aca="false">IFERROR(VLOOKUP((OFFSET(hoje12_326_ana9,548,10,1,1)&amp;"."&amp;OFFSET(hoje12_326_ana9,548,11,1,1)),'12.326'!A:D,4,0),"-")</f>
        <v>1274396000985</v>
      </c>
    </row>
    <row r="550" customFormat="false" ht="14.4" hidden="false" customHeight="false" outlineLevel="0" collapsed="false">
      <c r="A550" s="27" t="n">
        <v>11100976</v>
      </c>
      <c r="B550" s="27" t="s">
        <v>2139</v>
      </c>
      <c r="C550" s="43" t="n">
        <v>168.91</v>
      </c>
      <c r="D550" s="27" t="n">
        <v>62.21</v>
      </c>
      <c r="E550" s="27" t="n">
        <v>108</v>
      </c>
      <c r="F550" s="27" t="n">
        <v>2.14</v>
      </c>
      <c r="G550" s="27" t="s">
        <v>1875</v>
      </c>
      <c r="H550" s="27" t="s">
        <v>2140</v>
      </c>
      <c r="I550" s="27" t="s">
        <v>1876</v>
      </c>
      <c r="J550" s="27" t="s">
        <v>2156</v>
      </c>
      <c r="K550" s="27" t="n">
        <v>2413</v>
      </c>
      <c r="L550" s="27" t="n">
        <v>703</v>
      </c>
      <c r="M550" s="28" t="n">
        <f aca="false">IFERROR(VLOOKUP((OFFSET(hoje12_326_ana9,549,10,1,1)&amp;"."&amp;OFFSET(hoje12_326_ana9,549,11,1,1)),'12.326'!A:D,4,0),"-")</f>
        <v>1274396000985</v>
      </c>
    </row>
    <row r="551" customFormat="false" ht="14.4" hidden="false" customHeight="false" outlineLevel="0" collapsed="false">
      <c r="A551" s="27" t="n">
        <v>11100995</v>
      </c>
      <c r="B551" s="27" t="s">
        <v>1897</v>
      </c>
      <c r="C551" s="43" t="n">
        <v>178.08</v>
      </c>
      <c r="D551" s="27" t="n">
        <v>0</v>
      </c>
      <c r="E551" s="27" t="n">
        <v>12</v>
      </c>
      <c r="F551" s="27" t="n">
        <v>14.84</v>
      </c>
      <c r="G551" s="27" t="s">
        <v>1875</v>
      </c>
      <c r="H551" s="27" t="s">
        <v>68</v>
      </c>
      <c r="I551" s="27" t="s">
        <v>1876</v>
      </c>
      <c r="J551" s="27" t="s">
        <v>1877</v>
      </c>
      <c r="K551" s="27" t="n">
        <v>2413</v>
      </c>
      <c r="L551" s="27" t="n">
        <v>703</v>
      </c>
      <c r="M551" s="28" t="n">
        <f aca="false">IFERROR(VLOOKUP((OFFSET(hoje12_326_ana9,550,10,1,1)&amp;"."&amp;OFFSET(hoje12_326_ana9,550,11,1,1)),'12.326'!A:D,4,0),"-")</f>
        <v>1274396000985</v>
      </c>
    </row>
    <row r="552" customFormat="false" ht="14.4" hidden="false" customHeight="false" outlineLevel="0" collapsed="false">
      <c r="A552" s="27" t="n">
        <v>11100543</v>
      </c>
      <c r="B552" s="27" t="s">
        <v>2115</v>
      </c>
      <c r="C552" s="43" t="n">
        <v>168</v>
      </c>
      <c r="D552" s="27" t="n">
        <v>42</v>
      </c>
      <c r="E552" s="27" t="n">
        <v>12</v>
      </c>
      <c r="F552" s="27" t="n">
        <v>17.5</v>
      </c>
      <c r="G552" s="27" t="s">
        <v>1875</v>
      </c>
      <c r="H552" s="27" t="s">
        <v>2157</v>
      </c>
      <c r="I552" s="27" t="s">
        <v>1876</v>
      </c>
      <c r="J552" s="27" t="s">
        <v>2158</v>
      </c>
      <c r="K552" s="27" t="n">
        <v>2416</v>
      </c>
      <c r="L552" s="27" t="n">
        <v>703</v>
      </c>
      <c r="M552" s="28" t="n">
        <f aca="false">IFERROR(VLOOKUP((OFFSET(hoje12_326_ana9,551,10,1,1)&amp;"."&amp;OFFSET(hoje12_326_ana9,551,11,1,1)),'12.326'!A:D,4,0),"-")</f>
        <v>5348350000167</v>
      </c>
    </row>
    <row r="553" customFormat="false" ht="14.4" hidden="false" customHeight="false" outlineLevel="0" collapsed="false">
      <c r="A553" s="27" t="n">
        <v>11100985</v>
      </c>
      <c r="B553" s="27" t="s">
        <v>1906</v>
      </c>
      <c r="C553" s="43" t="n">
        <v>205.34</v>
      </c>
      <c r="D553" s="27" t="n">
        <v>51.34</v>
      </c>
      <c r="E553" s="27" t="n">
        <v>12</v>
      </c>
      <c r="F553" s="27" t="n">
        <v>21.39</v>
      </c>
      <c r="G553" s="27" t="s">
        <v>1875</v>
      </c>
      <c r="H553" s="27" t="s">
        <v>2157</v>
      </c>
      <c r="I553" s="27" t="s">
        <v>1876</v>
      </c>
      <c r="J553" s="27" t="s">
        <v>2159</v>
      </c>
      <c r="K553" s="27" t="n">
        <v>2416</v>
      </c>
      <c r="L553" s="27" t="n">
        <v>703</v>
      </c>
      <c r="M553" s="28" t="n">
        <f aca="false">IFERROR(VLOOKUP((OFFSET(hoje12_326_ana9,552,10,1,1)&amp;"."&amp;OFFSET(hoje12_326_ana9,552,11,1,1)),'12.326'!A:D,4,0),"-")</f>
        <v>5348350000167</v>
      </c>
    </row>
    <row r="554" customFormat="false" ht="14.4" hidden="false" customHeight="false" outlineLevel="0" collapsed="false">
      <c r="A554" s="27" t="n">
        <v>11100986</v>
      </c>
      <c r="B554" s="27" t="s">
        <v>1902</v>
      </c>
      <c r="C554" s="43" t="n">
        <v>179.62</v>
      </c>
      <c r="D554" s="27" t="n">
        <v>31.7</v>
      </c>
      <c r="E554" s="27" t="n">
        <v>12</v>
      </c>
      <c r="F554" s="27" t="n">
        <v>17.61</v>
      </c>
      <c r="G554" s="27" t="s">
        <v>1875</v>
      </c>
      <c r="H554" s="27" t="s">
        <v>1892</v>
      </c>
      <c r="I554" s="27" t="s">
        <v>1876</v>
      </c>
      <c r="J554" s="27" t="s">
        <v>2160</v>
      </c>
      <c r="K554" s="27" t="n">
        <v>2416</v>
      </c>
      <c r="L554" s="27" t="n">
        <v>703</v>
      </c>
      <c r="M554" s="28" t="n">
        <f aca="false">IFERROR(VLOOKUP((OFFSET(hoje12_326_ana9,553,10,1,1)&amp;"."&amp;OFFSET(hoje12_326_ana9,553,11,1,1)),'12.326'!A:D,4,0),"-")</f>
        <v>5348350000167</v>
      </c>
    </row>
    <row r="555" customFormat="false" ht="14.4" hidden="false" customHeight="false" outlineLevel="0" collapsed="false">
      <c r="A555" s="27" t="n">
        <v>11100987</v>
      </c>
      <c r="B555" s="27" t="s">
        <v>1890</v>
      </c>
      <c r="C555" s="43" t="n">
        <v>204.67</v>
      </c>
      <c r="D555" s="27" t="n">
        <v>51.17</v>
      </c>
      <c r="E555" s="27" t="n">
        <v>24</v>
      </c>
      <c r="F555" s="27" t="n">
        <v>10.66</v>
      </c>
      <c r="G555" s="27" t="s">
        <v>1875</v>
      </c>
      <c r="H555" s="27" t="s">
        <v>2157</v>
      </c>
      <c r="I555" s="27" t="s">
        <v>1876</v>
      </c>
      <c r="J555" s="27" t="s">
        <v>2161</v>
      </c>
      <c r="K555" s="27" t="n">
        <v>2416</v>
      </c>
      <c r="L555" s="27" t="n">
        <v>703</v>
      </c>
      <c r="M555" s="28" t="n">
        <f aca="false">IFERROR(VLOOKUP((OFFSET(hoje12_326_ana9,554,10,1,1)&amp;"."&amp;OFFSET(hoje12_326_ana9,554,11,1,1)),'12.326'!A:D,4,0),"-")</f>
        <v>5348350000167</v>
      </c>
    </row>
    <row r="556" customFormat="false" ht="14.4" hidden="false" customHeight="false" outlineLevel="0" collapsed="false">
      <c r="A556" s="27" t="n">
        <v>11100988</v>
      </c>
      <c r="B556" s="27" t="s">
        <v>1894</v>
      </c>
      <c r="C556" s="43" t="n">
        <v>60.83</v>
      </c>
      <c r="D556" s="27" t="n">
        <v>23.65</v>
      </c>
      <c r="E556" s="27" t="n">
        <v>12</v>
      </c>
      <c r="F556" s="27" t="n">
        <v>7.04</v>
      </c>
      <c r="G556" s="27" t="s">
        <v>1875</v>
      </c>
      <c r="H556" s="27" t="s">
        <v>2162</v>
      </c>
      <c r="I556" s="27" t="s">
        <v>1876</v>
      </c>
      <c r="J556" s="27" t="s">
        <v>2163</v>
      </c>
      <c r="K556" s="27" t="n">
        <v>2416</v>
      </c>
      <c r="L556" s="27" t="n">
        <v>703</v>
      </c>
      <c r="M556" s="28" t="n">
        <f aca="false">IFERROR(VLOOKUP((OFFSET(hoje12_326_ana9,555,10,1,1)&amp;"."&amp;OFFSET(hoje12_326_ana9,555,11,1,1)),'12.326'!A:D,4,0),"-")</f>
        <v>5348350000167</v>
      </c>
    </row>
    <row r="557" customFormat="false" ht="14.4" hidden="false" customHeight="false" outlineLevel="0" collapsed="false">
      <c r="A557" s="27" t="n">
        <v>11100989</v>
      </c>
      <c r="B557" s="27" t="s">
        <v>1904</v>
      </c>
      <c r="C557" s="43" t="n">
        <v>115.94</v>
      </c>
      <c r="D557" s="27" t="n">
        <v>45.1</v>
      </c>
      <c r="E557" s="27" t="n">
        <v>24</v>
      </c>
      <c r="F557" s="27" t="n">
        <v>6.71</v>
      </c>
      <c r="G557" s="27" t="s">
        <v>1875</v>
      </c>
      <c r="H557" s="27" t="s">
        <v>2162</v>
      </c>
      <c r="I557" s="27" t="s">
        <v>1876</v>
      </c>
      <c r="J557" s="27" t="s">
        <v>2164</v>
      </c>
      <c r="K557" s="27" t="n">
        <v>2416</v>
      </c>
      <c r="L557" s="27" t="n">
        <v>703</v>
      </c>
      <c r="M557" s="28" t="n">
        <f aca="false">IFERROR(VLOOKUP((OFFSET(hoje12_326_ana9,556,10,1,1)&amp;"."&amp;OFFSET(hoje12_326_ana9,556,11,1,1)),'12.326'!A:D,4,0),"-")</f>
        <v>5348350000167</v>
      </c>
    </row>
    <row r="558" customFormat="false" ht="14.4" hidden="false" customHeight="false" outlineLevel="0" collapsed="false">
      <c r="A558" s="27" t="n">
        <v>11100990</v>
      </c>
      <c r="B558" s="27" t="s">
        <v>1900</v>
      </c>
      <c r="C558" s="43" t="n">
        <v>33.82</v>
      </c>
      <c r="D558" s="27" t="n">
        <v>5.96</v>
      </c>
      <c r="E558" s="27" t="n">
        <v>6</v>
      </c>
      <c r="F558" s="27" t="n">
        <v>6.63</v>
      </c>
      <c r="G558" s="27" t="s">
        <v>1875</v>
      </c>
      <c r="H558" s="27" t="s">
        <v>1892</v>
      </c>
      <c r="I558" s="27" t="s">
        <v>1876</v>
      </c>
      <c r="J558" s="27" t="s">
        <v>2165</v>
      </c>
      <c r="K558" s="27" t="n">
        <v>2416</v>
      </c>
      <c r="L558" s="27" t="n">
        <v>703</v>
      </c>
      <c r="M558" s="28" t="n">
        <f aca="false">IFERROR(VLOOKUP((OFFSET(hoje12_326_ana9,557,10,1,1)&amp;"."&amp;OFFSET(hoje12_326_ana9,557,11,1,1)),'12.326'!A:D,4,0),"-")</f>
        <v>5348350000167</v>
      </c>
    </row>
    <row r="559" customFormat="false" ht="14.4" hidden="false" customHeight="false" outlineLevel="0" collapsed="false">
      <c r="A559" s="27" t="n">
        <v>11100993</v>
      </c>
      <c r="B559" s="27" t="s">
        <v>1898</v>
      </c>
      <c r="C559" s="43" t="n">
        <v>33.82</v>
      </c>
      <c r="D559" s="27" t="n">
        <v>5.96</v>
      </c>
      <c r="E559" s="27" t="n">
        <v>6</v>
      </c>
      <c r="F559" s="27" t="n">
        <v>6.63</v>
      </c>
      <c r="G559" s="27" t="s">
        <v>1875</v>
      </c>
      <c r="H559" s="27" t="s">
        <v>1892</v>
      </c>
      <c r="I559" s="27" t="s">
        <v>1876</v>
      </c>
      <c r="J559" s="27" t="s">
        <v>2165</v>
      </c>
      <c r="K559" s="27" t="n">
        <v>2416</v>
      </c>
      <c r="L559" s="27" t="n">
        <v>703</v>
      </c>
      <c r="M559" s="28" t="n">
        <f aca="false">IFERROR(VLOOKUP((OFFSET(hoje12_326_ana9,558,10,1,1)&amp;"."&amp;OFFSET(hoje12_326_ana9,558,11,1,1)),'12.326'!A:D,4,0),"-")</f>
        <v>5348350000167</v>
      </c>
    </row>
    <row r="560" customFormat="false" ht="14.4" hidden="false" customHeight="false" outlineLevel="0" collapsed="false">
      <c r="A560" s="27" t="n">
        <v>11100995</v>
      </c>
      <c r="B560" s="27" t="s">
        <v>1897</v>
      </c>
      <c r="C560" s="43" t="n">
        <v>181.68</v>
      </c>
      <c r="D560" s="27" t="n">
        <v>0</v>
      </c>
      <c r="E560" s="27" t="n">
        <v>12</v>
      </c>
      <c r="F560" s="27" t="n">
        <v>15.14</v>
      </c>
      <c r="G560" s="27" t="s">
        <v>1875</v>
      </c>
      <c r="H560" s="27" t="s">
        <v>68</v>
      </c>
      <c r="I560" s="27" t="s">
        <v>1876</v>
      </c>
      <c r="J560" s="27" t="s">
        <v>1877</v>
      </c>
      <c r="K560" s="27" t="n">
        <v>2416</v>
      </c>
      <c r="L560" s="27" t="n">
        <v>703</v>
      </c>
      <c r="M560" s="28" t="n">
        <f aca="false">IFERROR(VLOOKUP((OFFSET(hoje12_326_ana9,559,10,1,1)&amp;"."&amp;OFFSET(hoje12_326_ana9,559,11,1,1)),'12.326'!A:D,4,0),"-")</f>
        <v>5348350000167</v>
      </c>
    </row>
    <row r="561" customFormat="false" ht="14.4" hidden="false" customHeight="false" outlineLevel="0" collapsed="false">
      <c r="A561" s="27" t="n">
        <v>11100998</v>
      </c>
      <c r="B561" s="27" t="s">
        <v>1887</v>
      </c>
      <c r="C561" s="43" t="n">
        <v>294.14</v>
      </c>
      <c r="D561" s="27" t="n">
        <v>73.54</v>
      </c>
      <c r="E561" s="27" t="n">
        <v>24</v>
      </c>
      <c r="F561" s="27" t="n">
        <v>15.32</v>
      </c>
      <c r="G561" s="27" t="s">
        <v>1875</v>
      </c>
      <c r="H561" s="27" t="s">
        <v>2157</v>
      </c>
      <c r="I561" s="27" t="s">
        <v>1876</v>
      </c>
      <c r="J561" s="27" t="s">
        <v>2166</v>
      </c>
      <c r="K561" s="27" t="n">
        <v>2416</v>
      </c>
      <c r="L561" s="27" t="n">
        <v>703</v>
      </c>
      <c r="M561" s="28" t="n">
        <f aca="false">IFERROR(VLOOKUP((OFFSET(hoje12_326_ana9,560,10,1,1)&amp;"."&amp;OFFSET(hoje12_326_ana9,560,11,1,1)),'12.326'!A:D,4,0),"-")</f>
        <v>5348350000167</v>
      </c>
    </row>
    <row r="562" customFormat="false" ht="14.4" hidden="false" customHeight="false" outlineLevel="0" collapsed="false">
      <c r="A562" s="27" t="n">
        <v>11101003</v>
      </c>
      <c r="B562" s="27" t="s">
        <v>1889</v>
      </c>
      <c r="C562" s="43" t="n">
        <v>112</v>
      </c>
      <c r="D562" s="27" t="n">
        <v>19.76</v>
      </c>
      <c r="E562" s="27" t="n">
        <v>12</v>
      </c>
      <c r="F562" s="27" t="n">
        <v>10.98</v>
      </c>
      <c r="G562" s="27" t="s">
        <v>1875</v>
      </c>
      <c r="H562" s="27" t="s">
        <v>1892</v>
      </c>
      <c r="I562" s="27" t="s">
        <v>1876</v>
      </c>
      <c r="J562" s="27" t="s">
        <v>2126</v>
      </c>
      <c r="K562" s="27" t="n">
        <v>2416</v>
      </c>
      <c r="L562" s="27" t="n">
        <v>703</v>
      </c>
      <c r="M562" s="28" t="n">
        <f aca="false">IFERROR(VLOOKUP((OFFSET(hoje12_326_ana9,561,10,1,1)&amp;"."&amp;OFFSET(hoje12_326_ana9,561,11,1,1)),'12.326'!A:D,4,0),"-")</f>
        <v>5348350000167</v>
      </c>
    </row>
    <row r="563" customFormat="false" ht="14.4" hidden="false" customHeight="false" outlineLevel="0" collapsed="false">
      <c r="A563" s="27" t="n">
        <v>11101004</v>
      </c>
      <c r="B563" s="27" t="s">
        <v>1888</v>
      </c>
      <c r="C563" s="43" t="n">
        <v>112</v>
      </c>
      <c r="D563" s="27" t="n">
        <v>19.76</v>
      </c>
      <c r="E563" s="27" t="n">
        <v>12</v>
      </c>
      <c r="F563" s="27" t="n">
        <v>10.98</v>
      </c>
      <c r="G563" s="27" t="s">
        <v>1875</v>
      </c>
      <c r="H563" s="27" t="s">
        <v>1892</v>
      </c>
      <c r="I563" s="27" t="s">
        <v>1876</v>
      </c>
      <c r="J563" s="27" t="s">
        <v>2126</v>
      </c>
      <c r="K563" s="27" t="n">
        <v>2416</v>
      </c>
      <c r="L563" s="27" t="n">
        <v>703</v>
      </c>
      <c r="M563" s="28" t="n">
        <f aca="false">IFERROR(VLOOKUP((OFFSET(hoje12_326_ana9,562,10,1,1)&amp;"."&amp;OFFSET(hoje12_326_ana9,562,11,1,1)),'12.326'!A:D,4,0),"-")</f>
        <v>5348350000167</v>
      </c>
    </row>
    <row r="564" customFormat="false" ht="14.4" hidden="false" customHeight="false" outlineLevel="0" collapsed="false">
      <c r="A564" s="27" t="n">
        <v>11100543</v>
      </c>
      <c r="B564" s="27" t="s">
        <v>2115</v>
      </c>
      <c r="C564" s="43" t="n">
        <v>89.25</v>
      </c>
      <c r="D564" s="27" t="n">
        <v>15.75</v>
      </c>
      <c r="E564" s="27" t="n">
        <v>6</v>
      </c>
      <c r="F564" s="27" t="n">
        <v>17.5</v>
      </c>
      <c r="G564" s="27" t="s">
        <v>1875</v>
      </c>
      <c r="H564" s="27" t="s">
        <v>1892</v>
      </c>
      <c r="I564" s="27" t="s">
        <v>1876</v>
      </c>
      <c r="J564" s="27" t="s">
        <v>2167</v>
      </c>
      <c r="K564" s="27" t="n">
        <v>2417</v>
      </c>
      <c r="L564" s="27" t="n">
        <v>703</v>
      </c>
      <c r="M564" s="28" t="n">
        <f aca="false">IFERROR(VLOOKUP((OFFSET(hoje12_326_ana9,563,10,1,1)&amp;"."&amp;OFFSET(hoje12_326_ana9,563,11,1,1)),'12.326'!A:D,4,0),"-")</f>
        <v>5348350000248</v>
      </c>
    </row>
    <row r="565" customFormat="false" ht="14.4" hidden="false" customHeight="false" outlineLevel="0" collapsed="false">
      <c r="A565" s="27" t="n">
        <v>11100985</v>
      </c>
      <c r="B565" s="27" t="s">
        <v>1906</v>
      </c>
      <c r="C565" s="43" t="n">
        <v>218.18</v>
      </c>
      <c r="D565" s="27" t="n">
        <v>38.5</v>
      </c>
      <c r="E565" s="27" t="n">
        <v>12</v>
      </c>
      <c r="F565" s="27" t="n">
        <v>21.39</v>
      </c>
      <c r="G565" s="27" t="s">
        <v>1875</v>
      </c>
      <c r="H565" s="27" t="s">
        <v>1892</v>
      </c>
      <c r="I565" s="27" t="s">
        <v>1876</v>
      </c>
      <c r="J565" s="27" t="s">
        <v>2168</v>
      </c>
      <c r="K565" s="27" t="n">
        <v>2417</v>
      </c>
      <c r="L565" s="27" t="n">
        <v>703</v>
      </c>
      <c r="M565" s="28" t="n">
        <f aca="false">IFERROR(VLOOKUP((OFFSET(hoje12_326_ana9,564,10,1,1)&amp;"."&amp;OFFSET(hoje12_326_ana9,564,11,1,1)),'12.326'!A:D,4,0),"-")</f>
        <v>5348350000248</v>
      </c>
    </row>
    <row r="566" customFormat="false" ht="14.4" hidden="false" customHeight="false" outlineLevel="0" collapsed="false">
      <c r="A566" s="27" t="n">
        <v>11100986</v>
      </c>
      <c r="B566" s="27" t="s">
        <v>1902</v>
      </c>
      <c r="C566" s="43" t="n">
        <v>179.62</v>
      </c>
      <c r="D566" s="27" t="n">
        <v>31.7</v>
      </c>
      <c r="E566" s="27" t="n">
        <v>12</v>
      </c>
      <c r="F566" s="27" t="n">
        <v>17.61</v>
      </c>
      <c r="G566" s="27" t="s">
        <v>1875</v>
      </c>
      <c r="H566" s="27" t="s">
        <v>1892</v>
      </c>
      <c r="I566" s="27" t="s">
        <v>1876</v>
      </c>
      <c r="J566" s="27" t="s">
        <v>2160</v>
      </c>
      <c r="K566" s="27" t="n">
        <v>2417</v>
      </c>
      <c r="L566" s="27" t="n">
        <v>703</v>
      </c>
      <c r="M566" s="28" t="n">
        <f aca="false">IFERROR(VLOOKUP((OFFSET(hoje12_326_ana9,565,10,1,1)&amp;"."&amp;OFFSET(hoje12_326_ana9,565,11,1,1)),'12.326'!A:D,4,0),"-")</f>
        <v>5348350000248</v>
      </c>
    </row>
    <row r="567" customFormat="false" ht="14.4" hidden="false" customHeight="false" outlineLevel="0" collapsed="false">
      <c r="A567" s="27" t="n">
        <v>11100987</v>
      </c>
      <c r="B567" s="27" t="s">
        <v>1890</v>
      </c>
      <c r="C567" s="43" t="n">
        <v>217.46</v>
      </c>
      <c r="D567" s="27" t="n">
        <v>38.38</v>
      </c>
      <c r="E567" s="27" t="n">
        <v>24</v>
      </c>
      <c r="F567" s="27" t="n">
        <v>10.66</v>
      </c>
      <c r="G567" s="27" t="s">
        <v>1875</v>
      </c>
      <c r="H567" s="27" t="s">
        <v>1892</v>
      </c>
      <c r="I567" s="27" t="s">
        <v>1876</v>
      </c>
      <c r="J567" s="27" t="s">
        <v>2169</v>
      </c>
      <c r="K567" s="27" t="n">
        <v>2417</v>
      </c>
      <c r="L567" s="27" t="n">
        <v>703</v>
      </c>
      <c r="M567" s="28" t="n">
        <f aca="false">IFERROR(VLOOKUP((OFFSET(hoje12_326_ana9,566,10,1,1)&amp;"."&amp;OFFSET(hoje12_326_ana9,566,11,1,1)),'12.326'!A:D,4,0),"-")</f>
        <v>5348350000248</v>
      </c>
    </row>
    <row r="568" customFormat="false" ht="14.4" hidden="false" customHeight="false" outlineLevel="0" collapsed="false">
      <c r="A568" s="27" t="n">
        <v>11100988</v>
      </c>
      <c r="B568" s="27" t="s">
        <v>1894</v>
      </c>
      <c r="C568" s="43" t="n">
        <v>64.63</v>
      </c>
      <c r="D568" s="27" t="n">
        <v>19.85</v>
      </c>
      <c r="E568" s="27" t="n">
        <v>12</v>
      </c>
      <c r="F568" s="27" t="n">
        <v>7.04</v>
      </c>
      <c r="G568" s="27" t="s">
        <v>1875</v>
      </c>
      <c r="H568" s="27" t="s">
        <v>2133</v>
      </c>
      <c r="I568" s="27" t="s">
        <v>1876</v>
      </c>
      <c r="J568" s="27" t="s">
        <v>2170</v>
      </c>
      <c r="K568" s="27" t="n">
        <v>2417</v>
      </c>
      <c r="L568" s="27" t="n">
        <v>703</v>
      </c>
      <c r="M568" s="28" t="n">
        <f aca="false">IFERROR(VLOOKUP((OFFSET(hoje12_326_ana9,567,10,1,1)&amp;"."&amp;OFFSET(hoje12_326_ana9,567,11,1,1)),'12.326'!A:D,4,0),"-")</f>
        <v>5348350000248</v>
      </c>
    </row>
    <row r="569" customFormat="false" ht="14.4" hidden="false" customHeight="false" outlineLevel="0" collapsed="false">
      <c r="A569" s="27" t="n">
        <v>11100989</v>
      </c>
      <c r="B569" s="27" t="s">
        <v>1904</v>
      </c>
      <c r="C569" s="43" t="n">
        <v>123.19</v>
      </c>
      <c r="D569" s="27" t="n">
        <v>37.85</v>
      </c>
      <c r="E569" s="27" t="n">
        <v>24</v>
      </c>
      <c r="F569" s="27" t="n">
        <v>6.71</v>
      </c>
      <c r="G569" s="27" t="s">
        <v>1875</v>
      </c>
      <c r="H569" s="27" t="s">
        <v>2133</v>
      </c>
      <c r="I569" s="27" t="s">
        <v>1876</v>
      </c>
      <c r="J569" s="27" t="s">
        <v>2171</v>
      </c>
      <c r="K569" s="27" t="n">
        <v>2417</v>
      </c>
      <c r="L569" s="27" t="n">
        <v>703</v>
      </c>
      <c r="M569" s="28" t="n">
        <f aca="false">IFERROR(VLOOKUP((OFFSET(hoje12_326_ana9,568,10,1,1)&amp;"."&amp;OFFSET(hoje12_326_ana9,568,11,1,1)),'12.326'!A:D,4,0),"-")</f>
        <v>5348350000248</v>
      </c>
    </row>
    <row r="570" customFormat="false" ht="14.4" hidden="false" customHeight="false" outlineLevel="0" collapsed="false">
      <c r="A570" s="27" t="n">
        <v>11100990</v>
      </c>
      <c r="B570" s="27" t="s">
        <v>1900</v>
      </c>
      <c r="C570" s="43" t="n">
        <v>33.82</v>
      </c>
      <c r="D570" s="27" t="n">
        <v>5.96</v>
      </c>
      <c r="E570" s="27" t="n">
        <v>6</v>
      </c>
      <c r="F570" s="27" t="n">
        <v>6.63</v>
      </c>
      <c r="G570" s="27" t="s">
        <v>1875</v>
      </c>
      <c r="H570" s="27" t="s">
        <v>1892</v>
      </c>
      <c r="I570" s="27" t="s">
        <v>1876</v>
      </c>
      <c r="J570" s="27" t="s">
        <v>2165</v>
      </c>
      <c r="K570" s="27" t="n">
        <v>2417</v>
      </c>
      <c r="L570" s="27" t="n">
        <v>703</v>
      </c>
      <c r="M570" s="28" t="n">
        <f aca="false">IFERROR(VLOOKUP((OFFSET(hoje12_326_ana9,569,10,1,1)&amp;"."&amp;OFFSET(hoje12_326_ana9,569,11,1,1)),'12.326'!A:D,4,0),"-")</f>
        <v>5348350000248</v>
      </c>
    </row>
    <row r="571" customFormat="false" ht="14.4" hidden="false" customHeight="false" outlineLevel="0" collapsed="false">
      <c r="A571" s="27" t="n">
        <v>11100993</v>
      </c>
      <c r="B571" s="27" t="s">
        <v>1898</v>
      </c>
      <c r="C571" s="43" t="n">
        <v>33.82</v>
      </c>
      <c r="D571" s="27" t="n">
        <v>5.96</v>
      </c>
      <c r="E571" s="27" t="n">
        <v>6</v>
      </c>
      <c r="F571" s="27" t="n">
        <v>6.63</v>
      </c>
      <c r="G571" s="27" t="s">
        <v>1875</v>
      </c>
      <c r="H571" s="27" t="s">
        <v>1892</v>
      </c>
      <c r="I571" s="27" t="s">
        <v>1876</v>
      </c>
      <c r="J571" s="27" t="s">
        <v>2165</v>
      </c>
      <c r="K571" s="27" t="n">
        <v>2417</v>
      </c>
      <c r="L571" s="27" t="n">
        <v>703</v>
      </c>
      <c r="M571" s="28" t="n">
        <f aca="false">IFERROR(VLOOKUP((OFFSET(hoje12_326_ana9,570,10,1,1)&amp;"."&amp;OFFSET(hoje12_326_ana9,570,11,1,1)),'12.326'!A:D,4,0),"-")</f>
        <v>5348350000248</v>
      </c>
    </row>
    <row r="572" customFormat="false" ht="14.4" hidden="false" customHeight="false" outlineLevel="0" collapsed="false">
      <c r="A572" s="27" t="n">
        <v>11100995</v>
      </c>
      <c r="B572" s="27" t="s">
        <v>1897</v>
      </c>
      <c r="C572" s="43" t="n">
        <v>181.68</v>
      </c>
      <c r="D572" s="27" t="n">
        <v>0</v>
      </c>
      <c r="E572" s="27" t="n">
        <v>12</v>
      </c>
      <c r="F572" s="27" t="n">
        <v>15.14</v>
      </c>
      <c r="G572" s="27" t="s">
        <v>1875</v>
      </c>
      <c r="H572" s="27" t="s">
        <v>68</v>
      </c>
      <c r="I572" s="27" t="s">
        <v>1876</v>
      </c>
      <c r="J572" s="27" t="s">
        <v>1877</v>
      </c>
      <c r="K572" s="27" t="n">
        <v>2417</v>
      </c>
      <c r="L572" s="27" t="n">
        <v>703</v>
      </c>
      <c r="M572" s="28" t="n">
        <f aca="false">IFERROR(VLOOKUP((OFFSET(hoje12_326_ana9,571,10,1,1)&amp;"."&amp;OFFSET(hoje12_326_ana9,571,11,1,1)),'12.326'!A:D,4,0),"-")</f>
        <v>5348350000248</v>
      </c>
    </row>
    <row r="573" customFormat="false" ht="14.4" hidden="false" customHeight="false" outlineLevel="0" collapsed="false">
      <c r="A573" s="27" t="n">
        <v>11100998</v>
      </c>
      <c r="B573" s="27" t="s">
        <v>1887</v>
      </c>
      <c r="C573" s="43" t="n">
        <v>312.53</v>
      </c>
      <c r="D573" s="27" t="n">
        <v>55.15</v>
      </c>
      <c r="E573" s="27" t="n">
        <v>24</v>
      </c>
      <c r="F573" s="27" t="n">
        <v>15.32</v>
      </c>
      <c r="G573" s="27" t="s">
        <v>1875</v>
      </c>
      <c r="H573" s="27" t="s">
        <v>1892</v>
      </c>
      <c r="I573" s="27" t="s">
        <v>1876</v>
      </c>
      <c r="J573" s="27" t="s">
        <v>2172</v>
      </c>
      <c r="K573" s="27" t="n">
        <v>2417</v>
      </c>
      <c r="L573" s="27" t="n">
        <v>703</v>
      </c>
      <c r="M573" s="28" t="n">
        <f aca="false">IFERROR(VLOOKUP((OFFSET(hoje12_326_ana9,572,10,1,1)&amp;"."&amp;OFFSET(hoje12_326_ana9,572,11,1,1)),'12.326'!A:D,4,0),"-")</f>
        <v>5348350000248</v>
      </c>
    </row>
    <row r="574" customFormat="false" ht="14.4" hidden="false" customHeight="false" outlineLevel="0" collapsed="false">
      <c r="A574" s="27" t="n">
        <v>11101003</v>
      </c>
      <c r="B574" s="27" t="s">
        <v>1889</v>
      </c>
      <c r="C574" s="43" t="n">
        <v>112</v>
      </c>
      <c r="D574" s="27" t="n">
        <v>19.76</v>
      </c>
      <c r="E574" s="27" t="n">
        <v>12</v>
      </c>
      <c r="F574" s="27" t="n">
        <v>10.98</v>
      </c>
      <c r="G574" s="27" t="s">
        <v>1875</v>
      </c>
      <c r="H574" s="27" t="s">
        <v>1892</v>
      </c>
      <c r="I574" s="27" t="s">
        <v>1876</v>
      </c>
      <c r="J574" s="27" t="s">
        <v>2126</v>
      </c>
      <c r="K574" s="27" t="n">
        <v>2417</v>
      </c>
      <c r="L574" s="27" t="n">
        <v>703</v>
      </c>
      <c r="M574" s="28" t="n">
        <f aca="false">IFERROR(VLOOKUP((OFFSET(hoje12_326_ana9,573,10,1,1)&amp;"."&amp;OFFSET(hoje12_326_ana9,573,11,1,1)),'12.326'!A:D,4,0),"-")</f>
        <v>5348350000248</v>
      </c>
    </row>
    <row r="575" customFormat="false" ht="14.4" hidden="false" customHeight="false" outlineLevel="0" collapsed="false">
      <c r="A575" s="27" t="n">
        <v>11101004</v>
      </c>
      <c r="B575" s="27" t="s">
        <v>1888</v>
      </c>
      <c r="C575" s="43" t="n">
        <v>112</v>
      </c>
      <c r="D575" s="27" t="n">
        <v>19.76</v>
      </c>
      <c r="E575" s="27" t="n">
        <v>12</v>
      </c>
      <c r="F575" s="27" t="n">
        <v>10.98</v>
      </c>
      <c r="G575" s="27" t="s">
        <v>1875</v>
      </c>
      <c r="H575" s="27" t="s">
        <v>1892</v>
      </c>
      <c r="I575" s="27" t="s">
        <v>1876</v>
      </c>
      <c r="J575" s="27" t="s">
        <v>2126</v>
      </c>
      <c r="K575" s="27" t="n">
        <v>2417</v>
      </c>
      <c r="L575" s="27" t="n">
        <v>703</v>
      </c>
      <c r="M575" s="28" t="n">
        <f aca="false">IFERROR(VLOOKUP((OFFSET(hoje12_326_ana9,574,10,1,1)&amp;"."&amp;OFFSET(hoje12_326_ana9,574,11,1,1)),'12.326'!A:D,4,0),"-")</f>
        <v>5348350000248</v>
      </c>
    </row>
    <row r="576" customFormat="false" ht="14.4" hidden="false" customHeight="false" outlineLevel="0" collapsed="false">
      <c r="A576" s="27" t="n">
        <v>11100985</v>
      </c>
      <c r="B576" s="27" t="s">
        <v>1906</v>
      </c>
      <c r="C576" s="43" t="n">
        <v>218.18</v>
      </c>
      <c r="D576" s="27" t="n">
        <v>38.5</v>
      </c>
      <c r="E576" s="27" t="n">
        <v>12</v>
      </c>
      <c r="F576" s="27" t="n">
        <v>21.39</v>
      </c>
      <c r="G576" s="27" t="s">
        <v>1875</v>
      </c>
      <c r="H576" s="27" t="s">
        <v>1892</v>
      </c>
      <c r="I576" s="27" t="s">
        <v>1876</v>
      </c>
      <c r="J576" s="27" t="s">
        <v>2168</v>
      </c>
      <c r="K576" s="27" t="n">
        <v>2418</v>
      </c>
      <c r="L576" s="27" t="n">
        <v>703</v>
      </c>
      <c r="M576" s="28" t="n">
        <f aca="false">IFERROR(VLOOKUP((OFFSET(hoje12_326_ana9,575,10,1,1)&amp;"."&amp;OFFSET(hoje12_326_ana9,575,11,1,1)),'12.326'!A:D,4,0),"-")</f>
        <v>5348350000329</v>
      </c>
    </row>
    <row r="577" customFormat="false" ht="14.4" hidden="false" customHeight="false" outlineLevel="0" collapsed="false">
      <c r="A577" s="27" t="n">
        <v>11100986</v>
      </c>
      <c r="B577" s="27" t="s">
        <v>1902</v>
      </c>
      <c r="C577" s="43" t="n">
        <v>179.62</v>
      </c>
      <c r="D577" s="27" t="n">
        <v>31.7</v>
      </c>
      <c r="E577" s="27" t="n">
        <v>12</v>
      </c>
      <c r="F577" s="27" t="n">
        <v>17.61</v>
      </c>
      <c r="G577" s="27" t="s">
        <v>1875</v>
      </c>
      <c r="H577" s="27" t="s">
        <v>1892</v>
      </c>
      <c r="I577" s="27" t="s">
        <v>1876</v>
      </c>
      <c r="J577" s="27" t="s">
        <v>2160</v>
      </c>
      <c r="K577" s="27" t="n">
        <v>2418</v>
      </c>
      <c r="L577" s="27" t="n">
        <v>703</v>
      </c>
      <c r="M577" s="28" t="n">
        <f aca="false">IFERROR(VLOOKUP((OFFSET(hoje12_326_ana9,576,10,1,1)&amp;"."&amp;OFFSET(hoje12_326_ana9,576,11,1,1)),'12.326'!A:D,4,0),"-")</f>
        <v>5348350000329</v>
      </c>
    </row>
    <row r="578" customFormat="false" ht="14.4" hidden="false" customHeight="false" outlineLevel="0" collapsed="false">
      <c r="A578" s="27" t="n">
        <v>11100988</v>
      </c>
      <c r="B578" s="27" t="s">
        <v>1894</v>
      </c>
      <c r="C578" s="43" t="n">
        <v>71.81</v>
      </c>
      <c r="D578" s="27" t="n">
        <v>12.67</v>
      </c>
      <c r="E578" s="27" t="n">
        <v>12</v>
      </c>
      <c r="F578" s="27" t="n">
        <v>7.04</v>
      </c>
      <c r="G578" s="27" t="s">
        <v>1875</v>
      </c>
      <c r="H578" s="27" t="s">
        <v>1892</v>
      </c>
      <c r="I578" s="27" t="s">
        <v>1876</v>
      </c>
      <c r="J578" s="27" t="s">
        <v>2173</v>
      </c>
      <c r="K578" s="27" t="n">
        <v>2418</v>
      </c>
      <c r="L578" s="27" t="n">
        <v>703</v>
      </c>
      <c r="M578" s="28" t="n">
        <f aca="false">IFERROR(VLOOKUP((OFFSET(hoje12_326_ana9,577,10,1,1)&amp;"."&amp;OFFSET(hoje12_326_ana9,577,11,1,1)),'12.326'!A:D,4,0),"-")</f>
        <v>5348350000329</v>
      </c>
    </row>
    <row r="579" customFormat="false" ht="14.4" hidden="false" customHeight="false" outlineLevel="0" collapsed="false">
      <c r="A579" s="27" t="n">
        <v>11100989</v>
      </c>
      <c r="B579" s="27" t="s">
        <v>1904</v>
      </c>
      <c r="C579" s="43" t="n">
        <v>136.9</v>
      </c>
      <c r="D579" s="27" t="n">
        <v>24.14</v>
      </c>
      <c r="E579" s="27" t="n">
        <v>24</v>
      </c>
      <c r="F579" s="27" t="n">
        <v>6.71</v>
      </c>
      <c r="G579" s="27" t="s">
        <v>1875</v>
      </c>
      <c r="H579" s="27" t="s">
        <v>1892</v>
      </c>
      <c r="I579" s="27" t="s">
        <v>1876</v>
      </c>
      <c r="J579" s="27" t="s">
        <v>2174</v>
      </c>
      <c r="K579" s="27" t="n">
        <v>2418</v>
      </c>
      <c r="L579" s="27" t="n">
        <v>703</v>
      </c>
      <c r="M579" s="28" t="n">
        <f aca="false">IFERROR(VLOOKUP((OFFSET(hoje12_326_ana9,578,10,1,1)&amp;"."&amp;OFFSET(hoje12_326_ana9,578,11,1,1)),'12.326'!A:D,4,0),"-")</f>
        <v>5348350000329</v>
      </c>
    </row>
    <row r="580" customFormat="false" ht="14.4" hidden="false" customHeight="false" outlineLevel="0" collapsed="false">
      <c r="A580" s="27" t="n">
        <v>11100987</v>
      </c>
      <c r="B580" s="27" t="s">
        <v>1890</v>
      </c>
      <c r="C580" s="43" t="n">
        <v>217.46</v>
      </c>
      <c r="D580" s="27" t="n">
        <v>38.38</v>
      </c>
      <c r="E580" s="27" t="n">
        <v>24</v>
      </c>
      <c r="F580" s="27" t="n">
        <v>10.66</v>
      </c>
      <c r="G580" s="27" t="s">
        <v>1875</v>
      </c>
      <c r="H580" s="27" t="s">
        <v>1892</v>
      </c>
      <c r="I580" s="27" t="s">
        <v>1876</v>
      </c>
      <c r="J580" s="27" t="s">
        <v>2169</v>
      </c>
      <c r="K580" s="27" t="n">
        <v>2418</v>
      </c>
      <c r="L580" s="27" t="n">
        <v>703</v>
      </c>
      <c r="M580" s="28" t="n">
        <f aca="false">IFERROR(VLOOKUP((OFFSET(hoje12_326_ana9,579,10,1,1)&amp;"."&amp;OFFSET(hoje12_326_ana9,579,11,1,1)),'12.326'!A:D,4,0),"-")</f>
        <v>5348350000329</v>
      </c>
    </row>
    <row r="581" customFormat="false" ht="14.4" hidden="false" customHeight="false" outlineLevel="0" collapsed="false">
      <c r="A581" s="27" t="n">
        <v>11100990</v>
      </c>
      <c r="B581" s="27" t="s">
        <v>1900</v>
      </c>
      <c r="C581" s="43" t="n">
        <v>33.82</v>
      </c>
      <c r="D581" s="27" t="n">
        <v>5.96</v>
      </c>
      <c r="E581" s="27" t="n">
        <v>6</v>
      </c>
      <c r="F581" s="27" t="n">
        <v>6.63</v>
      </c>
      <c r="G581" s="27" t="s">
        <v>1875</v>
      </c>
      <c r="H581" s="27" t="s">
        <v>1892</v>
      </c>
      <c r="I581" s="27" t="s">
        <v>1876</v>
      </c>
      <c r="J581" s="27" t="s">
        <v>2165</v>
      </c>
      <c r="K581" s="27" t="n">
        <v>2418</v>
      </c>
      <c r="L581" s="27" t="n">
        <v>703</v>
      </c>
      <c r="M581" s="28" t="n">
        <f aca="false">IFERROR(VLOOKUP((OFFSET(hoje12_326_ana9,580,10,1,1)&amp;"."&amp;OFFSET(hoje12_326_ana9,580,11,1,1)),'12.326'!A:D,4,0),"-")</f>
        <v>5348350000329</v>
      </c>
    </row>
    <row r="582" customFormat="false" ht="14.4" hidden="false" customHeight="false" outlineLevel="0" collapsed="false">
      <c r="A582" s="27" t="n">
        <v>11100993</v>
      </c>
      <c r="B582" s="27" t="s">
        <v>1898</v>
      </c>
      <c r="C582" s="43" t="n">
        <v>33.82</v>
      </c>
      <c r="D582" s="27" t="n">
        <v>5.96</v>
      </c>
      <c r="E582" s="27" t="n">
        <v>6</v>
      </c>
      <c r="F582" s="27" t="n">
        <v>6.63</v>
      </c>
      <c r="G582" s="27" t="s">
        <v>1875</v>
      </c>
      <c r="H582" s="27" t="s">
        <v>1892</v>
      </c>
      <c r="I582" s="27" t="s">
        <v>1876</v>
      </c>
      <c r="J582" s="27" t="s">
        <v>2165</v>
      </c>
      <c r="K582" s="27" t="n">
        <v>2418</v>
      </c>
      <c r="L582" s="27" t="n">
        <v>703</v>
      </c>
      <c r="M582" s="28" t="n">
        <f aca="false">IFERROR(VLOOKUP((OFFSET(hoje12_326_ana9,581,10,1,1)&amp;"."&amp;OFFSET(hoje12_326_ana9,581,11,1,1)),'12.326'!A:D,4,0),"-")</f>
        <v>5348350000329</v>
      </c>
    </row>
    <row r="583" customFormat="false" ht="14.4" hidden="false" customHeight="false" outlineLevel="0" collapsed="false">
      <c r="A583" s="27" t="n">
        <v>11100542</v>
      </c>
      <c r="B583" s="27" t="s">
        <v>2113</v>
      </c>
      <c r="C583" s="43" t="n">
        <v>121.49</v>
      </c>
      <c r="D583" s="27" t="n">
        <v>21.43</v>
      </c>
      <c r="E583" s="27" t="n">
        <v>12</v>
      </c>
      <c r="F583" s="27" t="n">
        <v>11.91</v>
      </c>
      <c r="G583" s="27" t="s">
        <v>1875</v>
      </c>
      <c r="H583" s="27" t="s">
        <v>1892</v>
      </c>
      <c r="I583" s="27" t="s">
        <v>1876</v>
      </c>
      <c r="J583" s="27" t="s">
        <v>2175</v>
      </c>
      <c r="K583" s="27" t="n">
        <v>2418</v>
      </c>
      <c r="L583" s="27" t="n">
        <v>703</v>
      </c>
      <c r="M583" s="28" t="n">
        <f aca="false">IFERROR(VLOOKUP((OFFSET(hoje12_326_ana9,582,10,1,1)&amp;"."&amp;OFFSET(hoje12_326_ana9,582,11,1,1)),'12.326'!A:D,4,0),"-")</f>
        <v>5348350000329</v>
      </c>
    </row>
    <row r="584" customFormat="false" ht="14.4" hidden="false" customHeight="false" outlineLevel="0" collapsed="false">
      <c r="A584" s="27" t="n">
        <v>11100543</v>
      </c>
      <c r="B584" s="27" t="s">
        <v>2115</v>
      </c>
      <c r="C584" s="43" t="n">
        <v>178.5</v>
      </c>
      <c r="D584" s="27" t="n">
        <v>31.5</v>
      </c>
      <c r="E584" s="27" t="n">
        <v>12</v>
      </c>
      <c r="F584" s="27" t="n">
        <v>17.5</v>
      </c>
      <c r="G584" s="27" t="s">
        <v>1875</v>
      </c>
      <c r="H584" s="27" t="s">
        <v>1892</v>
      </c>
      <c r="I584" s="27" t="s">
        <v>1876</v>
      </c>
      <c r="J584" s="27" t="s">
        <v>2176</v>
      </c>
      <c r="K584" s="27" t="n">
        <v>2418</v>
      </c>
      <c r="L584" s="27" t="n">
        <v>703</v>
      </c>
      <c r="M584" s="28" t="n">
        <f aca="false">IFERROR(VLOOKUP((OFFSET(hoje12_326_ana9,583,10,1,1)&amp;"."&amp;OFFSET(hoje12_326_ana9,583,11,1,1)),'12.326'!A:D,4,0),"-")</f>
        <v>5348350000329</v>
      </c>
    </row>
    <row r="585" customFormat="false" ht="14.4" hidden="false" customHeight="false" outlineLevel="0" collapsed="false">
      <c r="A585" s="27" t="n">
        <v>11100998</v>
      </c>
      <c r="B585" s="27" t="s">
        <v>1887</v>
      </c>
      <c r="C585" s="43" t="n">
        <v>312.53</v>
      </c>
      <c r="D585" s="27" t="n">
        <v>55.15</v>
      </c>
      <c r="E585" s="27" t="n">
        <v>24</v>
      </c>
      <c r="F585" s="27" t="n">
        <v>15.32</v>
      </c>
      <c r="G585" s="27" t="s">
        <v>1875</v>
      </c>
      <c r="H585" s="27" t="s">
        <v>1892</v>
      </c>
      <c r="I585" s="27" t="s">
        <v>1876</v>
      </c>
      <c r="J585" s="27" t="s">
        <v>2172</v>
      </c>
      <c r="K585" s="27" t="n">
        <v>2418</v>
      </c>
      <c r="L585" s="27" t="n">
        <v>703</v>
      </c>
      <c r="M585" s="28" t="n">
        <f aca="false">IFERROR(VLOOKUP((OFFSET(hoje12_326_ana9,584,10,1,1)&amp;"."&amp;OFFSET(hoje12_326_ana9,584,11,1,1)),'12.326'!A:D,4,0),"-")</f>
        <v>5348350000329</v>
      </c>
    </row>
    <row r="586" customFormat="false" ht="14.4" hidden="false" customHeight="false" outlineLevel="0" collapsed="false">
      <c r="A586" s="27" t="n">
        <v>11100995</v>
      </c>
      <c r="B586" s="27" t="s">
        <v>1897</v>
      </c>
      <c r="C586" s="43" t="n">
        <v>181.68</v>
      </c>
      <c r="D586" s="27" t="n">
        <v>0</v>
      </c>
      <c r="E586" s="27" t="n">
        <v>12</v>
      </c>
      <c r="F586" s="27" t="n">
        <v>15.14</v>
      </c>
      <c r="G586" s="27" t="s">
        <v>1875</v>
      </c>
      <c r="H586" s="27" t="s">
        <v>68</v>
      </c>
      <c r="I586" s="27" t="s">
        <v>1876</v>
      </c>
      <c r="J586" s="27" t="s">
        <v>1877</v>
      </c>
      <c r="K586" s="27" t="n">
        <v>2418</v>
      </c>
      <c r="L586" s="27" t="n">
        <v>703</v>
      </c>
      <c r="M586" s="28" t="n">
        <f aca="false">IFERROR(VLOOKUP((OFFSET(hoje12_326_ana9,585,10,1,1)&amp;"."&amp;OFFSET(hoje12_326_ana9,585,11,1,1)),'12.326'!A:D,4,0),"-")</f>
        <v>5348350000329</v>
      </c>
    </row>
    <row r="587" customFormat="false" ht="14.4" hidden="false" customHeight="false" outlineLevel="0" collapsed="false">
      <c r="A587" s="27" t="n">
        <v>11101003</v>
      </c>
      <c r="B587" s="27" t="s">
        <v>1889</v>
      </c>
      <c r="C587" s="43" t="n">
        <v>112</v>
      </c>
      <c r="D587" s="27" t="n">
        <v>19.76</v>
      </c>
      <c r="E587" s="27" t="n">
        <v>12</v>
      </c>
      <c r="F587" s="27" t="n">
        <v>10.98</v>
      </c>
      <c r="G587" s="27" t="s">
        <v>1875</v>
      </c>
      <c r="H587" s="27" t="s">
        <v>1892</v>
      </c>
      <c r="I587" s="27" t="s">
        <v>1876</v>
      </c>
      <c r="J587" s="27" t="s">
        <v>2126</v>
      </c>
      <c r="K587" s="27" t="n">
        <v>2418</v>
      </c>
      <c r="L587" s="27" t="n">
        <v>703</v>
      </c>
      <c r="M587" s="28" t="n">
        <f aca="false">IFERROR(VLOOKUP((OFFSET(hoje12_326_ana9,586,10,1,1)&amp;"."&amp;OFFSET(hoje12_326_ana9,586,11,1,1)),'12.326'!A:D,4,0),"-")</f>
        <v>5348350000329</v>
      </c>
    </row>
    <row r="588" customFormat="false" ht="14.4" hidden="false" customHeight="false" outlineLevel="0" collapsed="false">
      <c r="A588" s="27" t="n">
        <v>11101004</v>
      </c>
      <c r="B588" s="27" t="s">
        <v>1888</v>
      </c>
      <c r="C588" s="43" t="n">
        <v>112</v>
      </c>
      <c r="D588" s="27" t="n">
        <v>19.76</v>
      </c>
      <c r="E588" s="27" t="n">
        <v>12</v>
      </c>
      <c r="F588" s="27" t="n">
        <v>10.98</v>
      </c>
      <c r="G588" s="27" t="s">
        <v>1875</v>
      </c>
      <c r="H588" s="27" t="s">
        <v>1892</v>
      </c>
      <c r="I588" s="27" t="s">
        <v>1876</v>
      </c>
      <c r="J588" s="27" t="s">
        <v>2126</v>
      </c>
      <c r="K588" s="27" t="n">
        <v>2418</v>
      </c>
      <c r="L588" s="27" t="n">
        <v>703</v>
      </c>
      <c r="M588" s="28" t="n">
        <f aca="false">IFERROR(VLOOKUP((OFFSET(hoje12_326_ana9,587,10,1,1)&amp;"."&amp;OFFSET(hoje12_326_ana9,587,11,1,1)),'12.326'!A:D,4,0),"-")</f>
        <v>5348350000329</v>
      </c>
    </row>
    <row r="589" customFormat="false" ht="14.4" hidden="false" customHeight="false" outlineLevel="0" collapsed="false">
      <c r="A589" s="27" t="n">
        <v>11100992</v>
      </c>
      <c r="B589" s="27" t="s">
        <v>1891</v>
      </c>
      <c r="C589" s="43" t="n">
        <v>159.73</v>
      </c>
      <c r="D589" s="27" t="n">
        <v>28.19</v>
      </c>
      <c r="E589" s="27" t="n">
        <v>12</v>
      </c>
      <c r="F589" s="27" t="n">
        <v>15.66</v>
      </c>
      <c r="G589" s="27" t="s">
        <v>1875</v>
      </c>
      <c r="H589" s="27" t="s">
        <v>1892</v>
      </c>
      <c r="I589" s="27" t="s">
        <v>1876</v>
      </c>
      <c r="J589" s="27" t="s">
        <v>2177</v>
      </c>
      <c r="K589" s="27" t="n">
        <v>2418</v>
      </c>
      <c r="L589" s="27" t="n">
        <v>703</v>
      </c>
      <c r="M589" s="28" t="n">
        <f aca="false">IFERROR(VLOOKUP((OFFSET(hoje12_326_ana9,588,10,1,1)&amp;"."&amp;OFFSET(hoje12_326_ana9,588,11,1,1)),'12.326'!A:D,4,0),"-")</f>
        <v>5348350000329</v>
      </c>
    </row>
    <row r="590" customFormat="false" ht="14.4" hidden="false" customHeight="false" outlineLevel="0" collapsed="false">
      <c r="A590" s="27" t="n">
        <v>11100976</v>
      </c>
      <c r="B590" s="27" t="s">
        <v>2139</v>
      </c>
      <c r="C590" s="43" t="n">
        <v>57.38</v>
      </c>
      <c r="D590" s="27" t="n">
        <v>21.1</v>
      </c>
      <c r="E590" s="27" t="n">
        <v>36</v>
      </c>
      <c r="F590" s="27" t="n">
        <v>2.18</v>
      </c>
      <c r="G590" s="27" t="s">
        <v>1875</v>
      </c>
      <c r="H590" s="27" t="s">
        <v>2140</v>
      </c>
      <c r="I590" s="27" t="s">
        <v>1876</v>
      </c>
      <c r="J590" s="27" t="s">
        <v>2178</v>
      </c>
      <c r="K590" s="27" t="n">
        <v>2418</v>
      </c>
      <c r="L590" s="27" t="n">
        <v>703</v>
      </c>
      <c r="M590" s="28" t="n">
        <f aca="false">IFERROR(VLOOKUP((OFFSET(hoje12_326_ana9,589,10,1,1)&amp;"."&amp;OFFSET(hoje12_326_ana9,589,11,1,1)),'12.326'!A:D,4,0),"-")</f>
        <v>5348350000329</v>
      </c>
    </row>
    <row r="591" customFormat="false" ht="14.4" hidden="false" customHeight="false" outlineLevel="0" collapsed="false">
      <c r="A591" s="27" t="n">
        <v>11100373</v>
      </c>
      <c r="B591" s="27" t="s">
        <v>2127</v>
      </c>
      <c r="C591" s="43" t="n">
        <v>34.99</v>
      </c>
      <c r="D591" s="27" t="n">
        <v>6.17</v>
      </c>
      <c r="E591" s="27" t="n">
        <v>12</v>
      </c>
      <c r="F591" s="27" t="n">
        <v>3.43</v>
      </c>
      <c r="G591" s="27" t="s">
        <v>1875</v>
      </c>
      <c r="H591" s="27" t="s">
        <v>1892</v>
      </c>
      <c r="I591" s="27" t="s">
        <v>1876</v>
      </c>
      <c r="J591" s="27" t="s">
        <v>2179</v>
      </c>
      <c r="K591" s="27" t="n">
        <v>2418</v>
      </c>
      <c r="L591" s="27" t="n">
        <v>703</v>
      </c>
      <c r="M591" s="28" t="n">
        <f aca="false">IFERROR(VLOOKUP((OFFSET(hoje12_326_ana9,590,10,1,1)&amp;"."&amp;OFFSET(hoje12_326_ana9,590,11,1,1)),'12.326'!A:D,4,0),"-")</f>
        <v>5348350000329</v>
      </c>
    </row>
    <row r="592" customFormat="false" ht="14.4" hidden="false" customHeight="false" outlineLevel="0" collapsed="false">
      <c r="A592" s="27" t="n">
        <v>11100066</v>
      </c>
      <c r="B592" s="27" t="s">
        <v>2111</v>
      </c>
      <c r="C592" s="43" t="n">
        <v>153.72</v>
      </c>
      <c r="D592" s="27" t="n">
        <v>27.12</v>
      </c>
      <c r="E592" s="27" t="n">
        <v>12</v>
      </c>
      <c r="F592" s="27" t="n">
        <v>15.07</v>
      </c>
      <c r="G592" s="27" t="s">
        <v>1875</v>
      </c>
      <c r="H592" s="27" t="s">
        <v>1892</v>
      </c>
      <c r="I592" s="27" t="s">
        <v>1876</v>
      </c>
      <c r="J592" s="27" t="s">
        <v>2180</v>
      </c>
      <c r="K592" s="27" t="n">
        <v>2418</v>
      </c>
      <c r="L592" s="27" t="n">
        <v>703</v>
      </c>
      <c r="M592" s="28" t="n">
        <f aca="false">IFERROR(VLOOKUP((OFFSET(hoje12_326_ana9,591,10,1,1)&amp;"."&amp;OFFSET(hoje12_326_ana9,591,11,1,1)),'12.326'!A:D,4,0),"-")</f>
        <v>5348350000329</v>
      </c>
    </row>
    <row r="593" customFormat="false" ht="14.4" hidden="false" customHeight="false" outlineLevel="0" collapsed="false">
      <c r="A593" s="27" t="n">
        <v>11100216</v>
      </c>
      <c r="B593" s="27" t="s">
        <v>1923</v>
      </c>
      <c r="C593" s="43" t="n">
        <v>114.24</v>
      </c>
      <c r="D593" s="27" t="n">
        <v>20.16</v>
      </c>
      <c r="E593" s="27" t="n">
        <v>24</v>
      </c>
      <c r="F593" s="27" t="n">
        <v>5.6</v>
      </c>
      <c r="G593" s="27" t="s">
        <v>1875</v>
      </c>
      <c r="H593" s="27" t="s">
        <v>1892</v>
      </c>
      <c r="I593" s="27" t="s">
        <v>1876</v>
      </c>
      <c r="J593" s="27" t="s">
        <v>2181</v>
      </c>
      <c r="K593" s="27" t="n">
        <v>2418</v>
      </c>
      <c r="L593" s="27" t="n">
        <v>703</v>
      </c>
      <c r="M593" s="28" t="n">
        <f aca="false">IFERROR(VLOOKUP((OFFSET(hoje12_326_ana9,592,10,1,1)&amp;"."&amp;OFFSET(hoje12_326_ana9,592,11,1,1)),'12.326'!A:D,4,0),"-")</f>
        <v>5348350000329</v>
      </c>
    </row>
    <row r="594" customFormat="false" ht="14.4" hidden="false" customHeight="false" outlineLevel="0" collapsed="false">
      <c r="A594" s="27" t="n">
        <v>11100985</v>
      </c>
      <c r="B594" s="27" t="s">
        <v>1906</v>
      </c>
      <c r="C594" s="43" t="n">
        <v>106.9</v>
      </c>
      <c r="D594" s="27" t="n">
        <v>18.86</v>
      </c>
      <c r="E594" s="27" t="n">
        <v>6</v>
      </c>
      <c r="F594" s="27" t="n">
        <v>20.96</v>
      </c>
      <c r="G594" s="27" t="s">
        <v>1875</v>
      </c>
      <c r="H594" s="27" t="s">
        <v>1892</v>
      </c>
      <c r="I594" s="27" t="s">
        <v>1876</v>
      </c>
      <c r="J594" s="27" t="s">
        <v>2182</v>
      </c>
      <c r="K594" s="27" t="n">
        <v>2419</v>
      </c>
      <c r="L594" s="27" t="n">
        <v>703</v>
      </c>
      <c r="M594" s="28" t="n">
        <f aca="false">IFERROR(VLOOKUP((OFFSET(hoje12_326_ana9,593,10,1,1)&amp;"."&amp;OFFSET(hoje12_326_ana9,593,11,1,1)),'12.326'!A:D,4,0),"-")</f>
        <v>5348350000400</v>
      </c>
    </row>
    <row r="595" customFormat="false" ht="14.4" hidden="false" customHeight="false" outlineLevel="0" collapsed="false">
      <c r="A595" s="27" t="n">
        <v>11100986</v>
      </c>
      <c r="B595" s="27" t="s">
        <v>1902</v>
      </c>
      <c r="C595" s="43" t="n">
        <v>88.03</v>
      </c>
      <c r="D595" s="27" t="n">
        <v>15.53</v>
      </c>
      <c r="E595" s="27" t="n">
        <v>6</v>
      </c>
      <c r="F595" s="27" t="n">
        <v>17.26</v>
      </c>
      <c r="G595" s="27" t="s">
        <v>1875</v>
      </c>
      <c r="H595" s="27" t="s">
        <v>1892</v>
      </c>
      <c r="I595" s="27" t="s">
        <v>1876</v>
      </c>
      <c r="J595" s="27" t="s">
        <v>2183</v>
      </c>
      <c r="K595" s="27" t="n">
        <v>2419</v>
      </c>
      <c r="L595" s="27" t="n">
        <v>703</v>
      </c>
      <c r="M595" s="28" t="n">
        <f aca="false">IFERROR(VLOOKUP((OFFSET(hoje12_326_ana9,594,10,1,1)&amp;"."&amp;OFFSET(hoje12_326_ana9,594,11,1,1)),'12.326'!A:D,4,0),"-")</f>
        <v>5348350000400</v>
      </c>
    </row>
    <row r="596" customFormat="false" ht="14.4" hidden="false" customHeight="false" outlineLevel="0" collapsed="false">
      <c r="A596" s="27" t="n">
        <v>11100988</v>
      </c>
      <c r="B596" s="27" t="s">
        <v>1894</v>
      </c>
      <c r="C596" s="43" t="n">
        <v>70.38</v>
      </c>
      <c r="D596" s="27" t="n">
        <v>12.42</v>
      </c>
      <c r="E596" s="27" t="n">
        <v>12</v>
      </c>
      <c r="F596" s="27" t="n">
        <v>6.9</v>
      </c>
      <c r="G596" s="27" t="s">
        <v>1875</v>
      </c>
      <c r="H596" s="27" t="s">
        <v>1892</v>
      </c>
      <c r="I596" s="27" t="s">
        <v>1876</v>
      </c>
      <c r="J596" s="27" t="s">
        <v>2120</v>
      </c>
      <c r="K596" s="27" t="n">
        <v>2419</v>
      </c>
      <c r="L596" s="27" t="n">
        <v>703</v>
      </c>
      <c r="M596" s="28" t="n">
        <f aca="false">IFERROR(VLOOKUP((OFFSET(hoje12_326_ana9,595,10,1,1)&amp;"."&amp;OFFSET(hoje12_326_ana9,595,11,1,1)),'12.326'!A:D,4,0),"-")</f>
        <v>5348350000400</v>
      </c>
    </row>
    <row r="597" customFormat="false" ht="14.4" hidden="false" customHeight="false" outlineLevel="0" collapsed="false">
      <c r="A597" s="27" t="n">
        <v>11100989</v>
      </c>
      <c r="B597" s="27" t="s">
        <v>1904</v>
      </c>
      <c r="C597" s="43" t="n">
        <v>67.12</v>
      </c>
      <c r="D597" s="27" t="n">
        <v>11.84</v>
      </c>
      <c r="E597" s="27" t="n">
        <v>12</v>
      </c>
      <c r="F597" s="27" t="n">
        <v>6.58</v>
      </c>
      <c r="G597" s="27" t="s">
        <v>1875</v>
      </c>
      <c r="H597" s="27" t="s">
        <v>1892</v>
      </c>
      <c r="I597" s="27" t="s">
        <v>1876</v>
      </c>
      <c r="J597" s="27" t="s">
        <v>2184</v>
      </c>
      <c r="K597" s="27" t="n">
        <v>2419</v>
      </c>
      <c r="L597" s="27" t="n">
        <v>703</v>
      </c>
      <c r="M597" s="28" t="n">
        <f aca="false">IFERROR(VLOOKUP((OFFSET(hoje12_326_ana9,596,10,1,1)&amp;"."&amp;OFFSET(hoje12_326_ana9,596,11,1,1)),'12.326'!A:D,4,0),"-")</f>
        <v>5348350000400</v>
      </c>
    </row>
    <row r="598" customFormat="false" ht="14.4" hidden="false" customHeight="false" outlineLevel="0" collapsed="false">
      <c r="A598" s="27" t="n">
        <v>11100066</v>
      </c>
      <c r="B598" s="27" t="s">
        <v>2111</v>
      </c>
      <c r="C598" s="43" t="n">
        <v>150.65</v>
      </c>
      <c r="D598" s="27" t="n">
        <v>26.59</v>
      </c>
      <c r="E598" s="27" t="n">
        <v>12</v>
      </c>
      <c r="F598" s="27" t="n">
        <v>14.77</v>
      </c>
      <c r="G598" s="27" t="s">
        <v>1875</v>
      </c>
      <c r="H598" s="27" t="s">
        <v>1892</v>
      </c>
      <c r="I598" s="27" t="s">
        <v>1876</v>
      </c>
      <c r="J598" s="27" t="s">
        <v>2112</v>
      </c>
      <c r="K598" s="27" t="n">
        <v>2419</v>
      </c>
      <c r="L598" s="27" t="n">
        <v>703</v>
      </c>
      <c r="M598" s="28" t="n">
        <f aca="false">IFERROR(VLOOKUP((OFFSET(hoje12_326_ana9,597,10,1,1)&amp;"."&amp;OFFSET(hoje12_326_ana9,597,11,1,1)),'12.326'!A:D,4,0),"-")</f>
        <v>5348350000400</v>
      </c>
    </row>
    <row r="599" customFormat="false" ht="14.4" hidden="false" customHeight="false" outlineLevel="0" collapsed="false">
      <c r="A599" s="27" t="n">
        <v>11100987</v>
      </c>
      <c r="B599" s="27" t="s">
        <v>1890</v>
      </c>
      <c r="C599" s="43" t="n">
        <v>213.19</v>
      </c>
      <c r="D599" s="27" t="n">
        <v>37.61</v>
      </c>
      <c r="E599" s="27" t="n">
        <v>24</v>
      </c>
      <c r="F599" s="27" t="n">
        <v>10.45</v>
      </c>
      <c r="G599" s="27" t="s">
        <v>1875</v>
      </c>
      <c r="H599" s="27" t="s">
        <v>1892</v>
      </c>
      <c r="I599" s="27" t="s">
        <v>1876</v>
      </c>
      <c r="J599" s="27" t="s">
        <v>2119</v>
      </c>
      <c r="K599" s="27" t="n">
        <v>2419</v>
      </c>
      <c r="L599" s="27" t="n">
        <v>703</v>
      </c>
      <c r="M599" s="28" t="n">
        <f aca="false">IFERROR(VLOOKUP((OFFSET(hoje12_326_ana9,598,10,1,1)&amp;"."&amp;OFFSET(hoje12_326_ana9,598,11,1,1)),'12.326'!A:D,4,0),"-")</f>
        <v>5348350000400</v>
      </c>
    </row>
    <row r="600" customFormat="false" ht="14.4" hidden="false" customHeight="false" outlineLevel="0" collapsed="false">
      <c r="A600" s="27" t="n">
        <v>11100992</v>
      </c>
      <c r="B600" s="27" t="s">
        <v>1891</v>
      </c>
      <c r="C600" s="43" t="n">
        <v>156.58</v>
      </c>
      <c r="D600" s="27" t="n">
        <v>27.62</v>
      </c>
      <c r="E600" s="27" t="n">
        <v>12</v>
      </c>
      <c r="F600" s="27" t="n">
        <v>15.35</v>
      </c>
      <c r="G600" s="27" t="s">
        <v>1875</v>
      </c>
      <c r="H600" s="27" t="s">
        <v>1892</v>
      </c>
      <c r="I600" s="27" t="s">
        <v>1876</v>
      </c>
      <c r="J600" s="27" t="s">
        <v>2123</v>
      </c>
      <c r="K600" s="27" t="n">
        <v>2419</v>
      </c>
      <c r="L600" s="27" t="n">
        <v>703</v>
      </c>
      <c r="M600" s="28" t="n">
        <f aca="false">IFERROR(VLOOKUP((OFFSET(hoje12_326_ana9,599,10,1,1)&amp;"."&amp;OFFSET(hoje12_326_ana9,599,11,1,1)),'12.326'!A:D,4,0),"-")</f>
        <v>5348350000400</v>
      </c>
    </row>
    <row r="601" customFormat="false" ht="14.4" hidden="false" customHeight="false" outlineLevel="0" collapsed="false">
      <c r="A601" s="27" t="n">
        <v>11100990</v>
      </c>
      <c r="B601" s="27" t="s">
        <v>1900</v>
      </c>
      <c r="C601" s="43" t="n">
        <v>33.15</v>
      </c>
      <c r="D601" s="27" t="n">
        <v>5.85</v>
      </c>
      <c r="E601" s="27" t="n">
        <v>6</v>
      </c>
      <c r="F601" s="27" t="n">
        <v>6.5</v>
      </c>
      <c r="G601" s="27" t="s">
        <v>1875</v>
      </c>
      <c r="H601" s="27" t="s">
        <v>1892</v>
      </c>
      <c r="I601" s="27" t="s">
        <v>1876</v>
      </c>
      <c r="J601" s="27" t="s">
        <v>2185</v>
      </c>
      <c r="K601" s="27" t="n">
        <v>2419</v>
      </c>
      <c r="L601" s="27" t="n">
        <v>703</v>
      </c>
      <c r="M601" s="28" t="n">
        <f aca="false">IFERROR(VLOOKUP((OFFSET(hoje12_326_ana9,600,10,1,1)&amp;"."&amp;OFFSET(hoje12_326_ana9,600,11,1,1)),'12.326'!A:D,4,0),"-")</f>
        <v>5348350000400</v>
      </c>
    </row>
    <row r="602" customFormat="false" ht="14.4" hidden="false" customHeight="false" outlineLevel="0" collapsed="false">
      <c r="A602" s="27" t="n">
        <v>11100993</v>
      </c>
      <c r="B602" s="27" t="s">
        <v>1898</v>
      </c>
      <c r="C602" s="43" t="n">
        <v>33.15</v>
      </c>
      <c r="D602" s="27" t="n">
        <v>5.85</v>
      </c>
      <c r="E602" s="27" t="n">
        <v>6</v>
      </c>
      <c r="F602" s="27" t="n">
        <v>6.5</v>
      </c>
      <c r="G602" s="27" t="s">
        <v>1875</v>
      </c>
      <c r="H602" s="27" t="s">
        <v>1892</v>
      </c>
      <c r="I602" s="27" t="s">
        <v>1876</v>
      </c>
      <c r="J602" s="27" t="s">
        <v>2185</v>
      </c>
      <c r="K602" s="27" t="n">
        <v>2419</v>
      </c>
      <c r="L602" s="27" t="n">
        <v>703</v>
      </c>
      <c r="M602" s="28" t="n">
        <f aca="false">IFERROR(VLOOKUP((OFFSET(hoje12_326_ana9,601,10,1,1)&amp;"."&amp;OFFSET(hoje12_326_ana9,601,11,1,1)),'12.326'!A:D,4,0),"-")</f>
        <v>5348350000400</v>
      </c>
    </row>
    <row r="603" customFormat="false" ht="14.4" hidden="false" customHeight="false" outlineLevel="0" collapsed="false">
      <c r="A603" s="27" t="n">
        <v>11100542</v>
      </c>
      <c r="B603" s="27" t="s">
        <v>2113</v>
      </c>
      <c r="C603" s="43" t="n">
        <v>119.04</v>
      </c>
      <c r="D603" s="27" t="n">
        <v>21</v>
      </c>
      <c r="E603" s="27" t="n">
        <v>12</v>
      </c>
      <c r="F603" s="27" t="n">
        <v>11.67</v>
      </c>
      <c r="G603" s="27" t="s">
        <v>1875</v>
      </c>
      <c r="H603" s="27" t="s">
        <v>1892</v>
      </c>
      <c r="I603" s="27" t="s">
        <v>1876</v>
      </c>
      <c r="J603" s="27" t="s">
        <v>2114</v>
      </c>
      <c r="K603" s="27" t="n">
        <v>2419</v>
      </c>
      <c r="L603" s="27" t="n">
        <v>703</v>
      </c>
      <c r="M603" s="28" t="n">
        <f aca="false">IFERROR(VLOOKUP((OFFSET(hoje12_326_ana9,602,10,1,1)&amp;"."&amp;OFFSET(hoje12_326_ana9,602,11,1,1)),'12.326'!A:D,4,0),"-")</f>
        <v>5348350000400</v>
      </c>
    </row>
    <row r="604" customFormat="false" ht="14.4" hidden="false" customHeight="false" outlineLevel="0" collapsed="false">
      <c r="A604" s="27" t="n">
        <v>11100543</v>
      </c>
      <c r="B604" s="27" t="s">
        <v>2115</v>
      </c>
      <c r="C604" s="43" t="n">
        <v>174.92</v>
      </c>
      <c r="D604" s="27" t="n">
        <v>30.88</v>
      </c>
      <c r="E604" s="27" t="n">
        <v>12</v>
      </c>
      <c r="F604" s="27" t="n">
        <v>17.15</v>
      </c>
      <c r="G604" s="27" t="s">
        <v>1875</v>
      </c>
      <c r="H604" s="27" t="s">
        <v>1892</v>
      </c>
      <c r="I604" s="27" t="s">
        <v>1876</v>
      </c>
      <c r="J604" s="27" t="s">
        <v>2116</v>
      </c>
      <c r="K604" s="27" t="n">
        <v>2419</v>
      </c>
      <c r="L604" s="27" t="n">
        <v>703</v>
      </c>
      <c r="M604" s="28" t="n">
        <f aca="false">IFERROR(VLOOKUP((OFFSET(hoje12_326_ana9,603,10,1,1)&amp;"."&amp;OFFSET(hoje12_326_ana9,603,11,1,1)),'12.326'!A:D,4,0),"-")</f>
        <v>5348350000400</v>
      </c>
    </row>
    <row r="605" customFormat="false" ht="14.4" hidden="false" customHeight="false" outlineLevel="0" collapsed="false">
      <c r="A605" s="27" t="n">
        <v>11100998</v>
      </c>
      <c r="B605" s="27" t="s">
        <v>1887</v>
      </c>
      <c r="C605" s="43" t="n">
        <v>153.11</v>
      </c>
      <c r="D605" s="27" t="n">
        <v>27.01</v>
      </c>
      <c r="E605" s="27" t="n">
        <v>12</v>
      </c>
      <c r="F605" s="27" t="n">
        <v>15.01</v>
      </c>
      <c r="G605" s="27" t="s">
        <v>1875</v>
      </c>
      <c r="H605" s="27" t="s">
        <v>1892</v>
      </c>
      <c r="I605" s="27" t="s">
        <v>1876</v>
      </c>
      <c r="J605" s="27" t="s">
        <v>2124</v>
      </c>
      <c r="K605" s="27" t="n">
        <v>2419</v>
      </c>
      <c r="L605" s="27" t="n">
        <v>703</v>
      </c>
      <c r="M605" s="28" t="n">
        <f aca="false">IFERROR(VLOOKUP((OFFSET(hoje12_326_ana9,604,10,1,1)&amp;"."&amp;OFFSET(hoje12_326_ana9,604,11,1,1)),'12.326'!A:D,4,0),"-")</f>
        <v>5348350000400</v>
      </c>
    </row>
    <row r="606" customFormat="false" ht="14.4" hidden="false" customHeight="false" outlineLevel="0" collapsed="false">
      <c r="A606" s="27" t="n">
        <v>11100995</v>
      </c>
      <c r="B606" s="27" t="s">
        <v>1897</v>
      </c>
      <c r="C606" s="43" t="n">
        <v>178.08</v>
      </c>
      <c r="D606" s="27" t="n">
        <v>0</v>
      </c>
      <c r="E606" s="27" t="n">
        <v>12</v>
      </c>
      <c r="F606" s="27" t="n">
        <v>14.84</v>
      </c>
      <c r="G606" s="27" t="s">
        <v>1875</v>
      </c>
      <c r="H606" s="27" t="s">
        <v>68</v>
      </c>
      <c r="I606" s="27" t="s">
        <v>1876</v>
      </c>
      <c r="J606" s="27" t="s">
        <v>1877</v>
      </c>
      <c r="K606" s="27" t="n">
        <v>2419</v>
      </c>
      <c r="L606" s="27" t="n">
        <v>703</v>
      </c>
      <c r="M606" s="28" t="n">
        <f aca="false">IFERROR(VLOOKUP((OFFSET(hoje12_326_ana9,605,10,1,1)&amp;"."&amp;OFFSET(hoje12_326_ana9,605,11,1,1)),'12.326'!A:D,4,0),"-")</f>
        <v>5348350000400</v>
      </c>
    </row>
    <row r="607" customFormat="false" ht="14.4" hidden="false" customHeight="false" outlineLevel="0" collapsed="false">
      <c r="A607" s="27" t="n">
        <v>11101003</v>
      </c>
      <c r="B607" s="27" t="s">
        <v>1889</v>
      </c>
      <c r="C607" s="43" t="n">
        <v>54.88</v>
      </c>
      <c r="D607" s="27" t="n">
        <v>9.68</v>
      </c>
      <c r="E607" s="27" t="n">
        <v>6</v>
      </c>
      <c r="F607" s="27" t="n">
        <v>10.76</v>
      </c>
      <c r="G607" s="27" t="s">
        <v>1875</v>
      </c>
      <c r="H607" s="27" t="s">
        <v>1892</v>
      </c>
      <c r="I607" s="27" t="s">
        <v>1876</v>
      </c>
      <c r="J607" s="27" t="s">
        <v>1901</v>
      </c>
      <c r="K607" s="27" t="n">
        <v>2419</v>
      </c>
      <c r="L607" s="27" t="n">
        <v>703</v>
      </c>
      <c r="M607" s="28" t="n">
        <f aca="false">IFERROR(VLOOKUP((OFFSET(hoje12_326_ana9,606,10,1,1)&amp;"."&amp;OFFSET(hoje12_326_ana9,606,11,1,1)),'12.326'!A:D,4,0),"-")</f>
        <v>5348350000400</v>
      </c>
    </row>
    <row r="608" customFormat="false" ht="14.4" hidden="false" customHeight="false" outlineLevel="0" collapsed="false">
      <c r="A608" s="27" t="n">
        <v>11101004</v>
      </c>
      <c r="B608" s="27" t="s">
        <v>1888</v>
      </c>
      <c r="C608" s="43" t="n">
        <v>54.88</v>
      </c>
      <c r="D608" s="27" t="n">
        <v>9.68</v>
      </c>
      <c r="E608" s="27" t="n">
        <v>6</v>
      </c>
      <c r="F608" s="27" t="n">
        <v>10.76</v>
      </c>
      <c r="G608" s="27" t="s">
        <v>1875</v>
      </c>
      <c r="H608" s="27" t="s">
        <v>1892</v>
      </c>
      <c r="I608" s="27" t="s">
        <v>1876</v>
      </c>
      <c r="J608" s="27" t="s">
        <v>1901</v>
      </c>
      <c r="K608" s="27" t="n">
        <v>2419</v>
      </c>
      <c r="L608" s="27" t="n">
        <v>703</v>
      </c>
      <c r="M608" s="28" t="n">
        <f aca="false">IFERROR(VLOOKUP((OFFSET(hoje12_326_ana9,607,10,1,1)&amp;"."&amp;OFFSET(hoje12_326_ana9,607,11,1,1)),'12.326'!A:D,4,0),"-")</f>
        <v>5348350000400</v>
      </c>
    </row>
    <row r="609" customFormat="false" ht="14.4" hidden="false" customHeight="false" outlineLevel="0" collapsed="false">
      <c r="A609" s="27" t="n">
        <v>11100373</v>
      </c>
      <c r="B609" s="27" t="s">
        <v>2127</v>
      </c>
      <c r="C609" s="43" t="n">
        <v>34.27</v>
      </c>
      <c r="D609" s="27" t="n">
        <v>6.05</v>
      </c>
      <c r="E609" s="27" t="n">
        <v>12</v>
      </c>
      <c r="F609" s="27" t="n">
        <v>3.36</v>
      </c>
      <c r="G609" s="27" t="s">
        <v>1875</v>
      </c>
      <c r="H609" s="27" t="s">
        <v>1892</v>
      </c>
      <c r="I609" s="27" t="s">
        <v>1876</v>
      </c>
      <c r="J609" s="27" t="s">
        <v>2128</v>
      </c>
      <c r="K609" s="27" t="n">
        <v>2419</v>
      </c>
      <c r="L609" s="27" t="n">
        <v>703</v>
      </c>
      <c r="M609" s="28" t="n">
        <f aca="false">IFERROR(VLOOKUP((OFFSET(hoje12_326_ana9,608,10,1,1)&amp;"."&amp;OFFSET(hoje12_326_ana9,608,11,1,1)),'12.326'!A:D,4,0),"-")</f>
        <v>5348350000400</v>
      </c>
    </row>
    <row r="610" customFormat="false" ht="14.4" hidden="false" customHeight="false" outlineLevel="0" collapsed="false">
      <c r="A610" s="27" t="n">
        <v>11100976</v>
      </c>
      <c r="B610" s="27" t="s">
        <v>2139</v>
      </c>
      <c r="C610" s="43" t="n">
        <v>37.54</v>
      </c>
      <c r="D610" s="27" t="n">
        <v>13.82</v>
      </c>
      <c r="E610" s="27" t="n">
        <v>24</v>
      </c>
      <c r="F610" s="27" t="n">
        <v>2.14</v>
      </c>
      <c r="G610" s="27" t="s">
        <v>1875</v>
      </c>
      <c r="H610" s="27" t="s">
        <v>2140</v>
      </c>
      <c r="I610" s="27" t="s">
        <v>1876</v>
      </c>
      <c r="J610" s="27" t="s">
        <v>2141</v>
      </c>
      <c r="K610" s="27" t="n">
        <v>2419</v>
      </c>
      <c r="L610" s="27" t="n">
        <v>703</v>
      </c>
      <c r="M610" s="28" t="n">
        <f aca="false">IFERROR(VLOOKUP((OFFSET(hoje12_326_ana9,609,10,1,1)&amp;"."&amp;OFFSET(hoje12_326_ana9,609,11,1,1)),'12.326'!A:D,4,0),"-")</f>
        <v>5348350000400</v>
      </c>
    </row>
    <row r="611" customFormat="false" ht="14.4" hidden="false" customHeight="false" outlineLevel="0" collapsed="false">
      <c r="A611" s="27" t="n">
        <v>11100216</v>
      </c>
      <c r="B611" s="27" t="s">
        <v>1923</v>
      </c>
      <c r="C611" s="43" t="n">
        <v>112.01</v>
      </c>
      <c r="D611" s="27" t="n">
        <v>19.75</v>
      </c>
      <c r="E611" s="27" t="n">
        <v>24</v>
      </c>
      <c r="F611" s="27" t="n">
        <v>5.49</v>
      </c>
      <c r="G611" s="27" t="s">
        <v>1875</v>
      </c>
      <c r="H611" s="27" t="s">
        <v>1892</v>
      </c>
      <c r="I611" s="27" t="s">
        <v>1876</v>
      </c>
      <c r="J611" s="27" t="s">
        <v>2126</v>
      </c>
      <c r="K611" s="27" t="n">
        <v>2419</v>
      </c>
      <c r="L611" s="27" t="n">
        <v>703</v>
      </c>
      <c r="M611" s="28" t="n">
        <f aca="false">IFERROR(VLOOKUP((OFFSET(hoje12_326_ana9,610,10,1,1)&amp;"."&amp;OFFSET(hoje12_326_ana9,610,11,1,1)),'12.326'!A:D,4,0),"-")</f>
        <v>5348350000400</v>
      </c>
    </row>
    <row r="612" customFormat="false" ht="14.4" hidden="false" customHeight="false" outlineLevel="0" collapsed="false">
      <c r="A612" s="27" t="n">
        <v>11100066</v>
      </c>
      <c r="B612" s="27" t="s">
        <v>2111</v>
      </c>
      <c r="C612" s="43" t="n">
        <v>155.98</v>
      </c>
      <c r="D612" s="27" t="n">
        <v>21.26</v>
      </c>
      <c r="E612" s="27" t="n">
        <v>12</v>
      </c>
      <c r="F612" s="27" t="n">
        <v>14.77</v>
      </c>
      <c r="G612" s="27" t="s">
        <v>1875</v>
      </c>
      <c r="H612" s="27" t="s">
        <v>2004</v>
      </c>
      <c r="I612" s="27" t="s">
        <v>1876</v>
      </c>
      <c r="J612" s="27" t="s">
        <v>2186</v>
      </c>
      <c r="K612" s="27" t="n">
        <v>2420</v>
      </c>
      <c r="L612" s="27" t="n">
        <v>703</v>
      </c>
      <c r="M612" s="28" t="n">
        <f aca="false">IFERROR(VLOOKUP((OFFSET(hoje12_326_ana9,611,10,1,1)&amp;"."&amp;OFFSET(hoje12_326_ana9,611,11,1,1)),'12.326'!A:D,4,0),"-")</f>
        <v>19851425000132</v>
      </c>
    </row>
    <row r="613" customFormat="false" ht="14.4" hidden="false" customHeight="false" outlineLevel="0" collapsed="false">
      <c r="A613" s="27" t="n">
        <v>11100543</v>
      </c>
      <c r="B613" s="27" t="s">
        <v>2115</v>
      </c>
      <c r="C613" s="43" t="n">
        <v>90.55</v>
      </c>
      <c r="D613" s="27" t="n">
        <v>12.35</v>
      </c>
      <c r="E613" s="27" t="n">
        <v>6</v>
      </c>
      <c r="F613" s="27" t="n">
        <v>17.15</v>
      </c>
      <c r="G613" s="27" t="s">
        <v>1875</v>
      </c>
      <c r="H613" s="27" t="s">
        <v>2004</v>
      </c>
      <c r="I613" s="27" t="s">
        <v>1876</v>
      </c>
      <c r="J613" s="27" t="s">
        <v>2187</v>
      </c>
      <c r="K613" s="27" t="n">
        <v>2420</v>
      </c>
      <c r="L613" s="27" t="n">
        <v>703</v>
      </c>
      <c r="M613" s="28" t="n">
        <f aca="false">IFERROR(VLOOKUP((OFFSET(hoje12_326_ana9,612,10,1,1)&amp;"."&amp;OFFSET(hoje12_326_ana9,612,11,1,1)),'12.326'!A:D,4,0),"-")</f>
        <v>19851425000132</v>
      </c>
    </row>
    <row r="614" customFormat="false" ht="14.4" hidden="false" customHeight="false" outlineLevel="0" collapsed="false">
      <c r="A614" s="27" t="n">
        <v>11100985</v>
      </c>
      <c r="B614" s="27" t="s">
        <v>1906</v>
      </c>
      <c r="C614" s="43" t="n">
        <v>110.67</v>
      </c>
      <c r="D614" s="27" t="n">
        <v>15.09</v>
      </c>
      <c r="E614" s="27" t="n">
        <v>6</v>
      </c>
      <c r="F614" s="27" t="n">
        <v>20.96</v>
      </c>
      <c r="G614" s="27" t="s">
        <v>1875</v>
      </c>
      <c r="H614" s="27" t="s">
        <v>2004</v>
      </c>
      <c r="I614" s="27" t="s">
        <v>1876</v>
      </c>
      <c r="J614" s="27" t="s">
        <v>2188</v>
      </c>
      <c r="K614" s="27" t="n">
        <v>2420</v>
      </c>
      <c r="L614" s="27" t="n">
        <v>703</v>
      </c>
      <c r="M614" s="28" t="n">
        <f aca="false">IFERROR(VLOOKUP((OFFSET(hoje12_326_ana9,613,10,1,1)&amp;"."&amp;OFFSET(hoje12_326_ana9,613,11,1,1)),'12.326'!A:D,4,0),"-")</f>
        <v>19851425000132</v>
      </c>
    </row>
    <row r="615" customFormat="false" ht="14.4" hidden="false" customHeight="false" outlineLevel="0" collapsed="false">
      <c r="A615" s="27" t="n">
        <v>11100986</v>
      </c>
      <c r="B615" s="27" t="s">
        <v>1902</v>
      </c>
      <c r="C615" s="43" t="n">
        <v>88.03</v>
      </c>
      <c r="D615" s="27" t="n">
        <v>15.53</v>
      </c>
      <c r="E615" s="27" t="n">
        <v>6</v>
      </c>
      <c r="F615" s="27" t="n">
        <v>17.26</v>
      </c>
      <c r="G615" s="27" t="s">
        <v>1875</v>
      </c>
      <c r="H615" s="27" t="s">
        <v>1892</v>
      </c>
      <c r="I615" s="27" t="s">
        <v>1876</v>
      </c>
      <c r="J615" s="27" t="s">
        <v>2183</v>
      </c>
      <c r="K615" s="27" t="n">
        <v>2420</v>
      </c>
      <c r="L615" s="27" t="n">
        <v>703</v>
      </c>
      <c r="M615" s="28" t="n">
        <f aca="false">IFERROR(VLOOKUP((OFFSET(hoje12_326_ana9,614,10,1,1)&amp;"."&amp;OFFSET(hoje12_326_ana9,614,11,1,1)),'12.326'!A:D,4,0),"-")</f>
        <v>19851425000132</v>
      </c>
    </row>
    <row r="616" customFormat="false" ht="14.4" hidden="false" customHeight="false" outlineLevel="0" collapsed="false">
      <c r="A616" s="27" t="n">
        <v>11100987</v>
      </c>
      <c r="B616" s="27" t="s">
        <v>1890</v>
      </c>
      <c r="C616" s="43" t="n">
        <v>110.35</v>
      </c>
      <c r="D616" s="27" t="n">
        <v>15.05</v>
      </c>
      <c r="E616" s="27" t="n">
        <v>12</v>
      </c>
      <c r="F616" s="27" t="n">
        <v>10.45</v>
      </c>
      <c r="G616" s="27" t="s">
        <v>1875</v>
      </c>
      <c r="H616" s="27" t="s">
        <v>2004</v>
      </c>
      <c r="I616" s="27" t="s">
        <v>1876</v>
      </c>
      <c r="J616" s="27" t="s">
        <v>2189</v>
      </c>
      <c r="K616" s="27" t="n">
        <v>2420</v>
      </c>
      <c r="L616" s="27" t="n">
        <v>703</v>
      </c>
      <c r="M616" s="28" t="n">
        <f aca="false">IFERROR(VLOOKUP((OFFSET(hoje12_326_ana9,615,10,1,1)&amp;"."&amp;OFFSET(hoje12_326_ana9,615,11,1,1)),'12.326'!A:D,4,0),"-")</f>
        <v>19851425000132</v>
      </c>
    </row>
    <row r="617" customFormat="false" ht="14.4" hidden="false" customHeight="false" outlineLevel="0" collapsed="false">
      <c r="A617" s="27" t="n">
        <v>11100988</v>
      </c>
      <c r="B617" s="27" t="s">
        <v>1894</v>
      </c>
      <c r="C617" s="43" t="n">
        <v>72.86</v>
      </c>
      <c r="D617" s="27" t="n">
        <v>9.94</v>
      </c>
      <c r="E617" s="27" t="n">
        <v>12</v>
      </c>
      <c r="F617" s="27" t="n">
        <v>6.9</v>
      </c>
      <c r="G617" s="27" t="s">
        <v>1875</v>
      </c>
      <c r="H617" s="27" t="s">
        <v>2004</v>
      </c>
      <c r="I617" s="27" t="s">
        <v>1876</v>
      </c>
      <c r="J617" s="27" t="s">
        <v>2190</v>
      </c>
      <c r="K617" s="27" t="n">
        <v>2420</v>
      </c>
      <c r="L617" s="27" t="n">
        <v>703</v>
      </c>
      <c r="M617" s="28" t="n">
        <f aca="false">IFERROR(VLOOKUP((OFFSET(hoje12_326_ana9,616,10,1,1)&amp;"."&amp;OFFSET(hoje12_326_ana9,616,11,1,1)),'12.326'!A:D,4,0),"-")</f>
        <v>19851425000132</v>
      </c>
    </row>
    <row r="618" customFormat="false" ht="14.4" hidden="false" customHeight="false" outlineLevel="0" collapsed="false">
      <c r="A618" s="27" t="n">
        <v>11100989</v>
      </c>
      <c r="B618" s="27" t="s">
        <v>1904</v>
      </c>
      <c r="C618" s="43" t="n">
        <v>138.96</v>
      </c>
      <c r="D618" s="27" t="n">
        <v>18.96</v>
      </c>
      <c r="E618" s="27" t="n">
        <v>24</v>
      </c>
      <c r="F618" s="27" t="n">
        <v>6.58</v>
      </c>
      <c r="G618" s="27" t="s">
        <v>1875</v>
      </c>
      <c r="H618" s="27" t="s">
        <v>2004</v>
      </c>
      <c r="I618" s="27" t="s">
        <v>1876</v>
      </c>
      <c r="J618" s="27" t="s">
        <v>2191</v>
      </c>
      <c r="K618" s="27" t="n">
        <v>2420</v>
      </c>
      <c r="L618" s="27" t="n">
        <v>703</v>
      </c>
      <c r="M618" s="28" t="n">
        <f aca="false">IFERROR(VLOOKUP((OFFSET(hoje12_326_ana9,617,10,1,1)&amp;"."&amp;OFFSET(hoje12_326_ana9,617,11,1,1)),'12.326'!A:D,4,0),"-")</f>
        <v>19851425000132</v>
      </c>
    </row>
    <row r="619" customFormat="false" ht="14.4" hidden="false" customHeight="false" outlineLevel="0" collapsed="false">
      <c r="A619" s="27" t="n">
        <v>11100990</v>
      </c>
      <c r="B619" s="27" t="s">
        <v>1900</v>
      </c>
      <c r="C619" s="43" t="n">
        <v>33.15</v>
      </c>
      <c r="D619" s="27" t="n">
        <v>5.85</v>
      </c>
      <c r="E619" s="27" t="n">
        <v>6</v>
      </c>
      <c r="F619" s="27" t="n">
        <v>6.5</v>
      </c>
      <c r="G619" s="27" t="s">
        <v>1875</v>
      </c>
      <c r="H619" s="27" t="s">
        <v>1892</v>
      </c>
      <c r="I619" s="27" t="s">
        <v>1876</v>
      </c>
      <c r="J619" s="27" t="s">
        <v>2185</v>
      </c>
      <c r="K619" s="27" t="n">
        <v>2420</v>
      </c>
      <c r="L619" s="27" t="n">
        <v>703</v>
      </c>
      <c r="M619" s="28" t="n">
        <f aca="false">IFERROR(VLOOKUP((OFFSET(hoje12_326_ana9,618,10,1,1)&amp;"."&amp;OFFSET(hoje12_326_ana9,618,11,1,1)),'12.326'!A:D,4,0),"-")</f>
        <v>19851425000132</v>
      </c>
    </row>
    <row r="620" customFormat="false" ht="14.4" hidden="false" customHeight="false" outlineLevel="0" collapsed="false">
      <c r="A620" s="27" t="n">
        <v>11100992</v>
      </c>
      <c r="B620" s="27" t="s">
        <v>1891</v>
      </c>
      <c r="C620" s="43" t="n">
        <v>162.1</v>
      </c>
      <c r="D620" s="27" t="n">
        <v>22.1</v>
      </c>
      <c r="E620" s="27" t="n">
        <v>12</v>
      </c>
      <c r="F620" s="27" t="n">
        <v>15.35</v>
      </c>
      <c r="G620" s="27" t="s">
        <v>1875</v>
      </c>
      <c r="H620" s="27" t="s">
        <v>2004</v>
      </c>
      <c r="I620" s="27" t="s">
        <v>1876</v>
      </c>
      <c r="J620" s="27" t="s">
        <v>2192</v>
      </c>
      <c r="K620" s="27" t="n">
        <v>2420</v>
      </c>
      <c r="L620" s="27" t="n">
        <v>703</v>
      </c>
      <c r="M620" s="28" t="n">
        <f aca="false">IFERROR(VLOOKUP((OFFSET(hoje12_326_ana9,619,10,1,1)&amp;"."&amp;OFFSET(hoje12_326_ana9,619,11,1,1)),'12.326'!A:D,4,0),"-")</f>
        <v>19851425000132</v>
      </c>
    </row>
    <row r="621" customFormat="false" ht="14.4" hidden="false" customHeight="false" outlineLevel="0" collapsed="false">
      <c r="A621" s="27" t="n">
        <v>11100993</v>
      </c>
      <c r="B621" s="27" t="s">
        <v>1898</v>
      </c>
      <c r="C621" s="43" t="n">
        <v>33.15</v>
      </c>
      <c r="D621" s="27" t="n">
        <v>5.85</v>
      </c>
      <c r="E621" s="27" t="n">
        <v>6</v>
      </c>
      <c r="F621" s="27" t="n">
        <v>6.5</v>
      </c>
      <c r="G621" s="27" t="s">
        <v>1875</v>
      </c>
      <c r="H621" s="27" t="s">
        <v>1892</v>
      </c>
      <c r="I621" s="27" t="s">
        <v>1876</v>
      </c>
      <c r="J621" s="27" t="s">
        <v>2185</v>
      </c>
      <c r="K621" s="27" t="n">
        <v>2420</v>
      </c>
      <c r="L621" s="27" t="n">
        <v>703</v>
      </c>
      <c r="M621" s="28" t="n">
        <f aca="false">IFERROR(VLOOKUP((OFFSET(hoje12_326_ana9,620,10,1,1)&amp;"."&amp;OFFSET(hoje12_326_ana9,620,11,1,1)),'12.326'!A:D,4,0),"-")</f>
        <v>19851425000132</v>
      </c>
    </row>
    <row r="622" customFormat="false" ht="14.4" hidden="false" customHeight="false" outlineLevel="0" collapsed="false">
      <c r="A622" s="27" t="n">
        <v>11100995</v>
      </c>
      <c r="B622" s="27" t="s">
        <v>1897</v>
      </c>
      <c r="C622" s="43" t="n">
        <v>178.08</v>
      </c>
      <c r="D622" s="27" t="n">
        <v>0</v>
      </c>
      <c r="E622" s="27" t="n">
        <v>12</v>
      </c>
      <c r="F622" s="27" t="n">
        <v>14.84</v>
      </c>
      <c r="G622" s="27" t="s">
        <v>1875</v>
      </c>
      <c r="H622" s="27" t="s">
        <v>68</v>
      </c>
      <c r="I622" s="27" t="s">
        <v>1876</v>
      </c>
      <c r="J622" s="27" t="s">
        <v>1877</v>
      </c>
      <c r="K622" s="27" t="n">
        <v>2420</v>
      </c>
      <c r="L622" s="27" t="n">
        <v>703</v>
      </c>
      <c r="M622" s="28" t="n">
        <f aca="false">IFERROR(VLOOKUP((OFFSET(hoje12_326_ana9,621,10,1,1)&amp;"."&amp;OFFSET(hoje12_326_ana9,621,11,1,1)),'12.326'!A:D,4,0),"-")</f>
        <v>19851425000132</v>
      </c>
    </row>
    <row r="623" customFormat="false" ht="14.4" hidden="false" customHeight="false" outlineLevel="0" collapsed="false">
      <c r="A623" s="27" t="n">
        <v>11100998</v>
      </c>
      <c r="B623" s="27" t="s">
        <v>1887</v>
      </c>
      <c r="C623" s="43" t="n">
        <v>158.51</v>
      </c>
      <c r="D623" s="27" t="n">
        <v>21.61</v>
      </c>
      <c r="E623" s="27" t="n">
        <v>12</v>
      </c>
      <c r="F623" s="27" t="n">
        <v>15.01</v>
      </c>
      <c r="G623" s="27" t="s">
        <v>1875</v>
      </c>
      <c r="H623" s="27" t="s">
        <v>2004</v>
      </c>
      <c r="I623" s="27" t="s">
        <v>1876</v>
      </c>
      <c r="J623" s="27" t="s">
        <v>2193</v>
      </c>
      <c r="K623" s="27" t="n">
        <v>2420</v>
      </c>
      <c r="L623" s="27" t="n">
        <v>703</v>
      </c>
      <c r="M623" s="28" t="n">
        <f aca="false">IFERROR(VLOOKUP((OFFSET(hoje12_326_ana9,622,10,1,1)&amp;"."&amp;OFFSET(hoje12_326_ana9,622,11,1,1)),'12.326'!A:D,4,0),"-")</f>
        <v>19851425000132</v>
      </c>
    </row>
    <row r="624" customFormat="false" ht="14.4" hidden="false" customHeight="false" outlineLevel="0" collapsed="false">
      <c r="A624" s="27" t="n">
        <v>11101003</v>
      </c>
      <c r="B624" s="27" t="s">
        <v>1889</v>
      </c>
      <c r="C624" s="43" t="n">
        <v>54.88</v>
      </c>
      <c r="D624" s="27" t="n">
        <v>9.68</v>
      </c>
      <c r="E624" s="27" t="n">
        <v>6</v>
      </c>
      <c r="F624" s="27" t="n">
        <v>10.76</v>
      </c>
      <c r="G624" s="27" t="s">
        <v>1875</v>
      </c>
      <c r="H624" s="27" t="s">
        <v>1892</v>
      </c>
      <c r="I624" s="27" t="s">
        <v>1876</v>
      </c>
      <c r="J624" s="27" t="s">
        <v>1901</v>
      </c>
      <c r="K624" s="27" t="n">
        <v>2420</v>
      </c>
      <c r="L624" s="27" t="n">
        <v>703</v>
      </c>
      <c r="M624" s="28" t="n">
        <f aca="false">IFERROR(VLOOKUP((OFFSET(hoje12_326_ana9,623,10,1,1)&amp;"."&amp;OFFSET(hoje12_326_ana9,623,11,1,1)),'12.326'!A:D,4,0),"-")</f>
        <v>19851425000132</v>
      </c>
    </row>
    <row r="625" customFormat="false" ht="14.4" hidden="false" customHeight="false" outlineLevel="0" collapsed="false">
      <c r="A625" s="27" t="n">
        <v>11101004</v>
      </c>
      <c r="B625" s="27" t="s">
        <v>1888</v>
      </c>
      <c r="C625" s="43" t="n">
        <v>54.88</v>
      </c>
      <c r="D625" s="27" t="n">
        <v>9.68</v>
      </c>
      <c r="E625" s="27" t="n">
        <v>6</v>
      </c>
      <c r="F625" s="27" t="n">
        <v>10.76</v>
      </c>
      <c r="G625" s="27" t="s">
        <v>1875</v>
      </c>
      <c r="H625" s="27" t="s">
        <v>1892</v>
      </c>
      <c r="I625" s="27" t="s">
        <v>1876</v>
      </c>
      <c r="J625" s="27" t="s">
        <v>1901</v>
      </c>
      <c r="K625" s="27" t="n">
        <v>2420</v>
      </c>
      <c r="L625" s="27" t="n">
        <v>703</v>
      </c>
      <c r="M625" s="28" t="n">
        <f aca="false">IFERROR(VLOOKUP((OFFSET(hoje12_326_ana9,624,10,1,1)&amp;"."&amp;OFFSET(hoje12_326_ana9,624,11,1,1)),'12.326'!A:D,4,0),"-")</f>
        <v>19851425000132</v>
      </c>
    </row>
    <row r="626" customFormat="false" ht="14.4" hidden="false" customHeight="false" outlineLevel="0" collapsed="false">
      <c r="A626" s="27" t="n">
        <v>11100542</v>
      </c>
      <c r="B626" s="27" t="s">
        <v>2113</v>
      </c>
      <c r="C626" s="43" t="n">
        <v>246.48</v>
      </c>
      <c r="D626" s="27" t="n">
        <v>33.6</v>
      </c>
      <c r="E626" s="27" t="n">
        <v>24</v>
      </c>
      <c r="F626" s="27" t="n">
        <v>11.67</v>
      </c>
      <c r="G626" s="27" t="s">
        <v>1875</v>
      </c>
      <c r="H626" s="27" t="s">
        <v>2004</v>
      </c>
      <c r="I626" s="27" t="s">
        <v>1876</v>
      </c>
      <c r="J626" s="27" t="s">
        <v>2194</v>
      </c>
      <c r="K626" s="27" t="n">
        <v>2420</v>
      </c>
      <c r="L626" s="27" t="n">
        <v>703</v>
      </c>
      <c r="M626" s="28" t="n">
        <f aca="false">IFERROR(VLOOKUP((OFFSET(hoje12_326_ana9,625,10,1,1)&amp;"."&amp;OFFSET(hoje12_326_ana9,625,11,1,1)),'12.326'!A:D,4,0),"-")</f>
        <v>19851425000132</v>
      </c>
    </row>
    <row r="627" customFormat="false" ht="14.4" hidden="false" customHeight="false" outlineLevel="0" collapsed="false">
      <c r="A627" s="27" t="n">
        <v>11100863</v>
      </c>
      <c r="B627" s="27" t="s">
        <v>1981</v>
      </c>
      <c r="C627" s="43" t="n">
        <v>81.76</v>
      </c>
      <c r="D627" s="27" t="n">
        <v>9.08</v>
      </c>
      <c r="E627" s="27" t="n">
        <v>12</v>
      </c>
      <c r="F627" s="27" t="n">
        <v>7.57</v>
      </c>
      <c r="G627" s="27" t="s">
        <v>1875</v>
      </c>
      <c r="H627" s="27" t="s">
        <v>1895</v>
      </c>
      <c r="I627" s="27" t="s">
        <v>1876</v>
      </c>
      <c r="J627" s="27" t="s">
        <v>1973</v>
      </c>
      <c r="K627" s="27" t="n">
        <v>2424</v>
      </c>
      <c r="L627" s="27" t="n">
        <v>703</v>
      </c>
      <c r="M627" s="28" t="n">
        <f aca="false">IFERROR(VLOOKUP((OFFSET(hoje12_326_ana9,626,10,1,1)&amp;"."&amp;OFFSET(hoje12_326_ana9,626,11,1,1)),'12.326'!A:D,4,0),"-")</f>
        <v>14071909000145</v>
      </c>
    </row>
    <row r="628" customFormat="false" ht="14.4" hidden="false" customHeight="false" outlineLevel="0" collapsed="false">
      <c r="A628" s="27" t="n">
        <v>11100826</v>
      </c>
      <c r="B628" s="27" t="s">
        <v>1968</v>
      </c>
      <c r="C628" s="43" t="n">
        <v>142.34</v>
      </c>
      <c r="D628" s="27" t="n">
        <v>15.82</v>
      </c>
      <c r="E628" s="27" t="n">
        <v>24</v>
      </c>
      <c r="F628" s="27" t="n">
        <v>6.59</v>
      </c>
      <c r="G628" s="27" t="s">
        <v>1875</v>
      </c>
      <c r="H628" s="27" t="s">
        <v>1895</v>
      </c>
      <c r="I628" s="27" t="s">
        <v>1876</v>
      </c>
      <c r="J628" s="27" t="s">
        <v>2195</v>
      </c>
      <c r="K628" s="27" t="n">
        <v>2424</v>
      </c>
      <c r="L628" s="27" t="n">
        <v>703</v>
      </c>
      <c r="M628" s="28" t="n">
        <f aca="false">IFERROR(VLOOKUP((OFFSET(hoje12_326_ana9,627,10,1,1)&amp;"."&amp;OFFSET(hoje12_326_ana9,627,11,1,1)),'12.326'!A:D,4,0),"-")</f>
        <v>14071909000145</v>
      </c>
    </row>
    <row r="629" customFormat="false" ht="14.4" hidden="false" customHeight="false" outlineLevel="0" collapsed="false">
      <c r="A629" s="27" t="n">
        <v>11100841</v>
      </c>
      <c r="B629" s="27" t="s">
        <v>1974</v>
      </c>
      <c r="C629" s="43" t="n">
        <v>81.76</v>
      </c>
      <c r="D629" s="27" t="n">
        <v>9.08</v>
      </c>
      <c r="E629" s="27" t="n">
        <v>12</v>
      </c>
      <c r="F629" s="27" t="n">
        <v>7.57</v>
      </c>
      <c r="G629" s="27" t="s">
        <v>1875</v>
      </c>
      <c r="H629" s="27" t="s">
        <v>1895</v>
      </c>
      <c r="I629" s="27" t="s">
        <v>1876</v>
      </c>
      <c r="J629" s="27" t="s">
        <v>1973</v>
      </c>
      <c r="K629" s="27" t="n">
        <v>2424</v>
      </c>
      <c r="L629" s="27" t="n">
        <v>703</v>
      </c>
      <c r="M629" s="28" t="n">
        <f aca="false">IFERROR(VLOOKUP((OFFSET(hoje12_326_ana9,628,10,1,1)&amp;"."&amp;OFFSET(hoje12_326_ana9,628,11,1,1)),'12.326'!A:D,4,0),"-")</f>
        <v>14071909000145</v>
      </c>
    </row>
    <row r="630" customFormat="false" ht="14.4" hidden="false" customHeight="false" outlineLevel="0" collapsed="false">
      <c r="A630" s="27" t="n">
        <v>11100827</v>
      </c>
      <c r="B630" s="27" t="s">
        <v>2196</v>
      </c>
      <c r="C630" s="43" t="n">
        <v>81.76</v>
      </c>
      <c r="D630" s="27" t="n">
        <v>9.08</v>
      </c>
      <c r="E630" s="27" t="n">
        <v>12</v>
      </c>
      <c r="F630" s="27" t="n">
        <v>7.57</v>
      </c>
      <c r="G630" s="27" t="s">
        <v>1875</v>
      </c>
      <c r="H630" s="27" t="s">
        <v>1895</v>
      </c>
      <c r="I630" s="27" t="s">
        <v>1876</v>
      </c>
      <c r="J630" s="27" t="s">
        <v>1973</v>
      </c>
      <c r="K630" s="27" t="n">
        <v>2424</v>
      </c>
      <c r="L630" s="27" t="n">
        <v>703</v>
      </c>
      <c r="M630" s="28" t="n">
        <f aca="false">IFERROR(VLOOKUP((OFFSET(hoje12_326_ana9,629,10,1,1)&amp;"."&amp;OFFSET(hoje12_326_ana9,629,11,1,1)),'12.326'!A:D,4,0),"-")</f>
        <v>14071909000145</v>
      </c>
    </row>
    <row r="631" customFormat="false" ht="14.4" hidden="false" customHeight="false" outlineLevel="0" collapsed="false">
      <c r="A631" s="27" t="n">
        <v>11100843</v>
      </c>
      <c r="B631" s="27" t="s">
        <v>1975</v>
      </c>
      <c r="C631" s="43" t="n">
        <v>122.63</v>
      </c>
      <c r="D631" s="27" t="n">
        <v>13.63</v>
      </c>
      <c r="E631" s="27" t="n">
        <v>18</v>
      </c>
      <c r="F631" s="27" t="n">
        <v>7.57</v>
      </c>
      <c r="G631" s="27" t="s">
        <v>1875</v>
      </c>
      <c r="H631" s="27" t="s">
        <v>1895</v>
      </c>
      <c r="I631" s="27" t="s">
        <v>1876</v>
      </c>
      <c r="J631" s="27" t="s">
        <v>1977</v>
      </c>
      <c r="K631" s="27" t="n">
        <v>2424</v>
      </c>
      <c r="L631" s="27" t="n">
        <v>703</v>
      </c>
      <c r="M631" s="28" t="n">
        <f aca="false">IFERROR(VLOOKUP((OFFSET(hoje12_326_ana9,630,10,1,1)&amp;"."&amp;OFFSET(hoje12_326_ana9,630,11,1,1)),'12.326'!A:D,4,0),"-")</f>
        <v>14071909000145</v>
      </c>
    </row>
    <row r="632" customFormat="false" ht="14.4" hidden="false" customHeight="false" outlineLevel="0" collapsed="false">
      <c r="A632" s="27" t="n">
        <v>11100271</v>
      </c>
      <c r="B632" s="27" t="s">
        <v>1934</v>
      </c>
      <c r="C632" s="43" t="n">
        <v>64.31</v>
      </c>
      <c r="D632" s="27" t="n">
        <v>7.15</v>
      </c>
      <c r="E632" s="27" t="n">
        <v>6</v>
      </c>
      <c r="F632" s="27" t="n">
        <v>11.91</v>
      </c>
      <c r="G632" s="27" t="s">
        <v>1875</v>
      </c>
      <c r="H632" s="27" t="s">
        <v>1895</v>
      </c>
      <c r="I632" s="27" t="s">
        <v>1876</v>
      </c>
      <c r="J632" s="27" t="s">
        <v>1935</v>
      </c>
      <c r="K632" s="27" t="n">
        <v>2424</v>
      </c>
      <c r="L632" s="27" t="n">
        <v>703</v>
      </c>
      <c r="M632" s="28" t="n">
        <f aca="false">IFERROR(VLOOKUP((OFFSET(hoje12_326_ana9,631,10,1,1)&amp;"."&amp;OFFSET(hoje12_326_ana9,631,11,1,1)),'12.326'!A:D,4,0),"-")</f>
        <v>14071909000145</v>
      </c>
    </row>
    <row r="633" customFormat="false" ht="14.4" hidden="false" customHeight="false" outlineLevel="0" collapsed="false">
      <c r="A633" s="27" t="n">
        <v>11100854</v>
      </c>
      <c r="B633" s="27" t="s">
        <v>1980</v>
      </c>
      <c r="C633" s="43" t="n">
        <v>69.5</v>
      </c>
      <c r="D633" s="27" t="n">
        <v>7.72</v>
      </c>
      <c r="E633" s="27" t="n">
        <v>6</v>
      </c>
      <c r="F633" s="27" t="n">
        <v>12.87</v>
      </c>
      <c r="G633" s="27" t="s">
        <v>1875</v>
      </c>
      <c r="H633" s="27" t="s">
        <v>1895</v>
      </c>
      <c r="I633" s="27" t="s">
        <v>1876</v>
      </c>
      <c r="J633" s="27" t="s">
        <v>1979</v>
      </c>
      <c r="K633" s="27" t="n">
        <v>2424</v>
      </c>
      <c r="L633" s="27" t="n">
        <v>703</v>
      </c>
      <c r="M633" s="28" t="n">
        <f aca="false">IFERROR(VLOOKUP((OFFSET(hoje12_326_ana9,632,10,1,1)&amp;"."&amp;OFFSET(hoje12_326_ana9,632,11,1,1)),'12.326'!A:D,4,0),"-")</f>
        <v>14071909000145</v>
      </c>
    </row>
    <row r="634" customFormat="false" ht="14.4" hidden="false" customHeight="false" outlineLevel="0" collapsed="false">
      <c r="A634" s="27" t="n">
        <v>11100865</v>
      </c>
      <c r="B634" s="27" t="s">
        <v>1982</v>
      </c>
      <c r="C634" s="43" t="n">
        <v>122.63</v>
      </c>
      <c r="D634" s="27" t="n">
        <v>13.63</v>
      </c>
      <c r="E634" s="27" t="n">
        <v>18</v>
      </c>
      <c r="F634" s="27" t="n">
        <v>7.57</v>
      </c>
      <c r="G634" s="27" t="s">
        <v>1875</v>
      </c>
      <c r="H634" s="27" t="s">
        <v>1895</v>
      </c>
      <c r="I634" s="27" t="s">
        <v>1876</v>
      </c>
      <c r="J634" s="27" t="s">
        <v>1977</v>
      </c>
      <c r="K634" s="27" t="n">
        <v>2424</v>
      </c>
      <c r="L634" s="27" t="n">
        <v>703</v>
      </c>
      <c r="M634" s="28" t="n">
        <f aca="false">IFERROR(VLOOKUP((OFFSET(hoje12_326_ana9,633,10,1,1)&amp;"."&amp;OFFSET(hoje12_326_ana9,633,11,1,1)),'12.326'!A:D,4,0),"-")</f>
        <v>14071909000145</v>
      </c>
    </row>
    <row r="635" customFormat="false" ht="14.4" hidden="false" customHeight="false" outlineLevel="0" collapsed="false">
      <c r="A635" s="27" t="n">
        <v>11100970</v>
      </c>
      <c r="B635" s="27" t="s">
        <v>2197</v>
      </c>
      <c r="C635" s="43" t="n">
        <v>62.42</v>
      </c>
      <c r="D635" s="27" t="n">
        <v>6.94</v>
      </c>
      <c r="E635" s="27" t="n">
        <v>6</v>
      </c>
      <c r="F635" s="27" t="n">
        <v>11.56</v>
      </c>
      <c r="G635" s="27" t="s">
        <v>1875</v>
      </c>
      <c r="H635" s="27" t="s">
        <v>1895</v>
      </c>
      <c r="I635" s="27" t="s">
        <v>1876</v>
      </c>
      <c r="J635" s="27" t="s">
        <v>2198</v>
      </c>
      <c r="K635" s="27" t="n">
        <v>2424</v>
      </c>
      <c r="L635" s="27" t="n">
        <v>703</v>
      </c>
      <c r="M635" s="28" t="n">
        <f aca="false">IFERROR(VLOOKUP((OFFSET(hoje12_326_ana9,634,10,1,1)&amp;"."&amp;OFFSET(hoje12_326_ana9,634,11,1,1)),'12.326'!A:D,4,0),"-")</f>
        <v>14071909000145</v>
      </c>
    </row>
    <row r="636" customFormat="false" ht="14.4" hidden="false" customHeight="false" outlineLevel="0" collapsed="false">
      <c r="A636" s="27" t="n">
        <v>11100824</v>
      </c>
      <c r="B636" s="27" t="s">
        <v>1967</v>
      </c>
      <c r="C636" s="43" t="n">
        <v>71.17</v>
      </c>
      <c r="D636" s="27" t="n">
        <v>7.91</v>
      </c>
      <c r="E636" s="27" t="n">
        <v>12</v>
      </c>
      <c r="F636" s="27" t="n">
        <v>6.59</v>
      </c>
      <c r="G636" s="27" t="s">
        <v>1875</v>
      </c>
      <c r="H636" s="27" t="s">
        <v>1895</v>
      </c>
      <c r="I636" s="27" t="s">
        <v>1876</v>
      </c>
      <c r="J636" s="27" t="s">
        <v>2199</v>
      </c>
      <c r="K636" s="27" t="n">
        <v>2424</v>
      </c>
      <c r="L636" s="27" t="n">
        <v>703</v>
      </c>
      <c r="M636" s="28" t="n">
        <f aca="false">IFERROR(VLOOKUP((OFFSET(hoje12_326_ana9,635,10,1,1)&amp;"."&amp;OFFSET(hoje12_326_ana9,635,11,1,1)),'12.326'!A:D,4,0),"-")</f>
        <v>14071909000145</v>
      </c>
    </row>
    <row r="637" customFormat="false" ht="14.4" hidden="false" customHeight="false" outlineLevel="0" collapsed="false">
      <c r="A637" s="27" t="n">
        <v>11100822</v>
      </c>
      <c r="B637" s="27" t="s">
        <v>1966</v>
      </c>
      <c r="C637" s="43" t="n">
        <v>142.34</v>
      </c>
      <c r="D637" s="27" t="n">
        <v>15.82</v>
      </c>
      <c r="E637" s="27" t="n">
        <v>24</v>
      </c>
      <c r="F637" s="27" t="n">
        <v>6.59</v>
      </c>
      <c r="G637" s="27" t="s">
        <v>1875</v>
      </c>
      <c r="H637" s="27" t="s">
        <v>1895</v>
      </c>
      <c r="I637" s="27" t="s">
        <v>1876</v>
      </c>
      <c r="J637" s="27" t="s">
        <v>2195</v>
      </c>
      <c r="K637" s="27" t="n">
        <v>2424</v>
      </c>
      <c r="L637" s="27" t="n">
        <v>703</v>
      </c>
      <c r="M637" s="28" t="n">
        <f aca="false">IFERROR(VLOOKUP((OFFSET(hoje12_326_ana9,636,10,1,1)&amp;"."&amp;OFFSET(hoje12_326_ana9,636,11,1,1)),'12.326'!A:D,4,0),"-")</f>
        <v>14071909000145</v>
      </c>
    </row>
    <row r="638" customFormat="false" ht="14.4" hidden="false" customHeight="false" outlineLevel="0" collapsed="false">
      <c r="A638" s="27" t="n">
        <v>11100989</v>
      </c>
      <c r="B638" s="27" t="s">
        <v>1904</v>
      </c>
      <c r="C638" s="43" t="n">
        <v>142.13</v>
      </c>
      <c r="D638" s="27" t="n">
        <v>15.79</v>
      </c>
      <c r="E638" s="27" t="n">
        <v>24</v>
      </c>
      <c r="F638" s="27" t="n">
        <v>6.58</v>
      </c>
      <c r="G638" s="27" t="s">
        <v>1875</v>
      </c>
      <c r="H638" s="27" t="s">
        <v>1895</v>
      </c>
      <c r="I638" s="27" t="s">
        <v>1876</v>
      </c>
      <c r="J638" s="27" t="s">
        <v>2200</v>
      </c>
      <c r="K638" s="27" t="n">
        <v>2424</v>
      </c>
      <c r="L638" s="27" t="n">
        <v>703</v>
      </c>
      <c r="M638" s="28" t="n">
        <f aca="false">IFERROR(VLOOKUP((OFFSET(hoje12_326_ana9,637,10,1,1)&amp;"."&amp;OFFSET(hoje12_326_ana9,637,11,1,1)),'12.326'!A:D,4,0),"-")</f>
        <v>14071909000145</v>
      </c>
    </row>
    <row r="639" customFormat="false" ht="14.4" hidden="false" customHeight="false" outlineLevel="0" collapsed="false">
      <c r="A639" s="27" t="n">
        <v>11100837</v>
      </c>
      <c r="B639" s="27" t="s">
        <v>1971</v>
      </c>
      <c r="C639" s="43" t="n">
        <v>64.53</v>
      </c>
      <c r="D639" s="27" t="n">
        <v>7.17</v>
      </c>
      <c r="E639" s="27" t="n">
        <v>6</v>
      </c>
      <c r="F639" s="27" t="n">
        <v>11.95</v>
      </c>
      <c r="G639" s="27" t="s">
        <v>1875</v>
      </c>
      <c r="H639" s="27" t="s">
        <v>1895</v>
      </c>
      <c r="I639" s="27" t="s">
        <v>1876</v>
      </c>
      <c r="J639" s="27" t="s">
        <v>2201</v>
      </c>
      <c r="K639" s="27" t="n">
        <v>2424</v>
      </c>
      <c r="L639" s="27" t="n">
        <v>703</v>
      </c>
      <c r="M639" s="28" t="n">
        <f aca="false">IFERROR(VLOOKUP((OFFSET(hoje12_326_ana9,638,10,1,1)&amp;"."&amp;OFFSET(hoje12_326_ana9,638,11,1,1)),'12.326'!A:D,4,0),"-")</f>
        <v>14071909000145</v>
      </c>
    </row>
    <row r="640" customFormat="false" ht="14.4" hidden="false" customHeight="false" outlineLevel="0" collapsed="false">
      <c r="A640" s="27" t="n">
        <v>11100846</v>
      </c>
      <c r="B640" s="27" t="s">
        <v>2202</v>
      </c>
      <c r="C640" s="43" t="n">
        <v>122.58</v>
      </c>
      <c r="D640" s="27" t="n">
        <v>13.62</v>
      </c>
      <c r="E640" s="27" t="n">
        <v>12</v>
      </c>
      <c r="F640" s="27" t="n">
        <v>11.35</v>
      </c>
      <c r="G640" s="27" t="s">
        <v>1875</v>
      </c>
      <c r="H640" s="27" t="s">
        <v>1895</v>
      </c>
      <c r="I640" s="27" t="s">
        <v>1876</v>
      </c>
      <c r="J640" s="27" t="s">
        <v>1977</v>
      </c>
      <c r="K640" s="27" t="n">
        <v>2424</v>
      </c>
      <c r="L640" s="27" t="n">
        <v>703</v>
      </c>
      <c r="M640" s="28" t="n">
        <f aca="false">IFERROR(VLOOKUP((OFFSET(hoje12_326_ana9,639,10,1,1)&amp;"."&amp;OFFSET(hoje12_326_ana9,639,11,1,1)),'12.326'!A:D,4,0),"-")</f>
        <v>14071909000145</v>
      </c>
    </row>
    <row r="641" customFormat="false" ht="14.4" hidden="false" customHeight="false" outlineLevel="0" collapsed="false">
      <c r="A641" s="27" t="n">
        <v>11100820</v>
      </c>
      <c r="B641" s="27" t="s">
        <v>1963</v>
      </c>
      <c r="C641" s="43" t="n">
        <v>142.34</v>
      </c>
      <c r="D641" s="27" t="n">
        <v>15.82</v>
      </c>
      <c r="E641" s="27" t="n">
        <v>24</v>
      </c>
      <c r="F641" s="27" t="n">
        <v>6.59</v>
      </c>
      <c r="G641" s="27" t="s">
        <v>1875</v>
      </c>
      <c r="H641" s="27" t="s">
        <v>1895</v>
      </c>
      <c r="I641" s="27" t="s">
        <v>1876</v>
      </c>
      <c r="J641" s="27" t="s">
        <v>2195</v>
      </c>
      <c r="K641" s="27" t="n">
        <v>2424</v>
      </c>
      <c r="L641" s="27" t="n">
        <v>703</v>
      </c>
      <c r="M641" s="28" t="n">
        <f aca="false">IFERROR(VLOOKUP((OFFSET(hoje12_326_ana9,640,10,1,1)&amp;"."&amp;OFFSET(hoje12_326_ana9,640,11,1,1)),'12.326'!A:D,4,0),"-")</f>
        <v>14071909000145</v>
      </c>
    </row>
    <row r="642" customFormat="false" ht="14.4" hidden="false" customHeight="false" outlineLevel="0" collapsed="false">
      <c r="A642" s="27" t="n">
        <v>11100817</v>
      </c>
      <c r="B642" s="27" t="s">
        <v>2003</v>
      </c>
      <c r="C642" s="43" t="n">
        <v>47.34</v>
      </c>
      <c r="D642" s="27" t="n">
        <v>5.26</v>
      </c>
      <c r="E642" s="27" t="n">
        <v>4</v>
      </c>
      <c r="F642" s="27" t="n">
        <v>13.15</v>
      </c>
      <c r="G642" s="27" t="s">
        <v>1875</v>
      </c>
      <c r="H642" s="27" t="s">
        <v>1895</v>
      </c>
      <c r="I642" s="27" t="s">
        <v>1876</v>
      </c>
      <c r="J642" s="27" t="s">
        <v>2203</v>
      </c>
      <c r="K642" s="27" t="n">
        <v>2424</v>
      </c>
      <c r="L642" s="27" t="n">
        <v>703</v>
      </c>
      <c r="M642" s="28" t="n">
        <f aca="false">IFERROR(VLOOKUP((OFFSET(hoje12_326_ana9,641,10,1,1)&amp;"."&amp;OFFSET(hoje12_326_ana9,641,11,1,1)),'12.326'!A:D,4,0),"-")</f>
        <v>14071909000145</v>
      </c>
    </row>
    <row r="643" customFormat="false" ht="14.4" hidden="false" customHeight="false" outlineLevel="0" collapsed="false">
      <c r="A643" s="27" t="n">
        <v>11100849</v>
      </c>
      <c r="B643" s="27" t="s">
        <v>1976</v>
      </c>
      <c r="C643" s="43" t="n">
        <v>122.58</v>
      </c>
      <c r="D643" s="27" t="n">
        <v>13.62</v>
      </c>
      <c r="E643" s="27" t="n">
        <v>12</v>
      </c>
      <c r="F643" s="27" t="n">
        <v>11.35</v>
      </c>
      <c r="G643" s="27" t="s">
        <v>1875</v>
      </c>
      <c r="H643" s="27" t="s">
        <v>1895</v>
      </c>
      <c r="I643" s="27" t="s">
        <v>1876</v>
      </c>
      <c r="J643" s="27" t="s">
        <v>1977</v>
      </c>
      <c r="K643" s="27" t="n">
        <v>2424</v>
      </c>
      <c r="L643" s="27" t="n">
        <v>703</v>
      </c>
      <c r="M643" s="28" t="n">
        <f aca="false">IFERROR(VLOOKUP((OFFSET(hoje12_326_ana9,642,10,1,1)&amp;"."&amp;OFFSET(hoje12_326_ana9,642,11,1,1)),'12.326'!A:D,4,0),"-")</f>
        <v>14071909000145</v>
      </c>
    </row>
    <row r="644" customFormat="false" ht="14.4" hidden="false" customHeight="false" outlineLevel="0" collapsed="false">
      <c r="A644" s="27" t="n">
        <v>11100988</v>
      </c>
      <c r="B644" s="27" t="s">
        <v>1894</v>
      </c>
      <c r="C644" s="43" t="n">
        <v>74.52</v>
      </c>
      <c r="D644" s="27" t="n">
        <v>8.28</v>
      </c>
      <c r="E644" s="27" t="n">
        <v>12</v>
      </c>
      <c r="F644" s="27" t="n">
        <v>6.9</v>
      </c>
      <c r="G644" s="27" t="s">
        <v>1875</v>
      </c>
      <c r="H644" s="27" t="s">
        <v>1895</v>
      </c>
      <c r="I644" s="27" t="s">
        <v>1876</v>
      </c>
      <c r="J644" s="27" t="s">
        <v>2204</v>
      </c>
      <c r="K644" s="27" t="n">
        <v>2424</v>
      </c>
      <c r="L644" s="27" t="n">
        <v>703</v>
      </c>
      <c r="M644" s="28" t="n">
        <f aca="false">IFERROR(VLOOKUP((OFFSET(hoje12_326_ana9,643,10,1,1)&amp;"."&amp;OFFSET(hoje12_326_ana9,643,11,1,1)),'12.326'!A:D,4,0),"-")</f>
        <v>14071909000145</v>
      </c>
    </row>
    <row r="645" customFormat="false" ht="14.4" hidden="false" customHeight="false" outlineLevel="0" collapsed="false">
      <c r="A645" s="27" t="n">
        <v>11100268</v>
      </c>
      <c r="B645" s="27" t="s">
        <v>2205</v>
      </c>
      <c r="C645" s="43" t="n">
        <v>64.31</v>
      </c>
      <c r="D645" s="27" t="n">
        <v>7.15</v>
      </c>
      <c r="E645" s="27" t="n">
        <v>6</v>
      </c>
      <c r="F645" s="27" t="n">
        <v>11.91</v>
      </c>
      <c r="G645" s="27" t="s">
        <v>1875</v>
      </c>
      <c r="H645" s="27" t="s">
        <v>1895</v>
      </c>
      <c r="I645" s="27" t="s">
        <v>1876</v>
      </c>
      <c r="J645" s="27" t="s">
        <v>1935</v>
      </c>
      <c r="K645" s="27" t="n">
        <v>2424</v>
      </c>
      <c r="L645" s="27" t="n">
        <v>703</v>
      </c>
      <c r="M645" s="28" t="n">
        <f aca="false">IFERROR(VLOOKUP((OFFSET(hoje12_326_ana9,644,10,1,1)&amp;"."&amp;OFFSET(hoje12_326_ana9,644,11,1,1)),'12.326'!A:D,4,0),"-")</f>
        <v>14071909000145</v>
      </c>
    </row>
    <row r="646" customFormat="false" ht="14.4" hidden="false" customHeight="false" outlineLevel="0" collapsed="false">
      <c r="A646" s="27" t="n">
        <v>11100836</v>
      </c>
      <c r="B646" s="27" t="s">
        <v>2069</v>
      </c>
      <c r="C646" s="43" t="n">
        <v>81.76</v>
      </c>
      <c r="D646" s="27" t="n">
        <v>9.08</v>
      </c>
      <c r="E646" s="27" t="n">
        <v>12</v>
      </c>
      <c r="F646" s="27" t="n">
        <v>7.57</v>
      </c>
      <c r="G646" s="27" t="s">
        <v>1875</v>
      </c>
      <c r="H646" s="27" t="s">
        <v>1895</v>
      </c>
      <c r="I646" s="27" t="s">
        <v>1876</v>
      </c>
      <c r="J646" s="27" t="s">
        <v>1973</v>
      </c>
      <c r="K646" s="27" t="n">
        <v>2424</v>
      </c>
      <c r="L646" s="27" t="n">
        <v>703</v>
      </c>
      <c r="M646" s="28" t="n">
        <f aca="false">IFERROR(VLOOKUP((OFFSET(hoje12_326_ana9,645,10,1,1)&amp;"."&amp;OFFSET(hoje12_326_ana9,645,11,1,1)),'12.326'!A:D,4,0),"-")</f>
        <v>14071909000145</v>
      </c>
    </row>
    <row r="647" customFormat="false" ht="14.4" hidden="false" customHeight="false" outlineLevel="0" collapsed="false">
      <c r="A647" s="27" t="n">
        <v>11100010</v>
      </c>
      <c r="B647" s="27" t="s">
        <v>2206</v>
      </c>
      <c r="C647" s="43" t="n">
        <v>177.12</v>
      </c>
      <c r="D647" s="27" t="n">
        <v>0</v>
      </c>
      <c r="E647" s="27" t="n">
        <v>24</v>
      </c>
      <c r="F647" s="27" t="n">
        <v>7.38</v>
      </c>
      <c r="G647" s="27" t="s">
        <v>1875</v>
      </c>
      <c r="H647" s="27" t="s">
        <v>68</v>
      </c>
      <c r="I647" s="27" t="s">
        <v>1876</v>
      </c>
      <c r="J647" s="27" t="s">
        <v>1877</v>
      </c>
      <c r="K647" s="27" t="n">
        <v>2424</v>
      </c>
      <c r="L647" s="27" t="n">
        <v>703</v>
      </c>
      <c r="M647" s="28" t="n">
        <f aca="false">IFERROR(VLOOKUP((OFFSET(hoje12_326_ana9,646,10,1,1)&amp;"."&amp;OFFSET(hoje12_326_ana9,646,11,1,1)),'12.326'!A:D,4,0),"-")</f>
        <v>14071909000145</v>
      </c>
    </row>
    <row r="648" customFormat="false" ht="14.4" hidden="false" customHeight="false" outlineLevel="0" collapsed="false">
      <c r="A648" s="27" t="n">
        <v>11100065</v>
      </c>
      <c r="B648" s="27" t="s">
        <v>2207</v>
      </c>
      <c r="C648" s="43" t="n">
        <v>505.44</v>
      </c>
      <c r="D648" s="27" t="n">
        <v>0</v>
      </c>
      <c r="E648" s="27" t="n">
        <v>48</v>
      </c>
      <c r="F648" s="27" t="n">
        <v>10.53</v>
      </c>
      <c r="G648" s="27" t="s">
        <v>1875</v>
      </c>
      <c r="H648" s="27" t="s">
        <v>68</v>
      </c>
      <c r="I648" s="27" t="s">
        <v>1876</v>
      </c>
      <c r="J648" s="27" t="s">
        <v>1877</v>
      </c>
      <c r="K648" s="27" t="n">
        <v>2424</v>
      </c>
      <c r="L648" s="27" t="n">
        <v>703</v>
      </c>
      <c r="M648" s="28" t="n">
        <f aca="false">IFERROR(VLOOKUP((OFFSET(hoje12_326_ana9,647,10,1,1)&amp;"."&amp;OFFSET(hoje12_326_ana9,647,11,1,1)),'12.326'!A:D,4,0),"-")</f>
        <v>14071909000145</v>
      </c>
    </row>
    <row r="649" customFormat="false" ht="14.4" hidden="false" customHeight="false" outlineLevel="0" collapsed="false">
      <c r="A649" s="27" t="n">
        <v>11100066</v>
      </c>
      <c r="B649" s="27" t="s">
        <v>2111</v>
      </c>
      <c r="C649" s="43" t="n">
        <v>301.3</v>
      </c>
      <c r="D649" s="27" t="n">
        <v>53.18</v>
      </c>
      <c r="E649" s="27" t="n">
        <v>24</v>
      </c>
      <c r="F649" s="27" t="n">
        <v>14.77</v>
      </c>
      <c r="G649" s="27" t="s">
        <v>1875</v>
      </c>
      <c r="H649" s="27" t="s">
        <v>1892</v>
      </c>
      <c r="I649" s="27" t="s">
        <v>1876</v>
      </c>
      <c r="J649" s="27" t="s">
        <v>2143</v>
      </c>
      <c r="K649" s="27" t="n">
        <v>2424</v>
      </c>
      <c r="L649" s="27" t="n">
        <v>703</v>
      </c>
      <c r="M649" s="28" t="n">
        <f aca="false">IFERROR(VLOOKUP((OFFSET(hoje12_326_ana9,648,10,1,1)&amp;"."&amp;OFFSET(hoje12_326_ana9,648,11,1,1)),'12.326'!A:D,4,0),"-")</f>
        <v>14071909000145</v>
      </c>
    </row>
    <row r="650" customFormat="false" ht="14.4" hidden="false" customHeight="false" outlineLevel="0" collapsed="false">
      <c r="A650" s="27" t="n">
        <v>11100070</v>
      </c>
      <c r="B650" s="27" t="s">
        <v>2208</v>
      </c>
      <c r="C650" s="43" t="n">
        <v>252.72</v>
      </c>
      <c r="D650" s="27" t="n">
        <v>0</v>
      </c>
      <c r="E650" s="27" t="n">
        <v>24</v>
      </c>
      <c r="F650" s="27" t="n">
        <v>10.53</v>
      </c>
      <c r="G650" s="27" t="s">
        <v>1875</v>
      </c>
      <c r="H650" s="27" t="s">
        <v>68</v>
      </c>
      <c r="I650" s="27" t="s">
        <v>1876</v>
      </c>
      <c r="J650" s="27" t="s">
        <v>1877</v>
      </c>
      <c r="K650" s="27" t="n">
        <v>2424</v>
      </c>
      <c r="L650" s="27" t="n">
        <v>703</v>
      </c>
      <c r="M650" s="28" t="n">
        <f aca="false">IFERROR(VLOOKUP((OFFSET(hoje12_326_ana9,649,10,1,1)&amp;"."&amp;OFFSET(hoje12_326_ana9,649,11,1,1)),'12.326'!A:D,4,0),"-")</f>
        <v>14071909000145</v>
      </c>
    </row>
    <row r="651" customFormat="false" ht="14.4" hidden="false" customHeight="false" outlineLevel="0" collapsed="false">
      <c r="A651" s="27" t="n">
        <v>11100091</v>
      </c>
      <c r="B651" s="27" t="s">
        <v>1910</v>
      </c>
      <c r="C651" s="43" t="n">
        <v>649.15</v>
      </c>
      <c r="D651" s="27" t="n">
        <v>13.25</v>
      </c>
      <c r="E651" s="27" t="n">
        <v>144</v>
      </c>
      <c r="F651" s="27" t="n">
        <v>4.6</v>
      </c>
      <c r="G651" s="27" t="s">
        <v>1875</v>
      </c>
      <c r="H651" s="27" t="s">
        <v>2011</v>
      </c>
      <c r="I651" s="27" t="s">
        <v>1876</v>
      </c>
      <c r="J651" s="27" t="s">
        <v>2057</v>
      </c>
      <c r="K651" s="27" t="n">
        <v>2424</v>
      </c>
      <c r="L651" s="27" t="n">
        <v>703</v>
      </c>
      <c r="M651" s="28" t="n">
        <f aca="false">IFERROR(VLOOKUP((OFFSET(hoje12_326_ana9,650,10,1,1)&amp;"."&amp;OFFSET(hoje12_326_ana9,650,11,1,1)),'12.326'!A:D,4,0),"-")</f>
        <v>14071909000145</v>
      </c>
    </row>
    <row r="652" customFormat="false" ht="14.4" hidden="false" customHeight="false" outlineLevel="0" collapsed="false">
      <c r="A652" s="27" t="n">
        <v>11100093</v>
      </c>
      <c r="B652" s="27" t="s">
        <v>1911</v>
      </c>
      <c r="C652" s="43" t="n">
        <v>1629.94</v>
      </c>
      <c r="D652" s="27" t="n">
        <v>33.26</v>
      </c>
      <c r="E652" s="27" t="n">
        <v>216</v>
      </c>
      <c r="F652" s="27" t="n">
        <v>7.7</v>
      </c>
      <c r="G652" s="27" t="s">
        <v>1875</v>
      </c>
      <c r="H652" s="27" t="s">
        <v>2011</v>
      </c>
      <c r="I652" s="27" t="s">
        <v>1876</v>
      </c>
      <c r="J652" s="27" t="s">
        <v>2209</v>
      </c>
      <c r="K652" s="27" t="n">
        <v>2424</v>
      </c>
      <c r="L652" s="27" t="n">
        <v>703</v>
      </c>
      <c r="M652" s="28" t="n">
        <f aca="false">IFERROR(VLOOKUP((OFFSET(hoje12_326_ana9,651,10,1,1)&amp;"."&amp;OFFSET(hoje12_326_ana9,651,11,1,1)),'12.326'!A:D,4,0),"-")</f>
        <v>14071909000145</v>
      </c>
    </row>
    <row r="653" customFormat="false" ht="14.4" hidden="false" customHeight="false" outlineLevel="0" collapsed="false">
      <c r="A653" s="27" t="n">
        <v>11100097</v>
      </c>
      <c r="B653" s="27" t="s">
        <v>1912</v>
      </c>
      <c r="C653" s="43" t="n">
        <v>492.05</v>
      </c>
      <c r="D653" s="27" t="n">
        <v>10.03</v>
      </c>
      <c r="E653" s="27" t="n">
        <v>48</v>
      </c>
      <c r="F653" s="27" t="n">
        <v>10.46</v>
      </c>
      <c r="G653" s="27" t="s">
        <v>1875</v>
      </c>
      <c r="H653" s="27" t="s">
        <v>2011</v>
      </c>
      <c r="I653" s="27" t="s">
        <v>1876</v>
      </c>
      <c r="J653" s="27" t="s">
        <v>2210</v>
      </c>
      <c r="K653" s="27" t="n">
        <v>2424</v>
      </c>
      <c r="L653" s="27" t="n">
        <v>703</v>
      </c>
      <c r="M653" s="28" t="n">
        <f aca="false">IFERROR(VLOOKUP((OFFSET(hoje12_326_ana9,652,10,1,1)&amp;"."&amp;OFFSET(hoje12_326_ana9,652,11,1,1)),'12.326'!A:D,4,0),"-")</f>
        <v>14071909000145</v>
      </c>
    </row>
    <row r="654" customFormat="false" ht="14.4" hidden="false" customHeight="false" outlineLevel="0" collapsed="false">
      <c r="A654" s="27" t="n">
        <v>11100117</v>
      </c>
      <c r="B654" s="27" t="s">
        <v>2048</v>
      </c>
      <c r="C654" s="43" t="n">
        <v>346.92</v>
      </c>
      <c r="D654" s="27" t="n">
        <v>7.08</v>
      </c>
      <c r="E654" s="27" t="n">
        <v>24</v>
      </c>
      <c r="F654" s="27" t="n">
        <v>14.75</v>
      </c>
      <c r="G654" s="27" t="s">
        <v>1875</v>
      </c>
      <c r="H654" s="27" t="s">
        <v>2011</v>
      </c>
      <c r="I654" s="27" t="s">
        <v>1876</v>
      </c>
      <c r="J654" s="27" t="s">
        <v>2211</v>
      </c>
      <c r="K654" s="27" t="n">
        <v>2424</v>
      </c>
      <c r="L654" s="27" t="n">
        <v>703</v>
      </c>
      <c r="M654" s="28" t="n">
        <f aca="false">IFERROR(VLOOKUP((OFFSET(hoje12_326_ana9,653,10,1,1)&amp;"."&amp;OFFSET(hoje12_326_ana9,653,11,1,1)),'12.326'!A:D,4,0),"-")</f>
        <v>14071909000145</v>
      </c>
    </row>
    <row r="655" customFormat="false" ht="14.4" hidden="false" customHeight="false" outlineLevel="0" collapsed="false">
      <c r="A655" s="27" t="n">
        <v>11100120</v>
      </c>
      <c r="B655" s="27" t="s">
        <v>2212</v>
      </c>
      <c r="C655" s="43" t="n">
        <v>332.16</v>
      </c>
      <c r="D655" s="27" t="n">
        <v>0</v>
      </c>
      <c r="E655" s="27" t="n">
        <v>24</v>
      </c>
      <c r="F655" s="27" t="n">
        <v>13.84</v>
      </c>
      <c r="G655" s="27" t="s">
        <v>1875</v>
      </c>
      <c r="H655" s="27" t="s">
        <v>68</v>
      </c>
      <c r="I655" s="27" t="s">
        <v>1876</v>
      </c>
      <c r="J655" s="27" t="s">
        <v>1877</v>
      </c>
      <c r="K655" s="27" t="n">
        <v>2424</v>
      </c>
      <c r="L655" s="27" t="n">
        <v>703</v>
      </c>
      <c r="M655" s="28" t="n">
        <f aca="false">IFERROR(VLOOKUP((OFFSET(hoje12_326_ana9,654,10,1,1)&amp;"."&amp;OFFSET(hoje12_326_ana9,654,11,1,1)),'12.326'!A:D,4,0),"-")</f>
        <v>14071909000145</v>
      </c>
    </row>
    <row r="656" customFormat="false" ht="14.4" hidden="false" customHeight="false" outlineLevel="0" collapsed="false">
      <c r="A656" s="27" t="n">
        <v>11100121</v>
      </c>
      <c r="B656" s="27" t="s">
        <v>2213</v>
      </c>
      <c r="C656" s="43" t="n">
        <v>416.06</v>
      </c>
      <c r="D656" s="27" t="n">
        <v>8.5</v>
      </c>
      <c r="E656" s="27" t="n">
        <v>24</v>
      </c>
      <c r="F656" s="27" t="n">
        <v>17.69</v>
      </c>
      <c r="G656" s="27" t="s">
        <v>1875</v>
      </c>
      <c r="H656" s="27" t="s">
        <v>2011</v>
      </c>
      <c r="I656" s="27" t="s">
        <v>1876</v>
      </c>
      <c r="J656" s="27" t="s">
        <v>2214</v>
      </c>
      <c r="K656" s="27" t="n">
        <v>2424</v>
      </c>
      <c r="L656" s="27" t="n">
        <v>703</v>
      </c>
      <c r="M656" s="28" t="n">
        <f aca="false">IFERROR(VLOOKUP((OFFSET(hoje12_326_ana9,655,10,1,1)&amp;"."&amp;OFFSET(hoje12_326_ana9,655,11,1,1)),'12.326'!A:D,4,0),"-")</f>
        <v>14071909000145</v>
      </c>
    </row>
    <row r="657" customFormat="false" ht="14.4" hidden="false" customHeight="false" outlineLevel="0" collapsed="false">
      <c r="A657" s="27" t="n">
        <v>11100138</v>
      </c>
      <c r="B657" s="27" t="s">
        <v>2035</v>
      </c>
      <c r="C657" s="43" t="n">
        <v>1704.02</v>
      </c>
      <c r="D657" s="27" t="n">
        <v>34.78</v>
      </c>
      <c r="E657" s="27" t="n">
        <v>216</v>
      </c>
      <c r="F657" s="27" t="n">
        <v>8.05</v>
      </c>
      <c r="G657" s="27" t="s">
        <v>1875</v>
      </c>
      <c r="H657" s="27" t="s">
        <v>2011</v>
      </c>
      <c r="I657" s="27" t="s">
        <v>1876</v>
      </c>
      <c r="J657" s="27" t="s">
        <v>2215</v>
      </c>
      <c r="K657" s="27" t="n">
        <v>2424</v>
      </c>
      <c r="L657" s="27" t="n">
        <v>703</v>
      </c>
      <c r="M657" s="28" t="n">
        <f aca="false">IFERROR(VLOOKUP((OFFSET(hoje12_326_ana9,656,10,1,1)&amp;"."&amp;OFFSET(hoje12_326_ana9,656,11,1,1)),'12.326'!A:D,4,0),"-")</f>
        <v>14071909000145</v>
      </c>
    </row>
    <row r="658" customFormat="false" ht="14.4" hidden="false" customHeight="false" outlineLevel="0" collapsed="false">
      <c r="A658" s="27" t="n">
        <v>11100150</v>
      </c>
      <c r="B658" s="27" t="s">
        <v>2216</v>
      </c>
      <c r="C658" s="43" t="n">
        <v>717.44</v>
      </c>
      <c r="D658" s="27" t="n">
        <v>0</v>
      </c>
      <c r="E658" s="27" t="n">
        <v>32</v>
      </c>
      <c r="F658" s="27" t="n">
        <v>22.42</v>
      </c>
      <c r="G658" s="27" t="s">
        <v>1875</v>
      </c>
      <c r="H658" s="27" t="s">
        <v>68</v>
      </c>
      <c r="I658" s="27" t="s">
        <v>1876</v>
      </c>
      <c r="J658" s="27" t="s">
        <v>1877</v>
      </c>
      <c r="K658" s="27" t="n">
        <v>2424</v>
      </c>
      <c r="L658" s="27" t="n">
        <v>703</v>
      </c>
      <c r="M658" s="28" t="n">
        <f aca="false">IFERROR(VLOOKUP((OFFSET(hoje12_326_ana9,657,10,1,1)&amp;"."&amp;OFFSET(hoje12_326_ana9,657,11,1,1)),'12.326'!A:D,4,0),"-")</f>
        <v>14071909000145</v>
      </c>
    </row>
    <row r="659" customFormat="false" ht="14.4" hidden="false" customHeight="false" outlineLevel="0" collapsed="false">
      <c r="A659" s="27" t="n">
        <v>11100176</v>
      </c>
      <c r="B659" s="27" t="s">
        <v>2217</v>
      </c>
      <c r="C659" s="43" t="n">
        <v>538.08</v>
      </c>
      <c r="D659" s="27" t="n">
        <v>0</v>
      </c>
      <c r="E659" s="27" t="n">
        <v>24</v>
      </c>
      <c r="F659" s="27" t="n">
        <v>22.42</v>
      </c>
      <c r="G659" s="27" t="s">
        <v>1875</v>
      </c>
      <c r="H659" s="27" t="s">
        <v>68</v>
      </c>
      <c r="I659" s="27" t="s">
        <v>1876</v>
      </c>
      <c r="J659" s="27" t="s">
        <v>1877</v>
      </c>
      <c r="K659" s="27" t="n">
        <v>2424</v>
      </c>
      <c r="L659" s="27" t="n">
        <v>703</v>
      </c>
      <c r="M659" s="28" t="n">
        <f aca="false">IFERROR(VLOOKUP((OFFSET(hoje12_326_ana9,658,10,1,1)&amp;"."&amp;OFFSET(hoje12_326_ana9,658,11,1,1)),'12.326'!A:D,4,0),"-")</f>
        <v>14071909000145</v>
      </c>
    </row>
    <row r="660" customFormat="false" ht="14.4" hidden="false" customHeight="false" outlineLevel="0" collapsed="false">
      <c r="A660" s="27" t="n">
        <v>11100205</v>
      </c>
      <c r="B660" s="27" t="s">
        <v>1921</v>
      </c>
      <c r="C660" s="43" t="n">
        <v>428.98</v>
      </c>
      <c r="D660" s="27" t="n">
        <v>8.78</v>
      </c>
      <c r="E660" s="27" t="n">
        <v>72</v>
      </c>
      <c r="F660" s="27" t="n">
        <v>6.08</v>
      </c>
      <c r="G660" s="27" t="s">
        <v>1875</v>
      </c>
      <c r="H660" s="27" t="s">
        <v>2011</v>
      </c>
      <c r="I660" s="27" t="s">
        <v>1876</v>
      </c>
      <c r="J660" s="27" t="s">
        <v>2218</v>
      </c>
      <c r="K660" s="27" t="n">
        <v>2424</v>
      </c>
      <c r="L660" s="27" t="n">
        <v>703</v>
      </c>
      <c r="M660" s="28" t="n">
        <f aca="false">IFERROR(VLOOKUP((OFFSET(hoje12_326_ana9,659,10,1,1)&amp;"."&amp;OFFSET(hoje12_326_ana9,659,11,1,1)),'12.326'!A:D,4,0),"-")</f>
        <v>14071909000145</v>
      </c>
    </row>
    <row r="661" customFormat="false" ht="14.4" hidden="false" customHeight="false" outlineLevel="0" collapsed="false">
      <c r="A661" s="27" t="n">
        <v>11100214</v>
      </c>
      <c r="B661" s="27" t="s">
        <v>1922</v>
      </c>
      <c r="C661" s="43" t="n">
        <v>537.7</v>
      </c>
      <c r="D661" s="27" t="n">
        <v>10.94</v>
      </c>
      <c r="E661" s="27" t="n">
        <v>144</v>
      </c>
      <c r="F661" s="27" t="n">
        <v>3.81</v>
      </c>
      <c r="G661" s="27" t="s">
        <v>1875</v>
      </c>
      <c r="H661" s="27" t="s">
        <v>2011</v>
      </c>
      <c r="I661" s="27" t="s">
        <v>1876</v>
      </c>
      <c r="J661" s="27" t="s">
        <v>2219</v>
      </c>
      <c r="K661" s="27" t="n">
        <v>2424</v>
      </c>
      <c r="L661" s="27" t="n">
        <v>703</v>
      </c>
      <c r="M661" s="28" t="n">
        <f aca="false">IFERROR(VLOOKUP((OFFSET(hoje12_326_ana9,660,10,1,1)&amp;"."&amp;OFFSET(hoje12_326_ana9,660,11,1,1)),'12.326'!A:D,4,0),"-")</f>
        <v>14071909000145</v>
      </c>
    </row>
    <row r="662" customFormat="false" ht="14.4" hidden="false" customHeight="false" outlineLevel="0" collapsed="false">
      <c r="A662" s="27" t="n">
        <v>11100216</v>
      </c>
      <c r="B662" s="27" t="s">
        <v>1923</v>
      </c>
      <c r="C662" s="43" t="n">
        <v>672.05</v>
      </c>
      <c r="D662" s="27" t="n">
        <v>118.51</v>
      </c>
      <c r="E662" s="27" t="n">
        <v>144</v>
      </c>
      <c r="F662" s="27" t="n">
        <v>5.49</v>
      </c>
      <c r="G662" s="27" t="s">
        <v>1875</v>
      </c>
      <c r="H662" s="27" t="s">
        <v>1892</v>
      </c>
      <c r="I662" s="27" t="s">
        <v>1876</v>
      </c>
      <c r="J662" s="27" t="s">
        <v>2220</v>
      </c>
      <c r="K662" s="27" t="n">
        <v>2424</v>
      </c>
      <c r="L662" s="27" t="n">
        <v>703</v>
      </c>
      <c r="M662" s="28" t="n">
        <f aca="false">IFERROR(VLOOKUP((OFFSET(hoje12_326_ana9,661,10,1,1)&amp;"."&amp;OFFSET(hoje12_326_ana9,661,11,1,1)),'12.326'!A:D,4,0),"-")</f>
        <v>14071909000145</v>
      </c>
    </row>
    <row r="663" customFormat="false" ht="14.4" hidden="false" customHeight="false" outlineLevel="0" collapsed="false">
      <c r="A663" s="27" t="n">
        <v>11100239</v>
      </c>
      <c r="B663" s="27" t="s">
        <v>1924</v>
      </c>
      <c r="C663" s="43" t="n">
        <v>636.48</v>
      </c>
      <c r="D663" s="27" t="n">
        <v>12.96</v>
      </c>
      <c r="E663" s="27" t="n">
        <v>144</v>
      </c>
      <c r="F663" s="27" t="n">
        <v>4.51</v>
      </c>
      <c r="G663" s="27" t="s">
        <v>1875</v>
      </c>
      <c r="H663" s="27" t="s">
        <v>2011</v>
      </c>
      <c r="I663" s="27" t="s">
        <v>1876</v>
      </c>
      <c r="J663" s="27" t="s">
        <v>2221</v>
      </c>
      <c r="K663" s="27" t="n">
        <v>2424</v>
      </c>
      <c r="L663" s="27" t="n">
        <v>703</v>
      </c>
      <c r="M663" s="28" t="n">
        <f aca="false">IFERROR(VLOOKUP((OFFSET(hoje12_326_ana9,662,10,1,1)&amp;"."&amp;OFFSET(hoje12_326_ana9,662,11,1,1)),'12.326'!A:D,4,0),"-")</f>
        <v>14071909000145</v>
      </c>
    </row>
    <row r="664" customFormat="false" ht="14.4" hidden="false" customHeight="false" outlineLevel="0" collapsed="false">
      <c r="A664" s="27" t="n">
        <v>11100324</v>
      </c>
      <c r="B664" s="27" t="s">
        <v>1939</v>
      </c>
      <c r="C664" s="43" t="n">
        <v>185.34</v>
      </c>
      <c r="D664" s="27" t="n">
        <v>3.78</v>
      </c>
      <c r="E664" s="27" t="n">
        <v>12</v>
      </c>
      <c r="F664" s="27" t="n">
        <v>15.76</v>
      </c>
      <c r="G664" s="27" t="s">
        <v>1875</v>
      </c>
      <c r="H664" s="27" t="s">
        <v>2011</v>
      </c>
      <c r="I664" s="27" t="s">
        <v>1876</v>
      </c>
      <c r="J664" s="27" t="s">
        <v>2110</v>
      </c>
      <c r="K664" s="27" t="n">
        <v>2424</v>
      </c>
      <c r="L664" s="27" t="n">
        <v>703</v>
      </c>
      <c r="M664" s="28" t="n">
        <f aca="false">IFERROR(VLOOKUP((OFFSET(hoje12_326_ana9,663,10,1,1)&amp;"."&amp;OFFSET(hoje12_326_ana9,663,11,1,1)),'12.326'!A:D,4,0),"-")</f>
        <v>14071909000145</v>
      </c>
    </row>
    <row r="665" customFormat="false" ht="14.4" hidden="false" customHeight="false" outlineLevel="0" collapsed="false">
      <c r="A665" s="27" t="n">
        <v>11100337</v>
      </c>
      <c r="B665" s="27" t="s">
        <v>1940</v>
      </c>
      <c r="C665" s="43" t="n">
        <v>85.67</v>
      </c>
      <c r="D665" s="27" t="n">
        <v>1.75</v>
      </c>
      <c r="E665" s="27" t="n">
        <v>6</v>
      </c>
      <c r="F665" s="27" t="n">
        <v>14.57</v>
      </c>
      <c r="G665" s="27" t="s">
        <v>1875</v>
      </c>
      <c r="H665" s="27" t="s">
        <v>2011</v>
      </c>
      <c r="I665" s="27" t="s">
        <v>1876</v>
      </c>
      <c r="J665" s="27" t="s">
        <v>2084</v>
      </c>
      <c r="K665" s="27" t="n">
        <v>2424</v>
      </c>
      <c r="L665" s="27" t="n">
        <v>703</v>
      </c>
      <c r="M665" s="28" t="n">
        <f aca="false">IFERROR(VLOOKUP((OFFSET(hoje12_326_ana9,664,10,1,1)&amp;"."&amp;OFFSET(hoje12_326_ana9,664,11,1,1)),'12.326'!A:D,4,0),"-")</f>
        <v>14071909000145</v>
      </c>
    </row>
    <row r="666" customFormat="false" ht="14.4" hidden="false" customHeight="false" outlineLevel="0" collapsed="false">
      <c r="A666" s="27" t="n">
        <v>11100351</v>
      </c>
      <c r="B666" s="27" t="s">
        <v>2222</v>
      </c>
      <c r="C666" s="43" t="n">
        <v>132.48</v>
      </c>
      <c r="D666" s="27" t="n">
        <v>0</v>
      </c>
      <c r="E666" s="27" t="n">
        <v>12</v>
      </c>
      <c r="F666" s="27" t="n">
        <v>11.04</v>
      </c>
      <c r="G666" s="27" t="s">
        <v>1875</v>
      </c>
      <c r="H666" s="27" t="s">
        <v>68</v>
      </c>
      <c r="I666" s="27" t="s">
        <v>1876</v>
      </c>
      <c r="J666" s="27" t="s">
        <v>1877</v>
      </c>
      <c r="K666" s="27" t="n">
        <v>2424</v>
      </c>
      <c r="L666" s="27" t="n">
        <v>703</v>
      </c>
      <c r="M666" s="28" t="n">
        <f aca="false">IFERROR(VLOOKUP((OFFSET(hoje12_326_ana9,665,10,1,1)&amp;"."&amp;OFFSET(hoje12_326_ana9,665,11,1,1)),'12.326'!A:D,4,0),"-")</f>
        <v>14071909000145</v>
      </c>
    </row>
    <row r="667" customFormat="false" ht="14.4" hidden="false" customHeight="false" outlineLevel="0" collapsed="false">
      <c r="A667" s="27" t="n">
        <v>11100373</v>
      </c>
      <c r="B667" s="27" t="s">
        <v>2127</v>
      </c>
      <c r="C667" s="43" t="n">
        <v>34.27</v>
      </c>
      <c r="D667" s="27" t="n">
        <v>6.05</v>
      </c>
      <c r="E667" s="27" t="n">
        <v>12</v>
      </c>
      <c r="F667" s="27" t="n">
        <v>3.36</v>
      </c>
      <c r="G667" s="27" t="s">
        <v>1875</v>
      </c>
      <c r="H667" s="27" t="s">
        <v>1892</v>
      </c>
      <c r="I667" s="27" t="s">
        <v>1876</v>
      </c>
      <c r="J667" s="27" t="s">
        <v>2128</v>
      </c>
      <c r="K667" s="27" t="n">
        <v>2424</v>
      </c>
      <c r="L667" s="27" t="n">
        <v>703</v>
      </c>
      <c r="M667" s="28" t="n">
        <f aca="false">IFERROR(VLOOKUP((OFFSET(hoje12_326_ana9,666,10,1,1)&amp;"."&amp;OFFSET(hoje12_326_ana9,666,11,1,1)),'12.326'!A:D,4,0),"-")</f>
        <v>14071909000145</v>
      </c>
    </row>
    <row r="668" customFormat="false" ht="14.4" hidden="false" customHeight="false" outlineLevel="0" collapsed="false">
      <c r="A668" s="27" t="n">
        <v>11100377</v>
      </c>
      <c r="B668" s="27" t="s">
        <v>1944</v>
      </c>
      <c r="C668" s="43" t="n">
        <v>132.48</v>
      </c>
      <c r="D668" s="27" t="n">
        <v>0</v>
      </c>
      <c r="E668" s="27" t="n">
        <v>12</v>
      </c>
      <c r="F668" s="27" t="n">
        <v>11.04</v>
      </c>
      <c r="G668" s="27" t="s">
        <v>1875</v>
      </c>
      <c r="H668" s="27" t="s">
        <v>68</v>
      </c>
      <c r="I668" s="27" t="s">
        <v>1876</v>
      </c>
      <c r="J668" s="27" t="s">
        <v>1877</v>
      </c>
      <c r="K668" s="27" t="n">
        <v>2424</v>
      </c>
      <c r="L668" s="27" t="n">
        <v>703</v>
      </c>
      <c r="M668" s="28" t="n">
        <f aca="false">IFERROR(VLOOKUP((OFFSET(hoje12_326_ana9,667,10,1,1)&amp;"."&amp;OFFSET(hoje12_326_ana9,667,11,1,1)),'12.326'!A:D,4,0),"-")</f>
        <v>14071909000145</v>
      </c>
    </row>
    <row r="669" customFormat="false" ht="14.4" hidden="false" customHeight="false" outlineLevel="0" collapsed="false">
      <c r="A669" s="27" t="n">
        <v>11100421</v>
      </c>
      <c r="B669" s="27" t="s">
        <v>1945</v>
      </c>
      <c r="C669" s="43" t="n">
        <v>110.64</v>
      </c>
      <c r="D669" s="27" t="n">
        <v>0</v>
      </c>
      <c r="E669" s="27" t="n">
        <v>12</v>
      </c>
      <c r="F669" s="27" t="n">
        <v>9.22</v>
      </c>
      <c r="G669" s="27" t="s">
        <v>1875</v>
      </c>
      <c r="H669" s="27" t="s">
        <v>68</v>
      </c>
      <c r="I669" s="27" t="s">
        <v>1876</v>
      </c>
      <c r="J669" s="27" t="s">
        <v>1877</v>
      </c>
      <c r="K669" s="27" t="n">
        <v>2424</v>
      </c>
      <c r="L669" s="27" t="n">
        <v>703</v>
      </c>
      <c r="M669" s="28" t="n">
        <f aca="false">IFERROR(VLOOKUP((OFFSET(hoje12_326_ana9,668,10,1,1)&amp;"."&amp;OFFSET(hoje12_326_ana9,668,11,1,1)),'12.326'!A:D,4,0),"-")</f>
        <v>14071909000145</v>
      </c>
    </row>
    <row r="670" customFormat="false" ht="14.4" hidden="false" customHeight="false" outlineLevel="0" collapsed="false">
      <c r="A670" s="27" t="n">
        <v>11100427</v>
      </c>
      <c r="B670" s="27" t="s">
        <v>2223</v>
      </c>
      <c r="C670" s="43" t="n">
        <v>161.76</v>
      </c>
      <c r="D670" s="27" t="n">
        <v>0</v>
      </c>
      <c r="E670" s="27" t="n">
        <v>12</v>
      </c>
      <c r="F670" s="27" t="n">
        <v>13.48</v>
      </c>
      <c r="G670" s="27" t="s">
        <v>1875</v>
      </c>
      <c r="H670" s="27" t="s">
        <v>68</v>
      </c>
      <c r="I670" s="27" t="s">
        <v>1876</v>
      </c>
      <c r="J670" s="27" t="s">
        <v>1877</v>
      </c>
      <c r="K670" s="27" t="n">
        <v>2424</v>
      </c>
      <c r="L670" s="27" t="n">
        <v>703</v>
      </c>
      <c r="M670" s="28" t="n">
        <f aca="false">IFERROR(VLOOKUP((OFFSET(hoje12_326_ana9,669,10,1,1)&amp;"."&amp;OFFSET(hoje12_326_ana9,669,11,1,1)),'12.326'!A:D,4,0),"-")</f>
        <v>14071909000145</v>
      </c>
    </row>
    <row r="671" customFormat="false" ht="14.4" hidden="false" customHeight="false" outlineLevel="0" collapsed="false">
      <c r="A671" s="27" t="n">
        <v>11100431</v>
      </c>
      <c r="B671" s="27" t="s">
        <v>2224</v>
      </c>
      <c r="C671" s="43" t="n">
        <v>161.76</v>
      </c>
      <c r="D671" s="27" t="n">
        <v>0</v>
      </c>
      <c r="E671" s="27" t="n">
        <v>12</v>
      </c>
      <c r="F671" s="27" t="n">
        <v>13.48</v>
      </c>
      <c r="G671" s="27" t="s">
        <v>1875</v>
      </c>
      <c r="H671" s="27" t="s">
        <v>68</v>
      </c>
      <c r="I671" s="27" t="s">
        <v>1876</v>
      </c>
      <c r="J671" s="27" t="s">
        <v>1877</v>
      </c>
      <c r="K671" s="27" t="n">
        <v>2424</v>
      </c>
      <c r="L671" s="27" t="n">
        <v>703</v>
      </c>
      <c r="M671" s="28" t="n">
        <f aca="false">IFERROR(VLOOKUP((OFFSET(hoje12_326_ana9,670,10,1,1)&amp;"."&amp;OFFSET(hoje12_326_ana9,670,11,1,1)),'12.326'!A:D,4,0),"-")</f>
        <v>14071909000145</v>
      </c>
    </row>
    <row r="672" customFormat="false" ht="14.4" hidden="false" customHeight="false" outlineLevel="0" collapsed="false">
      <c r="A672" s="27" t="n">
        <v>11100435</v>
      </c>
      <c r="B672" s="27" t="s">
        <v>2225</v>
      </c>
      <c r="C672" s="43" t="n">
        <v>70.44</v>
      </c>
      <c r="D672" s="27" t="n">
        <v>0</v>
      </c>
      <c r="E672" s="27" t="n">
        <v>6</v>
      </c>
      <c r="F672" s="27" t="n">
        <v>11.74</v>
      </c>
      <c r="G672" s="27" t="s">
        <v>1875</v>
      </c>
      <c r="H672" s="27" t="s">
        <v>68</v>
      </c>
      <c r="I672" s="27" t="s">
        <v>1876</v>
      </c>
      <c r="J672" s="27" t="s">
        <v>1877</v>
      </c>
      <c r="K672" s="27" t="n">
        <v>2424</v>
      </c>
      <c r="L672" s="27" t="n">
        <v>703</v>
      </c>
      <c r="M672" s="28" t="n">
        <f aca="false">IFERROR(VLOOKUP((OFFSET(hoje12_326_ana9,671,10,1,1)&amp;"."&amp;OFFSET(hoje12_326_ana9,671,11,1,1)),'12.326'!A:D,4,0),"-")</f>
        <v>14071909000145</v>
      </c>
    </row>
    <row r="673" customFormat="false" ht="14.4" hidden="false" customHeight="false" outlineLevel="0" collapsed="false">
      <c r="A673" s="27" t="n">
        <v>11100436</v>
      </c>
      <c r="B673" s="27" t="s">
        <v>2226</v>
      </c>
      <c r="C673" s="43" t="n">
        <v>70.44</v>
      </c>
      <c r="D673" s="27" t="n">
        <v>0</v>
      </c>
      <c r="E673" s="27" t="n">
        <v>6</v>
      </c>
      <c r="F673" s="27" t="n">
        <v>11.74</v>
      </c>
      <c r="G673" s="27" t="s">
        <v>1875</v>
      </c>
      <c r="H673" s="27" t="s">
        <v>68</v>
      </c>
      <c r="I673" s="27" t="s">
        <v>1876</v>
      </c>
      <c r="J673" s="27" t="s">
        <v>1877</v>
      </c>
      <c r="K673" s="27" t="n">
        <v>2424</v>
      </c>
      <c r="L673" s="27" t="n">
        <v>703</v>
      </c>
      <c r="M673" s="28" t="n">
        <f aca="false">IFERROR(VLOOKUP((OFFSET(hoje12_326_ana9,672,10,1,1)&amp;"."&amp;OFFSET(hoje12_326_ana9,672,11,1,1)),'12.326'!A:D,4,0),"-")</f>
        <v>14071909000145</v>
      </c>
    </row>
    <row r="674" customFormat="false" ht="14.4" hidden="false" customHeight="false" outlineLevel="0" collapsed="false">
      <c r="A674" s="27" t="n">
        <v>11100438</v>
      </c>
      <c r="B674" s="27" t="s">
        <v>2227</v>
      </c>
      <c r="C674" s="43" t="n">
        <v>110.64</v>
      </c>
      <c r="D674" s="27" t="n">
        <v>0</v>
      </c>
      <c r="E674" s="27" t="n">
        <v>12</v>
      </c>
      <c r="F674" s="27" t="n">
        <v>9.22</v>
      </c>
      <c r="G674" s="27" t="s">
        <v>1875</v>
      </c>
      <c r="H674" s="27" t="s">
        <v>68</v>
      </c>
      <c r="I674" s="27" t="s">
        <v>1876</v>
      </c>
      <c r="J674" s="27" t="s">
        <v>1877</v>
      </c>
      <c r="K674" s="27" t="n">
        <v>2424</v>
      </c>
      <c r="L674" s="27" t="n">
        <v>703</v>
      </c>
      <c r="M674" s="28" t="n">
        <f aca="false">IFERROR(VLOOKUP((OFFSET(hoje12_326_ana9,673,10,1,1)&amp;"."&amp;OFFSET(hoje12_326_ana9,673,11,1,1)),'12.326'!A:D,4,0),"-")</f>
        <v>14071909000145</v>
      </c>
    </row>
    <row r="675" customFormat="false" ht="14.4" hidden="false" customHeight="false" outlineLevel="0" collapsed="false">
      <c r="A675" s="27" t="n">
        <v>11100439</v>
      </c>
      <c r="B675" s="27" t="s">
        <v>2228</v>
      </c>
      <c r="C675" s="43" t="n">
        <v>161.76</v>
      </c>
      <c r="D675" s="27" t="n">
        <v>0</v>
      </c>
      <c r="E675" s="27" t="n">
        <v>12</v>
      </c>
      <c r="F675" s="27" t="n">
        <v>13.48</v>
      </c>
      <c r="G675" s="27" t="s">
        <v>1875</v>
      </c>
      <c r="H675" s="27" t="s">
        <v>68</v>
      </c>
      <c r="I675" s="27" t="s">
        <v>1876</v>
      </c>
      <c r="J675" s="27" t="s">
        <v>1877</v>
      </c>
      <c r="K675" s="27" t="n">
        <v>2424</v>
      </c>
      <c r="L675" s="27" t="n">
        <v>703</v>
      </c>
      <c r="M675" s="28" t="n">
        <f aca="false">IFERROR(VLOOKUP((OFFSET(hoje12_326_ana9,674,10,1,1)&amp;"."&amp;OFFSET(hoje12_326_ana9,674,11,1,1)),'12.326'!A:D,4,0),"-")</f>
        <v>14071909000145</v>
      </c>
    </row>
    <row r="676" customFormat="false" ht="14.4" hidden="false" customHeight="false" outlineLevel="0" collapsed="false">
      <c r="A676" s="27" t="n">
        <v>11100445</v>
      </c>
      <c r="B676" s="27" t="s">
        <v>2085</v>
      </c>
      <c r="C676" s="43" t="n">
        <v>136.54</v>
      </c>
      <c r="D676" s="27" t="n">
        <v>2.78</v>
      </c>
      <c r="E676" s="27" t="n">
        <v>12</v>
      </c>
      <c r="F676" s="27" t="n">
        <v>11.61</v>
      </c>
      <c r="G676" s="27" t="s">
        <v>1875</v>
      </c>
      <c r="H676" s="27" t="s">
        <v>2011</v>
      </c>
      <c r="I676" s="27" t="s">
        <v>1876</v>
      </c>
      <c r="J676" s="27" t="s">
        <v>2229</v>
      </c>
      <c r="K676" s="27" t="n">
        <v>2424</v>
      </c>
      <c r="L676" s="27" t="n">
        <v>703</v>
      </c>
      <c r="M676" s="28" t="n">
        <f aca="false">IFERROR(VLOOKUP((OFFSET(hoje12_326_ana9,675,10,1,1)&amp;"."&amp;OFFSET(hoje12_326_ana9,675,11,1,1)),'12.326'!A:D,4,0),"-")</f>
        <v>14071909000145</v>
      </c>
    </row>
    <row r="677" customFormat="false" ht="14.4" hidden="false" customHeight="false" outlineLevel="0" collapsed="false">
      <c r="A677" s="27" t="n">
        <v>11100448</v>
      </c>
      <c r="B677" s="27" t="s">
        <v>2230</v>
      </c>
      <c r="C677" s="43" t="n">
        <v>136.54</v>
      </c>
      <c r="D677" s="27" t="n">
        <v>2.78</v>
      </c>
      <c r="E677" s="27" t="n">
        <v>12</v>
      </c>
      <c r="F677" s="27" t="n">
        <v>11.61</v>
      </c>
      <c r="G677" s="27" t="s">
        <v>1875</v>
      </c>
      <c r="H677" s="27" t="s">
        <v>2011</v>
      </c>
      <c r="I677" s="27" t="s">
        <v>1876</v>
      </c>
      <c r="J677" s="27" t="s">
        <v>2229</v>
      </c>
      <c r="K677" s="27" t="n">
        <v>2424</v>
      </c>
      <c r="L677" s="27" t="n">
        <v>703</v>
      </c>
      <c r="M677" s="28" t="n">
        <f aca="false">IFERROR(VLOOKUP((OFFSET(hoje12_326_ana9,676,10,1,1)&amp;"."&amp;OFFSET(hoje12_326_ana9,676,11,1,1)),'12.326'!A:D,4,0),"-")</f>
        <v>14071909000145</v>
      </c>
    </row>
    <row r="678" customFormat="false" ht="14.4" hidden="false" customHeight="false" outlineLevel="0" collapsed="false">
      <c r="A678" s="27" t="n">
        <v>11100464</v>
      </c>
      <c r="B678" s="27" t="s">
        <v>1946</v>
      </c>
      <c r="C678" s="43" t="n">
        <v>340.13</v>
      </c>
      <c r="D678" s="27" t="n">
        <v>6.91</v>
      </c>
      <c r="E678" s="27" t="n">
        <v>72</v>
      </c>
      <c r="F678" s="27" t="n">
        <v>4.82</v>
      </c>
      <c r="G678" s="27" t="s">
        <v>1875</v>
      </c>
      <c r="H678" s="27" t="s">
        <v>2011</v>
      </c>
      <c r="I678" s="27" t="s">
        <v>1876</v>
      </c>
      <c r="J678" s="27" t="s">
        <v>2231</v>
      </c>
      <c r="K678" s="27" t="n">
        <v>2424</v>
      </c>
      <c r="L678" s="27" t="n">
        <v>703</v>
      </c>
      <c r="M678" s="28" t="n">
        <f aca="false">IFERROR(VLOOKUP((OFFSET(hoje12_326_ana9,677,10,1,1)&amp;"."&amp;OFFSET(hoje12_326_ana9,677,11,1,1)),'12.326'!A:D,4,0),"-")</f>
        <v>14071909000145</v>
      </c>
    </row>
    <row r="679" customFormat="false" ht="14.4" hidden="false" customHeight="false" outlineLevel="0" collapsed="false">
      <c r="A679" s="27" t="n">
        <v>11100475</v>
      </c>
      <c r="B679" s="27" t="s">
        <v>1947</v>
      </c>
      <c r="C679" s="43" t="n">
        <v>93.02</v>
      </c>
      <c r="D679" s="27" t="n">
        <v>1.9</v>
      </c>
      <c r="E679" s="27" t="n">
        <v>12</v>
      </c>
      <c r="F679" s="27" t="n">
        <v>7.91</v>
      </c>
      <c r="G679" s="27" t="s">
        <v>1875</v>
      </c>
      <c r="H679" s="27" t="s">
        <v>2011</v>
      </c>
      <c r="I679" s="27" t="s">
        <v>1876</v>
      </c>
      <c r="J679" s="27" t="s">
        <v>1949</v>
      </c>
      <c r="K679" s="27" t="n">
        <v>2424</v>
      </c>
      <c r="L679" s="27" t="n">
        <v>703</v>
      </c>
      <c r="M679" s="28" t="n">
        <f aca="false">IFERROR(VLOOKUP((OFFSET(hoje12_326_ana9,678,10,1,1)&amp;"."&amp;OFFSET(hoje12_326_ana9,678,11,1,1)),'12.326'!A:D,4,0),"-")</f>
        <v>14071909000145</v>
      </c>
    </row>
    <row r="680" customFormat="false" ht="14.4" hidden="false" customHeight="false" outlineLevel="0" collapsed="false">
      <c r="A680" s="27" t="n">
        <v>11100477</v>
      </c>
      <c r="B680" s="27" t="s">
        <v>1950</v>
      </c>
      <c r="C680" s="43" t="n">
        <v>87.96</v>
      </c>
      <c r="D680" s="27" t="n">
        <v>1.8</v>
      </c>
      <c r="E680" s="27" t="n">
        <v>12</v>
      </c>
      <c r="F680" s="27" t="n">
        <v>7.48</v>
      </c>
      <c r="G680" s="27" t="s">
        <v>1875</v>
      </c>
      <c r="H680" s="27" t="s">
        <v>2011</v>
      </c>
      <c r="I680" s="27" t="s">
        <v>1876</v>
      </c>
      <c r="J680" s="27" t="s">
        <v>2232</v>
      </c>
      <c r="K680" s="27" t="n">
        <v>2424</v>
      </c>
      <c r="L680" s="27" t="n">
        <v>703</v>
      </c>
      <c r="M680" s="28" t="n">
        <f aca="false">IFERROR(VLOOKUP((OFFSET(hoje12_326_ana9,679,10,1,1)&amp;"."&amp;OFFSET(hoje12_326_ana9,679,11,1,1)),'12.326'!A:D,4,0),"-")</f>
        <v>14071909000145</v>
      </c>
    </row>
    <row r="681" customFormat="false" ht="14.4" hidden="false" customHeight="false" outlineLevel="0" collapsed="false">
      <c r="A681" s="27" t="n">
        <v>11100478</v>
      </c>
      <c r="B681" s="27" t="s">
        <v>2233</v>
      </c>
      <c r="C681" s="43" t="n">
        <v>87.96</v>
      </c>
      <c r="D681" s="27" t="n">
        <v>1.8</v>
      </c>
      <c r="E681" s="27" t="n">
        <v>12</v>
      </c>
      <c r="F681" s="27" t="n">
        <v>7.48</v>
      </c>
      <c r="G681" s="27" t="s">
        <v>1875</v>
      </c>
      <c r="H681" s="27" t="s">
        <v>2011</v>
      </c>
      <c r="I681" s="27" t="s">
        <v>1876</v>
      </c>
      <c r="J681" s="27" t="s">
        <v>2232</v>
      </c>
      <c r="K681" s="27" t="n">
        <v>2424</v>
      </c>
      <c r="L681" s="27" t="n">
        <v>703</v>
      </c>
      <c r="M681" s="28" t="n">
        <f aca="false">IFERROR(VLOOKUP((OFFSET(hoje12_326_ana9,680,10,1,1)&amp;"."&amp;OFFSET(hoje12_326_ana9,680,11,1,1)),'12.326'!A:D,4,0),"-")</f>
        <v>14071909000145</v>
      </c>
    </row>
    <row r="682" customFormat="false" ht="14.4" hidden="false" customHeight="false" outlineLevel="0" collapsed="false">
      <c r="A682" s="27" t="n">
        <v>11100501</v>
      </c>
      <c r="B682" s="27" t="s">
        <v>1951</v>
      </c>
      <c r="C682" s="43" t="n">
        <v>147.12</v>
      </c>
      <c r="D682" s="27" t="n">
        <v>3</v>
      </c>
      <c r="E682" s="27" t="n">
        <v>12</v>
      </c>
      <c r="F682" s="27" t="n">
        <v>12.51</v>
      </c>
      <c r="G682" s="27" t="s">
        <v>1875</v>
      </c>
      <c r="H682" s="27" t="s">
        <v>2011</v>
      </c>
      <c r="I682" s="27" t="s">
        <v>1876</v>
      </c>
      <c r="J682" s="27" t="s">
        <v>2234</v>
      </c>
      <c r="K682" s="27" t="n">
        <v>2424</v>
      </c>
      <c r="L682" s="27" t="n">
        <v>703</v>
      </c>
      <c r="M682" s="28" t="n">
        <f aca="false">IFERROR(VLOOKUP((OFFSET(hoje12_326_ana9,681,10,1,1)&amp;"."&amp;OFFSET(hoje12_326_ana9,681,11,1,1)),'12.326'!A:D,4,0),"-")</f>
        <v>14071909000145</v>
      </c>
    </row>
    <row r="683" customFormat="false" ht="14.4" hidden="false" customHeight="false" outlineLevel="0" collapsed="false">
      <c r="A683" s="27" t="n">
        <v>11100543</v>
      </c>
      <c r="B683" s="27" t="s">
        <v>2115</v>
      </c>
      <c r="C683" s="43" t="n">
        <v>87.46</v>
      </c>
      <c r="D683" s="27" t="n">
        <v>15.44</v>
      </c>
      <c r="E683" s="27" t="n">
        <v>6</v>
      </c>
      <c r="F683" s="27" t="n">
        <v>17.15</v>
      </c>
      <c r="G683" s="27" t="s">
        <v>1875</v>
      </c>
      <c r="H683" s="27" t="s">
        <v>1892</v>
      </c>
      <c r="I683" s="27" t="s">
        <v>1876</v>
      </c>
      <c r="J683" s="27" t="s">
        <v>2235</v>
      </c>
      <c r="K683" s="27" t="n">
        <v>2424</v>
      </c>
      <c r="L683" s="27" t="n">
        <v>703</v>
      </c>
      <c r="M683" s="28" t="n">
        <f aca="false">IFERROR(VLOOKUP((OFFSET(hoje12_326_ana9,682,10,1,1)&amp;"."&amp;OFFSET(hoje12_326_ana9,682,11,1,1)),'12.326'!A:D,4,0),"-")</f>
        <v>14071909000145</v>
      </c>
    </row>
    <row r="684" customFormat="false" ht="14.4" hidden="false" customHeight="false" outlineLevel="0" collapsed="false">
      <c r="A684" s="27" t="n">
        <v>11100548</v>
      </c>
      <c r="B684" s="27" t="s">
        <v>2236</v>
      </c>
      <c r="C684" s="43" t="n">
        <v>411.73</v>
      </c>
      <c r="D684" s="27" t="n">
        <v>8.39</v>
      </c>
      <c r="E684" s="27" t="n">
        <v>36</v>
      </c>
      <c r="F684" s="27" t="n">
        <v>11.67</v>
      </c>
      <c r="G684" s="27" t="s">
        <v>1875</v>
      </c>
      <c r="H684" s="27" t="s">
        <v>2011</v>
      </c>
      <c r="I684" s="27" t="s">
        <v>1876</v>
      </c>
      <c r="J684" s="27" t="s">
        <v>2237</v>
      </c>
      <c r="K684" s="27" t="n">
        <v>2424</v>
      </c>
      <c r="L684" s="27" t="n">
        <v>703</v>
      </c>
      <c r="M684" s="28" t="n">
        <f aca="false">IFERROR(VLOOKUP((OFFSET(hoje12_326_ana9,683,10,1,1)&amp;"."&amp;OFFSET(hoje12_326_ana9,683,11,1,1)),'12.326'!A:D,4,0),"-")</f>
        <v>14071909000145</v>
      </c>
    </row>
    <row r="685" customFormat="false" ht="14.4" hidden="false" customHeight="false" outlineLevel="0" collapsed="false">
      <c r="A685" s="27" t="n">
        <v>11100550</v>
      </c>
      <c r="B685" s="27" t="s">
        <v>2238</v>
      </c>
      <c r="C685" s="43" t="n">
        <v>159.46</v>
      </c>
      <c r="D685" s="27" t="n">
        <v>3.26</v>
      </c>
      <c r="E685" s="27" t="n">
        <v>24</v>
      </c>
      <c r="F685" s="27" t="n">
        <v>6.78</v>
      </c>
      <c r="G685" s="27" t="s">
        <v>1875</v>
      </c>
      <c r="H685" s="27" t="s">
        <v>2011</v>
      </c>
      <c r="I685" s="27" t="s">
        <v>1876</v>
      </c>
      <c r="J685" s="27" t="s">
        <v>2239</v>
      </c>
      <c r="K685" s="27" t="n">
        <v>2424</v>
      </c>
      <c r="L685" s="27" t="n">
        <v>703</v>
      </c>
      <c r="M685" s="28" t="n">
        <f aca="false">IFERROR(VLOOKUP((OFFSET(hoje12_326_ana9,684,10,1,1)&amp;"."&amp;OFFSET(hoje12_326_ana9,684,11,1,1)),'12.326'!A:D,4,0),"-")</f>
        <v>14071909000145</v>
      </c>
    </row>
    <row r="686" customFormat="false" ht="14.4" hidden="false" customHeight="false" outlineLevel="0" collapsed="false">
      <c r="A686" s="27" t="n">
        <v>11100561</v>
      </c>
      <c r="B686" s="27" t="s">
        <v>2240</v>
      </c>
      <c r="C686" s="43" t="n">
        <v>101.88</v>
      </c>
      <c r="D686" s="27" t="n">
        <v>0</v>
      </c>
      <c r="E686" s="27" t="n">
        <v>6</v>
      </c>
      <c r="F686" s="27" t="n">
        <v>16.98</v>
      </c>
      <c r="G686" s="27" t="s">
        <v>1875</v>
      </c>
      <c r="H686" s="27" t="s">
        <v>68</v>
      </c>
      <c r="I686" s="27" t="s">
        <v>1876</v>
      </c>
      <c r="J686" s="27" t="s">
        <v>1877</v>
      </c>
      <c r="K686" s="27" t="n">
        <v>2424</v>
      </c>
      <c r="L686" s="27" t="n">
        <v>703</v>
      </c>
      <c r="M686" s="28" t="n">
        <f aca="false">IFERROR(VLOOKUP((OFFSET(hoje12_326_ana9,685,10,1,1)&amp;"."&amp;OFFSET(hoje12_326_ana9,685,11,1,1)),'12.326'!A:D,4,0),"-")</f>
        <v>14071909000145</v>
      </c>
    </row>
    <row r="687" customFormat="false" ht="14.4" hidden="false" customHeight="false" outlineLevel="0" collapsed="false">
      <c r="A687" s="27" t="n">
        <v>11100565</v>
      </c>
      <c r="B687" s="27" t="s">
        <v>1954</v>
      </c>
      <c r="C687" s="43" t="n">
        <v>101.88</v>
      </c>
      <c r="D687" s="27" t="n">
        <v>0</v>
      </c>
      <c r="E687" s="27" t="n">
        <v>6</v>
      </c>
      <c r="F687" s="27" t="n">
        <v>16.98</v>
      </c>
      <c r="G687" s="27" t="s">
        <v>1875</v>
      </c>
      <c r="H687" s="27" t="s">
        <v>68</v>
      </c>
      <c r="I687" s="27" t="s">
        <v>1876</v>
      </c>
      <c r="J687" s="27" t="s">
        <v>1877</v>
      </c>
      <c r="K687" s="27" t="n">
        <v>2424</v>
      </c>
      <c r="L687" s="27" t="n">
        <v>703</v>
      </c>
      <c r="M687" s="28" t="n">
        <f aca="false">IFERROR(VLOOKUP((OFFSET(hoje12_326_ana9,686,10,1,1)&amp;"."&amp;OFFSET(hoje12_326_ana9,686,11,1,1)),'12.326'!A:D,4,0),"-")</f>
        <v>14071909000145</v>
      </c>
    </row>
    <row r="688" customFormat="false" ht="14.4" hidden="false" customHeight="false" outlineLevel="0" collapsed="false">
      <c r="A688" s="27" t="n">
        <v>11100579</v>
      </c>
      <c r="B688" s="27" t="s">
        <v>2241</v>
      </c>
      <c r="C688" s="43" t="n">
        <v>40.02</v>
      </c>
      <c r="D688" s="27" t="n">
        <v>0</v>
      </c>
      <c r="E688" s="27" t="n">
        <v>6</v>
      </c>
      <c r="F688" s="27" t="n">
        <v>6.67</v>
      </c>
      <c r="G688" s="27" t="s">
        <v>1875</v>
      </c>
      <c r="H688" s="27" t="s">
        <v>68</v>
      </c>
      <c r="I688" s="27" t="s">
        <v>1876</v>
      </c>
      <c r="J688" s="27" t="s">
        <v>1877</v>
      </c>
      <c r="K688" s="27" t="n">
        <v>2424</v>
      </c>
      <c r="L688" s="27" t="n">
        <v>703</v>
      </c>
      <c r="M688" s="28" t="n">
        <f aca="false">IFERROR(VLOOKUP((OFFSET(hoje12_326_ana9,687,10,1,1)&amp;"."&amp;OFFSET(hoje12_326_ana9,687,11,1,1)),'12.326'!A:D,4,0),"-")</f>
        <v>14071909000145</v>
      </c>
    </row>
    <row r="689" customFormat="false" ht="14.4" hidden="false" customHeight="false" outlineLevel="0" collapsed="false">
      <c r="A689" s="27" t="n">
        <v>11100585</v>
      </c>
      <c r="B689" s="27" t="s">
        <v>2242</v>
      </c>
      <c r="C689" s="43" t="n">
        <v>40.02</v>
      </c>
      <c r="D689" s="27" t="n">
        <v>0</v>
      </c>
      <c r="E689" s="27" t="n">
        <v>6</v>
      </c>
      <c r="F689" s="27" t="n">
        <v>6.67</v>
      </c>
      <c r="G689" s="27" t="s">
        <v>1875</v>
      </c>
      <c r="H689" s="27" t="s">
        <v>68</v>
      </c>
      <c r="I689" s="27" t="s">
        <v>1876</v>
      </c>
      <c r="J689" s="27" t="s">
        <v>1877</v>
      </c>
      <c r="K689" s="27" t="n">
        <v>2424</v>
      </c>
      <c r="L689" s="27" t="n">
        <v>703</v>
      </c>
      <c r="M689" s="28" t="n">
        <f aca="false">IFERROR(VLOOKUP((OFFSET(hoje12_326_ana9,688,10,1,1)&amp;"."&amp;OFFSET(hoje12_326_ana9,688,11,1,1)),'12.326'!A:D,4,0),"-")</f>
        <v>14071909000145</v>
      </c>
    </row>
    <row r="690" customFormat="false" ht="14.4" hidden="false" customHeight="false" outlineLevel="0" collapsed="false">
      <c r="A690" s="27" t="n">
        <v>11100640</v>
      </c>
      <c r="B690" s="27" t="s">
        <v>2243</v>
      </c>
      <c r="C690" s="43" t="n">
        <v>154.32</v>
      </c>
      <c r="D690" s="27" t="n">
        <v>0</v>
      </c>
      <c r="E690" s="27" t="n">
        <v>6</v>
      </c>
      <c r="F690" s="27" t="n">
        <v>25.72</v>
      </c>
      <c r="G690" s="27" t="s">
        <v>1875</v>
      </c>
      <c r="H690" s="27" t="s">
        <v>68</v>
      </c>
      <c r="I690" s="27" t="s">
        <v>1876</v>
      </c>
      <c r="J690" s="27" t="s">
        <v>1877</v>
      </c>
      <c r="K690" s="27" t="n">
        <v>2424</v>
      </c>
      <c r="L690" s="27" t="n">
        <v>703</v>
      </c>
      <c r="M690" s="28" t="n">
        <f aca="false">IFERROR(VLOOKUP((OFFSET(hoje12_326_ana9,689,10,1,1)&amp;"."&amp;OFFSET(hoje12_326_ana9,689,11,1,1)),'12.326'!A:D,4,0),"-")</f>
        <v>14071909000145</v>
      </c>
    </row>
    <row r="691" customFormat="false" ht="14.4" hidden="false" customHeight="false" outlineLevel="0" collapsed="false">
      <c r="A691" s="27" t="n">
        <v>11100736</v>
      </c>
      <c r="B691" s="27" t="s">
        <v>2043</v>
      </c>
      <c r="C691" s="43" t="n">
        <v>169.78</v>
      </c>
      <c r="D691" s="27" t="n">
        <v>56.3</v>
      </c>
      <c r="E691" s="27" t="n">
        <v>72</v>
      </c>
      <c r="F691" s="27" t="n">
        <v>3.14</v>
      </c>
      <c r="G691" s="27" t="s">
        <v>1875</v>
      </c>
      <c r="H691" s="27" t="s">
        <v>2244</v>
      </c>
      <c r="I691" s="27" t="s">
        <v>1876</v>
      </c>
      <c r="J691" s="27" t="s">
        <v>2245</v>
      </c>
      <c r="K691" s="27" t="n">
        <v>2424</v>
      </c>
      <c r="L691" s="27" t="n">
        <v>703</v>
      </c>
      <c r="M691" s="28" t="n">
        <f aca="false">IFERROR(VLOOKUP((OFFSET(hoje12_326_ana9,690,10,1,1)&amp;"."&amp;OFFSET(hoje12_326_ana9,690,11,1,1)),'12.326'!A:D,4,0),"-")</f>
        <v>14071909000145</v>
      </c>
    </row>
    <row r="692" customFormat="false" ht="14.4" hidden="false" customHeight="false" outlineLevel="0" collapsed="false">
      <c r="A692" s="27" t="n">
        <v>11100747</v>
      </c>
      <c r="B692" s="27" t="s">
        <v>1999</v>
      </c>
      <c r="C692" s="43" t="n">
        <v>169.78</v>
      </c>
      <c r="D692" s="27" t="n">
        <v>56.3</v>
      </c>
      <c r="E692" s="27" t="n">
        <v>72</v>
      </c>
      <c r="F692" s="27" t="n">
        <v>3.14</v>
      </c>
      <c r="G692" s="27" t="s">
        <v>1875</v>
      </c>
      <c r="H692" s="27" t="s">
        <v>2244</v>
      </c>
      <c r="I692" s="27" t="s">
        <v>1876</v>
      </c>
      <c r="J692" s="27" t="s">
        <v>2245</v>
      </c>
      <c r="K692" s="27" t="n">
        <v>2424</v>
      </c>
      <c r="L692" s="27" t="n">
        <v>703</v>
      </c>
      <c r="M692" s="28" t="n">
        <f aca="false">IFERROR(VLOOKUP((OFFSET(hoje12_326_ana9,691,10,1,1)&amp;"."&amp;OFFSET(hoje12_326_ana9,691,11,1,1)),'12.326'!A:D,4,0),"-")</f>
        <v>14071909000145</v>
      </c>
    </row>
    <row r="693" customFormat="false" ht="14.4" hidden="false" customHeight="false" outlineLevel="0" collapsed="false">
      <c r="A693" s="27" t="n">
        <v>11100751</v>
      </c>
      <c r="B693" s="27" t="s">
        <v>1995</v>
      </c>
      <c r="C693" s="43" t="n">
        <v>169.78</v>
      </c>
      <c r="D693" s="27" t="n">
        <v>56.3</v>
      </c>
      <c r="E693" s="27" t="n">
        <v>72</v>
      </c>
      <c r="F693" s="27" t="n">
        <v>3.14</v>
      </c>
      <c r="G693" s="27" t="s">
        <v>1875</v>
      </c>
      <c r="H693" s="27" t="s">
        <v>2244</v>
      </c>
      <c r="I693" s="27" t="s">
        <v>1876</v>
      </c>
      <c r="J693" s="27" t="s">
        <v>2245</v>
      </c>
      <c r="K693" s="27" t="n">
        <v>2424</v>
      </c>
      <c r="L693" s="27" t="n">
        <v>703</v>
      </c>
      <c r="M693" s="28" t="n">
        <f aca="false">IFERROR(VLOOKUP((OFFSET(hoje12_326_ana9,692,10,1,1)&amp;"."&amp;OFFSET(hoje12_326_ana9,692,11,1,1)),'12.326'!A:D,4,0),"-")</f>
        <v>14071909000145</v>
      </c>
    </row>
    <row r="694" customFormat="false" ht="14.4" hidden="false" customHeight="false" outlineLevel="0" collapsed="false">
      <c r="A694" s="27" t="n">
        <v>11100757</v>
      </c>
      <c r="B694" s="27" t="s">
        <v>2246</v>
      </c>
      <c r="C694" s="43" t="n">
        <v>169.78</v>
      </c>
      <c r="D694" s="27" t="n">
        <v>56.3</v>
      </c>
      <c r="E694" s="27" t="n">
        <v>72</v>
      </c>
      <c r="F694" s="27" t="n">
        <v>3.14</v>
      </c>
      <c r="G694" s="27" t="s">
        <v>1875</v>
      </c>
      <c r="H694" s="27" t="s">
        <v>2244</v>
      </c>
      <c r="I694" s="27" t="s">
        <v>1876</v>
      </c>
      <c r="J694" s="27" t="s">
        <v>2245</v>
      </c>
      <c r="K694" s="27" t="n">
        <v>2424</v>
      </c>
      <c r="L694" s="27" t="n">
        <v>703</v>
      </c>
      <c r="M694" s="28" t="n">
        <f aca="false">IFERROR(VLOOKUP((OFFSET(hoje12_326_ana9,693,10,1,1)&amp;"."&amp;OFFSET(hoje12_326_ana9,693,11,1,1)),'12.326'!A:D,4,0),"-")</f>
        <v>14071909000145</v>
      </c>
    </row>
    <row r="695" customFormat="false" ht="14.4" hidden="false" customHeight="false" outlineLevel="0" collapsed="false">
      <c r="A695" s="27" t="n">
        <v>11100773</v>
      </c>
      <c r="B695" s="27" t="s">
        <v>2061</v>
      </c>
      <c r="C695" s="43" t="n">
        <v>339.55</v>
      </c>
      <c r="D695" s="27" t="n">
        <v>112.61</v>
      </c>
      <c r="E695" s="27" t="n">
        <v>144</v>
      </c>
      <c r="F695" s="27" t="n">
        <v>3.14</v>
      </c>
      <c r="G695" s="27" t="s">
        <v>1875</v>
      </c>
      <c r="H695" s="27" t="s">
        <v>2244</v>
      </c>
      <c r="I695" s="27" t="s">
        <v>1876</v>
      </c>
      <c r="J695" s="27" t="s">
        <v>2247</v>
      </c>
      <c r="K695" s="27" t="n">
        <v>2424</v>
      </c>
      <c r="L695" s="27" t="n">
        <v>703</v>
      </c>
      <c r="M695" s="28" t="n">
        <f aca="false">IFERROR(VLOOKUP((OFFSET(hoje12_326_ana9,694,10,1,1)&amp;"."&amp;OFFSET(hoje12_326_ana9,694,11,1,1)),'12.326'!A:D,4,0),"-")</f>
        <v>14071909000145</v>
      </c>
    </row>
    <row r="696" customFormat="false" ht="14.4" hidden="false" customHeight="false" outlineLevel="0" collapsed="false">
      <c r="A696" s="27" t="n">
        <v>11100778</v>
      </c>
      <c r="B696" s="27" t="s">
        <v>1997</v>
      </c>
      <c r="C696" s="43" t="n">
        <v>169.78</v>
      </c>
      <c r="D696" s="27" t="n">
        <v>56.3</v>
      </c>
      <c r="E696" s="27" t="n">
        <v>72</v>
      </c>
      <c r="F696" s="27" t="n">
        <v>3.14</v>
      </c>
      <c r="G696" s="27" t="s">
        <v>1875</v>
      </c>
      <c r="H696" s="27" t="s">
        <v>2244</v>
      </c>
      <c r="I696" s="27" t="s">
        <v>1876</v>
      </c>
      <c r="J696" s="27" t="s">
        <v>2245</v>
      </c>
      <c r="K696" s="27" t="n">
        <v>2424</v>
      </c>
      <c r="L696" s="27" t="n">
        <v>703</v>
      </c>
      <c r="M696" s="28" t="n">
        <f aca="false">IFERROR(VLOOKUP((OFFSET(hoje12_326_ana9,695,10,1,1)&amp;"."&amp;OFFSET(hoje12_326_ana9,695,11,1,1)),'12.326'!A:D,4,0),"-")</f>
        <v>14071909000145</v>
      </c>
    </row>
    <row r="697" customFormat="false" ht="14.4" hidden="false" customHeight="false" outlineLevel="0" collapsed="false">
      <c r="A697" s="27" t="n">
        <v>11100784</v>
      </c>
      <c r="B697" s="27" t="s">
        <v>1989</v>
      </c>
      <c r="C697" s="43" t="n">
        <v>169.78</v>
      </c>
      <c r="D697" s="27" t="n">
        <v>56.3</v>
      </c>
      <c r="E697" s="27" t="n">
        <v>72</v>
      </c>
      <c r="F697" s="27" t="n">
        <v>3.14</v>
      </c>
      <c r="G697" s="27" t="s">
        <v>1875</v>
      </c>
      <c r="H697" s="27" t="s">
        <v>2244</v>
      </c>
      <c r="I697" s="27" t="s">
        <v>1876</v>
      </c>
      <c r="J697" s="27" t="s">
        <v>2245</v>
      </c>
      <c r="K697" s="27" t="n">
        <v>2424</v>
      </c>
      <c r="L697" s="27" t="n">
        <v>703</v>
      </c>
      <c r="M697" s="28" t="n">
        <f aca="false">IFERROR(VLOOKUP((OFFSET(hoje12_326_ana9,696,10,1,1)&amp;"."&amp;OFFSET(hoje12_326_ana9,696,11,1,1)),'12.326'!A:D,4,0),"-")</f>
        <v>14071909000145</v>
      </c>
    </row>
    <row r="698" customFormat="false" ht="14.4" hidden="false" customHeight="false" outlineLevel="0" collapsed="false">
      <c r="A698" s="27" t="n">
        <v>11100788</v>
      </c>
      <c r="B698" s="27" t="s">
        <v>2248</v>
      </c>
      <c r="C698" s="43" t="n">
        <v>169.78</v>
      </c>
      <c r="D698" s="27" t="n">
        <v>56.3</v>
      </c>
      <c r="E698" s="27" t="n">
        <v>72</v>
      </c>
      <c r="F698" s="27" t="n">
        <v>3.14</v>
      </c>
      <c r="G698" s="27" t="s">
        <v>1875</v>
      </c>
      <c r="H698" s="27" t="s">
        <v>2244</v>
      </c>
      <c r="I698" s="27" t="s">
        <v>1876</v>
      </c>
      <c r="J698" s="27" t="s">
        <v>2245</v>
      </c>
      <c r="K698" s="27" t="n">
        <v>2424</v>
      </c>
      <c r="L698" s="27" t="n">
        <v>703</v>
      </c>
      <c r="M698" s="28" t="n">
        <f aca="false">IFERROR(VLOOKUP((OFFSET(hoje12_326_ana9,697,10,1,1)&amp;"."&amp;OFFSET(hoje12_326_ana9,697,11,1,1)),'12.326'!A:D,4,0),"-")</f>
        <v>14071909000145</v>
      </c>
    </row>
    <row r="699" customFormat="false" ht="14.4" hidden="false" customHeight="false" outlineLevel="0" collapsed="false">
      <c r="A699" s="27" t="n">
        <v>11100809</v>
      </c>
      <c r="B699" s="27" t="s">
        <v>2249</v>
      </c>
      <c r="C699" s="43" t="n">
        <v>169.78</v>
      </c>
      <c r="D699" s="27" t="n">
        <v>56.3</v>
      </c>
      <c r="E699" s="27" t="n">
        <v>72</v>
      </c>
      <c r="F699" s="27" t="n">
        <v>3.14</v>
      </c>
      <c r="G699" s="27" t="s">
        <v>1875</v>
      </c>
      <c r="H699" s="27" t="s">
        <v>2244</v>
      </c>
      <c r="I699" s="27" t="s">
        <v>1876</v>
      </c>
      <c r="J699" s="27" t="s">
        <v>2245</v>
      </c>
      <c r="K699" s="27" t="n">
        <v>2424</v>
      </c>
      <c r="L699" s="27" t="n">
        <v>703</v>
      </c>
      <c r="M699" s="28" t="n">
        <f aca="false">IFERROR(VLOOKUP((OFFSET(hoje12_326_ana9,698,10,1,1)&amp;"."&amp;OFFSET(hoje12_326_ana9,698,11,1,1)),'12.326'!A:D,4,0),"-")</f>
        <v>14071909000145</v>
      </c>
    </row>
    <row r="700" customFormat="false" ht="14.4" hidden="false" customHeight="false" outlineLevel="0" collapsed="false">
      <c r="A700" s="27" t="n">
        <v>11100937</v>
      </c>
      <c r="B700" s="27" t="s">
        <v>2015</v>
      </c>
      <c r="C700" s="43" t="n">
        <v>1614.24</v>
      </c>
      <c r="D700" s="27" t="n">
        <v>0</v>
      </c>
      <c r="E700" s="27" t="n">
        <v>72</v>
      </c>
      <c r="F700" s="27" t="n">
        <v>22.42</v>
      </c>
      <c r="G700" s="27" t="s">
        <v>1875</v>
      </c>
      <c r="H700" s="27" t="s">
        <v>68</v>
      </c>
      <c r="I700" s="27" t="s">
        <v>1876</v>
      </c>
      <c r="J700" s="27" t="s">
        <v>1877</v>
      </c>
      <c r="K700" s="27" t="n">
        <v>2424</v>
      </c>
      <c r="L700" s="27" t="n">
        <v>703</v>
      </c>
      <c r="M700" s="28" t="n">
        <f aca="false">IFERROR(VLOOKUP((OFFSET(hoje12_326_ana9,699,10,1,1)&amp;"."&amp;OFFSET(hoje12_326_ana9,699,11,1,1)),'12.326'!A:D,4,0),"-")</f>
        <v>14071909000145</v>
      </c>
    </row>
    <row r="701" customFormat="false" ht="14.4" hidden="false" customHeight="false" outlineLevel="0" collapsed="false">
      <c r="A701" s="27" t="n">
        <v>11100944</v>
      </c>
      <c r="B701" s="27" t="s">
        <v>2250</v>
      </c>
      <c r="C701" s="43" t="n">
        <v>179.04</v>
      </c>
      <c r="D701" s="27" t="n">
        <v>0</v>
      </c>
      <c r="E701" s="27" t="n">
        <v>12</v>
      </c>
      <c r="F701" s="27" t="n">
        <v>14.92</v>
      </c>
      <c r="G701" s="27" t="s">
        <v>1875</v>
      </c>
      <c r="H701" s="27" t="s">
        <v>68</v>
      </c>
      <c r="I701" s="27" t="s">
        <v>1876</v>
      </c>
      <c r="J701" s="27" t="s">
        <v>1877</v>
      </c>
      <c r="K701" s="27" t="n">
        <v>2424</v>
      </c>
      <c r="L701" s="27" t="n">
        <v>703</v>
      </c>
      <c r="M701" s="28" t="n">
        <f aca="false">IFERROR(VLOOKUP((OFFSET(hoje12_326_ana9,700,10,1,1)&amp;"."&amp;OFFSET(hoje12_326_ana9,700,11,1,1)),'12.326'!A:D,4,0),"-")</f>
        <v>14071909000145</v>
      </c>
    </row>
    <row r="702" customFormat="false" ht="14.4" hidden="false" customHeight="false" outlineLevel="0" collapsed="false">
      <c r="A702" s="27" t="n">
        <v>11100950</v>
      </c>
      <c r="B702" s="27" t="s">
        <v>2251</v>
      </c>
      <c r="C702" s="43" t="n">
        <v>40.02</v>
      </c>
      <c r="D702" s="27" t="n">
        <v>0</v>
      </c>
      <c r="E702" s="27" t="n">
        <v>6</v>
      </c>
      <c r="F702" s="27" t="n">
        <v>6.67</v>
      </c>
      <c r="G702" s="27" t="s">
        <v>1875</v>
      </c>
      <c r="H702" s="27" t="s">
        <v>68</v>
      </c>
      <c r="I702" s="27" t="s">
        <v>1876</v>
      </c>
      <c r="J702" s="27" t="s">
        <v>1877</v>
      </c>
      <c r="K702" s="27" t="n">
        <v>2424</v>
      </c>
      <c r="L702" s="27" t="n">
        <v>703</v>
      </c>
      <c r="M702" s="28" t="n">
        <f aca="false">IFERROR(VLOOKUP((OFFSET(hoje12_326_ana9,701,10,1,1)&amp;"."&amp;OFFSET(hoje12_326_ana9,701,11,1,1)),'12.326'!A:D,4,0),"-")</f>
        <v>14071909000145</v>
      </c>
    </row>
    <row r="703" customFormat="false" ht="14.4" hidden="false" customHeight="false" outlineLevel="0" collapsed="false">
      <c r="A703" s="27" t="n">
        <v>11100955</v>
      </c>
      <c r="B703" s="27" t="s">
        <v>2252</v>
      </c>
      <c r="C703" s="43" t="n">
        <v>789.12</v>
      </c>
      <c r="D703" s="27" t="n">
        <v>0</v>
      </c>
      <c r="E703" s="27" t="n">
        <v>288</v>
      </c>
      <c r="F703" s="27" t="n">
        <v>2.74</v>
      </c>
      <c r="G703" s="27" t="s">
        <v>1875</v>
      </c>
      <c r="H703" s="27" t="s">
        <v>68</v>
      </c>
      <c r="I703" s="27" t="s">
        <v>1876</v>
      </c>
      <c r="J703" s="27" t="s">
        <v>1877</v>
      </c>
      <c r="K703" s="27" t="n">
        <v>2424</v>
      </c>
      <c r="L703" s="27" t="n">
        <v>703</v>
      </c>
      <c r="M703" s="28" t="n">
        <f aca="false">IFERROR(VLOOKUP((OFFSET(hoje12_326_ana9,702,10,1,1)&amp;"."&amp;OFFSET(hoje12_326_ana9,702,11,1,1)),'12.326'!A:D,4,0),"-")</f>
        <v>14071909000145</v>
      </c>
    </row>
    <row r="704" customFormat="false" ht="14.4" hidden="false" customHeight="false" outlineLevel="0" collapsed="false">
      <c r="A704" s="27" t="n">
        <v>11100957</v>
      </c>
      <c r="B704" s="27" t="s">
        <v>1986</v>
      </c>
      <c r="C704" s="43" t="n">
        <v>505.44</v>
      </c>
      <c r="D704" s="27" t="n">
        <v>0</v>
      </c>
      <c r="E704" s="27" t="n">
        <v>48</v>
      </c>
      <c r="F704" s="27" t="n">
        <v>10.53</v>
      </c>
      <c r="G704" s="27" t="s">
        <v>1875</v>
      </c>
      <c r="H704" s="27" t="s">
        <v>68</v>
      </c>
      <c r="I704" s="27" t="s">
        <v>1876</v>
      </c>
      <c r="J704" s="27" t="s">
        <v>1877</v>
      </c>
      <c r="K704" s="27" t="n">
        <v>2424</v>
      </c>
      <c r="L704" s="27" t="n">
        <v>703</v>
      </c>
      <c r="M704" s="28" t="n">
        <f aca="false">IFERROR(VLOOKUP((OFFSET(hoje12_326_ana9,703,10,1,1)&amp;"."&amp;OFFSET(hoje12_326_ana9,703,11,1,1)),'12.326'!A:D,4,0),"-")</f>
        <v>14071909000145</v>
      </c>
    </row>
    <row r="705" customFormat="false" ht="14.4" hidden="false" customHeight="false" outlineLevel="0" collapsed="false">
      <c r="A705" s="27" t="n">
        <v>11100963</v>
      </c>
      <c r="B705" s="27" t="s">
        <v>1988</v>
      </c>
      <c r="C705" s="43" t="n">
        <v>161.76</v>
      </c>
      <c r="D705" s="27" t="n">
        <v>0</v>
      </c>
      <c r="E705" s="27" t="n">
        <v>12</v>
      </c>
      <c r="F705" s="27" t="n">
        <v>13.48</v>
      </c>
      <c r="G705" s="27" t="s">
        <v>1875</v>
      </c>
      <c r="H705" s="27" t="s">
        <v>68</v>
      </c>
      <c r="I705" s="27" t="s">
        <v>1876</v>
      </c>
      <c r="J705" s="27" t="s">
        <v>1877</v>
      </c>
      <c r="K705" s="27" t="n">
        <v>2424</v>
      </c>
      <c r="L705" s="27" t="n">
        <v>703</v>
      </c>
      <c r="M705" s="28" t="n">
        <f aca="false">IFERROR(VLOOKUP((OFFSET(hoje12_326_ana9,704,10,1,1)&amp;"."&amp;OFFSET(hoje12_326_ana9,704,11,1,1)),'12.326'!A:D,4,0),"-")</f>
        <v>14071909000145</v>
      </c>
    </row>
    <row r="706" customFormat="false" ht="14.4" hidden="false" customHeight="false" outlineLevel="0" collapsed="false">
      <c r="A706" s="27" t="n">
        <v>11100971</v>
      </c>
      <c r="B706" s="27" t="s">
        <v>2253</v>
      </c>
      <c r="C706" s="43" t="n">
        <v>123.01</v>
      </c>
      <c r="D706" s="27" t="n">
        <v>21.71</v>
      </c>
      <c r="E706" s="27" t="n">
        <v>12</v>
      </c>
      <c r="F706" s="27" t="n">
        <v>12.06</v>
      </c>
      <c r="G706" s="27" t="s">
        <v>1875</v>
      </c>
      <c r="H706" s="27" t="s">
        <v>1892</v>
      </c>
      <c r="I706" s="27" t="s">
        <v>1876</v>
      </c>
      <c r="J706" s="27" t="s">
        <v>2254</v>
      </c>
      <c r="K706" s="27" t="n">
        <v>2424</v>
      </c>
      <c r="L706" s="27" t="n">
        <v>703</v>
      </c>
      <c r="M706" s="28" t="n">
        <f aca="false">IFERROR(VLOOKUP((OFFSET(hoje12_326_ana9,705,10,1,1)&amp;"."&amp;OFFSET(hoje12_326_ana9,705,11,1,1)),'12.326'!A:D,4,0),"-")</f>
        <v>14071909000145</v>
      </c>
    </row>
    <row r="707" customFormat="false" ht="14.4" hidden="false" customHeight="false" outlineLevel="0" collapsed="false">
      <c r="A707" s="27" t="n">
        <v>11100976</v>
      </c>
      <c r="B707" s="27" t="s">
        <v>2139</v>
      </c>
      <c r="C707" s="43" t="n">
        <v>168.91</v>
      </c>
      <c r="D707" s="27" t="n">
        <v>62.21</v>
      </c>
      <c r="E707" s="27" t="n">
        <v>108</v>
      </c>
      <c r="F707" s="27" t="n">
        <v>2.14</v>
      </c>
      <c r="G707" s="27" t="s">
        <v>1875</v>
      </c>
      <c r="H707" s="27" t="s">
        <v>2140</v>
      </c>
      <c r="I707" s="27" t="s">
        <v>1876</v>
      </c>
      <c r="J707" s="27" t="s">
        <v>2156</v>
      </c>
      <c r="K707" s="27" t="n">
        <v>2424</v>
      </c>
      <c r="L707" s="27" t="n">
        <v>703</v>
      </c>
      <c r="M707" s="28" t="n">
        <f aca="false">IFERROR(VLOOKUP((OFFSET(hoje12_326_ana9,706,10,1,1)&amp;"."&amp;OFFSET(hoje12_326_ana9,706,11,1,1)),'12.326'!A:D,4,0),"-")</f>
        <v>14071909000145</v>
      </c>
    </row>
    <row r="708" customFormat="false" ht="14.4" hidden="false" customHeight="false" outlineLevel="0" collapsed="false">
      <c r="A708" s="27" t="n">
        <v>11100978</v>
      </c>
      <c r="B708" s="27" t="s">
        <v>2255</v>
      </c>
      <c r="C708" s="43" t="n">
        <v>115.36</v>
      </c>
      <c r="D708" s="27" t="n">
        <v>20.36</v>
      </c>
      <c r="E708" s="27" t="n">
        <v>6</v>
      </c>
      <c r="F708" s="27" t="n">
        <v>22.62</v>
      </c>
      <c r="G708" s="27" t="s">
        <v>1875</v>
      </c>
      <c r="H708" s="27" t="s">
        <v>1892</v>
      </c>
      <c r="I708" s="27" t="s">
        <v>1876</v>
      </c>
      <c r="J708" s="27" t="s">
        <v>2256</v>
      </c>
      <c r="K708" s="27" t="n">
        <v>2424</v>
      </c>
      <c r="L708" s="27" t="n">
        <v>703</v>
      </c>
      <c r="M708" s="28" t="n">
        <f aca="false">IFERROR(VLOOKUP((OFFSET(hoje12_326_ana9,707,10,1,1)&amp;"."&amp;OFFSET(hoje12_326_ana9,707,11,1,1)),'12.326'!A:D,4,0),"-")</f>
        <v>14071909000145</v>
      </c>
    </row>
    <row r="709" customFormat="false" ht="14.4" hidden="false" customHeight="false" outlineLevel="0" collapsed="false">
      <c r="A709" s="27" t="n">
        <v>11100984</v>
      </c>
      <c r="B709" s="27" t="s">
        <v>2257</v>
      </c>
      <c r="C709" s="43" t="n">
        <v>65.79</v>
      </c>
      <c r="D709" s="27" t="n">
        <v>11.61</v>
      </c>
      <c r="E709" s="27" t="n">
        <v>6</v>
      </c>
      <c r="F709" s="27" t="n">
        <v>12.9</v>
      </c>
      <c r="G709" s="27" t="s">
        <v>1875</v>
      </c>
      <c r="H709" s="27" t="s">
        <v>1892</v>
      </c>
      <c r="I709" s="27" t="s">
        <v>1876</v>
      </c>
      <c r="J709" s="27" t="s">
        <v>2258</v>
      </c>
      <c r="K709" s="27" t="n">
        <v>2424</v>
      </c>
      <c r="L709" s="27" t="n">
        <v>703</v>
      </c>
      <c r="M709" s="28" t="n">
        <f aca="false">IFERROR(VLOOKUP((OFFSET(hoje12_326_ana9,708,10,1,1)&amp;"."&amp;OFFSET(hoje12_326_ana9,708,11,1,1)),'12.326'!A:D,4,0),"-")</f>
        <v>14071909000145</v>
      </c>
    </row>
    <row r="710" customFormat="false" ht="14.4" hidden="false" customHeight="false" outlineLevel="0" collapsed="false">
      <c r="A710" s="27" t="n">
        <v>11100985</v>
      </c>
      <c r="B710" s="27" t="s">
        <v>1906</v>
      </c>
      <c r="C710" s="43" t="n">
        <v>106.9</v>
      </c>
      <c r="D710" s="27" t="n">
        <v>18.86</v>
      </c>
      <c r="E710" s="27" t="n">
        <v>6</v>
      </c>
      <c r="F710" s="27" t="n">
        <v>20.96</v>
      </c>
      <c r="G710" s="27" t="s">
        <v>1875</v>
      </c>
      <c r="H710" s="27" t="s">
        <v>1892</v>
      </c>
      <c r="I710" s="27" t="s">
        <v>1876</v>
      </c>
      <c r="J710" s="27" t="s">
        <v>2182</v>
      </c>
      <c r="K710" s="27" t="n">
        <v>2424</v>
      </c>
      <c r="L710" s="27" t="n">
        <v>703</v>
      </c>
      <c r="M710" s="28" t="n">
        <f aca="false">IFERROR(VLOOKUP((OFFSET(hoje12_326_ana9,709,10,1,1)&amp;"."&amp;OFFSET(hoje12_326_ana9,709,11,1,1)),'12.326'!A:D,4,0),"-")</f>
        <v>14071909000145</v>
      </c>
    </row>
    <row r="711" customFormat="false" ht="14.4" hidden="false" customHeight="false" outlineLevel="0" collapsed="false">
      <c r="A711" s="27" t="n">
        <v>11100986</v>
      </c>
      <c r="B711" s="27" t="s">
        <v>1902</v>
      </c>
      <c r="C711" s="43" t="n">
        <v>88.03</v>
      </c>
      <c r="D711" s="27" t="n">
        <v>15.53</v>
      </c>
      <c r="E711" s="27" t="n">
        <v>6</v>
      </c>
      <c r="F711" s="27" t="n">
        <v>17.26</v>
      </c>
      <c r="G711" s="27" t="s">
        <v>1875</v>
      </c>
      <c r="H711" s="27" t="s">
        <v>1892</v>
      </c>
      <c r="I711" s="27" t="s">
        <v>1876</v>
      </c>
      <c r="J711" s="27" t="s">
        <v>2183</v>
      </c>
      <c r="K711" s="27" t="n">
        <v>2424</v>
      </c>
      <c r="L711" s="27" t="n">
        <v>703</v>
      </c>
      <c r="M711" s="28" t="n">
        <f aca="false">IFERROR(VLOOKUP((OFFSET(hoje12_326_ana9,710,10,1,1)&amp;"."&amp;OFFSET(hoje12_326_ana9,710,11,1,1)),'12.326'!A:D,4,0),"-")</f>
        <v>14071909000145</v>
      </c>
    </row>
    <row r="712" customFormat="false" ht="14.4" hidden="false" customHeight="false" outlineLevel="0" collapsed="false">
      <c r="A712" s="27" t="n">
        <v>11100987</v>
      </c>
      <c r="B712" s="27" t="s">
        <v>1890</v>
      </c>
      <c r="C712" s="43" t="n">
        <v>426.38</v>
      </c>
      <c r="D712" s="27" t="n">
        <v>75.22</v>
      </c>
      <c r="E712" s="27" t="n">
        <v>48</v>
      </c>
      <c r="F712" s="27" t="n">
        <v>10.45</v>
      </c>
      <c r="G712" s="27" t="s">
        <v>1875</v>
      </c>
      <c r="H712" s="27" t="s">
        <v>1892</v>
      </c>
      <c r="I712" s="27" t="s">
        <v>1876</v>
      </c>
      <c r="J712" s="27" t="s">
        <v>2146</v>
      </c>
      <c r="K712" s="27" t="n">
        <v>2424</v>
      </c>
      <c r="L712" s="27" t="n">
        <v>703</v>
      </c>
      <c r="M712" s="28" t="n">
        <f aca="false">IFERROR(VLOOKUP((OFFSET(hoje12_326_ana9,711,10,1,1)&amp;"."&amp;OFFSET(hoje12_326_ana9,711,11,1,1)),'12.326'!A:D,4,0),"-")</f>
        <v>14071909000145</v>
      </c>
    </row>
    <row r="713" customFormat="false" ht="14.4" hidden="false" customHeight="false" outlineLevel="0" collapsed="false">
      <c r="A713" s="27" t="n">
        <v>11100990</v>
      </c>
      <c r="B713" s="27" t="s">
        <v>1900</v>
      </c>
      <c r="C713" s="43" t="n">
        <v>66.3</v>
      </c>
      <c r="D713" s="27" t="n">
        <v>11.7</v>
      </c>
      <c r="E713" s="27" t="n">
        <v>12</v>
      </c>
      <c r="F713" s="27" t="n">
        <v>6.5</v>
      </c>
      <c r="G713" s="27" t="s">
        <v>1875</v>
      </c>
      <c r="H713" s="27" t="s">
        <v>1892</v>
      </c>
      <c r="I713" s="27" t="s">
        <v>1876</v>
      </c>
      <c r="J713" s="27" t="s">
        <v>2122</v>
      </c>
      <c r="K713" s="27" t="n">
        <v>2424</v>
      </c>
      <c r="L713" s="27" t="n">
        <v>703</v>
      </c>
      <c r="M713" s="28" t="n">
        <f aca="false">IFERROR(VLOOKUP((OFFSET(hoje12_326_ana9,712,10,1,1)&amp;"."&amp;OFFSET(hoje12_326_ana9,712,11,1,1)),'12.326'!A:D,4,0),"-")</f>
        <v>14071909000145</v>
      </c>
    </row>
    <row r="714" customFormat="false" ht="14.4" hidden="false" customHeight="false" outlineLevel="0" collapsed="false">
      <c r="A714" s="27" t="n">
        <v>11100992</v>
      </c>
      <c r="B714" s="27" t="s">
        <v>1891</v>
      </c>
      <c r="C714" s="43" t="n">
        <v>626.3</v>
      </c>
      <c r="D714" s="27" t="n">
        <v>110.5</v>
      </c>
      <c r="E714" s="27" t="n">
        <v>48</v>
      </c>
      <c r="F714" s="27" t="n">
        <v>15.35</v>
      </c>
      <c r="G714" s="27" t="s">
        <v>1875</v>
      </c>
      <c r="H714" s="27" t="s">
        <v>1892</v>
      </c>
      <c r="I714" s="27" t="s">
        <v>1876</v>
      </c>
      <c r="J714" s="27" t="s">
        <v>2259</v>
      </c>
      <c r="K714" s="27" t="n">
        <v>2424</v>
      </c>
      <c r="L714" s="27" t="n">
        <v>703</v>
      </c>
      <c r="M714" s="28" t="n">
        <f aca="false">IFERROR(VLOOKUP((OFFSET(hoje12_326_ana9,713,10,1,1)&amp;"."&amp;OFFSET(hoje12_326_ana9,713,11,1,1)),'12.326'!A:D,4,0),"-")</f>
        <v>14071909000145</v>
      </c>
    </row>
    <row r="715" customFormat="false" ht="14.4" hidden="false" customHeight="false" outlineLevel="0" collapsed="false">
      <c r="A715" s="27" t="n">
        <v>11100993</v>
      </c>
      <c r="B715" s="27" t="s">
        <v>1898</v>
      </c>
      <c r="C715" s="43" t="n">
        <v>66.3</v>
      </c>
      <c r="D715" s="27" t="n">
        <v>11.7</v>
      </c>
      <c r="E715" s="27" t="n">
        <v>12</v>
      </c>
      <c r="F715" s="27" t="n">
        <v>6.5</v>
      </c>
      <c r="G715" s="27" t="s">
        <v>1875</v>
      </c>
      <c r="H715" s="27" t="s">
        <v>1892</v>
      </c>
      <c r="I715" s="27" t="s">
        <v>1876</v>
      </c>
      <c r="J715" s="27" t="s">
        <v>2122</v>
      </c>
      <c r="K715" s="27" t="n">
        <v>2424</v>
      </c>
      <c r="L715" s="27" t="n">
        <v>703</v>
      </c>
      <c r="M715" s="28" t="n">
        <f aca="false">IFERROR(VLOOKUP((OFFSET(hoje12_326_ana9,714,10,1,1)&amp;"."&amp;OFFSET(hoje12_326_ana9,714,11,1,1)),'12.326'!A:D,4,0),"-")</f>
        <v>14071909000145</v>
      </c>
    </row>
    <row r="716" customFormat="false" ht="14.4" hidden="false" customHeight="false" outlineLevel="0" collapsed="false">
      <c r="A716" s="27" t="n">
        <v>11100998</v>
      </c>
      <c r="B716" s="27" t="s">
        <v>1887</v>
      </c>
      <c r="C716" s="43" t="n">
        <v>306.22</v>
      </c>
      <c r="D716" s="27" t="n">
        <v>54.02</v>
      </c>
      <c r="E716" s="27" t="n">
        <v>24</v>
      </c>
      <c r="F716" s="27" t="n">
        <v>15.01</v>
      </c>
      <c r="G716" s="27" t="s">
        <v>1875</v>
      </c>
      <c r="H716" s="27" t="s">
        <v>1892</v>
      </c>
      <c r="I716" s="27" t="s">
        <v>1876</v>
      </c>
      <c r="J716" s="27" t="s">
        <v>2150</v>
      </c>
      <c r="K716" s="27" t="n">
        <v>2424</v>
      </c>
      <c r="L716" s="27" t="n">
        <v>703</v>
      </c>
      <c r="M716" s="28" t="n">
        <f aca="false">IFERROR(VLOOKUP((OFFSET(hoje12_326_ana9,715,10,1,1)&amp;"."&amp;OFFSET(hoje12_326_ana9,715,11,1,1)),'12.326'!A:D,4,0),"-")</f>
        <v>14071909000145</v>
      </c>
    </row>
    <row r="717" customFormat="false" ht="14.4" hidden="false" customHeight="false" outlineLevel="0" collapsed="false">
      <c r="A717" s="27" t="n">
        <v>11101003</v>
      </c>
      <c r="B717" s="27" t="s">
        <v>1889</v>
      </c>
      <c r="C717" s="43" t="n">
        <v>54.88</v>
      </c>
      <c r="D717" s="27" t="n">
        <v>9.68</v>
      </c>
      <c r="E717" s="27" t="n">
        <v>6</v>
      </c>
      <c r="F717" s="27" t="n">
        <v>10.76</v>
      </c>
      <c r="G717" s="27" t="s">
        <v>1875</v>
      </c>
      <c r="H717" s="27" t="s">
        <v>1892</v>
      </c>
      <c r="I717" s="27" t="s">
        <v>1876</v>
      </c>
      <c r="J717" s="27" t="s">
        <v>1901</v>
      </c>
      <c r="K717" s="27" t="n">
        <v>2424</v>
      </c>
      <c r="L717" s="27" t="n">
        <v>703</v>
      </c>
      <c r="M717" s="28" t="n">
        <f aca="false">IFERROR(VLOOKUP((OFFSET(hoje12_326_ana9,716,10,1,1)&amp;"."&amp;OFFSET(hoje12_326_ana9,716,11,1,1)),'12.326'!A:D,4,0),"-")</f>
        <v>14071909000145</v>
      </c>
    </row>
    <row r="718" customFormat="false" ht="14.4" hidden="false" customHeight="false" outlineLevel="0" collapsed="false">
      <c r="A718" s="27" t="n">
        <v>11101004</v>
      </c>
      <c r="B718" s="27" t="s">
        <v>1888</v>
      </c>
      <c r="C718" s="43" t="n">
        <v>54.88</v>
      </c>
      <c r="D718" s="27" t="n">
        <v>9.68</v>
      </c>
      <c r="E718" s="27" t="n">
        <v>6</v>
      </c>
      <c r="F718" s="27" t="n">
        <v>10.76</v>
      </c>
      <c r="G718" s="27" t="s">
        <v>1875</v>
      </c>
      <c r="H718" s="27" t="s">
        <v>1892</v>
      </c>
      <c r="I718" s="27" t="s">
        <v>1876</v>
      </c>
      <c r="J718" s="27" t="s">
        <v>1901</v>
      </c>
      <c r="K718" s="27" t="n">
        <v>2424</v>
      </c>
      <c r="L718" s="27" t="n">
        <v>703</v>
      </c>
      <c r="M718" s="28" t="n">
        <f aca="false">IFERROR(VLOOKUP((OFFSET(hoje12_326_ana9,717,10,1,1)&amp;"."&amp;OFFSET(hoje12_326_ana9,717,11,1,1)),'12.326'!A:D,4,0),"-")</f>
        <v>14071909000145</v>
      </c>
    </row>
    <row r="719" customFormat="false" ht="14.4" hidden="false" customHeight="false" outlineLevel="0" collapsed="false">
      <c r="A719" s="27" t="n">
        <v>11100995</v>
      </c>
      <c r="B719" s="27" t="s">
        <v>1897</v>
      </c>
      <c r="C719" s="43" t="n">
        <v>349.03</v>
      </c>
      <c r="D719" s="27" t="n">
        <v>7.13</v>
      </c>
      <c r="E719" s="27" t="n">
        <v>24</v>
      </c>
      <c r="F719" s="27" t="n">
        <v>14.84</v>
      </c>
      <c r="G719" s="27" t="s">
        <v>1875</v>
      </c>
      <c r="H719" s="27" t="s">
        <v>2011</v>
      </c>
      <c r="I719" s="27" t="s">
        <v>1876</v>
      </c>
      <c r="J719" s="27" t="s">
        <v>2260</v>
      </c>
      <c r="K719" s="27" t="n">
        <v>2424</v>
      </c>
      <c r="L719" s="27" t="n">
        <v>703</v>
      </c>
      <c r="M719" s="28" t="n">
        <f aca="false">IFERROR(VLOOKUP((OFFSET(hoje12_326_ana9,718,10,1,1)&amp;"."&amp;OFFSET(hoje12_326_ana9,718,11,1,1)),'12.326'!A:D,4,0),"-")</f>
        <v>14071909000145</v>
      </c>
    </row>
    <row r="720" customFormat="false" ht="14.4" hidden="false" customHeight="false" outlineLevel="0" collapsed="false">
      <c r="A720" s="27" t="n">
        <v>11100837</v>
      </c>
      <c r="B720" s="27" t="s">
        <v>1971</v>
      </c>
      <c r="C720" s="43" t="n">
        <v>65.83</v>
      </c>
      <c r="D720" s="27" t="n">
        <v>7.31</v>
      </c>
      <c r="E720" s="27" t="n">
        <v>6</v>
      </c>
      <c r="F720" s="27" t="n">
        <v>12.19</v>
      </c>
      <c r="G720" s="27" t="s">
        <v>1875</v>
      </c>
      <c r="H720" s="27" t="s">
        <v>1895</v>
      </c>
      <c r="I720" s="27" t="s">
        <v>1876</v>
      </c>
      <c r="J720" s="27" t="s">
        <v>2261</v>
      </c>
      <c r="K720" s="27" t="n">
        <v>2431</v>
      </c>
      <c r="L720" s="27" t="n">
        <v>703</v>
      </c>
      <c r="M720" s="28" t="n">
        <f aca="false">IFERROR(VLOOKUP((OFFSET(hoje12_326_ana9,719,10,1,1)&amp;"."&amp;OFFSET(hoje12_326_ana9,719,11,1,1)),'12.326'!A:D,4,0),"-")</f>
        <v>5348350000167</v>
      </c>
    </row>
    <row r="721" customFormat="false" ht="14.4" hidden="false" customHeight="false" outlineLevel="0" collapsed="false">
      <c r="A721" s="27" t="n">
        <v>11100830</v>
      </c>
      <c r="B721" s="27" t="s">
        <v>1969</v>
      </c>
      <c r="C721" s="43" t="n">
        <v>141.8</v>
      </c>
      <c r="D721" s="27" t="n">
        <v>15.76</v>
      </c>
      <c r="E721" s="27" t="n">
        <v>12</v>
      </c>
      <c r="F721" s="27" t="n">
        <v>13.13</v>
      </c>
      <c r="G721" s="27" t="s">
        <v>1875</v>
      </c>
      <c r="H721" s="27" t="s">
        <v>1895</v>
      </c>
      <c r="I721" s="27" t="s">
        <v>1876</v>
      </c>
      <c r="J721" s="27" t="s">
        <v>2167</v>
      </c>
      <c r="K721" s="27" t="n">
        <v>2431</v>
      </c>
      <c r="L721" s="27" t="n">
        <v>703</v>
      </c>
      <c r="M721" s="28" t="n">
        <f aca="false">IFERROR(VLOOKUP((OFFSET(hoje12_326_ana9,720,10,1,1)&amp;"."&amp;OFFSET(hoje12_326_ana9,720,11,1,1)),'12.326'!A:D,4,0),"-")</f>
        <v>5348350000167</v>
      </c>
    </row>
    <row r="722" customFormat="false" ht="14.4" hidden="false" customHeight="false" outlineLevel="0" collapsed="false">
      <c r="A722" s="27" t="n">
        <v>11100010</v>
      </c>
      <c r="B722" s="27" t="s">
        <v>2206</v>
      </c>
      <c r="C722" s="43" t="n">
        <v>90.36</v>
      </c>
      <c r="D722" s="27" t="n">
        <v>0</v>
      </c>
      <c r="E722" s="27" t="n">
        <v>12</v>
      </c>
      <c r="F722" s="27" t="n">
        <v>7.53</v>
      </c>
      <c r="G722" s="27" t="s">
        <v>1875</v>
      </c>
      <c r="H722" s="27" t="s">
        <v>68</v>
      </c>
      <c r="I722" s="27" t="s">
        <v>1876</v>
      </c>
      <c r="J722" s="27" t="s">
        <v>1877</v>
      </c>
      <c r="K722" s="27" t="n">
        <v>2431</v>
      </c>
      <c r="L722" s="27" t="n">
        <v>703</v>
      </c>
      <c r="M722" s="28" t="n">
        <f aca="false">IFERROR(VLOOKUP((OFFSET(hoje12_326_ana9,721,10,1,1)&amp;"."&amp;OFFSET(hoje12_326_ana9,721,11,1,1)),'12.326'!A:D,4,0),"-")</f>
        <v>5348350000167</v>
      </c>
    </row>
    <row r="723" customFormat="false" ht="14.4" hidden="false" customHeight="false" outlineLevel="0" collapsed="false">
      <c r="A723" s="27" t="n">
        <v>11100017</v>
      </c>
      <c r="B723" s="27" t="s">
        <v>1878</v>
      </c>
      <c r="C723" s="43" t="n">
        <v>90.36</v>
      </c>
      <c r="D723" s="27" t="n">
        <v>0</v>
      </c>
      <c r="E723" s="27" t="n">
        <v>12</v>
      </c>
      <c r="F723" s="27" t="n">
        <v>7.53</v>
      </c>
      <c r="G723" s="27" t="s">
        <v>1875</v>
      </c>
      <c r="H723" s="27" t="s">
        <v>68</v>
      </c>
      <c r="I723" s="27" t="s">
        <v>1876</v>
      </c>
      <c r="J723" s="27" t="s">
        <v>1877</v>
      </c>
      <c r="K723" s="27" t="n">
        <v>2431</v>
      </c>
      <c r="L723" s="27" t="n">
        <v>703</v>
      </c>
      <c r="M723" s="28" t="n">
        <f aca="false">IFERROR(VLOOKUP((OFFSET(hoje12_326_ana9,722,10,1,1)&amp;"."&amp;OFFSET(hoje12_326_ana9,722,11,1,1)),'12.326'!A:D,4,0),"-")</f>
        <v>5348350000167</v>
      </c>
    </row>
    <row r="724" customFormat="false" ht="14.4" hidden="false" customHeight="false" outlineLevel="0" collapsed="false">
      <c r="A724" s="27" t="n">
        <v>11100019</v>
      </c>
      <c r="B724" s="27" t="s">
        <v>2262</v>
      </c>
      <c r="C724" s="43" t="n">
        <v>90.36</v>
      </c>
      <c r="D724" s="27" t="n">
        <v>0</v>
      </c>
      <c r="E724" s="27" t="n">
        <v>12</v>
      </c>
      <c r="F724" s="27" t="n">
        <v>7.53</v>
      </c>
      <c r="G724" s="27" t="s">
        <v>1875</v>
      </c>
      <c r="H724" s="27" t="s">
        <v>68</v>
      </c>
      <c r="I724" s="27" t="s">
        <v>1876</v>
      </c>
      <c r="J724" s="27" t="s">
        <v>1877</v>
      </c>
      <c r="K724" s="27" t="n">
        <v>2431</v>
      </c>
      <c r="L724" s="27" t="n">
        <v>703</v>
      </c>
      <c r="M724" s="28" t="n">
        <f aca="false">IFERROR(VLOOKUP((OFFSET(hoje12_326_ana9,723,10,1,1)&amp;"."&amp;OFFSET(hoje12_326_ana9,723,11,1,1)),'12.326'!A:D,4,0),"-")</f>
        <v>5348350000167</v>
      </c>
    </row>
    <row r="725" customFormat="false" ht="14.4" hidden="false" customHeight="false" outlineLevel="0" collapsed="false">
      <c r="A725" s="27" t="n">
        <v>11100034</v>
      </c>
      <c r="B725" s="27" t="s">
        <v>1879</v>
      </c>
      <c r="C725" s="43" t="n">
        <v>58.68</v>
      </c>
      <c r="D725" s="27" t="n">
        <v>1.2</v>
      </c>
      <c r="E725" s="27" t="n">
        <v>12</v>
      </c>
      <c r="F725" s="27" t="n">
        <v>4.99</v>
      </c>
      <c r="G725" s="27" t="s">
        <v>1875</v>
      </c>
      <c r="H725" s="27" t="s">
        <v>2011</v>
      </c>
      <c r="I725" s="27" t="s">
        <v>1876</v>
      </c>
      <c r="J725" s="27" t="s">
        <v>2081</v>
      </c>
      <c r="K725" s="27" t="n">
        <v>2431</v>
      </c>
      <c r="L725" s="27" t="n">
        <v>703</v>
      </c>
      <c r="M725" s="28" t="n">
        <f aca="false">IFERROR(VLOOKUP((OFFSET(hoje12_326_ana9,724,10,1,1)&amp;"."&amp;OFFSET(hoje12_326_ana9,724,11,1,1)),'12.326'!A:D,4,0),"-")</f>
        <v>5348350000167</v>
      </c>
    </row>
    <row r="726" customFormat="false" ht="14.4" hidden="false" customHeight="false" outlineLevel="0" collapsed="false">
      <c r="A726" s="27" t="n">
        <v>11100036</v>
      </c>
      <c r="B726" s="27" t="s">
        <v>2263</v>
      </c>
      <c r="C726" s="43" t="n">
        <v>58.68</v>
      </c>
      <c r="D726" s="27" t="n">
        <v>1.2</v>
      </c>
      <c r="E726" s="27" t="n">
        <v>12</v>
      </c>
      <c r="F726" s="27" t="n">
        <v>4.99</v>
      </c>
      <c r="G726" s="27" t="s">
        <v>1875</v>
      </c>
      <c r="H726" s="27" t="s">
        <v>2011</v>
      </c>
      <c r="I726" s="27" t="s">
        <v>1876</v>
      </c>
      <c r="J726" s="27" t="s">
        <v>2081</v>
      </c>
      <c r="K726" s="27" t="n">
        <v>2431</v>
      </c>
      <c r="L726" s="27" t="n">
        <v>703</v>
      </c>
      <c r="M726" s="28" t="n">
        <f aca="false">IFERROR(VLOOKUP((OFFSET(hoje12_326_ana9,725,10,1,1)&amp;"."&amp;OFFSET(hoje12_326_ana9,725,11,1,1)),'12.326'!A:D,4,0),"-")</f>
        <v>5348350000167</v>
      </c>
    </row>
    <row r="727" customFormat="false" ht="14.4" hidden="false" customHeight="false" outlineLevel="0" collapsed="false">
      <c r="A727" s="27" t="n">
        <v>11100039</v>
      </c>
      <c r="B727" s="27" t="s">
        <v>2264</v>
      </c>
      <c r="C727" s="43" t="n">
        <v>58.68</v>
      </c>
      <c r="D727" s="27" t="n">
        <v>1.2</v>
      </c>
      <c r="E727" s="27" t="n">
        <v>12</v>
      </c>
      <c r="F727" s="27" t="n">
        <v>4.99</v>
      </c>
      <c r="G727" s="27" t="s">
        <v>1875</v>
      </c>
      <c r="H727" s="27" t="s">
        <v>2011</v>
      </c>
      <c r="I727" s="27" t="s">
        <v>1876</v>
      </c>
      <c r="J727" s="27" t="s">
        <v>2081</v>
      </c>
      <c r="K727" s="27" t="n">
        <v>2431</v>
      </c>
      <c r="L727" s="27" t="n">
        <v>703</v>
      </c>
      <c r="M727" s="28" t="n">
        <f aca="false">IFERROR(VLOOKUP((OFFSET(hoje12_326_ana9,726,10,1,1)&amp;"."&amp;OFFSET(hoje12_326_ana9,726,11,1,1)),'12.326'!A:D,4,0),"-")</f>
        <v>5348350000167</v>
      </c>
    </row>
    <row r="728" customFormat="false" ht="14.4" hidden="false" customHeight="false" outlineLevel="0" collapsed="false">
      <c r="A728" s="27" t="n">
        <v>11100065</v>
      </c>
      <c r="B728" s="27" t="s">
        <v>2207</v>
      </c>
      <c r="C728" s="43" t="n">
        <v>378.9</v>
      </c>
      <c r="D728" s="27" t="n">
        <v>7.74</v>
      </c>
      <c r="E728" s="27" t="n">
        <v>36</v>
      </c>
      <c r="F728" s="27" t="n">
        <v>10.74</v>
      </c>
      <c r="G728" s="27" t="s">
        <v>1875</v>
      </c>
      <c r="H728" s="27" t="s">
        <v>2011</v>
      </c>
      <c r="I728" s="27" t="s">
        <v>1876</v>
      </c>
      <c r="J728" s="27" t="s">
        <v>2265</v>
      </c>
      <c r="K728" s="27" t="n">
        <v>2431</v>
      </c>
      <c r="L728" s="27" t="n">
        <v>703</v>
      </c>
      <c r="M728" s="28" t="n">
        <f aca="false">IFERROR(VLOOKUP((OFFSET(hoje12_326_ana9,727,10,1,1)&amp;"."&amp;OFFSET(hoje12_326_ana9,727,11,1,1)),'12.326'!A:D,4,0),"-")</f>
        <v>5348350000167</v>
      </c>
    </row>
    <row r="729" customFormat="false" ht="14.4" hidden="false" customHeight="false" outlineLevel="0" collapsed="false">
      <c r="A729" s="27" t="n">
        <v>11100066</v>
      </c>
      <c r="B729" s="27" t="s">
        <v>2111</v>
      </c>
      <c r="C729" s="43" t="n">
        <v>307.44</v>
      </c>
      <c r="D729" s="27" t="n">
        <v>54.24</v>
      </c>
      <c r="E729" s="27" t="n">
        <v>24</v>
      </c>
      <c r="F729" s="27" t="n">
        <v>15.07</v>
      </c>
      <c r="G729" s="27" t="s">
        <v>1875</v>
      </c>
      <c r="H729" s="27" t="s">
        <v>1892</v>
      </c>
      <c r="I729" s="27" t="s">
        <v>1876</v>
      </c>
      <c r="J729" s="27" t="s">
        <v>2266</v>
      </c>
      <c r="K729" s="27" t="n">
        <v>2431</v>
      </c>
      <c r="L729" s="27" t="n">
        <v>703</v>
      </c>
      <c r="M729" s="28" t="n">
        <f aca="false">IFERROR(VLOOKUP((OFFSET(hoje12_326_ana9,728,10,1,1)&amp;"."&amp;OFFSET(hoje12_326_ana9,728,11,1,1)),'12.326'!A:D,4,0),"-")</f>
        <v>5348350000167</v>
      </c>
    </row>
    <row r="730" customFormat="false" ht="14.4" hidden="false" customHeight="false" outlineLevel="0" collapsed="false">
      <c r="A730" s="27" t="n">
        <v>11100075</v>
      </c>
      <c r="B730" s="27" t="s">
        <v>2267</v>
      </c>
      <c r="C730" s="43" t="n">
        <v>231.08</v>
      </c>
      <c r="D730" s="27" t="n">
        <v>4.72</v>
      </c>
      <c r="E730" s="27" t="n">
        <v>12</v>
      </c>
      <c r="F730" s="27" t="n">
        <v>19.65</v>
      </c>
      <c r="G730" s="27" t="s">
        <v>1875</v>
      </c>
      <c r="H730" s="27" t="s">
        <v>2011</v>
      </c>
      <c r="I730" s="27" t="s">
        <v>1876</v>
      </c>
      <c r="J730" s="27" t="s">
        <v>2268</v>
      </c>
      <c r="K730" s="27" t="n">
        <v>2431</v>
      </c>
      <c r="L730" s="27" t="n">
        <v>703</v>
      </c>
      <c r="M730" s="28" t="n">
        <f aca="false">IFERROR(VLOOKUP((OFFSET(hoje12_326_ana9,729,10,1,1)&amp;"."&amp;OFFSET(hoje12_326_ana9,729,11,1,1)),'12.326'!A:D,4,0),"-")</f>
        <v>5348350000167</v>
      </c>
    </row>
    <row r="731" customFormat="false" ht="14.4" hidden="false" customHeight="false" outlineLevel="0" collapsed="false">
      <c r="A731" s="27" t="n">
        <v>11100098</v>
      </c>
      <c r="B731" s="27" t="s">
        <v>2269</v>
      </c>
      <c r="C731" s="43" t="n">
        <v>331.87</v>
      </c>
      <c r="D731" s="27" t="n">
        <v>6.77</v>
      </c>
      <c r="E731" s="27" t="n">
        <v>24</v>
      </c>
      <c r="F731" s="27" t="n">
        <v>14.11</v>
      </c>
      <c r="G731" s="27" t="s">
        <v>1875</v>
      </c>
      <c r="H731" s="27" t="s">
        <v>2011</v>
      </c>
      <c r="I731" s="27" t="s">
        <v>1876</v>
      </c>
      <c r="J731" s="27" t="s">
        <v>2066</v>
      </c>
      <c r="K731" s="27" t="n">
        <v>2431</v>
      </c>
      <c r="L731" s="27" t="n">
        <v>703</v>
      </c>
      <c r="M731" s="28" t="n">
        <f aca="false">IFERROR(VLOOKUP((OFFSET(hoje12_326_ana9,730,10,1,1)&amp;"."&amp;OFFSET(hoje12_326_ana9,730,11,1,1)),'12.326'!A:D,4,0),"-")</f>
        <v>5348350000167</v>
      </c>
    </row>
    <row r="732" customFormat="false" ht="14.4" hidden="false" customHeight="false" outlineLevel="0" collapsed="false">
      <c r="A732" s="27" t="n">
        <v>11100106</v>
      </c>
      <c r="B732" s="27" t="s">
        <v>2270</v>
      </c>
      <c r="C732" s="43" t="n">
        <v>152.4</v>
      </c>
      <c r="D732" s="27" t="n">
        <v>3.12</v>
      </c>
      <c r="E732" s="27" t="n">
        <v>24</v>
      </c>
      <c r="F732" s="27" t="n">
        <v>6.48</v>
      </c>
      <c r="G732" s="27" t="s">
        <v>1875</v>
      </c>
      <c r="H732" s="27" t="s">
        <v>2011</v>
      </c>
      <c r="I732" s="27" t="s">
        <v>1876</v>
      </c>
      <c r="J732" s="27" t="s">
        <v>2271</v>
      </c>
      <c r="K732" s="27" t="n">
        <v>2431</v>
      </c>
      <c r="L732" s="27" t="n">
        <v>703</v>
      </c>
      <c r="M732" s="28" t="n">
        <f aca="false">IFERROR(VLOOKUP((OFFSET(hoje12_326_ana9,731,10,1,1)&amp;"."&amp;OFFSET(hoje12_326_ana9,731,11,1,1)),'12.326'!A:D,4,0),"-")</f>
        <v>5348350000167</v>
      </c>
    </row>
    <row r="733" customFormat="false" ht="14.4" hidden="false" customHeight="false" outlineLevel="0" collapsed="false">
      <c r="A733" s="27" t="n">
        <v>11100117</v>
      </c>
      <c r="B733" s="27" t="s">
        <v>2048</v>
      </c>
      <c r="C733" s="43" t="n">
        <v>353.98</v>
      </c>
      <c r="D733" s="27" t="n">
        <v>7.22</v>
      </c>
      <c r="E733" s="27" t="n">
        <v>24</v>
      </c>
      <c r="F733" s="27" t="n">
        <v>15.05</v>
      </c>
      <c r="G733" s="27" t="s">
        <v>1875</v>
      </c>
      <c r="H733" s="27" t="s">
        <v>2011</v>
      </c>
      <c r="I733" s="27" t="s">
        <v>1876</v>
      </c>
      <c r="J733" s="27" t="s">
        <v>2272</v>
      </c>
      <c r="K733" s="27" t="n">
        <v>2431</v>
      </c>
      <c r="L733" s="27" t="n">
        <v>703</v>
      </c>
      <c r="M733" s="28" t="n">
        <f aca="false">IFERROR(VLOOKUP((OFFSET(hoje12_326_ana9,732,10,1,1)&amp;"."&amp;OFFSET(hoje12_326_ana9,732,11,1,1)),'12.326'!A:D,4,0),"-")</f>
        <v>5348350000167</v>
      </c>
    </row>
    <row r="734" customFormat="false" ht="14.4" hidden="false" customHeight="false" outlineLevel="0" collapsed="false">
      <c r="A734" s="27" t="n">
        <v>11100120</v>
      </c>
      <c r="B734" s="27" t="s">
        <v>2212</v>
      </c>
      <c r="C734" s="43" t="n">
        <v>338.88</v>
      </c>
      <c r="D734" s="27" t="n">
        <v>0</v>
      </c>
      <c r="E734" s="27" t="n">
        <v>24</v>
      </c>
      <c r="F734" s="27" t="n">
        <v>14.12</v>
      </c>
      <c r="G734" s="27" t="s">
        <v>1875</v>
      </c>
      <c r="H734" s="27" t="s">
        <v>68</v>
      </c>
      <c r="I734" s="27" t="s">
        <v>1876</v>
      </c>
      <c r="J734" s="27" t="s">
        <v>1877</v>
      </c>
      <c r="K734" s="27" t="n">
        <v>2431</v>
      </c>
      <c r="L734" s="27" t="n">
        <v>703</v>
      </c>
      <c r="M734" s="28" t="n">
        <f aca="false">IFERROR(VLOOKUP((OFFSET(hoje12_326_ana9,733,10,1,1)&amp;"."&amp;OFFSET(hoje12_326_ana9,733,11,1,1)),'12.326'!A:D,4,0),"-")</f>
        <v>5348350000167</v>
      </c>
    </row>
    <row r="735" customFormat="false" ht="14.4" hidden="false" customHeight="false" outlineLevel="0" collapsed="false">
      <c r="A735" s="27" t="n">
        <v>11100121</v>
      </c>
      <c r="B735" s="27" t="s">
        <v>2213</v>
      </c>
      <c r="C735" s="43" t="n">
        <v>433.2</v>
      </c>
      <c r="D735" s="27" t="n">
        <v>0</v>
      </c>
      <c r="E735" s="27" t="n">
        <v>24</v>
      </c>
      <c r="F735" s="27" t="n">
        <v>18.05</v>
      </c>
      <c r="G735" s="27" t="s">
        <v>1875</v>
      </c>
      <c r="H735" s="27" t="s">
        <v>68</v>
      </c>
      <c r="I735" s="27" t="s">
        <v>1876</v>
      </c>
      <c r="J735" s="27" t="s">
        <v>1877</v>
      </c>
      <c r="K735" s="27" t="n">
        <v>2431</v>
      </c>
      <c r="L735" s="27" t="n">
        <v>703</v>
      </c>
      <c r="M735" s="28" t="n">
        <f aca="false">IFERROR(VLOOKUP((OFFSET(hoje12_326_ana9,734,10,1,1)&amp;"."&amp;OFFSET(hoje12_326_ana9,734,11,1,1)),'12.326'!A:D,4,0),"-")</f>
        <v>5348350000167</v>
      </c>
    </row>
    <row r="736" customFormat="false" ht="14.4" hidden="false" customHeight="false" outlineLevel="0" collapsed="false">
      <c r="A736" s="27" t="n">
        <v>11100137</v>
      </c>
      <c r="B736" s="27" t="s">
        <v>1914</v>
      </c>
      <c r="C736" s="43" t="n">
        <v>726.77</v>
      </c>
      <c r="D736" s="27" t="n">
        <v>14.83</v>
      </c>
      <c r="E736" s="27" t="n">
        <v>144</v>
      </c>
      <c r="F736" s="27" t="n">
        <v>5.15</v>
      </c>
      <c r="G736" s="27" t="s">
        <v>1875</v>
      </c>
      <c r="H736" s="27" t="s">
        <v>2011</v>
      </c>
      <c r="I736" s="27" t="s">
        <v>1876</v>
      </c>
      <c r="J736" s="27" t="s">
        <v>2273</v>
      </c>
      <c r="K736" s="27" t="n">
        <v>2431</v>
      </c>
      <c r="L736" s="27" t="n">
        <v>703</v>
      </c>
      <c r="M736" s="28" t="n">
        <f aca="false">IFERROR(VLOOKUP((OFFSET(hoje12_326_ana9,735,10,1,1)&amp;"."&amp;OFFSET(hoje12_326_ana9,735,11,1,1)),'12.326'!A:D,4,0),"-")</f>
        <v>5348350000167</v>
      </c>
    </row>
    <row r="737" customFormat="false" ht="14.4" hidden="false" customHeight="false" outlineLevel="0" collapsed="false">
      <c r="A737" s="27" t="n">
        <v>11100138</v>
      </c>
      <c r="B737" s="27" t="s">
        <v>2035</v>
      </c>
      <c r="C737" s="43" t="n">
        <v>579.31</v>
      </c>
      <c r="D737" s="27" t="n">
        <v>11.81</v>
      </c>
      <c r="E737" s="27" t="n">
        <v>72</v>
      </c>
      <c r="F737" s="27" t="n">
        <v>8.21</v>
      </c>
      <c r="G737" s="27" t="s">
        <v>1875</v>
      </c>
      <c r="H737" s="27" t="s">
        <v>2011</v>
      </c>
      <c r="I737" s="27" t="s">
        <v>1876</v>
      </c>
      <c r="J737" s="27" t="s">
        <v>2274</v>
      </c>
      <c r="K737" s="27" t="n">
        <v>2431</v>
      </c>
      <c r="L737" s="27" t="n">
        <v>703</v>
      </c>
      <c r="M737" s="28" t="n">
        <f aca="false">IFERROR(VLOOKUP((OFFSET(hoje12_326_ana9,736,10,1,1)&amp;"."&amp;OFFSET(hoje12_326_ana9,736,11,1,1)),'12.326'!A:D,4,0),"-")</f>
        <v>5348350000167</v>
      </c>
    </row>
    <row r="738" customFormat="false" ht="14.4" hidden="false" customHeight="false" outlineLevel="0" collapsed="false">
      <c r="A738" s="27" t="n">
        <v>11100142</v>
      </c>
      <c r="B738" s="27" t="s">
        <v>2275</v>
      </c>
      <c r="C738" s="43" t="n">
        <v>121.13</v>
      </c>
      <c r="D738" s="27" t="n">
        <v>2.47</v>
      </c>
      <c r="E738" s="27" t="n">
        <v>24</v>
      </c>
      <c r="F738" s="27" t="n">
        <v>5.15</v>
      </c>
      <c r="G738" s="27" t="s">
        <v>1875</v>
      </c>
      <c r="H738" s="27" t="s">
        <v>2011</v>
      </c>
      <c r="I738" s="27" t="s">
        <v>1876</v>
      </c>
      <c r="J738" s="27" t="s">
        <v>2276</v>
      </c>
      <c r="K738" s="27" t="n">
        <v>2431</v>
      </c>
      <c r="L738" s="27" t="n">
        <v>703</v>
      </c>
      <c r="M738" s="28" t="n">
        <f aca="false">IFERROR(VLOOKUP((OFFSET(hoje12_326_ana9,737,10,1,1)&amp;"."&amp;OFFSET(hoje12_326_ana9,737,11,1,1)),'12.326'!A:D,4,0),"-")</f>
        <v>5348350000167</v>
      </c>
    </row>
    <row r="739" customFormat="false" ht="14.4" hidden="false" customHeight="false" outlineLevel="0" collapsed="false">
      <c r="A739" s="27" t="n">
        <v>11100143</v>
      </c>
      <c r="B739" s="27" t="s">
        <v>2277</v>
      </c>
      <c r="C739" s="43" t="n">
        <v>186.98</v>
      </c>
      <c r="D739" s="27" t="n">
        <v>3.82</v>
      </c>
      <c r="E739" s="27" t="n">
        <v>24</v>
      </c>
      <c r="F739" s="27" t="n">
        <v>7.95</v>
      </c>
      <c r="G739" s="27" t="s">
        <v>1875</v>
      </c>
      <c r="H739" s="27" t="s">
        <v>2011</v>
      </c>
      <c r="I739" s="27" t="s">
        <v>1876</v>
      </c>
      <c r="J739" s="27" t="s">
        <v>2278</v>
      </c>
      <c r="K739" s="27" t="n">
        <v>2431</v>
      </c>
      <c r="L739" s="27" t="n">
        <v>703</v>
      </c>
      <c r="M739" s="28" t="n">
        <f aca="false">IFERROR(VLOOKUP((OFFSET(hoje12_326_ana9,738,10,1,1)&amp;"."&amp;OFFSET(hoje12_326_ana9,738,11,1,1)),'12.326'!A:D,4,0),"-")</f>
        <v>5348350000167</v>
      </c>
    </row>
    <row r="740" customFormat="false" ht="14.4" hidden="false" customHeight="false" outlineLevel="0" collapsed="false">
      <c r="A740" s="27" t="n">
        <v>11100156</v>
      </c>
      <c r="B740" s="27" t="s">
        <v>1918</v>
      </c>
      <c r="C740" s="43" t="n">
        <v>184.28</v>
      </c>
      <c r="D740" s="27" t="n">
        <v>3.76</v>
      </c>
      <c r="E740" s="27" t="n">
        <v>12</v>
      </c>
      <c r="F740" s="27" t="n">
        <v>15.67</v>
      </c>
      <c r="G740" s="27" t="s">
        <v>1875</v>
      </c>
      <c r="H740" s="27" t="s">
        <v>2011</v>
      </c>
      <c r="I740" s="27" t="s">
        <v>1876</v>
      </c>
      <c r="J740" s="27" t="s">
        <v>2279</v>
      </c>
      <c r="K740" s="27" t="n">
        <v>2431</v>
      </c>
      <c r="L740" s="27" t="n">
        <v>703</v>
      </c>
      <c r="M740" s="28" t="n">
        <f aca="false">IFERROR(VLOOKUP((OFFSET(hoje12_326_ana9,739,10,1,1)&amp;"."&amp;OFFSET(hoje12_326_ana9,739,11,1,1)),'12.326'!A:D,4,0),"-")</f>
        <v>5348350000167</v>
      </c>
    </row>
    <row r="741" customFormat="false" ht="14.4" hidden="false" customHeight="false" outlineLevel="0" collapsed="false">
      <c r="A741" s="27" t="n">
        <v>11100178</v>
      </c>
      <c r="B741" s="27" t="s">
        <v>2280</v>
      </c>
      <c r="C741" s="43" t="n">
        <v>184.28</v>
      </c>
      <c r="D741" s="27" t="n">
        <v>3.76</v>
      </c>
      <c r="E741" s="27" t="n">
        <v>12</v>
      </c>
      <c r="F741" s="27" t="n">
        <v>15.67</v>
      </c>
      <c r="G741" s="27" t="s">
        <v>1875</v>
      </c>
      <c r="H741" s="27" t="s">
        <v>2011</v>
      </c>
      <c r="I741" s="27" t="s">
        <v>1876</v>
      </c>
      <c r="J741" s="27" t="s">
        <v>2279</v>
      </c>
      <c r="K741" s="27" t="n">
        <v>2431</v>
      </c>
      <c r="L741" s="27" t="n">
        <v>703</v>
      </c>
      <c r="M741" s="28" t="n">
        <f aca="false">IFERROR(VLOOKUP((OFFSET(hoje12_326_ana9,740,10,1,1)&amp;"."&amp;OFFSET(hoje12_326_ana9,740,11,1,1)),'12.326'!A:D,4,0),"-")</f>
        <v>5348350000167</v>
      </c>
    </row>
    <row r="742" customFormat="false" ht="14.4" hidden="false" customHeight="false" outlineLevel="0" collapsed="false">
      <c r="A742" s="27" t="n">
        <v>11100198</v>
      </c>
      <c r="B742" s="27" t="s">
        <v>2281</v>
      </c>
      <c r="C742" s="43" t="n">
        <v>193.44</v>
      </c>
      <c r="D742" s="27" t="n">
        <v>0</v>
      </c>
      <c r="E742" s="27" t="n">
        <v>12</v>
      </c>
      <c r="F742" s="27" t="n">
        <v>16.12</v>
      </c>
      <c r="G742" s="27" t="s">
        <v>1875</v>
      </c>
      <c r="H742" s="27" t="s">
        <v>68</v>
      </c>
      <c r="I742" s="27" t="s">
        <v>1876</v>
      </c>
      <c r="J742" s="27" t="s">
        <v>1877</v>
      </c>
      <c r="K742" s="27" t="n">
        <v>2431</v>
      </c>
      <c r="L742" s="27" t="n">
        <v>703</v>
      </c>
      <c r="M742" s="28" t="n">
        <f aca="false">IFERROR(VLOOKUP((OFFSET(hoje12_326_ana9,741,10,1,1)&amp;"."&amp;OFFSET(hoje12_326_ana9,741,11,1,1)),'12.326'!A:D,4,0),"-")</f>
        <v>5348350000167</v>
      </c>
    </row>
    <row r="743" customFormat="false" ht="14.4" hidden="false" customHeight="false" outlineLevel="0" collapsed="false">
      <c r="A743" s="27" t="n">
        <v>11100214</v>
      </c>
      <c r="B743" s="27" t="s">
        <v>1922</v>
      </c>
      <c r="C743" s="43" t="n">
        <v>548.93</v>
      </c>
      <c r="D743" s="27" t="n">
        <v>11.23</v>
      </c>
      <c r="E743" s="27" t="n">
        <v>144</v>
      </c>
      <c r="F743" s="27" t="n">
        <v>3.89</v>
      </c>
      <c r="G743" s="27" t="s">
        <v>1875</v>
      </c>
      <c r="H743" s="27" t="s">
        <v>2011</v>
      </c>
      <c r="I743" s="27" t="s">
        <v>1876</v>
      </c>
      <c r="J743" s="27" t="s">
        <v>2282</v>
      </c>
      <c r="K743" s="27" t="n">
        <v>2431</v>
      </c>
      <c r="L743" s="27" t="n">
        <v>703</v>
      </c>
      <c r="M743" s="28" t="n">
        <f aca="false">IFERROR(VLOOKUP((OFFSET(hoje12_326_ana9,742,10,1,1)&amp;"."&amp;OFFSET(hoje12_326_ana9,742,11,1,1)),'12.326'!A:D,4,0),"-")</f>
        <v>5348350000167</v>
      </c>
    </row>
    <row r="744" customFormat="false" ht="14.4" hidden="false" customHeight="false" outlineLevel="0" collapsed="false">
      <c r="A744" s="27" t="n">
        <v>11100250</v>
      </c>
      <c r="B744" s="27" t="s">
        <v>2283</v>
      </c>
      <c r="C744" s="43" t="n">
        <v>130.56</v>
      </c>
      <c r="D744" s="27" t="n">
        <v>0</v>
      </c>
      <c r="E744" s="27" t="n">
        <v>24</v>
      </c>
      <c r="F744" s="27" t="n">
        <v>5.44</v>
      </c>
      <c r="G744" s="27" t="s">
        <v>1875</v>
      </c>
      <c r="H744" s="27" t="s">
        <v>68</v>
      </c>
      <c r="I744" s="27" t="s">
        <v>1876</v>
      </c>
      <c r="J744" s="27" t="s">
        <v>1877</v>
      </c>
      <c r="K744" s="27" t="n">
        <v>2431</v>
      </c>
      <c r="L744" s="27" t="n">
        <v>703</v>
      </c>
      <c r="M744" s="28" t="n">
        <f aca="false">IFERROR(VLOOKUP((OFFSET(hoje12_326_ana9,743,10,1,1)&amp;"."&amp;OFFSET(hoje12_326_ana9,743,11,1,1)),'12.326'!A:D,4,0),"-")</f>
        <v>5348350000167</v>
      </c>
    </row>
    <row r="745" customFormat="false" ht="14.4" hidden="false" customHeight="false" outlineLevel="0" collapsed="false">
      <c r="A745" s="27" t="n">
        <v>11100314</v>
      </c>
      <c r="B745" s="27" t="s">
        <v>1937</v>
      </c>
      <c r="C745" s="43" t="n">
        <v>127.56</v>
      </c>
      <c r="D745" s="27" t="n">
        <v>0</v>
      </c>
      <c r="E745" s="27" t="n">
        <v>12</v>
      </c>
      <c r="F745" s="27" t="n">
        <v>10.63</v>
      </c>
      <c r="G745" s="27" t="s">
        <v>1875</v>
      </c>
      <c r="H745" s="27" t="s">
        <v>68</v>
      </c>
      <c r="I745" s="27" t="s">
        <v>1876</v>
      </c>
      <c r="J745" s="27" t="s">
        <v>1877</v>
      </c>
      <c r="K745" s="27" t="n">
        <v>2431</v>
      </c>
      <c r="L745" s="27" t="n">
        <v>703</v>
      </c>
      <c r="M745" s="28" t="n">
        <f aca="false">IFERROR(VLOOKUP((OFFSET(hoje12_326_ana9,744,10,1,1)&amp;"."&amp;OFFSET(hoje12_326_ana9,744,11,1,1)),'12.326'!A:D,4,0),"-")</f>
        <v>5348350000167</v>
      </c>
    </row>
    <row r="746" customFormat="false" ht="14.4" hidden="false" customHeight="false" outlineLevel="0" collapsed="false">
      <c r="A746" s="27" t="n">
        <v>11100318</v>
      </c>
      <c r="B746" s="27" t="s">
        <v>1938</v>
      </c>
      <c r="C746" s="43" t="n">
        <v>53.16</v>
      </c>
      <c r="D746" s="27" t="n">
        <v>0</v>
      </c>
      <c r="E746" s="27" t="n">
        <v>12</v>
      </c>
      <c r="F746" s="27" t="n">
        <v>4.43</v>
      </c>
      <c r="G746" s="27" t="s">
        <v>1875</v>
      </c>
      <c r="H746" s="27" t="s">
        <v>68</v>
      </c>
      <c r="I746" s="27" t="s">
        <v>1876</v>
      </c>
      <c r="J746" s="27" t="s">
        <v>1877</v>
      </c>
      <c r="K746" s="27" t="n">
        <v>2431</v>
      </c>
      <c r="L746" s="27" t="n">
        <v>703</v>
      </c>
      <c r="M746" s="28" t="n">
        <f aca="false">IFERROR(VLOOKUP((OFFSET(hoje12_326_ana9,745,10,1,1)&amp;"."&amp;OFFSET(hoje12_326_ana9,745,11,1,1)),'12.326'!A:D,4,0),"-")</f>
        <v>5348350000167</v>
      </c>
    </row>
    <row r="747" customFormat="false" ht="14.4" hidden="false" customHeight="false" outlineLevel="0" collapsed="false">
      <c r="A747" s="27" t="n">
        <v>11100322</v>
      </c>
      <c r="B747" s="27" t="s">
        <v>2284</v>
      </c>
      <c r="C747" s="43" t="n">
        <v>91.44</v>
      </c>
      <c r="D747" s="27" t="n">
        <v>0</v>
      </c>
      <c r="E747" s="27" t="n">
        <v>24</v>
      </c>
      <c r="F747" s="27" t="n">
        <v>3.81</v>
      </c>
      <c r="G747" s="27" t="s">
        <v>1875</v>
      </c>
      <c r="H747" s="27" t="s">
        <v>68</v>
      </c>
      <c r="I747" s="27" t="s">
        <v>1876</v>
      </c>
      <c r="J747" s="27" t="s">
        <v>1877</v>
      </c>
      <c r="K747" s="27" t="n">
        <v>2431</v>
      </c>
      <c r="L747" s="27" t="n">
        <v>703</v>
      </c>
      <c r="M747" s="28" t="n">
        <f aca="false">IFERROR(VLOOKUP((OFFSET(hoje12_326_ana9,746,10,1,1)&amp;"."&amp;OFFSET(hoje12_326_ana9,746,11,1,1)),'12.326'!A:D,4,0),"-")</f>
        <v>5348350000167</v>
      </c>
    </row>
    <row r="748" customFormat="false" ht="14.4" hidden="false" customHeight="false" outlineLevel="0" collapsed="false">
      <c r="A748" s="27" t="n">
        <v>11100351</v>
      </c>
      <c r="B748" s="27" t="s">
        <v>2222</v>
      </c>
      <c r="C748" s="43" t="n">
        <v>135.24</v>
      </c>
      <c r="D748" s="27" t="n">
        <v>0</v>
      </c>
      <c r="E748" s="27" t="n">
        <v>12</v>
      </c>
      <c r="F748" s="27" t="n">
        <v>11.27</v>
      </c>
      <c r="G748" s="27" t="s">
        <v>1875</v>
      </c>
      <c r="H748" s="27" t="s">
        <v>68</v>
      </c>
      <c r="I748" s="27" t="s">
        <v>1876</v>
      </c>
      <c r="J748" s="27" t="s">
        <v>1877</v>
      </c>
      <c r="K748" s="27" t="n">
        <v>2431</v>
      </c>
      <c r="L748" s="27" t="n">
        <v>703</v>
      </c>
      <c r="M748" s="28" t="n">
        <f aca="false">IFERROR(VLOOKUP((OFFSET(hoje12_326_ana9,747,10,1,1)&amp;"."&amp;OFFSET(hoje12_326_ana9,747,11,1,1)),'12.326'!A:D,4,0),"-")</f>
        <v>5348350000167</v>
      </c>
    </row>
    <row r="749" customFormat="false" ht="14.4" hidden="false" customHeight="false" outlineLevel="0" collapsed="false">
      <c r="A749" s="27" t="n">
        <v>11100362</v>
      </c>
      <c r="B749" s="27" t="s">
        <v>1942</v>
      </c>
      <c r="C749" s="43" t="n">
        <v>117.72</v>
      </c>
      <c r="D749" s="27" t="n">
        <v>2.4</v>
      </c>
      <c r="E749" s="27" t="n">
        <v>12</v>
      </c>
      <c r="F749" s="27" t="n">
        <v>10.01</v>
      </c>
      <c r="G749" s="27" t="s">
        <v>1875</v>
      </c>
      <c r="H749" s="27" t="s">
        <v>2011</v>
      </c>
      <c r="I749" s="27" t="s">
        <v>1876</v>
      </c>
      <c r="J749" s="27" t="s">
        <v>2285</v>
      </c>
      <c r="K749" s="27" t="n">
        <v>2431</v>
      </c>
      <c r="L749" s="27" t="n">
        <v>703</v>
      </c>
      <c r="M749" s="28" t="n">
        <f aca="false">IFERROR(VLOOKUP((OFFSET(hoje12_326_ana9,748,10,1,1)&amp;"."&amp;OFFSET(hoje12_326_ana9,748,11,1,1)),'12.326'!A:D,4,0),"-")</f>
        <v>5348350000167</v>
      </c>
    </row>
    <row r="750" customFormat="false" ht="14.4" hidden="false" customHeight="false" outlineLevel="0" collapsed="false">
      <c r="A750" s="27" t="n">
        <v>11100363</v>
      </c>
      <c r="B750" s="27" t="s">
        <v>2286</v>
      </c>
      <c r="C750" s="43" t="n">
        <v>61.5</v>
      </c>
      <c r="D750" s="27" t="n">
        <v>1.26</v>
      </c>
      <c r="E750" s="27" t="n">
        <v>12</v>
      </c>
      <c r="F750" s="27" t="n">
        <v>5.23</v>
      </c>
      <c r="G750" s="27" t="s">
        <v>1875</v>
      </c>
      <c r="H750" s="27" t="s">
        <v>2011</v>
      </c>
      <c r="I750" s="27" t="s">
        <v>1876</v>
      </c>
      <c r="J750" s="27" t="s">
        <v>2287</v>
      </c>
      <c r="K750" s="27" t="n">
        <v>2431</v>
      </c>
      <c r="L750" s="27" t="n">
        <v>703</v>
      </c>
      <c r="M750" s="28" t="n">
        <f aca="false">IFERROR(VLOOKUP((OFFSET(hoje12_326_ana9,749,10,1,1)&amp;"."&amp;OFFSET(hoje12_326_ana9,749,11,1,1)),'12.326'!A:D,4,0),"-")</f>
        <v>5348350000167</v>
      </c>
    </row>
    <row r="751" customFormat="false" ht="14.4" hidden="false" customHeight="false" outlineLevel="0" collapsed="false">
      <c r="A751" s="27" t="n">
        <v>11100373</v>
      </c>
      <c r="B751" s="27" t="s">
        <v>2127</v>
      </c>
      <c r="C751" s="43" t="n">
        <v>69.98</v>
      </c>
      <c r="D751" s="27" t="n">
        <v>12.34</v>
      </c>
      <c r="E751" s="27" t="n">
        <v>24</v>
      </c>
      <c r="F751" s="27" t="n">
        <v>3.43</v>
      </c>
      <c r="G751" s="27" t="s">
        <v>1875</v>
      </c>
      <c r="H751" s="27" t="s">
        <v>1892</v>
      </c>
      <c r="I751" s="27" t="s">
        <v>1876</v>
      </c>
      <c r="J751" s="27" t="s">
        <v>2187</v>
      </c>
      <c r="K751" s="27" t="n">
        <v>2431</v>
      </c>
      <c r="L751" s="27" t="n">
        <v>703</v>
      </c>
      <c r="M751" s="28" t="n">
        <f aca="false">IFERROR(VLOOKUP((OFFSET(hoje12_326_ana9,750,10,1,1)&amp;"."&amp;OFFSET(hoje12_326_ana9,750,11,1,1)),'12.326'!A:D,4,0),"-")</f>
        <v>5348350000167</v>
      </c>
    </row>
    <row r="752" customFormat="false" ht="14.4" hidden="false" customHeight="false" outlineLevel="0" collapsed="false">
      <c r="A752" s="27" t="n">
        <v>11100377</v>
      </c>
      <c r="B752" s="27" t="s">
        <v>1944</v>
      </c>
      <c r="C752" s="43" t="n">
        <v>270.48</v>
      </c>
      <c r="D752" s="27" t="n">
        <v>0</v>
      </c>
      <c r="E752" s="27" t="n">
        <v>24</v>
      </c>
      <c r="F752" s="27" t="n">
        <v>11.27</v>
      </c>
      <c r="G752" s="27" t="s">
        <v>1875</v>
      </c>
      <c r="H752" s="27" t="s">
        <v>68</v>
      </c>
      <c r="I752" s="27" t="s">
        <v>1876</v>
      </c>
      <c r="J752" s="27" t="s">
        <v>1877</v>
      </c>
      <c r="K752" s="27" t="n">
        <v>2431</v>
      </c>
      <c r="L752" s="27" t="n">
        <v>703</v>
      </c>
      <c r="M752" s="28" t="n">
        <f aca="false">IFERROR(VLOOKUP((OFFSET(hoje12_326_ana9,751,10,1,1)&amp;"."&amp;OFFSET(hoje12_326_ana9,751,11,1,1)),'12.326'!A:D,4,0),"-")</f>
        <v>5348350000167</v>
      </c>
    </row>
    <row r="753" customFormat="false" ht="14.4" hidden="false" customHeight="false" outlineLevel="0" collapsed="false">
      <c r="A753" s="27" t="n">
        <v>11100418</v>
      </c>
      <c r="B753" s="27" t="s">
        <v>2288</v>
      </c>
      <c r="C753" s="43" t="n">
        <v>165.12</v>
      </c>
      <c r="D753" s="27" t="n">
        <v>0</v>
      </c>
      <c r="E753" s="27" t="n">
        <v>12</v>
      </c>
      <c r="F753" s="27" t="n">
        <v>13.76</v>
      </c>
      <c r="G753" s="27" t="s">
        <v>1875</v>
      </c>
      <c r="H753" s="27" t="s">
        <v>68</v>
      </c>
      <c r="I753" s="27" t="s">
        <v>1876</v>
      </c>
      <c r="J753" s="27" t="s">
        <v>1877</v>
      </c>
      <c r="K753" s="27" t="n">
        <v>2431</v>
      </c>
      <c r="L753" s="27" t="n">
        <v>703</v>
      </c>
      <c r="M753" s="28" t="n">
        <f aca="false">IFERROR(VLOOKUP((OFFSET(hoje12_326_ana9,752,10,1,1)&amp;"."&amp;OFFSET(hoje12_326_ana9,752,11,1,1)),'12.326'!A:D,4,0),"-")</f>
        <v>5348350000167</v>
      </c>
    </row>
    <row r="754" customFormat="false" ht="14.4" hidden="false" customHeight="false" outlineLevel="0" collapsed="false">
      <c r="A754" s="27" t="n">
        <v>11100419</v>
      </c>
      <c r="B754" s="27" t="s">
        <v>2289</v>
      </c>
      <c r="C754" s="43" t="n">
        <v>181.8</v>
      </c>
      <c r="D754" s="27" t="n">
        <v>0</v>
      </c>
      <c r="E754" s="27" t="n">
        <v>12</v>
      </c>
      <c r="F754" s="27" t="n">
        <v>15.15</v>
      </c>
      <c r="G754" s="27" t="s">
        <v>1875</v>
      </c>
      <c r="H754" s="27" t="s">
        <v>68</v>
      </c>
      <c r="I754" s="27" t="s">
        <v>1876</v>
      </c>
      <c r="J754" s="27" t="s">
        <v>1877</v>
      </c>
      <c r="K754" s="27" t="n">
        <v>2431</v>
      </c>
      <c r="L754" s="27" t="n">
        <v>703</v>
      </c>
      <c r="M754" s="28" t="n">
        <f aca="false">IFERROR(VLOOKUP((OFFSET(hoje12_326_ana9,753,10,1,1)&amp;"."&amp;OFFSET(hoje12_326_ana9,753,11,1,1)),'12.326'!A:D,4,0),"-")</f>
        <v>5348350000167</v>
      </c>
    </row>
    <row r="755" customFormat="false" ht="14.4" hidden="false" customHeight="false" outlineLevel="0" collapsed="false">
      <c r="A755" s="27" t="n">
        <v>11100421</v>
      </c>
      <c r="B755" s="27" t="s">
        <v>1945</v>
      </c>
      <c r="C755" s="43" t="n">
        <v>112.92</v>
      </c>
      <c r="D755" s="27" t="n">
        <v>0</v>
      </c>
      <c r="E755" s="27" t="n">
        <v>12</v>
      </c>
      <c r="F755" s="27" t="n">
        <v>9.41</v>
      </c>
      <c r="G755" s="27" t="s">
        <v>1875</v>
      </c>
      <c r="H755" s="27" t="s">
        <v>68</v>
      </c>
      <c r="I755" s="27" t="s">
        <v>1876</v>
      </c>
      <c r="J755" s="27" t="s">
        <v>1877</v>
      </c>
      <c r="K755" s="27" t="n">
        <v>2431</v>
      </c>
      <c r="L755" s="27" t="n">
        <v>703</v>
      </c>
      <c r="M755" s="28" t="n">
        <f aca="false">IFERROR(VLOOKUP((OFFSET(hoje12_326_ana9,754,10,1,1)&amp;"."&amp;OFFSET(hoje12_326_ana9,754,11,1,1)),'12.326'!A:D,4,0),"-")</f>
        <v>5348350000167</v>
      </c>
    </row>
    <row r="756" customFormat="false" ht="14.4" hidden="false" customHeight="false" outlineLevel="0" collapsed="false">
      <c r="A756" s="27" t="n">
        <v>11100427</v>
      </c>
      <c r="B756" s="27" t="s">
        <v>2223</v>
      </c>
      <c r="C756" s="43" t="n">
        <v>165.12</v>
      </c>
      <c r="D756" s="27" t="n">
        <v>0</v>
      </c>
      <c r="E756" s="27" t="n">
        <v>12</v>
      </c>
      <c r="F756" s="27" t="n">
        <v>13.76</v>
      </c>
      <c r="G756" s="27" t="s">
        <v>1875</v>
      </c>
      <c r="H756" s="27" t="s">
        <v>68</v>
      </c>
      <c r="I756" s="27" t="s">
        <v>1876</v>
      </c>
      <c r="J756" s="27" t="s">
        <v>1877</v>
      </c>
      <c r="K756" s="27" t="n">
        <v>2431</v>
      </c>
      <c r="L756" s="27" t="n">
        <v>703</v>
      </c>
      <c r="M756" s="28" t="n">
        <f aca="false">IFERROR(VLOOKUP((OFFSET(hoje12_326_ana9,755,10,1,1)&amp;"."&amp;OFFSET(hoje12_326_ana9,755,11,1,1)),'12.326'!A:D,4,0),"-")</f>
        <v>5348350000167</v>
      </c>
    </row>
    <row r="757" customFormat="false" ht="14.4" hidden="false" customHeight="false" outlineLevel="0" collapsed="false">
      <c r="A757" s="27" t="n">
        <v>11100429</v>
      </c>
      <c r="B757" s="27" t="s">
        <v>2290</v>
      </c>
      <c r="C757" s="43" t="n">
        <v>112.92</v>
      </c>
      <c r="D757" s="27" t="n">
        <v>0</v>
      </c>
      <c r="E757" s="27" t="n">
        <v>12</v>
      </c>
      <c r="F757" s="27" t="n">
        <v>9.41</v>
      </c>
      <c r="G757" s="27" t="s">
        <v>1875</v>
      </c>
      <c r="H757" s="27" t="s">
        <v>68</v>
      </c>
      <c r="I757" s="27" t="s">
        <v>1876</v>
      </c>
      <c r="J757" s="27" t="s">
        <v>1877</v>
      </c>
      <c r="K757" s="27" t="n">
        <v>2431</v>
      </c>
      <c r="L757" s="27" t="n">
        <v>703</v>
      </c>
      <c r="M757" s="28" t="n">
        <f aca="false">IFERROR(VLOOKUP((OFFSET(hoje12_326_ana9,756,10,1,1)&amp;"."&amp;OFFSET(hoje12_326_ana9,756,11,1,1)),'12.326'!A:D,4,0),"-")</f>
        <v>5348350000167</v>
      </c>
    </row>
    <row r="758" customFormat="false" ht="14.4" hidden="false" customHeight="false" outlineLevel="0" collapsed="false">
      <c r="A758" s="27" t="n">
        <v>11100437</v>
      </c>
      <c r="B758" s="27" t="s">
        <v>2291</v>
      </c>
      <c r="C758" s="43" t="n">
        <v>181.8</v>
      </c>
      <c r="D758" s="27" t="n">
        <v>0</v>
      </c>
      <c r="E758" s="27" t="n">
        <v>12</v>
      </c>
      <c r="F758" s="27" t="n">
        <v>15.15</v>
      </c>
      <c r="G758" s="27" t="s">
        <v>1875</v>
      </c>
      <c r="H758" s="27" t="s">
        <v>68</v>
      </c>
      <c r="I758" s="27" t="s">
        <v>1876</v>
      </c>
      <c r="J758" s="27" t="s">
        <v>1877</v>
      </c>
      <c r="K758" s="27" t="n">
        <v>2431</v>
      </c>
      <c r="L758" s="27" t="n">
        <v>703</v>
      </c>
      <c r="M758" s="28" t="n">
        <f aca="false">IFERROR(VLOOKUP((OFFSET(hoje12_326_ana9,757,10,1,1)&amp;"."&amp;OFFSET(hoje12_326_ana9,757,11,1,1)),'12.326'!A:D,4,0),"-")</f>
        <v>5348350000167</v>
      </c>
    </row>
    <row r="759" customFormat="false" ht="14.4" hidden="false" customHeight="false" outlineLevel="0" collapsed="false">
      <c r="A759" s="27" t="n">
        <v>11100438</v>
      </c>
      <c r="B759" s="27" t="s">
        <v>2227</v>
      </c>
      <c r="C759" s="43" t="n">
        <v>112.92</v>
      </c>
      <c r="D759" s="27" t="n">
        <v>0</v>
      </c>
      <c r="E759" s="27" t="n">
        <v>12</v>
      </c>
      <c r="F759" s="27" t="n">
        <v>9.41</v>
      </c>
      <c r="G759" s="27" t="s">
        <v>1875</v>
      </c>
      <c r="H759" s="27" t="s">
        <v>68</v>
      </c>
      <c r="I759" s="27" t="s">
        <v>1876</v>
      </c>
      <c r="J759" s="27" t="s">
        <v>1877</v>
      </c>
      <c r="K759" s="27" t="n">
        <v>2431</v>
      </c>
      <c r="L759" s="27" t="n">
        <v>703</v>
      </c>
      <c r="M759" s="28" t="n">
        <f aca="false">IFERROR(VLOOKUP((OFFSET(hoje12_326_ana9,758,10,1,1)&amp;"."&amp;OFFSET(hoje12_326_ana9,758,11,1,1)),'12.326'!A:D,4,0),"-")</f>
        <v>5348350000167</v>
      </c>
    </row>
    <row r="760" customFormat="false" ht="14.4" hidden="false" customHeight="false" outlineLevel="0" collapsed="false">
      <c r="A760" s="27" t="n">
        <v>11100439</v>
      </c>
      <c r="B760" s="27" t="s">
        <v>2228</v>
      </c>
      <c r="C760" s="43" t="n">
        <v>165.12</v>
      </c>
      <c r="D760" s="27" t="n">
        <v>0</v>
      </c>
      <c r="E760" s="27" t="n">
        <v>12</v>
      </c>
      <c r="F760" s="27" t="n">
        <v>13.76</v>
      </c>
      <c r="G760" s="27" t="s">
        <v>1875</v>
      </c>
      <c r="H760" s="27" t="s">
        <v>68</v>
      </c>
      <c r="I760" s="27" t="s">
        <v>1876</v>
      </c>
      <c r="J760" s="27" t="s">
        <v>1877</v>
      </c>
      <c r="K760" s="27" t="n">
        <v>2431</v>
      </c>
      <c r="L760" s="27" t="n">
        <v>703</v>
      </c>
      <c r="M760" s="28" t="n">
        <f aca="false">IFERROR(VLOOKUP((OFFSET(hoje12_326_ana9,759,10,1,1)&amp;"."&amp;OFFSET(hoje12_326_ana9,759,11,1,1)),'12.326'!A:D,4,0),"-")</f>
        <v>5348350000167</v>
      </c>
    </row>
    <row r="761" customFormat="false" ht="14.4" hidden="false" customHeight="false" outlineLevel="0" collapsed="false">
      <c r="A761" s="27" t="n">
        <v>11100445</v>
      </c>
      <c r="B761" s="27" t="s">
        <v>2085</v>
      </c>
      <c r="C761" s="43" t="n">
        <v>142.2</v>
      </c>
      <c r="D761" s="27" t="n">
        <v>0</v>
      </c>
      <c r="E761" s="27" t="n">
        <v>12</v>
      </c>
      <c r="F761" s="27" t="n">
        <v>11.85</v>
      </c>
      <c r="G761" s="27" t="s">
        <v>1875</v>
      </c>
      <c r="H761" s="27" t="s">
        <v>68</v>
      </c>
      <c r="I761" s="27" t="s">
        <v>1876</v>
      </c>
      <c r="J761" s="27" t="s">
        <v>1877</v>
      </c>
      <c r="K761" s="27" t="n">
        <v>2431</v>
      </c>
      <c r="L761" s="27" t="n">
        <v>703</v>
      </c>
      <c r="M761" s="28" t="n">
        <f aca="false">IFERROR(VLOOKUP((OFFSET(hoje12_326_ana9,760,10,1,1)&amp;"."&amp;OFFSET(hoje12_326_ana9,760,11,1,1)),'12.326'!A:D,4,0),"-")</f>
        <v>5348350000167</v>
      </c>
    </row>
    <row r="762" customFormat="false" ht="14.4" hidden="false" customHeight="false" outlineLevel="0" collapsed="false">
      <c r="A762" s="27" t="n">
        <v>11100448</v>
      </c>
      <c r="B762" s="27" t="s">
        <v>2230</v>
      </c>
      <c r="C762" s="43" t="n">
        <v>142.2</v>
      </c>
      <c r="D762" s="27" t="n">
        <v>0</v>
      </c>
      <c r="E762" s="27" t="n">
        <v>12</v>
      </c>
      <c r="F762" s="27" t="n">
        <v>11.85</v>
      </c>
      <c r="G762" s="27" t="s">
        <v>1875</v>
      </c>
      <c r="H762" s="27" t="s">
        <v>68</v>
      </c>
      <c r="I762" s="27" t="s">
        <v>1876</v>
      </c>
      <c r="J762" s="27" t="s">
        <v>1877</v>
      </c>
      <c r="K762" s="27" t="n">
        <v>2431</v>
      </c>
      <c r="L762" s="27" t="n">
        <v>703</v>
      </c>
      <c r="M762" s="28" t="n">
        <f aca="false">IFERROR(VLOOKUP((OFFSET(hoje12_326_ana9,761,10,1,1)&amp;"."&amp;OFFSET(hoje12_326_ana9,761,11,1,1)),'12.326'!A:D,4,0),"-")</f>
        <v>5348350000167</v>
      </c>
    </row>
    <row r="763" customFormat="false" ht="14.4" hidden="false" customHeight="false" outlineLevel="0" collapsed="false">
      <c r="A763" s="27" t="n">
        <v>11100462</v>
      </c>
      <c r="B763" s="27" t="s">
        <v>2001</v>
      </c>
      <c r="C763" s="43" t="n">
        <v>387.36</v>
      </c>
      <c r="D763" s="27" t="n">
        <v>7.92</v>
      </c>
      <c r="E763" s="27" t="n">
        <v>72</v>
      </c>
      <c r="F763" s="27" t="n">
        <v>5.49</v>
      </c>
      <c r="G763" s="27" t="s">
        <v>1875</v>
      </c>
      <c r="H763" s="27" t="s">
        <v>2011</v>
      </c>
      <c r="I763" s="27" t="s">
        <v>1876</v>
      </c>
      <c r="J763" s="27" t="s">
        <v>2199</v>
      </c>
      <c r="K763" s="27" t="n">
        <v>2431</v>
      </c>
      <c r="L763" s="27" t="n">
        <v>703</v>
      </c>
      <c r="M763" s="28" t="n">
        <f aca="false">IFERROR(VLOOKUP((OFFSET(hoje12_326_ana9,762,10,1,1)&amp;"."&amp;OFFSET(hoje12_326_ana9,762,11,1,1)),'12.326'!A:D,4,0),"-")</f>
        <v>5348350000167</v>
      </c>
    </row>
    <row r="764" customFormat="false" ht="14.4" hidden="false" customHeight="false" outlineLevel="0" collapsed="false">
      <c r="A764" s="27" t="n">
        <v>11100464</v>
      </c>
      <c r="B764" s="27" t="s">
        <v>1946</v>
      </c>
      <c r="C764" s="43" t="n">
        <v>347.18</v>
      </c>
      <c r="D764" s="27" t="n">
        <v>7.06</v>
      </c>
      <c r="E764" s="27" t="n">
        <v>72</v>
      </c>
      <c r="F764" s="27" t="n">
        <v>4.92</v>
      </c>
      <c r="G764" s="27" t="s">
        <v>1875</v>
      </c>
      <c r="H764" s="27" t="s">
        <v>2011</v>
      </c>
      <c r="I764" s="27" t="s">
        <v>1876</v>
      </c>
      <c r="J764" s="27" t="s">
        <v>2211</v>
      </c>
      <c r="K764" s="27" t="n">
        <v>2431</v>
      </c>
      <c r="L764" s="27" t="n">
        <v>703</v>
      </c>
      <c r="M764" s="28" t="n">
        <f aca="false">IFERROR(VLOOKUP((OFFSET(hoje12_326_ana9,763,10,1,1)&amp;"."&amp;OFFSET(hoje12_326_ana9,763,11,1,1)),'12.326'!A:D,4,0),"-")</f>
        <v>5348350000167</v>
      </c>
    </row>
    <row r="765" customFormat="false" ht="14.4" hidden="false" customHeight="false" outlineLevel="0" collapsed="false">
      <c r="A765" s="27" t="n">
        <v>11100477</v>
      </c>
      <c r="B765" s="27" t="s">
        <v>1950</v>
      </c>
      <c r="C765" s="43" t="n">
        <v>179.45</v>
      </c>
      <c r="D765" s="27" t="n">
        <v>3.67</v>
      </c>
      <c r="E765" s="27" t="n">
        <v>24</v>
      </c>
      <c r="F765" s="27" t="n">
        <v>7.63</v>
      </c>
      <c r="G765" s="27" t="s">
        <v>1875</v>
      </c>
      <c r="H765" s="27" t="s">
        <v>2011</v>
      </c>
      <c r="I765" s="27" t="s">
        <v>1876</v>
      </c>
      <c r="J765" s="27" t="s">
        <v>2292</v>
      </c>
      <c r="K765" s="27" t="n">
        <v>2431</v>
      </c>
      <c r="L765" s="27" t="n">
        <v>703</v>
      </c>
      <c r="M765" s="28" t="n">
        <f aca="false">IFERROR(VLOOKUP((OFFSET(hoje12_326_ana9,764,10,1,1)&amp;"."&amp;OFFSET(hoje12_326_ana9,764,11,1,1)),'12.326'!A:D,4,0),"-")</f>
        <v>5348350000167</v>
      </c>
    </row>
    <row r="766" customFormat="false" ht="14.4" hidden="false" customHeight="false" outlineLevel="0" collapsed="false">
      <c r="A766" s="27" t="n">
        <v>11100478</v>
      </c>
      <c r="B766" s="27" t="s">
        <v>2233</v>
      </c>
      <c r="C766" s="43" t="n">
        <v>179.45</v>
      </c>
      <c r="D766" s="27" t="n">
        <v>3.67</v>
      </c>
      <c r="E766" s="27" t="n">
        <v>24</v>
      </c>
      <c r="F766" s="27" t="n">
        <v>7.63</v>
      </c>
      <c r="G766" s="27" t="s">
        <v>1875</v>
      </c>
      <c r="H766" s="27" t="s">
        <v>2011</v>
      </c>
      <c r="I766" s="27" t="s">
        <v>1876</v>
      </c>
      <c r="J766" s="27" t="s">
        <v>2292</v>
      </c>
      <c r="K766" s="27" t="n">
        <v>2431</v>
      </c>
      <c r="L766" s="27" t="n">
        <v>703</v>
      </c>
      <c r="M766" s="28" t="n">
        <f aca="false">IFERROR(VLOOKUP((OFFSET(hoje12_326_ana9,765,10,1,1)&amp;"."&amp;OFFSET(hoje12_326_ana9,765,11,1,1)),'12.326'!A:D,4,0),"-")</f>
        <v>5348350000167</v>
      </c>
    </row>
    <row r="767" customFormat="false" ht="14.4" hidden="false" customHeight="false" outlineLevel="0" collapsed="false">
      <c r="A767" s="27" t="n">
        <v>11100501</v>
      </c>
      <c r="B767" s="27" t="s">
        <v>1951</v>
      </c>
      <c r="C767" s="43" t="n">
        <v>150.18</v>
      </c>
      <c r="D767" s="27" t="n">
        <v>3.06</v>
      </c>
      <c r="E767" s="27" t="n">
        <v>12</v>
      </c>
      <c r="F767" s="27" t="n">
        <v>12.77</v>
      </c>
      <c r="G767" s="27" t="s">
        <v>1875</v>
      </c>
      <c r="H767" s="27" t="s">
        <v>2011</v>
      </c>
      <c r="I767" s="27" t="s">
        <v>1876</v>
      </c>
      <c r="J767" s="27" t="s">
        <v>2293</v>
      </c>
      <c r="K767" s="27" t="n">
        <v>2431</v>
      </c>
      <c r="L767" s="27" t="n">
        <v>703</v>
      </c>
      <c r="M767" s="28" t="n">
        <f aca="false">IFERROR(VLOOKUP((OFFSET(hoje12_326_ana9,766,10,1,1)&amp;"."&amp;OFFSET(hoje12_326_ana9,766,11,1,1)),'12.326'!A:D,4,0),"-")</f>
        <v>5348350000167</v>
      </c>
    </row>
    <row r="768" customFormat="false" ht="14.4" hidden="false" customHeight="false" outlineLevel="0" collapsed="false">
      <c r="A768" s="27" t="n">
        <v>11100525</v>
      </c>
      <c r="B768" s="27" t="s">
        <v>2294</v>
      </c>
      <c r="C768" s="43" t="n">
        <v>83.04</v>
      </c>
      <c r="D768" s="27" t="n">
        <v>0</v>
      </c>
      <c r="E768" s="27" t="n">
        <v>12</v>
      </c>
      <c r="F768" s="27" t="n">
        <v>6.92</v>
      </c>
      <c r="G768" s="27" t="s">
        <v>1875</v>
      </c>
      <c r="H768" s="27" t="s">
        <v>68</v>
      </c>
      <c r="I768" s="27" t="s">
        <v>1876</v>
      </c>
      <c r="J768" s="27" t="s">
        <v>1877</v>
      </c>
      <c r="K768" s="27" t="n">
        <v>2431</v>
      </c>
      <c r="L768" s="27" t="n">
        <v>703</v>
      </c>
      <c r="M768" s="28" t="n">
        <f aca="false">IFERROR(VLOOKUP((OFFSET(hoje12_326_ana9,767,10,1,1)&amp;"."&amp;OFFSET(hoje12_326_ana9,767,11,1,1)),'12.326'!A:D,4,0),"-")</f>
        <v>5348350000167</v>
      </c>
    </row>
    <row r="769" customFormat="false" ht="14.4" hidden="false" customHeight="false" outlineLevel="0" collapsed="false">
      <c r="A769" s="27" t="n">
        <v>11100527</v>
      </c>
      <c r="B769" s="27" t="s">
        <v>2295</v>
      </c>
      <c r="C769" s="43" t="n">
        <v>140.06</v>
      </c>
      <c r="D769" s="27" t="n">
        <v>2.86</v>
      </c>
      <c r="E769" s="27" t="n">
        <v>12</v>
      </c>
      <c r="F769" s="27" t="n">
        <v>11.91</v>
      </c>
      <c r="G769" s="27" t="s">
        <v>1875</v>
      </c>
      <c r="H769" s="27" t="s">
        <v>2011</v>
      </c>
      <c r="I769" s="27" t="s">
        <v>1876</v>
      </c>
      <c r="J769" s="27" t="s">
        <v>2296</v>
      </c>
      <c r="K769" s="27" t="n">
        <v>2431</v>
      </c>
      <c r="L769" s="27" t="n">
        <v>703</v>
      </c>
      <c r="M769" s="28" t="n">
        <f aca="false">IFERROR(VLOOKUP((OFFSET(hoje12_326_ana9,768,10,1,1)&amp;"."&amp;OFFSET(hoje12_326_ana9,768,11,1,1)),'12.326'!A:D,4,0),"-")</f>
        <v>5348350000167</v>
      </c>
    </row>
    <row r="770" customFormat="false" ht="14.4" hidden="false" customHeight="false" outlineLevel="0" collapsed="false">
      <c r="A770" s="27" t="n">
        <v>11100548</v>
      </c>
      <c r="B770" s="27" t="s">
        <v>2236</v>
      </c>
      <c r="C770" s="43" t="n">
        <v>700.32</v>
      </c>
      <c r="D770" s="27" t="n">
        <v>14.28</v>
      </c>
      <c r="E770" s="27" t="n">
        <v>60</v>
      </c>
      <c r="F770" s="27" t="n">
        <v>11.91</v>
      </c>
      <c r="G770" s="27" t="s">
        <v>1875</v>
      </c>
      <c r="H770" s="27" t="s">
        <v>2011</v>
      </c>
      <c r="I770" s="27" t="s">
        <v>1876</v>
      </c>
      <c r="J770" s="27" t="s">
        <v>2297</v>
      </c>
      <c r="K770" s="27" t="n">
        <v>2431</v>
      </c>
      <c r="L770" s="27" t="n">
        <v>703</v>
      </c>
      <c r="M770" s="28" t="n">
        <f aca="false">IFERROR(VLOOKUP((OFFSET(hoje12_326_ana9,769,10,1,1)&amp;"."&amp;OFFSET(hoje12_326_ana9,769,11,1,1)),'12.326'!A:D,4,0),"-")</f>
        <v>5348350000167</v>
      </c>
    </row>
    <row r="771" customFormat="false" ht="14.4" hidden="false" customHeight="false" outlineLevel="0" collapsed="false">
      <c r="A771" s="27" t="n">
        <v>11100550</v>
      </c>
      <c r="B771" s="27" t="s">
        <v>2238</v>
      </c>
      <c r="C771" s="43" t="n">
        <v>406.92</v>
      </c>
      <c r="D771" s="27" t="n">
        <v>8.28</v>
      </c>
      <c r="E771" s="27" t="n">
        <v>60</v>
      </c>
      <c r="F771" s="27" t="n">
        <v>6.92</v>
      </c>
      <c r="G771" s="27" t="s">
        <v>1875</v>
      </c>
      <c r="H771" s="27" t="s">
        <v>2011</v>
      </c>
      <c r="I771" s="27" t="s">
        <v>1876</v>
      </c>
      <c r="J771" s="27" t="s">
        <v>2298</v>
      </c>
      <c r="K771" s="27" t="n">
        <v>2431</v>
      </c>
      <c r="L771" s="27" t="n">
        <v>703</v>
      </c>
      <c r="M771" s="28" t="n">
        <f aca="false">IFERROR(VLOOKUP((OFFSET(hoje12_326_ana9,770,10,1,1)&amp;"."&amp;OFFSET(hoje12_326_ana9,770,11,1,1)),'12.326'!A:D,4,0),"-")</f>
        <v>5348350000167</v>
      </c>
    </row>
    <row r="772" customFormat="false" ht="14.4" hidden="false" customHeight="false" outlineLevel="0" collapsed="false">
      <c r="A772" s="27" t="n">
        <v>11100565</v>
      </c>
      <c r="B772" s="27" t="s">
        <v>1954</v>
      </c>
      <c r="C772" s="43" t="n">
        <v>103.98</v>
      </c>
      <c r="D772" s="27" t="n">
        <v>0</v>
      </c>
      <c r="E772" s="27" t="n">
        <v>6</v>
      </c>
      <c r="F772" s="27" t="n">
        <v>17.33</v>
      </c>
      <c r="G772" s="27" t="s">
        <v>1875</v>
      </c>
      <c r="H772" s="27" t="s">
        <v>68</v>
      </c>
      <c r="I772" s="27" t="s">
        <v>1876</v>
      </c>
      <c r="J772" s="27" t="s">
        <v>1877</v>
      </c>
      <c r="K772" s="27" t="n">
        <v>2431</v>
      </c>
      <c r="L772" s="27" t="n">
        <v>703</v>
      </c>
      <c r="M772" s="28" t="n">
        <f aca="false">IFERROR(VLOOKUP((OFFSET(hoje12_326_ana9,771,10,1,1)&amp;"."&amp;OFFSET(hoje12_326_ana9,771,11,1,1)),'12.326'!A:D,4,0),"-")</f>
        <v>5348350000167</v>
      </c>
    </row>
    <row r="773" customFormat="false" ht="14.4" hidden="false" customHeight="false" outlineLevel="0" collapsed="false">
      <c r="A773" s="27" t="n">
        <v>11100585</v>
      </c>
      <c r="B773" s="27" t="s">
        <v>2242</v>
      </c>
      <c r="C773" s="43" t="n">
        <v>81.72</v>
      </c>
      <c r="D773" s="27" t="n">
        <v>0</v>
      </c>
      <c r="E773" s="27" t="n">
        <v>12</v>
      </c>
      <c r="F773" s="27" t="n">
        <v>6.81</v>
      </c>
      <c r="G773" s="27" t="s">
        <v>1875</v>
      </c>
      <c r="H773" s="27" t="s">
        <v>68</v>
      </c>
      <c r="I773" s="27" t="s">
        <v>1876</v>
      </c>
      <c r="J773" s="27" t="s">
        <v>1877</v>
      </c>
      <c r="K773" s="27" t="n">
        <v>2431</v>
      </c>
      <c r="L773" s="27" t="n">
        <v>703</v>
      </c>
      <c r="M773" s="28" t="n">
        <f aca="false">IFERROR(VLOOKUP((OFFSET(hoje12_326_ana9,772,10,1,1)&amp;"."&amp;OFFSET(hoje12_326_ana9,772,11,1,1)),'12.326'!A:D,4,0),"-")</f>
        <v>5348350000167</v>
      </c>
    </row>
    <row r="774" customFormat="false" ht="14.4" hidden="false" customHeight="false" outlineLevel="0" collapsed="false">
      <c r="A774" s="27" t="n">
        <v>11100671</v>
      </c>
      <c r="B774" s="27" t="s">
        <v>2299</v>
      </c>
      <c r="C774" s="43" t="n">
        <v>202.5</v>
      </c>
      <c r="D774" s="27" t="n">
        <v>32.94</v>
      </c>
      <c r="E774" s="27" t="n">
        <v>108</v>
      </c>
      <c r="F774" s="27" t="n">
        <v>2.18</v>
      </c>
      <c r="G774" s="27" t="s">
        <v>1875</v>
      </c>
      <c r="H774" s="27" t="s">
        <v>2030</v>
      </c>
      <c r="I774" s="27" t="s">
        <v>1876</v>
      </c>
      <c r="J774" s="27" t="s">
        <v>2300</v>
      </c>
      <c r="K774" s="27" t="n">
        <v>2431</v>
      </c>
      <c r="L774" s="27" t="n">
        <v>703</v>
      </c>
      <c r="M774" s="28" t="n">
        <f aca="false">IFERROR(VLOOKUP((OFFSET(hoje12_326_ana9,773,10,1,1)&amp;"."&amp;OFFSET(hoje12_326_ana9,773,11,1,1)),'12.326'!A:D,4,0),"-")</f>
        <v>5348350000167</v>
      </c>
    </row>
    <row r="775" customFormat="false" ht="14.4" hidden="false" customHeight="false" outlineLevel="0" collapsed="false">
      <c r="A775" s="27" t="n">
        <v>11100683</v>
      </c>
      <c r="B775" s="27" t="s">
        <v>2301</v>
      </c>
      <c r="C775" s="43" t="n">
        <v>202.5</v>
      </c>
      <c r="D775" s="27" t="n">
        <v>32.94</v>
      </c>
      <c r="E775" s="27" t="n">
        <v>108</v>
      </c>
      <c r="F775" s="27" t="n">
        <v>2.18</v>
      </c>
      <c r="G775" s="27" t="s">
        <v>1875</v>
      </c>
      <c r="H775" s="27" t="s">
        <v>2030</v>
      </c>
      <c r="I775" s="27" t="s">
        <v>1876</v>
      </c>
      <c r="J775" s="27" t="s">
        <v>2300</v>
      </c>
      <c r="K775" s="27" t="n">
        <v>2431</v>
      </c>
      <c r="L775" s="27" t="n">
        <v>703</v>
      </c>
      <c r="M775" s="28" t="n">
        <f aca="false">IFERROR(VLOOKUP((OFFSET(hoje12_326_ana9,774,10,1,1)&amp;"."&amp;OFFSET(hoje12_326_ana9,774,11,1,1)),'12.326'!A:D,4,0),"-")</f>
        <v>5348350000167</v>
      </c>
    </row>
    <row r="776" customFormat="false" ht="14.4" hidden="false" customHeight="false" outlineLevel="0" collapsed="false">
      <c r="A776" s="27" t="n">
        <v>11100685</v>
      </c>
      <c r="B776" s="27" t="s">
        <v>2302</v>
      </c>
      <c r="C776" s="43" t="n">
        <v>202.5</v>
      </c>
      <c r="D776" s="27" t="n">
        <v>32.94</v>
      </c>
      <c r="E776" s="27" t="n">
        <v>108</v>
      </c>
      <c r="F776" s="27" t="n">
        <v>2.18</v>
      </c>
      <c r="G776" s="27" t="s">
        <v>1875</v>
      </c>
      <c r="H776" s="27" t="s">
        <v>2030</v>
      </c>
      <c r="I776" s="27" t="s">
        <v>1876</v>
      </c>
      <c r="J776" s="27" t="s">
        <v>2300</v>
      </c>
      <c r="K776" s="27" t="n">
        <v>2431</v>
      </c>
      <c r="L776" s="27" t="n">
        <v>703</v>
      </c>
      <c r="M776" s="28" t="n">
        <f aca="false">IFERROR(VLOOKUP((OFFSET(hoje12_326_ana9,775,10,1,1)&amp;"."&amp;OFFSET(hoje12_326_ana9,775,11,1,1)),'12.326'!A:D,4,0),"-")</f>
        <v>5348350000167</v>
      </c>
    </row>
    <row r="777" customFormat="false" ht="14.4" hidden="false" customHeight="false" outlineLevel="0" collapsed="false">
      <c r="A777" s="27" t="n">
        <v>11100689</v>
      </c>
      <c r="B777" s="27" t="s">
        <v>1882</v>
      </c>
      <c r="C777" s="43" t="n">
        <v>202.5</v>
      </c>
      <c r="D777" s="27" t="n">
        <v>32.94</v>
      </c>
      <c r="E777" s="27" t="n">
        <v>108</v>
      </c>
      <c r="F777" s="27" t="n">
        <v>2.18</v>
      </c>
      <c r="G777" s="27" t="s">
        <v>1875</v>
      </c>
      <c r="H777" s="27" t="s">
        <v>2030</v>
      </c>
      <c r="I777" s="27" t="s">
        <v>1876</v>
      </c>
      <c r="J777" s="27" t="s">
        <v>2300</v>
      </c>
      <c r="K777" s="27" t="n">
        <v>2431</v>
      </c>
      <c r="L777" s="27" t="n">
        <v>703</v>
      </c>
      <c r="M777" s="28" t="n">
        <f aca="false">IFERROR(VLOOKUP((OFFSET(hoje12_326_ana9,776,10,1,1)&amp;"."&amp;OFFSET(hoje12_326_ana9,776,11,1,1)),'12.326'!A:D,4,0),"-")</f>
        <v>5348350000167</v>
      </c>
    </row>
    <row r="778" customFormat="false" ht="14.4" hidden="false" customHeight="false" outlineLevel="0" collapsed="false">
      <c r="A778" s="27" t="n">
        <v>11100691</v>
      </c>
      <c r="B778" s="27" t="s">
        <v>2079</v>
      </c>
      <c r="C778" s="43" t="n">
        <v>202.5</v>
      </c>
      <c r="D778" s="27" t="n">
        <v>32.94</v>
      </c>
      <c r="E778" s="27" t="n">
        <v>108</v>
      </c>
      <c r="F778" s="27" t="n">
        <v>2.18</v>
      </c>
      <c r="G778" s="27" t="s">
        <v>1875</v>
      </c>
      <c r="H778" s="27" t="s">
        <v>2030</v>
      </c>
      <c r="I778" s="27" t="s">
        <v>1876</v>
      </c>
      <c r="J778" s="27" t="s">
        <v>2300</v>
      </c>
      <c r="K778" s="27" t="n">
        <v>2431</v>
      </c>
      <c r="L778" s="27" t="n">
        <v>703</v>
      </c>
      <c r="M778" s="28" t="n">
        <f aca="false">IFERROR(VLOOKUP((OFFSET(hoje12_326_ana9,777,10,1,1)&amp;"."&amp;OFFSET(hoje12_326_ana9,777,11,1,1)),'12.326'!A:D,4,0),"-")</f>
        <v>5348350000167</v>
      </c>
    </row>
    <row r="779" customFormat="false" ht="14.4" hidden="false" customHeight="false" outlineLevel="0" collapsed="false">
      <c r="A779" s="27" t="n">
        <v>11100696</v>
      </c>
      <c r="B779" s="27" t="s">
        <v>2303</v>
      </c>
      <c r="C779" s="43" t="n">
        <v>202.5</v>
      </c>
      <c r="D779" s="27" t="n">
        <v>32.94</v>
      </c>
      <c r="E779" s="27" t="n">
        <v>108</v>
      </c>
      <c r="F779" s="27" t="n">
        <v>2.18</v>
      </c>
      <c r="G779" s="27" t="s">
        <v>1875</v>
      </c>
      <c r="H779" s="27" t="s">
        <v>2030</v>
      </c>
      <c r="I779" s="27" t="s">
        <v>1876</v>
      </c>
      <c r="J779" s="27" t="s">
        <v>2300</v>
      </c>
      <c r="K779" s="27" t="n">
        <v>2431</v>
      </c>
      <c r="L779" s="27" t="n">
        <v>703</v>
      </c>
      <c r="M779" s="28" t="n">
        <f aca="false">IFERROR(VLOOKUP((OFFSET(hoje12_326_ana9,778,10,1,1)&amp;"."&amp;OFFSET(hoje12_326_ana9,778,11,1,1)),'12.326'!A:D,4,0),"-")</f>
        <v>5348350000167</v>
      </c>
    </row>
    <row r="780" customFormat="false" ht="14.4" hidden="false" customHeight="false" outlineLevel="0" collapsed="false">
      <c r="A780" s="27" t="n">
        <v>11100726</v>
      </c>
      <c r="B780" s="27" t="s">
        <v>2304</v>
      </c>
      <c r="C780" s="43" t="n">
        <v>202.5</v>
      </c>
      <c r="D780" s="27" t="n">
        <v>32.94</v>
      </c>
      <c r="E780" s="27" t="n">
        <v>108</v>
      </c>
      <c r="F780" s="27" t="n">
        <v>2.18</v>
      </c>
      <c r="G780" s="27" t="s">
        <v>1875</v>
      </c>
      <c r="H780" s="27" t="s">
        <v>2030</v>
      </c>
      <c r="I780" s="27" t="s">
        <v>1876</v>
      </c>
      <c r="J780" s="27" t="s">
        <v>2300</v>
      </c>
      <c r="K780" s="27" t="n">
        <v>2431</v>
      </c>
      <c r="L780" s="27" t="n">
        <v>703</v>
      </c>
      <c r="M780" s="28" t="n">
        <f aca="false">IFERROR(VLOOKUP((OFFSET(hoje12_326_ana9,779,10,1,1)&amp;"."&amp;OFFSET(hoje12_326_ana9,779,11,1,1)),'12.326'!A:D,4,0),"-")</f>
        <v>5348350000167</v>
      </c>
    </row>
    <row r="781" customFormat="false" ht="14.4" hidden="false" customHeight="false" outlineLevel="0" collapsed="false">
      <c r="A781" s="27" t="n">
        <v>11100728</v>
      </c>
      <c r="B781" s="27" t="s">
        <v>1885</v>
      </c>
      <c r="C781" s="43" t="n">
        <v>202.5</v>
      </c>
      <c r="D781" s="27" t="n">
        <v>32.94</v>
      </c>
      <c r="E781" s="27" t="n">
        <v>108</v>
      </c>
      <c r="F781" s="27" t="n">
        <v>2.18</v>
      </c>
      <c r="G781" s="27" t="s">
        <v>1875</v>
      </c>
      <c r="H781" s="27" t="s">
        <v>2030</v>
      </c>
      <c r="I781" s="27" t="s">
        <v>1876</v>
      </c>
      <c r="J781" s="27" t="s">
        <v>2300</v>
      </c>
      <c r="K781" s="27" t="n">
        <v>2431</v>
      </c>
      <c r="L781" s="27" t="n">
        <v>703</v>
      </c>
      <c r="M781" s="28" t="n">
        <f aca="false">IFERROR(VLOOKUP((OFFSET(hoje12_326_ana9,780,10,1,1)&amp;"."&amp;OFFSET(hoje12_326_ana9,780,11,1,1)),'12.326'!A:D,4,0),"-")</f>
        <v>5348350000167</v>
      </c>
    </row>
    <row r="782" customFormat="false" ht="14.4" hidden="false" customHeight="false" outlineLevel="0" collapsed="false">
      <c r="A782" s="27" t="n">
        <v>11100736</v>
      </c>
      <c r="B782" s="27" t="s">
        <v>2043</v>
      </c>
      <c r="C782" s="43" t="n">
        <v>173.02</v>
      </c>
      <c r="D782" s="27" t="n">
        <v>57.38</v>
      </c>
      <c r="E782" s="27" t="n">
        <v>72</v>
      </c>
      <c r="F782" s="27" t="n">
        <v>3.2</v>
      </c>
      <c r="G782" s="27" t="s">
        <v>1875</v>
      </c>
      <c r="H782" s="27" t="s">
        <v>2244</v>
      </c>
      <c r="I782" s="27" t="s">
        <v>1876</v>
      </c>
      <c r="J782" s="27" t="s">
        <v>2305</v>
      </c>
      <c r="K782" s="27" t="n">
        <v>2431</v>
      </c>
      <c r="L782" s="27" t="n">
        <v>703</v>
      </c>
      <c r="M782" s="28" t="n">
        <f aca="false">IFERROR(VLOOKUP((OFFSET(hoje12_326_ana9,781,10,1,1)&amp;"."&amp;OFFSET(hoje12_326_ana9,781,11,1,1)),'12.326'!A:D,4,0),"-")</f>
        <v>5348350000167</v>
      </c>
    </row>
    <row r="783" customFormat="false" ht="14.4" hidden="false" customHeight="false" outlineLevel="0" collapsed="false">
      <c r="A783" s="27" t="n">
        <v>11100747</v>
      </c>
      <c r="B783" s="27" t="s">
        <v>1999</v>
      </c>
      <c r="C783" s="43" t="n">
        <v>173.02</v>
      </c>
      <c r="D783" s="27" t="n">
        <v>57.38</v>
      </c>
      <c r="E783" s="27" t="n">
        <v>72</v>
      </c>
      <c r="F783" s="27" t="n">
        <v>3.2</v>
      </c>
      <c r="G783" s="27" t="s">
        <v>1875</v>
      </c>
      <c r="H783" s="27" t="s">
        <v>2244</v>
      </c>
      <c r="I783" s="27" t="s">
        <v>1876</v>
      </c>
      <c r="J783" s="27" t="s">
        <v>2305</v>
      </c>
      <c r="K783" s="27" t="n">
        <v>2431</v>
      </c>
      <c r="L783" s="27" t="n">
        <v>703</v>
      </c>
      <c r="M783" s="28" t="n">
        <f aca="false">IFERROR(VLOOKUP((OFFSET(hoje12_326_ana9,782,10,1,1)&amp;"."&amp;OFFSET(hoje12_326_ana9,782,11,1,1)),'12.326'!A:D,4,0),"-")</f>
        <v>5348350000167</v>
      </c>
    </row>
    <row r="784" customFormat="false" ht="14.4" hidden="false" customHeight="false" outlineLevel="0" collapsed="false">
      <c r="A784" s="27" t="n">
        <v>11100751</v>
      </c>
      <c r="B784" s="27" t="s">
        <v>1995</v>
      </c>
      <c r="C784" s="43" t="n">
        <v>173.02</v>
      </c>
      <c r="D784" s="27" t="n">
        <v>57.38</v>
      </c>
      <c r="E784" s="27" t="n">
        <v>72</v>
      </c>
      <c r="F784" s="27" t="n">
        <v>3.2</v>
      </c>
      <c r="G784" s="27" t="s">
        <v>1875</v>
      </c>
      <c r="H784" s="27" t="s">
        <v>2244</v>
      </c>
      <c r="I784" s="27" t="s">
        <v>1876</v>
      </c>
      <c r="J784" s="27" t="s">
        <v>2305</v>
      </c>
      <c r="K784" s="27" t="n">
        <v>2431</v>
      </c>
      <c r="L784" s="27" t="n">
        <v>703</v>
      </c>
      <c r="M784" s="28" t="n">
        <f aca="false">IFERROR(VLOOKUP((OFFSET(hoje12_326_ana9,783,10,1,1)&amp;"."&amp;OFFSET(hoje12_326_ana9,783,11,1,1)),'12.326'!A:D,4,0),"-")</f>
        <v>5348350000167</v>
      </c>
    </row>
    <row r="785" customFormat="false" ht="14.4" hidden="false" customHeight="false" outlineLevel="0" collapsed="false">
      <c r="A785" s="27" t="n">
        <v>11100757</v>
      </c>
      <c r="B785" s="27" t="s">
        <v>2246</v>
      </c>
      <c r="C785" s="43" t="n">
        <v>173.02</v>
      </c>
      <c r="D785" s="27" t="n">
        <v>57.38</v>
      </c>
      <c r="E785" s="27" t="n">
        <v>72</v>
      </c>
      <c r="F785" s="27" t="n">
        <v>3.2</v>
      </c>
      <c r="G785" s="27" t="s">
        <v>1875</v>
      </c>
      <c r="H785" s="27" t="s">
        <v>2244</v>
      </c>
      <c r="I785" s="27" t="s">
        <v>1876</v>
      </c>
      <c r="J785" s="27" t="s">
        <v>2305</v>
      </c>
      <c r="K785" s="27" t="n">
        <v>2431</v>
      </c>
      <c r="L785" s="27" t="n">
        <v>703</v>
      </c>
      <c r="M785" s="28" t="n">
        <f aca="false">IFERROR(VLOOKUP((OFFSET(hoje12_326_ana9,784,10,1,1)&amp;"."&amp;OFFSET(hoje12_326_ana9,784,11,1,1)),'12.326'!A:D,4,0),"-")</f>
        <v>5348350000167</v>
      </c>
    </row>
    <row r="786" customFormat="false" ht="14.4" hidden="false" customHeight="false" outlineLevel="0" collapsed="false">
      <c r="A786" s="27" t="n">
        <v>11100773</v>
      </c>
      <c r="B786" s="27" t="s">
        <v>2061</v>
      </c>
      <c r="C786" s="43" t="n">
        <v>173.02</v>
      </c>
      <c r="D786" s="27" t="n">
        <v>57.38</v>
      </c>
      <c r="E786" s="27" t="n">
        <v>72</v>
      </c>
      <c r="F786" s="27" t="n">
        <v>3.2</v>
      </c>
      <c r="G786" s="27" t="s">
        <v>1875</v>
      </c>
      <c r="H786" s="27" t="s">
        <v>2244</v>
      </c>
      <c r="I786" s="27" t="s">
        <v>1876</v>
      </c>
      <c r="J786" s="27" t="s">
        <v>2305</v>
      </c>
      <c r="K786" s="27" t="n">
        <v>2431</v>
      </c>
      <c r="L786" s="27" t="n">
        <v>703</v>
      </c>
      <c r="M786" s="28" t="n">
        <f aca="false">IFERROR(VLOOKUP((OFFSET(hoje12_326_ana9,785,10,1,1)&amp;"."&amp;OFFSET(hoje12_326_ana9,785,11,1,1)),'12.326'!A:D,4,0),"-")</f>
        <v>5348350000167</v>
      </c>
    </row>
    <row r="787" customFormat="false" ht="14.4" hidden="false" customHeight="false" outlineLevel="0" collapsed="false">
      <c r="A787" s="27" t="n">
        <v>11100778</v>
      </c>
      <c r="B787" s="27" t="s">
        <v>1997</v>
      </c>
      <c r="C787" s="43" t="n">
        <v>173.02</v>
      </c>
      <c r="D787" s="27" t="n">
        <v>57.38</v>
      </c>
      <c r="E787" s="27" t="n">
        <v>72</v>
      </c>
      <c r="F787" s="27" t="n">
        <v>3.2</v>
      </c>
      <c r="G787" s="27" t="s">
        <v>1875</v>
      </c>
      <c r="H787" s="27" t="s">
        <v>2244</v>
      </c>
      <c r="I787" s="27" t="s">
        <v>1876</v>
      </c>
      <c r="J787" s="27" t="s">
        <v>2305</v>
      </c>
      <c r="K787" s="27" t="n">
        <v>2431</v>
      </c>
      <c r="L787" s="27" t="n">
        <v>703</v>
      </c>
      <c r="M787" s="28" t="n">
        <f aca="false">IFERROR(VLOOKUP((OFFSET(hoje12_326_ana9,786,10,1,1)&amp;"."&amp;OFFSET(hoje12_326_ana9,786,11,1,1)),'12.326'!A:D,4,0),"-")</f>
        <v>5348350000167</v>
      </c>
    </row>
    <row r="788" customFormat="false" ht="14.4" hidden="false" customHeight="false" outlineLevel="0" collapsed="false">
      <c r="A788" s="27" t="n">
        <v>11100784</v>
      </c>
      <c r="B788" s="27" t="s">
        <v>1989</v>
      </c>
      <c r="C788" s="43" t="n">
        <v>173.02</v>
      </c>
      <c r="D788" s="27" t="n">
        <v>57.38</v>
      </c>
      <c r="E788" s="27" t="n">
        <v>72</v>
      </c>
      <c r="F788" s="27" t="n">
        <v>3.2</v>
      </c>
      <c r="G788" s="27" t="s">
        <v>1875</v>
      </c>
      <c r="H788" s="27" t="s">
        <v>2244</v>
      </c>
      <c r="I788" s="27" t="s">
        <v>1876</v>
      </c>
      <c r="J788" s="27" t="s">
        <v>2305</v>
      </c>
      <c r="K788" s="27" t="n">
        <v>2431</v>
      </c>
      <c r="L788" s="27" t="n">
        <v>703</v>
      </c>
      <c r="M788" s="28" t="n">
        <f aca="false">IFERROR(VLOOKUP((OFFSET(hoje12_326_ana9,787,10,1,1)&amp;"."&amp;OFFSET(hoje12_326_ana9,787,11,1,1)),'12.326'!A:D,4,0),"-")</f>
        <v>5348350000167</v>
      </c>
    </row>
    <row r="789" customFormat="false" ht="14.4" hidden="false" customHeight="false" outlineLevel="0" collapsed="false">
      <c r="A789" s="27" t="n">
        <v>11100788</v>
      </c>
      <c r="B789" s="27" t="s">
        <v>2248</v>
      </c>
      <c r="C789" s="43" t="n">
        <v>173.02</v>
      </c>
      <c r="D789" s="27" t="n">
        <v>57.38</v>
      </c>
      <c r="E789" s="27" t="n">
        <v>72</v>
      </c>
      <c r="F789" s="27" t="n">
        <v>3.2</v>
      </c>
      <c r="G789" s="27" t="s">
        <v>1875</v>
      </c>
      <c r="H789" s="27" t="s">
        <v>2244</v>
      </c>
      <c r="I789" s="27" t="s">
        <v>1876</v>
      </c>
      <c r="J789" s="27" t="s">
        <v>2305</v>
      </c>
      <c r="K789" s="27" t="n">
        <v>2431</v>
      </c>
      <c r="L789" s="27" t="n">
        <v>703</v>
      </c>
      <c r="M789" s="28" t="n">
        <f aca="false">IFERROR(VLOOKUP((OFFSET(hoje12_326_ana9,788,10,1,1)&amp;"."&amp;OFFSET(hoje12_326_ana9,788,11,1,1)),'12.326'!A:D,4,0),"-")</f>
        <v>5348350000167</v>
      </c>
    </row>
    <row r="790" customFormat="false" ht="14.4" hidden="false" customHeight="false" outlineLevel="0" collapsed="false">
      <c r="A790" s="27" t="n">
        <v>11100803</v>
      </c>
      <c r="B790" s="27" t="s">
        <v>2306</v>
      </c>
      <c r="C790" s="43" t="n">
        <v>173.02</v>
      </c>
      <c r="D790" s="27" t="n">
        <v>57.38</v>
      </c>
      <c r="E790" s="27" t="n">
        <v>72</v>
      </c>
      <c r="F790" s="27" t="n">
        <v>3.2</v>
      </c>
      <c r="G790" s="27" t="s">
        <v>1875</v>
      </c>
      <c r="H790" s="27" t="s">
        <v>2244</v>
      </c>
      <c r="I790" s="27" t="s">
        <v>1876</v>
      </c>
      <c r="J790" s="27" t="s">
        <v>2305</v>
      </c>
      <c r="K790" s="27" t="n">
        <v>2431</v>
      </c>
      <c r="L790" s="27" t="n">
        <v>703</v>
      </c>
      <c r="M790" s="28" t="n">
        <f aca="false">IFERROR(VLOOKUP((OFFSET(hoje12_326_ana9,789,10,1,1)&amp;"."&amp;OFFSET(hoje12_326_ana9,789,11,1,1)),'12.326'!A:D,4,0),"-")</f>
        <v>5348350000167</v>
      </c>
    </row>
    <row r="791" customFormat="false" ht="14.4" hidden="false" customHeight="false" outlineLevel="0" collapsed="false">
      <c r="A791" s="27" t="n">
        <v>11100809</v>
      </c>
      <c r="B791" s="27" t="s">
        <v>2249</v>
      </c>
      <c r="C791" s="43" t="n">
        <v>173.02</v>
      </c>
      <c r="D791" s="27" t="n">
        <v>57.38</v>
      </c>
      <c r="E791" s="27" t="n">
        <v>72</v>
      </c>
      <c r="F791" s="27" t="n">
        <v>3.2</v>
      </c>
      <c r="G791" s="27" t="s">
        <v>1875</v>
      </c>
      <c r="H791" s="27" t="s">
        <v>2244</v>
      </c>
      <c r="I791" s="27" t="s">
        <v>1876</v>
      </c>
      <c r="J791" s="27" t="s">
        <v>2305</v>
      </c>
      <c r="K791" s="27" t="n">
        <v>2431</v>
      </c>
      <c r="L791" s="27" t="n">
        <v>703</v>
      </c>
      <c r="M791" s="28" t="n">
        <f aca="false">IFERROR(VLOOKUP((OFFSET(hoje12_326_ana9,790,10,1,1)&amp;"."&amp;OFFSET(hoje12_326_ana9,790,11,1,1)),'12.326'!A:D,4,0),"-")</f>
        <v>5348350000167</v>
      </c>
    </row>
    <row r="792" customFormat="false" ht="14.4" hidden="false" customHeight="false" outlineLevel="0" collapsed="false">
      <c r="A792" s="27" t="n">
        <v>11100937</v>
      </c>
      <c r="B792" s="27" t="s">
        <v>2015</v>
      </c>
      <c r="C792" s="43" t="n">
        <v>1098.24</v>
      </c>
      <c r="D792" s="27" t="n">
        <v>0</v>
      </c>
      <c r="E792" s="27" t="n">
        <v>48</v>
      </c>
      <c r="F792" s="27" t="n">
        <v>22.88</v>
      </c>
      <c r="G792" s="27" t="s">
        <v>1875</v>
      </c>
      <c r="H792" s="27" t="s">
        <v>68</v>
      </c>
      <c r="I792" s="27" t="s">
        <v>1876</v>
      </c>
      <c r="J792" s="27" t="s">
        <v>1877</v>
      </c>
      <c r="K792" s="27" t="n">
        <v>2431</v>
      </c>
      <c r="L792" s="27" t="n">
        <v>703</v>
      </c>
      <c r="M792" s="28" t="n">
        <f aca="false">IFERROR(VLOOKUP((OFFSET(hoje12_326_ana9,791,10,1,1)&amp;"."&amp;OFFSET(hoje12_326_ana9,791,11,1,1)),'12.326'!A:D,4,0),"-")</f>
        <v>5348350000167</v>
      </c>
    </row>
    <row r="793" customFormat="false" ht="14.4" hidden="false" customHeight="false" outlineLevel="0" collapsed="false">
      <c r="A793" s="27" t="n">
        <v>11100940</v>
      </c>
      <c r="B793" s="27" t="s">
        <v>1985</v>
      </c>
      <c r="C793" s="43" t="n">
        <v>184.28</v>
      </c>
      <c r="D793" s="27" t="n">
        <v>3.76</v>
      </c>
      <c r="E793" s="27" t="n">
        <v>12</v>
      </c>
      <c r="F793" s="27" t="n">
        <v>15.67</v>
      </c>
      <c r="G793" s="27" t="s">
        <v>1875</v>
      </c>
      <c r="H793" s="27" t="s">
        <v>2011</v>
      </c>
      <c r="I793" s="27" t="s">
        <v>1876</v>
      </c>
      <c r="J793" s="27" t="s">
        <v>2279</v>
      </c>
      <c r="K793" s="27" t="n">
        <v>2431</v>
      </c>
      <c r="L793" s="27" t="n">
        <v>703</v>
      </c>
      <c r="M793" s="28" t="n">
        <f aca="false">IFERROR(VLOOKUP((OFFSET(hoje12_326_ana9,792,10,1,1)&amp;"."&amp;OFFSET(hoje12_326_ana9,792,11,1,1)),'12.326'!A:D,4,0),"-")</f>
        <v>5348350000167</v>
      </c>
    </row>
    <row r="794" customFormat="false" ht="14.4" hidden="false" customHeight="false" outlineLevel="0" collapsed="false">
      <c r="A794" s="27" t="n">
        <v>11100944</v>
      </c>
      <c r="B794" s="27" t="s">
        <v>2250</v>
      </c>
      <c r="C794" s="43" t="n">
        <v>182.64</v>
      </c>
      <c r="D794" s="27" t="n">
        <v>0</v>
      </c>
      <c r="E794" s="27" t="n">
        <v>12</v>
      </c>
      <c r="F794" s="27" t="n">
        <v>15.22</v>
      </c>
      <c r="G794" s="27" t="s">
        <v>1875</v>
      </c>
      <c r="H794" s="27" t="s">
        <v>68</v>
      </c>
      <c r="I794" s="27" t="s">
        <v>1876</v>
      </c>
      <c r="J794" s="27" t="s">
        <v>1877</v>
      </c>
      <c r="K794" s="27" t="n">
        <v>2431</v>
      </c>
      <c r="L794" s="27" t="n">
        <v>703</v>
      </c>
      <c r="M794" s="28" t="n">
        <f aca="false">IFERROR(VLOOKUP((OFFSET(hoje12_326_ana9,793,10,1,1)&amp;"."&amp;OFFSET(hoje12_326_ana9,793,11,1,1)),'12.326'!A:D,4,0),"-")</f>
        <v>5348350000167</v>
      </c>
    </row>
    <row r="795" customFormat="false" ht="14.4" hidden="false" customHeight="false" outlineLevel="0" collapsed="false">
      <c r="A795" s="27" t="n">
        <v>11100950</v>
      </c>
      <c r="B795" s="27" t="s">
        <v>2251</v>
      </c>
      <c r="C795" s="43" t="n">
        <v>81.72</v>
      </c>
      <c r="D795" s="27" t="n">
        <v>0</v>
      </c>
      <c r="E795" s="27" t="n">
        <v>12</v>
      </c>
      <c r="F795" s="27" t="n">
        <v>6.81</v>
      </c>
      <c r="G795" s="27" t="s">
        <v>1875</v>
      </c>
      <c r="H795" s="27" t="s">
        <v>68</v>
      </c>
      <c r="I795" s="27" t="s">
        <v>1876</v>
      </c>
      <c r="J795" s="27" t="s">
        <v>1877</v>
      </c>
      <c r="K795" s="27" t="n">
        <v>2431</v>
      </c>
      <c r="L795" s="27" t="n">
        <v>703</v>
      </c>
      <c r="M795" s="28" t="n">
        <f aca="false">IFERROR(VLOOKUP((OFFSET(hoje12_326_ana9,794,10,1,1)&amp;"."&amp;OFFSET(hoje12_326_ana9,794,11,1,1)),'12.326'!A:D,4,0),"-")</f>
        <v>5348350000167</v>
      </c>
    </row>
    <row r="796" customFormat="false" ht="14.4" hidden="false" customHeight="false" outlineLevel="0" collapsed="false">
      <c r="A796" s="27" t="n">
        <v>11100955</v>
      </c>
      <c r="B796" s="27" t="s">
        <v>2252</v>
      </c>
      <c r="C796" s="43" t="n">
        <v>403.2</v>
      </c>
      <c r="D796" s="27" t="n">
        <v>0</v>
      </c>
      <c r="E796" s="27" t="n">
        <v>144</v>
      </c>
      <c r="F796" s="27" t="n">
        <v>2.8</v>
      </c>
      <c r="G796" s="27" t="s">
        <v>1875</v>
      </c>
      <c r="H796" s="27" t="s">
        <v>68</v>
      </c>
      <c r="I796" s="27" t="s">
        <v>1876</v>
      </c>
      <c r="J796" s="27" t="s">
        <v>1877</v>
      </c>
      <c r="K796" s="27" t="n">
        <v>2431</v>
      </c>
      <c r="L796" s="27" t="n">
        <v>703</v>
      </c>
      <c r="M796" s="28" t="n">
        <f aca="false">IFERROR(VLOOKUP((OFFSET(hoje12_326_ana9,795,10,1,1)&amp;"."&amp;OFFSET(hoje12_326_ana9,795,11,1,1)),'12.326'!A:D,4,0),"-")</f>
        <v>5348350000167</v>
      </c>
    </row>
    <row r="797" customFormat="false" ht="14.4" hidden="false" customHeight="false" outlineLevel="0" collapsed="false">
      <c r="A797" s="27" t="n">
        <v>11100968</v>
      </c>
      <c r="B797" s="27" t="s">
        <v>2125</v>
      </c>
      <c r="C797" s="43" t="n">
        <v>95.99</v>
      </c>
      <c r="D797" s="27" t="n">
        <v>16.93</v>
      </c>
      <c r="E797" s="27" t="n">
        <v>12</v>
      </c>
      <c r="F797" s="27" t="n">
        <v>9.41</v>
      </c>
      <c r="G797" s="27" t="s">
        <v>1875</v>
      </c>
      <c r="H797" s="27" t="s">
        <v>1892</v>
      </c>
      <c r="I797" s="27" t="s">
        <v>1876</v>
      </c>
      <c r="J797" s="27" t="s">
        <v>2307</v>
      </c>
      <c r="K797" s="27" t="n">
        <v>2431</v>
      </c>
      <c r="L797" s="27" t="n">
        <v>703</v>
      </c>
      <c r="M797" s="28" t="n">
        <f aca="false">IFERROR(VLOOKUP((OFFSET(hoje12_326_ana9,796,10,1,1)&amp;"."&amp;OFFSET(hoje12_326_ana9,796,11,1,1)),'12.326'!A:D,4,0),"-")</f>
        <v>5348350000167</v>
      </c>
    </row>
    <row r="798" customFormat="false" ht="14.4" hidden="false" customHeight="false" outlineLevel="0" collapsed="false">
      <c r="A798" s="27" t="n">
        <v>11100972</v>
      </c>
      <c r="B798" s="27" t="s">
        <v>2308</v>
      </c>
      <c r="C798" s="43" t="n">
        <v>151.68</v>
      </c>
      <c r="D798" s="27" t="n">
        <v>26.76</v>
      </c>
      <c r="E798" s="27" t="n">
        <v>12</v>
      </c>
      <c r="F798" s="27" t="n">
        <v>14.87</v>
      </c>
      <c r="G798" s="27" t="s">
        <v>1875</v>
      </c>
      <c r="H798" s="27" t="s">
        <v>1892</v>
      </c>
      <c r="I798" s="27" t="s">
        <v>1876</v>
      </c>
      <c r="J798" s="27" t="s">
        <v>2309</v>
      </c>
      <c r="K798" s="27" t="n">
        <v>2431</v>
      </c>
      <c r="L798" s="27" t="n">
        <v>703</v>
      </c>
      <c r="M798" s="28" t="n">
        <f aca="false">IFERROR(VLOOKUP((OFFSET(hoje12_326_ana9,797,10,1,1)&amp;"."&amp;OFFSET(hoje12_326_ana9,797,11,1,1)),'12.326'!A:D,4,0),"-")</f>
        <v>5348350000167</v>
      </c>
    </row>
    <row r="799" customFormat="false" ht="14.4" hidden="false" customHeight="false" outlineLevel="0" collapsed="false">
      <c r="A799" s="27" t="n">
        <v>11100984</v>
      </c>
      <c r="B799" s="27" t="s">
        <v>2257</v>
      </c>
      <c r="C799" s="43" t="n">
        <v>67.12</v>
      </c>
      <c r="D799" s="27" t="n">
        <v>11.84</v>
      </c>
      <c r="E799" s="27" t="n">
        <v>6</v>
      </c>
      <c r="F799" s="27" t="n">
        <v>13.16</v>
      </c>
      <c r="G799" s="27" t="s">
        <v>1875</v>
      </c>
      <c r="H799" s="27" t="s">
        <v>1892</v>
      </c>
      <c r="I799" s="27" t="s">
        <v>1876</v>
      </c>
      <c r="J799" s="27" t="s">
        <v>2184</v>
      </c>
      <c r="K799" s="27" t="n">
        <v>2431</v>
      </c>
      <c r="L799" s="27" t="n">
        <v>703</v>
      </c>
      <c r="M799" s="28" t="n">
        <f aca="false">IFERROR(VLOOKUP((OFFSET(hoje12_326_ana9,798,10,1,1)&amp;"."&amp;OFFSET(hoje12_326_ana9,798,11,1,1)),'12.326'!A:D,4,0),"-")</f>
        <v>5348350000167</v>
      </c>
    </row>
    <row r="800" customFormat="false" ht="14.4" hidden="false" customHeight="false" outlineLevel="0" collapsed="false">
      <c r="A800" s="27" t="n">
        <v>11100960</v>
      </c>
      <c r="B800" s="27" t="s">
        <v>2310</v>
      </c>
      <c r="C800" s="43" t="n">
        <v>61.32</v>
      </c>
      <c r="D800" s="27" t="n">
        <v>0</v>
      </c>
      <c r="E800" s="27" t="n">
        <v>12</v>
      </c>
      <c r="F800" s="27" t="n">
        <v>5.11</v>
      </c>
      <c r="G800" s="27" t="s">
        <v>1875</v>
      </c>
      <c r="H800" s="27" t="s">
        <v>68</v>
      </c>
      <c r="I800" s="27" t="s">
        <v>1876</v>
      </c>
      <c r="J800" s="27" t="s">
        <v>1877</v>
      </c>
      <c r="K800" s="27" t="n">
        <v>2431</v>
      </c>
      <c r="L800" s="27" t="n">
        <v>703</v>
      </c>
      <c r="M800" s="28" t="n">
        <f aca="false">IFERROR(VLOOKUP((OFFSET(hoje12_326_ana9,799,10,1,1)&amp;"."&amp;OFFSET(hoje12_326_ana9,799,11,1,1)),'12.326'!A:D,4,0),"-")</f>
        <v>5348350000167</v>
      </c>
    </row>
    <row r="801" customFormat="false" ht="14.4" hidden="false" customHeight="false" outlineLevel="0" collapsed="false">
      <c r="A801" s="27" t="n">
        <v>11100959</v>
      </c>
      <c r="B801" s="27" t="s">
        <v>1987</v>
      </c>
      <c r="C801" s="43" t="n">
        <v>61.32</v>
      </c>
      <c r="D801" s="27" t="n">
        <v>0</v>
      </c>
      <c r="E801" s="27" t="n">
        <v>12</v>
      </c>
      <c r="F801" s="27" t="n">
        <v>5.11</v>
      </c>
      <c r="G801" s="27" t="s">
        <v>1875</v>
      </c>
      <c r="H801" s="27" t="s">
        <v>68</v>
      </c>
      <c r="I801" s="27" t="s">
        <v>1876</v>
      </c>
      <c r="J801" s="27" t="s">
        <v>1877</v>
      </c>
      <c r="K801" s="27" t="n">
        <v>2431</v>
      </c>
      <c r="L801" s="27" t="n">
        <v>703</v>
      </c>
      <c r="M801" s="28" t="n">
        <f aca="false">IFERROR(VLOOKUP((OFFSET(hoje12_326_ana9,800,10,1,1)&amp;"."&amp;OFFSET(hoje12_326_ana9,800,11,1,1)),'12.326'!A:D,4,0),"-")</f>
        <v>5348350000167</v>
      </c>
    </row>
    <row r="802" customFormat="false" ht="14.4" hidden="false" customHeight="false" outlineLevel="0" collapsed="false">
      <c r="A802" s="27" t="n">
        <v>11100980</v>
      </c>
      <c r="B802" s="27" t="s">
        <v>2311</v>
      </c>
      <c r="C802" s="43" t="n">
        <v>124.75</v>
      </c>
      <c r="D802" s="27" t="n">
        <v>22.01</v>
      </c>
      <c r="E802" s="27" t="n">
        <v>6</v>
      </c>
      <c r="F802" s="27" t="n">
        <v>24.46</v>
      </c>
      <c r="G802" s="27" t="s">
        <v>1875</v>
      </c>
      <c r="H802" s="27" t="s">
        <v>1892</v>
      </c>
      <c r="I802" s="27" t="s">
        <v>1876</v>
      </c>
      <c r="J802" s="27" t="s">
        <v>2312</v>
      </c>
      <c r="K802" s="27" t="n">
        <v>2431</v>
      </c>
      <c r="L802" s="27" t="n">
        <v>703</v>
      </c>
      <c r="M802" s="28" t="n">
        <f aca="false">IFERROR(VLOOKUP((OFFSET(hoje12_326_ana9,801,10,1,1)&amp;"."&amp;OFFSET(hoje12_326_ana9,801,11,1,1)),'12.326'!A:D,4,0),"-")</f>
        <v>5348350000167</v>
      </c>
    </row>
    <row r="803" customFormat="false" ht="14.4" hidden="false" customHeight="false" outlineLevel="0" collapsed="false">
      <c r="A803" s="27" t="n">
        <v>11100973</v>
      </c>
      <c r="B803" s="27" t="s">
        <v>2313</v>
      </c>
      <c r="C803" s="43" t="n">
        <v>105.42</v>
      </c>
      <c r="D803" s="27" t="n">
        <v>18.6</v>
      </c>
      <c r="E803" s="27" t="n">
        <v>6</v>
      </c>
      <c r="F803" s="27" t="n">
        <v>20.67</v>
      </c>
      <c r="G803" s="27" t="s">
        <v>1875</v>
      </c>
      <c r="H803" s="27" t="s">
        <v>1892</v>
      </c>
      <c r="I803" s="27" t="s">
        <v>1876</v>
      </c>
      <c r="J803" s="27" t="s">
        <v>2314</v>
      </c>
      <c r="K803" s="27" t="n">
        <v>2431</v>
      </c>
      <c r="L803" s="27" t="n">
        <v>703</v>
      </c>
      <c r="M803" s="28" t="n">
        <f aca="false">IFERROR(VLOOKUP((OFFSET(hoje12_326_ana9,802,10,1,1)&amp;"."&amp;OFFSET(hoje12_326_ana9,802,11,1,1)),'12.326'!A:D,4,0),"-")</f>
        <v>5348350000167</v>
      </c>
    </row>
    <row r="804" customFormat="false" ht="14.4" hidden="false" customHeight="false" outlineLevel="0" collapsed="false">
      <c r="A804" s="27" t="n">
        <v>11100475</v>
      </c>
      <c r="B804" s="27" t="s">
        <v>1947</v>
      </c>
      <c r="C804" s="43" t="n">
        <v>189.82</v>
      </c>
      <c r="D804" s="27" t="n">
        <v>3.86</v>
      </c>
      <c r="E804" s="27" t="n">
        <v>24</v>
      </c>
      <c r="F804" s="27" t="n">
        <v>8.07</v>
      </c>
      <c r="G804" s="27" t="s">
        <v>1875</v>
      </c>
      <c r="H804" s="27" t="s">
        <v>2011</v>
      </c>
      <c r="I804" s="27" t="s">
        <v>1876</v>
      </c>
      <c r="J804" s="27" t="s">
        <v>2315</v>
      </c>
      <c r="K804" s="27" t="n">
        <v>2431</v>
      </c>
      <c r="L804" s="27" t="n">
        <v>703</v>
      </c>
      <c r="M804" s="28" t="n">
        <f aca="false">IFERROR(VLOOKUP((OFFSET(hoje12_326_ana9,803,10,1,1)&amp;"."&amp;OFFSET(hoje12_326_ana9,803,11,1,1)),'12.326'!A:D,4,0),"-")</f>
        <v>5348350000167</v>
      </c>
    </row>
    <row r="805" customFormat="false" ht="14.4" hidden="false" customHeight="false" outlineLevel="0" collapsed="false">
      <c r="A805" s="27" t="n">
        <v>11100974</v>
      </c>
      <c r="B805" s="27" t="s">
        <v>2316</v>
      </c>
      <c r="C805" s="43" t="n">
        <v>45.14</v>
      </c>
      <c r="D805" s="27" t="n">
        <v>7.96</v>
      </c>
      <c r="E805" s="27" t="n">
        <v>6</v>
      </c>
      <c r="F805" s="27" t="n">
        <v>8.85</v>
      </c>
      <c r="G805" s="27" t="s">
        <v>1875</v>
      </c>
      <c r="H805" s="27" t="s">
        <v>1892</v>
      </c>
      <c r="I805" s="27" t="s">
        <v>1876</v>
      </c>
      <c r="J805" s="27" t="s">
        <v>2317</v>
      </c>
      <c r="K805" s="27" t="n">
        <v>2431</v>
      </c>
      <c r="L805" s="27" t="n">
        <v>703</v>
      </c>
      <c r="M805" s="28" t="n">
        <f aca="false">IFERROR(VLOOKUP((OFFSET(hoje12_326_ana9,804,10,1,1)&amp;"."&amp;OFFSET(hoje12_326_ana9,804,11,1,1)),'12.326'!A:D,4,0),"-")</f>
        <v>5348350000167</v>
      </c>
    </row>
    <row r="806" customFormat="false" ht="14.4" hidden="false" customHeight="false" outlineLevel="0" collapsed="false">
      <c r="A806" s="27" t="n">
        <v>11100971</v>
      </c>
      <c r="B806" s="27" t="s">
        <v>2253</v>
      </c>
      <c r="C806" s="43" t="n">
        <v>125.57</v>
      </c>
      <c r="D806" s="27" t="n">
        <v>22.15</v>
      </c>
      <c r="E806" s="27" t="n">
        <v>12</v>
      </c>
      <c r="F806" s="27" t="n">
        <v>12.31</v>
      </c>
      <c r="G806" s="27" t="s">
        <v>1875</v>
      </c>
      <c r="H806" s="27" t="s">
        <v>1892</v>
      </c>
      <c r="I806" s="27" t="s">
        <v>1876</v>
      </c>
      <c r="J806" s="27" t="s">
        <v>2318</v>
      </c>
      <c r="K806" s="27" t="n">
        <v>2431</v>
      </c>
      <c r="L806" s="27" t="n">
        <v>703</v>
      </c>
      <c r="M806" s="28" t="n">
        <f aca="false">IFERROR(VLOOKUP((OFFSET(hoje12_326_ana9,805,10,1,1)&amp;"."&amp;OFFSET(hoje12_326_ana9,805,11,1,1)),'12.326'!A:D,4,0),"-")</f>
        <v>5348350000167</v>
      </c>
    </row>
    <row r="807" customFormat="false" ht="14.4" hidden="false" customHeight="false" outlineLevel="0" collapsed="false">
      <c r="A807" s="27" t="n">
        <v>11100970</v>
      </c>
      <c r="B807" s="27" t="s">
        <v>2197</v>
      </c>
      <c r="C807" s="43" t="n">
        <v>54.16</v>
      </c>
      <c r="D807" s="27" t="n">
        <v>16.64</v>
      </c>
      <c r="E807" s="27" t="n">
        <v>6</v>
      </c>
      <c r="F807" s="27" t="n">
        <v>11.8</v>
      </c>
      <c r="G807" s="27" t="s">
        <v>1875</v>
      </c>
      <c r="H807" s="27" t="s">
        <v>2133</v>
      </c>
      <c r="I807" s="27" t="s">
        <v>1876</v>
      </c>
      <c r="J807" s="27" t="s">
        <v>2319</v>
      </c>
      <c r="K807" s="27" t="n">
        <v>2431</v>
      </c>
      <c r="L807" s="27" t="n">
        <v>703</v>
      </c>
      <c r="M807" s="28" t="n">
        <f aca="false">IFERROR(VLOOKUP((OFFSET(hoje12_326_ana9,806,10,1,1)&amp;"."&amp;OFFSET(hoje12_326_ana9,806,11,1,1)),'12.326'!A:D,4,0),"-")</f>
        <v>5348350000167</v>
      </c>
    </row>
    <row r="808" customFormat="false" ht="14.4" hidden="false" customHeight="false" outlineLevel="0" collapsed="false">
      <c r="A808" s="27" t="n">
        <v>11100976</v>
      </c>
      <c r="B808" s="27" t="s">
        <v>2139</v>
      </c>
      <c r="C808" s="43" t="n">
        <v>172.15</v>
      </c>
      <c r="D808" s="27" t="n">
        <v>63.29</v>
      </c>
      <c r="E808" s="27" t="n">
        <v>108</v>
      </c>
      <c r="F808" s="27" t="n">
        <v>2.18</v>
      </c>
      <c r="G808" s="27" t="s">
        <v>1875</v>
      </c>
      <c r="H808" s="27" t="s">
        <v>2140</v>
      </c>
      <c r="I808" s="27" t="s">
        <v>1876</v>
      </c>
      <c r="J808" s="27" t="s">
        <v>2320</v>
      </c>
      <c r="K808" s="27" t="n">
        <v>2431</v>
      </c>
      <c r="L808" s="27" t="n">
        <v>703</v>
      </c>
      <c r="M808" s="28" t="n">
        <f aca="false">IFERROR(VLOOKUP((OFFSET(hoje12_326_ana9,807,10,1,1)&amp;"."&amp;OFFSET(hoje12_326_ana9,807,11,1,1)),'12.326'!A:D,4,0),"-")</f>
        <v>5348350000167</v>
      </c>
    </row>
    <row r="809" customFormat="false" ht="14.4" hidden="false" customHeight="false" outlineLevel="0" collapsed="false">
      <c r="A809" s="27" t="n">
        <v>11100979</v>
      </c>
      <c r="B809" s="27" t="s">
        <v>2321</v>
      </c>
      <c r="C809" s="43" t="n">
        <v>45.14</v>
      </c>
      <c r="D809" s="27" t="n">
        <v>7.96</v>
      </c>
      <c r="E809" s="27" t="n">
        <v>6</v>
      </c>
      <c r="F809" s="27" t="n">
        <v>8.85</v>
      </c>
      <c r="G809" s="27" t="s">
        <v>1875</v>
      </c>
      <c r="H809" s="27" t="s">
        <v>1892</v>
      </c>
      <c r="I809" s="27" t="s">
        <v>1876</v>
      </c>
      <c r="J809" s="27" t="s">
        <v>2317</v>
      </c>
      <c r="K809" s="27" t="n">
        <v>2431</v>
      </c>
      <c r="L809" s="27" t="n">
        <v>703</v>
      </c>
      <c r="M809" s="28" t="n">
        <f aca="false">IFERROR(VLOOKUP((OFFSET(hoje12_326_ana9,808,10,1,1)&amp;"."&amp;OFFSET(hoje12_326_ana9,808,11,1,1)),'12.326'!A:D,4,0),"-")</f>
        <v>5348350000167</v>
      </c>
    </row>
    <row r="810" customFormat="false" ht="14.4" hidden="false" customHeight="false" outlineLevel="0" collapsed="false">
      <c r="A810" s="27" t="n">
        <v>11100964</v>
      </c>
      <c r="B810" s="27" t="s">
        <v>2322</v>
      </c>
      <c r="C810" s="43" t="n">
        <v>179.45</v>
      </c>
      <c r="D810" s="27" t="n">
        <v>3.67</v>
      </c>
      <c r="E810" s="27" t="n">
        <v>24</v>
      </c>
      <c r="F810" s="27" t="n">
        <v>7.63</v>
      </c>
      <c r="G810" s="27" t="s">
        <v>1875</v>
      </c>
      <c r="H810" s="27" t="s">
        <v>2011</v>
      </c>
      <c r="I810" s="27" t="s">
        <v>1876</v>
      </c>
      <c r="J810" s="27" t="s">
        <v>2292</v>
      </c>
      <c r="K810" s="27" t="n">
        <v>2431</v>
      </c>
      <c r="L810" s="27" t="n">
        <v>703</v>
      </c>
      <c r="M810" s="28" t="n">
        <f aca="false">IFERROR(VLOOKUP((OFFSET(hoje12_326_ana9,809,10,1,1)&amp;"."&amp;OFFSET(hoje12_326_ana9,809,11,1,1)),'12.326'!A:D,4,0),"-")</f>
        <v>5348350000167</v>
      </c>
    </row>
    <row r="811" customFormat="false" ht="14.4" hidden="false" customHeight="false" outlineLevel="0" collapsed="false">
      <c r="A811" s="27" t="n">
        <v>11100975</v>
      </c>
      <c r="B811" s="27" t="s">
        <v>2323</v>
      </c>
      <c r="C811" s="43" t="n">
        <v>141.17</v>
      </c>
      <c r="D811" s="27" t="n">
        <v>24.91</v>
      </c>
      <c r="E811" s="27" t="n">
        <v>6</v>
      </c>
      <c r="F811" s="27" t="n">
        <v>27.68</v>
      </c>
      <c r="G811" s="27" t="s">
        <v>1875</v>
      </c>
      <c r="H811" s="27" t="s">
        <v>1892</v>
      </c>
      <c r="I811" s="27" t="s">
        <v>1876</v>
      </c>
      <c r="J811" s="27" t="s">
        <v>2324</v>
      </c>
      <c r="K811" s="27" t="n">
        <v>2431</v>
      </c>
      <c r="L811" s="27" t="n">
        <v>703</v>
      </c>
      <c r="M811" s="28" t="n">
        <f aca="false">IFERROR(VLOOKUP((OFFSET(hoje12_326_ana9,810,10,1,1)&amp;"."&amp;OFFSET(hoje12_326_ana9,810,11,1,1)),'12.326'!A:D,4,0),"-")</f>
        <v>5348350000167</v>
      </c>
    </row>
    <row r="812" customFormat="false" ht="14.4" hidden="false" customHeight="false" outlineLevel="0" collapsed="false">
      <c r="A812" s="27" t="n">
        <v>11100982</v>
      </c>
      <c r="B812" s="27" t="s">
        <v>2325</v>
      </c>
      <c r="C812" s="43" t="n">
        <v>28.25</v>
      </c>
      <c r="D812" s="27" t="n">
        <v>4.99</v>
      </c>
      <c r="E812" s="27" t="n">
        <v>6</v>
      </c>
      <c r="F812" s="27" t="n">
        <v>5.54</v>
      </c>
      <c r="G812" s="27" t="s">
        <v>1875</v>
      </c>
      <c r="H812" s="27" t="s">
        <v>1892</v>
      </c>
      <c r="I812" s="27" t="s">
        <v>1876</v>
      </c>
      <c r="J812" s="27" t="s">
        <v>2326</v>
      </c>
      <c r="K812" s="27" t="n">
        <v>2431</v>
      </c>
      <c r="L812" s="27" t="n">
        <v>703</v>
      </c>
      <c r="M812" s="28" t="n">
        <f aca="false">IFERROR(VLOOKUP((OFFSET(hoje12_326_ana9,811,10,1,1)&amp;"."&amp;OFFSET(hoje12_326_ana9,811,11,1,1)),'12.326'!A:D,4,0),"-")</f>
        <v>5348350000167</v>
      </c>
    </row>
    <row r="813" customFormat="false" ht="14.4" hidden="false" customHeight="false" outlineLevel="0" collapsed="false">
      <c r="A813" s="27" t="n">
        <v>11100978</v>
      </c>
      <c r="B813" s="27" t="s">
        <v>2255</v>
      </c>
      <c r="C813" s="43" t="n">
        <v>235.42</v>
      </c>
      <c r="D813" s="27" t="n">
        <v>41.54</v>
      </c>
      <c r="E813" s="27" t="n">
        <v>12</v>
      </c>
      <c r="F813" s="27" t="n">
        <v>23.08</v>
      </c>
      <c r="G813" s="27" t="s">
        <v>1875</v>
      </c>
      <c r="H813" s="27" t="s">
        <v>1892</v>
      </c>
      <c r="I813" s="27" t="s">
        <v>1876</v>
      </c>
      <c r="J813" s="27" t="s">
        <v>2327</v>
      </c>
      <c r="K813" s="27" t="n">
        <v>2431</v>
      </c>
      <c r="L813" s="27" t="n">
        <v>703</v>
      </c>
      <c r="M813" s="28" t="n">
        <f aca="false">IFERROR(VLOOKUP((OFFSET(hoje12_326_ana9,812,10,1,1)&amp;"."&amp;OFFSET(hoje12_326_ana9,812,11,1,1)),'12.326'!A:D,4,0),"-")</f>
        <v>5348350000167</v>
      </c>
    </row>
    <row r="814" customFormat="false" ht="14.4" hidden="false" customHeight="false" outlineLevel="0" collapsed="false">
      <c r="A814" s="27" t="n">
        <v>11101000</v>
      </c>
      <c r="B814" s="27" t="s">
        <v>1886</v>
      </c>
      <c r="C814" s="43" t="n">
        <v>137.95</v>
      </c>
      <c r="D814" s="27" t="n">
        <v>2.81</v>
      </c>
      <c r="E814" s="27" t="n">
        <v>6</v>
      </c>
      <c r="F814" s="27" t="n">
        <v>23.46</v>
      </c>
      <c r="G814" s="27" t="s">
        <v>1875</v>
      </c>
      <c r="H814" s="27" t="s">
        <v>2011</v>
      </c>
      <c r="I814" s="27" t="s">
        <v>1876</v>
      </c>
      <c r="J814" s="27" t="s">
        <v>2328</v>
      </c>
      <c r="K814" s="27" t="n">
        <v>2431</v>
      </c>
      <c r="L814" s="27" t="n">
        <v>703</v>
      </c>
      <c r="M814" s="28" t="n">
        <f aca="false">IFERROR(VLOOKUP((OFFSET(hoje12_326_ana9,813,10,1,1)&amp;"."&amp;OFFSET(hoje12_326_ana9,813,11,1,1)),'12.326'!A:D,4,0),"-")</f>
        <v>5348350000167</v>
      </c>
    </row>
    <row r="815" customFormat="false" ht="14.4" hidden="false" customHeight="false" outlineLevel="0" collapsed="false">
      <c r="A815" s="27" t="n">
        <v>11100152</v>
      </c>
      <c r="B815" s="27" t="s">
        <v>2329</v>
      </c>
      <c r="C815" s="43" t="n">
        <v>368.57</v>
      </c>
      <c r="D815" s="27" t="n">
        <v>7.51</v>
      </c>
      <c r="E815" s="27" t="n">
        <v>24</v>
      </c>
      <c r="F815" s="27" t="n">
        <v>15.67</v>
      </c>
      <c r="G815" s="27" t="s">
        <v>1875</v>
      </c>
      <c r="H815" s="27" t="s">
        <v>2011</v>
      </c>
      <c r="I815" s="27" t="s">
        <v>1876</v>
      </c>
      <c r="J815" s="27" t="s">
        <v>2330</v>
      </c>
      <c r="K815" s="27" t="n">
        <v>2431</v>
      </c>
      <c r="L815" s="27" t="n">
        <v>703</v>
      </c>
      <c r="M815" s="28" t="n">
        <f aca="false">IFERROR(VLOOKUP((OFFSET(hoje12_326_ana9,814,10,1,1)&amp;"."&amp;OFFSET(hoje12_326_ana9,814,11,1,1)),'12.326'!A:D,4,0),"-")</f>
        <v>5348350000167</v>
      </c>
    </row>
    <row r="816" customFormat="false" ht="14.4" hidden="false" customHeight="false" outlineLevel="0" collapsed="false">
      <c r="A816" s="27" t="n">
        <v>11100899</v>
      </c>
      <c r="B816" s="27" t="s">
        <v>2331</v>
      </c>
      <c r="C816" s="43" t="n">
        <v>216.14</v>
      </c>
      <c r="D816" s="27" t="n">
        <v>4.42</v>
      </c>
      <c r="E816" s="27" t="n">
        <v>12</v>
      </c>
      <c r="F816" s="27" t="n">
        <v>18.38</v>
      </c>
      <c r="G816" s="27" t="s">
        <v>1875</v>
      </c>
      <c r="H816" s="27" t="s">
        <v>2011</v>
      </c>
      <c r="I816" s="27" t="s">
        <v>1876</v>
      </c>
      <c r="J816" s="27" t="s">
        <v>2332</v>
      </c>
      <c r="K816" s="27" t="n">
        <v>2431</v>
      </c>
      <c r="L816" s="27" t="n">
        <v>703</v>
      </c>
      <c r="M816" s="28" t="n">
        <f aca="false">IFERROR(VLOOKUP((OFFSET(hoje12_326_ana9,815,10,1,1)&amp;"."&amp;OFFSET(hoje12_326_ana9,815,11,1,1)),'12.326'!A:D,4,0),"-")</f>
        <v>5348350000167</v>
      </c>
    </row>
    <row r="817" customFormat="false" ht="14.4" hidden="false" customHeight="false" outlineLevel="0" collapsed="false">
      <c r="A817" s="27" t="n">
        <v>11100092</v>
      </c>
      <c r="B817" s="27" t="s">
        <v>2333</v>
      </c>
      <c r="C817" s="43" t="n">
        <v>790.27</v>
      </c>
      <c r="D817" s="27" t="n">
        <v>16.13</v>
      </c>
      <c r="E817" s="27" t="n">
        <v>144</v>
      </c>
      <c r="F817" s="27" t="n">
        <v>5.6</v>
      </c>
      <c r="G817" s="27" t="s">
        <v>1875</v>
      </c>
      <c r="H817" s="27" t="s">
        <v>2011</v>
      </c>
      <c r="I817" s="27" t="s">
        <v>1876</v>
      </c>
      <c r="J817" s="27" t="s">
        <v>2334</v>
      </c>
      <c r="K817" s="27" t="n">
        <v>2431</v>
      </c>
      <c r="L817" s="27" t="n">
        <v>703</v>
      </c>
      <c r="M817" s="28" t="n">
        <f aca="false">IFERROR(VLOOKUP((OFFSET(hoje12_326_ana9,816,10,1,1)&amp;"."&amp;OFFSET(hoje12_326_ana9,816,11,1,1)),'12.326'!A:D,4,0),"-")</f>
        <v>5348350000167</v>
      </c>
    </row>
    <row r="818" customFormat="false" ht="14.4" hidden="false" customHeight="false" outlineLevel="0" collapsed="false">
      <c r="A818" s="27" t="n">
        <v>11100974</v>
      </c>
      <c r="B818" s="27" t="s">
        <v>2316</v>
      </c>
      <c r="C818" s="43" t="n">
        <v>45.14</v>
      </c>
      <c r="D818" s="27" t="n">
        <v>7.96</v>
      </c>
      <c r="E818" s="27" t="n">
        <v>6</v>
      </c>
      <c r="F818" s="27" t="n">
        <v>8.85</v>
      </c>
      <c r="G818" s="27" t="s">
        <v>1875</v>
      </c>
      <c r="H818" s="27" t="s">
        <v>1892</v>
      </c>
      <c r="I818" s="27" t="s">
        <v>1876</v>
      </c>
      <c r="J818" s="27" t="s">
        <v>2317</v>
      </c>
      <c r="K818" s="27" t="n">
        <v>2432</v>
      </c>
      <c r="L818" s="27" t="n">
        <v>703</v>
      </c>
      <c r="M818" s="28" t="n">
        <f aca="false">IFERROR(VLOOKUP((OFFSET(hoje12_326_ana9,817,10,1,1)&amp;"."&amp;OFFSET(hoje12_326_ana9,817,11,1,1)),'12.326'!A:D,4,0),"-")</f>
        <v>5348350000248</v>
      </c>
    </row>
    <row r="819" customFormat="false" ht="14.4" hidden="false" customHeight="false" outlineLevel="0" collapsed="false">
      <c r="A819" s="27" t="n">
        <v>11100979</v>
      </c>
      <c r="B819" s="27" t="s">
        <v>2321</v>
      </c>
      <c r="C819" s="43" t="n">
        <v>45.14</v>
      </c>
      <c r="D819" s="27" t="n">
        <v>7.96</v>
      </c>
      <c r="E819" s="27" t="n">
        <v>6</v>
      </c>
      <c r="F819" s="27" t="n">
        <v>8.85</v>
      </c>
      <c r="G819" s="27" t="s">
        <v>1875</v>
      </c>
      <c r="H819" s="27" t="s">
        <v>1892</v>
      </c>
      <c r="I819" s="27" t="s">
        <v>1876</v>
      </c>
      <c r="J819" s="27" t="s">
        <v>2317</v>
      </c>
      <c r="K819" s="27" t="n">
        <v>2432</v>
      </c>
      <c r="L819" s="27" t="n">
        <v>703</v>
      </c>
      <c r="M819" s="28" t="n">
        <f aca="false">IFERROR(VLOOKUP((OFFSET(hoje12_326_ana9,818,10,1,1)&amp;"."&amp;OFFSET(hoje12_326_ana9,818,11,1,1)),'12.326'!A:D,4,0),"-")</f>
        <v>5348350000248</v>
      </c>
    </row>
    <row r="820" customFormat="false" ht="14.4" hidden="false" customHeight="false" outlineLevel="0" collapsed="false">
      <c r="A820" s="27" t="n">
        <v>11100973</v>
      </c>
      <c r="B820" s="27" t="s">
        <v>2313</v>
      </c>
      <c r="C820" s="43" t="n">
        <v>52.71</v>
      </c>
      <c r="D820" s="27" t="n">
        <v>9.3</v>
      </c>
      <c r="E820" s="27" t="n">
        <v>3</v>
      </c>
      <c r="F820" s="27" t="n">
        <v>20.67</v>
      </c>
      <c r="G820" s="27" t="s">
        <v>1875</v>
      </c>
      <c r="H820" s="27" t="s">
        <v>1892</v>
      </c>
      <c r="I820" s="27" t="s">
        <v>1876</v>
      </c>
      <c r="J820" s="27" t="s">
        <v>2335</v>
      </c>
      <c r="K820" s="27" t="n">
        <v>2432</v>
      </c>
      <c r="L820" s="27" t="n">
        <v>703</v>
      </c>
      <c r="M820" s="28" t="n">
        <f aca="false">IFERROR(VLOOKUP((OFFSET(hoje12_326_ana9,819,10,1,1)&amp;"."&amp;OFFSET(hoje12_326_ana9,819,11,1,1)),'12.326'!A:D,4,0),"-")</f>
        <v>5348350000248</v>
      </c>
    </row>
    <row r="821" customFormat="false" ht="14.4" hidden="false" customHeight="false" outlineLevel="0" collapsed="false">
      <c r="A821" s="27" t="n">
        <v>11100978</v>
      </c>
      <c r="B821" s="27" t="s">
        <v>2255</v>
      </c>
      <c r="C821" s="43" t="n">
        <v>58.85</v>
      </c>
      <c r="D821" s="27" t="n">
        <v>10.39</v>
      </c>
      <c r="E821" s="27" t="n">
        <v>3</v>
      </c>
      <c r="F821" s="27" t="n">
        <v>23.08</v>
      </c>
      <c r="G821" s="27" t="s">
        <v>1875</v>
      </c>
      <c r="H821" s="27" t="s">
        <v>1892</v>
      </c>
      <c r="I821" s="27" t="s">
        <v>1876</v>
      </c>
      <c r="J821" s="27" t="s">
        <v>2336</v>
      </c>
      <c r="K821" s="27" t="n">
        <v>2432</v>
      </c>
      <c r="L821" s="27" t="n">
        <v>703</v>
      </c>
      <c r="M821" s="28" t="n">
        <f aca="false">IFERROR(VLOOKUP((OFFSET(hoje12_326_ana9,820,10,1,1)&amp;"."&amp;OFFSET(hoje12_326_ana9,820,11,1,1)),'12.326'!A:D,4,0),"-")</f>
        <v>5348350000248</v>
      </c>
    </row>
    <row r="822" customFormat="false" ht="14.4" hidden="false" customHeight="false" outlineLevel="0" collapsed="false">
      <c r="A822" s="27" t="n">
        <v>11100975</v>
      </c>
      <c r="B822" s="27" t="s">
        <v>2323</v>
      </c>
      <c r="C822" s="43" t="n">
        <v>141.17</v>
      </c>
      <c r="D822" s="27" t="n">
        <v>24.91</v>
      </c>
      <c r="E822" s="27" t="n">
        <v>6</v>
      </c>
      <c r="F822" s="27" t="n">
        <v>27.68</v>
      </c>
      <c r="G822" s="27" t="s">
        <v>1875</v>
      </c>
      <c r="H822" s="27" t="s">
        <v>1892</v>
      </c>
      <c r="I822" s="27" t="s">
        <v>1876</v>
      </c>
      <c r="J822" s="27" t="s">
        <v>2324</v>
      </c>
      <c r="K822" s="27" t="n">
        <v>2432</v>
      </c>
      <c r="L822" s="27" t="n">
        <v>703</v>
      </c>
      <c r="M822" s="28" t="n">
        <f aca="false">IFERROR(VLOOKUP((OFFSET(hoje12_326_ana9,821,10,1,1)&amp;"."&amp;OFFSET(hoje12_326_ana9,821,11,1,1)),'12.326'!A:D,4,0),"-")</f>
        <v>5348350000248</v>
      </c>
    </row>
    <row r="823" customFormat="false" ht="14.4" hidden="false" customHeight="false" outlineLevel="0" collapsed="false">
      <c r="A823" s="27" t="n">
        <v>11100982</v>
      </c>
      <c r="B823" s="27" t="s">
        <v>2325</v>
      </c>
      <c r="C823" s="43" t="n">
        <v>28.25</v>
      </c>
      <c r="D823" s="27" t="n">
        <v>4.99</v>
      </c>
      <c r="E823" s="27" t="n">
        <v>6</v>
      </c>
      <c r="F823" s="27" t="n">
        <v>5.54</v>
      </c>
      <c r="G823" s="27" t="s">
        <v>1875</v>
      </c>
      <c r="H823" s="27" t="s">
        <v>1892</v>
      </c>
      <c r="I823" s="27" t="s">
        <v>1876</v>
      </c>
      <c r="J823" s="27" t="s">
        <v>2326</v>
      </c>
      <c r="K823" s="27" t="n">
        <v>2432</v>
      </c>
      <c r="L823" s="27" t="n">
        <v>703</v>
      </c>
      <c r="M823" s="28" t="n">
        <f aca="false">IFERROR(VLOOKUP((OFFSET(hoje12_326_ana9,822,10,1,1)&amp;"."&amp;OFFSET(hoje12_326_ana9,822,11,1,1)),'12.326'!A:D,4,0),"-")</f>
        <v>5348350000248</v>
      </c>
    </row>
    <row r="824" customFormat="false" ht="14.4" hidden="false" customHeight="false" outlineLevel="0" collapsed="false">
      <c r="A824" s="27" t="n">
        <v>11100837</v>
      </c>
      <c r="B824" s="27" t="s">
        <v>1971</v>
      </c>
      <c r="C824" s="43" t="n">
        <v>65.83</v>
      </c>
      <c r="D824" s="27" t="n">
        <v>7.31</v>
      </c>
      <c r="E824" s="27" t="n">
        <v>6</v>
      </c>
      <c r="F824" s="27" t="n">
        <v>12.19</v>
      </c>
      <c r="G824" s="27" t="s">
        <v>1875</v>
      </c>
      <c r="H824" s="27" t="s">
        <v>1895</v>
      </c>
      <c r="I824" s="27" t="s">
        <v>1876</v>
      </c>
      <c r="J824" s="27" t="s">
        <v>2261</v>
      </c>
      <c r="K824" s="27" t="n">
        <v>2432</v>
      </c>
      <c r="L824" s="27" t="n">
        <v>703</v>
      </c>
      <c r="M824" s="28" t="n">
        <f aca="false">IFERROR(VLOOKUP((OFFSET(hoje12_326_ana9,823,10,1,1)&amp;"."&amp;OFFSET(hoje12_326_ana9,823,11,1,1)),'12.326'!A:D,4,0),"-")</f>
        <v>5348350000248</v>
      </c>
    </row>
    <row r="825" customFormat="false" ht="14.4" hidden="false" customHeight="false" outlineLevel="0" collapsed="false">
      <c r="A825" s="27" t="n">
        <v>11100984</v>
      </c>
      <c r="B825" s="27" t="s">
        <v>2257</v>
      </c>
      <c r="C825" s="43" t="n">
        <v>67.12</v>
      </c>
      <c r="D825" s="27" t="n">
        <v>11.84</v>
      </c>
      <c r="E825" s="27" t="n">
        <v>6</v>
      </c>
      <c r="F825" s="27" t="n">
        <v>13.16</v>
      </c>
      <c r="G825" s="27" t="s">
        <v>1875</v>
      </c>
      <c r="H825" s="27" t="s">
        <v>1892</v>
      </c>
      <c r="I825" s="27" t="s">
        <v>1876</v>
      </c>
      <c r="J825" s="27" t="s">
        <v>2184</v>
      </c>
      <c r="K825" s="27" t="n">
        <v>2432</v>
      </c>
      <c r="L825" s="27" t="n">
        <v>703</v>
      </c>
      <c r="M825" s="28" t="n">
        <f aca="false">IFERROR(VLOOKUP((OFFSET(hoje12_326_ana9,824,10,1,1)&amp;"."&amp;OFFSET(hoje12_326_ana9,824,11,1,1)),'12.326'!A:D,4,0),"-")</f>
        <v>5348350000248</v>
      </c>
    </row>
    <row r="826" customFormat="false" ht="14.4" hidden="false" customHeight="false" outlineLevel="0" collapsed="false">
      <c r="A826" s="27" t="n">
        <v>11100980</v>
      </c>
      <c r="B826" s="27" t="s">
        <v>2311</v>
      </c>
      <c r="C826" s="43" t="n">
        <v>124.75</v>
      </c>
      <c r="D826" s="27" t="n">
        <v>22.01</v>
      </c>
      <c r="E826" s="27" t="n">
        <v>6</v>
      </c>
      <c r="F826" s="27" t="n">
        <v>24.46</v>
      </c>
      <c r="G826" s="27" t="s">
        <v>1875</v>
      </c>
      <c r="H826" s="27" t="s">
        <v>1892</v>
      </c>
      <c r="I826" s="27" t="s">
        <v>1876</v>
      </c>
      <c r="J826" s="27" t="s">
        <v>2312</v>
      </c>
      <c r="K826" s="27" t="n">
        <v>2432</v>
      </c>
      <c r="L826" s="27" t="n">
        <v>703</v>
      </c>
      <c r="M826" s="28" t="n">
        <f aca="false">IFERROR(VLOOKUP((OFFSET(hoje12_326_ana9,825,10,1,1)&amp;"."&amp;OFFSET(hoje12_326_ana9,825,11,1,1)),'12.326'!A:D,4,0),"-")</f>
        <v>5348350000248</v>
      </c>
    </row>
    <row r="827" customFormat="false" ht="14.4" hidden="false" customHeight="false" outlineLevel="0" collapsed="false">
      <c r="A827" s="27" t="n">
        <v>11100970</v>
      </c>
      <c r="B827" s="27" t="s">
        <v>2197</v>
      </c>
      <c r="C827" s="43" t="n">
        <v>63.72</v>
      </c>
      <c r="D827" s="27" t="n">
        <v>7.08</v>
      </c>
      <c r="E827" s="27" t="n">
        <v>6</v>
      </c>
      <c r="F827" s="27" t="n">
        <v>11.8</v>
      </c>
      <c r="G827" s="27" t="s">
        <v>1875</v>
      </c>
      <c r="H827" s="27" t="s">
        <v>1895</v>
      </c>
      <c r="I827" s="27" t="s">
        <v>1876</v>
      </c>
      <c r="J827" s="27" t="s">
        <v>2211</v>
      </c>
      <c r="K827" s="27" t="n">
        <v>2432</v>
      </c>
      <c r="L827" s="27" t="n">
        <v>703</v>
      </c>
      <c r="M827" s="28" t="n">
        <f aca="false">IFERROR(VLOOKUP((OFFSET(hoje12_326_ana9,826,10,1,1)&amp;"."&amp;OFFSET(hoje12_326_ana9,826,11,1,1)),'12.326'!A:D,4,0),"-")</f>
        <v>5348350000248</v>
      </c>
    </row>
    <row r="828" customFormat="false" ht="14.4" hidden="false" customHeight="false" outlineLevel="0" collapsed="false">
      <c r="A828" s="27" t="n">
        <v>11100959</v>
      </c>
      <c r="B828" s="27" t="s">
        <v>1987</v>
      </c>
      <c r="C828" s="43" t="n">
        <v>61.32</v>
      </c>
      <c r="D828" s="27" t="n">
        <v>0</v>
      </c>
      <c r="E828" s="27" t="n">
        <v>12</v>
      </c>
      <c r="F828" s="27" t="n">
        <v>5.11</v>
      </c>
      <c r="G828" s="27" t="s">
        <v>1875</v>
      </c>
      <c r="H828" s="27" t="s">
        <v>68</v>
      </c>
      <c r="I828" s="27" t="s">
        <v>1876</v>
      </c>
      <c r="J828" s="27" t="s">
        <v>1877</v>
      </c>
      <c r="K828" s="27" t="n">
        <v>2432</v>
      </c>
      <c r="L828" s="27" t="n">
        <v>703</v>
      </c>
      <c r="M828" s="28" t="n">
        <f aca="false">IFERROR(VLOOKUP((OFFSET(hoje12_326_ana9,827,10,1,1)&amp;"."&amp;OFFSET(hoje12_326_ana9,827,11,1,1)),'12.326'!A:D,4,0),"-")</f>
        <v>5348350000248</v>
      </c>
    </row>
    <row r="829" customFormat="false" ht="14.4" hidden="false" customHeight="false" outlineLevel="0" collapsed="false">
      <c r="A829" s="27" t="n">
        <v>11100960</v>
      </c>
      <c r="B829" s="27" t="s">
        <v>2310</v>
      </c>
      <c r="C829" s="43" t="n">
        <v>61.32</v>
      </c>
      <c r="D829" s="27" t="n">
        <v>0</v>
      </c>
      <c r="E829" s="27" t="n">
        <v>12</v>
      </c>
      <c r="F829" s="27" t="n">
        <v>5.11</v>
      </c>
      <c r="G829" s="27" t="s">
        <v>1875</v>
      </c>
      <c r="H829" s="27" t="s">
        <v>68</v>
      </c>
      <c r="I829" s="27" t="s">
        <v>1876</v>
      </c>
      <c r="J829" s="27" t="s">
        <v>1877</v>
      </c>
      <c r="K829" s="27" t="n">
        <v>2432</v>
      </c>
      <c r="L829" s="27" t="n">
        <v>703</v>
      </c>
      <c r="M829" s="28" t="n">
        <f aca="false">IFERROR(VLOOKUP((OFFSET(hoje12_326_ana9,828,10,1,1)&amp;"."&amp;OFFSET(hoje12_326_ana9,828,11,1,1)),'12.326'!A:D,4,0),"-")</f>
        <v>5348350000248</v>
      </c>
    </row>
    <row r="830" customFormat="false" ht="14.4" hidden="false" customHeight="false" outlineLevel="0" collapsed="false">
      <c r="A830" s="27" t="n">
        <v>11101000</v>
      </c>
      <c r="B830" s="27" t="s">
        <v>1886</v>
      </c>
      <c r="C830" s="43" t="n">
        <v>137.95</v>
      </c>
      <c r="D830" s="27" t="n">
        <v>2.81</v>
      </c>
      <c r="E830" s="27" t="n">
        <v>6</v>
      </c>
      <c r="F830" s="27" t="n">
        <v>23.46</v>
      </c>
      <c r="G830" s="27" t="s">
        <v>1875</v>
      </c>
      <c r="H830" s="27" t="s">
        <v>2011</v>
      </c>
      <c r="I830" s="27" t="s">
        <v>1876</v>
      </c>
      <c r="J830" s="27" t="s">
        <v>2328</v>
      </c>
      <c r="K830" s="27" t="n">
        <v>2432</v>
      </c>
      <c r="L830" s="27" t="n">
        <v>703</v>
      </c>
      <c r="M830" s="28" t="n">
        <f aca="false">IFERROR(VLOOKUP((OFFSET(hoje12_326_ana9,829,10,1,1)&amp;"."&amp;OFFSET(hoje12_326_ana9,829,11,1,1)),'12.326'!A:D,4,0),"-")</f>
        <v>5348350000248</v>
      </c>
    </row>
    <row r="831" customFormat="false" ht="14.4" hidden="false" customHeight="false" outlineLevel="0" collapsed="false">
      <c r="A831" s="27" t="n">
        <v>11100975</v>
      </c>
      <c r="B831" s="27" t="s">
        <v>2323</v>
      </c>
      <c r="C831" s="43" t="n">
        <v>138.36</v>
      </c>
      <c r="D831" s="27" t="n">
        <v>24.42</v>
      </c>
      <c r="E831" s="27" t="n">
        <v>6</v>
      </c>
      <c r="F831" s="27" t="n">
        <v>27.13</v>
      </c>
      <c r="G831" s="27" t="s">
        <v>1875</v>
      </c>
      <c r="H831" s="27" t="s">
        <v>1892</v>
      </c>
      <c r="I831" s="27" t="s">
        <v>1876</v>
      </c>
      <c r="J831" s="27" t="s">
        <v>2337</v>
      </c>
      <c r="K831" s="27" t="n">
        <v>2433</v>
      </c>
      <c r="L831" s="27" t="n">
        <v>703</v>
      </c>
      <c r="M831" s="28" t="n">
        <f aca="false">IFERROR(VLOOKUP((OFFSET(hoje12_326_ana9,830,10,1,1)&amp;"."&amp;OFFSET(hoje12_326_ana9,830,11,1,1)),'12.326'!A:D,4,0),"-")</f>
        <v>1274396000632</v>
      </c>
    </row>
    <row r="832" customFormat="false" ht="14.4" hidden="false" customHeight="false" outlineLevel="0" collapsed="false">
      <c r="A832" s="27" t="n">
        <v>11100980</v>
      </c>
      <c r="B832" s="27" t="s">
        <v>2311</v>
      </c>
      <c r="C832" s="43" t="n">
        <v>122.25</v>
      </c>
      <c r="D832" s="27" t="n">
        <v>21.57</v>
      </c>
      <c r="E832" s="27" t="n">
        <v>6</v>
      </c>
      <c r="F832" s="27" t="n">
        <v>23.97</v>
      </c>
      <c r="G832" s="27" t="s">
        <v>1875</v>
      </c>
      <c r="H832" s="27" t="s">
        <v>1892</v>
      </c>
      <c r="I832" s="27" t="s">
        <v>1876</v>
      </c>
      <c r="J832" s="27" t="s">
        <v>2338</v>
      </c>
      <c r="K832" s="27" t="n">
        <v>2433</v>
      </c>
      <c r="L832" s="27" t="n">
        <v>703</v>
      </c>
      <c r="M832" s="28" t="n">
        <f aca="false">IFERROR(VLOOKUP((OFFSET(hoje12_326_ana9,831,10,1,1)&amp;"."&amp;OFFSET(hoje12_326_ana9,831,11,1,1)),'12.326'!A:D,4,0),"-")</f>
        <v>1274396000632</v>
      </c>
    </row>
    <row r="833" customFormat="false" ht="14.4" hidden="false" customHeight="false" outlineLevel="0" collapsed="false">
      <c r="A833" s="27" t="n">
        <v>11100837</v>
      </c>
      <c r="B833" s="27" t="s">
        <v>1971</v>
      </c>
      <c r="C833" s="43" t="n">
        <v>129.06</v>
      </c>
      <c r="D833" s="27" t="n">
        <v>14.34</v>
      </c>
      <c r="E833" s="27" t="n">
        <v>12</v>
      </c>
      <c r="F833" s="27" t="n">
        <v>11.95</v>
      </c>
      <c r="G833" s="27" t="s">
        <v>1875</v>
      </c>
      <c r="H833" s="27" t="s">
        <v>1895</v>
      </c>
      <c r="I833" s="27" t="s">
        <v>1876</v>
      </c>
      <c r="J833" s="27" t="s">
        <v>2339</v>
      </c>
      <c r="K833" s="27" t="n">
        <v>2433</v>
      </c>
      <c r="L833" s="27" t="n">
        <v>703</v>
      </c>
      <c r="M833" s="28" t="n">
        <f aca="false">IFERROR(VLOOKUP((OFFSET(hoje12_326_ana9,832,10,1,1)&amp;"."&amp;OFFSET(hoje12_326_ana9,832,11,1,1)),'12.326'!A:D,4,0),"-")</f>
        <v>1274396000632</v>
      </c>
    </row>
    <row r="834" customFormat="false" ht="14.4" hidden="false" customHeight="false" outlineLevel="0" collapsed="false">
      <c r="A834" s="27" t="n">
        <v>11100974</v>
      </c>
      <c r="B834" s="27" t="s">
        <v>2316</v>
      </c>
      <c r="C834" s="43" t="n">
        <v>88.43</v>
      </c>
      <c r="D834" s="27" t="n">
        <v>15.61</v>
      </c>
      <c r="E834" s="27" t="n">
        <v>12</v>
      </c>
      <c r="F834" s="27" t="n">
        <v>8.67</v>
      </c>
      <c r="G834" s="27" t="s">
        <v>1875</v>
      </c>
      <c r="H834" s="27" t="s">
        <v>1892</v>
      </c>
      <c r="I834" s="27" t="s">
        <v>1876</v>
      </c>
      <c r="J834" s="27" t="s">
        <v>2340</v>
      </c>
      <c r="K834" s="27" t="n">
        <v>2433</v>
      </c>
      <c r="L834" s="27" t="n">
        <v>703</v>
      </c>
      <c r="M834" s="28" t="n">
        <f aca="false">IFERROR(VLOOKUP((OFFSET(hoje12_326_ana9,833,10,1,1)&amp;"."&amp;OFFSET(hoje12_326_ana9,833,11,1,1)),'12.326'!A:D,4,0),"-")</f>
        <v>1274396000632</v>
      </c>
    </row>
    <row r="835" customFormat="false" ht="14.4" hidden="false" customHeight="false" outlineLevel="0" collapsed="false">
      <c r="A835" s="27" t="n">
        <v>11100973</v>
      </c>
      <c r="B835" s="27" t="s">
        <v>2313</v>
      </c>
      <c r="C835" s="43" t="n">
        <v>103.33</v>
      </c>
      <c r="D835" s="27" t="n">
        <v>18.23</v>
      </c>
      <c r="E835" s="27" t="n">
        <v>6</v>
      </c>
      <c r="F835" s="27" t="n">
        <v>20.26</v>
      </c>
      <c r="G835" s="27" t="s">
        <v>1875</v>
      </c>
      <c r="H835" s="27" t="s">
        <v>1892</v>
      </c>
      <c r="I835" s="27" t="s">
        <v>1876</v>
      </c>
      <c r="J835" s="27" t="s">
        <v>2341</v>
      </c>
      <c r="K835" s="27" t="n">
        <v>2433</v>
      </c>
      <c r="L835" s="27" t="n">
        <v>703</v>
      </c>
      <c r="M835" s="28" t="n">
        <f aca="false">IFERROR(VLOOKUP((OFFSET(hoje12_326_ana9,834,10,1,1)&amp;"."&amp;OFFSET(hoje12_326_ana9,834,11,1,1)),'12.326'!A:D,4,0),"-")</f>
        <v>1274396000632</v>
      </c>
    </row>
    <row r="836" customFormat="false" ht="14.4" hidden="false" customHeight="false" outlineLevel="0" collapsed="false">
      <c r="A836" s="27" t="n">
        <v>11100970</v>
      </c>
      <c r="B836" s="27" t="s">
        <v>2197</v>
      </c>
      <c r="C836" s="43" t="n">
        <v>124.85</v>
      </c>
      <c r="D836" s="27" t="n">
        <v>13.87</v>
      </c>
      <c r="E836" s="27" t="n">
        <v>12</v>
      </c>
      <c r="F836" s="27" t="n">
        <v>11.56</v>
      </c>
      <c r="G836" s="27" t="s">
        <v>1875</v>
      </c>
      <c r="H836" s="27" t="s">
        <v>1895</v>
      </c>
      <c r="I836" s="27" t="s">
        <v>1876</v>
      </c>
      <c r="J836" s="27" t="s">
        <v>2342</v>
      </c>
      <c r="K836" s="27" t="n">
        <v>2433</v>
      </c>
      <c r="L836" s="27" t="n">
        <v>703</v>
      </c>
      <c r="M836" s="28" t="n">
        <f aca="false">IFERROR(VLOOKUP((OFFSET(hoje12_326_ana9,835,10,1,1)&amp;"."&amp;OFFSET(hoje12_326_ana9,835,11,1,1)),'12.326'!A:D,4,0),"-")</f>
        <v>1274396000632</v>
      </c>
    </row>
    <row r="837" customFormat="false" ht="14.4" hidden="false" customHeight="false" outlineLevel="0" collapsed="false">
      <c r="A837" s="27" t="n">
        <v>11100978</v>
      </c>
      <c r="B837" s="27" t="s">
        <v>2255</v>
      </c>
      <c r="C837" s="43" t="n">
        <v>230.72</v>
      </c>
      <c r="D837" s="27" t="n">
        <v>40.72</v>
      </c>
      <c r="E837" s="27" t="n">
        <v>12</v>
      </c>
      <c r="F837" s="27" t="n">
        <v>22.62</v>
      </c>
      <c r="G837" s="27" t="s">
        <v>1875</v>
      </c>
      <c r="H837" s="27" t="s">
        <v>1892</v>
      </c>
      <c r="I837" s="27" t="s">
        <v>1876</v>
      </c>
      <c r="J837" s="27" t="s">
        <v>2343</v>
      </c>
      <c r="K837" s="27" t="n">
        <v>2433</v>
      </c>
      <c r="L837" s="27" t="n">
        <v>703</v>
      </c>
      <c r="M837" s="28" t="n">
        <f aca="false">IFERROR(VLOOKUP((OFFSET(hoje12_326_ana9,836,10,1,1)&amp;"."&amp;OFFSET(hoje12_326_ana9,836,11,1,1)),'12.326'!A:D,4,0),"-")</f>
        <v>1274396000632</v>
      </c>
    </row>
    <row r="838" customFormat="false" ht="14.4" hidden="false" customHeight="false" outlineLevel="0" collapsed="false">
      <c r="A838" s="27" t="n">
        <v>11100982</v>
      </c>
      <c r="B838" s="27" t="s">
        <v>2325</v>
      </c>
      <c r="C838" s="43" t="n">
        <v>55.39</v>
      </c>
      <c r="D838" s="27" t="n">
        <v>9.77</v>
      </c>
      <c r="E838" s="27" t="n">
        <v>12</v>
      </c>
      <c r="F838" s="27" t="n">
        <v>5.43</v>
      </c>
      <c r="G838" s="27" t="s">
        <v>1875</v>
      </c>
      <c r="H838" s="27" t="s">
        <v>1892</v>
      </c>
      <c r="I838" s="27" t="s">
        <v>1876</v>
      </c>
      <c r="J838" s="27" t="s">
        <v>2344</v>
      </c>
      <c r="K838" s="27" t="n">
        <v>2433</v>
      </c>
      <c r="L838" s="27" t="n">
        <v>703</v>
      </c>
      <c r="M838" s="28" t="n">
        <f aca="false">IFERROR(VLOOKUP((OFFSET(hoje12_326_ana9,837,10,1,1)&amp;"."&amp;OFFSET(hoje12_326_ana9,837,11,1,1)),'12.326'!A:D,4,0),"-")</f>
        <v>1274396000632</v>
      </c>
    </row>
    <row r="839" customFormat="false" ht="14.4" hidden="false" customHeight="false" outlineLevel="0" collapsed="false">
      <c r="A839" s="27" t="n">
        <v>11100984</v>
      </c>
      <c r="B839" s="27" t="s">
        <v>2257</v>
      </c>
      <c r="C839" s="43" t="n">
        <v>131.58</v>
      </c>
      <c r="D839" s="27" t="n">
        <v>23.22</v>
      </c>
      <c r="E839" s="27" t="n">
        <v>12</v>
      </c>
      <c r="F839" s="27" t="n">
        <v>12.9</v>
      </c>
      <c r="G839" s="27" t="s">
        <v>1875</v>
      </c>
      <c r="H839" s="27" t="s">
        <v>1892</v>
      </c>
      <c r="I839" s="27" t="s">
        <v>1876</v>
      </c>
      <c r="J839" s="27" t="s">
        <v>2345</v>
      </c>
      <c r="K839" s="27" t="n">
        <v>2433</v>
      </c>
      <c r="L839" s="27" t="n">
        <v>703</v>
      </c>
      <c r="M839" s="28" t="n">
        <f aca="false">IFERROR(VLOOKUP((OFFSET(hoje12_326_ana9,838,10,1,1)&amp;"."&amp;OFFSET(hoje12_326_ana9,838,11,1,1)),'12.326'!A:D,4,0),"-")</f>
        <v>1274396000632</v>
      </c>
    </row>
    <row r="840" customFormat="false" ht="14.4" hidden="false" customHeight="false" outlineLevel="0" collapsed="false">
      <c r="A840" s="27" t="n">
        <v>11100979</v>
      </c>
      <c r="B840" s="27" t="s">
        <v>2321</v>
      </c>
      <c r="C840" s="43" t="n">
        <v>88.43</v>
      </c>
      <c r="D840" s="27" t="n">
        <v>15.61</v>
      </c>
      <c r="E840" s="27" t="n">
        <v>12</v>
      </c>
      <c r="F840" s="27" t="n">
        <v>8.67</v>
      </c>
      <c r="G840" s="27" t="s">
        <v>1875</v>
      </c>
      <c r="H840" s="27" t="s">
        <v>1892</v>
      </c>
      <c r="I840" s="27" t="s">
        <v>1876</v>
      </c>
      <c r="J840" s="27" t="s">
        <v>2340</v>
      </c>
      <c r="K840" s="27" t="n">
        <v>2433</v>
      </c>
      <c r="L840" s="27" t="n">
        <v>703</v>
      </c>
      <c r="M840" s="28" t="n">
        <f aca="false">IFERROR(VLOOKUP((OFFSET(hoje12_326_ana9,839,10,1,1)&amp;"."&amp;OFFSET(hoje12_326_ana9,839,11,1,1)),'12.326'!A:D,4,0),"-")</f>
        <v>1274396000632</v>
      </c>
    </row>
    <row r="841" customFormat="false" ht="14.4" hidden="false" customHeight="false" outlineLevel="0" collapsed="false">
      <c r="A841" s="27" t="n">
        <v>11100968</v>
      </c>
      <c r="B841" s="27" t="s">
        <v>2125</v>
      </c>
      <c r="C841" s="43" t="n">
        <v>94.04</v>
      </c>
      <c r="D841" s="27" t="n">
        <v>16.6</v>
      </c>
      <c r="E841" s="27" t="n">
        <v>12</v>
      </c>
      <c r="F841" s="27" t="n">
        <v>9.22</v>
      </c>
      <c r="G841" s="27" t="s">
        <v>1875</v>
      </c>
      <c r="H841" s="27" t="s">
        <v>1892</v>
      </c>
      <c r="I841" s="27" t="s">
        <v>1876</v>
      </c>
      <c r="J841" s="27" t="s">
        <v>2346</v>
      </c>
      <c r="K841" s="27" t="n">
        <v>2433</v>
      </c>
      <c r="L841" s="27" t="n">
        <v>703</v>
      </c>
      <c r="M841" s="28" t="n">
        <f aca="false">IFERROR(VLOOKUP((OFFSET(hoje12_326_ana9,840,10,1,1)&amp;"."&amp;OFFSET(hoje12_326_ana9,840,11,1,1)),'12.326'!A:D,4,0),"-")</f>
        <v>1274396000632</v>
      </c>
    </row>
    <row r="842" customFormat="false" ht="14.4" hidden="false" customHeight="false" outlineLevel="0" collapsed="false">
      <c r="A842" s="27" t="n">
        <v>11100959</v>
      </c>
      <c r="B842" s="27" t="s">
        <v>1987</v>
      </c>
      <c r="C842" s="43" t="n">
        <v>117.84</v>
      </c>
      <c r="D842" s="27" t="n">
        <v>2.4</v>
      </c>
      <c r="E842" s="27" t="n">
        <v>24</v>
      </c>
      <c r="F842" s="27" t="n">
        <v>5.01</v>
      </c>
      <c r="G842" s="27" t="s">
        <v>1875</v>
      </c>
      <c r="H842" s="27" t="s">
        <v>2011</v>
      </c>
      <c r="I842" s="27" t="s">
        <v>1876</v>
      </c>
      <c r="J842" s="27" t="s">
        <v>2285</v>
      </c>
      <c r="K842" s="27" t="n">
        <v>2433</v>
      </c>
      <c r="L842" s="27" t="n">
        <v>703</v>
      </c>
      <c r="M842" s="28" t="n">
        <f aca="false">IFERROR(VLOOKUP((OFFSET(hoje12_326_ana9,841,10,1,1)&amp;"."&amp;OFFSET(hoje12_326_ana9,841,11,1,1)),'12.326'!A:D,4,0),"-")</f>
        <v>1274396000632</v>
      </c>
    </row>
    <row r="843" customFormat="false" ht="14.4" hidden="false" customHeight="false" outlineLevel="0" collapsed="false">
      <c r="A843" s="27" t="n">
        <v>11100960</v>
      </c>
      <c r="B843" s="27" t="s">
        <v>2310</v>
      </c>
      <c r="C843" s="43" t="n">
        <v>117.84</v>
      </c>
      <c r="D843" s="27" t="n">
        <v>2.4</v>
      </c>
      <c r="E843" s="27" t="n">
        <v>24</v>
      </c>
      <c r="F843" s="27" t="n">
        <v>5.01</v>
      </c>
      <c r="G843" s="27" t="s">
        <v>1875</v>
      </c>
      <c r="H843" s="27" t="s">
        <v>2011</v>
      </c>
      <c r="I843" s="27" t="s">
        <v>1876</v>
      </c>
      <c r="J843" s="27" t="s">
        <v>2285</v>
      </c>
      <c r="K843" s="27" t="n">
        <v>2433</v>
      </c>
      <c r="L843" s="27" t="n">
        <v>703</v>
      </c>
      <c r="M843" s="28" t="n">
        <f aca="false">IFERROR(VLOOKUP((OFFSET(hoje12_326_ana9,842,10,1,1)&amp;"."&amp;OFFSET(hoje12_326_ana9,842,11,1,1)),'12.326'!A:D,4,0),"-")</f>
        <v>1274396000632</v>
      </c>
    </row>
    <row r="844" customFormat="false" ht="14.4" hidden="false" customHeight="false" outlineLevel="0" collapsed="false">
      <c r="A844" s="27" t="n">
        <v>11101000</v>
      </c>
      <c r="B844" s="27" t="s">
        <v>1886</v>
      </c>
      <c r="C844" s="43" t="n">
        <v>270.36</v>
      </c>
      <c r="D844" s="27" t="n">
        <v>5.52</v>
      </c>
      <c r="E844" s="27" t="n">
        <v>12</v>
      </c>
      <c r="F844" s="27" t="n">
        <v>22.99</v>
      </c>
      <c r="G844" s="27" t="s">
        <v>1875</v>
      </c>
      <c r="H844" s="27" t="s">
        <v>2011</v>
      </c>
      <c r="I844" s="27" t="s">
        <v>1876</v>
      </c>
      <c r="J844" s="27" t="s">
        <v>2347</v>
      </c>
      <c r="K844" s="27" t="n">
        <v>2433</v>
      </c>
      <c r="L844" s="27" t="n">
        <v>703</v>
      </c>
      <c r="M844" s="28" t="n">
        <f aca="false">IFERROR(VLOOKUP((OFFSET(hoje12_326_ana9,843,10,1,1)&amp;"."&amp;OFFSET(hoje12_326_ana9,843,11,1,1)),'12.326'!A:D,4,0),"-")</f>
        <v>1274396000632</v>
      </c>
    </row>
    <row r="845" customFormat="false" ht="14.4" hidden="false" customHeight="false" outlineLevel="0" collapsed="false">
      <c r="A845" s="27" t="n">
        <v>11100937</v>
      </c>
      <c r="B845" s="27" t="s">
        <v>2015</v>
      </c>
      <c r="C845" s="43" t="n">
        <v>4842.72</v>
      </c>
      <c r="D845" s="27" t="n">
        <v>538.08</v>
      </c>
      <c r="E845" s="27" t="n">
        <v>240</v>
      </c>
      <c r="F845" s="27" t="n">
        <v>22.42</v>
      </c>
      <c r="G845" s="27" t="s">
        <v>1875</v>
      </c>
      <c r="H845" s="27" t="s">
        <v>1895</v>
      </c>
      <c r="I845" s="27" t="s">
        <v>1876</v>
      </c>
      <c r="J845" s="27" t="s">
        <v>2348</v>
      </c>
      <c r="K845" s="27" t="n">
        <v>2433</v>
      </c>
      <c r="L845" s="27" t="n">
        <v>703</v>
      </c>
      <c r="M845" s="28" t="n">
        <f aca="false">IFERROR(VLOOKUP((OFFSET(hoje12_326_ana9,844,10,1,1)&amp;"."&amp;OFFSET(hoje12_326_ana9,844,11,1,1)),'12.326'!A:D,4,0),"-")</f>
        <v>1274396000632</v>
      </c>
    </row>
    <row r="846" customFormat="false" ht="14.4" hidden="false" customHeight="false" outlineLevel="0" collapsed="false">
      <c r="A846" s="27" t="n">
        <v>11100150</v>
      </c>
      <c r="B846" s="27" t="s">
        <v>2216</v>
      </c>
      <c r="C846" s="43" t="n">
        <v>645.7</v>
      </c>
      <c r="D846" s="27" t="n">
        <v>71.74</v>
      </c>
      <c r="E846" s="27" t="n">
        <v>32</v>
      </c>
      <c r="F846" s="27" t="n">
        <v>22.42</v>
      </c>
      <c r="G846" s="27" t="s">
        <v>1875</v>
      </c>
      <c r="H846" s="27" t="s">
        <v>1895</v>
      </c>
      <c r="I846" s="27" t="s">
        <v>1876</v>
      </c>
      <c r="J846" s="27" t="s">
        <v>2349</v>
      </c>
      <c r="K846" s="27" t="n">
        <v>2433</v>
      </c>
      <c r="L846" s="27" t="n">
        <v>703</v>
      </c>
      <c r="M846" s="28" t="n">
        <f aca="false">IFERROR(VLOOKUP((OFFSET(hoje12_326_ana9,845,10,1,1)&amp;"."&amp;OFFSET(hoje12_326_ana9,845,11,1,1)),'12.326'!A:D,4,0),"-")</f>
        <v>1274396000632</v>
      </c>
    </row>
    <row r="847" customFormat="false" ht="14.4" hidden="false" customHeight="false" outlineLevel="0" collapsed="false">
      <c r="A847" s="27" t="n">
        <v>11100176</v>
      </c>
      <c r="B847" s="27" t="s">
        <v>2217</v>
      </c>
      <c r="C847" s="43" t="n">
        <v>968.54</v>
      </c>
      <c r="D847" s="27" t="n">
        <v>107.62</v>
      </c>
      <c r="E847" s="27" t="n">
        <v>48</v>
      </c>
      <c r="F847" s="27" t="n">
        <v>22.42</v>
      </c>
      <c r="G847" s="27" t="s">
        <v>1875</v>
      </c>
      <c r="H847" s="27" t="s">
        <v>1895</v>
      </c>
      <c r="I847" s="27" t="s">
        <v>1876</v>
      </c>
      <c r="J847" s="27" t="s">
        <v>2350</v>
      </c>
      <c r="K847" s="27" t="n">
        <v>2433</v>
      </c>
      <c r="L847" s="27" t="n">
        <v>703</v>
      </c>
      <c r="M847" s="28" t="n">
        <f aca="false">IFERROR(VLOOKUP((OFFSET(hoje12_326_ana9,846,10,1,1)&amp;"."&amp;OFFSET(hoje12_326_ana9,846,11,1,1)),'12.326'!A:D,4,0),"-")</f>
        <v>1274396000632</v>
      </c>
    </row>
    <row r="848" customFormat="false" ht="14.4" hidden="false" customHeight="false" outlineLevel="0" collapsed="false">
      <c r="A848" s="27" t="n">
        <v>11100987</v>
      </c>
      <c r="B848" s="27" t="s">
        <v>1890</v>
      </c>
      <c r="C848" s="43" t="n">
        <v>112.86</v>
      </c>
      <c r="D848" s="27" t="n">
        <v>12.54</v>
      </c>
      <c r="E848" s="27" t="n">
        <v>12</v>
      </c>
      <c r="F848" s="27" t="n">
        <v>10.45</v>
      </c>
      <c r="G848" s="27" t="s">
        <v>1875</v>
      </c>
      <c r="H848" s="27" t="s">
        <v>1895</v>
      </c>
      <c r="I848" s="27" t="s">
        <v>1876</v>
      </c>
      <c r="J848" s="27" t="s">
        <v>2351</v>
      </c>
      <c r="K848" s="27" t="n">
        <v>2433</v>
      </c>
      <c r="L848" s="27" t="n">
        <v>703</v>
      </c>
      <c r="M848" s="28" t="n">
        <f aca="false">IFERROR(VLOOKUP((OFFSET(hoje12_326_ana9,847,10,1,1)&amp;"."&amp;OFFSET(hoje12_326_ana9,847,11,1,1)),'12.326'!A:D,4,0),"-")</f>
        <v>1274396000632</v>
      </c>
    </row>
    <row r="849" customFormat="false" ht="14.4" hidden="false" customHeight="false" outlineLevel="0" collapsed="false">
      <c r="A849" s="27" t="n">
        <v>11100984</v>
      </c>
      <c r="B849" s="27" t="s">
        <v>2257</v>
      </c>
      <c r="C849" s="43" t="n">
        <v>65.79</v>
      </c>
      <c r="D849" s="27" t="n">
        <v>11.61</v>
      </c>
      <c r="E849" s="27" t="n">
        <v>6</v>
      </c>
      <c r="F849" s="27" t="n">
        <v>12.9</v>
      </c>
      <c r="G849" s="27" t="s">
        <v>1875</v>
      </c>
      <c r="H849" s="27" t="s">
        <v>1892</v>
      </c>
      <c r="I849" s="27" t="s">
        <v>1876</v>
      </c>
      <c r="J849" s="27" t="s">
        <v>2258</v>
      </c>
      <c r="K849" s="27" t="n">
        <v>2434</v>
      </c>
      <c r="L849" s="27" t="n">
        <v>703</v>
      </c>
      <c r="M849" s="28" t="n">
        <f aca="false">IFERROR(VLOOKUP((OFFSET(hoje12_326_ana9,848,10,1,1)&amp;"."&amp;OFFSET(hoje12_326_ana9,848,11,1,1)),'12.326'!A:D,4,0),"-")</f>
        <v>1274396000209</v>
      </c>
    </row>
    <row r="850" customFormat="false" ht="14.4" hidden="false" customHeight="false" outlineLevel="0" collapsed="false">
      <c r="A850" s="27" t="n">
        <v>11100968</v>
      </c>
      <c r="B850" s="27" t="s">
        <v>2125</v>
      </c>
      <c r="C850" s="43" t="n">
        <v>47.02</v>
      </c>
      <c r="D850" s="27" t="n">
        <v>8.3</v>
      </c>
      <c r="E850" s="27" t="n">
        <v>6</v>
      </c>
      <c r="F850" s="27" t="n">
        <v>9.22</v>
      </c>
      <c r="G850" s="27" t="s">
        <v>1875</v>
      </c>
      <c r="H850" s="27" t="s">
        <v>1892</v>
      </c>
      <c r="I850" s="27" t="s">
        <v>1876</v>
      </c>
      <c r="J850" s="27" t="s">
        <v>2154</v>
      </c>
      <c r="K850" s="27" t="n">
        <v>2434</v>
      </c>
      <c r="L850" s="27" t="n">
        <v>703</v>
      </c>
      <c r="M850" s="28" t="n">
        <f aca="false">IFERROR(VLOOKUP((OFFSET(hoje12_326_ana9,849,10,1,1)&amp;"."&amp;OFFSET(hoje12_326_ana9,849,11,1,1)),'12.326'!A:D,4,0),"-")</f>
        <v>1274396000209</v>
      </c>
    </row>
    <row r="851" customFormat="false" ht="14.4" hidden="false" customHeight="false" outlineLevel="0" collapsed="false">
      <c r="A851" s="27" t="n">
        <v>11100973</v>
      </c>
      <c r="B851" s="27" t="s">
        <v>2313</v>
      </c>
      <c r="C851" s="43" t="n">
        <v>51.66</v>
      </c>
      <c r="D851" s="27" t="n">
        <v>9.12</v>
      </c>
      <c r="E851" s="27" t="n">
        <v>3</v>
      </c>
      <c r="F851" s="27" t="n">
        <v>20.26</v>
      </c>
      <c r="G851" s="27" t="s">
        <v>1875</v>
      </c>
      <c r="H851" s="27" t="s">
        <v>1892</v>
      </c>
      <c r="I851" s="27" t="s">
        <v>1876</v>
      </c>
      <c r="J851" s="27" t="s">
        <v>2352</v>
      </c>
      <c r="K851" s="27" t="n">
        <v>2434</v>
      </c>
      <c r="L851" s="27" t="n">
        <v>703</v>
      </c>
      <c r="M851" s="28" t="n">
        <f aca="false">IFERROR(VLOOKUP((OFFSET(hoje12_326_ana9,850,10,1,1)&amp;"."&amp;OFFSET(hoje12_326_ana9,850,11,1,1)),'12.326'!A:D,4,0),"-")</f>
        <v>1274396000209</v>
      </c>
    </row>
    <row r="852" customFormat="false" ht="14.4" hidden="false" customHeight="false" outlineLevel="0" collapsed="false">
      <c r="A852" s="27" t="n">
        <v>11100837</v>
      </c>
      <c r="B852" s="27" t="s">
        <v>1971</v>
      </c>
      <c r="C852" s="43" t="n">
        <v>64.53</v>
      </c>
      <c r="D852" s="27" t="n">
        <v>7.17</v>
      </c>
      <c r="E852" s="27" t="n">
        <v>6</v>
      </c>
      <c r="F852" s="27" t="n">
        <v>11.95</v>
      </c>
      <c r="G852" s="27" t="s">
        <v>1875</v>
      </c>
      <c r="H852" s="27" t="s">
        <v>1895</v>
      </c>
      <c r="I852" s="27" t="s">
        <v>1876</v>
      </c>
      <c r="J852" s="27" t="s">
        <v>2201</v>
      </c>
      <c r="K852" s="27" t="n">
        <v>2434</v>
      </c>
      <c r="L852" s="27" t="n">
        <v>703</v>
      </c>
      <c r="M852" s="28" t="n">
        <f aca="false">IFERROR(VLOOKUP((OFFSET(hoje12_326_ana9,851,10,1,1)&amp;"."&amp;OFFSET(hoje12_326_ana9,851,11,1,1)),'12.326'!A:D,4,0),"-")</f>
        <v>1274396000209</v>
      </c>
    </row>
    <row r="853" customFormat="false" ht="14.4" hidden="false" customHeight="false" outlineLevel="0" collapsed="false">
      <c r="A853" s="27" t="n">
        <v>11100979</v>
      </c>
      <c r="B853" s="27" t="s">
        <v>2321</v>
      </c>
      <c r="C853" s="43" t="n">
        <v>44.22</v>
      </c>
      <c r="D853" s="27" t="n">
        <v>7.8</v>
      </c>
      <c r="E853" s="27" t="n">
        <v>6</v>
      </c>
      <c r="F853" s="27" t="n">
        <v>8.67</v>
      </c>
      <c r="G853" s="27" t="s">
        <v>1875</v>
      </c>
      <c r="H853" s="27" t="s">
        <v>1892</v>
      </c>
      <c r="I853" s="27" t="s">
        <v>1876</v>
      </c>
      <c r="J853" s="27" t="s">
        <v>2353</v>
      </c>
      <c r="K853" s="27" t="n">
        <v>2434</v>
      </c>
      <c r="L853" s="27" t="n">
        <v>703</v>
      </c>
      <c r="M853" s="28" t="n">
        <f aca="false">IFERROR(VLOOKUP((OFFSET(hoje12_326_ana9,852,10,1,1)&amp;"."&amp;OFFSET(hoje12_326_ana9,852,11,1,1)),'12.326'!A:D,4,0),"-")</f>
        <v>1274396000209</v>
      </c>
    </row>
    <row r="854" customFormat="false" ht="14.4" hidden="false" customHeight="false" outlineLevel="0" collapsed="false">
      <c r="A854" s="27" t="n">
        <v>11100974</v>
      </c>
      <c r="B854" s="27" t="s">
        <v>2316</v>
      </c>
      <c r="C854" s="43" t="n">
        <v>44.22</v>
      </c>
      <c r="D854" s="27" t="n">
        <v>7.8</v>
      </c>
      <c r="E854" s="27" t="n">
        <v>6</v>
      </c>
      <c r="F854" s="27" t="n">
        <v>8.67</v>
      </c>
      <c r="G854" s="27" t="s">
        <v>1875</v>
      </c>
      <c r="H854" s="27" t="s">
        <v>1892</v>
      </c>
      <c r="I854" s="27" t="s">
        <v>1876</v>
      </c>
      <c r="J854" s="27" t="s">
        <v>2353</v>
      </c>
      <c r="K854" s="27" t="n">
        <v>2434</v>
      </c>
      <c r="L854" s="27" t="n">
        <v>703</v>
      </c>
      <c r="M854" s="28" t="n">
        <f aca="false">IFERROR(VLOOKUP((OFFSET(hoje12_326_ana9,853,10,1,1)&amp;"."&amp;OFFSET(hoje12_326_ana9,853,11,1,1)),'12.326'!A:D,4,0),"-")</f>
        <v>1274396000209</v>
      </c>
    </row>
    <row r="855" customFormat="false" ht="14.4" hidden="false" customHeight="false" outlineLevel="0" collapsed="false">
      <c r="A855" s="27" t="n">
        <v>11100982</v>
      </c>
      <c r="B855" s="27" t="s">
        <v>2325</v>
      </c>
      <c r="C855" s="43" t="n">
        <v>27.69</v>
      </c>
      <c r="D855" s="27" t="n">
        <v>4.89</v>
      </c>
      <c r="E855" s="27" t="n">
        <v>6</v>
      </c>
      <c r="F855" s="27" t="n">
        <v>5.43</v>
      </c>
      <c r="G855" s="27" t="s">
        <v>1875</v>
      </c>
      <c r="H855" s="27" t="s">
        <v>1892</v>
      </c>
      <c r="I855" s="27" t="s">
        <v>1876</v>
      </c>
      <c r="J855" s="27" t="s">
        <v>2354</v>
      </c>
      <c r="K855" s="27" t="n">
        <v>2434</v>
      </c>
      <c r="L855" s="27" t="n">
        <v>703</v>
      </c>
      <c r="M855" s="28" t="n">
        <f aca="false">IFERROR(VLOOKUP((OFFSET(hoje12_326_ana9,854,10,1,1)&amp;"."&amp;OFFSET(hoje12_326_ana9,854,11,1,1)),'12.326'!A:D,4,0),"-")</f>
        <v>1274396000209</v>
      </c>
    </row>
    <row r="856" customFormat="false" ht="14.4" hidden="false" customHeight="false" outlineLevel="0" collapsed="false">
      <c r="A856" s="27" t="n">
        <v>11100970</v>
      </c>
      <c r="B856" s="27" t="s">
        <v>2197</v>
      </c>
      <c r="C856" s="43" t="n">
        <v>62.42</v>
      </c>
      <c r="D856" s="27" t="n">
        <v>6.94</v>
      </c>
      <c r="E856" s="27" t="n">
        <v>6</v>
      </c>
      <c r="F856" s="27" t="n">
        <v>11.56</v>
      </c>
      <c r="G856" s="27" t="s">
        <v>1875</v>
      </c>
      <c r="H856" s="27" t="s">
        <v>1895</v>
      </c>
      <c r="I856" s="27" t="s">
        <v>1876</v>
      </c>
      <c r="J856" s="27" t="s">
        <v>2198</v>
      </c>
      <c r="K856" s="27" t="n">
        <v>2434</v>
      </c>
      <c r="L856" s="27" t="n">
        <v>703</v>
      </c>
      <c r="M856" s="28" t="n">
        <f aca="false">IFERROR(VLOOKUP((OFFSET(hoje12_326_ana9,855,10,1,1)&amp;"."&amp;OFFSET(hoje12_326_ana9,855,11,1,1)),'12.326'!A:D,4,0),"-")</f>
        <v>1274396000209</v>
      </c>
    </row>
    <row r="857" customFormat="false" ht="14.4" hidden="false" customHeight="false" outlineLevel="0" collapsed="false">
      <c r="A857" s="27" t="n">
        <v>11100978</v>
      </c>
      <c r="B857" s="27" t="s">
        <v>2255</v>
      </c>
      <c r="C857" s="43" t="n">
        <v>57.68</v>
      </c>
      <c r="D857" s="27" t="n">
        <v>10.18</v>
      </c>
      <c r="E857" s="27" t="n">
        <v>3</v>
      </c>
      <c r="F857" s="27" t="n">
        <v>22.62</v>
      </c>
      <c r="G857" s="27" t="s">
        <v>1875</v>
      </c>
      <c r="H857" s="27" t="s">
        <v>1892</v>
      </c>
      <c r="I857" s="27" t="s">
        <v>1876</v>
      </c>
      <c r="J857" s="27" t="s">
        <v>2355</v>
      </c>
      <c r="K857" s="27" t="n">
        <v>2434</v>
      </c>
      <c r="L857" s="27" t="n">
        <v>703</v>
      </c>
      <c r="M857" s="28" t="n">
        <f aca="false">IFERROR(VLOOKUP((OFFSET(hoje12_326_ana9,856,10,1,1)&amp;"."&amp;OFFSET(hoje12_326_ana9,856,11,1,1)),'12.326'!A:D,4,0),"-")</f>
        <v>1274396000209</v>
      </c>
    </row>
    <row r="858" customFormat="false" ht="14.4" hidden="false" customHeight="false" outlineLevel="0" collapsed="false">
      <c r="A858" s="27" t="n">
        <v>11100980</v>
      </c>
      <c r="B858" s="27" t="s">
        <v>2311</v>
      </c>
      <c r="C858" s="43" t="n">
        <v>61.12</v>
      </c>
      <c r="D858" s="27" t="n">
        <v>10.79</v>
      </c>
      <c r="E858" s="27" t="n">
        <v>3</v>
      </c>
      <c r="F858" s="27" t="n">
        <v>23.97</v>
      </c>
      <c r="G858" s="27" t="s">
        <v>1875</v>
      </c>
      <c r="H858" s="27" t="s">
        <v>1892</v>
      </c>
      <c r="I858" s="27" t="s">
        <v>1876</v>
      </c>
      <c r="J858" s="27" t="s">
        <v>2356</v>
      </c>
      <c r="K858" s="27" t="n">
        <v>2434</v>
      </c>
      <c r="L858" s="27" t="n">
        <v>703</v>
      </c>
      <c r="M858" s="28" t="n">
        <f aca="false">IFERROR(VLOOKUP((OFFSET(hoje12_326_ana9,857,10,1,1)&amp;"."&amp;OFFSET(hoje12_326_ana9,857,11,1,1)),'12.326'!A:D,4,0),"-")</f>
        <v>1274396000209</v>
      </c>
    </row>
    <row r="859" customFormat="false" ht="14.4" hidden="false" customHeight="false" outlineLevel="0" collapsed="false">
      <c r="A859" s="27" t="n">
        <v>11100975</v>
      </c>
      <c r="B859" s="27" t="s">
        <v>2323</v>
      </c>
      <c r="C859" s="43" t="n">
        <v>69.18</v>
      </c>
      <c r="D859" s="27" t="n">
        <v>12.21</v>
      </c>
      <c r="E859" s="27" t="n">
        <v>3</v>
      </c>
      <c r="F859" s="27" t="n">
        <v>27.13</v>
      </c>
      <c r="G859" s="27" t="s">
        <v>1875</v>
      </c>
      <c r="H859" s="27" t="s">
        <v>1892</v>
      </c>
      <c r="I859" s="27" t="s">
        <v>1876</v>
      </c>
      <c r="J859" s="27" t="s">
        <v>2357</v>
      </c>
      <c r="K859" s="27" t="n">
        <v>2434</v>
      </c>
      <c r="L859" s="27" t="n">
        <v>703</v>
      </c>
      <c r="M859" s="28" t="n">
        <f aca="false">IFERROR(VLOOKUP((OFFSET(hoje12_326_ana9,858,10,1,1)&amp;"."&amp;OFFSET(hoje12_326_ana9,858,11,1,1)),'12.326'!A:D,4,0),"-")</f>
        <v>1274396000209</v>
      </c>
    </row>
    <row r="860" customFormat="false" ht="14.4" hidden="false" customHeight="false" outlineLevel="0" collapsed="false">
      <c r="A860" s="27" t="n">
        <v>11100959</v>
      </c>
      <c r="B860" s="27" t="s">
        <v>1987</v>
      </c>
      <c r="C860" s="43" t="n">
        <v>29.46</v>
      </c>
      <c r="D860" s="27" t="n">
        <v>0.6</v>
      </c>
      <c r="E860" s="27" t="n">
        <v>6</v>
      </c>
      <c r="F860" s="27" t="n">
        <v>5.01</v>
      </c>
      <c r="G860" s="27" t="s">
        <v>1875</v>
      </c>
      <c r="H860" s="27" t="s">
        <v>2011</v>
      </c>
      <c r="I860" s="27" t="s">
        <v>1876</v>
      </c>
      <c r="J860" s="27" t="s">
        <v>2358</v>
      </c>
      <c r="K860" s="27" t="n">
        <v>2434</v>
      </c>
      <c r="L860" s="27" t="n">
        <v>703</v>
      </c>
      <c r="M860" s="28" t="n">
        <f aca="false">IFERROR(VLOOKUP((OFFSET(hoje12_326_ana9,859,10,1,1)&amp;"."&amp;OFFSET(hoje12_326_ana9,859,11,1,1)),'12.326'!A:D,4,0),"-")</f>
        <v>1274396000209</v>
      </c>
    </row>
    <row r="861" customFormat="false" ht="14.4" hidden="false" customHeight="false" outlineLevel="0" collapsed="false">
      <c r="A861" s="27" t="n">
        <v>11100960</v>
      </c>
      <c r="B861" s="27" t="s">
        <v>2310</v>
      </c>
      <c r="C861" s="43" t="n">
        <v>29.46</v>
      </c>
      <c r="D861" s="27" t="n">
        <v>0.6</v>
      </c>
      <c r="E861" s="27" t="n">
        <v>6</v>
      </c>
      <c r="F861" s="27" t="n">
        <v>5.01</v>
      </c>
      <c r="G861" s="27" t="s">
        <v>1875</v>
      </c>
      <c r="H861" s="27" t="s">
        <v>2011</v>
      </c>
      <c r="I861" s="27" t="s">
        <v>1876</v>
      </c>
      <c r="J861" s="27" t="s">
        <v>2358</v>
      </c>
      <c r="K861" s="27" t="n">
        <v>2434</v>
      </c>
      <c r="L861" s="27" t="n">
        <v>703</v>
      </c>
      <c r="M861" s="28" t="n">
        <f aca="false">IFERROR(VLOOKUP((OFFSET(hoje12_326_ana9,860,10,1,1)&amp;"."&amp;OFFSET(hoje12_326_ana9,860,11,1,1)),'12.326'!A:D,4,0),"-")</f>
        <v>1274396000209</v>
      </c>
    </row>
    <row r="862" customFormat="false" ht="14.4" hidden="false" customHeight="false" outlineLevel="0" collapsed="false">
      <c r="A862" s="27" t="n">
        <v>11101000</v>
      </c>
      <c r="B862" s="27" t="s">
        <v>1886</v>
      </c>
      <c r="C862" s="43" t="n">
        <v>135.18</v>
      </c>
      <c r="D862" s="27" t="n">
        <v>2.76</v>
      </c>
      <c r="E862" s="27" t="n">
        <v>6</v>
      </c>
      <c r="F862" s="27" t="n">
        <v>22.99</v>
      </c>
      <c r="G862" s="27" t="s">
        <v>1875</v>
      </c>
      <c r="H862" s="27" t="s">
        <v>2011</v>
      </c>
      <c r="I862" s="27" t="s">
        <v>1876</v>
      </c>
      <c r="J862" s="27" t="s">
        <v>2359</v>
      </c>
      <c r="K862" s="27" t="n">
        <v>2434</v>
      </c>
      <c r="L862" s="27" t="n">
        <v>703</v>
      </c>
      <c r="M862" s="28" t="n">
        <f aca="false">IFERROR(VLOOKUP((OFFSET(hoje12_326_ana9,861,10,1,1)&amp;"."&amp;OFFSET(hoje12_326_ana9,861,11,1,1)),'12.326'!A:D,4,0),"-")</f>
        <v>1274396000209</v>
      </c>
    </row>
    <row r="863" customFormat="false" ht="14.4" hidden="false" customHeight="false" outlineLevel="0" collapsed="false">
      <c r="A863" s="27" t="n">
        <v>11100982</v>
      </c>
      <c r="B863" s="27" t="s">
        <v>2325</v>
      </c>
      <c r="C863" s="43" t="n">
        <v>27.69</v>
      </c>
      <c r="D863" s="27" t="n">
        <v>4.89</v>
      </c>
      <c r="E863" s="27" t="n">
        <v>6</v>
      </c>
      <c r="F863" s="27" t="n">
        <v>5.43</v>
      </c>
      <c r="G863" s="27" t="s">
        <v>1875</v>
      </c>
      <c r="H863" s="27" t="s">
        <v>1892</v>
      </c>
      <c r="I863" s="27" t="s">
        <v>1876</v>
      </c>
      <c r="J863" s="27" t="s">
        <v>2354</v>
      </c>
      <c r="K863" s="27" t="n">
        <v>2435</v>
      </c>
      <c r="L863" s="27" t="n">
        <v>703</v>
      </c>
      <c r="M863" s="28" t="n">
        <f aca="false">IFERROR(VLOOKUP((OFFSET(hoje12_326_ana9,862,10,1,1)&amp;"."&amp;OFFSET(hoje12_326_ana9,862,11,1,1)),'12.326'!A:D,4,0),"-")</f>
        <v>1274396000390</v>
      </c>
    </row>
    <row r="864" customFormat="false" ht="14.4" hidden="false" customHeight="false" outlineLevel="0" collapsed="false">
      <c r="A864" s="27" t="n">
        <v>11100973</v>
      </c>
      <c r="B864" s="27" t="s">
        <v>2313</v>
      </c>
      <c r="C864" s="43" t="n">
        <v>51.66</v>
      </c>
      <c r="D864" s="27" t="n">
        <v>9.12</v>
      </c>
      <c r="E864" s="27" t="n">
        <v>3</v>
      </c>
      <c r="F864" s="27" t="n">
        <v>20.26</v>
      </c>
      <c r="G864" s="27" t="s">
        <v>1875</v>
      </c>
      <c r="H864" s="27" t="s">
        <v>1892</v>
      </c>
      <c r="I864" s="27" t="s">
        <v>1876</v>
      </c>
      <c r="J864" s="27" t="s">
        <v>2352</v>
      </c>
      <c r="K864" s="27" t="n">
        <v>2435</v>
      </c>
      <c r="L864" s="27" t="n">
        <v>703</v>
      </c>
      <c r="M864" s="28" t="n">
        <f aca="false">IFERROR(VLOOKUP((OFFSET(hoje12_326_ana9,863,10,1,1)&amp;"."&amp;OFFSET(hoje12_326_ana9,863,11,1,1)),'12.326'!A:D,4,0),"-")</f>
        <v>1274396000390</v>
      </c>
    </row>
    <row r="865" customFormat="false" ht="14.4" hidden="false" customHeight="false" outlineLevel="0" collapsed="false">
      <c r="A865" s="27" t="n">
        <v>11100978</v>
      </c>
      <c r="B865" s="27" t="s">
        <v>2255</v>
      </c>
      <c r="C865" s="43" t="n">
        <v>57.68</v>
      </c>
      <c r="D865" s="27" t="n">
        <v>10.18</v>
      </c>
      <c r="E865" s="27" t="n">
        <v>3</v>
      </c>
      <c r="F865" s="27" t="n">
        <v>22.62</v>
      </c>
      <c r="G865" s="27" t="s">
        <v>1875</v>
      </c>
      <c r="H865" s="27" t="s">
        <v>1892</v>
      </c>
      <c r="I865" s="27" t="s">
        <v>1876</v>
      </c>
      <c r="J865" s="27" t="s">
        <v>2355</v>
      </c>
      <c r="K865" s="27" t="n">
        <v>2435</v>
      </c>
      <c r="L865" s="27" t="n">
        <v>703</v>
      </c>
      <c r="M865" s="28" t="n">
        <f aca="false">IFERROR(VLOOKUP((OFFSET(hoje12_326_ana9,864,10,1,1)&amp;"."&amp;OFFSET(hoje12_326_ana9,864,11,1,1)),'12.326'!A:D,4,0),"-")</f>
        <v>1274396000390</v>
      </c>
    </row>
    <row r="866" customFormat="false" ht="14.4" hidden="false" customHeight="false" outlineLevel="0" collapsed="false">
      <c r="A866" s="27" t="n">
        <v>11100968</v>
      </c>
      <c r="B866" s="27" t="s">
        <v>2125</v>
      </c>
      <c r="C866" s="43" t="n">
        <v>47.02</v>
      </c>
      <c r="D866" s="27" t="n">
        <v>8.3</v>
      </c>
      <c r="E866" s="27" t="n">
        <v>6</v>
      </c>
      <c r="F866" s="27" t="n">
        <v>9.22</v>
      </c>
      <c r="G866" s="27" t="s">
        <v>1875</v>
      </c>
      <c r="H866" s="27" t="s">
        <v>1892</v>
      </c>
      <c r="I866" s="27" t="s">
        <v>1876</v>
      </c>
      <c r="J866" s="27" t="s">
        <v>2154</v>
      </c>
      <c r="K866" s="27" t="n">
        <v>2435</v>
      </c>
      <c r="L866" s="27" t="n">
        <v>703</v>
      </c>
      <c r="M866" s="28" t="n">
        <f aca="false">IFERROR(VLOOKUP((OFFSET(hoje12_326_ana9,865,10,1,1)&amp;"."&amp;OFFSET(hoje12_326_ana9,865,11,1,1)),'12.326'!A:D,4,0),"-")</f>
        <v>1274396000390</v>
      </c>
    </row>
    <row r="867" customFormat="false" ht="14.4" hidden="false" customHeight="false" outlineLevel="0" collapsed="false">
      <c r="A867" s="27" t="n">
        <v>11100980</v>
      </c>
      <c r="B867" s="27" t="s">
        <v>2311</v>
      </c>
      <c r="C867" s="43" t="n">
        <v>61.12</v>
      </c>
      <c r="D867" s="27" t="n">
        <v>10.79</v>
      </c>
      <c r="E867" s="27" t="n">
        <v>3</v>
      </c>
      <c r="F867" s="27" t="n">
        <v>23.97</v>
      </c>
      <c r="G867" s="27" t="s">
        <v>1875</v>
      </c>
      <c r="H867" s="27" t="s">
        <v>1892</v>
      </c>
      <c r="I867" s="27" t="s">
        <v>1876</v>
      </c>
      <c r="J867" s="27" t="s">
        <v>2356</v>
      </c>
      <c r="K867" s="27" t="n">
        <v>2435</v>
      </c>
      <c r="L867" s="27" t="n">
        <v>703</v>
      </c>
      <c r="M867" s="28" t="n">
        <f aca="false">IFERROR(VLOOKUP((OFFSET(hoje12_326_ana9,866,10,1,1)&amp;"."&amp;OFFSET(hoje12_326_ana9,866,11,1,1)),'12.326'!A:D,4,0),"-")</f>
        <v>1274396000390</v>
      </c>
    </row>
    <row r="868" customFormat="false" ht="14.4" hidden="false" customHeight="false" outlineLevel="0" collapsed="false">
      <c r="A868" s="27" t="n">
        <v>11100975</v>
      </c>
      <c r="B868" s="27" t="s">
        <v>2323</v>
      </c>
      <c r="C868" s="43" t="n">
        <v>69.18</v>
      </c>
      <c r="D868" s="27" t="n">
        <v>12.21</v>
      </c>
      <c r="E868" s="27" t="n">
        <v>3</v>
      </c>
      <c r="F868" s="27" t="n">
        <v>27.13</v>
      </c>
      <c r="G868" s="27" t="s">
        <v>1875</v>
      </c>
      <c r="H868" s="27" t="s">
        <v>1892</v>
      </c>
      <c r="I868" s="27" t="s">
        <v>1876</v>
      </c>
      <c r="J868" s="27" t="s">
        <v>2357</v>
      </c>
      <c r="K868" s="27" t="n">
        <v>2435</v>
      </c>
      <c r="L868" s="27" t="n">
        <v>703</v>
      </c>
      <c r="M868" s="28" t="n">
        <f aca="false">IFERROR(VLOOKUP((OFFSET(hoje12_326_ana9,867,10,1,1)&amp;"."&amp;OFFSET(hoje12_326_ana9,867,11,1,1)),'12.326'!A:D,4,0),"-")</f>
        <v>1274396000390</v>
      </c>
    </row>
    <row r="869" customFormat="false" ht="14.4" hidden="false" customHeight="false" outlineLevel="0" collapsed="false">
      <c r="A869" s="27" t="n">
        <v>11100984</v>
      </c>
      <c r="B869" s="27" t="s">
        <v>2257</v>
      </c>
      <c r="C869" s="43" t="n">
        <v>65.79</v>
      </c>
      <c r="D869" s="27" t="n">
        <v>11.61</v>
      </c>
      <c r="E869" s="27" t="n">
        <v>6</v>
      </c>
      <c r="F869" s="27" t="n">
        <v>12.9</v>
      </c>
      <c r="G869" s="27" t="s">
        <v>1875</v>
      </c>
      <c r="H869" s="27" t="s">
        <v>1892</v>
      </c>
      <c r="I869" s="27" t="s">
        <v>1876</v>
      </c>
      <c r="J869" s="27" t="s">
        <v>2258</v>
      </c>
      <c r="K869" s="27" t="n">
        <v>2435</v>
      </c>
      <c r="L869" s="27" t="n">
        <v>703</v>
      </c>
      <c r="M869" s="28" t="n">
        <f aca="false">IFERROR(VLOOKUP((OFFSET(hoje12_326_ana9,868,10,1,1)&amp;"."&amp;OFFSET(hoje12_326_ana9,868,11,1,1)),'12.326'!A:D,4,0),"-")</f>
        <v>1274396000390</v>
      </c>
    </row>
    <row r="870" customFormat="false" ht="14.4" hidden="false" customHeight="false" outlineLevel="0" collapsed="false">
      <c r="A870" s="27" t="n">
        <v>11100837</v>
      </c>
      <c r="B870" s="27" t="s">
        <v>1971</v>
      </c>
      <c r="C870" s="43" t="n">
        <v>64.53</v>
      </c>
      <c r="D870" s="27" t="n">
        <v>7.17</v>
      </c>
      <c r="E870" s="27" t="n">
        <v>6</v>
      </c>
      <c r="F870" s="27" t="n">
        <v>11.95</v>
      </c>
      <c r="G870" s="27" t="s">
        <v>1875</v>
      </c>
      <c r="H870" s="27" t="s">
        <v>1895</v>
      </c>
      <c r="I870" s="27" t="s">
        <v>1876</v>
      </c>
      <c r="J870" s="27" t="s">
        <v>2201</v>
      </c>
      <c r="K870" s="27" t="n">
        <v>2435</v>
      </c>
      <c r="L870" s="27" t="n">
        <v>703</v>
      </c>
      <c r="M870" s="28" t="n">
        <f aca="false">IFERROR(VLOOKUP((OFFSET(hoje12_326_ana9,869,10,1,1)&amp;"."&amp;OFFSET(hoje12_326_ana9,869,11,1,1)),'12.326'!A:D,4,0),"-")</f>
        <v>1274396000390</v>
      </c>
    </row>
    <row r="871" customFormat="false" ht="14.4" hidden="false" customHeight="false" outlineLevel="0" collapsed="false">
      <c r="A871" s="27" t="n">
        <v>11100979</v>
      </c>
      <c r="B871" s="27" t="s">
        <v>2321</v>
      </c>
      <c r="C871" s="43" t="n">
        <v>44.22</v>
      </c>
      <c r="D871" s="27" t="n">
        <v>7.8</v>
      </c>
      <c r="E871" s="27" t="n">
        <v>6</v>
      </c>
      <c r="F871" s="27" t="n">
        <v>8.67</v>
      </c>
      <c r="G871" s="27" t="s">
        <v>1875</v>
      </c>
      <c r="H871" s="27" t="s">
        <v>1892</v>
      </c>
      <c r="I871" s="27" t="s">
        <v>1876</v>
      </c>
      <c r="J871" s="27" t="s">
        <v>2353</v>
      </c>
      <c r="K871" s="27" t="n">
        <v>2435</v>
      </c>
      <c r="L871" s="27" t="n">
        <v>703</v>
      </c>
      <c r="M871" s="28" t="n">
        <f aca="false">IFERROR(VLOOKUP((OFFSET(hoje12_326_ana9,870,10,1,1)&amp;"."&amp;OFFSET(hoje12_326_ana9,870,11,1,1)),'12.326'!A:D,4,0),"-")</f>
        <v>1274396000390</v>
      </c>
    </row>
    <row r="872" customFormat="false" ht="14.4" hidden="false" customHeight="false" outlineLevel="0" collapsed="false">
      <c r="A872" s="27" t="n">
        <v>11100974</v>
      </c>
      <c r="B872" s="27" t="s">
        <v>2316</v>
      </c>
      <c r="C872" s="43" t="n">
        <v>44.22</v>
      </c>
      <c r="D872" s="27" t="n">
        <v>7.8</v>
      </c>
      <c r="E872" s="27" t="n">
        <v>6</v>
      </c>
      <c r="F872" s="27" t="n">
        <v>8.67</v>
      </c>
      <c r="G872" s="27" t="s">
        <v>1875</v>
      </c>
      <c r="H872" s="27" t="s">
        <v>1892</v>
      </c>
      <c r="I872" s="27" t="s">
        <v>1876</v>
      </c>
      <c r="J872" s="27" t="s">
        <v>2353</v>
      </c>
      <c r="K872" s="27" t="n">
        <v>2435</v>
      </c>
      <c r="L872" s="27" t="n">
        <v>703</v>
      </c>
      <c r="M872" s="28" t="n">
        <f aca="false">IFERROR(VLOOKUP((OFFSET(hoje12_326_ana9,871,10,1,1)&amp;"."&amp;OFFSET(hoje12_326_ana9,871,11,1,1)),'12.326'!A:D,4,0),"-")</f>
        <v>1274396000390</v>
      </c>
    </row>
    <row r="873" customFormat="false" ht="14.4" hidden="false" customHeight="false" outlineLevel="0" collapsed="false">
      <c r="A873" s="27" t="n">
        <v>11100970</v>
      </c>
      <c r="B873" s="27" t="s">
        <v>2197</v>
      </c>
      <c r="C873" s="43" t="n">
        <v>62.42</v>
      </c>
      <c r="D873" s="27" t="n">
        <v>6.94</v>
      </c>
      <c r="E873" s="27" t="n">
        <v>6</v>
      </c>
      <c r="F873" s="27" t="n">
        <v>11.56</v>
      </c>
      <c r="G873" s="27" t="s">
        <v>1875</v>
      </c>
      <c r="H873" s="27" t="s">
        <v>1895</v>
      </c>
      <c r="I873" s="27" t="s">
        <v>1876</v>
      </c>
      <c r="J873" s="27" t="s">
        <v>2198</v>
      </c>
      <c r="K873" s="27" t="n">
        <v>2435</v>
      </c>
      <c r="L873" s="27" t="n">
        <v>703</v>
      </c>
      <c r="M873" s="28" t="n">
        <f aca="false">IFERROR(VLOOKUP((OFFSET(hoje12_326_ana9,872,10,1,1)&amp;"."&amp;OFFSET(hoje12_326_ana9,872,11,1,1)),'12.326'!A:D,4,0),"-")</f>
        <v>1274396000390</v>
      </c>
    </row>
    <row r="874" customFormat="false" ht="14.4" hidden="false" customHeight="false" outlineLevel="0" collapsed="false">
      <c r="A874" s="27" t="n">
        <v>11100959</v>
      </c>
      <c r="B874" s="27" t="s">
        <v>1987</v>
      </c>
      <c r="C874" s="43" t="n">
        <v>58.92</v>
      </c>
      <c r="D874" s="27" t="n">
        <v>1.2</v>
      </c>
      <c r="E874" s="27" t="n">
        <v>12</v>
      </c>
      <c r="F874" s="27" t="n">
        <v>5.01</v>
      </c>
      <c r="G874" s="27" t="s">
        <v>1875</v>
      </c>
      <c r="H874" s="27" t="s">
        <v>2011</v>
      </c>
      <c r="I874" s="27" t="s">
        <v>1876</v>
      </c>
      <c r="J874" s="27" t="s">
        <v>2360</v>
      </c>
      <c r="K874" s="27" t="n">
        <v>2435</v>
      </c>
      <c r="L874" s="27" t="n">
        <v>703</v>
      </c>
      <c r="M874" s="28" t="n">
        <f aca="false">IFERROR(VLOOKUP((OFFSET(hoje12_326_ana9,873,10,1,1)&amp;"."&amp;OFFSET(hoje12_326_ana9,873,11,1,1)),'12.326'!A:D,4,0),"-")</f>
        <v>1274396000390</v>
      </c>
    </row>
    <row r="875" customFormat="false" ht="14.4" hidden="false" customHeight="false" outlineLevel="0" collapsed="false">
      <c r="A875" s="27" t="n">
        <v>11100960</v>
      </c>
      <c r="B875" s="27" t="s">
        <v>2310</v>
      </c>
      <c r="C875" s="43" t="n">
        <v>58.92</v>
      </c>
      <c r="D875" s="27" t="n">
        <v>1.2</v>
      </c>
      <c r="E875" s="27" t="n">
        <v>12</v>
      </c>
      <c r="F875" s="27" t="n">
        <v>5.01</v>
      </c>
      <c r="G875" s="27" t="s">
        <v>1875</v>
      </c>
      <c r="H875" s="27" t="s">
        <v>2011</v>
      </c>
      <c r="I875" s="27" t="s">
        <v>1876</v>
      </c>
      <c r="J875" s="27" t="s">
        <v>2360</v>
      </c>
      <c r="K875" s="27" t="n">
        <v>2435</v>
      </c>
      <c r="L875" s="27" t="n">
        <v>703</v>
      </c>
      <c r="M875" s="28" t="n">
        <f aca="false">IFERROR(VLOOKUP((OFFSET(hoje12_326_ana9,874,10,1,1)&amp;"."&amp;OFFSET(hoje12_326_ana9,874,11,1,1)),'12.326'!A:D,4,0),"-")</f>
        <v>1274396000390</v>
      </c>
    </row>
    <row r="876" customFormat="false" ht="14.4" hidden="false" customHeight="false" outlineLevel="0" collapsed="false">
      <c r="A876" s="27" t="n">
        <v>11101000</v>
      </c>
      <c r="B876" s="27" t="s">
        <v>1886</v>
      </c>
      <c r="C876" s="43" t="n">
        <v>135.18</v>
      </c>
      <c r="D876" s="27" t="n">
        <v>2.76</v>
      </c>
      <c r="E876" s="27" t="n">
        <v>6</v>
      </c>
      <c r="F876" s="27" t="n">
        <v>22.99</v>
      </c>
      <c r="G876" s="27" t="s">
        <v>1875</v>
      </c>
      <c r="H876" s="27" t="s">
        <v>2011</v>
      </c>
      <c r="I876" s="27" t="s">
        <v>1876</v>
      </c>
      <c r="J876" s="27" t="s">
        <v>2359</v>
      </c>
      <c r="K876" s="27" t="n">
        <v>2435</v>
      </c>
      <c r="L876" s="27" t="n">
        <v>703</v>
      </c>
      <c r="M876" s="28" t="n">
        <f aca="false">IFERROR(VLOOKUP((OFFSET(hoje12_326_ana9,875,10,1,1)&amp;"."&amp;OFFSET(hoje12_326_ana9,875,11,1,1)),'12.326'!A:D,4,0),"-")</f>
        <v>1274396000390</v>
      </c>
    </row>
    <row r="877" customFormat="false" ht="14.4" hidden="false" customHeight="false" outlineLevel="0" collapsed="false">
      <c r="A877" s="27" t="n">
        <v>11100975</v>
      </c>
      <c r="B877" s="27" t="s">
        <v>2323</v>
      </c>
      <c r="C877" s="43" t="n">
        <v>69.18</v>
      </c>
      <c r="D877" s="27" t="n">
        <v>12.21</v>
      </c>
      <c r="E877" s="27" t="n">
        <v>3</v>
      </c>
      <c r="F877" s="27" t="n">
        <v>27.13</v>
      </c>
      <c r="G877" s="27" t="s">
        <v>1875</v>
      </c>
      <c r="H877" s="27" t="s">
        <v>1892</v>
      </c>
      <c r="I877" s="27" t="s">
        <v>1876</v>
      </c>
      <c r="J877" s="27" t="s">
        <v>2357</v>
      </c>
      <c r="K877" s="27" t="n">
        <v>2436</v>
      </c>
      <c r="L877" s="27" t="n">
        <v>703</v>
      </c>
      <c r="M877" s="28" t="n">
        <f aca="false">IFERROR(VLOOKUP((OFFSET(hoje12_326_ana9,876,10,1,1)&amp;"."&amp;OFFSET(hoje12_326_ana9,876,11,1,1)),'12.326'!A:D,4,0),"-")</f>
        <v>1274396000713</v>
      </c>
    </row>
    <row r="878" customFormat="false" ht="14.4" hidden="false" customHeight="false" outlineLevel="0" collapsed="false">
      <c r="A878" s="27" t="n">
        <v>11100984</v>
      </c>
      <c r="B878" s="27" t="s">
        <v>2257</v>
      </c>
      <c r="C878" s="43" t="n">
        <v>32.89</v>
      </c>
      <c r="D878" s="27" t="n">
        <v>5.8</v>
      </c>
      <c r="E878" s="27" t="n">
        <v>3</v>
      </c>
      <c r="F878" s="27" t="n">
        <v>12.9</v>
      </c>
      <c r="G878" s="27" t="s">
        <v>1875</v>
      </c>
      <c r="H878" s="27" t="s">
        <v>1892</v>
      </c>
      <c r="I878" s="27" t="s">
        <v>1876</v>
      </c>
      <c r="J878" s="27" t="s">
        <v>2361</v>
      </c>
      <c r="K878" s="27" t="n">
        <v>2436</v>
      </c>
      <c r="L878" s="27" t="n">
        <v>703</v>
      </c>
      <c r="M878" s="28" t="n">
        <f aca="false">IFERROR(VLOOKUP((OFFSET(hoje12_326_ana9,877,10,1,1)&amp;"."&amp;OFFSET(hoje12_326_ana9,877,11,1,1)),'12.326'!A:D,4,0),"-")</f>
        <v>1274396000713</v>
      </c>
    </row>
    <row r="879" customFormat="false" ht="14.4" hidden="false" customHeight="false" outlineLevel="0" collapsed="false">
      <c r="A879" s="27" t="n">
        <v>11100979</v>
      </c>
      <c r="B879" s="27" t="s">
        <v>2321</v>
      </c>
      <c r="C879" s="43" t="n">
        <v>44.22</v>
      </c>
      <c r="D879" s="27" t="n">
        <v>7.8</v>
      </c>
      <c r="E879" s="27" t="n">
        <v>6</v>
      </c>
      <c r="F879" s="27" t="n">
        <v>8.67</v>
      </c>
      <c r="G879" s="27" t="s">
        <v>1875</v>
      </c>
      <c r="H879" s="27" t="s">
        <v>1892</v>
      </c>
      <c r="I879" s="27" t="s">
        <v>1876</v>
      </c>
      <c r="J879" s="27" t="s">
        <v>2353</v>
      </c>
      <c r="K879" s="27" t="n">
        <v>2436</v>
      </c>
      <c r="L879" s="27" t="n">
        <v>703</v>
      </c>
      <c r="M879" s="28" t="n">
        <f aca="false">IFERROR(VLOOKUP((OFFSET(hoje12_326_ana9,878,10,1,1)&amp;"."&amp;OFFSET(hoje12_326_ana9,878,11,1,1)),'12.326'!A:D,4,0),"-")</f>
        <v>1274396000713</v>
      </c>
    </row>
    <row r="880" customFormat="false" ht="14.4" hidden="false" customHeight="false" outlineLevel="0" collapsed="false">
      <c r="A880" s="27" t="n">
        <v>11100974</v>
      </c>
      <c r="B880" s="27" t="s">
        <v>2316</v>
      </c>
      <c r="C880" s="43" t="n">
        <v>44.22</v>
      </c>
      <c r="D880" s="27" t="n">
        <v>7.8</v>
      </c>
      <c r="E880" s="27" t="n">
        <v>6</v>
      </c>
      <c r="F880" s="27" t="n">
        <v>8.67</v>
      </c>
      <c r="G880" s="27" t="s">
        <v>1875</v>
      </c>
      <c r="H880" s="27" t="s">
        <v>1892</v>
      </c>
      <c r="I880" s="27" t="s">
        <v>1876</v>
      </c>
      <c r="J880" s="27" t="s">
        <v>2353</v>
      </c>
      <c r="K880" s="27" t="n">
        <v>2436</v>
      </c>
      <c r="L880" s="27" t="n">
        <v>703</v>
      </c>
      <c r="M880" s="28" t="n">
        <f aca="false">IFERROR(VLOOKUP((OFFSET(hoje12_326_ana9,879,10,1,1)&amp;"."&amp;OFFSET(hoje12_326_ana9,879,11,1,1)),'12.326'!A:D,4,0),"-")</f>
        <v>1274396000713</v>
      </c>
    </row>
    <row r="881" customFormat="false" ht="14.4" hidden="false" customHeight="false" outlineLevel="0" collapsed="false">
      <c r="A881" s="27" t="n">
        <v>11100970</v>
      </c>
      <c r="B881" s="27" t="s">
        <v>2197</v>
      </c>
      <c r="C881" s="43" t="n">
        <v>62.42</v>
      </c>
      <c r="D881" s="27" t="n">
        <v>6.94</v>
      </c>
      <c r="E881" s="27" t="n">
        <v>6</v>
      </c>
      <c r="F881" s="27" t="n">
        <v>11.56</v>
      </c>
      <c r="G881" s="27" t="s">
        <v>1875</v>
      </c>
      <c r="H881" s="27" t="s">
        <v>1895</v>
      </c>
      <c r="I881" s="27" t="s">
        <v>1876</v>
      </c>
      <c r="J881" s="27" t="s">
        <v>2198</v>
      </c>
      <c r="K881" s="27" t="n">
        <v>2436</v>
      </c>
      <c r="L881" s="27" t="n">
        <v>703</v>
      </c>
      <c r="M881" s="28" t="n">
        <f aca="false">IFERROR(VLOOKUP((OFFSET(hoje12_326_ana9,880,10,1,1)&amp;"."&amp;OFFSET(hoje12_326_ana9,880,11,1,1)),'12.326'!A:D,4,0),"-")</f>
        <v>1274396000713</v>
      </c>
    </row>
    <row r="882" customFormat="false" ht="14.4" hidden="false" customHeight="false" outlineLevel="0" collapsed="false">
      <c r="A882" s="27" t="n">
        <v>11100837</v>
      </c>
      <c r="B882" s="27" t="s">
        <v>1971</v>
      </c>
      <c r="C882" s="43" t="n">
        <v>64.53</v>
      </c>
      <c r="D882" s="27" t="n">
        <v>7.17</v>
      </c>
      <c r="E882" s="27" t="n">
        <v>6</v>
      </c>
      <c r="F882" s="27" t="n">
        <v>11.95</v>
      </c>
      <c r="G882" s="27" t="s">
        <v>1875</v>
      </c>
      <c r="H882" s="27" t="s">
        <v>1895</v>
      </c>
      <c r="I882" s="27" t="s">
        <v>1876</v>
      </c>
      <c r="J882" s="27" t="s">
        <v>2201</v>
      </c>
      <c r="K882" s="27" t="n">
        <v>2436</v>
      </c>
      <c r="L882" s="27" t="n">
        <v>703</v>
      </c>
      <c r="M882" s="28" t="n">
        <f aca="false">IFERROR(VLOOKUP((OFFSET(hoje12_326_ana9,881,10,1,1)&amp;"."&amp;OFFSET(hoje12_326_ana9,881,11,1,1)),'12.326'!A:D,4,0),"-")</f>
        <v>1274396000713</v>
      </c>
    </row>
    <row r="883" customFormat="false" ht="14.4" hidden="false" customHeight="false" outlineLevel="0" collapsed="false">
      <c r="A883" s="27" t="n">
        <v>11100980</v>
      </c>
      <c r="B883" s="27" t="s">
        <v>2311</v>
      </c>
      <c r="C883" s="43" t="n">
        <v>61.12</v>
      </c>
      <c r="D883" s="27" t="n">
        <v>10.79</v>
      </c>
      <c r="E883" s="27" t="n">
        <v>3</v>
      </c>
      <c r="F883" s="27" t="n">
        <v>23.97</v>
      </c>
      <c r="G883" s="27" t="s">
        <v>1875</v>
      </c>
      <c r="H883" s="27" t="s">
        <v>1892</v>
      </c>
      <c r="I883" s="27" t="s">
        <v>1876</v>
      </c>
      <c r="J883" s="27" t="s">
        <v>2356</v>
      </c>
      <c r="K883" s="27" t="n">
        <v>2436</v>
      </c>
      <c r="L883" s="27" t="n">
        <v>703</v>
      </c>
      <c r="M883" s="28" t="n">
        <f aca="false">IFERROR(VLOOKUP((OFFSET(hoje12_326_ana9,882,10,1,1)&amp;"."&amp;OFFSET(hoje12_326_ana9,882,11,1,1)),'12.326'!A:D,4,0),"-")</f>
        <v>1274396000713</v>
      </c>
    </row>
    <row r="884" customFormat="false" ht="14.4" hidden="false" customHeight="false" outlineLevel="0" collapsed="false">
      <c r="A884" s="27" t="n">
        <v>11100982</v>
      </c>
      <c r="B884" s="27" t="s">
        <v>2325</v>
      </c>
      <c r="C884" s="43" t="n">
        <v>27.69</v>
      </c>
      <c r="D884" s="27" t="n">
        <v>4.89</v>
      </c>
      <c r="E884" s="27" t="n">
        <v>6</v>
      </c>
      <c r="F884" s="27" t="n">
        <v>5.43</v>
      </c>
      <c r="G884" s="27" t="s">
        <v>1875</v>
      </c>
      <c r="H884" s="27" t="s">
        <v>1892</v>
      </c>
      <c r="I884" s="27" t="s">
        <v>1876</v>
      </c>
      <c r="J884" s="27" t="s">
        <v>2354</v>
      </c>
      <c r="K884" s="27" t="n">
        <v>2436</v>
      </c>
      <c r="L884" s="27" t="n">
        <v>703</v>
      </c>
      <c r="M884" s="28" t="n">
        <f aca="false">IFERROR(VLOOKUP((OFFSET(hoje12_326_ana9,883,10,1,1)&amp;"."&amp;OFFSET(hoje12_326_ana9,883,11,1,1)),'12.326'!A:D,4,0),"-")</f>
        <v>1274396000713</v>
      </c>
    </row>
    <row r="885" customFormat="false" ht="14.4" hidden="false" customHeight="false" outlineLevel="0" collapsed="false">
      <c r="A885" s="27" t="n">
        <v>11100978</v>
      </c>
      <c r="B885" s="27" t="s">
        <v>2255</v>
      </c>
      <c r="C885" s="43" t="n">
        <v>57.68</v>
      </c>
      <c r="D885" s="27" t="n">
        <v>10.18</v>
      </c>
      <c r="E885" s="27" t="n">
        <v>3</v>
      </c>
      <c r="F885" s="27" t="n">
        <v>22.62</v>
      </c>
      <c r="G885" s="27" t="s">
        <v>1875</v>
      </c>
      <c r="H885" s="27" t="s">
        <v>1892</v>
      </c>
      <c r="I885" s="27" t="s">
        <v>1876</v>
      </c>
      <c r="J885" s="27" t="s">
        <v>2355</v>
      </c>
      <c r="K885" s="27" t="n">
        <v>2436</v>
      </c>
      <c r="L885" s="27" t="n">
        <v>703</v>
      </c>
      <c r="M885" s="28" t="n">
        <f aca="false">IFERROR(VLOOKUP((OFFSET(hoje12_326_ana9,884,10,1,1)&amp;"."&amp;OFFSET(hoje12_326_ana9,884,11,1,1)),'12.326'!A:D,4,0),"-")</f>
        <v>1274396000713</v>
      </c>
    </row>
    <row r="886" customFormat="false" ht="14.4" hidden="false" customHeight="false" outlineLevel="0" collapsed="false">
      <c r="A886" s="27" t="n">
        <v>11100973</v>
      </c>
      <c r="B886" s="27" t="s">
        <v>2313</v>
      </c>
      <c r="C886" s="43" t="n">
        <v>51.66</v>
      </c>
      <c r="D886" s="27" t="n">
        <v>9.12</v>
      </c>
      <c r="E886" s="27" t="n">
        <v>3</v>
      </c>
      <c r="F886" s="27" t="n">
        <v>20.26</v>
      </c>
      <c r="G886" s="27" t="s">
        <v>1875</v>
      </c>
      <c r="H886" s="27" t="s">
        <v>1892</v>
      </c>
      <c r="I886" s="27" t="s">
        <v>1876</v>
      </c>
      <c r="J886" s="27" t="s">
        <v>2352</v>
      </c>
      <c r="K886" s="27" t="n">
        <v>2436</v>
      </c>
      <c r="L886" s="27" t="n">
        <v>703</v>
      </c>
      <c r="M886" s="28" t="n">
        <f aca="false">IFERROR(VLOOKUP((OFFSET(hoje12_326_ana9,885,10,1,1)&amp;"."&amp;OFFSET(hoje12_326_ana9,885,11,1,1)),'12.326'!A:D,4,0),"-")</f>
        <v>1274396000713</v>
      </c>
    </row>
    <row r="887" customFormat="false" ht="14.4" hidden="false" customHeight="false" outlineLevel="0" collapsed="false">
      <c r="A887" s="27" t="n">
        <v>11100968</v>
      </c>
      <c r="B887" s="27" t="s">
        <v>2125</v>
      </c>
      <c r="C887" s="43" t="n">
        <v>23.51</v>
      </c>
      <c r="D887" s="27" t="n">
        <v>4.15</v>
      </c>
      <c r="E887" s="27" t="n">
        <v>3</v>
      </c>
      <c r="F887" s="27" t="n">
        <v>9.22</v>
      </c>
      <c r="G887" s="27" t="s">
        <v>1875</v>
      </c>
      <c r="H887" s="27" t="s">
        <v>1892</v>
      </c>
      <c r="I887" s="27" t="s">
        <v>1876</v>
      </c>
      <c r="J887" s="27" t="s">
        <v>1896</v>
      </c>
      <c r="K887" s="27" t="n">
        <v>2436</v>
      </c>
      <c r="L887" s="27" t="n">
        <v>703</v>
      </c>
      <c r="M887" s="28" t="n">
        <f aca="false">IFERROR(VLOOKUP((OFFSET(hoje12_326_ana9,886,10,1,1)&amp;"."&amp;OFFSET(hoje12_326_ana9,886,11,1,1)),'12.326'!A:D,4,0),"-")</f>
        <v>1274396000713</v>
      </c>
    </row>
    <row r="888" customFormat="false" ht="14.4" hidden="false" customHeight="false" outlineLevel="0" collapsed="false">
      <c r="A888" s="27" t="n">
        <v>11100959</v>
      </c>
      <c r="B888" s="27" t="s">
        <v>1987</v>
      </c>
      <c r="C888" s="43" t="n">
        <v>29.46</v>
      </c>
      <c r="D888" s="27" t="n">
        <v>0.6</v>
      </c>
      <c r="E888" s="27" t="n">
        <v>6</v>
      </c>
      <c r="F888" s="27" t="n">
        <v>5.01</v>
      </c>
      <c r="G888" s="27" t="s">
        <v>1875</v>
      </c>
      <c r="H888" s="27" t="s">
        <v>2011</v>
      </c>
      <c r="I888" s="27" t="s">
        <v>1876</v>
      </c>
      <c r="J888" s="27" t="s">
        <v>2358</v>
      </c>
      <c r="K888" s="27" t="n">
        <v>2436</v>
      </c>
      <c r="L888" s="27" t="n">
        <v>703</v>
      </c>
      <c r="M888" s="28" t="n">
        <f aca="false">IFERROR(VLOOKUP((OFFSET(hoje12_326_ana9,887,10,1,1)&amp;"."&amp;OFFSET(hoje12_326_ana9,887,11,1,1)),'12.326'!A:D,4,0),"-")</f>
        <v>1274396000713</v>
      </c>
    </row>
    <row r="889" customFormat="false" ht="14.4" hidden="false" customHeight="false" outlineLevel="0" collapsed="false">
      <c r="A889" s="27" t="n">
        <v>11100960</v>
      </c>
      <c r="B889" s="27" t="s">
        <v>2310</v>
      </c>
      <c r="C889" s="43" t="n">
        <v>29.46</v>
      </c>
      <c r="D889" s="27" t="n">
        <v>0.6</v>
      </c>
      <c r="E889" s="27" t="n">
        <v>6</v>
      </c>
      <c r="F889" s="27" t="n">
        <v>5.01</v>
      </c>
      <c r="G889" s="27" t="s">
        <v>1875</v>
      </c>
      <c r="H889" s="27" t="s">
        <v>2011</v>
      </c>
      <c r="I889" s="27" t="s">
        <v>1876</v>
      </c>
      <c r="J889" s="27" t="s">
        <v>2358</v>
      </c>
      <c r="K889" s="27" t="n">
        <v>2436</v>
      </c>
      <c r="L889" s="27" t="n">
        <v>703</v>
      </c>
      <c r="M889" s="28" t="n">
        <f aca="false">IFERROR(VLOOKUP((OFFSET(hoje12_326_ana9,888,10,1,1)&amp;"."&amp;OFFSET(hoje12_326_ana9,888,11,1,1)),'12.326'!A:D,4,0),"-")</f>
        <v>1274396000713</v>
      </c>
    </row>
    <row r="890" customFormat="false" ht="14.4" hidden="false" customHeight="false" outlineLevel="0" collapsed="false">
      <c r="A890" s="27" t="n">
        <v>11101000</v>
      </c>
      <c r="B890" s="27" t="s">
        <v>1886</v>
      </c>
      <c r="C890" s="43" t="n">
        <v>135.18</v>
      </c>
      <c r="D890" s="27" t="n">
        <v>2.76</v>
      </c>
      <c r="E890" s="27" t="n">
        <v>6</v>
      </c>
      <c r="F890" s="27" t="n">
        <v>22.99</v>
      </c>
      <c r="G890" s="27" t="s">
        <v>1875</v>
      </c>
      <c r="H890" s="27" t="s">
        <v>2011</v>
      </c>
      <c r="I890" s="27" t="s">
        <v>1876</v>
      </c>
      <c r="J890" s="27" t="s">
        <v>2359</v>
      </c>
      <c r="K890" s="27" t="n">
        <v>2436</v>
      </c>
      <c r="L890" s="27" t="n">
        <v>703</v>
      </c>
      <c r="M890" s="28" t="n">
        <f aca="false">IFERROR(VLOOKUP((OFFSET(hoje12_326_ana9,889,10,1,1)&amp;"."&amp;OFFSET(hoje12_326_ana9,889,11,1,1)),'12.326'!A:D,4,0),"-")</f>
        <v>1274396000713</v>
      </c>
    </row>
    <row r="891" customFormat="false" ht="14.4" hidden="false" customHeight="false" outlineLevel="0" collapsed="false">
      <c r="A891" s="27" t="n">
        <v>11100973</v>
      </c>
      <c r="B891" s="27" t="s">
        <v>2313</v>
      </c>
      <c r="C891" s="43" t="n">
        <v>103.33</v>
      </c>
      <c r="D891" s="27" t="n">
        <v>18.23</v>
      </c>
      <c r="E891" s="27" t="n">
        <v>6</v>
      </c>
      <c r="F891" s="27" t="n">
        <v>20.26</v>
      </c>
      <c r="G891" s="27" t="s">
        <v>1875</v>
      </c>
      <c r="H891" s="27" t="s">
        <v>1892</v>
      </c>
      <c r="I891" s="27" t="s">
        <v>1876</v>
      </c>
      <c r="J891" s="27" t="s">
        <v>2341</v>
      </c>
      <c r="K891" s="27" t="n">
        <v>2437</v>
      </c>
      <c r="L891" s="27" t="n">
        <v>703</v>
      </c>
      <c r="M891" s="28" t="n">
        <f aca="false">IFERROR(VLOOKUP((OFFSET(hoje12_326_ana9,890,10,1,1)&amp;"."&amp;OFFSET(hoje12_326_ana9,890,11,1,1)),'12.326'!A:D,4,0),"-")</f>
        <v>1274396000802</v>
      </c>
    </row>
    <row r="892" customFormat="false" ht="14.4" hidden="false" customHeight="false" outlineLevel="0" collapsed="false">
      <c r="A892" s="27" t="n">
        <v>11100978</v>
      </c>
      <c r="B892" s="27" t="s">
        <v>2255</v>
      </c>
      <c r="C892" s="43" t="n">
        <v>115.36</v>
      </c>
      <c r="D892" s="27" t="n">
        <v>20.36</v>
      </c>
      <c r="E892" s="27" t="n">
        <v>6</v>
      </c>
      <c r="F892" s="27" t="n">
        <v>22.62</v>
      </c>
      <c r="G892" s="27" t="s">
        <v>1875</v>
      </c>
      <c r="H892" s="27" t="s">
        <v>1892</v>
      </c>
      <c r="I892" s="27" t="s">
        <v>1876</v>
      </c>
      <c r="J892" s="27" t="s">
        <v>2256</v>
      </c>
      <c r="K892" s="27" t="n">
        <v>2437</v>
      </c>
      <c r="L892" s="27" t="n">
        <v>703</v>
      </c>
      <c r="M892" s="28" t="n">
        <f aca="false">IFERROR(VLOOKUP((OFFSET(hoje12_326_ana9,891,10,1,1)&amp;"."&amp;OFFSET(hoje12_326_ana9,891,11,1,1)),'12.326'!A:D,4,0),"-")</f>
        <v>1274396000802</v>
      </c>
    </row>
    <row r="893" customFormat="false" ht="14.4" hidden="false" customHeight="false" outlineLevel="0" collapsed="false">
      <c r="A893" s="27" t="n">
        <v>11100975</v>
      </c>
      <c r="B893" s="27" t="s">
        <v>2323</v>
      </c>
      <c r="C893" s="43" t="n">
        <v>138.36</v>
      </c>
      <c r="D893" s="27" t="n">
        <v>24.42</v>
      </c>
      <c r="E893" s="27" t="n">
        <v>6</v>
      </c>
      <c r="F893" s="27" t="n">
        <v>27.13</v>
      </c>
      <c r="G893" s="27" t="s">
        <v>1875</v>
      </c>
      <c r="H893" s="27" t="s">
        <v>1892</v>
      </c>
      <c r="I893" s="27" t="s">
        <v>1876</v>
      </c>
      <c r="J893" s="27" t="s">
        <v>2337</v>
      </c>
      <c r="K893" s="27" t="n">
        <v>2437</v>
      </c>
      <c r="L893" s="27" t="n">
        <v>703</v>
      </c>
      <c r="M893" s="28" t="n">
        <f aca="false">IFERROR(VLOOKUP((OFFSET(hoje12_326_ana9,892,10,1,1)&amp;"."&amp;OFFSET(hoje12_326_ana9,892,11,1,1)),'12.326'!A:D,4,0),"-")</f>
        <v>1274396000802</v>
      </c>
    </row>
    <row r="894" customFormat="false" ht="14.4" hidden="false" customHeight="false" outlineLevel="0" collapsed="false">
      <c r="A894" s="27" t="n">
        <v>11100970</v>
      </c>
      <c r="B894" s="27" t="s">
        <v>2197</v>
      </c>
      <c r="C894" s="43" t="n">
        <v>62.42</v>
      </c>
      <c r="D894" s="27" t="n">
        <v>6.94</v>
      </c>
      <c r="E894" s="27" t="n">
        <v>6</v>
      </c>
      <c r="F894" s="27" t="n">
        <v>11.56</v>
      </c>
      <c r="G894" s="27" t="s">
        <v>1875</v>
      </c>
      <c r="H894" s="27" t="s">
        <v>1895</v>
      </c>
      <c r="I894" s="27" t="s">
        <v>1876</v>
      </c>
      <c r="J894" s="27" t="s">
        <v>2198</v>
      </c>
      <c r="K894" s="27" t="n">
        <v>2437</v>
      </c>
      <c r="L894" s="27" t="n">
        <v>703</v>
      </c>
      <c r="M894" s="28" t="n">
        <f aca="false">IFERROR(VLOOKUP((OFFSET(hoje12_326_ana9,893,10,1,1)&amp;"."&amp;OFFSET(hoje12_326_ana9,893,11,1,1)),'12.326'!A:D,4,0),"-")</f>
        <v>1274396000802</v>
      </c>
    </row>
    <row r="895" customFormat="false" ht="14.4" hidden="false" customHeight="false" outlineLevel="0" collapsed="false">
      <c r="A895" s="27" t="n">
        <v>11100984</v>
      </c>
      <c r="B895" s="27" t="s">
        <v>2257</v>
      </c>
      <c r="C895" s="43" t="n">
        <v>65.79</v>
      </c>
      <c r="D895" s="27" t="n">
        <v>11.61</v>
      </c>
      <c r="E895" s="27" t="n">
        <v>6</v>
      </c>
      <c r="F895" s="27" t="n">
        <v>12.9</v>
      </c>
      <c r="G895" s="27" t="s">
        <v>1875</v>
      </c>
      <c r="H895" s="27" t="s">
        <v>1892</v>
      </c>
      <c r="I895" s="27" t="s">
        <v>1876</v>
      </c>
      <c r="J895" s="27" t="s">
        <v>2258</v>
      </c>
      <c r="K895" s="27" t="n">
        <v>2437</v>
      </c>
      <c r="L895" s="27" t="n">
        <v>703</v>
      </c>
      <c r="M895" s="28" t="n">
        <f aca="false">IFERROR(VLOOKUP((OFFSET(hoje12_326_ana9,894,10,1,1)&amp;"."&amp;OFFSET(hoje12_326_ana9,894,11,1,1)),'12.326'!A:D,4,0),"-")</f>
        <v>1274396000802</v>
      </c>
    </row>
    <row r="896" customFormat="false" ht="14.4" hidden="false" customHeight="false" outlineLevel="0" collapsed="false">
      <c r="A896" s="27" t="n">
        <v>11100980</v>
      </c>
      <c r="B896" s="27" t="s">
        <v>2311</v>
      </c>
      <c r="C896" s="43" t="n">
        <v>122.25</v>
      </c>
      <c r="D896" s="27" t="n">
        <v>21.57</v>
      </c>
      <c r="E896" s="27" t="n">
        <v>6</v>
      </c>
      <c r="F896" s="27" t="n">
        <v>23.97</v>
      </c>
      <c r="G896" s="27" t="s">
        <v>1875</v>
      </c>
      <c r="H896" s="27" t="s">
        <v>1892</v>
      </c>
      <c r="I896" s="27" t="s">
        <v>1876</v>
      </c>
      <c r="J896" s="27" t="s">
        <v>2338</v>
      </c>
      <c r="K896" s="27" t="n">
        <v>2437</v>
      </c>
      <c r="L896" s="27" t="n">
        <v>703</v>
      </c>
      <c r="M896" s="28" t="n">
        <f aca="false">IFERROR(VLOOKUP((OFFSET(hoje12_326_ana9,895,10,1,1)&amp;"."&amp;OFFSET(hoje12_326_ana9,895,11,1,1)),'12.326'!A:D,4,0),"-")</f>
        <v>1274396000802</v>
      </c>
    </row>
    <row r="897" customFormat="false" ht="14.4" hidden="false" customHeight="false" outlineLevel="0" collapsed="false">
      <c r="A897" s="27" t="n">
        <v>11100979</v>
      </c>
      <c r="B897" s="27" t="s">
        <v>2321</v>
      </c>
      <c r="C897" s="43" t="n">
        <v>44.22</v>
      </c>
      <c r="D897" s="27" t="n">
        <v>7.8</v>
      </c>
      <c r="E897" s="27" t="n">
        <v>6</v>
      </c>
      <c r="F897" s="27" t="n">
        <v>8.67</v>
      </c>
      <c r="G897" s="27" t="s">
        <v>1875</v>
      </c>
      <c r="H897" s="27" t="s">
        <v>1892</v>
      </c>
      <c r="I897" s="27" t="s">
        <v>1876</v>
      </c>
      <c r="J897" s="27" t="s">
        <v>2353</v>
      </c>
      <c r="K897" s="27" t="n">
        <v>2437</v>
      </c>
      <c r="L897" s="27" t="n">
        <v>703</v>
      </c>
      <c r="M897" s="28" t="n">
        <f aca="false">IFERROR(VLOOKUP((OFFSET(hoje12_326_ana9,896,10,1,1)&amp;"."&amp;OFFSET(hoje12_326_ana9,896,11,1,1)),'12.326'!A:D,4,0),"-")</f>
        <v>1274396000802</v>
      </c>
    </row>
    <row r="898" customFormat="false" ht="14.4" hidden="false" customHeight="false" outlineLevel="0" collapsed="false">
      <c r="A898" s="27" t="n">
        <v>11100968</v>
      </c>
      <c r="B898" s="27" t="s">
        <v>2125</v>
      </c>
      <c r="C898" s="43" t="n">
        <v>47.02</v>
      </c>
      <c r="D898" s="27" t="n">
        <v>8.3</v>
      </c>
      <c r="E898" s="27" t="n">
        <v>6</v>
      </c>
      <c r="F898" s="27" t="n">
        <v>9.22</v>
      </c>
      <c r="G898" s="27" t="s">
        <v>1875</v>
      </c>
      <c r="H898" s="27" t="s">
        <v>1892</v>
      </c>
      <c r="I898" s="27" t="s">
        <v>1876</v>
      </c>
      <c r="J898" s="27" t="s">
        <v>2154</v>
      </c>
      <c r="K898" s="27" t="n">
        <v>2437</v>
      </c>
      <c r="L898" s="27" t="n">
        <v>703</v>
      </c>
      <c r="M898" s="28" t="n">
        <f aca="false">IFERROR(VLOOKUP((OFFSET(hoje12_326_ana9,897,10,1,1)&amp;"."&amp;OFFSET(hoje12_326_ana9,897,11,1,1)),'12.326'!A:D,4,0),"-")</f>
        <v>1274396000802</v>
      </c>
    </row>
    <row r="899" customFormat="false" ht="14.4" hidden="false" customHeight="false" outlineLevel="0" collapsed="false">
      <c r="A899" s="27" t="n">
        <v>11100837</v>
      </c>
      <c r="B899" s="27" t="s">
        <v>1971</v>
      </c>
      <c r="C899" s="43" t="n">
        <v>64.53</v>
      </c>
      <c r="D899" s="27" t="n">
        <v>7.17</v>
      </c>
      <c r="E899" s="27" t="n">
        <v>6</v>
      </c>
      <c r="F899" s="27" t="n">
        <v>11.95</v>
      </c>
      <c r="G899" s="27" t="s">
        <v>1875</v>
      </c>
      <c r="H899" s="27" t="s">
        <v>1895</v>
      </c>
      <c r="I899" s="27" t="s">
        <v>1876</v>
      </c>
      <c r="J899" s="27" t="s">
        <v>2201</v>
      </c>
      <c r="K899" s="27" t="n">
        <v>2437</v>
      </c>
      <c r="L899" s="27" t="n">
        <v>703</v>
      </c>
      <c r="M899" s="28" t="n">
        <f aca="false">IFERROR(VLOOKUP((OFFSET(hoje12_326_ana9,898,10,1,1)&amp;"."&amp;OFFSET(hoje12_326_ana9,898,11,1,1)),'12.326'!A:D,4,0),"-")</f>
        <v>1274396000802</v>
      </c>
    </row>
    <row r="900" customFormat="false" ht="14.4" hidden="false" customHeight="false" outlineLevel="0" collapsed="false">
      <c r="A900" s="27" t="n">
        <v>11100982</v>
      </c>
      <c r="B900" s="27" t="s">
        <v>2325</v>
      </c>
      <c r="C900" s="43" t="n">
        <v>27.69</v>
      </c>
      <c r="D900" s="27" t="n">
        <v>4.89</v>
      </c>
      <c r="E900" s="27" t="n">
        <v>6</v>
      </c>
      <c r="F900" s="27" t="n">
        <v>5.43</v>
      </c>
      <c r="G900" s="27" t="s">
        <v>1875</v>
      </c>
      <c r="H900" s="27" t="s">
        <v>1892</v>
      </c>
      <c r="I900" s="27" t="s">
        <v>1876</v>
      </c>
      <c r="J900" s="27" t="s">
        <v>2354</v>
      </c>
      <c r="K900" s="27" t="n">
        <v>2437</v>
      </c>
      <c r="L900" s="27" t="n">
        <v>703</v>
      </c>
      <c r="M900" s="28" t="n">
        <f aca="false">IFERROR(VLOOKUP((OFFSET(hoje12_326_ana9,899,10,1,1)&amp;"."&amp;OFFSET(hoje12_326_ana9,899,11,1,1)),'12.326'!A:D,4,0),"-")</f>
        <v>1274396000802</v>
      </c>
    </row>
    <row r="901" customFormat="false" ht="14.4" hidden="false" customHeight="false" outlineLevel="0" collapsed="false">
      <c r="A901" s="27" t="n">
        <v>11100974</v>
      </c>
      <c r="B901" s="27" t="s">
        <v>2316</v>
      </c>
      <c r="C901" s="43" t="n">
        <v>44.22</v>
      </c>
      <c r="D901" s="27" t="n">
        <v>7.8</v>
      </c>
      <c r="E901" s="27" t="n">
        <v>6</v>
      </c>
      <c r="F901" s="27" t="n">
        <v>8.67</v>
      </c>
      <c r="G901" s="27" t="s">
        <v>1875</v>
      </c>
      <c r="H901" s="27" t="s">
        <v>1892</v>
      </c>
      <c r="I901" s="27" t="s">
        <v>1876</v>
      </c>
      <c r="J901" s="27" t="s">
        <v>2353</v>
      </c>
      <c r="K901" s="27" t="n">
        <v>2437</v>
      </c>
      <c r="L901" s="27" t="n">
        <v>703</v>
      </c>
      <c r="M901" s="28" t="n">
        <f aca="false">IFERROR(VLOOKUP((OFFSET(hoje12_326_ana9,900,10,1,1)&amp;"."&amp;OFFSET(hoje12_326_ana9,900,11,1,1)),'12.326'!A:D,4,0),"-")</f>
        <v>1274396000802</v>
      </c>
    </row>
    <row r="902" customFormat="false" ht="14.4" hidden="false" customHeight="false" outlineLevel="0" collapsed="false">
      <c r="A902" s="27" t="n">
        <v>11100959</v>
      </c>
      <c r="B902" s="27" t="s">
        <v>1987</v>
      </c>
      <c r="C902" s="43" t="n">
        <v>58.92</v>
      </c>
      <c r="D902" s="27" t="n">
        <v>1.2</v>
      </c>
      <c r="E902" s="27" t="n">
        <v>12</v>
      </c>
      <c r="F902" s="27" t="n">
        <v>5.01</v>
      </c>
      <c r="G902" s="27" t="s">
        <v>1875</v>
      </c>
      <c r="H902" s="27" t="s">
        <v>2011</v>
      </c>
      <c r="I902" s="27" t="s">
        <v>1876</v>
      </c>
      <c r="J902" s="27" t="s">
        <v>2360</v>
      </c>
      <c r="K902" s="27" t="n">
        <v>2437</v>
      </c>
      <c r="L902" s="27" t="n">
        <v>703</v>
      </c>
      <c r="M902" s="28" t="n">
        <f aca="false">IFERROR(VLOOKUP((OFFSET(hoje12_326_ana9,901,10,1,1)&amp;"."&amp;OFFSET(hoje12_326_ana9,901,11,1,1)),'12.326'!A:D,4,0),"-")</f>
        <v>1274396000802</v>
      </c>
    </row>
    <row r="903" customFormat="false" ht="14.4" hidden="false" customHeight="false" outlineLevel="0" collapsed="false">
      <c r="A903" s="27" t="n">
        <v>11100960</v>
      </c>
      <c r="B903" s="27" t="s">
        <v>2310</v>
      </c>
      <c r="C903" s="43" t="n">
        <v>58.92</v>
      </c>
      <c r="D903" s="27" t="n">
        <v>1.2</v>
      </c>
      <c r="E903" s="27" t="n">
        <v>12</v>
      </c>
      <c r="F903" s="27" t="n">
        <v>5.01</v>
      </c>
      <c r="G903" s="27" t="s">
        <v>1875</v>
      </c>
      <c r="H903" s="27" t="s">
        <v>2011</v>
      </c>
      <c r="I903" s="27" t="s">
        <v>1876</v>
      </c>
      <c r="J903" s="27" t="s">
        <v>2360</v>
      </c>
      <c r="K903" s="27" t="n">
        <v>2437</v>
      </c>
      <c r="L903" s="27" t="n">
        <v>703</v>
      </c>
      <c r="M903" s="28" t="n">
        <f aca="false">IFERROR(VLOOKUP((OFFSET(hoje12_326_ana9,902,10,1,1)&amp;"."&amp;OFFSET(hoje12_326_ana9,902,11,1,1)),'12.326'!A:D,4,0),"-")</f>
        <v>1274396000802</v>
      </c>
    </row>
    <row r="904" customFormat="false" ht="14.4" hidden="false" customHeight="false" outlineLevel="0" collapsed="false">
      <c r="A904" s="27" t="n">
        <v>11101000</v>
      </c>
      <c r="B904" s="27" t="s">
        <v>1886</v>
      </c>
      <c r="C904" s="43" t="n">
        <v>135.18</v>
      </c>
      <c r="D904" s="27" t="n">
        <v>2.76</v>
      </c>
      <c r="E904" s="27" t="n">
        <v>6</v>
      </c>
      <c r="F904" s="27" t="n">
        <v>22.99</v>
      </c>
      <c r="G904" s="27" t="s">
        <v>1875</v>
      </c>
      <c r="H904" s="27" t="s">
        <v>2011</v>
      </c>
      <c r="I904" s="27" t="s">
        <v>1876</v>
      </c>
      <c r="J904" s="27" t="s">
        <v>2359</v>
      </c>
      <c r="K904" s="27" t="n">
        <v>2437</v>
      </c>
      <c r="L904" s="27" t="n">
        <v>703</v>
      </c>
      <c r="M904" s="28" t="n">
        <f aca="false">IFERROR(VLOOKUP((OFFSET(hoje12_326_ana9,903,10,1,1)&amp;"."&amp;OFFSET(hoje12_326_ana9,903,11,1,1)),'12.326'!A:D,4,0),"-")</f>
        <v>1274396000802</v>
      </c>
    </row>
    <row r="905" customFormat="false" ht="14.4" hidden="false" customHeight="false" outlineLevel="0" collapsed="false">
      <c r="A905" s="27" t="n">
        <v>11100973</v>
      </c>
      <c r="B905" s="27" t="s">
        <v>2313</v>
      </c>
      <c r="C905" s="43" t="n">
        <v>103.33</v>
      </c>
      <c r="D905" s="27" t="n">
        <v>18.23</v>
      </c>
      <c r="E905" s="27" t="n">
        <v>6</v>
      </c>
      <c r="F905" s="27" t="n">
        <v>20.26</v>
      </c>
      <c r="G905" s="27" t="s">
        <v>1875</v>
      </c>
      <c r="H905" s="27" t="s">
        <v>1892</v>
      </c>
      <c r="I905" s="27" t="s">
        <v>1876</v>
      </c>
      <c r="J905" s="27" t="s">
        <v>2341</v>
      </c>
      <c r="K905" s="27" t="n">
        <v>2438</v>
      </c>
      <c r="L905" s="27" t="n">
        <v>703</v>
      </c>
      <c r="M905" s="28" t="n">
        <f aca="false">IFERROR(VLOOKUP((OFFSET(hoje12_326_ana9,904,10,1,1)&amp;"."&amp;OFFSET(hoje12_326_ana9,904,11,1,1)),'12.326'!A:D,4,0),"-")</f>
        <v>1274396000985</v>
      </c>
    </row>
    <row r="906" customFormat="false" ht="14.4" hidden="false" customHeight="false" outlineLevel="0" collapsed="false">
      <c r="A906" s="27" t="n">
        <v>11100984</v>
      </c>
      <c r="B906" s="27" t="s">
        <v>2257</v>
      </c>
      <c r="C906" s="43" t="n">
        <v>65.79</v>
      </c>
      <c r="D906" s="27" t="n">
        <v>11.61</v>
      </c>
      <c r="E906" s="27" t="n">
        <v>6</v>
      </c>
      <c r="F906" s="27" t="n">
        <v>12.9</v>
      </c>
      <c r="G906" s="27" t="s">
        <v>1875</v>
      </c>
      <c r="H906" s="27" t="s">
        <v>1892</v>
      </c>
      <c r="I906" s="27" t="s">
        <v>1876</v>
      </c>
      <c r="J906" s="27" t="s">
        <v>2258</v>
      </c>
      <c r="K906" s="27" t="n">
        <v>2438</v>
      </c>
      <c r="L906" s="27" t="n">
        <v>703</v>
      </c>
      <c r="M906" s="28" t="n">
        <f aca="false">IFERROR(VLOOKUP((OFFSET(hoje12_326_ana9,905,10,1,1)&amp;"."&amp;OFFSET(hoje12_326_ana9,905,11,1,1)),'12.326'!A:D,4,0),"-")</f>
        <v>1274396000985</v>
      </c>
    </row>
    <row r="907" customFormat="false" ht="14.4" hidden="false" customHeight="false" outlineLevel="0" collapsed="false">
      <c r="A907" s="27" t="n">
        <v>11100980</v>
      </c>
      <c r="B907" s="27" t="s">
        <v>2311</v>
      </c>
      <c r="C907" s="43" t="n">
        <v>122.25</v>
      </c>
      <c r="D907" s="27" t="n">
        <v>21.57</v>
      </c>
      <c r="E907" s="27" t="n">
        <v>6</v>
      </c>
      <c r="F907" s="27" t="n">
        <v>23.97</v>
      </c>
      <c r="G907" s="27" t="s">
        <v>1875</v>
      </c>
      <c r="H907" s="27" t="s">
        <v>1892</v>
      </c>
      <c r="I907" s="27" t="s">
        <v>1876</v>
      </c>
      <c r="J907" s="27" t="s">
        <v>2338</v>
      </c>
      <c r="K907" s="27" t="n">
        <v>2438</v>
      </c>
      <c r="L907" s="27" t="n">
        <v>703</v>
      </c>
      <c r="M907" s="28" t="n">
        <f aca="false">IFERROR(VLOOKUP((OFFSET(hoje12_326_ana9,906,10,1,1)&amp;"."&amp;OFFSET(hoje12_326_ana9,906,11,1,1)),'12.326'!A:D,4,0),"-")</f>
        <v>1274396000985</v>
      </c>
    </row>
    <row r="908" customFormat="false" ht="14.4" hidden="false" customHeight="false" outlineLevel="0" collapsed="false">
      <c r="A908" s="27" t="n">
        <v>11100974</v>
      </c>
      <c r="B908" s="27" t="s">
        <v>2316</v>
      </c>
      <c r="C908" s="43" t="n">
        <v>44.22</v>
      </c>
      <c r="D908" s="27" t="n">
        <v>7.8</v>
      </c>
      <c r="E908" s="27" t="n">
        <v>6</v>
      </c>
      <c r="F908" s="27" t="n">
        <v>8.67</v>
      </c>
      <c r="G908" s="27" t="s">
        <v>1875</v>
      </c>
      <c r="H908" s="27" t="s">
        <v>1892</v>
      </c>
      <c r="I908" s="27" t="s">
        <v>1876</v>
      </c>
      <c r="J908" s="27" t="s">
        <v>2353</v>
      </c>
      <c r="K908" s="27" t="n">
        <v>2438</v>
      </c>
      <c r="L908" s="27" t="n">
        <v>703</v>
      </c>
      <c r="M908" s="28" t="n">
        <f aca="false">IFERROR(VLOOKUP((OFFSET(hoje12_326_ana9,907,10,1,1)&amp;"."&amp;OFFSET(hoje12_326_ana9,907,11,1,1)),'12.326'!A:D,4,0),"-")</f>
        <v>1274396000985</v>
      </c>
    </row>
    <row r="909" customFormat="false" ht="14.4" hidden="false" customHeight="false" outlineLevel="0" collapsed="false">
      <c r="A909" s="27" t="n">
        <v>11100970</v>
      </c>
      <c r="B909" s="27" t="s">
        <v>2197</v>
      </c>
      <c r="C909" s="43" t="n">
        <v>62.42</v>
      </c>
      <c r="D909" s="27" t="n">
        <v>6.94</v>
      </c>
      <c r="E909" s="27" t="n">
        <v>6</v>
      </c>
      <c r="F909" s="27" t="n">
        <v>11.56</v>
      </c>
      <c r="G909" s="27" t="s">
        <v>1875</v>
      </c>
      <c r="H909" s="27" t="s">
        <v>1895</v>
      </c>
      <c r="I909" s="27" t="s">
        <v>1876</v>
      </c>
      <c r="J909" s="27" t="s">
        <v>2198</v>
      </c>
      <c r="K909" s="27" t="n">
        <v>2438</v>
      </c>
      <c r="L909" s="27" t="n">
        <v>703</v>
      </c>
      <c r="M909" s="28" t="n">
        <f aca="false">IFERROR(VLOOKUP((OFFSET(hoje12_326_ana9,908,10,1,1)&amp;"."&amp;OFFSET(hoje12_326_ana9,908,11,1,1)),'12.326'!A:D,4,0),"-")</f>
        <v>1274396000985</v>
      </c>
    </row>
    <row r="910" customFormat="false" ht="14.4" hidden="false" customHeight="false" outlineLevel="0" collapsed="false">
      <c r="A910" s="27" t="n">
        <v>11100968</v>
      </c>
      <c r="B910" s="27" t="s">
        <v>2125</v>
      </c>
      <c r="C910" s="43" t="n">
        <v>47.02</v>
      </c>
      <c r="D910" s="27" t="n">
        <v>8.3</v>
      </c>
      <c r="E910" s="27" t="n">
        <v>6</v>
      </c>
      <c r="F910" s="27" t="n">
        <v>9.22</v>
      </c>
      <c r="G910" s="27" t="s">
        <v>1875</v>
      </c>
      <c r="H910" s="27" t="s">
        <v>1892</v>
      </c>
      <c r="I910" s="27" t="s">
        <v>1876</v>
      </c>
      <c r="J910" s="27" t="s">
        <v>2154</v>
      </c>
      <c r="K910" s="27" t="n">
        <v>2438</v>
      </c>
      <c r="L910" s="27" t="n">
        <v>703</v>
      </c>
      <c r="M910" s="28" t="n">
        <f aca="false">IFERROR(VLOOKUP((OFFSET(hoje12_326_ana9,909,10,1,1)&amp;"."&amp;OFFSET(hoje12_326_ana9,909,11,1,1)),'12.326'!A:D,4,0),"-")</f>
        <v>1274396000985</v>
      </c>
    </row>
    <row r="911" customFormat="false" ht="14.4" hidden="false" customHeight="false" outlineLevel="0" collapsed="false">
      <c r="A911" s="27" t="n">
        <v>11100837</v>
      </c>
      <c r="B911" s="27" t="s">
        <v>1971</v>
      </c>
      <c r="C911" s="43" t="n">
        <v>129.06</v>
      </c>
      <c r="D911" s="27" t="n">
        <v>14.34</v>
      </c>
      <c r="E911" s="27" t="n">
        <v>12</v>
      </c>
      <c r="F911" s="27" t="n">
        <v>11.95</v>
      </c>
      <c r="G911" s="27" t="s">
        <v>1875</v>
      </c>
      <c r="H911" s="27" t="s">
        <v>1895</v>
      </c>
      <c r="I911" s="27" t="s">
        <v>1876</v>
      </c>
      <c r="J911" s="27" t="s">
        <v>2339</v>
      </c>
      <c r="K911" s="27" t="n">
        <v>2438</v>
      </c>
      <c r="L911" s="27" t="n">
        <v>703</v>
      </c>
      <c r="M911" s="28" t="n">
        <f aca="false">IFERROR(VLOOKUP((OFFSET(hoje12_326_ana9,910,10,1,1)&amp;"."&amp;OFFSET(hoje12_326_ana9,910,11,1,1)),'12.326'!A:D,4,0),"-")</f>
        <v>1274396000985</v>
      </c>
    </row>
    <row r="912" customFormat="false" ht="14.4" hidden="false" customHeight="false" outlineLevel="0" collapsed="false">
      <c r="A912" s="27" t="n">
        <v>11100978</v>
      </c>
      <c r="B912" s="27" t="s">
        <v>2255</v>
      </c>
      <c r="C912" s="43" t="n">
        <v>115.36</v>
      </c>
      <c r="D912" s="27" t="n">
        <v>20.36</v>
      </c>
      <c r="E912" s="27" t="n">
        <v>6</v>
      </c>
      <c r="F912" s="27" t="n">
        <v>22.62</v>
      </c>
      <c r="G912" s="27" t="s">
        <v>1875</v>
      </c>
      <c r="H912" s="27" t="s">
        <v>1892</v>
      </c>
      <c r="I912" s="27" t="s">
        <v>1876</v>
      </c>
      <c r="J912" s="27" t="s">
        <v>2256</v>
      </c>
      <c r="K912" s="27" t="n">
        <v>2438</v>
      </c>
      <c r="L912" s="27" t="n">
        <v>703</v>
      </c>
      <c r="M912" s="28" t="n">
        <f aca="false">IFERROR(VLOOKUP((OFFSET(hoje12_326_ana9,911,10,1,1)&amp;"."&amp;OFFSET(hoje12_326_ana9,911,11,1,1)),'12.326'!A:D,4,0),"-")</f>
        <v>1274396000985</v>
      </c>
    </row>
    <row r="913" customFormat="false" ht="14.4" hidden="false" customHeight="false" outlineLevel="0" collapsed="false">
      <c r="A913" s="27" t="n">
        <v>11100975</v>
      </c>
      <c r="B913" s="27" t="s">
        <v>2323</v>
      </c>
      <c r="C913" s="43" t="n">
        <v>138.36</v>
      </c>
      <c r="D913" s="27" t="n">
        <v>24.42</v>
      </c>
      <c r="E913" s="27" t="n">
        <v>6</v>
      </c>
      <c r="F913" s="27" t="n">
        <v>27.13</v>
      </c>
      <c r="G913" s="27" t="s">
        <v>1875</v>
      </c>
      <c r="H913" s="27" t="s">
        <v>1892</v>
      </c>
      <c r="I913" s="27" t="s">
        <v>1876</v>
      </c>
      <c r="J913" s="27" t="s">
        <v>2337</v>
      </c>
      <c r="K913" s="27" t="n">
        <v>2438</v>
      </c>
      <c r="L913" s="27" t="n">
        <v>703</v>
      </c>
      <c r="M913" s="28" t="n">
        <f aca="false">IFERROR(VLOOKUP((OFFSET(hoje12_326_ana9,912,10,1,1)&amp;"."&amp;OFFSET(hoje12_326_ana9,912,11,1,1)),'12.326'!A:D,4,0),"-")</f>
        <v>1274396000985</v>
      </c>
    </row>
    <row r="914" customFormat="false" ht="14.4" hidden="false" customHeight="false" outlineLevel="0" collapsed="false">
      <c r="A914" s="27" t="n">
        <v>11100982</v>
      </c>
      <c r="B914" s="27" t="s">
        <v>2325</v>
      </c>
      <c r="C914" s="43" t="n">
        <v>27.69</v>
      </c>
      <c r="D914" s="27" t="n">
        <v>4.89</v>
      </c>
      <c r="E914" s="27" t="n">
        <v>6</v>
      </c>
      <c r="F914" s="27" t="n">
        <v>5.43</v>
      </c>
      <c r="G914" s="27" t="s">
        <v>1875</v>
      </c>
      <c r="H914" s="27" t="s">
        <v>1892</v>
      </c>
      <c r="I914" s="27" t="s">
        <v>1876</v>
      </c>
      <c r="J914" s="27" t="s">
        <v>2354</v>
      </c>
      <c r="K914" s="27" t="n">
        <v>2438</v>
      </c>
      <c r="L914" s="27" t="n">
        <v>703</v>
      </c>
      <c r="M914" s="28" t="n">
        <f aca="false">IFERROR(VLOOKUP((OFFSET(hoje12_326_ana9,913,10,1,1)&amp;"."&amp;OFFSET(hoje12_326_ana9,913,11,1,1)),'12.326'!A:D,4,0),"-")</f>
        <v>1274396000985</v>
      </c>
    </row>
    <row r="915" customFormat="false" ht="14.4" hidden="false" customHeight="false" outlineLevel="0" collapsed="false">
      <c r="A915" s="27" t="n">
        <v>11100979</v>
      </c>
      <c r="B915" s="27" t="s">
        <v>2321</v>
      </c>
      <c r="C915" s="43" t="n">
        <v>44.22</v>
      </c>
      <c r="D915" s="27" t="n">
        <v>7.8</v>
      </c>
      <c r="E915" s="27" t="n">
        <v>6</v>
      </c>
      <c r="F915" s="27" t="n">
        <v>8.67</v>
      </c>
      <c r="G915" s="27" t="s">
        <v>1875</v>
      </c>
      <c r="H915" s="27" t="s">
        <v>1892</v>
      </c>
      <c r="I915" s="27" t="s">
        <v>1876</v>
      </c>
      <c r="J915" s="27" t="s">
        <v>2353</v>
      </c>
      <c r="K915" s="27" t="n">
        <v>2438</v>
      </c>
      <c r="L915" s="27" t="n">
        <v>703</v>
      </c>
      <c r="M915" s="28" t="n">
        <f aca="false">IFERROR(VLOOKUP((OFFSET(hoje12_326_ana9,914,10,1,1)&amp;"."&amp;OFFSET(hoje12_326_ana9,914,11,1,1)),'12.326'!A:D,4,0),"-")</f>
        <v>1274396000985</v>
      </c>
    </row>
    <row r="916" customFormat="false" ht="14.4" hidden="false" customHeight="false" outlineLevel="0" collapsed="false">
      <c r="A916" s="27" t="n">
        <v>11100959</v>
      </c>
      <c r="B916" s="27" t="s">
        <v>1987</v>
      </c>
      <c r="C916" s="43" t="n">
        <v>58.92</v>
      </c>
      <c r="D916" s="27" t="n">
        <v>1.2</v>
      </c>
      <c r="E916" s="27" t="n">
        <v>12</v>
      </c>
      <c r="F916" s="27" t="n">
        <v>5.01</v>
      </c>
      <c r="G916" s="27" t="s">
        <v>1875</v>
      </c>
      <c r="H916" s="27" t="s">
        <v>2011</v>
      </c>
      <c r="I916" s="27" t="s">
        <v>1876</v>
      </c>
      <c r="J916" s="27" t="s">
        <v>2360</v>
      </c>
      <c r="K916" s="27" t="n">
        <v>2438</v>
      </c>
      <c r="L916" s="27" t="n">
        <v>703</v>
      </c>
      <c r="M916" s="28" t="n">
        <f aca="false">IFERROR(VLOOKUP((OFFSET(hoje12_326_ana9,915,10,1,1)&amp;"."&amp;OFFSET(hoje12_326_ana9,915,11,1,1)),'12.326'!A:D,4,0),"-")</f>
        <v>1274396000985</v>
      </c>
    </row>
    <row r="917" customFormat="false" ht="14.4" hidden="false" customHeight="false" outlineLevel="0" collapsed="false">
      <c r="A917" s="27" t="n">
        <v>11100960</v>
      </c>
      <c r="B917" s="27" t="s">
        <v>2310</v>
      </c>
      <c r="C917" s="43" t="n">
        <v>58.92</v>
      </c>
      <c r="D917" s="27" t="n">
        <v>1.2</v>
      </c>
      <c r="E917" s="27" t="n">
        <v>12</v>
      </c>
      <c r="F917" s="27" t="n">
        <v>5.01</v>
      </c>
      <c r="G917" s="27" t="s">
        <v>1875</v>
      </c>
      <c r="H917" s="27" t="s">
        <v>2011</v>
      </c>
      <c r="I917" s="27" t="s">
        <v>1876</v>
      </c>
      <c r="J917" s="27" t="s">
        <v>2360</v>
      </c>
      <c r="K917" s="27" t="n">
        <v>2438</v>
      </c>
      <c r="L917" s="27" t="n">
        <v>703</v>
      </c>
      <c r="M917" s="28" t="n">
        <f aca="false">IFERROR(VLOOKUP((OFFSET(hoje12_326_ana9,916,10,1,1)&amp;"."&amp;OFFSET(hoje12_326_ana9,916,11,1,1)),'12.326'!A:D,4,0),"-")</f>
        <v>1274396000985</v>
      </c>
    </row>
    <row r="918" customFormat="false" ht="14.4" hidden="false" customHeight="false" outlineLevel="0" collapsed="false">
      <c r="A918" s="27" t="n">
        <v>11101000</v>
      </c>
      <c r="B918" s="27" t="s">
        <v>1886</v>
      </c>
      <c r="C918" s="43" t="n">
        <v>135.18</v>
      </c>
      <c r="D918" s="27" t="n">
        <v>2.76</v>
      </c>
      <c r="E918" s="27" t="n">
        <v>6</v>
      </c>
      <c r="F918" s="27" t="n">
        <v>22.99</v>
      </c>
      <c r="G918" s="27" t="s">
        <v>1875</v>
      </c>
      <c r="H918" s="27" t="s">
        <v>2011</v>
      </c>
      <c r="I918" s="27" t="s">
        <v>1876</v>
      </c>
      <c r="J918" s="27" t="s">
        <v>2359</v>
      </c>
      <c r="K918" s="27" t="n">
        <v>2438</v>
      </c>
      <c r="L918" s="27" t="n">
        <v>703</v>
      </c>
      <c r="M918" s="28" t="n">
        <f aca="false">IFERROR(VLOOKUP((OFFSET(hoje12_326_ana9,917,10,1,1)&amp;"."&amp;OFFSET(hoje12_326_ana9,917,11,1,1)),'12.326'!A:D,4,0),"-")</f>
        <v>1274396000985</v>
      </c>
    </row>
    <row r="919" customFormat="false" ht="14.4" hidden="false" customHeight="false" outlineLevel="0" collapsed="false">
      <c r="A919" s="27" t="n">
        <v>11100970</v>
      </c>
      <c r="B919" s="27" t="s">
        <v>2197</v>
      </c>
      <c r="C919" s="43" t="n">
        <v>124.85</v>
      </c>
      <c r="D919" s="27" t="n">
        <v>13.87</v>
      </c>
      <c r="E919" s="27" t="n">
        <v>12</v>
      </c>
      <c r="F919" s="27" t="n">
        <v>11.56</v>
      </c>
      <c r="G919" s="27" t="s">
        <v>1875</v>
      </c>
      <c r="H919" s="27" t="s">
        <v>1895</v>
      </c>
      <c r="I919" s="27" t="s">
        <v>1876</v>
      </c>
      <c r="J919" s="27" t="s">
        <v>2342</v>
      </c>
      <c r="K919" s="27" t="n">
        <v>2439</v>
      </c>
      <c r="L919" s="27" t="n">
        <v>703</v>
      </c>
      <c r="M919" s="28" t="n">
        <f aca="false">IFERROR(VLOOKUP((OFFSET(hoje12_326_ana9,918,10,1,1)&amp;"."&amp;OFFSET(hoje12_326_ana9,918,11,1,1)),'12.326'!A:D,4,0),"-")</f>
        <v>1274396001019</v>
      </c>
    </row>
    <row r="920" customFormat="false" ht="14.4" hidden="false" customHeight="false" outlineLevel="0" collapsed="false">
      <c r="A920" s="27" t="n">
        <v>11100978</v>
      </c>
      <c r="B920" s="27" t="s">
        <v>2255</v>
      </c>
      <c r="C920" s="43" t="n">
        <v>115.36</v>
      </c>
      <c r="D920" s="27" t="n">
        <v>20.36</v>
      </c>
      <c r="E920" s="27" t="n">
        <v>6</v>
      </c>
      <c r="F920" s="27" t="n">
        <v>22.62</v>
      </c>
      <c r="G920" s="27" t="s">
        <v>1875</v>
      </c>
      <c r="H920" s="27" t="s">
        <v>1892</v>
      </c>
      <c r="I920" s="27" t="s">
        <v>1876</v>
      </c>
      <c r="J920" s="27" t="s">
        <v>2256</v>
      </c>
      <c r="K920" s="27" t="n">
        <v>2439</v>
      </c>
      <c r="L920" s="27" t="n">
        <v>703</v>
      </c>
      <c r="M920" s="28" t="n">
        <f aca="false">IFERROR(VLOOKUP((OFFSET(hoje12_326_ana9,919,10,1,1)&amp;"."&amp;OFFSET(hoje12_326_ana9,919,11,1,1)),'12.326'!A:D,4,0),"-")</f>
        <v>1274396001019</v>
      </c>
    </row>
    <row r="921" customFormat="false" ht="14.4" hidden="false" customHeight="false" outlineLevel="0" collapsed="false">
      <c r="A921" s="27" t="n">
        <v>11100980</v>
      </c>
      <c r="B921" s="27" t="s">
        <v>2311</v>
      </c>
      <c r="C921" s="43" t="n">
        <v>122.25</v>
      </c>
      <c r="D921" s="27" t="n">
        <v>21.57</v>
      </c>
      <c r="E921" s="27" t="n">
        <v>6</v>
      </c>
      <c r="F921" s="27" t="n">
        <v>23.97</v>
      </c>
      <c r="G921" s="27" t="s">
        <v>1875</v>
      </c>
      <c r="H921" s="27" t="s">
        <v>1892</v>
      </c>
      <c r="I921" s="27" t="s">
        <v>1876</v>
      </c>
      <c r="J921" s="27" t="s">
        <v>2338</v>
      </c>
      <c r="K921" s="27" t="n">
        <v>2439</v>
      </c>
      <c r="L921" s="27" t="n">
        <v>703</v>
      </c>
      <c r="M921" s="28" t="n">
        <f aca="false">IFERROR(VLOOKUP((OFFSET(hoje12_326_ana9,920,10,1,1)&amp;"."&amp;OFFSET(hoje12_326_ana9,920,11,1,1)),'12.326'!A:D,4,0),"-")</f>
        <v>1274396001019</v>
      </c>
    </row>
    <row r="922" customFormat="false" ht="14.4" hidden="false" customHeight="false" outlineLevel="0" collapsed="false">
      <c r="A922" s="27" t="n">
        <v>11100973</v>
      </c>
      <c r="B922" s="27" t="s">
        <v>2313</v>
      </c>
      <c r="C922" s="43" t="n">
        <v>103.33</v>
      </c>
      <c r="D922" s="27" t="n">
        <v>18.23</v>
      </c>
      <c r="E922" s="27" t="n">
        <v>6</v>
      </c>
      <c r="F922" s="27" t="n">
        <v>20.26</v>
      </c>
      <c r="G922" s="27" t="s">
        <v>1875</v>
      </c>
      <c r="H922" s="27" t="s">
        <v>1892</v>
      </c>
      <c r="I922" s="27" t="s">
        <v>1876</v>
      </c>
      <c r="J922" s="27" t="s">
        <v>2341</v>
      </c>
      <c r="K922" s="27" t="n">
        <v>2439</v>
      </c>
      <c r="L922" s="27" t="n">
        <v>703</v>
      </c>
      <c r="M922" s="28" t="n">
        <f aca="false">IFERROR(VLOOKUP((OFFSET(hoje12_326_ana9,921,10,1,1)&amp;"."&amp;OFFSET(hoje12_326_ana9,921,11,1,1)),'12.326'!A:D,4,0),"-")</f>
        <v>1274396001019</v>
      </c>
    </row>
    <row r="923" customFormat="false" ht="14.4" hidden="false" customHeight="false" outlineLevel="0" collapsed="false">
      <c r="A923" s="27" t="n">
        <v>11100974</v>
      </c>
      <c r="B923" s="27" t="s">
        <v>2316</v>
      </c>
      <c r="C923" s="43" t="n">
        <v>88.43</v>
      </c>
      <c r="D923" s="27" t="n">
        <v>15.61</v>
      </c>
      <c r="E923" s="27" t="n">
        <v>12</v>
      </c>
      <c r="F923" s="27" t="n">
        <v>8.67</v>
      </c>
      <c r="G923" s="27" t="s">
        <v>1875</v>
      </c>
      <c r="H923" s="27" t="s">
        <v>1892</v>
      </c>
      <c r="I923" s="27" t="s">
        <v>1876</v>
      </c>
      <c r="J923" s="27" t="s">
        <v>2340</v>
      </c>
      <c r="K923" s="27" t="n">
        <v>2439</v>
      </c>
      <c r="L923" s="27" t="n">
        <v>703</v>
      </c>
      <c r="M923" s="28" t="n">
        <f aca="false">IFERROR(VLOOKUP((OFFSET(hoje12_326_ana9,922,10,1,1)&amp;"."&amp;OFFSET(hoje12_326_ana9,922,11,1,1)),'12.326'!A:D,4,0),"-")</f>
        <v>1274396001019</v>
      </c>
    </row>
    <row r="924" customFormat="false" ht="14.4" hidden="false" customHeight="false" outlineLevel="0" collapsed="false">
      <c r="A924" s="27" t="n">
        <v>11100975</v>
      </c>
      <c r="B924" s="27" t="s">
        <v>2323</v>
      </c>
      <c r="C924" s="43" t="n">
        <v>138.36</v>
      </c>
      <c r="D924" s="27" t="n">
        <v>24.42</v>
      </c>
      <c r="E924" s="27" t="n">
        <v>6</v>
      </c>
      <c r="F924" s="27" t="n">
        <v>27.13</v>
      </c>
      <c r="G924" s="27" t="s">
        <v>1875</v>
      </c>
      <c r="H924" s="27" t="s">
        <v>1892</v>
      </c>
      <c r="I924" s="27" t="s">
        <v>1876</v>
      </c>
      <c r="J924" s="27" t="s">
        <v>2337</v>
      </c>
      <c r="K924" s="27" t="n">
        <v>2439</v>
      </c>
      <c r="L924" s="27" t="n">
        <v>703</v>
      </c>
      <c r="M924" s="28" t="n">
        <f aca="false">IFERROR(VLOOKUP((OFFSET(hoje12_326_ana9,923,10,1,1)&amp;"."&amp;OFFSET(hoje12_326_ana9,923,11,1,1)),'12.326'!A:D,4,0),"-")</f>
        <v>1274396001019</v>
      </c>
    </row>
    <row r="925" customFormat="false" ht="14.4" hidden="false" customHeight="false" outlineLevel="0" collapsed="false">
      <c r="A925" s="27" t="n">
        <v>11100984</v>
      </c>
      <c r="B925" s="27" t="s">
        <v>2257</v>
      </c>
      <c r="C925" s="43" t="n">
        <v>65.79</v>
      </c>
      <c r="D925" s="27" t="n">
        <v>11.61</v>
      </c>
      <c r="E925" s="27" t="n">
        <v>6</v>
      </c>
      <c r="F925" s="27" t="n">
        <v>12.9</v>
      </c>
      <c r="G925" s="27" t="s">
        <v>1875</v>
      </c>
      <c r="H925" s="27" t="s">
        <v>1892</v>
      </c>
      <c r="I925" s="27" t="s">
        <v>1876</v>
      </c>
      <c r="J925" s="27" t="s">
        <v>2258</v>
      </c>
      <c r="K925" s="27" t="n">
        <v>2439</v>
      </c>
      <c r="L925" s="27" t="n">
        <v>703</v>
      </c>
      <c r="M925" s="28" t="n">
        <f aca="false">IFERROR(VLOOKUP((OFFSET(hoje12_326_ana9,924,10,1,1)&amp;"."&amp;OFFSET(hoje12_326_ana9,924,11,1,1)),'12.326'!A:D,4,0),"-")</f>
        <v>1274396001019</v>
      </c>
    </row>
    <row r="926" customFormat="false" ht="14.4" hidden="false" customHeight="false" outlineLevel="0" collapsed="false">
      <c r="A926" s="27" t="n">
        <v>11100979</v>
      </c>
      <c r="B926" s="27" t="s">
        <v>2321</v>
      </c>
      <c r="C926" s="43" t="n">
        <v>88.43</v>
      </c>
      <c r="D926" s="27" t="n">
        <v>15.61</v>
      </c>
      <c r="E926" s="27" t="n">
        <v>12</v>
      </c>
      <c r="F926" s="27" t="n">
        <v>8.67</v>
      </c>
      <c r="G926" s="27" t="s">
        <v>1875</v>
      </c>
      <c r="H926" s="27" t="s">
        <v>1892</v>
      </c>
      <c r="I926" s="27" t="s">
        <v>1876</v>
      </c>
      <c r="J926" s="27" t="s">
        <v>2340</v>
      </c>
      <c r="K926" s="27" t="n">
        <v>2439</v>
      </c>
      <c r="L926" s="27" t="n">
        <v>703</v>
      </c>
      <c r="M926" s="28" t="n">
        <f aca="false">IFERROR(VLOOKUP((OFFSET(hoje12_326_ana9,925,10,1,1)&amp;"."&amp;OFFSET(hoje12_326_ana9,925,11,1,1)),'12.326'!A:D,4,0),"-")</f>
        <v>1274396001019</v>
      </c>
    </row>
    <row r="927" customFormat="false" ht="14.4" hidden="false" customHeight="false" outlineLevel="0" collapsed="false">
      <c r="A927" s="27" t="n">
        <v>11100982</v>
      </c>
      <c r="B927" s="27" t="s">
        <v>2325</v>
      </c>
      <c r="C927" s="43" t="n">
        <v>55.39</v>
      </c>
      <c r="D927" s="27" t="n">
        <v>9.77</v>
      </c>
      <c r="E927" s="27" t="n">
        <v>12</v>
      </c>
      <c r="F927" s="27" t="n">
        <v>5.43</v>
      </c>
      <c r="G927" s="27" t="s">
        <v>1875</v>
      </c>
      <c r="H927" s="27" t="s">
        <v>1892</v>
      </c>
      <c r="I927" s="27" t="s">
        <v>1876</v>
      </c>
      <c r="J927" s="27" t="s">
        <v>2344</v>
      </c>
      <c r="K927" s="27" t="n">
        <v>2439</v>
      </c>
      <c r="L927" s="27" t="n">
        <v>703</v>
      </c>
      <c r="M927" s="28" t="n">
        <f aca="false">IFERROR(VLOOKUP((OFFSET(hoje12_326_ana9,926,10,1,1)&amp;"."&amp;OFFSET(hoje12_326_ana9,926,11,1,1)),'12.326'!A:D,4,0),"-")</f>
        <v>1274396001019</v>
      </c>
    </row>
    <row r="928" customFormat="false" ht="14.4" hidden="false" customHeight="false" outlineLevel="0" collapsed="false">
      <c r="A928" s="27" t="n">
        <v>11100968</v>
      </c>
      <c r="B928" s="27" t="s">
        <v>2125</v>
      </c>
      <c r="C928" s="43" t="n">
        <v>94.04</v>
      </c>
      <c r="D928" s="27" t="n">
        <v>16.6</v>
      </c>
      <c r="E928" s="27" t="n">
        <v>12</v>
      </c>
      <c r="F928" s="27" t="n">
        <v>9.22</v>
      </c>
      <c r="G928" s="27" t="s">
        <v>1875</v>
      </c>
      <c r="H928" s="27" t="s">
        <v>1892</v>
      </c>
      <c r="I928" s="27" t="s">
        <v>1876</v>
      </c>
      <c r="J928" s="27" t="s">
        <v>2346</v>
      </c>
      <c r="K928" s="27" t="n">
        <v>2439</v>
      </c>
      <c r="L928" s="27" t="n">
        <v>703</v>
      </c>
      <c r="M928" s="28" t="n">
        <f aca="false">IFERROR(VLOOKUP((OFFSET(hoje12_326_ana9,927,10,1,1)&amp;"."&amp;OFFSET(hoje12_326_ana9,927,11,1,1)),'12.326'!A:D,4,0),"-")</f>
        <v>1274396001019</v>
      </c>
    </row>
    <row r="929" customFormat="false" ht="14.4" hidden="false" customHeight="false" outlineLevel="0" collapsed="false">
      <c r="A929" s="27" t="n">
        <v>11100836</v>
      </c>
      <c r="B929" s="27" t="s">
        <v>2069</v>
      </c>
      <c r="C929" s="43" t="n">
        <v>81.76</v>
      </c>
      <c r="D929" s="27" t="n">
        <v>9.08</v>
      </c>
      <c r="E929" s="27" t="n">
        <v>12</v>
      </c>
      <c r="F929" s="27" t="n">
        <v>7.57</v>
      </c>
      <c r="G929" s="27" t="s">
        <v>1875</v>
      </c>
      <c r="H929" s="27" t="s">
        <v>1895</v>
      </c>
      <c r="I929" s="27" t="s">
        <v>1876</v>
      </c>
      <c r="J929" s="27" t="s">
        <v>1973</v>
      </c>
      <c r="K929" s="27" t="n">
        <v>2439</v>
      </c>
      <c r="L929" s="27" t="n">
        <v>703</v>
      </c>
      <c r="M929" s="28" t="n">
        <f aca="false">IFERROR(VLOOKUP((OFFSET(hoje12_326_ana9,928,10,1,1)&amp;"."&amp;OFFSET(hoje12_326_ana9,928,11,1,1)),'12.326'!A:D,4,0),"-")</f>
        <v>1274396001019</v>
      </c>
    </row>
    <row r="930" customFormat="false" ht="14.4" hidden="false" customHeight="false" outlineLevel="0" collapsed="false">
      <c r="A930" s="27" t="n">
        <v>11100959</v>
      </c>
      <c r="B930" s="27" t="s">
        <v>1987</v>
      </c>
      <c r="C930" s="43" t="n">
        <v>58.92</v>
      </c>
      <c r="D930" s="27" t="n">
        <v>1.2</v>
      </c>
      <c r="E930" s="27" t="n">
        <v>12</v>
      </c>
      <c r="F930" s="27" t="n">
        <v>5.01</v>
      </c>
      <c r="G930" s="27" t="s">
        <v>1875</v>
      </c>
      <c r="H930" s="27" t="s">
        <v>2011</v>
      </c>
      <c r="I930" s="27" t="s">
        <v>1876</v>
      </c>
      <c r="J930" s="27" t="s">
        <v>2360</v>
      </c>
      <c r="K930" s="27" t="n">
        <v>2439</v>
      </c>
      <c r="L930" s="27" t="n">
        <v>703</v>
      </c>
      <c r="M930" s="28" t="n">
        <f aca="false">IFERROR(VLOOKUP((OFFSET(hoje12_326_ana9,929,10,1,1)&amp;"."&amp;OFFSET(hoje12_326_ana9,929,11,1,1)),'12.326'!A:D,4,0),"-")</f>
        <v>1274396001019</v>
      </c>
    </row>
    <row r="931" customFormat="false" ht="14.4" hidden="false" customHeight="false" outlineLevel="0" collapsed="false">
      <c r="A931" s="27" t="n">
        <v>11100960</v>
      </c>
      <c r="B931" s="27" t="s">
        <v>2310</v>
      </c>
      <c r="C931" s="43" t="n">
        <v>58.92</v>
      </c>
      <c r="D931" s="27" t="n">
        <v>1.2</v>
      </c>
      <c r="E931" s="27" t="n">
        <v>12</v>
      </c>
      <c r="F931" s="27" t="n">
        <v>5.01</v>
      </c>
      <c r="G931" s="27" t="s">
        <v>1875</v>
      </c>
      <c r="H931" s="27" t="s">
        <v>2011</v>
      </c>
      <c r="I931" s="27" t="s">
        <v>1876</v>
      </c>
      <c r="J931" s="27" t="s">
        <v>2360</v>
      </c>
      <c r="K931" s="27" t="n">
        <v>2439</v>
      </c>
      <c r="L931" s="27" t="n">
        <v>703</v>
      </c>
      <c r="M931" s="28" t="n">
        <f aca="false">IFERROR(VLOOKUP((OFFSET(hoje12_326_ana9,930,10,1,1)&amp;"."&amp;OFFSET(hoje12_326_ana9,930,11,1,1)),'12.326'!A:D,4,0),"-")</f>
        <v>1274396001019</v>
      </c>
    </row>
    <row r="932" customFormat="false" ht="14.4" hidden="false" customHeight="false" outlineLevel="0" collapsed="false">
      <c r="A932" s="27" t="n">
        <v>11101000</v>
      </c>
      <c r="B932" s="27" t="s">
        <v>1886</v>
      </c>
      <c r="C932" s="43" t="n">
        <v>135.18</v>
      </c>
      <c r="D932" s="27" t="n">
        <v>2.76</v>
      </c>
      <c r="E932" s="27" t="n">
        <v>6</v>
      </c>
      <c r="F932" s="27" t="n">
        <v>22.99</v>
      </c>
      <c r="G932" s="27" t="s">
        <v>1875</v>
      </c>
      <c r="H932" s="27" t="s">
        <v>2011</v>
      </c>
      <c r="I932" s="27" t="s">
        <v>1876</v>
      </c>
      <c r="J932" s="27" t="s">
        <v>2359</v>
      </c>
      <c r="K932" s="27" t="n">
        <v>2439</v>
      </c>
      <c r="L932" s="27" t="n">
        <v>703</v>
      </c>
      <c r="M932" s="28" t="n">
        <f aca="false">IFERROR(VLOOKUP((OFFSET(hoje12_326_ana9,931,10,1,1)&amp;"."&amp;OFFSET(hoje12_326_ana9,931,11,1,1)),'12.326'!A:D,4,0),"-")</f>
        <v>1274396001019</v>
      </c>
    </row>
    <row r="933" customFormat="false" ht="14.4" hidden="false" customHeight="false" outlineLevel="0" collapsed="false">
      <c r="A933" s="27" t="n">
        <v>11100150</v>
      </c>
      <c r="B933" s="27" t="s">
        <v>2216</v>
      </c>
      <c r="C933" s="43" t="n">
        <v>645.7</v>
      </c>
      <c r="D933" s="27" t="n">
        <v>71.74</v>
      </c>
      <c r="E933" s="27" t="n">
        <v>32</v>
      </c>
      <c r="F933" s="27" t="n">
        <v>22.42</v>
      </c>
      <c r="G933" s="27" t="s">
        <v>1875</v>
      </c>
      <c r="H933" s="27" t="s">
        <v>1895</v>
      </c>
      <c r="I933" s="27" t="s">
        <v>1876</v>
      </c>
      <c r="J933" s="27" t="s">
        <v>2349</v>
      </c>
      <c r="K933" s="27" t="n">
        <v>2439</v>
      </c>
      <c r="L933" s="27" t="n">
        <v>703</v>
      </c>
      <c r="M933" s="28" t="n">
        <f aca="false">IFERROR(VLOOKUP((OFFSET(hoje12_326_ana9,932,10,1,1)&amp;"."&amp;OFFSET(hoje12_326_ana9,932,11,1,1)),'12.326'!A:D,4,0),"-")</f>
        <v>1274396001019</v>
      </c>
    </row>
    <row r="934" customFormat="false" ht="14.4" hidden="false" customHeight="false" outlineLevel="0" collapsed="false">
      <c r="A934" s="27" t="n">
        <v>11100176</v>
      </c>
      <c r="B934" s="27" t="s">
        <v>2217</v>
      </c>
      <c r="C934" s="43" t="n">
        <v>968.54</v>
      </c>
      <c r="D934" s="27" t="n">
        <v>107.62</v>
      </c>
      <c r="E934" s="27" t="n">
        <v>48</v>
      </c>
      <c r="F934" s="27" t="n">
        <v>22.42</v>
      </c>
      <c r="G934" s="27" t="s">
        <v>1875</v>
      </c>
      <c r="H934" s="27" t="s">
        <v>1895</v>
      </c>
      <c r="I934" s="27" t="s">
        <v>1876</v>
      </c>
      <c r="J934" s="27" t="s">
        <v>2350</v>
      </c>
      <c r="K934" s="27" t="n">
        <v>2439</v>
      </c>
      <c r="L934" s="27" t="n">
        <v>703</v>
      </c>
      <c r="M934" s="28" t="n">
        <f aca="false">IFERROR(VLOOKUP((OFFSET(hoje12_326_ana9,933,10,1,1)&amp;"."&amp;OFFSET(hoje12_326_ana9,933,11,1,1)),'12.326'!A:D,4,0),"-")</f>
        <v>1274396001019</v>
      </c>
    </row>
    <row r="935" customFormat="false" ht="14.4" hidden="false" customHeight="false" outlineLevel="0" collapsed="false">
      <c r="A935" s="27" t="n">
        <v>11100937</v>
      </c>
      <c r="B935" s="27" t="s">
        <v>2015</v>
      </c>
      <c r="C935" s="43" t="n">
        <v>4842.72</v>
      </c>
      <c r="D935" s="27" t="n">
        <v>538.08</v>
      </c>
      <c r="E935" s="27" t="n">
        <v>240</v>
      </c>
      <c r="F935" s="27" t="n">
        <v>22.42</v>
      </c>
      <c r="G935" s="27" t="s">
        <v>1875</v>
      </c>
      <c r="H935" s="27" t="s">
        <v>1895</v>
      </c>
      <c r="I935" s="27" t="s">
        <v>1876</v>
      </c>
      <c r="J935" s="27" t="s">
        <v>2348</v>
      </c>
      <c r="K935" s="27" t="n">
        <v>2439</v>
      </c>
      <c r="L935" s="27" t="n">
        <v>703</v>
      </c>
      <c r="M935" s="28" t="n">
        <f aca="false">IFERROR(VLOOKUP((OFFSET(hoje12_326_ana9,934,10,1,1)&amp;"."&amp;OFFSET(hoje12_326_ana9,934,11,1,1)),'12.326'!A:D,4,0),"-")</f>
        <v>1274396001019</v>
      </c>
    </row>
    <row r="936" customFormat="false" ht="14.4" hidden="false" customHeight="false" outlineLevel="0" collapsed="false">
      <c r="A936" s="27" t="n">
        <v>11100987</v>
      </c>
      <c r="B936" s="27" t="s">
        <v>1890</v>
      </c>
      <c r="C936" s="43" t="n">
        <v>112.86</v>
      </c>
      <c r="D936" s="27" t="n">
        <v>12.54</v>
      </c>
      <c r="E936" s="27" t="n">
        <v>12</v>
      </c>
      <c r="F936" s="27" t="n">
        <v>10.45</v>
      </c>
      <c r="G936" s="27" t="s">
        <v>1875</v>
      </c>
      <c r="H936" s="27" t="s">
        <v>1895</v>
      </c>
      <c r="I936" s="27" t="s">
        <v>1876</v>
      </c>
      <c r="J936" s="27" t="s">
        <v>2351</v>
      </c>
      <c r="K936" s="27" t="n">
        <v>2439</v>
      </c>
      <c r="L936" s="27" t="n">
        <v>703</v>
      </c>
      <c r="M936" s="28" t="n">
        <f aca="false">IFERROR(VLOOKUP((OFFSET(hoje12_326_ana9,935,10,1,1)&amp;"."&amp;OFFSET(hoje12_326_ana9,935,11,1,1)),'12.326'!A:D,4,0),"-")</f>
        <v>1274396001019</v>
      </c>
    </row>
    <row r="937" customFormat="false" ht="14.4" hidden="false" customHeight="false" outlineLevel="0" collapsed="false">
      <c r="A937" s="27" t="n">
        <v>11100837</v>
      </c>
      <c r="B937" s="27" t="s">
        <v>1971</v>
      </c>
      <c r="C937" s="43" t="n">
        <v>65.83</v>
      </c>
      <c r="D937" s="27" t="n">
        <v>7.31</v>
      </c>
      <c r="E937" s="27" t="n">
        <v>6</v>
      </c>
      <c r="F937" s="27" t="n">
        <v>12.19</v>
      </c>
      <c r="G937" s="27" t="s">
        <v>1875</v>
      </c>
      <c r="H937" s="27" t="s">
        <v>1895</v>
      </c>
      <c r="I937" s="27" t="s">
        <v>1876</v>
      </c>
      <c r="J937" s="27" t="s">
        <v>2261</v>
      </c>
      <c r="K937" s="27" t="n">
        <v>2440</v>
      </c>
      <c r="L937" s="27" t="n">
        <v>703</v>
      </c>
      <c r="M937" s="28" t="n">
        <f aca="false">IFERROR(VLOOKUP((OFFSET(hoje12_326_ana9,936,10,1,1)&amp;"."&amp;OFFSET(hoje12_326_ana9,936,11,1,1)),'12.326'!A:D,4,0),"-")</f>
        <v>5348350000329</v>
      </c>
    </row>
    <row r="938" customFormat="false" ht="14.4" hidden="false" customHeight="false" outlineLevel="0" collapsed="false">
      <c r="A938" s="27" t="n">
        <v>11100974</v>
      </c>
      <c r="B938" s="27" t="s">
        <v>2316</v>
      </c>
      <c r="C938" s="43" t="n">
        <v>45.14</v>
      </c>
      <c r="D938" s="27" t="n">
        <v>7.96</v>
      </c>
      <c r="E938" s="27" t="n">
        <v>6</v>
      </c>
      <c r="F938" s="27" t="n">
        <v>8.85</v>
      </c>
      <c r="G938" s="27" t="s">
        <v>1875</v>
      </c>
      <c r="H938" s="27" t="s">
        <v>1892</v>
      </c>
      <c r="I938" s="27" t="s">
        <v>1876</v>
      </c>
      <c r="J938" s="27" t="s">
        <v>2317</v>
      </c>
      <c r="K938" s="27" t="n">
        <v>2440</v>
      </c>
      <c r="L938" s="27" t="n">
        <v>703</v>
      </c>
      <c r="M938" s="28" t="n">
        <f aca="false">IFERROR(VLOOKUP((OFFSET(hoje12_326_ana9,937,10,1,1)&amp;"."&amp;OFFSET(hoje12_326_ana9,937,11,1,1)),'12.326'!A:D,4,0),"-")</f>
        <v>5348350000329</v>
      </c>
    </row>
    <row r="939" customFormat="false" ht="14.4" hidden="false" customHeight="false" outlineLevel="0" collapsed="false">
      <c r="A939" s="27" t="n">
        <v>11100979</v>
      </c>
      <c r="B939" s="27" t="s">
        <v>2321</v>
      </c>
      <c r="C939" s="43" t="n">
        <v>45.14</v>
      </c>
      <c r="D939" s="27" t="n">
        <v>7.96</v>
      </c>
      <c r="E939" s="27" t="n">
        <v>6</v>
      </c>
      <c r="F939" s="27" t="n">
        <v>8.85</v>
      </c>
      <c r="G939" s="27" t="s">
        <v>1875</v>
      </c>
      <c r="H939" s="27" t="s">
        <v>1892</v>
      </c>
      <c r="I939" s="27" t="s">
        <v>1876</v>
      </c>
      <c r="J939" s="27" t="s">
        <v>2317</v>
      </c>
      <c r="K939" s="27" t="n">
        <v>2440</v>
      </c>
      <c r="L939" s="27" t="n">
        <v>703</v>
      </c>
      <c r="M939" s="28" t="n">
        <f aca="false">IFERROR(VLOOKUP((OFFSET(hoje12_326_ana9,938,10,1,1)&amp;"."&amp;OFFSET(hoje12_326_ana9,938,11,1,1)),'12.326'!A:D,4,0),"-")</f>
        <v>5348350000329</v>
      </c>
    </row>
    <row r="940" customFormat="false" ht="14.4" hidden="false" customHeight="false" outlineLevel="0" collapsed="false">
      <c r="A940" s="27" t="n">
        <v>11100973</v>
      </c>
      <c r="B940" s="27" t="s">
        <v>2313</v>
      </c>
      <c r="C940" s="43" t="n">
        <v>52.71</v>
      </c>
      <c r="D940" s="27" t="n">
        <v>9.3</v>
      </c>
      <c r="E940" s="27" t="n">
        <v>3</v>
      </c>
      <c r="F940" s="27" t="n">
        <v>20.67</v>
      </c>
      <c r="G940" s="27" t="s">
        <v>1875</v>
      </c>
      <c r="H940" s="27" t="s">
        <v>1892</v>
      </c>
      <c r="I940" s="27" t="s">
        <v>1876</v>
      </c>
      <c r="J940" s="27" t="s">
        <v>2335</v>
      </c>
      <c r="K940" s="27" t="n">
        <v>2440</v>
      </c>
      <c r="L940" s="27" t="n">
        <v>703</v>
      </c>
      <c r="M940" s="28" t="n">
        <f aca="false">IFERROR(VLOOKUP((OFFSET(hoje12_326_ana9,939,10,1,1)&amp;"."&amp;OFFSET(hoje12_326_ana9,939,11,1,1)),'12.326'!A:D,4,0),"-")</f>
        <v>5348350000329</v>
      </c>
    </row>
    <row r="941" customFormat="false" ht="14.4" hidden="false" customHeight="false" outlineLevel="0" collapsed="false">
      <c r="A941" s="27" t="n">
        <v>11100970</v>
      </c>
      <c r="B941" s="27" t="s">
        <v>2197</v>
      </c>
      <c r="C941" s="43" t="n">
        <v>63.72</v>
      </c>
      <c r="D941" s="27" t="n">
        <v>7.08</v>
      </c>
      <c r="E941" s="27" t="n">
        <v>6</v>
      </c>
      <c r="F941" s="27" t="n">
        <v>11.8</v>
      </c>
      <c r="G941" s="27" t="s">
        <v>1875</v>
      </c>
      <c r="H941" s="27" t="s">
        <v>1895</v>
      </c>
      <c r="I941" s="27" t="s">
        <v>1876</v>
      </c>
      <c r="J941" s="27" t="s">
        <v>2211</v>
      </c>
      <c r="K941" s="27" t="n">
        <v>2440</v>
      </c>
      <c r="L941" s="27" t="n">
        <v>703</v>
      </c>
      <c r="M941" s="28" t="n">
        <f aca="false">IFERROR(VLOOKUP((OFFSET(hoje12_326_ana9,940,10,1,1)&amp;"."&amp;OFFSET(hoje12_326_ana9,940,11,1,1)),'12.326'!A:D,4,0),"-")</f>
        <v>5348350000329</v>
      </c>
    </row>
    <row r="942" customFormat="false" ht="14.4" hidden="false" customHeight="false" outlineLevel="0" collapsed="false">
      <c r="A942" s="27" t="n">
        <v>11100980</v>
      </c>
      <c r="B942" s="27" t="s">
        <v>2311</v>
      </c>
      <c r="C942" s="43" t="n">
        <v>124.75</v>
      </c>
      <c r="D942" s="27" t="n">
        <v>22.01</v>
      </c>
      <c r="E942" s="27" t="n">
        <v>6</v>
      </c>
      <c r="F942" s="27" t="n">
        <v>24.46</v>
      </c>
      <c r="G942" s="27" t="s">
        <v>1875</v>
      </c>
      <c r="H942" s="27" t="s">
        <v>1892</v>
      </c>
      <c r="I942" s="27" t="s">
        <v>1876</v>
      </c>
      <c r="J942" s="27" t="s">
        <v>2312</v>
      </c>
      <c r="K942" s="27" t="n">
        <v>2440</v>
      </c>
      <c r="L942" s="27" t="n">
        <v>703</v>
      </c>
      <c r="M942" s="28" t="n">
        <f aca="false">IFERROR(VLOOKUP((OFFSET(hoje12_326_ana9,941,10,1,1)&amp;"."&amp;OFFSET(hoje12_326_ana9,941,11,1,1)),'12.326'!A:D,4,0),"-")</f>
        <v>5348350000329</v>
      </c>
    </row>
    <row r="943" customFormat="false" ht="14.4" hidden="false" customHeight="false" outlineLevel="0" collapsed="false">
      <c r="A943" s="27" t="n">
        <v>11100982</v>
      </c>
      <c r="B943" s="27" t="s">
        <v>2325</v>
      </c>
      <c r="C943" s="43" t="n">
        <v>28.25</v>
      </c>
      <c r="D943" s="27" t="n">
        <v>4.99</v>
      </c>
      <c r="E943" s="27" t="n">
        <v>6</v>
      </c>
      <c r="F943" s="27" t="n">
        <v>5.54</v>
      </c>
      <c r="G943" s="27" t="s">
        <v>1875</v>
      </c>
      <c r="H943" s="27" t="s">
        <v>1892</v>
      </c>
      <c r="I943" s="27" t="s">
        <v>1876</v>
      </c>
      <c r="J943" s="27" t="s">
        <v>2326</v>
      </c>
      <c r="K943" s="27" t="n">
        <v>2440</v>
      </c>
      <c r="L943" s="27" t="n">
        <v>703</v>
      </c>
      <c r="M943" s="28" t="n">
        <f aca="false">IFERROR(VLOOKUP((OFFSET(hoje12_326_ana9,942,10,1,1)&amp;"."&amp;OFFSET(hoje12_326_ana9,942,11,1,1)),'12.326'!A:D,4,0),"-")</f>
        <v>5348350000329</v>
      </c>
    </row>
    <row r="944" customFormat="false" ht="14.4" hidden="false" customHeight="false" outlineLevel="0" collapsed="false">
      <c r="A944" s="27" t="n">
        <v>11100984</v>
      </c>
      <c r="B944" s="27" t="s">
        <v>2257</v>
      </c>
      <c r="C944" s="43" t="n">
        <v>67.12</v>
      </c>
      <c r="D944" s="27" t="n">
        <v>11.84</v>
      </c>
      <c r="E944" s="27" t="n">
        <v>6</v>
      </c>
      <c r="F944" s="27" t="n">
        <v>13.16</v>
      </c>
      <c r="G944" s="27" t="s">
        <v>1875</v>
      </c>
      <c r="H944" s="27" t="s">
        <v>1892</v>
      </c>
      <c r="I944" s="27" t="s">
        <v>1876</v>
      </c>
      <c r="J944" s="27" t="s">
        <v>2184</v>
      </c>
      <c r="K944" s="27" t="n">
        <v>2440</v>
      </c>
      <c r="L944" s="27" t="n">
        <v>703</v>
      </c>
      <c r="M944" s="28" t="n">
        <f aca="false">IFERROR(VLOOKUP((OFFSET(hoje12_326_ana9,943,10,1,1)&amp;"."&amp;OFFSET(hoje12_326_ana9,943,11,1,1)),'12.326'!A:D,4,0),"-")</f>
        <v>5348350000329</v>
      </c>
    </row>
    <row r="945" customFormat="false" ht="14.4" hidden="false" customHeight="false" outlineLevel="0" collapsed="false">
      <c r="A945" s="27" t="n">
        <v>11100975</v>
      </c>
      <c r="B945" s="27" t="s">
        <v>2323</v>
      </c>
      <c r="C945" s="43" t="n">
        <v>141.17</v>
      </c>
      <c r="D945" s="27" t="n">
        <v>24.91</v>
      </c>
      <c r="E945" s="27" t="n">
        <v>6</v>
      </c>
      <c r="F945" s="27" t="n">
        <v>27.68</v>
      </c>
      <c r="G945" s="27" t="s">
        <v>1875</v>
      </c>
      <c r="H945" s="27" t="s">
        <v>1892</v>
      </c>
      <c r="I945" s="27" t="s">
        <v>1876</v>
      </c>
      <c r="J945" s="27" t="s">
        <v>2324</v>
      </c>
      <c r="K945" s="27" t="n">
        <v>2440</v>
      </c>
      <c r="L945" s="27" t="n">
        <v>703</v>
      </c>
      <c r="M945" s="28" t="n">
        <f aca="false">IFERROR(VLOOKUP((OFFSET(hoje12_326_ana9,944,10,1,1)&amp;"."&amp;OFFSET(hoje12_326_ana9,944,11,1,1)),'12.326'!A:D,4,0),"-")</f>
        <v>5348350000329</v>
      </c>
    </row>
    <row r="946" customFormat="false" ht="14.4" hidden="false" customHeight="false" outlineLevel="0" collapsed="false">
      <c r="A946" s="27" t="n">
        <v>11100978</v>
      </c>
      <c r="B946" s="27" t="s">
        <v>2255</v>
      </c>
      <c r="C946" s="43" t="n">
        <v>58.85</v>
      </c>
      <c r="D946" s="27" t="n">
        <v>10.39</v>
      </c>
      <c r="E946" s="27" t="n">
        <v>3</v>
      </c>
      <c r="F946" s="27" t="n">
        <v>23.08</v>
      </c>
      <c r="G946" s="27" t="s">
        <v>1875</v>
      </c>
      <c r="H946" s="27" t="s">
        <v>1892</v>
      </c>
      <c r="I946" s="27" t="s">
        <v>1876</v>
      </c>
      <c r="J946" s="27" t="s">
        <v>2336</v>
      </c>
      <c r="K946" s="27" t="n">
        <v>2440</v>
      </c>
      <c r="L946" s="27" t="n">
        <v>703</v>
      </c>
      <c r="M946" s="28" t="n">
        <f aca="false">IFERROR(VLOOKUP((OFFSET(hoje12_326_ana9,945,10,1,1)&amp;"."&amp;OFFSET(hoje12_326_ana9,945,11,1,1)),'12.326'!A:D,4,0),"-")</f>
        <v>5348350000329</v>
      </c>
    </row>
    <row r="947" customFormat="false" ht="14.4" hidden="false" customHeight="false" outlineLevel="0" collapsed="false">
      <c r="A947" s="27" t="n">
        <v>11100959</v>
      </c>
      <c r="B947" s="27" t="s">
        <v>1987</v>
      </c>
      <c r="C947" s="43" t="n">
        <v>30.66</v>
      </c>
      <c r="D947" s="27" t="n">
        <v>0</v>
      </c>
      <c r="E947" s="27" t="n">
        <v>6</v>
      </c>
      <c r="F947" s="27" t="n">
        <v>5.11</v>
      </c>
      <c r="G947" s="27" t="s">
        <v>1875</v>
      </c>
      <c r="H947" s="27" t="s">
        <v>68</v>
      </c>
      <c r="I947" s="27" t="s">
        <v>1876</v>
      </c>
      <c r="J947" s="27" t="s">
        <v>1877</v>
      </c>
      <c r="K947" s="27" t="n">
        <v>2440</v>
      </c>
      <c r="L947" s="27" t="n">
        <v>703</v>
      </c>
      <c r="M947" s="28" t="n">
        <f aca="false">IFERROR(VLOOKUP((OFFSET(hoje12_326_ana9,946,10,1,1)&amp;"."&amp;OFFSET(hoje12_326_ana9,946,11,1,1)),'12.326'!A:D,4,0),"-")</f>
        <v>5348350000329</v>
      </c>
    </row>
    <row r="948" customFormat="false" ht="14.4" hidden="false" customHeight="false" outlineLevel="0" collapsed="false">
      <c r="A948" s="27" t="n">
        <v>11100960</v>
      </c>
      <c r="B948" s="27" t="s">
        <v>2310</v>
      </c>
      <c r="C948" s="43" t="n">
        <v>30.66</v>
      </c>
      <c r="D948" s="27" t="n">
        <v>0</v>
      </c>
      <c r="E948" s="27" t="n">
        <v>6</v>
      </c>
      <c r="F948" s="27" t="n">
        <v>5.11</v>
      </c>
      <c r="G948" s="27" t="s">
        <v>1875</v>
      </c>
      <c r="H948" s="27" t="s">
        <v>68</v>
      </c>
      <c r="I948" s="27" t="s">
        <v>1876</v>
      </c>
      <c r="J948" s="27" t="s">
        <v>1877</v>
      </c>
      <c r="K948" s="27" t="n">
        <v>2440</v>
      </c>
      <c r="L948" s="27" t="n">
        <v>703</v>
      </c>
      <c r="M948" s="28" t="n">
        <f aca="false">IFERROR(VLOOKUP((OFFSET(hoje12_326_ana9,947,10,1,1)&amp;"."&amp;OFFSET(hoje12_326_ana9,947,11,1,1)),'12.326'!A:D,4,0),"-")</f>
        <v>5348350000329</v>
      </c>
    </row>
    <row r="949" customFormat="false" ht="14.4" hidden="false" customHeight="false" outlineLevel="0" collapsed="false">
      <c r="A949" s="27" t="n">
        <v>11101000</v>
      </c>
      <c r="B949" s="27" t="s">
        <v>1886</v>
      </c>
      <c r="C949" s="43" t="n">
        <v>137.95</v>
      </c>
      <c r="D949" s="27" t="n">
        <v>2.81</v>
      </c>
      <c r="E949" s="27" t="n">
        <v>6</v>
      </c>
      <c r="F949" s="27" t="n">
        <v>23.46</v>
      </c>
      <c r="G949" s="27" t="s">
        <v>1875</v>
      </c>
      <c r="H949" s="27" t="s">
        <v>2011</v>
      </c>
      <c r="I949" s="27" t="s">
        <v>1876</v>
      </c>
      <c r="J949" s="27" t="s">
        <v>2328</v>
      </c>
      <c r="K949" s="27" t="n">
        <v>2440</v>
      </c>
      <c r="L949" s="27" t="n">
        <v>703</v>
      </c>
      <c r="M949" s="28" t="n">
        <f aca="false">IFERROR(VLOOKUP((OFFSET(hoje12_326_ana9,948,10,1,1)&amp;"."&amp;OFFSET(hoje12_326_ana9,948,11,1,1)),'12.326'!A:D,4,0),"-")</f>
        <v>5348350000329</v>
      </c>
    </row>
    <row r="950" customFormat="false" ht="14.4" hidden="false" customHeight="false" outlineLevel="0" collapsed="false">
      <c r="A950" s="27" t="n">
        <v>11100069</v>
      </c>
      <c r="B950" s="27" t="s">
        <v>2362</v>
      </c>
      <c r="C950" s="43" t="n">
        <v>72.91</v>
      </c>
      <c r="D950" s="27" t="n">
        <v>1.49</v>
      </c>
      <c r="E950" s="27" t="n">
        <v>12</v>
      </c>
      <c r="F950" s="27" t="n">
        <v>6.2</v>
      </c>
      <c r="G950" s="27" t="s">
        <v>1875</v>
      </c>
      <c r="H950" s="27" t="s">
        <v>2011</v>
      </c>
      <c r="I950" s="27" t="s">
        <v>1876</v>
      </c>
      <c r="J950" s="27" t="s">
        <v>2363</v>
      </c>
      <c r="K950" s="27" t="n">
        <v>2441</v>
      </c>
      <c r="L950" s="27" t="n">
        <v>703</v>
      </c>
      <c r="M950" s="28" t="n">
        <f aca="false">IFERROR(VLOOKUP((OFFSET(hoje12_326_ana9,949,10,1,1)&amp;"."&amp;OFFSET(hoje12_326_ana9,949,11,1,1)),'12.326'!A:D,4,0),"-")</f>
        <v>19222566000196</v>
      </c>
    </row>
    <row r="951" customFormat="false" ht="14.4" hidden="false" customHeight="false" outlineLevel="0" collapsed="false">
      <c r="A951" s="27" t="n">
        <v>11100117</v>
      </c>
      <c r="B951" s="27" t="s">
        <v>2048</v>
      </c>
      <c r="C951" s="43" t="n">
        <v>89.14</v>
      </c>
      <c r="D951" s="27" t="n">
        <v>1.82</v>
      </c>
      <c r="E951" s="27" t="n">
        <v>6</v>
      </c>
      <c r="F951" s="27" t="n">
        <v>15.16</v>
      </c>
      <c r="G951" s="27" t="s">
        <v>1875</v>
      </c>
      <c r="H951" s="27" t="s">
        <v>2011</v>
      </c>
      <c r="I951" s="27" t="s">
        <v>1876</v>
      </c>
      <c r="J951" s="27" t="s">
        <v>2364</v>
      </c>
      <c r="K951" s="27" t="n">
        <v>2441</v>
      </c>
      <c r="L951" s="27" t="n">
        <v>703</v>
      </c>
      <c r="M951" s="28" t="n">
        <f aca="false">IFERROR(VLOOKUP((OFFSET(hoje12_326_ana9,950,10,1,1)&amp;"."&amp;OFFSET(hoje12_326_ana9,950,11,1,1)),'12.326'!A:D,4,0),"-")</f>
        <v>19222566000196</v>
      </c>
    </row>
    <row r="952" customFormat="false" ht="14.4" hidden="false" customHeight="false" outlineLevel="0" collapsed="false">
      <c r="A952" s="27" t="n">
        <v>11100133</v>
      </c>
      <c r="B952" s="27" t="s">
        <v>2365</v>
      </c>
      <c r="C952" s="43" t="n">
        <v>104.51</v>
      </c>
      <c r="D952" s="27" t="n">
        <v>2.13</v>
      </c>
      <c r="E952" s="27" t="n">
        <v>1</v>
      </c>
      <c r="F952" s="27" t="n">
        <v>106.64</v>
      </c>
      <c r="G952" s="27" t="s">
        <v>1875</v>
      </c>
      <c r="H952" s="27" t="s">
        <v>2011</v>
      </c>
      <c r="I952" s="27" t="s">
        <v>1876</v>
      </c>
      <c r="J952" s="27" t="s">
        <v>2366</v>
      </c>
      <c r="K952" s="27" t="n">
        <v>2441</v>
      </c>
      <c r="L952" s="27" t="n">
        <v>703</v>
      </c>
      <c r="M952" s="28" t="n">
        <f aca="false">IFERROR(VLOOKUP((OFFSET(hoje12_326_ana9,951,10,1,1)&amp;"."&amp;OFFSET(hoje12_326_ana9,951,11,1,1)),'12.326'!A:D,4,0),"-")</f>
        <v>19222566000196</v>
      </c>
    </row>
    <row r="953" customFormat="false" ht="14.4" hidden="false" customHeight="false" outlineLevel="0" collapsed="false">
      <c r="A953" s="27" t="n">
        <v>11100214</v>
      </c>
      <c r="B953" s="27" t="s">
        <v>1922</v>
      </c>
      <c r="C953" s="43" t="n">
        <v>46.1</v>
      </c>
      <c r="D953" s="27" t="n">
        <v>0.94</v>
      </c>
      <c r="E953" s="27" t="n">
        <v>12</v>
      </c>
      <c r="F953" s="27" t="n">
        <v>3.92</v>
      </c>
      <c r="G953" s="27" t="s">
        <v>1875</v>
      </c>
      <c r="H953" s="27" t="s">
        <v>2011</v>
      </c>
      <c r="I953" s="27" t="s">
        <v>1876</v>
      </c>
      <c r="J953" s="27" t="s">
        <v>2367</v>
      </c>
      <c r="K953" s="27" t="n">
        <v>2441</v>
      </c>
      <c r="L953" s="27" t="n">
        <v>703</v>
      </c>
      <c r="M953" s="28" t="n">
        <f aca="false">IFERROR(VLOOKUP((OFFSET(hoje12_326_ana9,952,10,1,1)&amp;"."&amp;OFFSET(hoje12_326_ana9,952,11,1,1)),'12.326'!A:D,4,0),"-")</f>
        <v>19222566000196</v>
      </c>
    </row>
    <row r="954" customFormat="false" ht="14.4" hidden="false" customHeight="false" outlineLevel="0" collapsed="false">
      <c r="A954" s="27" t="n">
        <v>11100371</v>
      </c>
      <c r="B954" s="27" t="s">
        <v>2368</v>
      </c>
      <c r="C954" s="43" t="n">
        <v>20.29</v>
      </c>
      <c r="D954" s="27" t="n">
        <v>0.41</v>
      </c>
      <c r="E954" s="27" t="n">
        <v>6</v>
      </c>
      <c r="F954" s="27" t="n">
        <v>3.45</v>
      </c>
      <c r="G954" s="27" t="s">
        <v>1875</v>
      </c>
      <c r="H954" s="27" t="s">
        <v>2011</v>
      </c>
      <c r="I954" s="27" t="s">
        <v>1876</v>
      </c>
      <c r="J954" s="27" t="s">
        <v>2369</v>
      </c>
      <c r="K954" s="27" t="n">
        <v>2441</v>
      </c>
      <c r="L954" s="27" t="n">
        <v>703</v>
      </c>
      <c r="M954" s="28" t="n">
        <f aca="false">IFERROR(VLOOKUP((OFFSET(hoje12_326_ana9,953,10,1,1)&amp;"."&amp;OFFSET(hoje12_326_ana9,953,11,1,1)),'12.326'!A:D,4,0),"-")</f>
        <v>19222566000196</v>
      </c>
    </row>
    <row r="955" customFormat="false" ht="14.4" hidden="false" customHeight="false" outlineLevel="0" collapsed="false">
      <c r="A955" s="27" t="n">
        <v>11100526</v>
      </c>
      <c r="B955" s="27" t="s">
        <v>2370</v>
      </c>
      <c r="C955" s="43" t="n">
        <v>81.97</v>
      </c>
      <c r="D955" s="27" t="n">
        <v>1.67</v>
      </c>
      <c r="E955" s="27" t="n">
        <v>12</v>
      </c>
      <c r="F955" s="27" t="n">
        <v>6.97</v>
      </c>
      <c r="G955" s="27" t="s">
        <v>1875</v>
      </c>
      <c r="H955" s="27" t="s">
        <v>2011</v>
      </c>
      <c r="I955" s="27" t="s">
        <v>1876</v>
      </c>
      <c r="J955" s="27" t="s">
        <v>2371</v>
      </c>
      <c r="K955" s="27" t="n">
        <v>2441</v>
      </c>
      <c r="L955" s="27" t="n">
        <v>703</v>
      </c>
      <c r="M955" s="28" t="n">
        <f aca="false">IFERROR(VLOOKUP((OFFSET(hoje12_326_ana9,954,10,1,1)&amp;"."&amp;OFFSET(hoje12_326_ana9,954,11,1,1)),'12.326'!A:D,4,0),"-")</f>
        <v>19222566000196</v>
      </c>
    </row>
    <row r="956" customFormat="false" ht="14.4" hidden="false" customHeight="false" outlineLevel="0" collapsed="false">
      <c r="A956" s="27" t="n">
        <v>11100901</v>
      </c>
      <c r="B956" s="27" t="s">
        <v>2372</v>
      </c>
      <c r="C956" s="43" t="n">
        <v>37.66</v>
      </c>
      <c r="D956" s="27" t="n">
        <v>0.77</v>
      </c>
      <c r="E956" s="27" t="n">
        <v>1</v>
      </c>
      <c r="F956" s="27" t="n">
        <v>38.43</v>
      </c>
      <c r="G956" s="27" t="s">
        <v>1875</v>
      </c>
      <c r="H956" s="27" t="s">
        <v>2011</v>
      </c>
      <c r="I956" s="27" t="s">
        <v>1876</v>
      </c>
      <c r="J956" s="27" t="s">
        <v>2373</v>
      </c>
      <c r="K956" s="27" t="n">
        <v>2441</v>
      </c>
      <c r="L956" s="27" t="n">
        <v>703</v>
      </c>
      <c r="M956" s="28" t="n">
        <f aca="false">IFERROR(VLOOKUP((OFFSET(hoje12_326_ana9,955,10,1,1)&amp;"."&amp;OFFSET(hoje12_326_ana9,955,11,1,1)),'12.326'!A:D,4,0),"-")</f>
        <v>19222566000196</v>
      </c>
    </row>
    <row r="957" customFormat="false" ht="14.4" hidden="false" customHeight="false" outlineLevel="0" collapsed="false">
      <c r="A957" s="27" t="n">
        <v>11100936</v>
      </c>
      <c r="B957" s="27" t="s">
        <v>2374</v>
      </c>
      <c r="C957" s="43" t="n">
        <v>52.63</v>
      </c>
      <c r="D957" s="27" t="n">
        <v>1.07</v>
      </c>
      <c r="E957" s="27" t="n">
        <v>1</v>
      </c>
      <c r="F957" s="27" t="n">
        <v>53.7</v>
      </c>
      <c r="G957" s="27" t="s">
        <v>1875</v>
      </c>
      <c r="H957" s="27" t="s">
        <v>2011</v>
      </c>
      <c r="I957" s="27" t="s">
        <v>1876</v>
      </c>
      <c r="J957" s="27" t="s">
        <v>2375</v>
      </c>
      <c r="K957" s="27" t="n">
        <v>2441</v>
      </c>
      <c r="L957" s="27" t="n">
        <v>703</v>
      </c>
      <c r="M957" s="28" t="n">
        <f aca="false">IFERROR(VLOOKUP((OFFSET(hoje12_326_ana9,956,10,1,1)&amp;"."&amp;OFFSET(hoje12_326_ana9,956,11,1,1)),'12.326'!A:D,4,0),"-")</f>
        <v>19222566000196</v>
      </c>
    </row>
    <row r="958" customFormat="false" ht="14.4" hidden="false" customHeight="false" outlineLevel="0" collapsed="false">
      <c r="A958" s="27" t="n">
        <v>11100968</v>
      </c>
      <c r="B958" s="27" t="s">
        <v>2125</v>
      </c>
      <c r="C958" s="43" t="n">
        <v>9.29</v>
      </c>
      <c r="D958" s="27" t="n">
        <v>0.19</v>
      </c>
      <c r="E958" s="27" t="n">
        <v>1</v>
      </c>
      <c r="F958" s="27" t="n">
        <v>9.48</v>
      </c>
      <c r="G958" s="27" t="s">
        <v>1875</v>
      </c>
      <c r="H958" s="27" t="s">
        <v>2011</v>
      </c>
      <c r="I958" s="27" t="s">
        <v>1876</v>
      </c>
      <c r="J958" s="27" t="s">
        <v>2376</v>
      </c>
      <c r="K958" s="27" t="n">
        <v>2441</v>
      </c>
      <c r="L958" s="27" t="n">
        <v>703</v>
      </c>
      <c r="M958" s="28" t="n">
        <f aca="false">IFERROR(VLOOKUP((OFFSET(hoje12_326_ana9,957,10,1,1)&amp;"."&amp;OFFSET(hoje12_326_ana9,957,11,1,1)),'12.326'!A:D,4,0),"-")</f>
        <v>19222566000196</v>
      </c>
    </row>
    <row r="959" customFormat="false" ht="14.4" hidden="false" customHeight="false" outlineLevel="0" collapsed="false">
      <c r="A959" s="27" t="n">
        <v>11101000</v>
      </c>
      <c r="B959" s="27" t="s">
        <v>1886</v>
      </c>
      <c r="C959" s="43" t="n">
        <v>68.97</v>
      </c>
      <c r="D959" s="27" t="n">
        <v>0</v>
      </c>
      <c r="E959" s="27" t="n">
        <v>3</v>
      </c>
      <c r="F959" s="27" t="n">
        <v>22.99</v>
      </c>
      <c r="G959" s="27" t="s">
        <v>1875</v>
      </c>
      <c r="H959" s="27" t="s">
        <v>68</v>
      </c>
      <c r="I959" s="27" t="s">
        <v>1876</v>
      </c>
      <c r="J959" s="27" t="s">
        <v>1877</v>
      </c>
      <c r="K959" s="27" t="n">
        <v>703001</v>
      </c>
      <c r="L959" s="27" t="n">
        <v>703</v>
      </c>
      <c r="M959" s="28" t="n">
        <f aca="false">IFERROR(VLOOKUP((OFFSET(hoje12_326_ana9,958,10,1,1)&amp;"."&amp;OFFSET(hoje12_326_ana9,958,11,1,1)),'12.326'!A:D,4,0),"-")</f>
        <v>1274396000632</v>
      </c>
    </row>
    <row r="960" customFormat="false" ht="14.4" hidden="false" customHeight="false" outlineLevel="0" collapsed="false">
      <c r="A960" s="27" t="n">
        <v>11100998</v>
      </c>
      <c r="B960" s="27" t="s">
        <v>1887</v>
      </c>
      <c r="C960" s="43" t="n">
        <v>45.03</v>
      </c>
      <c r="D960" s="27" t="n">
        <v>0</v>
      </c>
      <c r="E960" s="27" t="n">
        <v>3</v>
      </c>
      <c r="F960" s="27" t="n">
        <v>15.01</v>
      </c>
      <c r="G960" s="27" t="s">
        <v>1875</v>
      </c>
      <c r="H960" s="27" t="s">
        <v>68</v>
      </c>
      <c r="I960" s="27" t="s">
        <v>1876</v>
      </c>
      <c r="J960" s="27" t="s">
        <v>1877</v>
      </c>
      <c r="K960" s="27" t="n">
        <v>703001</v>
      </c>
      <c r="L960" s="27" t="n">
        <v>703</v>
      </c>
      <c r="M960" s="28" t="n">
        <f aca="false">IFERROR(VLOOKUP((OFFSET(hoje12_326_ana9,959,10,1,1)&amp;"."&amp;OFFSET(hoje12_326_ana9,959,11,1,1)),'12.326'!A:D,4,0),"-")</f>
        <v>1274396000632</v>
      </c>
    </row>
    <row r="961" customFormat="false" ht="14.4" hidden="false" customHeight="false" outlineLevel="0" collapsed="false">
      <c r="A961" s="27" t="n">
        <v>11101004</v>
      </c>
      <c r="B961" s="27" t="s">
        <v>1888</v>
      </c>
      <c r="C961" s="43" t="n">
        <v>32.28</v>
      </c>
      <c r="D961" s="27" t="n">
        <v>0</v>
      </c>
      <c r="E961" s="27" t="n">
        <v>3</v>
      </c>
      <c r="F961" s="27" t="n">
        <v>10.76</v>
      </c>
      <c r="G961" s="27" t="s">
        <v>1875</v>
      </c>
      <c r="H961" s="27" t="s">
        <v>68</v>
      </c>
      <c r="I961" s="27" t="s">
        <v>1876</v>
      </c>
      <c r="J961" s="27" t="s">
        <v>1877</v>
      </c>
      <c r="K961" s="27" t="n">
        <v>703001</v>
      </c>
      <c r="L961" s="27" t="n">
        <v>703</v>
      </c>
      <c r="M961" s="28" t="n">
        <f aca="false">IFERROR(VLOOKUP((OFFSET(hoje12_326_ana9,960,10,1,1)&amp;"."&amp;OFFSET(hoje12_326_ana9,960,11,1,1)),'12.326'!A:D,4,0),"-")</f>
        <v>1274396000632</v>
      </c>
    </row>
    <row r="962" customFormat="false" ht="14.4" hidden="false" customHeight="false" outlineLevel="0" collapsed="false">
      <c r="A962" s="27" t="n">
        <v>11101003</v>
      </c>
      <c r="B962" s="27" t="s">
        <v>1889</v>
      </c>
      <c r="C962" s="43" t="n">
        <v>32.28</v>
      </c>
      <c r="D962" s="27" t="n">
        <v>0</v>
      </c>
      <c r="E962" s="27" t="n">
        <v>3</v>
      </c>
      <c r="F962" s="27" t="n">
        <v>10.76</v>
      </c>
      <c r="G962" s="27" t="s">
        <v>1875</v>
      </c>
      <c r="H962" s="27" t="s">
        <v>68</v>
      </c>
      <c r="I962" s="27" t="s">
        <v>1876</v>
      </c>
      <c r="J962" s="27" t="s">
        <v>1877</v>
      </c>
      <c r="K962" s="27" t="n">
        <v>703001</v>
      </c>
      <c r="L962" s="27" t="n">
        <v>703</v>
      </c>
      <c r="M962" s="28" t="n">
        <f aca="false">IFERROR(VLOOKUP((OFFSET(hoje12_326_ana9,961,10,1,1)&amp;"."&amp;OFFSET(hoje12_326_ana9,961,11,1,1)),'12.326'!A:D,4,0),"-")</f>
        <v>1274396000632</v>
      </c>
    </row>
    <row r="963" customFormat="false" ht="14.4" hidden="false" customHeight="false" outlineLevel="0" collapsed="false">
      <c r="A963" s="27" t="n">
        <v>11101000</v>
      </c>
      <c r="B963" s="27" t="s">
        <v>1886</v>
      </c>
      <c r="C963" s="43" t="n">
        <v>68.97</v>
      </c>
      <c r="D963" s="27" t="n">
        <v>0</v>
      </c>
      <c r="E963" s="27" t="n">
        <v>3</v>
      </c>
      <c r="F963" s="27" t="n">
        <v>22.99</v>
      </c>
      <c r="G963" s="27" t="s">
        <v>1875</v>
      </c>
      <c r="H963" s="27" t="s">
        <v>68</v>
      </c>
      <c r="I963" s="27" t="s">
        <v>1876</v>
      </c>
      <c r="J963" s="27" t="s">
        <v>1877</v>
      </c>
      <c r="K963" s="27" t="n">
        <v>703002</v>
      </c>
      <c r="L963" s="27" t="n">
        <v>703</v>
      </c>
      <c r="M963" s="28" t="n">
        <f aca="false">IFERROR(VLOOKUP((OFFSET(hoje12_326_ana9,962,10,1,1)&amp;"."&amp;OFFSET(hoje12_326_ana9,962,11,1,1)),'12.326'!A:D,4,0),"-")</f>
        <v>1274396000985</v>
      </c>
    </row>
    <row r="964" customFormat="false" ht="14.4" hidden="false" customHeight="false" outlineLevel="0" collapsed="false">
      <c r="A964" s="27" t="n">
        <v>11100998</v>
      </c>
      <c r="B964" s="27" t="s">
        <v>1887</v>
      </c>
      <c r="C964" s="43" t="n">
        <v>45.03</v>
      </c>
      <c r="D964" s="27" t="n">
        <v>0</v>
      </c>
      <c r="E964" s="27" t="n">
        <v>3</v>
      </c>
      <c r="F964" s="27" t="n">
        <v>15.01</v>
      </c>
      <c r="G964" s="27" t="s">
        <v>1875</v>
      </c>
      <c r="H964" s="27" t="s">
        <v>68</v>
      </c>
      <c r="I964" s="27" t="s">
        <v>1876</v>
      </c>
      <c r="J964" s="27" t="s">
        <v>1877</v>
      </c>
      <c r="K964" s="27" t="n">
        <v>703002</v>
      </c>
      <c r="L964" s="27" t="n">
        <v>703</v>
      </c>
      <c r="M964" s="28" t="n">
        <f aca="false">IFERROR(VLOOKUP((OFFSET(hoje12_326_ana9,963,10,1,1)&amp;"."&amp;OFFSET(hoje12_326_ana9,963,11,1,1)),'12.326'!A:D,4,0),"-")</f>
        <v>1274396000985</v>
      </c>
    </row>
    <row r="965" customFormat="false" ht="14.4" hidden="false" customHeight="false" outlineLevel="0" collapsed="false">
      <c r="A965" s="27" t="n">
        <v>11101004</v>
      </c>
      <c r="B965" s="27" t="s">
        <v>1888</v>
      </c>
      <c r="C965" s="43" t="n">
        <v>32.28</v>
      </c>
      <c r="D965" s="27" t="n">
        <v>0</v>
      </c>
      <c r="E965" s="27" t="n">
        <v>3</v>
      </c>
      <c r="F965" s="27" t="n">
        <v>10.76</v>
      </c>
      <c r="G965" s="27" t="s">
        <v>1875</v>
      </c>
      <c r="H965" s="27" t="s">
        <v>68</v>
      </c>
      <c r="I965" s="27" t="s">
        <v>1876</v>
      </c>
      <c r="J965" s="27" t="s">
        <v>1877</v>
      </c>
      <c r="K965" s="27" t="n">
        <v>703002</v>
      </c>
      <c r="L965" s="27" t="n">
        <v>703</v>
      </c>
      <c r="M965" s="28" t="n">
        <f aca="false">IFERROR(VLOOKUP((OFFSET(hoje12_326_ana9,964,10,1,1)&amp;"."&amp;OFFSET(hoje12_326_ana9,964,11,1,1)),'12.326'!A:D,4,0),"-")</f>
        <v>1274396000985</v>
      </c>
    </row>
    <row r="966" customFormat="false" ht="14.4" hidden="false" customHeight="false" outlineLevel="0" collapsed="false">
      <c r="A966" s="27" t="n">
        <v>11101003</v>
      </c>
      <c r="B966" s="27" t="s">
        <v>1889</v>
      </c>
      <c r="C966" s="43" t="n">
        <v>32.28</v>
      </c>
      <c r="D966" s="27" t="n">
        <v>0</v>
      </c>
      <c r="E966" s="27" t="n">
        <v>3</v>
      </c>
      <c r="F966" s="27" t="n">
        <v>10.76</v>
      </c>
      <c r="G966" s="27" t="s">
        <v>1875</v>
      </c>
      <c r="H966" s="27" t="s">
        <v>68</v>
      </c>
      <c r="I966" s="27" t="s">
        <v>1876</v>
      </c>
      <c r="J966" s="27" t="s">
        <v>1877</v>
      </c>
      <c r="K966" s="27" t="n">
        <v>703002</v>
      </c>
      <c r="L966" s="27" t="n">
        <v>703</v>
      </c>
      <c r="M966" s="28" t="n">
        <f aca="false">IFERROR(VLOOKUP((OFFSET(hoje12_326_ana9,965,10,1,1)&amp;"."&amp;OFFSET(hoje12_326_ana9,965,11,1,1)),'12.326'!A:D,4,0),"-")</f>
        <v>1274396000985</v>
      </c>
    </row>
    <row r="967" customFormat="false" ht="14.4" hidden="false" customHeight="false" outlineLevel="0" collapsed="false">
      <c r="A967" s="27" t="n">
        <v>11101000</v>
      </c>
      <c r="B967" s="27" t="s">
        <v>1886</v>
      </c>
      <c r="C967" s="43" t="n">
        <v>68.97</v>
      </c>
      <c r="D967" s="27" t="n">
        <v>0</v>
      </c>
      <c r="E967" s="27" t="n">
        <v>3</v>
      </c>
      <c r="F967" s="27" t="n">
        <v>22.99</v>
      </c>
      <c r="G967" s="27" t="s">
        <v>1875</v>
      </c>
      <c r="H967" s="27" t="s">
        <v>68</v>
      </c>
      <c r="I967" s="27" t="s">
        <v>1876</v>
      </c>
      <c r="J967" s="27" t="s">
        <v>1877</v>
      </c>
      <c r="K967" s="27" t="n">
        <v>703003</v>
      </c>
      <c r="L967" s="27" t="n">
        <v>703</v>
      </c>
      <c r="M967" s="28" t="n">
        <f aca="false">IFERROR(VLOOKUP((OFFSET(hoje12_326_ana9,966,10,1,1)&amp;"."&amp;OFFSET(hoje12_326_ana9,966,11,1,1)),'12.326'!A:D,4,0),"-")</f>
        <v>1274396001019</v>
      </c>
    </row>
    <row r="968" customFormat="false" ht="14.4" hidden="false" customHeight="false" outlineLevel="0" collapsed="false">
      <c r="A968" s="27" t="n">
        <v>11100998</v>
      </c>
      <c r="B968" s="27" t="s">
        <v>1887</v>
      </c>
      <c r="C968" s="43" t="n">
        <v>45.03</v>
      </c>
      <c r="D968" s="27" t="n">
        <v>0</v>
      </c>
      <c r="E968" s="27" t="n">
        <v>3</v>
      </c>
      <c r="F968" s="27" t="n">
        <v>15.01</v>
      </c>
      <c r="G968" s="27" t="s">
        <v>1875</v>
      </c>
      <c r="H968" s="27" t="s">
        <v>68</v>
      </c>
      <c r="I968" s="27" t="s">
        <v>1876</v>
      </c>
      <c r="J968" s="27" t="s">
        <v>1877</v>
      </c>
      <c r="K968" s="27" t="n">
        <v>703003</v>
      </c>
      <c r="L968" s="27" t="n">
        <v>703</v>
      </c>
      <c r="M968" s="28" t="n">
        <f aca="false">IFERROR(VLOOKUP((OFFSET(hoje12_326_ana9,967,10,1,1)&amp;"."&amp;OFFSET(hoje12_326_ana9,967,11,1,1)),'12.326'!A:D,4,0),"-")</f>
        <v>1274396001019</v>
      </c>
    </row>
    <row r="969" customFormat="false" ht="14.4" hidden="false" customHeight="false" outlineLevel="0" collapsed="false">
      <c r="A969" s="27" t="n">
        <v>11101004</v>
      </c>
      <c r="B969" s="27" t="s">
        <v>1888</v>
      </c>
      <c r="C969" s="43" t="n">
        <v>32.28</v>
      </c>
      <c r="D969" s="27" t="n">
        <v>0</v>
      </c>
      <c r="E969" s="27" t="n">
        <v>3</v>
      </c>
      <c r="F969" s="27" t="n">
        <v>10.76</v>
      </c>
      <c r="G969" s="27" t="s">
        <v>1875</v>
      </c>
      <c r="H969" s="27" t="s">
        <v>68</v>
      </c>
      <c r="I969" s="27" t="s">
        <v>1876</v>
      </c>
      <c r="J969" s="27" t="s">
        <v>1877</v>
      </c>
      <c r="K969" s="27" t="n">
        <v>703003</v>
      </c>
      <c r="L969" s="27" t="n">
        <v>703</v>
      </c>
      <c r="M969" s="28" t="n">
        <f aca="false">IFERROR(VLOOKUP((OFFSET(hoje12_326_ana9,968,10,1,1)&amp;"."&amp;OFFSET(hoje12_326_ana9,968,11,1,1)),'12.326'!A:D,4,0),"-")</f>
        <v>1274396001019</v>
      </c>
    </row>
    <row r="970" customFormat="false" ht="14.4" hidden="false" customHeight="false" outlineLevel="0" collapsed="false">
      <c r="A970" s="27" t="n">
        <v>11101003</v>
      </c>
      <c r="B970" s="27" t="s">
        <v>1889</v>
      </c>
      <c r="C970" s="43" t="n">
        <v>32.28</v>
      </c>
      <c r="D970" s="27" t="n">
        <v>0</v>
      </c>
      <c r="E970" s="27" t="n">
        <v>3</v>
      </c>
      <c r="F970" s="27" t="n">
        <v>10.76</v>
      </c>
      <c r="G970" s="27" t="s">
        <v>1875</v>
      </c>
      <c r="H970" s="27" t="s">
        <v>68</v>
      </c>
      <c r="I970" s="27" t="s">
        <v>1876</v>
      </c>
      <c r="J970" s="27" t="s">
        <v>1877</v>
      </c>
      <c r="K970" s="27" t="n">
        <v>703003</v>
      </c>
      <c r="L970" s="27" t="n">
        <v>703</v>
      </c>
      <c r="M970" s="28" t="n">
        <f aca="false">IFERROR(VLOOKUP((OFFSET(hoje12_326_ana9,969,10,1,1)&amp;"."&amp;OFFSET(hoje12_326_ana9,969,11,1,1)),'12.326'!A:D,4,0),"-")</f>
        <v>1274396001019</v>
      </c>
    </row>
    <row r="971" customFormat="false" ht="14.4" hidden="false" customHeight="false" outlineLevel="0" collapsed="false">
      <c r="A971" s="27" t="n">
        <v>11101000</v>
      </c>
      <c r="B971" s="27" t="s">
        <v>1886</v>
      </c>
      <c r="C971" s="43" t="n">
        <v>70.89</v>
      </c>
      <c r="D971" s="27" t="n">
        <v>0</v>
      </c>
      <c r="E971" s="27" t="n">
        <v>3</v>
      </c>
      <c r="F971" s="27" t="n">
        <v>23.63</v>
      </c>
      <c r="G971" s="27" t="s">
        <v>1875</v>
      </c>
      <c r="H971" s="27" t="s">
        <v>68</v>
      </c>
      <c r="I971" s="27" t="s">
        <v>1876</v>
      </c>
      <c r="J971" s="27" t="s">
        <v>1877</v>
      </c>
      <c r="K971" s="27" t="n">
        <v>703004</v>
      </c>
      <c r="L971" s="27" t="n">
        <v>703</v>
      </c>
      <c r="M971" s="28" t="n">
        <f aca="false">IFERROR(VLOOKUP((OFFSET(hoje12_326_ana9,970,10,1,1)&amp;"."&amp;OFFSET(hoje12_326_ana9,970,11,1,1)),'12.326'!A:D,4,0),"-")</f>
        <v>1547436000168</v>
      </c>
    </row>
    <row r="972" customFormat="false" ht="14.4" hidden="false" customHeight="false" outlineLevel="0" collapsed="false">
      <c r="A972" s="27" t="n">
        <v>11100998</v>
      </c>
      <c r="B972" s="27" t="s">
        <v>1887</v>
      </c>
      <c r="C972" s="43" t="n">
        <v>46.29</v>
      </c>
      <c r="D972" s="27" t="n">
        <v>0</v>
      </c>
      <c r="E972" s="27" t="n">
        <v>3</v>
      </c>
      <c r="F972" s="27" t="n">
        <v>15.43</v>
      </c>
      <c r="G972" s="27" t="s">
        <v>1875</v>
      </c>
      <c r="H972" s="27" t="s">
        <v>68</v>
      </c>
      <c r="I972" s="27" t="s">
        <v>1876</v>
      </c>
      <c r="J972" s="27" t="s">
        <v>1877</v>
      </c>
      <c r="K972" s="27" t="n">
        <v>703004</v>
      </c>
      <c r="L972" s="27" t="n">
        <v>703</v>
      </c>
      <c r="M972" s="28" t="n">
        <f aca="false">IFERROR(VLOOKUP((OFFSET(hoje12_326_ana9,971,10,1,1)&amp;"."&amp;OFFSET(hoje12_326_ana9,971,11,1,1)),'12.326'!A:D,4,0),"-")</f>
        <v>1547436000168</v>
      </c>
    </row>
    <row r="973" customFormat="false" ht="14.4" hidden="false" customHeight="false" outlineLevel="0" collapsed="false">
      <c r="A973" s="27" t="n">
        <v>11101004</v>
      </c>
      <c r="B973" s="27" t="s">
        <v>1888</v>
      </c>
      <c r="C973" s="43" t="n">
        <v>33.18</v>
      </c>
      <c r="D973" s="27" t="n">
        <v>0</v>
      </c>
      <c r="E973" s="27" t="n">
        <v>3</v>
      </c>
      <c r="F973" s="27" t="n">
        <v>11.06</v>
      </c>
      <c r="G973" s="27" t="s">
        <v>1875</v>
      </c>
      <c r="H973" s="27" t="s">
        <v>68</v>
      </c>
      <c r="I973" s="27" t="s">
        <v>1876</v>
      </c>
      <c r="J973" s="27" t="s">
        <v>1877</v>
      </c>
      <c r="K973" s="27" t="n">
        <v>703004</v>
      </c>
      <c r="L973" s="27" t="n">
        <v>703</v>
      </c>
      <c r="M973" s="28" t="n">
        <f aca="false">IFERROR(VLOOKUP((OFFSET(hoje12_326_ana9,972,10,1,1)&amp;"."&amp;OFFSET(hoje12_326_ana9,972,11,1,1)),'12.326'!A:D,4,0),"-")</f>
        <v>1547436000168</v>
      </c>
    </row>
    <row r="974" customFormat="false" ht="14.4" hidden="false" customHeight="false" outlineLevel="0" collapsed="false">
      <c r="A974" s="27" t="n">
        <v>11101003</v>
      </c>
      <c r="B974" s="27" t="s">
        <v>1889</v>
      </c>
      <c r="C974" s="43" t="n">
        <v>33.18</v>
      </c>
      <c r="D974" s="27" t="n">
        <v>0</v>
      </c>
      <c r="E974" s="27" t="n">
        <v>3</v>
      </c>
      <c r="F974" s="27" t="n">
        <v>11.06</v>
      </c>
      <c r="G974" s="27" t="s">
        <v>1875</v>
      </c>
      <c r="H974" s="27" t="s">
        <v>68</v>
      </c>
      <c r="I974" s="27" t="s">
        <v>1876</v>
      </c>
      <c r="J974" s="27" t="s">
        <v>1877</v>
      </c>
      <c r="K974" s="27" t="n">
        <v>703004</v>
      </c>
      <c r="L974" s="27" t="n">
        <v>703</v>
      </c>
      <c r="M974" s="28" t="n">
        <f aca="false">IFERROR(VLOOKUP((OFFSET(hoje12_326_ana9,973,10,1,1)&amp;"."&amp;OFFSET(hoje12_326_ana9,973,11,1,1)),'12.326'!A:D,4,0),"-")</f>
        <v>1547436000168</v>
      </c>
    </row>
    <row r="975" customFormat="false" ht="14.4" hidden="false" customHeight="false" outlineLevel="0" collapsed="false">
      <c r="A975" s="27" t="n">
        <v>11101000</v>
      </c>
      <c r="B975" s="27" t="s">
        <v>1886</v>
      </c>
      <c r="C975" s="43" t="n">
        <v>68.97</v>
      </c>
      <c r="D975" s="27" t="n">
        <v>0</v>
      </c>
      <c r="E975" s="27" t="n">
        <v>3</v>
      </c>
      <c r="F975" s="27" t="n">
        <v>22.99</v>
      </c>
      <c r="G975" s="27" t="s">
        <v>1875</v>
      </c>
      <c r="H975" s="27" t="s">
        <v>68</v>
      </c>
      <c r="I975" s="27" t="s">
        <v>1876</v>
      </c>
      <c r="J975" s="27" t="s">
        <v>1877</v>
      </c>
      <c r="K975" s="27" t="n">
        <v>704001</v>
      </c>
      <c r="L975" s="27" t="n">
        <v>704</v>
      </c>
      <c r="M975" s="28" t="n">
        <f aca="false">IFERROR(VLOOKUP((OFFSET(hoje12_326_ana9,974,10,1,1)&amp;"."&amp;OFFSET(hoje12_326_ana9,974,11,1,1)),'12.326'!A:D,4,0),"-")</f>
        <v>5027616000170</v>
      </c>
    </row>
    <row r="976" customFormat="false" ht="14.4" hidden="false" customHeight="false" outlineLevel="0" collapsed="false">
      <c r="A976" s="27" t="n">
        <v>11100998</v>
      </c>
      <c r="B976" s="27" t="s">
        <v>1887</v>
      </c>
      <c r="C976" s="43" t="n">
        <v>45.03</v>
      </c>
      <c r="D976" s="27" t="n">
        <v>0</v>
      </c>
      <c r="E976" s="27" t="n">
        <v>3</v>
      </c>
      <c r="F976" s="27" t="n">
        <v>15.01</v>
      </c>
      <c r="G976" s="27" t="s">
        <v>1875</v>
      </c>
      <c r="H976" s="27" t="s">
        <v>68</v>
      </c>
      <c r="I976" s="27" t="s">
        <v>1876</v>
      </c>
      <c r="J976" s="27" t="s">
        <v>1877</v>
      </c>
      <c r="K976" s="27" t="n">
        <v>704001</v>
      </c>
      <c r="L976" s="27" t="n">
        <v>704</v>
      </c>
      <c r="M976" s="28" t="n">
        <f aca="false">IFERROR(VLOOKUP((OFFSET(hoje12_326_ana9,975,10,1,1)&amp;"."&amp;OFFSET(hoje12_326_ana9,975,11,1,1)),'12.326'!A:D,4,0),"-")</f>
        <v>5027616000170</v>
      </c>
    </row>
    <row r="977" customFormat="false" ht="14.4" hidden="false" customHeight="false" outlineLevel="0" collapsed="false">
      <c r="A977" s="27" t="n">
        <v>11101004</v>
      </c>
      <c r="B977" s="27" t="s">
        <v>1888</v>
      </c>
      <c r="C977" s="43" t="n">
        <v>32.28</v>
      </c>
      <c r="D977" s="27" t="n">
        <v>0</v>
      </c>
      <c r="E977" s="27" t="n">
        <v>3</v>
      </c>
      <c r="F977" s="27" t="n">
        <v>10.76</v>
      </c>
      <c r="G977" s="27" t="s">
        <v>1875</v>
      </c>
      <c r="H977" s="27" t="s">
        <v>68</v>
      </c>
      <c r="I977" s="27" t="s">
        <v>1876</v>
      </c>
      <c r="J977" s="27" t="s">
        <v>1877</v>
      </c>
      <c r="K977" s="27" t="n">
        <v>704001</v>
      </c>
      <c r="L977" s="27" t="n">
        <v>704</v>
      </c>
      <c r="M977" s="28" t="n">
        <f aca="false">IFERROR(VLOOKUP((OFFSET(hoje12_326_ana9,976,10,1,1)&amp;"."&amp;OFFSET(hoje12_326_ana9,976,11,1,1)),'12.326'!A:D,4,0),"-")</f>
        <v>5027616000170</v>
      </c>
    </row>
    <row r="978" customFormat="false" ht="14.4" hidden="false" customHeight="false" outlineLevel="0" collapsed="false">
      <c r="A978" s="27" t="n">
        <v>11101003</v>
      </c>
      <c r="B978" s="27" t="s">
        <v>1889</v>
      </c>
      <c r="C978" s="43" t="n">
        <v>32.28</v>
      </c>
      <c r="D978" s="27" t="n">
        <v>0</v>
      </c>
      <c r="E978" s="27" t="n">
        <v>3</v>
      </c>
      <c r="F978" s="27" t="n">
        <v>10.76</v>
      </c>
      <c r="G978" s="27" t="s">
        <v>1875</v>
      </c>
      <c r="H978" s="27" t="s">
        <v>68</v>
      </c>
      <c r="I978" s="27" t="s">
        <v>1876</v>
      </c>
      <c r="J978" s="27" t="s">
        <v>1877</v>
      </c>
      <c r="K978" s="27" t="n">
        <v>704001</v>
      </c>
      <c r="L978" s="27" t="n">
        <v>704</v>
      </c>
      <c r="M978" s="28" t="n">
        <f aca="false">IFERROR(VLOOKUP((OFFSET(hoje12_326_ana9,977,10,1,1)&amp;"."&amp;OFFSET(hoje12_326_ana9,977,11,1,1)),'12.326'!A:D,4,0),"-")</f>
        <v>5027616000170</v>
      </c>
    </row>
    <row r="979" customFormat="false" ht="14.4" hidden="false" customHeight="false" outlineLevel="0" collapsed="false">
      <c r="A979" s="27" t="n">
        <v>11100065</v>
      </c>
      <c r="B979" s="27" t="s">
        <v>2207</v>
      </c>
      <c r="C979" s="43" t="n">
        <v>2021.76</v>
      </c>
      <c r="D979" s="27" t="n">
        <v>0</v>
      </c>
      <c r="E979" s="27" t="n">
        <v>192</v>
      </c>
      <c r="F979" s="27" t="n">
        <v>10.53</v>
      </c>
      <c r="G979" s="27" t="s">
        <v>1875</v>
      </c>
      <c r="H979" s="27" t="s">
        <v>68</v>
      </c>
      <c r="I979" s="27" t="s">
        <v>1876</v>
      </c>
      <c r="J979" s="27" t="s">
        <v>1877</v>
      </c>
      <c r="K979" s="27" t="n">
        <v>2745</v>
      </c>
      <c r="L979" s="27" t="n">
        <v>704</v>
      </c>
      <c r="M979" s="28" t="n">
        <f aca="false">IFERROR(VLOOKUP((OFFSET(hoje12_326_ana9,978,10,1,1)&amp;"."&amp;OFFSET(hoje12_326_ana9,978,11,1,1)),'12.326'!A:D,4,0),"-")</f>
        <v>6813685001496</v>
      </c>
    </row>
    <row r="980" customFormat="false" ht="14.4" hidden="false" customHeight="false" outlineLevel="0" collapsed="false">
      <c r="A980" s="27" t="n">
        <v>11100070</v>
      </c>
      <c r="B980" s="27" t="s">
        <v>2208</v>
      </c>
      <c r="C980" s="43" t="n">
        <v>1516.32</v>
      </c>
      <c r="D980" s="27" t="n">
        <v>0</v>
      </c>
      <c r="E980" s="27" t="n">
        <v>144</v>
      </c>
      <c r="F980" s="27" t="n">
        <v>10.53</v>
      </c>
      <c r="G980" s="27" t="s">
        <v>1875</v>
      </c>
      <c r="H980" s="27" t="s">
        <v>68</v>
      </c>
      <c r="I980" s="27" t="s">
        <v>1876</v>
      </c>
      <c r="J980" s="27" t="s">
        <v>1877</v>
      </c>
      <c r="K980" s="27" t="n">
        <v>2745</v>
      </c>
      <c r="L980" s="27" t="n">
        <v>704</v>
      </c>
      <c r="M980" s="28" t="n">
        <f aca="false">IFERROR(VLOOKUP((OFFSET(hoje12_326_ana9,979,10,1,1)&amp;"."&amp;OFFSET(hoje12_326_ana9,979,11,1,1)),'12.326'!A:D,4,0),"-")</f>
        <v>6813685001496</v>
      </c>
    </row>
    <row r="981" customFormat="false" ht="14.4" hidden="false" customHeight="false" outlineLevel="0" collapsed="false">
      <c r="A981" s="27" t="n">
        <v>11100091</v>
      </c>
      <c r="B981" s="27" t="s">
        <v>1910</v>
      </c>
      <c r="C981" s="43" t="n">
        <v>3974.4</v>
      </c>
      <c r="D981" s="27" t="n">
        <v>0</v>
      </c>
      <c r="E981" s="27" t="n">
        <v>864</v>
      </c>
      <c r="F981" s="27" t="n">
        <v>4.6</v>
      </c>
      <c r="G981" s="27" t="s">
        <v>1875</v>
      </c>
      <c r="H981" s="27" t="s">
        <v>68</v>
      </c>
      <c r="I981" s="27" t="s">
        <v>1876</v>
      </c>
      <c r="J981" s="27" t="s">
        <v>1877</v>
      </c>
      <c r="K981" s="27" t="n">
        <v>2745</v>
      </c>
      <c r="L981" s="27" t="n">
        <v>704</v>
      </c>
      <c r="M981" s="28" t="n">
        <f aca="false">IFERROR(VLOOKUP((OFFSET(hoje12_326_ana9,980,10,1,1)&amp;"."&amp;OFFSET(hoje12_326_ana9,980,11,1,1)),'12.326'!A:D,4,0),"-")</f>
        <v>6813685001496</v>
      </c>
    </row>
    <row r="982" customFormat="false" ht="14.4" hidden="false" customHeight="false" outlineLevel="0" collapsed="false">
      <c r="A982" s="27" t="n">
        <v>11100092</v>
      </c>
      <c r="B982" s="27" t="s">
        <v>2333</v>
      </c>
      <c r="C982" s="43" t="n">
        <v>5136.77</v>
      </c>
      <c r="D982" s="27" t="n">
        <v>1.87</v>
      </c>
      <c r="E982" s="27" t="n">
        <v>936</v>
      </c>
      <c r="F982" s="27" t="n">
        <v>5.49</v>
      </c>
      <c r="G982" s="27" t="s">
        <v>1875</v>
      </c>
      <c r="H982" s="27" t="s">
        <v>2377</v>
      </c>
      <c r="I982" s="27" t="s">
        <v>1876</v>
      </c>
      <c r="J982" s="27" t="s">
        <v>2378</v>
      </c>
      <c r="K982" s="27" t="n">
        <v>2745</v>
      </c>
      <c r="L982" s="27" t="n">
        <v>704</v>
      </c>
      <c r="M982" s="28" t="n">
        <f aca="false">IFERROR(VLOOKUP((OFFSET(hoje12_326_ana9,981,10,1,1)&amp;"."&amp;OFFSET(hoje12_326_ana9,981,11,1,1)),'12.326'!A:D,4,0),"-")</f>
        <v>6813685001496</v>
      </c>
    </row>
    <row r="983" customFormat="false" ht="14.4" hidden="false" customHeight="false" outlineLevel="0" collapsed="false">
      <c r="A983" s="27" t="n">
        <v>11100093</v>
      </c>
      <c r="B983" s="27" t="s">
        <v>1911</v>
      </c>
      <c r="C983" s="43" t="n">
        <v>4989.6</v>
      </c>
      <c r="D983" s="27" t="n">
        <v>0</v>
      </c>
      <c r="E983" s="27" t="n">
        <v>648</v>
      </c>
      <c r="F983" s="27" t="n">
        <v>7.7</v>
      </c>
      <c r="G983" s="27" t="s">
        <v>1875</v>
      </c>
      <c r="H983" s="27" t="s">
        <v>68</v>
      </c>
      <c r="I983" s="27" t="s">
        <v>1876</v>
      </c>
      <c r="J983" s="27" t="s">
        <v>1877</v>
      </c>
      <c r="K983" s="27" t="n">
        <v>2745</v>
      </c>
      <c r="L983" s="27" t="n">
        <v>704</v>
      </c>
      <c r="M983" s="28" t="n">
        <f aca="false">IFERROR(VLOOKUP((OFFSET(hoje12_326_ana9,982,10,1,1)&amp;"."&amp;OFFSET(hoje12_326_ana9,982,11,1,1)),'12.326'!A:D,4,0),"-")</f>
        <v>6813685001496</v>
      </c>
    </row>
    <row r="984" customFormat="false" ht="14.4" hidden="false" customHeight="false" outlineLevel="0" collapsed="false">
      <c r="A984" s="27" t="n">
        <v>11100137</v>
      </c>
      <c r="B984" s="27" t="s">
        <v>1914</v>
      </c>
      <c r="C984" s="43" t="n">
        <v>3636</v>
      </c>
      <c r="D984" s="27" t="n">
        <v>0</v>
      </c>
      <c r="E984" s="27" t="n">
        <v>720</v>
      </c>
      <c r="F984" s="27" t="n">
        <v>5.05</v>
      </c>
      <c r="G984" s="27" t="s">
        <v>1875</v>
      </c>
      <c r="H984" s="27" t="s">
        <v>68</v>
      </c>
      <c r="I984" s="27" t="s">
        <v>1876</v>
      </c>
      <c r="J984" s="27" t="s">
        <v>1877</v>
      </c>
      <c r="K984" s="27" t="n">
        <v>2745</v>
      </c>
      <c r="L984" s="27" t="n">
        <v>704</v>
      </c>
      <c r="M984" s="28" t="n">
        <f aca="false">IFERROR(VLOOKUP((OFFSET(hoje12_326_ana9,983,10,1,1)&amp;"."&amp;OFFSET(hoje12_326_ana9,983,11,1,1)),'12.326'!A:D,4,0),"-")</f>
        <v>6813685001496</v>
      </c>
    </row>
    <row r="985" customFormat="false" ht="14.4" hidden="false" customHeight="false" outlineLevel="0" collapsed="false">
      <c r="A985" s="27" t="n">
        <v>11100138</v>
      </c>
      <c r="B985" s="27" t="s">
        <v>2035</v>
      </c>
      <c r="C985" s="43" t="n">
        <v>6955.2</v>
      </c>
      <c r="D985" s="27" t="n">
        <v>0</v>
      </c>
      <c r="E985" s="27" t="n">
        <v>864</v>
      </c>
      <c r="F985" s="27" t="n">
        <v>8.05</v>
      </c>
      <c r="G985" s="27" t="s">
        <v>1875</v>
      </c>
      <c r="H985" s="27" t="s">
        <v>68</v>
      </c>
      <c r="I985" s="27" t="s">
        <v>1876</v>
      </c>
      <c r="J985" s="27" t="s">
        <v>1877</v>
      </c>
      <c r="K985" s="27" t="n">
        <v>2745</v>
      </c>
      <c r="L985" s="27" t="n">
        <v>704</v>
      </c>
      <c r="M985" s="28" t="n">
        <f aca="false">IFERROR(VLOOKUP((OFFSET(hoje12_326_ana9,984,10,1,1)&amp;"."&amp;OFFSET(hoje12_326_ana9,984,11,1,1)),'12.326'!A:D,4,0),"-")</f>
        <v>6813685001496</v>
      </c>
    </row>
    <row r="986" customFormat="false" ht="14.4" hidden="false" customHeight="false" outlineLevel="0" collapsed="false">
      <c r="A986" s="27" t="n">
        <v>11100143</v>
      </c>
      <c r="B986" s="27" t="s">
        <v>2277</v>
      </c>
      <c r="C986" s="43" t="n">
        <v>8974.08</v>
      </c>
      <c r="D986" s="27" t="n">
        <v>0</v>
      </c>
      <c r="E986" s="27" t="n">
        <v>1152</v>
      </c>
      <c r="F986" s="27" t="n">
        <v>7.79</v>
      </c>
      <c r="G986" s="27" t="s">
        <v>1875</v>
      </c>
      <c r="H986" s="27" t="s">
        <v>68</v>
      </c>
      <c r="I986" s="27" t="s">
        <v>1876</v>
      </c>
      <c r="J986" s="27" t="s">
        <v>1877</v>
      </c>
      <c r="K986" s="27" t="n">
        <v>2745</v>
      </c>
      <c r="L986" s="27" t="n">
        <v>704</v>
      </c>
      <c r="M986" s="28" t="n">
        <f aca="false">IFERROR(VLOOKUP((OFFSET(hoje12_326_ana9,985,10,1,1)&amp;"."&amp;OFFSET(hoje12_326_ana9,985,11,1,1)),'12.326'!A:D,4,0),"-")</f>
        <v>6813685001496</v>
      </c>
    </row>
    <row r="987" customFormat="false" ht="14.4" hidden="false" customHeight="false" outlineLevel="0" collapsed="false">
      <c r="A987" s="27" t="n">
        <v>11100145</v>
      </c>
      <c r="B987" s="27" t="s">
        <v>1915</v>
      </c>
      <c r="C987" s="43" t="n">
        <v>3636</v>
      </c>
      <c r="D987" s="27" t="n">
        <v>0</v>
      </c>
      <c r="E987" s="27" t="n">
        <v>720</v>
      </c>
      <c r="F987" s="27" t="n">
        <v>5.05</v>
      </c>
      <c r="G987" s="27" t="s">
        <v>1875</v>
      </c>
      <c r="H987" s="27" t="s">
        <v>68</v>
      </c>
      <c r="I987" s="27" t="s">
        <v>1876</v>
      </c>
      <c r="J987" s="27" t="s">
        <v>1877</v>
      </c>
      <c r="K987" s="27" t="n">
        <v>2745</v>
      </c>
      <c r="L987" s="27" t="n">
        <v>704</v>
      </c>
      <c r="M987" s="28" t="n">
        <f aca="false">IFERROR(VLOOKUP((OFFSET(hoje12_326_ana9,986,10,1,1)&amp;"."&amp;OFFSET(hoje12_326_ana9,986,11,1,1)),'12.326'!A:D,4,0),"-")</f>
        <v>6813685001496</v>
      </c>
    </row>
    <row r="988" customFormat="false" ht="14.4" hidden="false" customHeight="false" outlineLevel="0" collapsed="false">
      <c r="A988" s="27" t="n">
        <v>11100146</v>
      </c>
      <c r="B988" s="27" t="s">
        <v>1907</v>
      </c>
      <c r="C988" s="43" t="n">
        <v>3114</v>
      </c>
      <c r="D988" s="27" t="n">
        <v>0</v>
      </c>
      <c r="E988" s="27" t="n">
        <v>360</v>
      </c>
      <c r="F988" s="27" t="n">
        <v>8.65</v>
      </c>
      <c r="G988" s="27" t="s">
        <v>1875</v>
      </c>
      <c r="H988" s="27" t="s">
        <v>68</v>
      </c>
      <c r="I988" s="27" t="s">
        <v>1876</v>
      </c>
      <c r="J988" s="27" t="s">
        <v>1877</v>
      </c>
      <c r="K988" s="27" t="n">
        <v>2745</v>
      </c>
      <c r="L988" s="27" t="n">
        <v>704</v>
      </c>
      <c r="M988" s="28" t="n">
        <f aca="false">IFERROR(VLOOKUP((OFFSET(hoje12_326_ana9,987,10,1,1)&amp;"."&amp;OFFSET(hoje12_326_ana9,987,11,1,1)),'12.326'!A:D,4,0),"-")</f>
        <v>6813685001496</v>
      </c>
    </row>
    <row r="989" customFormat="false" ht="14.4" hidden="false" customHeight="false" outlineLevel="0" collapsed="false">
      <c r="A989" s="27" t="n">
        <v>11100148</v>
      </c>
      <c r="B989" s="27" t="s">
        <v>1916</v>
      </c>
      <c r="C989" s="43" t="n">
        <v>1504.8</v>
      </c>
      <c r="D989" s="27" t="n">
        <v>0</v>
      </c>
      <c r="E989" s="27" t="n">
        <v>144</v>
      </c>
      <c r="F989" s="27" t="n">
        <v>10.45</v>
      </c>
      <c r="G989" s="27" t="s">
        <v>1875</v>
      </c>
      <c r="H989" s="27" t="s">
        <v>68</v>
      </c>
      <c r="I989" s="27" t="s">
        <v>1876</v>
      </c>
      <c r="J989" s="27" t="s">
        <v>1877</v>
      </c>
      <c r="K989" s="27" t="n">
        <v>2745</v>
      </c>
      <c r="L989" s="27" t="n">
        <v>704</v>
      </c>
      <c r="M989" s="28" t="n">
        <f aca="false">IFERROR(VLOOKUP((OFFSET(hoje12_326_ana9,988,10,1,1)&amp;"."&amp;OFFSET(hoje12_326_ana9,988,11,1,1)),'12.326'!A:D,4,0),"-")</f>
        <v>6813685001496</v>
      </c>
    </row>
    <row r="990" customFormat="false" ht="14.4" hidden="false" customHeight="false" outlineLevel="0" collapsed="false">
      <c r="A990" s="27" t="n">
        <v>11100177</v>
      </c>
      <c r="B990" s="27" t="s">
        <v>2379</v>
      </c>
      <c r="C990" s="43" t="n">
        <v>491.57</v>
      </c>
      <c r="D990" s="27" t="n">
        <v>10.03</v>
      </c>
      <c r="E990" s="27" t="n">
        <v>48</v>
      </c>
      <c r="F990" s="27" t="n">
        <v>10.45</v>
      </c>
      <c r="G990" s="27" t="s">
        <v>1875</v>
      </c>
      <c r="H990" s="27" t="s">
        <v>2011</v>
      </c>
      <c r="I990" s="27" t="s">
        <v>1876</v>
      </c>
      <c r="J990" s="27" t="s">
        <v>2380</v>
      </c>
      <c r="K990" s="27" t="n">
        <v>2745</v>
      </c>
      <c r="L990" s="27" t="n">
        <v>704</v>
      </c>
      <c r="M990" s="28" t="n">
        <f aca="false">IFERROR(VLOOKUP((OFFSET(hoje12_326_ana9,989,10,1,1)&amp;"."&amp;OFFSET(hoje12_326_ana9,989,11,1,1)),'12.326'!A:D,4,0),"-")</f>
        <v>6813685001496</v>
      </c>
    </row>
    <row r="991" customFormat="false" ht="14.4" hidden="false" customHeight="false" outlineLevel="0" collapsed="false">
      <c r="A991" s="27" t="n">
        <v>11100215</v>
      </c>
      <c r="B991" s="27" t="s">
        <v>2381</v>
      </c>
      <c r="C991" s="43" t="n">
        <v>1422</v>
      </c>
      <c r="D991" s="27" t="n">
        <v>0</v>
      </c>
      <c r="E991" s="27" t="n">
        <v>360</v>
      </c>
      <c r="F991" s="27" t="n">
        <v>3.95</v>
      </c>
      <c r="G991" s="27" t="s">
        <v>1875</v>
      </c>
      <c r="H991" s="27" t="s">
        <v>68</v>
      </c>
      <c r="I991" s="27" t="s">
        <v>1876</v>
      </c>
      <c r="J991" s="27" t="s">
        <v>1877</v>
      </c>
      <c r="K991" s="27" t="n">
        <v>2745</v>
      </c>
      <c r="L991" s="27" t="n">
        <v>704</v>
      </c>
      <c r="M991" s="28" t="n">
        <f aca="false">IFERROR(VLOOKUP((OFFSET(hoje12_326_ana9,990,10,1,1)&amp;"."&amp;OFFSET(hoje12_326_ana9,990,11,1,1)),'12.326'!A:D,4,0),"-")</f>
        <v>6813685001496</v>
      </c>
    </row>
    <row r="992" customFormat="false" ht="14.4" hidden="false" customHeight="false" outlineLevel="0" collapsed="false">
      <c r="A992" s="27" t="n">
        <v>11100238</v>
      </c>
      <c r="B992" s="27" t="s">
        <v>2006</v>
      </c>
      <c r="C992" s="43" t="n">
        <v>3970.08</v>
      </c>
      <c r="D992" s="27" t="n">
        <v>393.12</v>
      </c>
      <c r="E992" s="27" t="n">
        <v>1440</v>
      </c>
      <c r="F992" s="27" t="n">
        <v>3.03</v>
      </c>
      <c r="G992" s="27" t="s">
        <v>1875</v>
      </c>
      <c r="H992" s="27" t="s">
        <v>2007</v>
      </c>
      <c r="I992" s="27" t="s">
        <v>1876</v>
      </c>
      <c r="J992" s="27" t="s">
        <v>2382</v>
      </c>
      <c r="K992" s="27" t="n">
        <v>2745</v>
      </c>
      <c r="L992" s="27" t="n">
        <v>704</v>
      </c>
      <c r="M992" s="28" t="n">
        <f aca="false">IFERROR(VLOOKUP((OFFSET(hoje12_326_ana9,991,10,1,1)&amp;"."&amp;OFFSET(hoje12_326_ana9,991,11,1,1)),'12.326'!A:D,4,0),"-")</f>
        <v>6813685001496</v>
      </c>
    </row>
    <row r="993" customFormat="false" ht="14.4" hidden="false" customHeight="false" outlineLevel="0" collapsed="false">
      <c r="A993" s="27" t="n">
        <v>11100239</v>
      </c>
      <c r="B993" s="27" t="s">
        <v>1924</v>
      </c>
      <c r="C993" s="43" t="n">
        <v>3896.64</v>
      </c>
      <c r="D993" s="27" t="n">
        <v>0</v>
      </c>
      <c r="E993" s="27" t="n">
        <v>864</v>
      </c>
      <c r="F993" s="27" t="n">
        <v>4.51</v>
      </c>
      <c r="G993" s="27" t="s">
        <v>1875</v>
      </c>
      <c r="H993" s="27" t="s">
        <v>68</v>
      </c>
      <c r="I993" s="27" t="s">
        <v>1876</v>
      </c>
      <c r="J993" s="27" t="s">
        <v>1877</v>
      </c>
      <c r="K993" s="27" t="n">
        <v>2745</v>
      </c>
      <c r="L993" s="27" t="n">
        <v>704</v>
      </c>
      <c r="M993" s="28" t="n">
        <f aca="false">IFERROR(VLOOKUP((OFFSET(hoje12_326_ana9,992,10,1,1)&amp;"."&amp;OFFSET(hoje12_326_ana9,992,11,1,1)),'12.326'!A:D,4,0),"-")</f>
        <v>6813685001496</v>
      </c>
    </row>
    <row r="994" customFormat="false" ht="14.4" hidden="false" customHeight="false" outlineLevel="0" collapsed="false">
      <c r="A994" s="27" t="n">
        <v>11100254</v>
      </c>
      <c r="B994" s="27" t="s">
        <v>1925</v>
      </c>
      <c r="C994" s="43" t="n">
        <v>373.14</v>
      </c>
      <c r="D994" s="27" t="n">
        <v>41.46</v>
      </c>
      <c r="E994" s="27" t="n">
        <v>60</v>
      </c>
      <c r="F994" s="27" t="n">
        <v>6.91</v>
      </c>
      <c r="G994" s="27" t="s">
        <v>1875</v>
      </c>
      <c r="H994" s="27" t="s">
        <v>1895</v>
      </c>
      <c r="I994" s="27" t="s">
        <v>1876</v>
      </c>
      <c r="J994" s="27" t="s">
        <v>2383</v>
      </c>
      <c r="K994" s="27" t="n">
        <v>2745</v>
      </c>
      <c r="L994" s="27" t="n">
        <v>704</v>
      </c>
      <c r="M994" s="28" t="n">
        <f aca="false">IFERROR(VLOOKUP((OFFSET(hoje12_326_ana9,993,10,1,1)&amp;"."&amp;OFFSET(hoje12_326_ana9,993,11,1,1)),'12.326'!A:D,4,0),"-")</f>
        <v>6813685001496</v>
      </c>
    </row>
    <row r="995" customFormat="false" ht="14.4" hidden="false" customHeight="false" outlineLevel="0" collapsed="false">
      <c r="A995" s="27" t="n">
        <v>11100256</v>
      </c>
      <c r="B995" s="27" t="s">
        <v>1928</v>
      </c>
      <c r="C995" s="43" t="n">
        <v>1007.48</v>
      </c>
      <c r="D995" s="27" t="n">
        <v>111.94</v>
      </c>
      <c r="E995" s="27" t="n">
        <v>162</v>
      </c>
      <c r="F995" s="27" t="n">
        <v>6.91</v>
      </c>
      <c r="G995" s="27" t="s">
        <v>1875</v>
      </c>
      <c r="H995" s="27" t="s">
        <v>1895</v>
      </c>
      <c r="I995" s="27" t="s">
        <v>1876</v>
      </c>
      <c r="J995" s="27" t="s">
        <v>2384</v>
      </c>
      <c r="K995" s="27" t="n">
        <v>2745</v>
      </c>
      <c r="L995" s="27" t="n">
        <v>704</v>
      </c>
      <c r="M995" s="28" t="n">
        <f aca="false">IFERROR(VLOOKUP((OFFSET(hoje12_326_ana9,994,10,1,1)&amp;"."&amp;OFFSET(hoje12_326_ana9,994,11,1,1)),'12.326'!A:D,4,0),"-")</f>
        <v>6813685001496</v>
      </c>
    </row>
    <row r="996" customFormat="false" ht="14.4" hidden="false" customHeight="false" outlineLevel="0" collapsed="false">
      <c r="A996" s="27" t="n">
        <v>11100257</v>
      </c>
      <c r="B996" s="27" t="s">
        <v>2385</v>
      </c>
      <c r="C996" s="43" t="n">
        <v>128.63</v>
      </c>
      <c r="D996" s="27" t="n">
        <v>14.29</v>
      </c>
      <c r="E996" s="27" t="n">
        <v>18</v>
      </c>
      <c r="F996" s="27" t="n">
        <v>7.94</v>
      </c>
      <c r="G996" s="27" t="s">
        <v>1875</v>
      </c>
      <c r="H996" s="27" t="s">
        <v>1895</v>
      </c>
      <c r="I996" s="27" t="s">
        <v>1876</v>
      </c>
      <c r="J996" s="27" t="s">
        <v>2297</v>
      </c>
      <c r="K996" s="27" t="n">
        <v>2745</v>
      </c>
      <c r="L996" s="27" t="n">
        <v>704</v>
      </c>
      <c r="M996" s="28" t="n">
        <f aca="false">IFERROR(VLOOKUP((OFFSET(hoje12_326_ana9,995,10,1,1)&amp;"."&amp;OFFSET(hoje12_326_ana9,995,11,1,1)),'12.326'!A:D,4,0),"-")</f>
        <v>6813685001496</v>
      </c>
    </row>
    <row r="997" customFormat="false" ht="14.4" hidden="false" customHeight="false" outlineLevel="0" collapsed="false">
      <c r="A997" s="27" t="n">
        <v>11100273</v>
      </c>
      <c r="B997" s="27" t="s">
        <v>2386</v>
      </c>
      <c r="C997" s="43" t="n">
        <v>385.88</v>
      </c>
      <c r="D997" s="27" t="n">
        <v>42.88</v>
      </c>
      <c r="E997" s="27" t="n">
        <v>54</v>
      </c>
      <c r="F997" s="27" t="n">
        <v>7.94</v>
      </c>
      <c r="G997" s="27" t="s">
        <v>1875</v>
      </c>
      <c r="H997" s="27" t="s">
        <v>1895</v>
      </c>
      <c r="I997" s="27" t="s">
        <v>1876</v>
      </c>
      <c r="J997" s="27" t="s">
        <v>2387</v>
      </c>
      <c r="K997" s="27" t="n">
        <v>2745</v>
      </c>
      <c r="L997" s="27" t="n">
        <v>704</v>
      </c>
      <c r="M997" s="28" t="n">
        <f aca="false">IFERROR(VLOOKUP((OFFSET(hoje12_326_ana9,996,10,1,1)&amp;"."&amp;OFFSET(hoje12_326_ana9,996,11,1,1)),'12.326'!A:D,4,0),"-")</f>
        <v>6813685001496</v>
      </c>
    </row>
    <row r="998" customFormat="false" ht="14.4" hidden="false" customHeight="false" outlineLevel="0" collapsed="false">
      <c r="A998" s="27" t="n">
        <v>11100282</v>
      </c>
      <c r="B998" s="27" t="s">
        <v>2102</v>
      </c>
      <c r="C998" s="43" t="n">
        <v>257.26</v>
      </c>
      <c r="D998" s="27" t="n">
        <v>28.58</v>
      </c>
      <c r="E998" s="27" t="n">
        <v>36</v>
      </c>
      <c r="F998" s="27" t="n">
        <v>7.94</v>
      </c>
      <c r="G998" s="27" t="s">
        <v>1875</v>
      </c>
      <c r="H998" s="27" t="s">
        <v>1895</v>
      </c>
      <c r="I998" s="27" t="s">
        <v>1876</v>
      </c>
      <c r="J998" s="27" t="s">
        <v>2388</v>
      </c>
      <c r="K998" s="27" t="n">
        <v>2745</v>
      </c>
      <c r="L998" s="27" t="n">
        <v>704</v>
      </c>
      <c r="M998" s="28" t="n">
        <f aca="false">IFERROR(VLOOKUP((OFFSET(hoje12_326_ana9,997,10,1,1)&amp;"."&amp;OFFSET(hoje12_326_ana9,997,11,1,1)),'12.326'!A:D,4,0),"-")</f>
        <v>6813685001496</v>
      </c>
    </row>
    <row r="999" customFormat="false" ht="14.4" hidden="false" customHeight="false" outlineLevel="0" collapsed="false">
      <c r="A999" s="27" t="n">
        <v>11100421</v>
      </c>
      <c r="B999" s="27" t="s">
        <v>1945</v>
      </c>
      <c r="C999" s="43" t="n">
        <v>885.12</v>
      </c>
      <c r="D999" s="27" t="n">
        <v>0</v>
      </c>
      <c r="E999" s="27" t="n">
        <v>96</v>
      </c>
      <c r="F999" s="27" t="n">
        <v>9.22</v>
      </c>
      <c r="G999" s="27" t="s">
        <v>1875</v>
      </c>
      <c r="H999" s="27" t="s">
        <v>68</v>
      </c>
      <c r="I999" s="27" t="s">
        <v>1876</v>
      </c>
      <c r="J999" s="27" t="s">
        <v>1877</v>
      </c>
      <c r="K999" s="27" t="n">
        <v>2745</v>
      </c>
      <c r="L999" s="27" t="n">
        <v>704</v>
      </c>
      <c r="M999" s="28" t="n">
        <f aca="false">IFERROR(VLOOKUP((OFFSET(hoje12_326_ana9,998,10,1,1)&amp;"."&amp;OFFSET(hoje12_326_ana9,998,11,1,1)),'12.326'!A:D,4,0),"-")</f>
        <v>6813685001496</v>
      </c>
    </row>
    <row r="1000" customFormat="false" ht="14.4" hidden="false" customHeight="false" outlineLevel="0" collapsed="false">
      <c r="A1000" s="27" t="n">
        <v>11100422</v>
      </c>
      <c r="B1000" s="27" t="s">
        <v>2389</v>
      </c>
      <c r="C1000" s="43" t="n">
        <v>663.84</v>
      </c>
      <c r="D1000" s="27" t="n">
        <v>0</v>
      </c>
      <c r="E1000" s="27" t="n">
        <v>72</v>
      </c>
      <c r="F1000" s="27" t="n">
        <v>9.22</v>
      </c>
      <c r="G1000" s="27" t="s">
        <v>1875</v>
      </c>
      <c r="H1000" s="27" t="s">
        <v>68</v>
      </c>
      <c r="I1000" s="27" t="s">
        <v>1876</v>
      </c>
      <c r="J1000" s="27" t="s">
        <v>1877</v>
      </c>
      <c r="K1000" s="27" t="n">
        <v>2745</v>
      </c>
      <c r="L1000" s="27" t="n">
        <v>704</v>
      </c>
      <c r="M1000" s="28" t="n">
        <f aca="false">IFERROR(VLOOKUP((OFFSET(hoje12_326_ana9,999,10,1,1)&amp;"."&amp;OFFSET(hoje12_326_ana9,999,11,1,1)),'12.326'!A:D,4,0),"-")</f>
        <v>6813685001496</v>
      </c>
    </row>
    <row r="1001" customFormat="false" ht="14.4" hidden="false" customHeight="false" outlineLevel="0" collapsed="false">
      <c r="A1001" s="27" t="n">
        <v>11100445</v>
      </c>
      <c r="B1001" s="27" t="s">
        <v>2085</v>
      </c>
      <c r="C1001" s="43" t="n">
        <v>1114.56</v>
      </c>
      <c r="D1001" s="27" t="n">
        <v>0</v>
      </c>
      <c r="E1001" s="27" t="n">
        <v>96</v>
      </c>
      <c r="F1001" s="27" t="n">
        <v>11.61</v>
      </c>
      <c r="G1001" s="27" t="s">
        <v>1875</v>
      </c>
      <c r="H1001" s="27" t="s">
        <v>68</v>
      </c>
      <c r="I1001" s="27" t="s">
        <v>1876</v>
      </c>
      <c r="J1001" s="27" t="s">
        <v>1877</v>
      </c>
      <c r="K1001" s="27" t="n">
        <v>2745</v>
      </c>
      <c r="L1001" s="27" t="n">
        <v>704</v>
      </c>
      <c r="M1001" s="28" t="n">
        <f aca="false">IFERROR(VLOOKUP((OFFSET(hoje12_326_ana9,1000,10,1,1)&amp;"."&amp;OFFSET(hoje12_326_ana9,1000,11,1,1)),'12.326'!A:D,4,0),"-")</f>
        <v>6813685001496</v>
      </c>
    </row>
    <row r="1002" customFormat="false" ht="14.4" hidden="false" customHeight="false" outlineLevel="0" collapsed="false">
      <c r="A1002" s="27" t="n">
        <v>11100464</v>
      </c>
      <c r="B1002" s="27" t="s">
        <v>1946</v>
      </c>
      <c r="C1002" s="43" t="n">
        <v>1735.2</v>
      </c>
      <c r="D1002" s="27" t="n">
        <v>0</v>
      </c>
      <c r="E1002" s="27" t="n">
        <v>360</v>
      </c>
      <c r="F1002" s="27" t="n">
        <v>4.82</v>
      </c>
      <c r="G1002" s="27" t="s">
        <v>1875</v>
      </c>
      <c r="H1002" s="27" t="s">
        <v>68</v>
      </c>
      <c r="I1002" s="27" t="s">
        <v>1876</v>
      </c>
      <c r="J1002" s="27" t="s">
        <v>1877</v>
      </c>
      <c r="K1002" s="27" t="n">
        <v>2745</v>
      </c>
      <c r="L1002" s="27" t="n">
        <v>704</v>
      </c>
      <c r="M1002" s="28" t="n">
        <f aca="false">IFERROR(VLOOKUP((OFFSET(hoje12_326_ana9,1001,10,1,1)&amp;"."&amp;OFFSET(hoje12_326_ana9,1001,11,1,1)),'12.326'!A:D,4,0),"-")</f>
        <v>6813685001496</v>
      </c>
    </row>
    <row r="1003" customFormat="false" ht="14.4" hidden="false" customHeight="false" outlineLevel="0" collapsed="false">
      <c r="A1003" s="27" t="n">
        <v>11100477</v>
      </c>
      <c r="B1003" s="27" t="s">
        <v>1950</v>
      </c>
      <c r="C1003" s="43" t="n">
        <v>1615.68</v>
      </c>
      <c r="D1003" s="27" t="n">
        <v>0</v>
      </c>
      <c r="E1003" s="27" t="n">
        <v>216</v>
      </c>
      <c r="F1003" s="27" t="n">
        <v>7.48</v>
      </c>
      <c r="G1003" s="27" t="s">
        <v>1875</v>
      </c>
      <c r="H1003" s="27" t="s">
        <v>68</v>
      </c>
      <c r="I1003" s="27" t="s">
        <v>1876</v>
      </c>
      <c r="J1003" s="27" t="s">
        <v>1877</v>
      </c>
      <c r="K1003" s="27" t="n">
        <v>2745</v>
      </c>
      <c r="L1003" s="27" t="n">
        <v>704</v>
      </c>
      <c r="M1003" s="28" t="n">
        <f aca="false">IFERROR(VLOOKUP((OFFSET(hoje12_326_ana9,1002,10,1,1)&amp;"."&amp;OFFSET(hoje12_326_ana9,1002,11,1,1)),'12.326'!A:D,4,0),"-")</f>
        <v>6813685001496</v>
      </c>
    </row>
    <row r="1004" customFormat="false" ht="14.4" hidden="false" customHeight="false" outlineLevel="0" collapsed="false">
      <c r="A1004" s="27" t="n">
        <v>11100478</v>
      </c>
      <c r="B1004" s="27" t="s">
        <v>2233</v>
      </c>
      <c r="C1004" s="43" t="n">
        <v>1077.12</v>
      </c>
      <c r="D1004" s="27" t="n">
        <v>0</v>
      </c>
      <c r="E1004" s="27" t="n">
        <v>144</v>
      </c>
      <c r="F1004" s="27" t="n">
        <v>7.48</v>
      </c>
      <c r="G1004" s="27" t="s">
        <v>1875</v>
      </c>
      <c r="H1004" s="27" t="s">
        <v>68</v>
      </c>
      <c r="I1004" s="27" t="s">
        <v>1876</v>
      </c>
      <c r="J1004" s="27" t="s">
        <v>1877</v>
      </c>
      <c r="K1004" s="27" t="n">
        <v>2745</v>
      </c>
      <c r="L1004" s="27" t="n">
        <v>704</v>
      </c>
      <c r="M1004" s="28" t="n">
        <f aca="false">IFERROR(VLOOKUP((OFFSET(hoje12_326_ana9,1003,10,1,1)&amp;"."&amp;OFFSET(hoje12_326_ana9,1003,11,1,1)),'12.326'!A:D,4,0),"-")</f>
        <v>6813685001496</v>
      </c>
    </row>
    <row r="1005" customFormat="false" ht="14.4" hidden="false" customHeight="false" outlineLevel="0" collapsed="false">
      <c r="A1005" s="27" t="n">
        <v>11100491</v>
      </c>
      <c r="B1005" s="27" t="s">
        <v>2390</v>
      </c>
      <c r="C1005" s="43" t="n">
        <v>189.36</v>
      </c>
      <c r="D1005" s="27" t="n">
        <v>21.04</v>
      </c>
      <c r="E1005" s="27" t="n">
        <v>16</v>
      </c>
      <c r="F1005" s="27" t="n">
        <v>13.15</v>
      </c>
      <c r="G1005" s="27" t="s">
        <v>1875</v>
      </c>
      <c r="H1005" s="27" t="s">
        <v>1895</v>
      </c>
      <c r="I1005" s="27" t="s">
        <v>1876</v>
      </c>
      <c r="J1005" s="27" t="s">
        <v>2391</v>
      </c>
      <c r="K1005" s="27" t="n">
        <v>2745</v>
      </c>
      <c r="L1005" s="27" t="n">
        <v>704</v>
      </c>
      <c r="M1005" s="28" t="n">
        <f aca="false">IFERROR(VLOOKUP((OFFSET(hoje12_326_ana9,1004,10,1,1)&amp;"."&amp;OFFSET(hoje12_326_ana9,1004,11,1,1)),'12.326'!A:D,4,0),"-")</f>
        <v>6813685001496</v>
      </c>
    </row>
    <row r="1006" customFormat="false" ht="14.4" hidden="false" customHeight="false" outlineLevel="0" collapsed="false">
      <c r="A1006" s="27" t="n">
        <v>11100542</v>
      </c>
      <c r="B1006" s="27" t="s">
        <v>2113</v>
      </c>
      <c r="C1006" s="43" t="n">
        <v>980.28</v>
      </c>
      <c r="D1006" s="27" t="n">
        <v>0</v>
      </c>
      <c r="E1006" s="27" t="n">
        <v>84</v>
      </c>
      <c r="F1006" s="27" t="n">
        <v>11.67</v>
      </c>
      <c r="G1006" s="27" t="s">
        <v>1875</v>
      </c>
      <c r="H1006" s="27" t="s">
        <v>68</v>
      </c>
      <c r="I1006" s="27" t="s">
        <v>1876</v>
      </c>
      <c r="J1006" s="27" t="s">
        <v>1877</v>
      </c>
      <c r="K1006" s="27" t="n">
        <v>2745</v>
      </c>
      <c r="L1006" s="27" t="n">
        <v>704</v>
      </c>
      <c r="M1006" s="28" t="n">
        <f aca="false">IFERROR(VLOOKUP((OFFSET(hoje12_326_ana9,1005,10,1,1)&amp;"."&amp;OFFSET(hoje12_326_ana9,1005,11,1,1)),'12.326'!A:D,4,0),"-")</f>
        <v>6813685001496</v>
      </c>
    </row>
    <row r="1007" customFormat="false" ht="14.4" hidden="false" customHeight="false" outlineLevel="0" collapsed="false">
      <c r="A1007" s="27" t="n">
        <v>11100543</v>
      </c>
      <c r="B1007" s="27" t="s">
        <v>2115</v>
      </c>
      <c r="C1007" s="43" t="n">
        <v>617.4</v>
      </c>
      <c r="D1007" s="27" t="n">
        <v>0</v>
      </c>
      <c r="E1007" s="27" t="n">
        <v>36</v>
      </c>
      <c r="F1007" s="27" t="n">
        <v>17.15</v>
      </c>
      <c r="G1007" s="27" t="s">
        <v>1875</v>
      </c>
      <c r="H1007" s="27" t="s">
        <v>68</v>
      </c>
      <c r="I1007" s="27" t="s">
        <v>1876</v>
      </c>
      <c r="J1007" s="27" t="s">
        <v>1877</v>
      </c>
      <c r="K1007" s="27" t="n">
        <v>2745</v>
      </c>
      <c r="L1007" s="27" t="n">
        <v>704</v>
      </c>
      <c r="M1007" s="28" t="n">
        <f aca="false">IFERROR(VLOOKUP((OFFSET(hoje12_326_ana9,1006,10,1,1)&amp;"."&amp;OFFSET(hoje12_326_ana9,1006,11,1,1)),'12.326'!A:D,4,0),"-")</f>
        <v>6813685001496</v>
      </c>
    </row>
    <row r="1008" customFormat="false" ht="14.4" hidden="false" customHeight="false" outlineLevel="0" collapsed="false">
      <c r="A1008" s="27" t="n">
        <v>11100672</v>
      </c>
      <c r="B1008" s="27" t="s">
        <v>2392</v>
      </c>
      <c r="C1008" s="43" t="n">
        <v>1109.52</v>
      </c>
      <c r="D1008" s="27" t="n">
        <v>96.48</v>
      </c>
      <c r="E1008" s="27" t="n">
        <v>360</v>
      </c>
      <c r="F1008" s="27" t="n">
        <v>3.35</v>
      </c>
      <c r="G1008" s="27" t="s">
        <v>1875</v>
      </c>
      <c r="H1008" s="27" t="s">
        <v>1960</v>
      </c>
      <c r="I1008" s="27" t="s">
        <v>1876</v>
      </c>
      <c r="J1008" s="27" t="s">
        <v>2393</v>
      </c>
      <c r="K1008" s="27" t="n">
        <v>2745</v>
      </c>
      <c r="L1008" s="27" t="n">
        <v>704</v>
      </c>
      <c r="M1008" s="28" t="n">
        <f aca="false">IFERROR(VLOOKUP((OFFSET(hoje12_326_ana9,1007,10,1,1)&amp;"."&amp;OFFSET(hoje12_326_ana9,1007,11,1,1)),'12.326'!A:D,4,0),"-")</f>
        <v>6813685001496</v>
      </c>
    </row>
    <row r="1009" customFormat="false" ht="14.4" hidden="false" customHeight="false" outlineLevel="0" collapsed="false">
      <c r="A1009" s="27" t="n">
        <v>11100680</v>
      </c>
      <c r="B1009" s="27" t="s">
        <v>2394</v>
      </c>
      <c r="C1009" s="43" t="n">
        <v>1331.42</v>
      </c>
      <c r="D1009" s="27" t="n">
        <v>115.78</v>
      </c>
      <c r="E1009" s="27" t="n">
        <v>432</v>
      </c>
      <c r="F1009" s="27" t="n">
        <v>3.35</v>
      </c>
      <c r="G1009" s="27" t="s">
        <v>1875</v>
      </c>
      <c r="H1009" s="27" t="s">
        <v>1960</v>
      </c>
      <c r="I1009" s="27" t="s">
        <v>1876</v>
      </c>
      <c r="J1009" s="27" t="s">
        <v>2395</v>
      </c>
      <c r="K1009" s="27" t="n">
        <v>2745</v>
      </c>
      <c r="L1009" s="27" t="n">
        <v>704</v>
      </c>
      <c r="M1009" s="28" t="n">
        <f aca="false">IFERROR(VLOOKUP((OFFSET(hoje12_326_ana9,1008,10,1,1)&amp;"."&amp;OFFSET(hoje12_326_ana9,1008,11,1,1)),'12.326'!A:D,4,0),"-")</f>
        <v>6813685001496</v>
      </c>
    </row>
    <row r="1010" customFormat="false" ht="14.4" hidden="false" customHeight="false" outlineLevel="0" collapsed="false">
      <c r="A1010" s="27" t="n">
        <v>11100682</v>
      </c>
      <c r="B1010" s="27" t="s">
        <v>1958</v>
      </c>
      <c r="C1010" s="43" t="n">
        <v>1109.52</v>
      </c>
      <c r="D1010" s="27" t="n">
        <v>96.48</v>
      </c>
      <c r="E1010" s="27" t="n">
        <v>360</v>
      </c>
      <c r="F1010" s="27" t="n">
        <v>3.35</v>
      </c>
      <c r="G1010" s="27" t="s">
        <v>1875</v>
      </c>
      <c r="H1010" s="27" t="s">
        <v>1960</v>
      </c>
      <c r="I1010" s="27" t="s">
        <v>1876</v>
      </c>
      <c r="J1010" s="27" t="s">
        <v>2393</v>
      </c>
      <c r="K1010" s="27" t="n">
        <v>2745</v>
      </c>
      <c r="L1010" s="27" t="n">
        <v>704</v>
      </c>
      <c r="M1010" s="28" t="n">
        <f aca="false">IFERROR(VLOOKUP((OFFSET(hoje12_326_ana9,1009,10,1,1)&amp;"."&amp;OFFSET(hoje12_326_ana9,1009,11,1,1)),'12.326'!A:D,4,0),"-")</f>
        <v>6813685001496</v>
      </c>
    </row>
    <row r="1011" customFormat="false" ht="14.4" hidden="false" customHeight="false" outlineLevel="0" collapsed="false">
      <c r="A1011" s="27" t="n">
        <v>11100685</v>
      </c>
      <c r="B1011" s="27" t="s">
        <v>2302</v>
      </c>
      <c r="C1011" s="43" t="n">
        <v>198.72</v>
      </c>
      <c r="D1011" s="27" t="n">
        <v>32.4</v>
      </c>
      <c r="E1011" s="27" t="n">
        <v>108</v>
      </c>
      <c r="F1011" s="27" t="n">
        <v>2.14</v>
      </c>
      <c r="G1011" s="27" t="s">
        <v>1875</v>
      </c>
      <c r="H1011" s="27" t="s">
        <v>2030</v>
      </c>
      <c r="I1011" s="27" t="s">
        <v>1876</v>
      </c>
      <c r="J1011" s="27" t="s">
        <v>2396</v>
      </c>
      <c r="K1011" s="27" t="n">
        <v>2745</v>
      </c>
      <c r="L1011" s="27" t="n">
        <v>704</v>
      </c>
      <c r="M1011" s="28" t="n">
        <f aca="false">IFERROR(VLOOKUP((OFFSET(hoje12_326_ana9,1010,10,1,1)&amp;"."&amp;OFFSET(hoje12_326_ana9,1010,11,1,1)),'12.326'!A:D,4,0),"-")</f>
        <v>6813685001496</v>
      </c>
    </row>
    <row r="1012" customFormat="false" ht="14.4" hidden="false" customHeight="false" outlineLevel="0" collapsed="false">
      <c r="A1012" s="27" t="n">
        <v>11100691</v>
      </c>
      <c r="B1012" s="27" t="s">
        <v>2079</v>
      </c>
      <c r="C1012" s="43" t="n">
        <v>1391.04</v>
      </c>
      <c r="D1012" s="27" t="n">
        <v>226.8</v>
      </c>
      <c r="E1012" s="27" t="n">
        <v>756</v>
      </c>
      <c r="F1012" s="27" t="n">
        <v>2.14</v>
      </c>
      <c r="G1012" s="27" t="s">
        <v>1875</v>
      </c>
      <c r="H1012" s="27" t="s">
        <v>2030</v>
      </c>
      <c r="I1012" s="27" t="s">
        <v>1876</v>
      </c>
      <c r="J1012" s="27" t="s">
        <v>2397</v>
      </c>
      <c r="K1012" s="27" t="n">
        <v>2745</v>
      </c>
      <c r="L1012" s="27" t="n">
        <v>704</v>
      </c>
      <c r="M1012" s="28" t="n">
        <f aca="false">IFERROR(VLOOKUP((OFFSET(hoje12_326_ana9,1011,10,1,1)&amp;"."&amp;OFFSET(hoje12_326_ana9,1011,11,1,1)),'12.326'!A:D,4,0),"-")</f>
        <v>6813685001496</v>
      </c>
    </row>
    <row r="1013" customFormat="false" ht="14.4" hidden="false" customHeight="false" outlineLevel="0" collapsed="false">
      <c r="A1013" s="27" t="n">
        <v>11100698</v>
      </c>
      <c r="B1013" s="27" t="s">
        <v>2029</v>
      </c>
      <c r="C1013" s="43" t="n">
        <v>462.24</v>
      </c>
      <c r="D1013" s="27" t="n">
        <v>0</v>
      </c>
      <c r="E1013" s="27" t="n">
        <v>216</v>
      </c>
      <c r="F1013" s="27" t="n">
        <v>2.14</v>
      </c>
      <c r="G1013" s="27" t="s">
        <v>1875</v>
      </c>
      <c r="H1013" s="27" t="s">
        <v>68</v>
      </c>
      <c r="I1013" s="27" t="s">
        <v>1876</v>
      </c>
      <c r="J1013" s="27" t="s">
        <v>1877</v>
      </c>
      <c r="K1013" s="27" t="n">
        <v>2745</v>
      </c>
      <c r="L1013" s="27" t="n">
        <v>704</v>
      </c>
      <c r="M1013" s="28" t="n">
        <f aca="false">IFERROR(VLOOKUP((OFFSET(hoje12_326_ana9,1012,10,1,1)&amp;"."&amp;OFFSET(hoje12_326_ana9,1012,11,1,1)),'12.326'!A:D,4,0),"-")</f>
        <v>6813685001496</v>
      </c>
    </row>
    <row r="1014" customFormat="false" ht="14.4" hidden="false" customHeight="false" outlineLevel="0" collapsed="false">
      <c r="A1014" s="27" t="n">
        <v>11100719</v>
      </c>
      <c r="B1014" s="27" t="s">
        <v>2398</v>
      </c>
      <c r="C1014" s="43" t="n">
        <v>1553.33</v>
      </c>
      <c r="D1014" s="27" t="n">
        <v>135.07</v>
      </c>
      <c r="E1014" s="27" t="n">
        <v>504</v>
      </c>
      <c r="F1014" s="27" t="n">
        <v>3.35</v>
      </c>
      <c r="G1014" s="27" t="s">
        <v>1875</v>
      </c>
      <c r="H1014" s="27" t="s">
        <v>1960</v>
      </c>
      <c r="I1014" s="27" t="s">
        <v>1876</v>
      </c>
      <c r="J1014" s="27" t="s">
        <v>2399</v>
      </c>
      <c r="K1014" s="27" t="n">
        <v>2745</v>
      </c>
      <c r="L1014" s="27" t="n">
        <v>704</v>
      </c>
      <c r="M1014" s="28" t="n">
        <f aca="false">IFERROR(VLOOKUP((OFFSET(hoje12_326_ana9,1013,10,1,1)&amp;"."&amp;OFFSET(hoje12_326_ana9,1013,11,1,1)),'12.326'!A:D,4,0),"-")</f>
        <v>6813685001496</v>
      </c>
    </row>
    <row r="1015" customFormat="false" ht="14.4" hidden="false" customHeight="false" outlineLevel="0" collapsed="false">
      <c r="A1015" s="27" t="n">
        <v>11100743</v>
      </c>
      <c r="B1015" s="27" t="s">
        <v>2400</v>
      </c>
      <c r="C1015" s="43" t="n">
        <v>679.1</v>
      </c>
      <c r="D1015" s="27" t="n">
        <v>225.22</v>
      </c>
      <c r="E1015" s="27" t="n">
        <v>288</v>
      </c>
      <c r="F1015" s="27" t="n">
        <v>3.14</v>
      </c>
      <c r="G1015" s="27" t="s">
        <v>1875</v>
      </c>
      <c r="H1015" s="27" t="s">
        <v>2244</v>
      </c>
      <c r="I1015" s="27" t="s">
        <v>1876</v>
      </c>
      <c r="J1015" s="27" t="s">
        <v>2401</v>
      </c>
      <c r="K1015" s="27" t="n">
        <v>2745</v>
      </c>
      <c r="L1015" s="27" t="n">
        <v>704</v>
      </c>
      <c r="M1015" s="28" t="n">
        <f aca="false">IFERROR(VLOOKUP((OFFSET(hoje12_326_ana9,1014,10,1,1)&amp;"."&amp;OFFSET(hoje12_326_ana9,1014,11,1,1)),'12.326'!A:D,4,0),"-")</f>
        <v>6813685001496</v>
      </c>
    </row>
    <row r="1016" customFormat="false" ht="14.4" hidden="false" customHeight="false" outlineLevel="0" collapsed="false">
      <c r="A1016" s="27" t="n">
        <v>11100757</v>
      </c>
      <c r="B1016" s="27" t="s">
        <v>2246</v>
      </c>
      <c r="C1016" s="43" t="n">
        <v>848.88</v>
      </c>
      <c r="D1016" s="27" t="n">
        <v>281.52</v>
      </c>
      <c r="E1016" s="27" t="n">
        <v>360</v>
      </c>
      <c r="F1016" s="27" t="n">
        <v>3.14</v>
      </c>
      <c r="G1016" s="27" t="s">
        <v>1875</v>
      </c>
      <c r="H1016" s="27" t="s">
        <v>2244</v>
      </c>
      <c r="I1016" s="27" t="s">
        <v>1876</v>
      </c>
      <c r="J1016" s="27" t="s">
        <v>2402</v>
      </c>
      <c r="K1016" s="27" t="n">
        <v>2745</v>
      </c>
      <c r="L1016" s="27" t="n">
        <v>704</v>
      </c>
      <c r="M1016" s="28" t="n">
        <f aca="false">IFERROR(VLOOKUP((OFFSET(hoje12_326_ana9,1015,10,1,1)&amp;"."&amp;OFFSET(hoje12_326_ana9,1015,11,1,1)),'12.326'!A:D,4,0),"-")</f>
        <v>6813685001496</v>
      </c>
    </row>
    <row r="1017" customFormat="false" ht="14.4" hidden="false" customHeight="false" outlineLevel="0" collapsed="false">
      <c r="A1017" s="27" t="n">
        <v>11100773</v>
      </c>
      <c r="B1017" s="27" t="s">
        <v>2061</v>
      </c>
      <c r="C1017" s="43" t="n">
        <v>509.33</v>
      </c>
      <c r="D1017" s="27" t="n">
        <v>168.91</v>
      </c>
      <c r="E1017" s="27" t="n">
        <v>216</v>
      </c>
      <c r="F1017" s="27" t="n">
        <v>3.14</v>
      </c>
      <c r="G1017" s="27" t="s">
        <v>1875</v>
      </c>
      <c r="H1017" s="27" t="s">
        <v>2244</v>
      </c>
      <c r="I1017" s="27" t="s">
        <v>1876</v>
      </c>
      <c r="J1017" s="27" t="s">
        <v>2403</v>
      </c>
      <c r="K1017" s="27" t="n">
        <v>2745</v>
      </c>
      <c r="L1017" s="27" t="n">
        <v>704</v>
      </c>
      <c r="M1017" s="28" t="n">
        <f aca="false">IFERROR(VLOOKUP((OFFSET(hoje12_326_ana9,1016,10,1,1)&amp;"."&amp;OFFSET(hoje12_326_ana9,1016,11,1,1)),'12.326'!A:D,4,0),"-")</f>
        <v>6813685001496</v>
      </c>
    </row>
    <row r="1018" customFormat="false" ht="14.4" hidden="false" customHeight="false" outlineLevel="0" collapsed="false">
      <c r="A1018" s="27" t="n">
        <v>11100820</v>
      </c>
      <c r="B1018" s="27" t="s">
        <v>1963</v>
      </c>
      <c r="C1018" s="43" t="n">
        <v>427.03</v>
      </c>
      <c r="D1018" s="27" t="n">
        <v>47.45</v>
      </c>
      <c r="E1018" s="27" t="n">
        <v>72</v>
      </c>
      <c r="F1018" s="27" t="n">
        <v>6.59</v>
      </c>
      <c r="G1018" s="27" t="s">
        <v>1875</v>
      </c>
      <c r="H1018" s="27" t="s">
        <v>1895</v>
      </c>
      <c r="I1018" s="27" t="s">
        <v>1876</v>
      </c>
      <c r="J1018" s="27" t="s">
        <v>2404</v>
      </c>
      <c r="K1018" s="27" t="n">
        <v>2745</v>
      </c>
      <c r="L1018" s="27" t="n">
        <v>704</v>
      </c>
      <c r="M1018" s="28" t="n">
        <f aca="false">IFERROR(VLOOKUP((OFFSET(hoje12_326_ana9,1017,10,1,1)&amp;"."&amp;OFFSET(hoje12_326_ana9,1017,11,1,1)),'12.326'!A:D,4,0),"-")</f>
        <v>6813685001496</v>
      </c>
    </row>
    <row r="1019" customFormat="false" ht="14.4" hidden="false" customHeight="false" outlineLevel="0" collapsed="false">
      <c r="A1019" s="27" t="n">
        <v>11100822</v>
      </c>
      <c r="B1019" s="27" t="s">
        <v>1966</v>
      </c>
      <c r="C1019" s="43" t="n">
        <v>498.2</v>
      </c>
      <c r="D1019" s="27" t="n">
        <v>55.36</v>
      </c>
      <c r="E1019" s="27" t="n">
        <v>84</v>
      </c>
      <c r="F1019" s="27" t="n">
        <v>6.59</v>
      </c>
      <c r="G1019" s="27" t="s">
        <v>1875</v>
      </c>
      <c r="H1019" s="27" t="s">
        <v>1895</v>
      </c>
      <c r="I1019" s="27" t="s">
        <v>1876</v>
      </c>
      <c r="J1019" s="27" t="s">
        <v>2405</v>
      </c>
      <c r="K1019" s="27" t="n">
        <v>2745</v>
      </c>
      <c r="L1019" s="27" t="n">
        <v>704</v>
      </c>
      <c r="M1019" s="28" t="n">
        <f aca="false">IFERROR(VLOOKUP((OFFSET(hoje12_326_ana9,1018,10,1,1)&amp;"."&amp;OFFSET(hoje12_326_ana9,1018,11,1,1)),'12.326'!A:D,4,0),"-")</f>
        <v>6813685001496</v>
      </c>
    </row>
    <row r="1020" customFormat="false" ht="14.4" hidden="false" customHeight="false" outlineLevel="0" collapsed="false">
      <c r="A1020" s="27" t="n">
        <v>11100826</v>
      </c>
      <c r="B1020" s="27" t="s">
        <v>1968</v>
      </c>
      <c r="C1020" s="43" t="n">
        <v>1494.61</v>
      </c>
      <c r="D1020" s="27" t="n">
        <v>166.07</v>
      </c>
      <c r="E1020" s="27" t="n">
        <v>252</v>
      </c>
      <c r="F1020" s="27" t="n">
        <v>6.59</v>
      </c>
      <c r="G1020" s="27" t="s">
        <v>1875</v>
      </c>
      <c r="H1020" s="27" t="s">
        <v>1895</v>
      </c>
      <c r="I1020" s="27" t="s">
        <v>1876</v>
      </c>
      <c r="J1020" s="27" t="s">
        <v>2406</v>
      </c>
      <c r="K1020" s="27" t="n">
        <v>2745</v>
      </c>
      <c r="L1020" s="27" t="n">
        <v>704</v>
      </c>
      <c r="M1020" s="28" t="n">
        <f aca="false">IFERROR(VLOOKUP((OFFSET(hoje12_326_ana9,1019,10,1,1)&amp;"."&amp;OFFSET(hoje12_326_ana9,1019,11,1,1)),'12.326'!A:D,4,0),"-")</f>
        <v>6813685001496</v>
      </c>
    </row>
    <row r="1021" customFormat="false" ht="14.4" hidden="false" customHeight="false" outlineLevel="0" collapsed="false">
      <c r="A1021" s="27" t="n">
        <v>11100827</v>
      </c>
      <c r="B1021" s="27" t="s">
        <v>2196</v>
      </c>
      <c r="C1021" s="43" t="n">
        <v>490.54</v>
      </c>
      <c r="D1021" s="27" t="n">
        <v>54.5</v>
      </c>
      <c r="E1021" s="27" t="n">
        <v>72</v>
      </c>
      <c r="F1021" s="27" t="n">
        <v>7.57</v>
      </c>
      <c r="G1021" s="27" t="s">
        <v>1875</v>
      </c>
      <c r="H1021" s="27" t="s">
        <v>1895</v>
      </c>
      <c r="I1021" s="27" t="s">
        <v>1876</v>
      </c>
      <c r="J1021" s="27" t="s">
        <v>2407</v>
      </c>
      <c r="K1021" s="27" t="n">
        <v>2745</v>
      </c>
      <c r="L1021" s="27" t="n">
        <v>704</v>
      </c>
      <c r="M1021" s="28" t="n">
        <f aca="false">IFERROR(VLOOKUP((OFFSET(hoje12_326_ana9,1020,10,1,1)&amp;"."&amp;OFFSET(hoje12_326_ana9,1020,11,1,1)),'12.326'!A:D,4,0),"-")</f>
        <v>6813685001496</v>
      </c>
    </row>
    <row r="1022" customFormat="false" ht="14.4" hidden="false" customHeight="false" outlineLevel="0" collapsed="false">
      <c r="A1022" s="27" t="n">
        <v>11100836</v>
      </c>
      <c r="B1022" s="27" t="s">
        <v>2069</v>
      </c>
      <c r="C1022" s="43" t="n">
        <v>327.02</v>
      </c>
      <c r="D1022" s="27" t="n">
        <v>36.34</v>
      </c>
      <c r="E1022" s="27" t="n">
        <v>48</v>
      </c>
      <c r="F1022" s="27" t="n">
        <v>7.57</v>
      </c>
      <c r="G1022" s="27" t="s">
        <v>1875</v>
      </c>
      <c r="H1022" s="27" t="s">
        <v>1895</v>
      </c>
      <c r="I1022" s="27" t="s">
        <v>1876</v>
      </c>
      <c r="J1022" s="27" t="s">
        <v>2408</v>
      </c>
      <c r="K1022" s="27" t="n">
        <v>2745</v>
      </c>
      <c r="L1022" s="27" t="n">
        <v>704</v>
      </c>
      <c r="M1022" s="28" t="n">
        <f aca="false">IFERROR(VLOOKUP((OFFSET(hoje12_326_ana9,1021,10,1,1)&amp;"."&amp;OFFSET(hoje12_326_ana9,1021,11,1,1)),'12.326'!A:D,4,0),"-")</f>
        <v>6813685001496</v>
      </c>
    </row>
    <row r="1023" customFormat="false" ht="14.4" hidden="false" customHeight="false" outlineLevel="0" collapsed="false">
      <c r="A1023" s="27" t="n">
        <v>11100850</v>
      </c>
      <c r="B1023" s="27" t="s">
        <v>2409</v>
      </c>
      <c r="C1023" s="43" t="n">
        <v>572.29</v>
      </c>
      <c r="D1023" s="27" t="n">
        <v>63.59</v>
      </c>
      <c r="E1023" s="27" t="n">
        <v>84</v>
      </c>
      <c r="F1023" s="27" t="n">
        <v>7.57</v>
      </c>
      <c r="G1023" s="27" t="s">
        <v>1875</v>
      </c>
      <c r="H1023" s="27" t="s">
        <v>1895</v>
      </c>
      <c r="I1023" s="27" t="s">
        <v>1876</v>
      </c>
      <c r="J1023" s="27" t="s">
        <v>2410</v>
      </c>
      <c r="K1023" s="27" t="n">
        <v>2745</v>
      </c>
      <c r="L1023" s="27" t="n">
        <v>704</v>
      </c>
      <c r="M1023" s="28" t="n">
        <f aca="false">IFERROR(VLOOKUP((OFFSET(hoje12_326_ana9,1022,10,1,1)&amp;"."&amp;OFFSET(hoje12_326_ana9,1022,11,1,1)),'12.326'!A:D,4,0),"-")</f>
        <v>6813685001496</v>
      </c>
    </row>
    <row r="1024" customFormat="false" ht="14.4" hidden="false" customHeight="false" outlineLevel="0" collapsed="false">
      <c r="A1024" s="27" t="n">
        <v>11100861</v>
      </c>
      <c r="B1024" s="27" t="s">
        <v>1992</v>
      </c>
      <c r="C1024" s="43" t="n">
        <v>981.07</v>
      </c>
      <c r="D1024" s="27" t="n">
        <v>109.01</v>
      </c>
      <c r="E1024" s="27" t="n">
        <v>144</v>
      </c>
      <c r="F1024" s="27" t="n">
        <v>7.57</v>
      </c>
      <c r="G1024" s="27" t="s">
        <v>1875</v>
      </c>
      <c r="H1024" s="27" t="s">
        <v>1895</v>
      </c>
      <c r="I1024" s="27" t="s">
        <v>1876</v>
      </c>
      <c r="J1024" s="27" t="s">
        <v>2411</v>
      </c>
      <c r="K1024" s="27" t="n">
        <v>2745</v>
      </c>
      <c r="L1024" s="27" t="n">
        <v>704</v>
      </c>
      <c r="M1024" s="28" t="n">
        <f aca="false">IFERROR(VLOOKUP((OFFSET(hoje12_326_ana9,1023,10,1,1)&amp;"."&amp;OFFSET(hoje12_326_ana9,1023,11,1,1)),'12.326'!A:D,4,0),"-")</f>
        <v>6813685001496</v>
      </c>
    </row>
    <row r="1025" customFormat="false" ht="14.4" hidden="false" customHeight="false" outlineLevel="0" collapsed="false">
      <c r="A1025" s="27" t="n">
        <v>11100865</v>
      </c>
      <c r="B1025" s="27" t="s">
        <v>1982</v>
      </c>
      <c r="C1025" s="43" t="n">
        <v>531.41</v>
      </c>
      <c r="D1025" s="27" t="n">
        <v>59.05</v>
      </c>
      <c r="E1025" s="27" t="n">
        <v>78</v>
      </c>
      <c r="F1025" s="27" t="n">
        <v>7.57</v>
      </c>
      <c r="G1025" s="27" t="s">
        <v>1875</v>
      </c>
      <c r="H1025" s="27" t="s">
        <v>1895</v>
      </c>
      <c r="I1025" s="27" t="s">
        <v>1876</v>
      </c>
      <c r="J1025" s="27" t="s">
        <v>2412</v>
      </c>
      <c r="K1025" s="27" t="n">
        <v>2745</v>
      </c>
      <c r="L1025" s="27" t="n">
        <v>704</v>
      </c>
      <c r="M1025" s="28" t="n">
        <f aca="false">IFERROR(VLOOKUP((OFFSET(hoje12_326_ana9,1024,10,1,1)&amp;"."&amp;OFFSET(hoje12_326_ana9,1024,11,1,1)),'12.326'!A:D,4,0),"-")</f>
        <v>6813685001496</v>
      </c>
    </row>
    <row r="1026" customFormat="false" ht="14.4" hidden="false" customHeight="false" outlineLevel="0" collapsed="false">
      <c r="A1026" s="27" t="n">
        <v>11100937</v>
      </c>
      <c r="B1026" s="27" t="s">
        <v>2015</v>
      </c>
      <c r="C1026" s="43" t="n">
        <v>3228.48</v>
      </c>
      <c r="D1026" s="27" t="n">
        <v>0</v>
      </c>
      <c r="E1026" s="27" t="n">
        <v>144</v>
      </c>
      <c r="F1026" s="27" t="n">
        <v>22.42</v>
      </c>
      <c r="G1026" s="27" t="s">
        <v>1875</v>
      </c>
      <c r="H1026" s="27" t="s">
        <v>68</v>
      </c>
      <c r="I1026" s="27" t="s">
        <v>1876</v>
      </c>
      <c r="J1026" s="27" t="s">
        <v>1877</v>
      </c>
      <c r="K1026" s="27" t="n">
        <v>2745</v>
      </c>
      <c r="L1026" s="27" t="n">
        <v>704</v>
      </c>
      <c r="M1026" s="28" t="n">
        <f aca="false">IFERROR(VLOOKUP((OFFSET(hoje12_326_ana9,1025,10,1,1)&amp;"."&amp;OFFSET(hoje12_326_ana9,1025,11,1,1)),'12.326'!A:D,4,0),"-")</f>
        <v>6813685001496</v>
      </c>
    </row>
    <row r="1027" customFormat="false" ht="14.4" hidden="false" customHeight="false" outlineLevel="0" collapsed="false">
      <c r="A1027" s="27" t="n">
        <v>11100955</v>
      </c>
      <c r="B1027" s="27" t="s">
        <v>2252</v>
      </c>
      <c r="C1027" s="43" t="n">
        <v>4734.72</v>
      </c>
      <c r="D1027" s="27" t="n">
        <v>0</v>
      </c>
      <c r="E1027" s="27" t="n">
        <v>1728</v>
      </c>
      <c r="F1027" s="27" t="n">
        <v>2.74</v>
      </c>
      <c r="G1027" s="27" t="s">
        <v>1875</v>
      </c>
      <c r="H1027" s="27" t="s">
        <v>68</v>
      </c>
      <c r="I1027" s="27" t="s">
        <v>1876</v>
      </c>
      <c r="J1027" s="27" t="s">
        <v>1877</v>
      </c>
      <c r="K1027" s="27" t="n">
        <v>2745</v>
      </c>
      <c r="L1027" s="27" t="n">
        <v>704</v>
      </c>
      <c r="M1027" s="28" t="n">
        <f aca="false">IFERROR(VLOOKUP((OFFSET(hoje12_326_ana9,1026,10,1,1)&amp;"."&amp;OFFSET(hoje12_326_ana9,1026,11,1,1)),'12.326'!A:D,4,0),"-")</f>
        <v>6813685001496</v>
      </c>
    </row>
    <row r="1028" customFormat="false" ht="14.4" hidden="false" customHeight="false" outlineLevel="0" collapsed="false">
      <c r="A1028" s="27" t="n">
        <v>11100987</v>
      </c>
      <c r="B1028" s="27" t="s">
        <v>1890</v>
      </c>
      <c r="C1028" s="43" t="n">
        <v>2006.4</v>
      </c>
      <c r="D1028" s="27" t="n">
        <v>0</v>
      </c>
      <c r="E1028" s="27" t="n">
        <v>192</v>
      </c>
      <c r="F1028" s="27" t="n">
        <v>10.45</v>
      </c>
      <c r="G1028" s="27" t="s">
        <v>1875</v>
      </c>
      <c r="H1028" s="27" t="s">
        <v>68</v>
      </c>
      <c r="I1028" s="27" t="s">
        <v>1876</v>
      </c>
      <c r="J1028" s="27" t="s">
        <v>1877</v>
      </c>
      <c r="K1028" s="27" t="n">
        <v>2745</v>
      </c>
      <c r="L1028" s="27" t="n">
        <v>704</v>
      </c>
      <c r="M1028" s="28" t="n">
        <f aca="false">IFERROR(VLOOKUP((OFFSET(hoje12_326_ana9,1027,10,1,1)&amp;"."&amp;OFFSET(hoje12_326_ana9,1027,11,1,1)),'12.326'!A:D,4,0),"-")</f>
        <v>6813685001496</v>
      </c>
    </row>
    <row r="1029" customFormat="false" ht="14.4" hidden="false" customHeight="false" outlineLevel="0" collapsed="false">
      <c r="A1029" s="27" t="n">
        <v>11100091</v>
      </c>
      <c r="B1029" s="27" t="s">
        <v>1910</v>
      </c>
      <c r="C1029" s="43" t="n">
        <v>1628.4</v>
      </c>
      <c r="D1029" s="27" t="n">
        <v>0</v>
      </c>
      <c r="E1029" s="27" t="n">
        <v>354</v>
      </c>
      <c r="F1029" s="27" t="n">
        <v>4.6</v>
      </c>
      <c r="G1029" s="27" t="s">
        <v>1875</v>
      </c>
      <c r="H1029" s="27" t="s">
        <v>68</v>
      </c>
      <c r="I1029" s="27" t="s">
        <v>1876</v>
      </c>
      <c r="J1029" s="27" t="s">
        <v>1877</v>
      </c>
      <c r="K1029" s="27" t="n">
        <v>2746</v>
      </c>
      <c r="L1029" s="27" t="n">
        <v>704</v>
      </c>
      <c r="M1029" s="28" t="n">
        <f aca="false">IFERROR(VLOOKUP((OFFSET(hoje12_326_ana9,1028,10,1,1)&amp;"."&amp;OFFSET(hoje12_326_ana9,1028,11,1,1)),'12.326'!A:D,4,0),"-")</f>
        <v>6813685001496</v>
      </c>
    </row>
    <row r="1030" customFormat="false" ht="14.4" hidden="false" customHeight="false" outlineLevel="0" collapsed="false">
      <c r="A1030" s="27" t="n">
        <v>11100065</v>
      </c>
      <c r="B1030" s="27" t="s">
        <v>2207</v>
      </c>
      <c r="C1030" s="43" t="n">
        <v>505.44</v>
      </c>
      <c r="D1030" s="27" t="n">
        <v>0</v>
      </c>
      <c r="E1030" s="27" t="n">
        <v>48</v>
      </c>
      <c r="F1030" s="27" t="n">
        <v>10.53</v>
      </c>
      <c r="G1030" s="27" t="s">
        <v>1875</v>
      </c>
      <c r="H1030" s="27" t="s">
        <v>68</v>
      </c>
      <c r="I1030" s="27" t="s">
        <v>1876</v>
      </c>
      <c r="J1030" s="27" t="s">
        <v>1877</v>
      </c>
      <c r="K1030" s="27" t="n">
        <v>2747</v>
      </c>
      <c r="L1030" s="27" t="n">
        <v>704</v>
      </c>
      <c r="M1030" s="28" t="n">
        <f aca="false">IFERROR(VLOOKUP((OFFSET(hoje12_326_ana9,1029,10,1,1)&amp;"."&amp;OFFSET(hoje12_326_ana9,1029,11,1,1)),'12.326'!A:D,4,0),"-")</f>
        <v>6813685001577</v>
      </c>
    </row>
    <row r="1031" customFormat="false" ht="14.4" hidden="false" customHeight="false" outlineLevel="0" collapsed="false">
      <c r="A1031" s="27" t="n">
        <v>11100070</v>
      </c>
      <c r="B1031" s="27" t="s">
        <v>2208</v>
      </c>
      <c r="C1031" s="43" t="n">
        <v>1010.88</v>
      </c>
      <c r="D1031" s="27" t="n">
        <v>0</v>
      </c>
      <c r="E1031" s="27" t="n">
        <v>96</v>
      </c>
      <c r="F1031" s="27" t="n">
        <v>10.53</v>
      </c>
      <c r="G1031" s="27" t="s">
        <v>1875</v>
      </c>
      <c r="H1031" s="27" t="s">
        <v>68</v>
      </c>
      <c r="I1031" s="27" t="s">
        <v>1876</v>
      </c>
      <c r="J1031" s="27" t="s">
        <v>1877</v>
      </c>
      <c r="K1031" s="27" t="n">
        <v>2747</v>
      </c>
      <c r="L1031" s="27" t="n">
        <v>704</v>
      </c>
      <c r="M1031" s="28" t="n">
        <f aca="false">IFERROR(VLOOKUP((OFFSET(hoje12_326_ana9,1030,10,1,1)&amp;"."&amp;OFFSET(hoje12_326_ana9,1030,11,1,1)),'12.326'!A:D,4,0),"-")</f>
        <v>6813685001577</v>
      </c>
    </row>
    <row r="1032" customFormat="false" ht="14.4" hidden="false" customHeight="false" outlineLevel="0" collapsed="false">
      <c r="A1032" s="27" t="n">
        <v>11100091</v>
      </c>
      <c r="B1032" s="27" t="s">
        <v>1910</v>
      </c>
      <c r="C1032" s="43" t="n">
        <v>3974.4</v>
      </c>
      <c r="D1032" s="27" t="n">
        <v>0</v>
      </c>
      <c r="E1032" s="27" t="n">
        <v>864</v>
      </c>
      <c r="F1032" s="27" t="n">
        <v>4.6</v>
      </c>
      <c r="G1032" s="27" t="s">
        <v>1875</v>
      </c>
      <c r="H1032" s="27" t="s">
        <v>68</v>
      </c>
      <c r="I1032" s="27" t="s">
        <v>1876</v>
      </c>
      <c r="J1032" s="27" t="s">
        <v>1877</v>
      </c>
      <c r="K1032" s="27" t="n">
        <v>2747</v>
      </c>
      <c r="L1032" s="27" t="n">
        <v>704</v>
      </c>
      <c r="M1032" s="28" t="n">
        <f aca="false">IFERROR(VLOOKUP((OFFSET(hoje12_326_ana9,1031,10,1,1)&amp;"."&amp;OFFSET(hoje12_326_ana9,1031,11,1,1)),'12.326'!A:D,4,0),"-")</f>
        <v>6813685001577</v>
      </c>
    </row>
    <row r="1033" customFormat="false" ht="14.4" hidden="false" customHeight="false" outlineLevel="0" collapsed="false">
      <c r="A1033" s="27" t="n">
        <v>11100092</v>
      </c>
      <c r="B1033" s="27" t="s">
        <v>2333</v>
      </c>
      <c r="C1033" s="43" t="n">
        <v>1581.12</v>
      </c>
      <c r="D1033" s="27" t="n">
        <v>0</v>
      </c>
      <c r="E1033" s="27" t="n">
        <v>288</v>
      </c>
      <c r="F1033" s="27" t="n">
        <v>5.49</v>
      </c>
      <c r="G1033" s="27" t="s">
        <v>1875</v>
      </c>
      <c r="H1033" s="27" t="s">
        <v>68</v>
      </c>
      <c r="I1033" s="27" t="s">
        <v>1876</v>
      </c>
      <c r="J1033" s="27" t="s">
        <v>1877</v>
      </c>
      <c r="K1033" s="27" t="n">
        <v>2747</v>
      </c>
      <c r="L1033" s="27" t="n">
        <v>704</v>
      </c>
      <c r="M1033" s="28" t="n">
        <f aca="false">IFERROR(VLOOKUP((OFFSET(hoje12_326_ana9,1032,10,1,1)&amp;"."&amp;OFFSET(hoje12_326_ana9,1032,11,1,1)),'12.326'!A:D,4,0),"-")</f>
        <v>6813685001577</v>
      </c>
    </row>
    <row r="1034" customFormat="false" ht="14.4" hidden="false" customHeight="false" outlineLevel="0" collapsed="false">
      <c r="A1034" s="27" t="n">
        <v>11100093</v>
      </c>
      <c r="B1034" s="27" t="s">
        <v>1911</v>
      </c>
      <c r="C1034" s="43" t="n">
        <v>3326.4</v>
      </c>
      <c r="D1034" s="27" t="n">
        <v>0</v>
      </c>
      <c r="E1034" s="27" t="n">
        <v>432</v>
      </c>
      <c r="F1034" s="27" t="n">
        <v>7.7</v>
      </c>
      <c r="G1034" s="27" t="s">
        <v>1875</v>
      </c>
      <c r="H1034" s="27" t="s">
        <v>68</v>
      </c>
      <c r="I1034" s="27" t="s">
        <v>1876</v>
      </c>
      <c r="J1034" s="27" t="s">
        <v>1877</v>
      </c>
      <c r="K1034" s="27" t="n">
        <v>2747</v>
      </c>
      <c r="L1034" s="27" t="n">
        <v>704</v>
      </c>
      <c r="M1034" s="28" t="n">
        <f aca="false">IFERROR(VLOOKUP((OFFSET(hoje12_326_ana9,1033,10,1,1)&amp;"."&amp;OFFSET(hoje12_326_ana9,1033,11,1,1)),'12.326'!A:D,4,0),"-")</f>
        <v>6813685001577</v>
      </c>
    </row>
    <row r="1035" customFormat="false" ht="14.4" hidden="false" customHeight="false" outlineLevel="0" collapsed="false">
      <c r="A1035" s="27" t="n">
        <v>11100138</v>
      </c>
      <c r="B1035" s="27" t="s">
        <v>2035</v>
      </c>
      <c r="C1035" s="43" t="n">
        <v>3477.6</v>
      </c>
      <c r="D1035" s="27" t="n">
        <v>0</v>
      </c>
      <c r="E1035" s="27" t="n">
        <v>432</v>
      </c>
      <c r="F1035" s="27" t="n">
        <v>8.05</v>
      </c>
      <c r="G1035" s="27" t="s">
        <v>1875</v>
      </c>
      <c r="H1035" s="27" t="s">
        <v>68</v>
      </c>
      <c r="I1035" s="27" t="s">
        <v>1876</v>
      </c>
      <c r="J1035" s="27" t="s">
        <v>1877</v>
      </c>
      <c r="K1035" s="27" t="n">
        <v>2747</v>
      </c>
      <c r="L1035" s="27" t="n">
        <v>704</v>
      </c>
      <c r="M1035" s="28" t="n">
        <f aca="false">IFERROR(VLOOKUP((OFFSET(hoje12_326_ana9,1034,10,1,1)&amp;"."&amp;OFFSET(hoje12_326_ana9,1034,11,1,1)),'12.326'!A:D,4,0),"-")</f>
        <v>6813685001577</v>
      </c>
    </row>
    <row r="1036" customFormat="false" ht="14.4" hidden="false" customHeight="false" outlineLevel="0" collapsed="false">
      <c r="A1036" s="27" t="n">
        <v>11100143</v>
      </c>
      <c r="B1036" s="27" t="s">
        <v>2277</v>
      </c>
      <c r="C1036" s="43" t="n">
        <v>11217.6</v>
      </c>
      <c r="D1036" s="27" t="n">
        <v>0</v>
      </c>
      <c r="E1036" s="27" t="n">
        <v>1440</v>
      </c>
      <c r="F1036" s="27" t="n">
        <v>7.79</v>
      </c>
      <c r="G1036" s="27" t="s">
        <v>1875</v>
      </c>
      <c r="H1036" s="27" t="s">
        <v>68</v>
      </c>
      <c r="I1036" s="27" t="s">
        <v>1876</v>
      </c>
      <c r="J1036" s="27" t="s">
        <v>1877</v>
      </c>
      <c r="K1036" s="27" t="n">
        <v>2747</v>
      </c>
      <c r="L1036" s="27" t="n">
        <v>704</v>
      </c>
      <c r="M1036" s="28" t="n">
        <f aca="false">IFERROR(VLOOKUP((OFFSET(hoje12_326_ana9,1035,10,1,1)&amp;"."&amp;OFFSET(hoje12_326_ana9,1035,11,1,1)),'12.326'!A:D,4,0),"-")</f>
        <v>6813685001577</v>
      </c>
    </row>
    <row r="1037" customFormat="false" ht="14.4" hidden="false" customHeight="false" outlineLevel="0" collapsed="false">
      <c r="A1037" s="27" t="n">
        <v>11100145</v>
      </c>
      <c r="B1037" s="27" t="s">
        <v>1915</v>
      </c>
      <c r="C1037" s="43" t="n">
        <v>2181.6</v>
      </c>
      <c r="D1037" s="27" t="n">
        <v>0</v>
      </c>
      <c r="E1037" s="27" t="n">
        <v>432</v>
      </c>
      <c r="F1037" s="27" t="n">
        <v>5.05</v>
      </c>
      <c r="G1037" s="27" t="s">
        <v>1875</v>
      </c>
      <c r="H1037" s="27" t="s">
        <v>68</v>
      </c>
      <c r="I1037" s="27" t="s">
        <v>1876</v>
      </c>
      <c r="J1037" s="27" t="s">
        <v>1877</v>
      </c>
      <c r="K1037" s="27" t="n">
        <v>2747</v>
      </c>
      <c r="L1037" s="27" t="n">
        <v>704</v>
      </c>
      <c r="M1037" s="28" t="n">
        <f aca="false">IFERROR(VLOOKUP((OFFSET(hoje12_326_ana9,1036,10,1,1)&amp;"."&amp;OFFSET(hoje12_326_ana9,1036,11,1,1)),'12.326'!A:D,4,0),"-")</f>
        <v>6813685001577</v>
      </c>
    </row>
    <row r="1038" customFormat="false" ht="14.4" hidden="false" customHeight="false" outlineLevel="0" collapsed="false">
      <c r="A1038" s="27" t="n">
        <v>11100146</v>
      </c>
      <c r="B1038" s="27" t="s">
        <v>1907</v>
      </c>
      <c r="C1038" s="43" t="n">
        <v>2491.2</v>
      </c>
      <c r="D1038" s="27" t="n">
        <v>0</v>
      </c>
      <c r="E1038" s="27" t="n">
        <v>288</v>
      </c>
      <c r="F1038" s="27" t="n">
        <v>8.65</v>
      </c>
      <c r="G1038" s="27" t="s">
        <v>1875</v>
      </c>
      <c r="H1038" s="27" t="s">
        <v>68</v>
      </c>
      <c r="I1038" s="27" t="s">
        <v>1876</v>
      </c>
      <c r="J1038" s="27" t="s">
        <v>1877</v>
      </c>
      <c r="K1038" s="27" t="n">
        <v>2747</v>
      </c>
      <c r="L1038" s="27" t="n">
        <v>704</v>
      </c>
      <c r="M1038" s="28" t="n">
        <f aca="false">IFERROR(VLOOKUP((OFFSET(hoje12_326_ana9,1037,10,1,1)&amp;"."&amp;OFFSET(hoje12_326_ana9,1037,11,1,1)),'12.326'!A:D,4,0),"-")</f>
        <v>6813685001577</v>
      </c>
    </row>
    <row r="1039" customFormat="false" ht="14.4" hidden="false" customHeight="false" outlineLevel="0" collapsed="false">
      <c r="A1039" s="27" t="n">
        <v>11100148</v>
      </c>
      <c r="B1039" s="27" t="s">
        <v>1916</v>
      </c>
      <c r="C1039" s="43" t="n">
        <v>1003.2</v>
      </c>
      <c r="D1039" s="27" t="n">
        <v>0</v>
      </c>
      <c r="E1039" s="27" t="n">
        <v>96</v>
      </c>
      <c r="F1039" s="27" t="n">
        <v>10.45</v>
      </c>
      <c r="G1039" s="27" t="s">
        <v>1875</v>
      </c>
      <c r="H1039" s="27" t="s">
        <v>68</v>
      </c>
      <c r="I1039" s="27" t="s">
        <v>1876</v>
      </c>
      <c r="J1039" s="27" t="s">
        <v>1877</v>
      </c>
      <c r="K1039" s="27" t="n">
        <v>2747</v>
      </c>
      <c r="L1039" s="27" t="n">
        <v>704</v>
      </c>
      <c r="M1039" s="28" t="n">
        <f aca="false">IFERROR(VLOOKUP((OFFSET(hoje12_326_ana9,1038,10,1,1)&amp;"."&amp;OFFSET(hoje12_326_ana9,1038,11,1,1)),'12.326'!A:D,4,0),"-")</f>
        <v>6813685001577</v>
      </c>
    </row>
    <row r="1040" customFormat="false" ht="14.4" hidden="false" customHeight="false" outlineLevel="0" collapsed="false">
      <c r="A1040" s="27" t="n">
        <v>11100177</v>
      </c>
      <c r="B1040" s="27" t="s">
        <v>2379</v>
      </c>
      <c r="C1040" s="43" t="n">
        <v>1974.34</v>
      </c>
      <c r="D1040" s="27" t="n">
        <v>32.06</v>
      </c>
      <c r="E1040" s="27" t="n">
        <v>192</v>
      </c>
      <c r="F1040" s="27" t="n">
        <v>10.45</v>
      </c>
      <c r="G1040" s="27" t="s">
        <v>1875</v>
      </c>
      <c r="H1040" s="27" t="s">
        <v>2413</v>
      </c>
      <c r="I1040" s="27" t="s">
        <v>1876</v>
      </c>
      <c r="J1040" s="27" t="s">
        <v>2414</v>
      </c>
      <c r="K1040" s="27" t="n">
        <v>2747</v>
      </c>
      <c r="L1040" s="27" t="n">
        <v>704</v>
      </c>
      <c r="M1040" s="28" t="n">
        <f aca="false">IFERROR(VLOOKUP((OFFSET(hoje12_326_ana9,1039,10,1,1)&amp;"."&amp;OFFSET(hoje12_326_ana9,1039,11,1,1)),'12.326'!A:D,4,0),"-")</f>
        <v>6813685001577</v>
      </c>
    </row>
    <row r="1041" customFormat="false" ht="14.4" hidden="false" customHeight="false" outlineLevel="0" collapsed="false">
      <c r="A1041" s="27" t="n">
        <v>11100215</v>
      </c>
      <c r="B1041" s="27" t="s">
        <v>2381</v>
      </c>
      <c r="C1041" s="43" t="n">
        <v>568.8</v>
      </c>
      <c r="D1041" s="27" t="n">
        <v>0</v>
      </c>
      <c r="E1041" s="27" t="n">
        <v>144</v>
      </c>
      <c r="F1041" s="27" t="n">
        <v>3.95</v>
      </c>
      <c r="G1041" s="27" t="s">
        <v>1875</v>
      </c>
      <c r="H1041" s="27" t="s">
        <v>68</v>
      </c>
      <c r="I1041" s="27" t="s">
        <v>1876</v>
      </c>
      <c r="J1041" s="27" t="s">
        <v>1877</v>
      </c>
      <c r="K1041" s="27" t="n">
        <v>2747</v>
      </c>
      <c r="L1041" s="27" t="n">
        <v>704</v>
      </c>
      <c r="M1041" s="28" t="n">
        <f aca="false">IFERROR(VLOOKUP((OFFSET(hoje12_326_ana9,1040,10,1,1)&amp;"."&amp;OFFSET(hoje12_326_ana9,1040,11,1,1)),'12.326'!A:D,4,0),"-")</f>
        <v>6813685001577</v>
      </c>
    </row>
    <row r="1042" customFormat="false" ht="14.4" hidden="false" customHeight="false" outlineLevel="0" collapsed="false">
      <c r="A1042" s="27" t="n">
        <v>11100216</v>
      </c>
      <c r="B1042" s="27" t="s">
        <v>1923</v>
      </c>
      <c r="C1042" s="43" t="n">
        <v>395.28</v>
      </c>
      <c r="D1042" s="27" t="n">
        <v>0</v>
      </c>
      <c r="E1042" s="27" t="n">
        <v>72</v>
      </c>
      <c r="F1042" s="27" t="n">
        <v>5.49</v>
      </c>
      <c r="G1042" s="27" t="s">
        <v>1875</v>
      </c>
      <c r="H1042" s="27" t="s">
        <v>68</v>
      </c>
      <c r="I1042" s="27" t="s">
        <v>1876</v>
      </c>
      <c r="J1042" s="27" t="s">
        <v>1877</v>
      </c>
      <c r="K1042" s="27" t="n">
        <v>2747</v>
      </c>
      <c r="L1042" s="27" t="n">
        <v>704</v>
      </c>
      <c r="M1042" s="28" t="n">
        <f aca="false">IFERROR(VLOOKUP((OFFSET(hoje12_326_ana9,1041,10,1,1)&amp;"."&amp;OFFSET(hoje12_326_ana9,1041,11,1,1)),'12.326'!A:D,4,0),"-")</f>
        <v>6813685001577</v>
      </c>
    </row>
    <row r="1043" customFormat="false" ht="14.4" hidden="false" customHeight="false" outlineLevel="0" collapsed="false">
      <c r="A1043" s="27" t="n">
        <v>11100238</v>
      </c>
      <c r="B1043" s="27" t="s">
        <v>2006</v>
      </c>
      <c r="C1043" s="43" t="n">
        <v>1191.02</v>
      </c>
      <c r="D1043" s="27" t="n">
        <v>117.94</v>
      </c>
      <c r="E1043" s="27" t="n">
        <v>432</v>
      </c>
      <c r="F1043" s="27" t="n">
        <v>3.03</v>
      </c>
      <c r="G1043" s="27" t="s">
        <v>1875</v>
      </c>
      <c r="H1043" s="27" t="s">
        <v>2007</v>
      </c>
      <c r="I1043" s="27" t="s">
        <v>1876</v>
      </c>
      <c r="J1043" s="27" t="s">
        <v>2415</v>
      </c>
      <c r="K1043" s="27" t="n">
        <v>2747</v>
      </c>
      <c r="L1043" s="27" t="n">
        <v>704</v>
      </c>
      <c r="M1043" s="28" t="n">
        <f aca="false">IFERROR(VLOOKUP((OFFSET(hoje12_326_ana9,1042,10,1,1)&amp;"."&amp;OFFSET(hoje12_326_ana9,1042,11,1,1)),'12.326'!A:D,4,0),"-")</f>
        <v>6813685001577</v>
      </c>
    </row>
    <row r="1044" customFormat="false" ht="14.4" hidden="false" customHeight="false" outlineLevel="0" collapsed="false">
      <c r="A1044" s="27" t="n">
        <v>11100239</v>
      </c>
      <c r="B1044" s="27" t="s">
        <v>1924</v>
      </c>
      <c r="C1044" s="43" t="n">
        <v>3247.2</v>
      </c>
      <c r="D1044" s="27" t="n">
        <v>0</v>
      </c>
      <c r="E1044" s="27" t="n">
        <v>720</v>
      </c>
      <c r="F1044" s="27" t="n">
        <v>4.51</v>
      </c>
      <c r="G1044" s="27" t="s">
        <v>1875</v>
      </c>
      <c r="H1044" s="27" t="s">
        <v>68</v>
      </c>
      <c r="I1044" s="27" t="s">
        <v>1876</v>
      </c>
      <c r="J1044" s="27" t="s">
        <v>1877</v>
      </c>
      <c r="K1044" s="27" t="n">
        <v>2747</v>
      </c>
      <c r="L1044" s="27" t="n">
        <v>704</v>
      </c>
      <c r="M1044" s="28" t="n">
        <f aca="false">IFERROR(VLOOKUP((OFFSET(hoje12_326_ana9,1043,10,1,1)&amp;"."&amp;OFFSET(hoje12_326_ana9,1043,11,1,1)),'12.326'!A:D,4,0),"-")</f>
        <v>6813685001577</v>
      </c>
    </row>
    <row r="1045" customFormat="false" ht="14.4" hidden="false" customHeight="false" outlineLevel="0" collapsed="false">
      <c r="A1045" s="27" t="n">
        <v>11100254</v>
      </c>
      <c r="B1045" s="27" t="s">
        <v>1925</v>
      </c>
      <c r="C1045" s="43" t="n">
        <v>746.28</v>
      </c>
      <c r="D1045" s="27" t="n">
        <v>82.92</v>
      </c>
      <c r="E1045" s="27" t="n">
        <v>120</v>
      </c>
      <c r="F1045" s="27" t="n">
        <v>6.91</v>
      </c>
      <c r="G1045" s="27" t="s">
        <v>1875</v>
      </c>
      <c r="H1045" s="27" t="s">
        <v>1895</v>
      </c>
      <c r="I1045" s="27" t="s">
        <v>1876</v>
      </c>
      <c r="J1045" s="27" t="s">
        <v>2416</v>
      </c>
      <c r="K1045" s="27" t="n">
        <v>2747</v>
      </c>
      <c r="L1045" s="27" t="n">
        <v>704</v>
      </c>
      <c r="M1045" s="28" t="n">
        <f aca="false">IFERROR(VLOOKUP((OFFSET(hoje12_326_ana9,1044,10,1,1)&amp;"."&amp;OFFSET(hoje12_326_ana9,1044,11,1,1)),'12.326'!A:D,4,0),"-")</f>
        <v>6813685001577</v>
      </c>
    </row>
    <row r="1046" customFormat="false" ht="14.4" hidden="false" customHeight="false" outlineLevel="0" collapsed="false">
      <c r="A1046" s="27" t="n">
        <v>11100256</v>
      </c>
      <c r="B1046" s="27" t="s">
        <v>1928</v>
      </c>
      <c r="C1046" s="43" t="n">
        <v>746.28</v>
      </c>
      <c r="D1046" s="27" t="n">
        <v>82.92</v>
      </c>
      <c r="E1046" s="27" t="n">
        <v>120</v>
      </c>
      <c r="F1046" s="27" t="n">
        <v>6.91</v>
      </c>
      <c r="G1046" s="27" t="s">
        <v>1875</v>
      </c>
      <c r="H1046" s="27" t="s">
        <v>1895</v>
      </c>
      <c r="I1046" s="27" t="s">
        <v>1876</v>
      </c>
      <c r="J1046" s="27" t="s">
        <v>2416</v>
      </c>
      <c r="K1046" s="27" t="n">
        <v>2747</v>
      </c>
      <c r="L1046" s="27" t="n">
        <v>704</v>
      </c>
      <c r="M1046" s="28" t="n">
        <f aca="false">IFERROR(VLOOKUP((OFFSET(hoje12_326_ana9,1045,10,1,1)&amp;"."&amp;OFFSET(hoje12_326_ana9,1045,11,1,1)),'12.326'!A:D,4,0),"-")</f>
        <v>6813685001577</v>
      </c>
    </row>
    <row r="1047" customFormat="false" ht="14.4" hidden="false" customHeight="false" outlineLevel="0" collapsed="false">
      <c r="A1047" s="27" t="n">
        <v>11100273</v>
      </c>
      <c r="B1047" s="27" t="s">
        <v>2386</v>
      </c>
      <c r="C1047" s="43" t="n">
        <v>128.63</v>
      </c>
      <c r="D1047" s="27" t="n">
        <v>14.29</v>
      </c>
      <c r="E1047" s="27" t="n">
        <v>18</v>
      </c>
      <c r="F1047" s="27" t="n">
        <v>7.94</v>
      </c>
      <c r="G1047" s="27" t="s">
        <v>1875</v>
      </c>
      <c r="H1047" s="27" t="s">
        <v>1895</v>
      </c>
      <c r="I1047" s="27" t="s">
        <v>1876</v>
      </c>
      <c r="J1047" s="27" t="s">
        <v>2297</v>
      </c>
      <c r="K1047" s="27" t="n">
        <v>2747</v>
      </c>
      <c r="L1047" s="27" t="n">
        <v>704</v>
      </c>
      <c r="M1047" s="28" t="n">
        <f aca="false">IFERROR(VLOOKUP((OFFSET(hoje12_326_ana9,1046,10,1,1)&amp;"."&amp;OFFSET(hoje12_326_ana9,1046,11,1,1)),'12.326'!A:D,4,0),"-")</f>
        <v>6813685001577</v>
      </c>
    </row>
    <row r="1048" customFormat="false" ht="14.4" hidden="false" customHeight="false" outlineLevel="0" collapsed="false">
      <c r="A1048" s="27" t="n">
        <v>11100282</v>
      </c>
      <c r="B1048" s="27" t="s">
        <v>2102</v>
      </c>
      <c r="C1048" s="43" t="n">
        <v>128.63</v>
      </c>
      <c r="D1048" s="27" t="n">
        <v>14.29</v>
      </c>
      <c r="E1048" s="27" t="n">
        <v>18</v>
      </c>
      <c r="F1048" s="27" t="n">
        <v>7.94</v>
      </c>
      <c r="G1048" s="27" t="s">
        <v>1875</v>
      </c>
      <c r="H1048" s="27" t="s">
        <v>1895</v>
      </c>
      <c r="I1048" s="27" t="s">
        <v>1876</v>
      </c>
      <c r="J1048" s="27" t="s">
        <v>2297</v>
      </c>
      <c r="K1048" s="27" t="n">
        <v>2747</v>
      </c>
      <c r="L1048" s="27" t="n">
        <v>704</v>
      </c>
      <c r="M1048" s="28" t="n">
        <f aca="false">IFERROR(VLOOKUP((OFFSET(hoje12_326_ana9,1047,10,1,1)&amp;"."&amp;OFFSET(hoje12_326_ana9,1047,11,1,1)),'12.326'!A:D,4,0),"-")</f>
        <v>6813685001577</v>
      </c>
    </row>
    <row r="1049" customFormat="false" ht="14.4" hidden="false" customHeight="false" outlineLevel="0" collapsed="false">
      <c r="A1049" s="27" t="n">
        <v>11100318</v>
      </c>
      <c r="B1049" s="27" t="s">
        <v>1938</v>
      </c>
      <c r="C1049" s="43" t="n">
        <v>208.32</v>
      </c>
      <c r="D1049" s="27" t="n">
        <v>0</v>
      </c>
      <c r="E1049" s="27" t="n">
        <v>48</v>
      </c>
      <c r="F1049" s="27" t="n">
        <v>4.34</v>
      </c>
      <c r="G1049" s="27" t="s">
        <v>1875</v>
      </c>
      <c r="H1049" s="27" t="s">
        <v>68</v>
      </c>
      <c r="I1049" s="27" t="s">
        <v>1876</v>
      </c>
      <c r="J1049" s="27" t="s">
        <v>1877</v>
      </c>
      <c r="K1049" s="27" t="n">
        <v>2747</v>
      </c>
      <c r="L1049" s="27" t="n">
        <v>704</v>
      </c>
      <c r="M1049" s="28" t="n">
        <f aca="false">IFERROR(VLOOKUP((OFFSET(hoje12_326_ana9,1048,10,1,1)&amp;"."&amp;OFFSET(hoje12_326_ana9,1048,11,1,1)),'12.326'!A:D,4,0),"-")</f>
        <v>6813685001577</v>
      </c>
    </row>
    <row r="1050" customFormat="false" ht="14.4" hidden="false" customHeight="false" outlineLevel="0" collapsed="false">
      <c r="A1050" s="27" t="n">
        <v>11100373</v>
      </c>
      <c r="B1050" s="27" t="s">
        <v>2127</v>
      </c>
      <c r="C1050" s="43" t="n">
        <v>241.92</v>
      </c>
      <c r="D1050" s="27" t="n">
        <v>0</v>
      </c>
      <c r="E1050" s="27" t="n">
        <v>72</v>
      </c>
      <c r="F1050" s="27" t="n">
        <v>3.36</v>
      </c>
      <c r="G1050" s="27" t="s">
        <v>1875</v>
      </c>
      <c r="H1050" s="27" t="s">
        <v>68</v>
      </c>
      <c r="I1050" s="27" t="s">
        <v>1876</v>
      </c>
      <c r="J1050" s="27" t="s">
        <v>1877</v>
      </c>
      <c r="K1050" s="27" t="n">
        <v>2747</v>
      </c>
      <c r="L1050" s="27" t="n">
        <v>704</v>
      </c>
      <c r="M1050" s="28" t="n">
        <f aca="false">IFERROR(VLOOKUP((OFFSET(hoje12_326_ana9,1049,10,1,1)&amp;"."&amp;OFFSET(hoje12_326_ana9,1049,11,1,1)),'12.326'!A:D,4,0),"-")</f>
        <v>6813685001577</v>
      </c>
    </row>
    <row r="1051" customFormat="false" ht="14.4" hidden="false" customHeight="false" outlineLevel="0" collapsed="false">
      <c r="A1051" s="27" t="n">
        <v>11100421</v>
      </c>
      <c r="B1051" s="27" t="s">
        <v>1945</v>
      </c>
      <c r="C1051" s="43" t="n">
        <v>442.56</v>
      </c>
      <c r="D1051" s="27" t="n">
        <v>0</v>
      </c>
      <c r="E1051" s="27" t="n">
        <v>48</v>
      </c>
      <c r="F1051" s="27" t="n">
        <v>9.22</v>
      </c>
      <c r="G1051" s="27" t="s">
        <v>1875</v>
      </c>
      <c r="H1051" s="27" t="s">
        <v>68</v>
      </c>
      <c r="I1051" s="27" t="s">
        <v>1876</v>
      </c>
      <c r="J1051" s="27" t="s">
        <v>1877</v>
      </c>
      <c r="K1051" s="27" t="n">
        <v>2747</v>
      </c>
      <c r="L1051" s="27" t="n">
        <v>704</v>
      </c>
      <c r="M1051" s="28" t="n">
        <f aca="false">IFERROR(VLOOKUP((OFFSET(hoje12_326_ana9,1050,10,1,1)&amp;"."&amp;OFFSET(hoje12_326_ana9,1050,11,1,1)),'12.326'!A:D,4,0),"-")</f>
        <v>6813685001577</v>
      </c>
    </row>
    <row r="1052" customFormat="false" ht="14.4" hidden="false" customHeight="false" outlineLevel="0" collapsed="false">
      <c r="A1052" s="27" t="n">
        <v>11100422</v>
      </c>
      <c r="B1052" s="27" t="s">
        <v>2389</v>
      </c>
      <c r="C1052" s="43" t="n">
        <v>442.56</v>
      </c>
      <c r="D1052" s="27" t="n">
        <v>0</v>
      </c>
      <c r="E1052" s="27" t="n">
        <v>48</v>
      </c>
      <c r="F1052" s="27" t="n">
        <v>9.22</v>
      </c>
      <c r="G1052" s="27" t="s">
        <v>1875</v>
      </c>
      <c r="H1052" s="27" t="s">
        <v>68</v>
      </c>
      <c r="I1052" s="27" t="s">
        <v>1876</v>
      </c>
      <c r="J1052" s="27" t="s">
        <v>1877</v>
      </c>
      <c r="K1052" s="27" t="n">
        <v>2747</v>
      </c>
      <c r="L1052" s="27" t="n">
        <v>704</v>
      </c>
      <c r="M1052" s="28" t="n">
        <f aca="false">IFERROR(VLOOKUP((OFFSET(hoje12_326_ana9,1051,10,1,1)&amp;"."&amp;OFFSET(hoje12_326_ana9,1051,11,1,1)),'12.326'!A:D,4,0),"-")</f>
        <v>6813685001577</v>
      </c>
    </row>
    <row r="1053" customFormat="false" ht="14.4" hidden="false" customHeight="false" outlineLevel="0" collapsed="false">
      <c r="A1053" s="27" t="n">
        <v>11100478</v>
      </c>
      <c r="B1053" s="27" t="s">
        <v>2233</v>
      </c>
      <c r="C1053" s="43" t="n">
        <v>1077.12</v>
      </c>
      <c r="D1053" s="27" t="n">
        <v>0</v>
      </c>
      <c r="E1053" s="27" t="n">
        <v>144</v>
      </c>
      <c r="F1053" s="27" t="n">
        <v>7.48</v>
      </c>
      <c r="G1053" s="27" t="s">
        <v>1875</v>
      </c>
      <c r="H1053" s="27" t="s">
        <v>68</v>
      </c>
      <c r="I1053" s="27" t="s">
        <v>1876</v>
      </c>
      <c r="J1053" s="27" t="s">
        <v>1877</v>
      </c>
      <c r="K1053" s="27" t="n">
        <v>2747</v>
      </c>
      <c r="L1053" s="27" t="n">
        <v>704</v>
      </c>
      <c r="M1053" s="28" t="n">
        <f aca="false">IFERROR(VLOOKUP((OFFSET(hoje12_326_ana9,1052,10,1,1)&amp;"."&amp;OFFSET(hoje12_326_ana9,1052,11,1,1)),'12.326'!A:D,4,0),"-")</f>
        <v>6813685001577</v>
      </c>
    </row>
    <row r="1054" customFormat="false" ht="14.4" hidden="false" customHeight="false" outlineLevel="0" collapsed="false">
      <c r="A1054" s="27" t="n">
        <v>11100491</v>
      </c>
      <c r="B1054" s="27" t="s">
        <v>2390</v>
      </c>
      <c r="C1054" s="43" t="n">
        <v>189.36</v>
      </c>
      <c r="D1054" s="27" t="n">
        <v>21.04</v>
      </c>
      <c r="E1054" s="27" t="n">
        <v>16</v>
      </c>
      <c r="F1054" s="27" t="n">
        <v>13.15</v>
      </c>
      <c r="G1054" s="27" t="s">
        <v>1875</v>
      </c>
      <c r="H1054" s="27" t="s">
        <v>1895</v>
      </c>
      <c r="I1054" s="27" t="s">
        <v>1876</v>
      </c>
      <c r="J1054" s="27" t="s">
        <v>2391</v>
      </c>
      <c r="K1054" s="27" t="n">
        <v>2747</v>
      </c>
      <c r="L1054" s="27" t="n">
        <v>704</v>
      </c>
      <c r="M1054" s="28" t="n">
        <f aca="false">IFERROR(VLOOKUP((OFFSET(hoje12_326_ana9,1053,10,1,1)&amp;"."&amp;OFFSET(hoje12_326_ana9,1053,11,1,1)),'12.326'!A:D,4,0),"-")</f>
        <v>6813685001577</v>
      </c>
    </row>
    <row r="1055" customFormat="false" ht="14.4" hidden="false" customHeight="false" outlineLevel="0" collapsed="false">
      <c r="A1055" s="27" t="n">
        <v>11100542</v>
      </c>
      <c r="B1055" s="27" t="s">
        <v>2113</v>
      </c>
      <c r="C1055" s="43" t="n">
        <v>420.12</v>
      </c>
      <c r="D1055" s="27" t="n">
        <v>0</v>
      </c>
      <c r="E1055" s="27" t="n">
        <v>36</v>
      </c>
      <c r="F1055" s="27" t="n">
        <v>11.67</v>
      </c>
      <c r="G1055" s="27" t="s">
        <v>1875</v>
      </c>
      <c r="H1055" s="27" t="s">
        <v>68</v>
      </c>
      <c r="I1055" s="27" t="s">
        <v>1876</v>
      </c>
      <c r="J1055" s="27" t="s">
        <v>1877</v>
      </c>
      <c r="K1055" s="27" t="n">
        <v>2747</v>
      </c>
      <c r="L1055" s="27" t="n">
        <v>704</v>
      </c>
      <c r="M1055" s="28" t="n">
        <f aca="false">IFERROR(VLOOKUP((OFFSET(hoje12_326_ana9,1054,10,1,1)&amp;"."&amp;OFFSET(hoje12_326_ana9,1054,11,1,1)),'12.326'!A:D,4,0),"-")</f>
        <v>6813685001577</v>
      </c>
    </row>
    <row r="1056" customFormat="false" ht="14.4" hidden="false" customHeight="false" outlineLevel="0" collapsed="false">
      <c r="A1056" s="27" t="n">
        <v>11100543</v>
      </c>
      <c r="B1056" s="27" t="s">
        <v>2115</v>
      </c>
      <c r="C1056" s="43" t="n">
        <v>411.6</v>
      </c>
      <c r="D1056" s="27" t="n">
        <v>0</v>
      </c>
      <c r="E1056" s="27" t="n">
        <v>24</v>
      </c>
      <c r="F1056" s="27" t="n">
        <v>17.15</v>
      </c>
      <c r="G1056" s="27" t="s">
        <v>1875</v>
      </c>
      <c r="H1056" s="27" t="s">
        <v>68</v>
      </c>
      <c r="I1056" s="27" t="s">
        <v>1876</v>
      </c>
      <c r="J1056" s="27" t="s">
        <v>1877</v>
      </c>
      <c r="K1056" s="27" t="n">
        <v>2747</v>
      </c>
      <c r="L1056" s="27" t="n">
        <v>704</v>
      </c>
      <c r="M1056" s="28" t="n">
        <f aca="false">IFERROR(VLOOKUP((OFFSET(hoje12_326_ana9,1055,10,1,1)&amp;"."&amp;OFFSET(hoje12_326_ana9,1055,11,1,1)),'12.326'!A:D,4,0),"-")</f>
        <v>6813685001577</v>
      </c>
    </row>
    <row r="1057" customFormat="false" ht="14.4" hidden="false" customHeight="false" outlineLevel="0" collapsed="false">
      <c r="A1057" s="27" t="n">
        <v>11100672</v>
      </c>
      <c r="B1057" s="27" t="s">
        <v>2392</v>
      </c>
      <c r="C1057" s="43" t="n">
        <v>1331.42</v>
      </c>
      <c r="D1057" s="27" t="n">
        <v>115.78</v>
      </c>
      <c r="E1057" s="27" t="n">
        <v>432</v>
      </c>
      <c r="F1057" s="27" t="n">
        <v>3.35</v>
      </c>
      <c r="G1057" s="27" t="s">
        <v>1875</v>
      </c>
      <c r="H1057" s="27" t="s">
        <v>1960</v>
      </c>
      <c r="I1057" s="27" t="s">
        <v>1876</v>
      </c>
      <c r="J1057" s="27" t="s">
        <v>2395</v>
      </c>
      <c r="K1057" s="27" t="n">
        <v>2747</v>
      </c>
      <c r="L1057" s="27" t="n">
        <v>704</v>
      </c>
      <c r="M1057" s="28" t="n">
        <f aca="false">IFERROR(VLOOKUP((OFFSET(hoje12_326_ana9,1056,10,1,1)&amp;"."&amp;OFFSET(hoje12_326_ana9,1056,11,1,1)),'12.326'!A:D,4,0),"-")</f>
        <v>6813685001577</v>
      </c>
    </row>
    <row r="1058" customFormat="false" ht="14.4" hidden="false" customHeight="false" outlineLevel="0" collapsed="false">
      <c r="A1058" s="27" t="n">
        <v>11100680</v>
      </c>
      <c r="B1058" s="27" t="s">
        <v>2394</v>
      </c>
      <c r="C1058" s="43" t="n">
        <v>1331.42</v>
      </c>
      <c r="D1058" s="27" t="n">
        <v>115.78</v>
      </c>
      <c r="E1058" s="27" t="n">
        <v>432</v>
      </c>
      <c r="F1058" s="27" t="n">
        <v>3.35</v>
      </c>
      <c r="G1058" s="27" t="s">
        <v>1875</v>
      </c>
      <c r="H1058" s="27" t="s">
        <v>1960</v>
      </c>
      <c r="I1058" s="27" t="s">
        <v>1876</v>
      </c>
      <c r="J1058" s="27" t="s">
        <v>2395</v>
      </c>
      <c r="K1058" s="27" t="n">
        <v>2747</v>
      </c>
      <c r="L1058" s="27" t="n">
        <v>704</v>
      </c>
      <c r="M1058" s="28" t="n">
        <f aca="false">IFERROR(VLOOKUP((OFFSET(hoje12_326_ana9,1057,10,1,1)&amp;"."&amp;OFFSET(hoje12_326_ana9,1057,11,1,1)),'12.326'!A:D,4,0),"-")</f>
        <v>6813685001577</v>
      </c>
    </row>
    <row r="1059" customFormat="false" ht="14.4" hidden="false" customHeight="false" outlineLevel="0" collapsed="false">
      <c r="A1059" s="27" t="n">
        <v>11100682</v>
      </c>
      <c r="B1059" s="27" t="s">
        <v>1958</v>
      </c>
      <c r="C1059" s="43" t="n">
        <v>887.62</v>
      </c>
      <c r="D1059" s="27" t="n">
        <v>77.18</v>
      </c>
      <c r="E1059" s="27" t="n">
        <v>288</v>
      </c>
      <c r="F1059" s="27" t="n">
        <v>3.35</v>
      </c>
      <c r="G1059" s="27" t="s">
        <v>1875</v>
      </c>
      <c r="H1059" s="27" t="s">
        <v>1960</v>
      </c>
      <c r="I1059" s="27" t="s">
        <v>1876</v>
      </c>
      <c r="J1059" s="27" t="s">
        <v>2417</v>
      </c>
      <c r="K1059" s="27" t="n">
        <v>2747</v>
      </c>
      <c r="L1059" s="27" t="n">
        <v>704</v>
      </c>
      <c r="M1059" s="28" t="n">
        <f aca="false">IFERROR(VLOOKUP((OFFSET(hoje12_326_ana9,1058,10,1,1)&amp;"."&amp;OFFSET(hoje12_326_ana9,1058,11,1,1)),'12.326'!A:D,4,0),"-")</f>
        <v>6813685001577</v>
      </c>
    </row>
    <row r="1060" customFormat="false" ht="14.4" hidden="false" customHeight="false" outlineLevel="0" collapsed="false">
      <c r="A1060" s="27" t="n">
        <v>11100691</v>
      </c>
      <c r="B1060" s="27" t="s">
        <v>2079</v>
      </c>
      <c r="C1060" s="43" t="n">
        <v>596.16</v>
      </c>
      <c r="D1060" s="27" t="n">
        <v>97.2</v>
      </c>
      <c r="E1060" s="27" t="n">
        <v>324</v>
      </c>
      <c r="F1060" s="27" t="n">
        <v>2.14</v>
      </c>
      <c r="G1060" s="27" t="s">
        <v>1875</v>
      </c>
      <c r="H1060" s="27" t="s">
        <v>2030</v>
      </c>
      <c r="I1060" s="27" t="s">
        <v>1876</v>
      </c>
      <c r="J1060" s="27" t="s">
        <v>2418</v>
      </c>
      <c r="K1060" s="27" t="n">
        <v>2747</v>
      </c>
      <c r="L1060" s="27" t="n">
        <v>704</v>
      </c>
      <c r="M1060" s="28" t="n">
        <f aca="false">IFERROR(VLOOKUP((OFFSET(hoje12_326_ana9,1059,10,1,1)&amp;"."&amp;OFFSET(hoje12_326_ana9,1059,11,1,1)),'12.326'!A:D,4,0),"-")</f>
        <v>6813685001577</v>
      </c>
    </row>
    <row r="1061" customFormat="false" ht="14.4" hidden="false" customHeight="false" outlineLevel="0" collapsed="false">
      <c r="A1061" s="27" t="n">
        <v>11100698</v>
      </c>
      <c r="B1061" s="27" t="s">
        <v>2029</v>
      </c>
      <c r="C1061" s="43" t="n">
        <v>231.12</v>
      </c>
      <c r="D1061" s="27" t="n">
        <v>0</v>
      </c>
      <c r="E1061" s="27" t="n">
        <v>108</v>
      </c>
      <c r="F1061" s="27" t="n">
        <v>2.14</v>
      </c>
      <c r="G1061" s="27" t="s">
        <v>1875</v>
      </c>
      <c r="H1061" s="27" t="s">
        <v>68</v>
      </c>
      <c r="I1061" s="27" t="s">
        <v>1876</v>
      </c>
      <c r="J1061" s="27" t="s">
        <v>1877</v>
      </c>
      <c r="K1061" s="27" t="n">
        <v>2747</v>
      </c>
      <c r="L1061" s="27" t="n">
        <v>704</v>
      </c>
      <c r="M1061" s="28" t="n">
        <f aca="false">IFERROR(VLOOKUP((OFFSET(hoje12_326_ana9,1060,10,1,1)&amp;"."&amp;OFFSET(hoje12_326_ana9,1060,11,1,1)),'12.326'!A:D,4,0),"-")</f>
        <v>6813685001577</v>
      </c>
    </row>
    <row r="1062" customFormat="false" ht="14.4" hidden="false" customHeight="false" outlineLevel="0" collapsed="false">
      <c r="A1062" s="27" t="n">
        <v>11100719</v>
      </c>
      <c r="B1062" s="27" t="s">
        <v>2398</v>
      </c>
      <c r="C1062" s="43" t="n">
        <v>1331.42</v>
      </c>
      <c r="D1062" s="27" t="n">
        <v>115.78</v>
      </c>
      <c r="E1062" s="27" t="n">
        <v>432</v>
      </c>
      <c r="F1062" s="27" t="n">
        <v>3.35</v>
      </c>
      <c r="G1062" s="27" t="s">
        <v>1875</v>
      </c>
      <c r="H1062" s="27" t="s">
        <v>1960</v>
      </c>
      <c r="I1062" s="27" t="s">
        <v>1876</v>
      </c>
      <c r="J1062" s="27" t="s">
        <v>2395</v>
      </c>
      <c r="K1062" s="27" t="n">
        <v>2747</v>
      </c>
      <c r="L1062" s="27" t="n">
        <v>704</v>
      </c>
      <c r="M1062" s="28" t="n">
        <f aca="false">IFERROR(VLOOKUP((OFFSET(hoje12_326_ana9,1061,10,1,1)&amp;"."&amp;OFFSET(hoje12_326_ana9,1061,11,1,1)),'12.326'!A:D,4,0),"-")</f>
        <v>6813685001577</v>
      </c>
    </row>
    <row r="1063" customFormat="false" ht="14.4" hidden="false" customHeight="false" outlineLevel="0" collapsed="false">
      <c r="A1063" s="27" t="n">
        <v>11100743</v>
      </c>
      <c r="B1063" s="27" t="s">
        <v>2400</v>
      </c>
      <c r="C1063" s="43" t="n">
        <v>339.55</v>
      </c>
      <c r="D1063" s="27" t="n">
        <v>112.61</v>
      </c>
      <c r="E1063" s="27" t="n">
        <v>144</v>
      </c>
      <c r="F1063" s="27" t="n">
        <v>3.14</v>
      </c>
      <c r="G1063" s="27" t="s">
        <v>1875</v>
      </c>
      <c r="H1063" s="27" t="s">
        <v>2244</v>
      </c>
      <c r="I1063" s="27" t="s">
        <v>1876</v>
      </c>
      <c r="J1063" s="27" t="s">
        <v>2247</v>
      </c>
      <c r="K1063" s="27" t="n">
        <v>2747</v>
      </c>
      <c r="L1063" s="27" t="n">
        <v>704</v>
      </c>
      <c r="M1063" s="28" t="n">
        <f aca="false">IFERROR(VLOOKUP((OFFSET(hoje12_326_ana9,1062,10,1,1)&amp;"."&amp;OFFSET(hoje12_326_ana9,1062,11,1,1)),'12.326'!A:D,4,0),"-")</f>
        <v>6813685001577</v>
      </c>
    </row>
    <row r="1064" customFormat="false" ht="14.4" hidden="false" customHeight="false" outlineLevel="0" collapsed="false">
      <c r="A1064" s="27" t="n">
        <v>11100757</v>
      </c>
      <c r="B1064" s="27" t="s">
        <v>2246</v>
      </c>
      <c r="C1064" s="43" t="n">
        <v>339.55</v>
      </c>
      <c r="D1064" s="27" t="n">
        <v>112.61</v>
      </c>
      <c r="E1064" s="27" t="n">
        <v>144</v>
      </c>
      <c r="F1064" s="27" t="n">
        <v>3.14</v>
      </c>
      <c r="G1064" s="27" t="s">
        <v>1875</v>
      </c>
      <c r="H1064" s="27" t="s">
        <v>2244</v>
      </c>
      <c r="I1064" s="27" t="s">
        <v>1876</v>
      </c>
      <c r="J1064" s="27" t="s">
        <v>2247</v>
      </c>
      <c r="K1064" s="27" t="n">
        <v>2747</v>
      </c>
      <c r="L1064" s="27" t="n">
        <v>704</v>
      </c>
      <c r="M1064" s="28" t="n">
        <f aca="false">IFERROR(VLOOKUP((OFFSET(hoje12_326_ana9,1063,10,1,1)&amp;"."&amp;OFFSET(hoje12_326_ana9,1063,11,1,1)),'12.326'!A:D,4,0),"-")</f>
        <v>6813685001577</v>
      </c>
    </row>
    <row r="1065" customFormat="false" ht="14.4" hidden="false" customHeight="false" outlineLevel="0" collapsed="false">
      <c r="A1065" s="27" t="n">
        <v>11100773</v>
      </c>
      <c r="B1065" s="27" t="s">
        <v>2061</v>
      </c>
      <c r="C1065" s="43" t="n">
        <v>509.33</v>
      </c>
      <c r="D1065" s="27" t="n">
        <v>168.91</v>
      </c>
      <c r="E1065" s="27" t="n">
        <v>216</v>
      </c>
      <c r="F1065" s="27" t="n">
        <v>3.14</v>
      </c>
      <c r="G1065" s="27" t="s">
        <v>1875</v>
      </c>
      <c r="H1065" s="27" t="s">
        <v>2244</v>
      </c>
      <c r="I1065" s="27" t="s">
        <v>1876</v>
      </c>
      <c r="J1065" s="27" t="s">
        <v>2403</v>
      </c>
      <c r="K1065" s="27" t="n">
        <v>2747</v>
      </c>
      <c r="L1065" s="27" t="n">
        <v>704</v>
      </c>
      <c r="M1065" s="28" t="n">
        <f aca="false">IFERROR(VLOOKUP((OFFSET(hoje12_326_ana9,1064,10,1,1)&amp;"."&amp;OFFSET(hoje12_326_ana9,1064,11,1,1)),'12.326'!A:D,4,0),"-")</f>
        <v>6813685001577</v>
      </c>
    </row>
    <row r="1066" customFormat="false" ht="14.4" hidden="false" customHeight="false" outlineLevel="0" collapsed="false">
      <c r="A1066" s="27" t="n">
        <v>11100820</v>
      </c>
      <c r="B1066" s="27" t="s">
        <v>1963</v>
      </c>
      <c r="C1066" s="43" t="n">
        <v>284.69</v>
      </c>
      <c r="D1066" s="27" t="n">
        <v>31.63</v>
      </c>
      <c r="E1066" s="27" t="n">
        <v>48</v>
      </c>
      <c r="F1066" s="27" t="n">
        <v>6.59</v>
      </c>
      <c r="G1066" s="27" t="s">
        <v>1875</v>
      </c>
      <c r="H1066" s="27" t="s">
        <v>1895</v>
      </c>
      <c r="I1066" s="27" t="s">
        <v>1876</v>
      </c>
      <c r="J1066" s="27" t="s">
        <v>2419</v>
      </c>
      <c r="K1066" s="27" t="n">
        <v>2747</v>
      </c>
      <c r="L1066" s="27" t="n">
        <v>704</v>
      </c>
      <c r="M1066" s="28" t="n">
        <f aca="false">IFERROR(VLOOKUP((OFFSET(hoje12_326_ana9,1065,10,1,1)&amp;"."&amp;OFFSET(hoje12_326_ana9,1065,11,1,1)),'12.326'!A:D,4,0),"-")</f>
        <v>6813685001577</v>
      </c>
    </row>
    <row r="1067" customFormat="false" ht="14.4" hidden="false" customHeight="false" outlineLevel="0" collapsed="false">
      <c r="A1067" s="27" t="n">
        <v>11100822</v>
      </c>
      <c r="B1067" s="27" t="s">
        <v>1966</v>
      </c>
      <c r="C1067" s="43" t="n">
        <v>355.86</v>
      </c>
      <c r="D1067" s="27" t="n">
        <v>39.54</v>
      </c>
      <c r="E1067" s="27" t="n">
        <v>60</v>
      </c>
      <c r="F1067" s="27" t="n">
        <v>6.59</v>
      </c>
      <c r="G1067" s="27" t="s">
        <v>1875</v>
      </c>
      <c r="H1067" s="27" t="s">
        <v>1895</v>
      </c>
      <c r="I1067" s="27" t="s">
        <v>1876</v>
      </c>
      <c r="J1067" s="27" t="s">
        <v>2153</v>
      </c>
      <c r="K1067" s="27" t="n">
        <v>2747</v>
      </c>
      <c r="L1067" s="27" t="n">
        <v>704</v>
      </c>
      <c r="M1067" s="28" t="n">
        <f aca="false">IFERROR(VLOOKUP((OFFSET(hoje12_326_ana9,1066,10,1,1)&amp;"."&amp;OFFSET(hoje12_326_ana9,1066,11,1,1)),'12.326'!A:D,4,0),"-")</f>
        <v>6813685001577</v>
      </c>
    </row>
    <row r="1068" customFormat="false" ht="14.4" hidden="false" customHeight="false" outlineLevel="0" collapsed="false">
      <c r="A1068" s="27" t="n">
        <v>11100826</v>
      </c>
      <c r="B1068" s="27" t="s">
        <v>1968</v>
      </c>
      <c r="C1068" s="43" t="n">
        <v>711.72</v>
      </c>
      <c r="D1068" s="27" t="n">
        <v>79.08</v>
      </c>
      <c r="E1068" s="27" t="n">
        <v>120</v>
      </c>
      <c r="F1068" s="27" t="n">
        <v>6.59</v>
      </c>
      <c r="G1068" s="27" t="s">
        <v>1875</v>
      </c>
      <c r="H1068" s="27" t="s">
        <v>1895</v>
      </c>
      <c r="I1068" s="27" t="s">
        <v>1876</v>
      </c>
      <c r="J1068" s="27" t="s">
        <v>1964</v>
      </c>
      <c r="K1068" s="27" t="n">
        <v>2747</v>
      </c>
      <c r="L1068" s="27" t="n">
        <v>704</v>
      </c>
      <c r="M1068" s="28" t="n">
        <f aca="false">IFERROR(VLOOKUP((OFFSET(hoje12_326_ana9,1067,10,1,1)&amp;"."&amp;OFFSET(hoje12_326_ana9,1067,11,1,1)),'12.326'!A:D,4,0),"-")</f>
        <v>6813685001577</v>
      </c>
    </row>
    <row r="1069" customFormat="false" ht="14.4" hidden="false" customHeight="false" outlineLevel="0" collapsed="false">
      <c r="A1069" s="27" t="n">
        <v>11100836</v>
      </c>
      <c r="B1069" s="27" t="s">
        <v>2069</v>
      </c>
      <c r="C1069" s="43" t="n">
        <v>122.63</v>
      </c>
      <c r="D1069" s="27" t="n">
        <v>13.63</v>
      </c>
      <c r="E1069" s="27" t="n">
        <v>18</v>
      </c>
      <c r="F1069" s="27" t="n">
        <v>7.57</v>
      </c>
      <c r="G1069" s="27" t="s">
        <v>1875</v>
      </c>
      <c r="H1069" s="27" t="s">
        <v>1895</v>
      </c>
      <c r="I1069" s="27" t="s">
        <v>1876</v>
      </c>
      <c r="J1069" s="27" t="s">
        <v>1977</v>
      </c>
      <c r="K1069" s="27" t="n">
        <v>2747</v>
      </c>
      <c r="L1069" s="27" t="n">
        <v>704</v>
      </c>
      <c r="M1069" s="28" t="n">
        <f aca="false">IFERROR(VLOOKUP((OFFSET(hoje12_326_ana9,1068,10,1,1)&amp;"."&amp;OFFSET(hoje12_326_ana9,1068,11,1,1)),'12.326'!A:D,4,0),"-")</f>
        <v>6813685001577</v>
      </c>
    </row>
    <row r="1070" customFormat="false" ht="14.4" hidden="false" customHeight="false" outlineLevel="0" collapsed="false">
      <c r="A1070" s="27" t="n">
        <v>11100850</v>
      </c>
      <c r="B1070" s="27" t="s">
        <v>2409</v>
      </c>
      <c r="C1070" s="43" t="n">
        <v>122.63</v>
      </c>
      <c r="D1070" s="27" t="n">
        <v>13.63</v>
      </c>
      <c r="E1070" s="27" t="n">
        <v>18</v>
      </c>
      <c r="F1070" s="27" t="n">
        <v>7.57</v>
      </c>
      <c r="G1070" s="27" t="s">
        <v>1875</v>
      </c>
      <c r="H1070" s="27" t="s">
        <v>1895</v>
      </c>
      <c r="I1070" s="27" t="s">
        <v>1876</v>
      </c>
      <c r="J1070" s="27" t="s">
        <v>1977</v>
      </c>
      <c r="K1070" s="27" t="n">
        <v>2747</v>
      </c>
      <c r="L1070" s="27" t="n">
        <v>704</v>
      </c>
      <c r="M1070" s="28" t="n">
        <f aca="false">IFERROR(VLOOKUP((OFFSET(hoje12_326_ana9,1069,10,1,1)&amp;"."&amp;OFFSET(hoje12_326_ana9,1069,11,1,1)),'12.326'!A:D,4,0),"-")</f>
        <v>6813685001577</v>
      </c>
    </row>
    <row r="1071" customFormat="false" ht="14.4" hidden="false" customHeight="false" outlineLevel="0" collapsed="false">
      <c r="A1071" s="27" t="n">
        <v>11100861</v>
      </c>
      <c r="B1071" s="27" t="s">
        <v>1992</v>
      </c>
      <c r="C1071" s="43" t="n">
        <v>286.15</v>
      </c>
      <c r="D1071" s="27" t="n">
        <v>31.79</v>
      </c>
      <c r="E1071" s="27" t="n">
        <v>42</v>
      </c>
      <c r="F1071" s="27" t="n">
        <v>7.57</v>
      </c>
      <c r="G1071" s="27" t="s">
        <v>1875</v>
      </c>
      <c r="H1071" s="27" t="s">
        <v>1895</v>
      </c>
      <c r="I1071" s="27" t="s">
        <v>1876</v>
      </c>
      <c r="J1071" s="27" t="s">
        <v>2420</v>
      </c>
      <c r="K1071" s="27" t="n">
        <v>2747</v>
      </c>
      <c r="L1071" s="27" t="n">
        <v>704</v>
      </c>
      <c r="M1071" s="28" t="n">
        <f aca="false">IFERROR(VLOOKUP((OFFSET(hoje12_326_ana9,1070,10,1,1)&amp;"."&amp;OFFSET(hoje12_326_ana9,1070,11,1,1)),'12.326'!A:D,4,0),"-")</f>
        <v>6813685001577</v>
      </c>
    </row>
    <row r="1072" customFormat="false" ht="14.4" hidden="false" customHeight="false" outlineLevel="0" collapsed="false">
      <c r="A1072" s="27" t="n">
        <v>11100865</v>
      </c>
      <c r="B1072" s="27" t="s">
        <v>1982</v>
      </c>
      <c r="C1072" s="43" t="n">
        <v>408.78</v>
      </c>
      <c r="D1072" s="27" t="n">
        <v>45.42</v>
      </c>
      <c r="E1072" s="27" t="n">
        <v>60</v>
      </c>
      <c r="F1072" s="27" t="n">
        <v>7.57</v>
      </c>
      <c r="G1072" s="27" t="s">
        <v>1875</v>
      </c>
      <c r="H1072" s="27" t="s">
        <v>1895</v>
      </c>
      <c r="I1072" s="27" t="s">
        <v>1876</v>
      </c>
      <c r="J1072" s="27" t="s">
        <v>2421</v>
      </c>
      <c r="K1072" s="27" t="n">
        <v>2747</v>
      </c>
      <c r="L1072" s="27" t="n">
        <v>704</v>
      </c>
      <c r="M1072" s="28" t="n">
        <f aca="false">IFERROR(VLOOKUP((OFFSET(hoje12_326_ana9,1071,10,1,1)&amp;"."&amp;OFFSET(hoje12_326_ana9,1071,11,1,1)),'12.326'!A:D,4,0),"-")</f>
        <v>6813685001577</v>
      </c>
    </row>
    <row r="1073" customFormat="false" ht="14.4" hidden="false" customHeight="false" outlineLevel="0" collapsed="false">
      <c r="A1073" s="27" t="n">
        <v>11100937</v>
      </c>
      <c r="B1073" s="27" t="s">
        <v>2015</v>
      </c>
      <c r="C1073" s="43" t="n">
        <v>1793.6</v>
      </c>
      <c r="D1073" s="27" t="n">
        <v>0</v>
      </c>
      <c r="E1073" s="27" t="n">
        <v>80</v>
      </c>
      <c r="F1073" s="27" t="n">
        <v>22.42</v>
      </c>
      <c r="G1073" s="27" t="s">
        <v>1875</v>
      </c>
      <c r="H1073" s="27" t="s">
        <v>68</v>
      </c>
      <c r="I1073" s="27" t="s">
        <v>1876</v>
      </c>
      <c r="J1073" s="27" t="s">
        <v>1877</v>
      </c>
      <c r="K1073" s="27" t="n">
        <v>2747</v>
      </c>
      <c r="L1073" s="27" t="n">
        <v>704</v>
      </c>
      <c r="M1073" s="28" t="n">
        <f aca="false">IFERROR(VLOOKUP((OFFSET(hoje12_326_ana9,1072,10,1,1)&amp;"."&amp;OFFSET(hoje12_326_ana9,1072,11,1,1)),'12.326'!A:D,4,0),"-")</f>
        <v>6813685001577</v>
      </c>
    </row>
    <row r="1074" customFormat="false" ht="14.4" hidden="false" customHeight="false" outlineLevel="0" collapsed="false">
      <c r="A1074" s="27" t="n">
        <v>11100955</v>
      </c>
      <c r="B1074" s="27" t="s">
        <v>2252</v>
      </c>
      <c r="C1074" s="43" t="n">
        <v>2367.36</v>
      </c>
      <c r="D1074" s="27" t="n">
        <v>0</v>
      </c>
      <c r="E1074" s="27" t="n">
        <v>864</v>
      </c>
      <c r="F1074" s="27" t="n">
        <v>2.74</v>
      </c>
      <c r="G1074" s="27" t="s">
        <v>1875</v>
      </c>
      <c r="H1074" s="27" t="s">
        <v>68</v>
      </c>
      <c r="I1074" s="27" t="s">
        <v>1876</v>
      </c>
      <c r="J1074" s="27" t="s">
        <v>1877</v>
      </c>
      <c r="K1074" s="27" t="n">
        <v>2747</v>
      </c>
      <c r="L1074" s="27" t="n">
        <v>704</v>
      </c>
      <c r="M1074" s="28" t="n">
        <f aca="false">IFERROR(VLOOKUP((OFFSET(hoje12_326_ana9,1073,10,1,1)&amp;"."&amp;OFFSET(hoje12_326_ana9,1073,11,1,1)),'12.326'!A:D,4,0),"-")</f>
        <v>6813685001577</v>
      </c>
    </row>
    <row r="1075" customFormat="false" ht="14.4" hidden="false" customHeight="false" outlineLevel="0" collapsed="false">
      <c r="A1075" s="27" t="n">
        <v>11100987</v>
      </c>
      <c r="B1075" s="27" t="s">
        <v>1890</v>
      </c>
      <c r="C1075" s="43" t="n">
        <v>1003.2</v>
      </c>
      <c r="D1075" s="27" t="n">
        <v>0</v>
      </c>
      <c r="E1075" s="27" t="n">
        <v>96</v>
      </c>
      <c r="F1075" s="27" t="n">
        <v>10.45</v>
      </c>
      <c r="G1075" s="27" t="s">
        <v>1875</v>
      </c>
      <c r="H1075" s="27" t="s">
        <v>68</v>
      </c>
      <c r="I1075" s="27" t="s">
        <v>1876</v>
      </c>
      <c r="J1075" s="27" t="s">
        <v>1877</v>
      </c>
      <c r="K1075" s="27" t="n">
        <v>2747</v>
      </c>
      <c r="L1075" s="27" t="n">
        <v>704</v>
      </c>
      <c r="M1075" s="28" t="n">
        <f aca="false">IFERROR(VLOOKUP((OFFSET(hoje12_326_ana9,1074,10,1,1)&amp;"."&amp;OFFSET(hoje12_326_ana9,1074,11,1,1)),'12.326'!A:D,4,0),"-")</f>
        <v>6813685001577</v>
      </c>
    </row>
    <row r="1076" customFormat="false" ht="14.4" hidden="false" customHeight="false" outlineLevel="0" collapsed="false">
      <c r="A1076" s="27" t="n">
        <v>11100065</v>
      </c>
      <c r="B1076" s="27" t="s">
        <v>2207</v>
      </c>
      <c r="C1076" s="43" t="n">
        <v>502.85</v>
      </c>
      <c r="D1076" s="27" t="n">
        <v>10.27</v>
      </c>
      <c r="E1076" s="27" t="n">
        <v>48</v>
      </c>
      <c r="F1076" s="27" t="n">
        <v>10.69</v>
      </c>
      <c r="G1076" s="27" t="s">
        <v>1875</v>
      </c>
      <c r="H1076" s="27" t="s">
        <v>2011</v>
      </c>
      <c r="I1076" s="27" t="s">
        <v>1876</v>
      </c>
      <c r="J1076" s="27" t="s">
        <v>2422</v>
      </c>
      <c r="K1076" s="27" t="n">
        <v>3249</v>
      </c>
      <c r="L1076" s="27" t="n">
        <v>705</v>
      </c>
      <c r="M1076" s="28" t="n">
        <f aca="false">IFERROR(VLOOKUP((OFFSET(hoje12_326_ana9,1075,10,1,1)&amp;"."&amp;OFFSET(hoje12_326_ana9,1075,11,1,1)),'12.326'!A:D,4,0),"-")</f>
        <v>15901440000197</v>
      </c>
    </row>
    <row r="1077" customFormat="false" ht="14.4" hidden="false" customHeight="false" outlineLevel="0" collapsed="false">
      <c r="A1077" s="27" t="n">
        <v>11100093</v>
      </c>
      <c r="B1077" s="27" t="s">
        <v>1911</v>
      </c>
      <c r="C1077" s="43" t="n">
        <v>551.81</v>
      </c>
      <c r="D1077" s="27" t="n">
        <v>11.23</v>
      </c>
      <c r="E1077" s="27" t="n">
        <v>72</v>
      </c>
      <c r="F1077" s="27" t="n">
        <v>7.82</v>
      </c>
      <c r="G1077" s="27" t="s">
        <v>1875</v>
      </c>
      <c r="H1077" s="27" t="s">
        <v>2011</v>
      </c>
      <c r="I1077" s="27" t="s">
        <v>1876</v>
      </c>
      <c r="J1077" s="27" t="s">
        <v>2423</v>
      </c>
      <c r="K1077" s="27" t="n">
        <v>3249</v>
      </c>
      <c r="L1077" s="27" t="n">
        <v>705</v>
      </c>
      <c r="M1077" s="28" t="n">
        <f aca="false">IFERROR(VLOOKUP((OFFSET(hoje12_326_ana9,1076,10,1,1)&amp;"."&amp;OFFSET(hoje12_326_ana9,1076,11,1,1)),'12.326'!A:D,4,0),"-")</f>
        <v>15901440000197</v>
      </c>
    </row>
    <row r="1078" customFormat="false" ht="14.4" hidden="false" customHeight="false" outlineLevel="0" collapsed="false">
      <c r="A1078" s="27" t="n">
        <v>11100106</v>
      </c>
      <c r="B1078" s="27" t="s">
        <v>2270</v>
      </c>
      <c r="C1078" s="43" t="n">
        <v>303.41</v>
      </c>
      <c r="D1078" s="27" t="n">
        <v>6.19</v>
      </c>
      <c r="E1078" s="27" t="n">
        <v>48</v>
      </c>
      <c r="F1078" s="27" t="n">
        <v>6.45</v>
      </c>
      <c r="G1078" s="27" t="s">
        <v>1875</v>
      </c>
      <c r="H1078" s="27" t="s">
        <v>2011</v>
      </c>
      <c r="I1078" s="27" t="s">
        <v>1876</v>
      </c>
      <c r="J1078" s="27" t="s">
        <v>2424</v>
      </c>
      <c r="K1078" s="27" t="n">
        <v>3249</v>
      </c>
      <c r="L1078" s="27" t="n">
        <v>705</v>
      </c>
      <c r="M1078" s="28" t="n">
        <f aca="false">IFERROR(VLOOKUP((OFFSET(hoje12_326_ana9,1077,10,1,1)&amp;"."&amp;OFFSET(hoje12_326_ana9,1077,11,1,1)),'12.326'!A:D,4,0),"-")</f>
        <v>15901440000197</v>
      </c>
    </row>
    <row r="1079" customFormat="false" ht="14.4" hidden="false" customHeight="false" outlineLevel="0" collapsed="false">
      <c r="A1079" s="27" t="n">
        <v>11100111</v>
      </c>
      <c r="B1079" s="27" t="s">
        <v>2425</v>
      </c>
      <c r="C1079" s="43" t="n">
        <v>330.46</v>
      </c>
      <c r="D1079" s="27" t="n">
        <v>6.74</v>
      </c>
      <c r="E1079" s="27" t="n">
        <v>24</v>
      </c>
      <c r="F1079" s="27" t="n">
        <v>14.05</v>
      </c>
      <c r="G1079" s="27" t="s">
        <v>1875</v>
      </c>
      <c r="H1079" s="27" t="s">
        <v>2011</v>
      </c>
      <c r="I1079" s="27" t="s">
        <v>1876</v>
      </c>
      <c r="J1079" s="27" t="s">
        <v>2426</v>
      </c>
      <c r="K1079" s="27" t="n">
        <v>3249</v>
      </c>
      <c r="L1079" s="27" t="n">
        <v>705</v>
      </c>
      <c r="M1079" s="28" t="n">
        <f aca="false">IFERROR(VLOOKUP((OFFSET(hoje12_326_ana9,1078,10,1,1)&amp;"."&amp;OFFSET(hoje12_326_ana9,1078,11,1,1)),'12.326'!A:D,4,0),"-")</f>
        <v>15901440000197</v>
      </c>
    </row>
    <row r="1080" customFormat="false" ht="14.4" hidden="false" customHeight="false" outlineLevel="0" collapsed="false">
      <c r="A1080" s="27" t="n">
        <v>11100138</v>
      </c>
      <c r="B1080" s="27" t="s">
        <v>2035</v>
      </c>
      <c r="C1080" s="43" t="n">
        <v>576.5</v>
      </c>
      <c r="D1080" s="27" t="n">
        <v>11.74</v>
      </c>
      <c r="E1080" s="27" t="n">
        <v>72</v>
      </c>
      <c r="F1080" s="27" t="n">
        <v>8.17</v>
      </c>
      <c r="G1080" s="27" t="s">
        <v>1875</v>
      </c>
      <c r="H1080" s="27" t="s">
        <v>2011</v>
      </c>
      <c r="I1080" s="27" t="s">
        <v>1876</v>
      </c>
      <c r="J1080" s="27" t="s">
        <v>2427</v>
      </c>
      <c r="K1080" s="27" t="n">
        <v>3249</v>
      </c>
      <c r="L1080" s="27" t="n">
        <v>705</v>
      </c>
      <c r="M1080" s="28" t="n">
        <f aca="false">IFERROR(VLOOKUP((OFFSET(hoje12_326_ana9,1079,10,1,1)&amp;"."&amp;OFFSET(hoje12_326_ana9,1079,11,1,1)),'12.326'!A:D,4,0),"-")</f>
        <v>15901440000197</v>
      </c>
    </row>
    <row r="1081" customFormat="false" ht="14.4" hidden="false" customHeight="false" outlineLevel="0" collapsed="false">
      <c r="A1081" s="27" t="n">
        <v>11100150</v>
      </c>
      <c r="B1081" s="27" t="s">
        <v>2216</v>
      </c>
      <c r="C1081" s="43" t="n">
        <v>356.88</v>
      </c>
      <c r="D1081" s="27" t="n">
        <v>7.28</v>
      </c>
      <c r="E1081" s="27" t="n">
        <v>16</v>
      </c>
      <c r="F1081" s="27" t="n">
        <v>22.76</v>
      </c>
      <c r="G1081" s="27" t="s">
        <v>1875</v>
      </c>
      <c r="H1081" s="27" t="s">
        <v>2011</v>
      </c>
      <c r="I1081" s="27" t="s">
        <v>1876</v>
      </c>
      <c r="J1081" s="27" t="s">
        <v>2428</v>
      </c>
      <c r="K1081" s="27" t="n">
        <v>3249</v>
      </c>
      <c r="L1081" s="27" t="n">
        <v>705</v>
      </c>
      <c r="M1081" s="28" t="n">
        <f aca="false">IFERROR(VLOOKUP((OFFSET(hoje12_326_ana9,1080,10,1,1)&amp;"."&amp;OFFSET(hoje12_326_ana9,1080,11,1,1)),'12.326'!A:D,4,0),"-")</f>
        <v>15901440000197</v>
      </c>
    </row>
    <row r="1082" customFormat="false" ht="14.4" hidden="false" customHeight="false" outlineLevel="0" collapsed="false">
      <c r="A1082" s="27" t="n">
        <v>11100176</v>
      </c>
      <c r="B1082" s="27" t="s">
        <v>2217</v>
      </c>
      <c r="C1082" s="43" t="n">
        <v>535.32</v>
      </c>
      <c r="D1082" s="27" t="n">
        <v>10.92</v>
      </c>
      <c r="E1082" s="27" t="n">
        <v>24</v>
      </c>
      <c r="F1082" s="27" t="n">
        <v>22.76</v>
      </c>
      <c r="G1082" s="27" t="s">
        <v>1875</v>
      </c>
      <c r="H1082" s="27" t="s">
        <v>2011</v>
      </c>
      <c r="I1082" s="27" t="s">
        <v>1876</v>
      </c>
      <c r="J1082" s="27" t="s">
        <v>2429</v>
      </c>
      <c r="K1082" s="27" t="n">
        <v>3249</v>
      </c>
      <c r="L1082" s="27" t="n">
        <v>705</v>
      </c>
      <c r="M1082" s="28" t="n">
        <f aca="false">IFERROR(VLOOKUP((OFFSET(hoje12_326_ana9,1081,10,1,1)&amp;"."&amp;OFFSET(hoje12_326_ana9,1081,11,1,1)),'12.326'!A:D,4,0),"-")</f>
        <v>15901440000197</v>
      </c>
    </row>
    <row r="1083" customFormat="false" ht="14.4" hidden="false" customHeight="false" outlineLevel="0" collapsed="false">
      <c r="A1083" s="27" t="n">
        <v>11100198</v>
      </c>
      <c r="B1083" s="27" t="s">
        <v>2281</v>
      </c>
      <c r="C1083" s="43" t="n">
        <v>192.48</v>
      </c>
      <c r="D1083" s="27" t="n">
        <v>0</v>
      </c>
      <c r="E1083" s="27" t="n">
        <v>12</v>
      </c>
      <c r="F1083" s="27" t="n">
        <v>16.04</v>
      </c>
      <c r="G1083" s="27" t="s">
        <v>1875</v>
      </c>
      <c r="H1083" s="27" t="s">
        <v>68</v>
      </c>
      <c r="I1083" s="27" t="s">
        <v>1876</v>
      </c>
      <c r="J1083" s="27" t="s">
        <v>1877</v>
      </c>
      <c r="K1083" s="27" t="n">
        <v>3249</v>
      </c>
      <c r="L1083" s="27" t="n">
        <v>705</v>
      </c>
      <c r="M1083" s="28" t="n">
        <f aca="false">IFERROR(VLOOKUP((OFFSET(hoje12_326_ana9,1082,10,1,1)&amp;"."&amp;OFFSET(hoje12_326_ana9,1082,11,1,1)),'12.326'!A:D,4,0),"-")</f>
        <v>15901440000197</v>
      </c>
    </row>
    <row r="1084" customFormat="false" ht="14.4" hidden="false" customHeight="false" outlineLevel="0" collapsed="false">
      <c r="A1084" s="27" t="n">
        <v>11100314</v>
      </c>
      <c r="B1084" s="27" t="s">
        <v>1937</v>
      </c>
      <c r="C1084" s="43" t="n">
        <v>124.42</v>
      </c>
      <c r="D1084" s="27" t="n">
        <v>2.54</v>
      </c>
      <c r="E1084" s="27" t="n">
        <v>12</v>
      </c>
      <c r="F1084" s="27" t="n">
        <v>10.58</v>
      </c>
      <c r="G1084" s="27" t="s">
        <v>1875</v>
      </c>
      <c r="H1084" s="27" t="s">
        <v>2011</v>
      </c>
      <c r="I1084" s="27" t="s">
        <v>1876</v>
      </c>
      <c r="J1084" s="27" t="s">
        <v>2430</v>
      </c>
      <c r="K1084" s="27" t="n">
        <v>3249</v>
      </c>
      <c r="L1084" s="27" t="n">
        <v>705</v>
      </c>
      <c r="M1084" s="28" t="n">
        <f aca="false">IFERROR(VLOOKUP((OFFSET(hoje12_326_ana9,1083,10,1,1)&amp;"."&amp;OFFSET(hoje12_326_ana9,1083,11,1,1)),'12.326'!A:D,4,0),"-")</f>
        <v>15901440000197</v>
      </c>
    </row>
    <row r="1085" customFormat="false" ht="14.4" hidden="false" customHeight="false" outlineLevel="0" collapsed="false">
      <c r="A1085" s="27" t="n">
        <v>11100318</v>
      </c>
      <c r="B1085" s="27" t="s">
        <v>1938</v>
      </c>
      <c r="C1085" s="43" t="n">
        <v>51.86</v>
      </c>
      <c r="D1085" s="27" t="n">
        <v>1.06</v>
      </c>
      <c r="E1085" s="27" t="n">
        <v>12</v>
      </c>
      <c r="F1085" s="27" t="n">
        <v>4.41</v>
      </c>
      <c r="G1085" s="27" t="s">
        <v>1875</v>
      </c>
      <c r="H1085" s="27" t="s">
        <v>2011</v>
      </c>
      <c r="I1085" s="27" t="s">
        <v>1876</v>
      </c>
      <c r="J1085" s="27" t="s">
        <v>2431</v>
      </c>
      <c r="K1085" s="27" t="n">
        <v>3249</v>
      </c>
      <c r="L1085" s="27" t="n">
        <v>705</v>
      </c>
      <c r="M1085" s="28" t="n">
        <f aca="false">IFERROR(VLOOKUP((OFFSET(hoje12_326_ana9,1084,10,1,1)&amp;"."&amp;OFFSET(hoje12_326_ana9,1084,11,1,1)),'12.326'!A:D,4,0),"-")</f>
        <v>15901440000197</v>
      </c>
    </row>
    <row r="1086" customFormat="false" ht="14.4" hidden="false" customHeight="false" outlineLevel="0" collapsed="false">
      <c r="A1086" s="27" t="n">
        <v>11100322</v>
      </c>
      <c r="B1086" s="27" t="s">
        <v>2284</v>
      </c>
      <c r="C1086" s="43" t="n">
        <v>89.14</v>
      </c>
      <c r="D1086" s="27" t="n">
        <v>1.82</v>
      </c>
      <c r="E1086" s="27" t="n">
        <v>24</v>
      </c>
      <c r="F1086" s="27" t="n">
        <v>3.79</v>
      </c>
      <c r="G1086" s="27" t="s">
        <v>1875</v>
      </c>
      <c r="H1086" s="27" t="s">
        <v>2011</v>
      </c>
      <c r="I1086" s="27" t="s">
        <v>1876</v>
      </c>
      <c r="J1086" s="27" t="s">
        <v>2364</v>
      </c>
      <c r="K1086" s="27" t="n">
        <v>3249</v>
      </c>
      <c r="L1086" s="27" t="n">
        <v>705</v>
      </c>
      <c r="M1086" s="28" t="n">
        <f aca="false">IFERROR(VLOOKUP((OFFSET(hoje12_326_ana9,1085,10,1,1)&amp;"."&amp;OFFSET(hoje12_326_ana9,1085,11,1,1)),'12.326'!A:D,4,0),"-")</f>
        <v>15901440000197</v>
      </c>
    </row>
    <row r="1087" customFormat="false" ht="14.4" hidden="false" customHeight="false" outlineLevel="0" collapsed="false">
      <c r="A1087" s="27" t="n">
        <v>11100350</v>
      </c>
      <c r="B1087" s="27" t="s">
        <v>1941</v>
      </c>
      <c r="C1087" s="43" t="n">
        <v>130.42</v>
      </c>
      <c r="D1087" s="27" t="n">
        <v>2.66</v>
      </c>
      <c r="E1087" s="27" t="n">
        <v>12</v>
      </c>
      <c r="F1087" s="27" t="n">
        <v>11.09</v>
      </c>
      <c r="G1087" s="27" t="s">
        <v>1875</v>
      </c>
      <c r="H1087" s="27" t="s">
        <v>2011</v>
      </c>
      <c r="I1087" s="27" t="s">
        <v>1876</v>
      </c>
      <c r="J1087" s="27" t="s">
        <v>2432</v>
      </c>
      <c r="K1087" s="27" t="n">
        <v>3249</v>
      </c>
      <c r="L1087" s="27" t="n">
        <v>705</v>
      </c>
      <c r="M1087" s="28" t="n">
        <f aca="false">IFERROR(VLOOKUP((OFFSET(hoje12_326_ana9,1086,10,1,1)&amp;"."&amp;OFFSET(hoje12_326_ana9,1086,11,1,1)),'12.326'!A:D,4,0),"-")</f>
        <v>15901440000197</v>
      </c>
    </row>
    <row r="1088" customFormat="false" ht="14.4" hidden="false" customHeight="false" outlineLevel="0" collapsed="false">
      <c r="A1088" s="27" t="n">
        <v>11100351</v>
      </c>
      <c r="B1088" s="27" t="s">
        <v>2222</v>
      </c>
      <c r="C1088" s="43" t="n">
        <v>131.83</v>
      </c>
      <c r="D1088" s="27" t="n">
        <v>2.69</v>
      </c>
      <c r="E1088" s="27" t="n">
        <v>12</v>
      </c>
      <c r="F1088" s="27" t="n">
        <v>11.21</v>
      </c>
      <c r="G1088" s="27" t="s">
        <v>1875</v>
      </c>
      <c r="H1088" s="27" t="s">
        <v>2011</v>
      </c>
      <c r="I1088" s="27" t="s">
        <v>1876</v>
      </c>
      <c r="J1088" s="27" t="s">
        <v>2433</v>
      </c>
      <c r="K1088" s="27" t="n">
        <v>3249</v>
      </c>
      <c r="L1088" s="27" t="n">
        <v>705</v>
      </c>
      <c r="M1088" s="28" t="n">
        <f aca="false">IFERROR(VLOOKUP((OFFSET(hoje12_326_ana9,1087,10,1,1)&amp;"."&amp;OFFSET(hoje12_326_ana9,1087,11,1,1)),'12.326'!A:D,4,0),"-")</f>
        <v>15901440000197</v>
      </c>
    </row>
    <row r="1089" customFormat="false" ht="14.4" hidden="false" customHeight="false" outlineLevel="0" collapsed="false">
      <c r="A1089" s="27" t="n">
        <v>11100370</v>
      </c>
      <c r="B1089" s="27" t="s">
        <v>2434</v>
      </c>
      <c r="C1089" s="43" t="n">
        <v>102.9</v>
      </c>
      <c r="D1089" s="27" t="n">
        <v>2.1</v>
      </c>
      <c r="E1089" s="27" t="n">
        <v>12</v>
      </c>
      <c r="F1089" s="27" t="n">
        <v>8.75</v>
      </c>
      <c r="G1089" s="27" t="s">
        <v>1875</v>
      </c>
      <c r="H1089" s="27" t="s">
        <v>2011</v>
      </c>
      <c r="I1089" s="27" t="s">
        <v>1876</v>
      </c>
      <c r="J1089" s="27" t="s">
        <v>2056</v>
      </c>
      <c r="K1089" s="27" t="n">
        <v>3249</v>
      </c>
      <c r="L1089" s="27" t="n">
        <v>705</v>
      </c>
      <c r="M1089" s="28" t="n">
        <f aca="false">IFERROR(VLOOKUP((OFFSET(hoje12_326_ana9,1088,10,1,1)&amp;"."&amp;OFFSET(hoje12_326_ana9,1088,11,1,1)),'12.326'!A:D,4,0),"-")</f>
        <v>15901440000197</v>
      </c>
    </row>
    <row r="1090" customFormat="false" ht="14.4" hidden="false" customHeight="false" outlineLevel="0" collapsed="false">
      <c r="A1090" s="27" t="n">
        <v>11100414</v>
      </c>
      <c r="B1090" s="27" t="s">
        <v>2435</v>
      </c>
      <c r="C1090" s="43" t="n">
        <v>80.44</v>
      </c>
      <c r="D1090" s="27" t="n">
        <v>1.64</v>
      </c>
      <c r="E1090" s="27" t="n">
        <v>6</v>
      </c>
      <c r="F1090" s="27" t="n">
        <v>13.68</v>
      </c>
      <c r="G1090" s="27" t="s">
        <v>1875</v>
      </c>
      <c r="H1090" s="27" t="s">
        <v>2011</v>
      </c>
      <c r="I1090" s="27" t="s">
        <v>1876</v>
      </c>
      <c r="J1090" s="27" t="s">
        <v>2436</v>
      </c>
      <c r="K1090" s="27" t="n">
        <v>3249</v>
      </c>
      <c r="L1090" s="27" t="n">
        <v>705</v>
      </c>
      <c r="M1090" s="28" t="n">
        <f aca="false">IFERROR(VLOOKUP((OFFSET(hoje12_326_ana9,1089,10,1,1)&amp;"."&amp;OFFSET(hoje12_326_ana9,1089,11,1,1)),'12.326'!A:D,4,0),"-")</f>
        <v>15901440000197</v>
      </c>
    </row>
    <row r="1091" customFormat="false" ht="14.4" hidden="false" customHeight="false" outlineLevel="0" collapsed="false">
      <c r="A1091" s="27" t="n">
        <v>11100418</v>
      </c>
      <c r="B1091" s="27" t="s">
        <v>2288</v>
      </c>
      <c r="C1091" s="43" t="n">
        <v>80.44</v>
      </c>
      <c r="D1091" s="27" t="n">
        <v>1.64</v>
      </c>
      <c r="E1091" s="27" t="n">
        <v>6</v>
      </c>
      <c r="F1091" s="27" t="n">
        <v>13.68</v>
      </c>
      <c r="G1091" s="27" t="s">
        <v>1875</v>
      </c>
      <c r="H1091" s="27" t="s">
        <v>2011</v>
      </c>
      <c r="I1091" s="27" t="s">
        <v>1876</v>
      </c>
      <c r="J1091" s="27" t="s">
        <v>2436</v>
      </c>
      <c r="K1091" s="27" t="n">
        <v>3249</v>
      </c>
      <c r="L1091" s="27" t="n">
        <v>705</v>
      </c>
      <c r="M1091" s="28" t="n">
        <f aca="false">IFERROR(VLOOKUP((OFFSET(hoje12_326_ana9,1090,10,1,1)&amp;"."&amp;OFFSET(hoje12_326_ana9,1090,11,1,1)),'12.326'!A:D,4,0),"-")</f>
        <v>15901440000197</v>
      </c>
    </row>
    <row r="1092" customFormat="false" ht="14.4" hidden="false" customHeight="false" outlineLevel="0" collapsed="false">
      <c r="A1092" s="27" t="n">
        <v>11100421</v>
      </c>
      <c r="B1092" s="27" t="s">
        <v>1945</v>
      </c>
      <c r="C1092" s="43" t="n">
        <v>110.08</v>
      </c>
      <c r="D1092" s="27" t="n">
        <v>2.24</v>
      </c>
      <c r="E1092" s="27" t="n">
        <v>12</v>
      </c>
      <c r="F1092" s="27" t="n">
        <v>9.36</v>
      </c>
      <c r="G1092" s="27" t="s">
        <v>1875</v>
      </c>
      <c r="H1092" s="27" t="s">
        <v>2011</v>
      </c>
      <c r="I1092" s="27" t="s">
        <v>1876</v>
      </c>
      <c r="J1092" s="27" t="s">
        <v>2437</v>
      </c>
      <c r="K1092" s="27" t="n">
        <v>3249</v>
      </c>
      <c r="L1092" s="27" t="n">
        <v>705</v>
      </c>
      <c r="M1092" s="28" t="n">
        <f aca="false">IFERROR(VLOOKUP((OFFSET(hoje12_326_ana9,1091,10,1,1)&amp;"."&amp;OFFSET(hoje12_326_ana9,1091,11,1,1)),'12.326'!A:D,4,0),"-")</f>
        <v>15901440000197</v>
      </c>
    </row>
    <row r="1093" customFormat="false" ht="14.4" hidden="false" customHeight="false" outlineLevel="0" collapsed="false">
      <c r="A1093" s="27" t="n">
        <v>11100424</v>
      </c>
      <c r="B1093" s="27" t="s">
        <v>2438</v>
      </c>
      <c r="C1093" s="43" t="n">
        <v>80.44</v>
      </c>
      <c r="D1093" s="27" t="n">
        <v>1.64</v>
      </c>
      <c r="E1093" s="27" t="n">
        <v>6</v>
      </c>
      <c r="F1093" s="27" t="n">
        <v>13.68</v>
      </c>
      <c r="G1093" s="27" t="s">
        <v>1875</v>
      </c>
      <c r="H1093" s="27" t="s">
        <v>2011</v>
      </c>
      <c r="I1093" s="27" t="s">
        <v>1876</v>
      </c>
      <c r="J1093" s="27" t="s">
        <v>2436</v>
      </c>
      <c r="K1093" s="27" t="n">
        <v>3249</v>
      </c>
      <c r="L1093" s="27" t="n">
        <v>705</v>
      </c>
      <c r="M1093" s="28" t="n">
        <f aca="false">IFERROR(VLOOKUP((OFFSET(hoje12_326_ana9,1092,10,1,1)&amp;"."&amp;OFFSET(hoje12_326_ana9,1092,11,1,1)),'12.326'!A:D,4,0),"-")</f>
        <v>15901440000197</v>
      </c>
    </row>
    <row r="1094" customFormat="false" ht="14.4" hidden="false" customHeight="false" outlineLevel="0" collapsed="false">
      <c r="A1094" s="27" t="n">
        <v>11100427</v>
      </c>
      <c r="B1094" s="27" t="s">
        <v>2223</v>
      </c>
      <c r="C1094" s="43" t="n">
        <v>80.44</v>
      </c>
      <c r="D1094" s="27" t="n">
        <v>1.64</v>
      </c>
      <c r="E1094" s="27" t="n">
        <v>6</v>
      </c>
      <c r="F1094" s="27" t="n">
        <v>13.68</v>
      </c>
      <c r="G1094" s="27" t="s">
        <v>1875</v>
      </c>
      <c r="H1094" s="27" t="s">
        <v>2011</v>
      </c>
      <c r="I1094" s="27" t="s">
        <v>1876</v>
      </c>
      <c r="J1094" s="27" t="s">
        <v>2436</v>
      </c>
      <c r="K1094" s="27" t="n">
        <v>3249</v>
      </c>
      <c r="L1094" s="27" t="n">
        <v>705</v>
      </c>
      <c r="M1094" s="28" t="n">
        <f aca="false">IFERROR(VLOOKUP((OFFSET(hoje12_326_ana9,1093,10,1,1)&amp;"."&amp;OFFSET(hoje12_326_ana9,1093,11,1,1)),'12.326'!A:D,4,0),"-")</f>
        <v>15901440000197</v>
      </c>
    </row>
    <row r="1095" customFormat="false" ht="14.4" hidden="false" customHeight="false" outlineLevel="0" collapsed="false">
      <c r="A1095" s="27" t="n">
        <v>11100456</v>
      </c>
      <c r="B1095" s="27" t="s">
        <v>2439</v>
      </c>
      <c r="C1095" s="43" t="n">
        <v>263.42</v>
      </c>
      <c r="D1095" s="27" t="n">
        <v>5.38</v>
      </c>
      <c r="E1095" s="27" t="n">
        <v>24</v>
      </c>
      <c r="F1095" s="27" t="n">
        <v>11.2</v>
      </c>
      <c r="G1095" s="27" t="s">
        <v>1875</v>
      </c>
      <c r="H1095" s="27" t="s">
        <v>2011</v>
      </c>
      <c r="I1095" s="27" t="s">
        <v>1876</v>
      </c>
      <c r="J1095" s="27" t="s">
        <v>2440</v>
      </c>
      <c r="K1095" s="27" t="n">
        <v>3249</v>
      </c>
      <c r="L1095" s="27" t="n">
        <v>705</v>
      </c>
      <c r="M1095" s="28" t="n">
        <f aca="false">IFERROR(VLOOKUP((OFFSET(hoje12_326_ana9,1094,10,1,1)&amp;"."&amp;OFFSET(hoje12_326_ana9,1094,11,1,1)),'12.326'!A:D,4,0),"-")</f>
        <v>15901440000197</v>
      </c>
    </row>
    <row r="1096" customFormat="false" ht="14.4" hidden="false" customHeight="false" outlineLevel="0" collapsed="false">
      <c r="A1096" s="27" t="n">
        <v>11100542</v>
      </c>
      <c r="B1096" s="27" t="s">
        <v>2113</v>
      </c>
      <c r="C1096" s="43" t="n">
        <v>63.99</v>
      </c>
      <c r="D1096" s="27" t="n">
        <v>7.11</v>
      </c>
      <c r="E1096" s="27" t="n">
        <v>6</v>
      </c>
      <c r="F1096" s="27" t="n">
        <v>11.85</v>
      </c>
      <c r="G1096" s="27" t="s">
        <v>1875</v>
      </c>
      <c r="H1096" s="27" t="s">
        <v>1895</v>
      </c>
      <c r="I1096" s="27" t="s">
        <v>1876</v>
      </c>
      <c r="J1096" s="27" t="s">
        <v>2441</v>
      </c>
      <c r="K1096" s="27" t="n">
        <v>3249</v>
      </c>
      <c r="L1096" s="27" t="n">
        <v>705</v>
      </c>
      <c r="M1096" s="28" t="n">
        <f aca="false">IFERROR(VLOOKUP((OFFSET(hoje12_326_ana9,1095,10,1,1)&amp;"."&amp;OFFSET(hoje12_326_ana9,1095,11,1,1)),'12.326'!A:D,4,0),"-")</f>
        <v>15901440000197</v>
      </c>
    </row>
    <row r="1097" customFormat="false" ht="14.4" hidden="false" customHeight="false" outlineLevel="0" collapsed="false">
      <c r="A1097" s="27" t="n">
        <v>11100937</v>
      </c>
      <c r="B1097" s="27" t="s">
        <v>2015</v>
      </c>
      <c r="C1097" s="43" t="n">
        <v>535.32</v>
      </c>
      <c r="D1097" s="27" t="n">
        <v>10.92</v>
      </c>
      <c r="E1097" s="27" t="n">
        <v>24</v>
      </c>
      <c r="F1097" s="27" t="n">
        <v>22.76</v>
      </c>
      <c r="G1097" s="27" t="s">
        <v>1875</v>
      </c>
      <c r="H1097" s="27" t="s">
        <v>2011</v>
      </c>
      <c r="I1097" s="27" t="s">
        <v>1876</v>
      </c>
      <c r="J1097" s="27" t="s">
        <v>2429</v>
      </c>
      <c r="K1097" s="27" t="n">
        <v>3249</v>
      </c>
      <c r="L1097" s="27" t="n">
        <v>705</v>
      </c>
      <c r="M1097" s="28" t="n">
        <f aca="false">IFERROR(VLOOKUP((OFFSET(hoje12_326_ana9,1096,10,1,1)&amp;"."&amp;OFFSET(hoje12_326_ana9,1096,11,1,1)),'12.326'!A:D,4,0),"-")</f>
        <v>15901440000197</v>
      </c>
    </row>
    <row r="1098" customFormat="false" ht="14.4" hidden="false" customHeight="false" outlineLevel="0" collapsed="false">
      <c r="A1098" s="27" t="n">
        <v>11100976</v>
      </c>
      <c r="B1098" s="27" t="s">
        <v>2139</v>
      </c>
      <c r="C1098" s="43" t="n">
        <v>181.44</v>
      </c>
      <c r="D1098" s="27" t="n">
        <v>52.92</v>
      </c>
      <c r="E1098" s="27" t="n">
        <v>108</v>
      </c>
      <c r="F1098" s="27" t="n">
        <v>2.17</v>
      </c>
      <c r="G1098" s="27" t="s">
        <v>1875</v>
      </c>
      <c r="H1098" s="27" t="s">
        <v>2442</v>
      </c>
      <c r="I1098" s="27" t="s">
        <v>1876</v>
      </c>
      <c r="J1098" s="27" t="s">
        <v>2443</v>
      </c>
      <c r="K1098" s="27" t="n">
        <v>3249</v>
      </c>
      <c r="L1098" s="27" t="n">
        <v>705</v>
      </c>
      <c r="M1098" s="28" t="n">
        <f aca="false">IFERROR(VLOOKUP((OFFSET(hoje12_326_ana9,1097,10,1,1)&amp;"."&amp;OFFSET(hoje12_326_ana9,1097,11,1,1)),'12.326'!A:D,4,0),"-")</f>
        <v>15901440000197</v>
      </c>
    </row>
    <row r="1099" customFormat="false" ht="14.4" hidden="false" customHeight="false" outlineLevel="0" collapsed="false">
      <c r="A1099" s="27" t="n">
        <v>11100216</v>
      </c>
      <c r="B1099" s="27" t="s">
        <v>1923</v>
      </c>
      <c r="C1099" s="43" t="n">
        <v>360.94</v>
      </c>
      <c r="D1099" s="27" t="n">
        <v>40.1</v>
      </c>
      <c r="E1099" s="27" t="n">
        <v>72</v>
      </c>
      <c r="F1099" s="27" t="n">
        <v>5.57</v>
      </c>
      <c r="G1099" s="27" t="s">
        <v>1875</v>
      </c>
      <c r="H1099" s="27" t="s">
        <v>1895</v>
      </c>
      <c r="I1099" s="27" t="s">
        <v>1876</v>
      </c>
      <c r="J1099" s="27" t="s">
        <v>2444</v>
      </c>
      <c r="K1099" s="27" t="n">
        <v>3249</v>
      </c>
      <c r="L1099" s="27" t="n">
        <v>705</v>
      </c>
      <c r="M1099" s="28" t="n">
        <f aca="false">IFERROR(VLOOKUP((OFFSET(hoje12_326_ana9,1098,10,1,1)&amp;"."&amp;OFFSET(hoje12_326_ana9,1098,11,1,1)),'12.326'!A:D,4,0),"-")</f>
        <v>15901440000197</v>
      </c>
    </row>
    <row r="1100" customFormat="false" ht="14.4" hidden="false" customHeight="false" outlineLevel="0" collapsed="false">
      <c r="A1100" s="27" t="n">
        <v>11100977</v>
      </c>
      <c r="B1100" s="27" t="s">
        <v>2445</v>
      </c>
      <c r="C1100" s="43" t="n">
        <v>202.68</v>
      </c>
      <c r="D1100" s="27" t="n">
        <v>42.12</v>
      </c>
      <c r="E1100" s="27" t="n">
        <v>72</v>
      </c>
      <c r="F1100" s="27" t="n">
        <v>3.4</v>
      </c>
      <c r="G1100" s="27" t="s">
        <v>1875</v>
      </c>
      <c r="H1100" s="27" t="s">
        <v>2446</v>
      </c>
      <c r="I1100" s="27" t="s">
        <v>1876</v>
      </c>
      <c r="J1100" s="27" t="s">
        <v>2447</v>
      </c>
      <c r="K1100" s="27" t="n">
        <v>3249</v>
      </c>
      <c r="L1100" s="27" t="n">
        <v>705</v>
      </c>
      <c r="M1100" s="28" t="n">
        <f aca="false">IFERROR(VLOOKUP((OFFSET(hoje12_326_ana9,1099,10,1,1)&amp;"."&amp;OFFSET(hoje12_326_ana9,1099,11,1,1)),'12.326'!A:D,4,0),"-")</f>
        <v>15901440000197</v>
      </c>
    </row>
    <row r="1101" customFormat="false" ht="14.4" hidden="false" customHeight="false" outlineLevel="0" collapsed="false">
      <c r="A1101" s="27" t="n">
        <v>11100066</v>
      </c>
      <c r="B1101" s="27" t="s">
        <v>2111</v>
      </c>
      <c r="C1101" s="43" t="n">
        <v>323.78</v>
      </c>
      <c r="D1101" s="27" t="n">
        <v>35.98</v>
      </c>
      <c r="E1101" s="27" t="n">
        <v>24</v>
      </c>
      <c r="F1101" s="27" t="n">
        <v>14.99</v>
      </c>
      <c r="G1101" s="27" t="s">
        <v>1875</v>
      </c>
      <c r="H1101" s="27" t="s">
        <v>1895</v>
      </c>
      <c r="I1101" s="27" t="s">
        <v>1876</v>
      </c>
      <c r="J1101" s="27" t="s">
        <v>2448</v>
      </c>
      <c r="K1101" s="27" t="n">
        <v>3249</v>
      </c>
      <c r="L1101" s="27" t="n">
        <v>705</v>
      </c>
      <c r="M1101" s="28" t="n">
        <f aca="false">IFERROR(VLOOKUP((OFFSET(hoje12_326_ana9,1100,10,1,1)&amp;"."&amp;OFFSET(hoje12_326_ana9,1100,11,1,1)),'12.326'!A:D,4,0),"-")</f>
        <v>15901440000197</v>
      </c>
    </row>
    <row r="1102" customFormat="false" ht="14.4" hidden="false" customHeight="false" outlineLevel="0" collapsed="false">
      <c r="A1102" s="27" t="n">
        <v>11100998</v>
      </c>
      <c r="B1102" s="27" t="s">
        <v>1887</v>
      </c>
      <c r="C1102" s="43" t="n">
        <v>329.18</v>
      </c>
      <c r="D1102" s="27" t="n">
        <v>36.58</v>
      </c>
      <c r="E1102" s="27" t="n">
        <v>24</v>
      </c>
      <c r="F1102" s="27" t="n">
        <v>15.24</v>
      </c>
      <c r="G1102" s="27" t="s">
        <v>1875</v>
      </c>
      <c r="H1102" s="27" t="s">
        <v>1895</v>
      </c>
      <c r="I1102" s="27" t="s">
        <v>1876</v>
      </c>
      <c r="J1102" s="27" t="s">
        <v>2449</v>
      </c>
      <c r="K1102" s="27" t="n">
        <v>3249</v>
      </c>
      <c r="L1102" s="27" t="n">
        <v>705</v>
      </c>
      <c r="M1102" s="28" t="n">
        <f aca="false">IFERROR(VLOOKUP((OFFSET(hoje12_326_ana9,1101,10,1,1)&amp;"."&amp;OFFSET(hoje12_326_ana9,1101,11,1,1)),'12.326'!A:D,4,0),"-")</f>
        <v>15901440000197</v>
      </c>
    </row>
    <row r="1103" customFormat="false" ht="14.4" hidden="false" customHeight="false" outlineLevel="0" collapsed="false">
      <c r="A1103" s="27" t="n">
        <v>11100987</v>
      </c>
      <c r="B1103" s="27" t="s">
        <v>1890</v>
      </c>
      <c r="C1103" s="43" t="n">
        <v>114.59</v>
      </c>
      <c r="D1103" s="27" t="n">
        <v>12.73</v>
      </c>
      <c r="E1103" s="27" t="n">
        <v>12</v>
      </c>
      <c r="F1103" s="27" t="n">
        <v>10.61</v>
      </c>
      <c r="G1103" s="27" t="s">
        <v>1875</v>
      </c>
      <c r="H1103" s="27" t="s">
        <v>1895</v>
      </c>
      <c r="I1103" s="27" t="s">
        <v>1876</v>
      </c>
      <c r="J1103" s="27" t="s">
        <v>2450</v>
      </c>
      <c r="K1103" s="27" t="n">
        <v>3249</v>
      </c>
      <c r="L1103" s="27" t="n">
        <v>705</v>
      </c>
      <c r="M1103" s="28" t="n">
        <f aca="false">IFERROR(VLOOKUP((OFFSET(hoje12_326_ana9,1102,10,1,1)&amp;"."&amp;OFFSET(hoje12_326_ana9,1102,11,1,1)),'12.326'!A:D,4,0),"-")</f>
        <v>15901440000197</v>
      </c>
    </row>
    <row r="1104" customFormat="false" ht="14.4" hidden="false" customHeight="false" outlineLevel="0" collapsed="false">
      <c r="A1104" s="27" t="n">
        <v>11100984</v>
      </c>
      <c r="B1104" s="27" t="s">
        <v>2257</v>
      </c>
      <c r="C1104" s="43" t="n">
        <v>70.69</v>
      </c>
      <c r="D1104" s="27" t="n">
        <v>7.85</v>
      </c>
      <c r="E1104" s="27" t="n">
        <v>6</v>
      </c>
      <c r="F1104" s="27" t="n">
        <v>13.09</v>
      </c>
      <c r="G1104" s="27" t="s">
        <v>1875</v>
      </c>
      <c r="H1104" s="27" t="s">
        <v>1895</v>
      </c>
      <c r="I1104" s="27" t="s">
        <v>1876</v>
      </c>
      <c r="J1104" s="27" t="s">
        <v>2451</v>
      </c>
      <c r="K1104" s="27" t="n">
        <v>3249</v>
      </c>
      <c r="L1104" s="27" t="n">
        <v>705</v>
      </c>
      <c r="M1104" s="28" t="n">
        <f aca="false">IFERROR(VLOOKUP((OFFSET(hoje12_326_ana9,1103,10,1,1)&amp;"."&amp;OFFSET(hoje12_326_ana9,1103,11,1,1)),'12.326'!A:D,4,0),"-")</f>
        <v>15901440000197</v>
      </c>
    </row>
    <row r="1105" customFormat="false" ht="14.4" hidden="false" customHeight="false" outlineLevel="0" collapsed="false">
      <c r="A1105" s="27" t="n">
        <v>11100017</v>
      </c>
      <c r="B1105" s="27" t="s">
        <v>1878</v>
      </c>
      <c r="C1105" s="43" t="n">
        <v>22.31</v>
      </c>
      <c r="D1105" s="27" t="n">
        <v>0.46</v>
      </c>
      <c r="E1105" s="27" t="n">
        <v>3</v>
      </c>
      <c r="F1105" s="27" t="n">
        <v>7.59</v>
      </c>
      <c r="G1105" s="27" t="s">
        <v>1875</v>
      </c>
      <c r="H1105" s="27" t="s">
        <v>2011</v>
      </c>
      <c r="I1105" s="27" t="s">
        <v>1876</v>
      </c>
      <c r="J1105" s="27" t="s">
        <v>2452</v>
      </c>
      <c r="K1105" s="27" t="n">
        <v>3270</v>
      </c>
      <c r="L1105" s="27" t="n">
        <v>705</v>
      </c>
      <c r="M1105" s="28" t="n">
        <f aca="false">IFERROR(VLOOKUP((OFFSET(hoje12_326_ana9,1104,10,1,1)&amp;"."&amp;OFFSET(hoje12_326_ana9,1104,11,1,1)),'12.326'!A:D,4,0),"-")</f>
        <v>20064302000130</v>
      </c>
    </row>
    <row r="1106" customFormat="false" ht="14.4" hidden="false" customHeight="false" outlineLevel="0" collapsed="false">
      <c r="A1106" s="27" t="n">
        <v>11100322</v>
      </c>
      <c r="B1106" s="27" t="s">
        <v>2284</v>
      </c>
      <c r="C1106" s="43" t="n">
        <v>45.04</v>
      </c>
      <c r="D1106" s="27" t="n">
        <v>0.92</v>
      </c>
      <c r="E1106" s="27" t="n">
        <v>12</v>
      </c>
      <c r="F1106" s="27" t="n">
        <v>3.83</v>
      </c>
      <c r="G1106" s="27" t="s">
        <v>1875</v>
      </c>
      <c r="H1106" s="27" t="s">
        <v>2011</v>
      </c>
      <c r="I1106" s="27" t="s">
        <v>1876</v>
      </c>
      <c r="J1106" s="27" t="s">
        <v>2453</v>
      </c>
      <c r="K1106" s="27" t="n">
        <v>3270</v>
      </c>
      <c r="L1106" s="27" t="n">
        <v>705</v>
      </c>
      <c r="M1106" s="28" t="n">
        <f aca="false">IFERROR(VLOOKUP((OFFSET(hoje12_326_ana9,1105,10,1,1)&amp;"."&amp;OFFSET(hoje12_326_ana9,1105,11,1,1)),'12.326'!A:D,4,0),"-")</f>
        <v>20064302000130</v>
      </c>
    </row>
    <row r="1107" customFormat="false" ht="14.4" hidden="false" customHeight="false" outlineLevel="0" collapsed="false">
      <c r="A1107" s="27" t="n">
        <v>11100329</v>
      </c>
      <c r="B1107" s="27" t="s">
        <v>2454</v>
      </c>
      <c r="C1107" s="43" t="n">
        <v>55.77</v>
      </c>
      <c r="D1107" s="27" t="n">
        <v>1.14</v>
      </c>
      <c r="E1107" s="27" t="n">
        <v>3</v>
      </c>
      <c r="F1107" s="27" t="n">
        <v>18.97</v>
      </c>
      <c r="G1107" s="27" t="s">
        <v>1875</v>
      </c>
      <c r="H1107" s="27" t="s">
        <v>2011</v>
      </c>
      <c r="I1107" s="27" t="s">
        <v>1876</v>
      </c>
      <c r="J1107" s="27" t="s">
        <v>2455</v>
      </c>
      <c r="K1107" s="27" t="n">
        <v>3270</v>
      </c>
      <c r="L1107" s="27" t="n">
        <v>705</v>
      </c>
      <c r="M1107" s="28" t="n">
        <f aca="false">IFERROR(VLOOKUP((OFFSET(hoje12_326_ana9,1106,10,1,1)&amp;"."&amp;OFFSET(hoje12_326_ana9,1106,11,1,1)),'12.326'!A:D,4,0),"-")</f>
        <v>20064302000130</v>
      </c>
    </row>
    <row r="1108" customFormat="false" ht="14.4" hidden="false" customHeight="false" outlineLevel="0" collapsed="false">
      <c r="A1108" s="27" t="n">
        <v>11100017</v>
      </c>
      <c r="B1108" s="27" t="s">
        <v>1878</v>
      </c>
      <c r="C1108" s="43" t="n">
        <v>88.56</v>
      </c>
      <c r="D1108" s="27" t="n">
        <v>0</v>
      </c>
      <c r="E1108" s="27" t="n">
        <v>12</v>
      </c>
      <c r="F1108" s="27" t="n">
        <v>7.38</v>
      </c>
      <c r="G1108" s="27" t="s">
        <v>1875</v>
      </c>
      <c r="H1108" s="27" t="s">
        <v>68</v>
      </c>
      <c r="I1108" s="27" t="s">
        <v>1876</v>
      </c>
      <c r="J1108" s="27" t="s">
        <v>1877</v>
      </c>
      <c r="K1108" s="27" t="n">
        <v>3277</v>
      </c>
      <c r="L1108" s="27" t="n">
        <v>705</v>
      </c>
      <c r="M1108" s="28" t="n">
        <f aca="false">IFERROR(VLOOKUP((OFFSET(hoje12_326_ana9,1107,10,1,1)&amp;"."&amp;OFFSET(hoje12_326_ana9,1107,11,1,1)),'12.326'!A:D,4,0),"-")</f>
        <v>15508682000115</v>
      </c>
    </row>
    <row r="1109" customFormat="false" ht="14.4" hidden="false" customHeight="false" outlineLevel="0" collapsed="false">
      <c r="A1109" s="27" t="n">
        <v>11100116</v>
      </c>
      <c r="B1109" s="27" t="s">
        <v>2456</v>
      </c>
      <c r="C1109" s="43" t="n">
        <v>650.57</v>
      </c>
      <c r="D1109" s="27" t="n">
        <v>13.27</v>
      </c>
      <c r="E1109" s="27" t="n">
        <v>24</v>
      </c>
      <c r="F1109" s="27" t="n">
        <v>27.66</v>
      </c>
      <c r="G1109" s="27" t="s">
        <v>1875</v>
      </c>
      <c r="H1109" s="27" t="s">
        <v>2011</v>
      </c>
      <c r="I1109" s="27" t="s">
        <v>1876</v>
      </c>
      <c r="J1109" s="27" t="s">
        <v>2457</v>
      </c>
      <c r="K1109" s="27" t="n">
        <v>3277</v>
      </c>
      <c r="L1109" s="27" t="n">
        <v>705</v>
      </c>
      <c r="M1109" s="28" t="n">
        <f aca="false">IFERROR(VLOOKUP((OFFSET(hoje12_326_ana9,1108,10,1,1)&amp;"."&amp;OFFSET(hoje12_326_ana9,1108,11,1,1)),'12.326'!A:D,4,0),"-")</f>
        <v>15508682000115</v>
      </c>
    </row>
    <row r="1110" customFormat="false" ht="14.4" hidden="false" customHeight="false" outlineLevel="0" collapsed="false">
      <c r="A1110" s="27" t="n">
        <v>11100138</v>
      </c>
      <c r="B1110" s="27" t="s">
        <v>2035</v>
      </c>
      <c r="C1110" s="43" t="n">
        <v>568.01</v>
      </c>
      <c r="D1110" s="27" t="n">
        <v>11.59</v>
      </c>
      <c r="E1110" s="27" t="n">
        <v>72</v>
      </c>
      <c r="F1110" s="27" t="n">
        <v>8.05</v>
      </c>
      <c r="G1110" s="27" t="s">
        <v>1875</v>
      </c>
      <c r="H1110" s="27" t="s">
        <v>2011</v>
      </c>
      <c r="I1110" s="27" t="s">
        <v>1876</v>
      </c>
      <c r="J1110" s="27" t="s">
        <v>2458</v>
      </c>
      <c r="K1110" s="27" t="n">
        <v>3277</v>
      </c>
      <c r="L1110" s="27" t="n">
        <v>705</v>
      </c>
      <c r="M1110" s="28" t="n">
        <f aca="false">IFERROR(VLOOKUP((OFFSET(hoje12_326_ana9,1109,10,1,1)&amp;"."&amp;OFFSET(hoje12_326_ana9,1109,11,1,1)),'12.326'!A:D,4,0),"-")</f>
        <v>15508682000115</v>
      </c>
    </row>
    <row r="1111" customFormat="false" ht="14.4" hidden="false" customHeight="false" outlineLevel="0" collapsed="false">
      <c r="A1111" s="27" t="n">
        <v>11100140</v>
      </c>
      <c r="B1111" s="27" t="s">
        <v>2459</v>
      </c>
      <c r="C1111" s="43" t="n">
        <v>45.45</v>
      </c>
      <c r="D1111" s="27" t="n">
        <v>0</v>
      </c>
      <c r="E1111" s="27" t="n">
        <v>9</v>
      </c>
      <c r="F1111" s="27" t="n">
        <v>5.05</v>
      </c>
      <c r="G1111" s="27" t="s">
        <v>1875</v>
      </c>
      <c r="H1111" s="27" t="s">
        <v>68</v>
      </c>
      <c r="I1111" s="27" t="s">
        <v>1876</v>
      </c>
      <c r="J1111" s="27" t="s">
        <v>1877</v>
      </c>
      <c r="K1111" s="27" t="n">
        <v>3277</v>
      </c>
      <c r="L1111" s="27" t="n">
        <v>705</v>
      </c>
      <c r="M1111" s="28" t="n">
        <f aca="false">IFERROR(VLOOKUP((OFFSET(hoje12_326_ana9,1110,10,1,1)&amp;"."&amp;OFFSET(hoje12_326_ana9,1110,11,1,1)),'12.326'!A:D,4,0),"-")</f>
        <v>15508682000115</v>
      </c>
    </row>
    <row r="1112" customFormat="false" ht="14.4" hidden="false" customHeight="false" outlineLevel="0" collapsed="false">
      <c r="A1112" s="27" t="n">
        <v>11100150</v>
      </c>
      <c r="B1112" s="27" t="s">
        <v>2216</v>
      </c>
      <c r="C1112" s="43" t="n">
        <v>351.55</v>
      </c>
      <c r="D1112" s="27" t="n">
        <v>7.17</v>
      </c>
      <c r="E1112" s="27" t="n">
        <v>16</v>
      </c>
      <c r="F1112" s="27" t="n">
        <v>22.42</v>
      </c>
      <c r="G1112" s="27" t="s">
        <v>1875</v>
      </c>
      <c r="H1112" s="27" t="s">
        <v>2011</v>
      </c>
      <c r="I1112" s="27" t="s">
        <v>1876</v>
      </c>
      <c r="J1112" s="27" t="s">
        <v>2201</v>
      </c>
      <c r="K1112" s="27" t="n">
        <v>3277</v>
      </c>
      <c r="L1112" s="27" t="n">
        <v>705</v>
      </c>
      <c r="M1112" s="28" t="n">
        <f aca="false">IFERROR(VLOOKUP((OFFSET(hoje12_326_ana9,1111,10,1,1)&amp;"."&amp;OFFSET(hoje12_326_ana9,1111,11,1,1)),'12.326'!A:D,4,0),"-")</f>
        <v>15508682000115</v>
      </c>
    </row>
    <row r="1113" customFormat="false" ht="14.4" hidden="false" customHeight="false" outlineLevel="0" collapsed="false">
      <c r="A1113" s="27" t="n">
        <v>11100155</v>
      </c>
      <c r="B1113" s="27" t="s">
        <v>1917</v>
      </c>
      <c r="C1113" s="43" t="n">
        <v>245.78</v>
      </c>
      <c r="D1113" s="27" t="n">
        <v>5.02</v>
      </c>
      <c r="E1113" s="27" t="n">
        <v>24</v>
      </c>
      <c r="F1113" s="27" t="n">
        <v>10.45</v>
      </c>
      <c r="G1113" s="27" t="s">
        <v>1875</v>
      </c>
      <c r="H1113" s="27" t="s">
        <v>2011</v>
      </c>
      <c r="I1113" s="27" t="s">
        <v>1876</v>
      </c>
      <c r="J1113" s="27" t="s">
        <v>2023</v>
      </c>
      <c r="K1113" s="27" t="n">
        <v>3277</v>
      </c>
      <c r="L1113" s="27" t="n">
        <v>705</v>
      </c>
      <c r="M1113" s="28" t="n">
        <f aca="false">IFERROR(VLOOKUP((OFFSET(hoje12_326_ana9,1112,10,1,1)&amp;"."&amp;OFFSET(hoje12_326_ana9,1112,11,1,1)),'12.326'!A:D,4,0),"-")</f>
        <v>15508682000115</v>
      </c>
    </row>
    <row r="1114" customFormat="false" ht="14.4" hidden="false" customHeight="false" outlineLevel="0" collapsed="false">
      <c r="A1114" s="27" t="n">
        <v>11100156</v>
      </c>
      <c r="B1114" s="27" t="s">
        <v>1918</v>
      </c>
      <c r="C1114" s="43" t="n">
        <v>361.27</v>
      </c>
      <c r="D1114" s="27" t="n">
        <v>7.37</v>
      </c>
      <c r="E1114" s="27" t="n">
        <v>24</v>
      </c>
      <c r="F1114" s="27" t="n">
        <v>15.36</v>
      </c>
      <c r="G1114" s="27" t="s">
        <v>1875</v>
      </c>
      <c r="H1114" s="27" t="s">
        <v>2011</v>
      </c>
      <c r="I1114" s="27" t="s">
        <v>1876</v>
      </c>
      <c r="J1114" s="27" t="s">
        <v>2460</v>
      </c>
      <c r="K1114" s="27" t="n">
        <v>3277</v>
      </c>
      <c r="L1114" s="27" t="n">
        <v>705</v>
      </c>
      <c r="M1114" s="28" t="n">
        <f aca="false">IFERROR(VLOOKUP((OFFSET(hoje12_326_ana9,1113,10,1,1)&amp;"."&amp;OFFSET(hoje12_326_ana9,1113,11,1,1)),'12.326'!A:D,4,0),"-")</f>
        <v>15508682000115</v>
      </c>
    </row>
    <row r="1115" customFormat="false" ht="14.4" hidden="false" customHeight="false" outlineLevel="0" collapsed="false">
      <c r="A1115" s="27" t="n">
        <v>11100176</v>
      </c>
      <c r="B1115" s="27" t="s">
        <v>2217</v>
      </c>
      <c r="C1115" s="43" t="n">
        <v>527.33</v>
      </c>
      <c r="D1115" s="27" t="n">
        <v>10.75</v>
      </c>
      <c r="E1115" s="27" t="n">
        <v>24</v>
      </c>
      <c r="F1115" s="27" t="n">
        <v>22.42</v>
      </c>
      <c r="G1115" s="27" t="s">
        <v>1875</v>
      </c>
      <c r="H1115" s="27" t="s">
        <v>2011</v>
      </c>
      <c r="I1115" s="27" t="s">
        <v>1876</v>
      </c>
      <c r="J1115" s="27" t="s">
        <v>2461</v>
      </c>
      <c r="K1115" s="27" t="n">
        <v>3277</v>
      </c>
      <c r="L1115" s="27" t="n">
        <v>705</v>
      </c>
      <c r="M1115" s="28" t="n">
        <f aca="false">IFERROR(VLOOKUP((OFFSET(hoje12_326_ana9,1114,10,1,1)&amp;"."&amp;OFFSET(hoje12_326_ana9,1114,11,1,1)),'12.326'!A:D,4,0),"-")</f>
        <v>15508682000115</v>
      </c>
    </row>
    <row r="1116" customFormat="false" ht="14.4" hidden="false" customHeight="false" outlineLevel="0" collapsed="false">
      <c r="A1116" s="27" t="n">
        <v>11100254</v>
      </c>
      <c r="B1116" s="27" t="s">
        <v>1925</v>
      </c>
      <c r="C1116" s="43" t="n">
        <v>74.63</v>
      </c>
      <c r="D1116" s="27" t="n">
        <v>8.29</v>
      </c>
      <c r="E1116" s="27" t="n">
        <v>12</v>
      </c>
      <c r="F1116" s="27" t="n">
        <v>6.91</v>
      </c>
      <c r="G1116" s="27" t="s">
        <v>1875</v>
      </c>
      <c r="H1116" s="27" t="s">
        <v>1895</v>
      </c>
      <c r="I1116" s="27" t="s">
        <v>1876</v>
      </c>
      <c r="J1116" s="27" t="s">
        <v>2154</v>
      </c>
      <c r="K1116" s="27" t="n">
        <v>3277</v>
      </c>
      <c r="L1116" s="27" t="n">
        <v>705</v>
      </c>
      <c r="M1116" s="28" t="n">
        <f aca="false">IFERROR(VLOOKUP((OFFSET(hoje12_326_ana9,1115,10,1,1)&amp;"."&amp;OFFSET(hoje12_326_ana9,1115,11,1,1)),'12.326'!A:D,4,0),"-")</f>
        <v>15508682000115</v>
      </c>
    </row>
    <row r="1117" customFormat="false" ht="14.4" hidden="false" customHeight="false" outlineLevel="0" collapsed="false">
      <c r="A1117" s="27" t="n">
        <v>11100255</v>
      </c>
      <c r="B1117" s="27" t="s">
        <v>1927</v>
      </c>
      <c r="C1117" s="43" t="n">
        <v>74.63</v>
      </c>
      <c r="D1117" s="27" t="n">
        <v>8.29</v>
      </c>
      <c r="E1117" s="27" t="n">
        <v>12</v>
      </c>
      <c r="F1117" s="27" t="n">
        <v>6.91</v>
      </c>
      <c r="G1117" s="27" t="s">
        <v>1875</v>
      </c>
      <c r="H1117" s="27" t="s">
        <v>1895</v>
      </c>
      <c r="I1117" s="27" t="s">
        <v>1876</v>
      </c>
      <c r="J1117" s="27" t="s">
        <v>2154</v>
      </c>
      <c r="K1117" s="27" t="n">
        <v>3277</v>
      </c>
      <c r="L1117" s="27" t="n">
        <v>705</v>
      </c>
      <c r="M1117" s="28" t="n">
        <f aca="false">IFERROR(VLOOKUP((OFFSET(hoje12_326_ana9,1116,10,1,1)&amp;"."&amp;OFFSET(hoje12_326_ana9,1116,11,1,1)),'12.326'!A:D,4,0),"-")</f>
        <v>15508682000115</v>
      </c>
    </row>
    <row r="1118" customFormat="false" ht="14.4" hidden="false" customHeight="false" outlineLevel="0" collapsed="false">
      <c r="A1118" s="27" t="n">
        <v>11100256</v>
      </c>
      <c r="B1118" s="27" t="s">
        <v>1928</v>
      </c>
      <c r="C1118" s="43" t="n">
        <v>74.63</v>
      </c>
      <c r="D1118" s="27" t="n">
        <v>8.29</v>
      </c>
      <c r="E1118" s="27" t="n">
        <v>12</v>
      </c>
      <c r="F1118" s="27" t="n">
        <v>6.91</v>
      </c>
      <c r="G1118" s="27" t="s">
        <v>1875</v>
      </c>
      <c r="H1118" s="27" t="s">
        <v>1895</v>
      </c>
      <c r="I1118" s="27" t="s">
        <v>1876</v>
      </c>
      <c r="J1118" s="27" t="s">
        <v>2154</v>
      </c>
      <c r="K1118" s="27" t="n">
        <v>3277</v>
      </c>
      <c r="L1118" s="27" t="n">
        <v>705</v>
      </c>
      <c r="M1118" s="28" t="n">
        <f aca="false">IFERROR(VLOOKUP((OFFSET(hoje12_326_ana9,1117,10,1,1)&amp;"."&amp;OFFSET(hoje12_326_ana9,1117,11,1,1)),'12.326'!A:D,4,0),"-")</f>
        <v>15508682000115</v>
      </c>
    </row>
    <row r="1119" customFormat="false" ht="14.4" hidden="false" customHeight="false" outlineLevel="0" collapsed="false">
      <c r="A1119" s="27" t="n">
        <v>11100350</v>
      </c>
      <c r="B1119" s="27" t="s">
        <v>1941</v>
      </c>
      <c r="C1119" s="43" t="n">
        <v>64.27</v>
      </c>
      <c r="D1119" s="27" t="n">
        <v>1.31</v>
      </c>
      <c r="E1119" s="27" t="n">
        <v>6</v>
      </c>
      <c r="F1119" s="27" t="n">
        <v>10.93</v>
      </c>
      <c r="G1119" s="27" t="s">
        <v>1875</v>
      </c>
      <c r="H1119" s="27" t="s">
        <v>2011</v>
      </c>
      <c r="I1119" s="27" t="s">
        <v>1876</v>
      </c>
      <c r="J1119" s="27" t="s">
        <v>2462</v>
      </c>
      <c r="K1119" s="27" t="n">
        <v>3277</v>
      </c>
      <c r="L1119" s="27" t="n">
        <v>705</v>
      </c>
      <c r="M1119" s="28" t="n">
        <f aca="false">IFERROR(VLOOKUP((OFFSET(hoje12_326_ana9,1118,10,1,1)&amp;"."&amp;OFFSET(hoje12_326_ana9,1118,11,1,1)),'12.326'!A:D,4,0),"-")</f>
        <v>15508682000115</v>
      </c>
    </row>
    <row r="1120" customFormat="false" ht="14.4" hidden="false" customHeight="false" outlineLevel="0" collapsed="false">
      <c r="A1120" s="27" t="n">
        <v>11100418</v>
      </c>
      <c r="B1120" s="27" t="s">
        <v>2288</v>
      </c>
      <c r="C1120" s="43" t="n">
        <v>80.88</v>
      </c>
      <c r="D1120" s="27" t="n">
        <v>0</v>
      </c>
      <c r="E1120" s="27" t="n">
        <v>6</v>
      </c>
      <c r="F1120" s="27" t="n">
        <v>13.48</v>
      </c>
      <c r="G1120" s="27" t="s">
        <v>1875</v>
      </c>
      <c r="H1120" s="27" t="s">
        <v>68</v>
      </c>
      <c r="I1120" s="27" t="s">
        <v>1876</v>
      </c>
      <c r="J1120" s="27" t="s">
        <v>1877</v>
      </c>
      <c r="K1120" s="27" t="n">
        <v>3277</v>
      </c>
      <c r="L1120" s="27" t="n">
        <v>705</v>
      </c>
      <c r="M1120" s="28" t="n">
        <f aca="false">IFERROR(VLOOKUP((OFFSET(hoje12_326_ana9,1119,10,1,1)&amp;"."&amp;OFFSET(hoje12_326_ana9,1119,11,1,1)),'12.326'!A:D,4,0),"-")</f>
        <v>15508682000115</v>
      </c>
    </row>
    <row r="1121" customFormat="false" ht="14.4" hidden="false" customHeight="false" outlineLevel="0" collapsed="false">
      <c r="A1121" s="27" t="n">
        <v>11100421</v>
      </c>
      <c r="B1121" s="27" t="s">
        <v>1945</v>
      </c>
      <c r="C1121" s="43" t="n">
        <v>54.22</v>
      </c>
      <c r="D1121" s="27" t="n">
        <v>1.1</v>
      </c>
      <c r="E1121" s="27" t="n">
        <v>6</v>
      </c>
      <c r="F1121" s="27" t="n">
        <v>9.22</v>
      </c>
      <c r="G1121" s="27" t="s">
        <v>1875</v>
      </c>
      <c r="H1121" s="27" t="s">
        <v>2011</v>
      </c>
      <c r="I1121" s="27" t="s">
        <v>1876</v>
      </c>
      <c r="J1121" s="27" t="s">
        <v>2463</v>
      </c>
      <c r="K1121" s="27" t="n">
        <v>3277</v>
      </c>
      <c r="L1121" s="27" t="n">
        <v>705</v>
      </c>
      <c r="M1121" s="28" t="n">
        <f aca="false">IFERROR(VLOOKUP((OFFSET(hoje12_326_ana9,1120,10,1,1)&amp;"."&amp;OFFSET(hoje12_326_ana9,1120,11,1,1)),'12.326'!A:D,4,0),"-")</f>
        <v>15508682000115</v>
      </c>
    </row>
    <row r="1122" customFormat="false" ht="14.4" hidden="false" customHeight="false" outlineLevel="0" collapsed="false">
      <c r="A1122" s="27" t="n">
        <v>11100424</v>
      </c>
      <c r="B1122" s="27" t="s">
        <v>2438</v>
      </c>
      <c r="C1122" s="43" t="n">
        <v>80.88</v>
      </c>
      <c r="D1122" s="27" t="n">
        <v>0</v>
      </c>
      <c r="E1122" s="27" t="n">
        <v>6</v>
      </c>
      <c r="F1122" s="27" t="n">
        <v>13.48</v>
      </c>
      <c r="G1122" s="27" t="s">
        <v>1875</v>
      </c>
      <c r="H1122" s="27" t="s">
        <v>68</v>
      </c>
      <c r="I1122" s="27" t="s">
        <v>1876</v>
      </c>
      <c r="J1122" s="27" t="s">
        <v>1877</v>
      </c>
      <c r="K1122" s="27" t="n">
        <v>3277</v>
      </c>
      <c r="L1122" s="27" t="n">
        <v>705</v>
      </c>
      <c r="M1122" s="28" t="n">
        <f aca="false">IFERROR(VLOOKUP((OFFSET(hoje12_326_ana9,1121,10,1,1)&amp;"."&amp;OFFSET(hoje12_326_ana9,1121,11,1,1)),'12.326'!A:D,4,0),"-")</f>
        <v>15508682000115</v>
      </c>
    </row>
    <row r="1123" customFormat="false" ht="14.4" hidden="false" customHeight="false" outlineLevel="0" collapsed="false">
      <c r="A1123" s="27" t="n">
        <v>11100431</v>
      </c>
      <c r="B1123" s="27" t="s">
        <v>2224</v>
      </c>
      <c r="C1123" s="43" t="n">
        <v>80.88</v>
      </c>
      <c r="D1123" s="27" t="n">
        <v>0</v>
      </c>
      <c r="E1123" s="27" t="n">
        <v>6</v>
      </c>
      <c r="F1123" s="27" t="n">
        <v>13.48</v>
      </c>
      <c r="G1123" s="27" t="s">
        <v>1875</v>
      </c>
      <c r="H1123" s="27" t="s">
        <v>68</v>
      </c>
      <c r="I1123" s="27" t="s">
        <v>1876</v>
      </c>
      <c r="J1123" s="27" t="s">
        <v>1877</v>
      </c>
      <c r="K1123" s="27" t="n">
        <v>3277</v>
      </c>
      <c r="L1123" s="27" t="n">
        <v>705</v>
      </c>
      <c r="M1123" s="28" t="n">
        <f aca="false">IFERROR(VLOOKUP((OFFSET(hoje12_326_ana9,1122,10,1,1)&amp;"."&amp;OFFSET(hoje12_326_ana9,1122,11,1,1)),'12.326'!A:D,4,0),"-")</f>
        <v>15508682000115</v>
      </c>
    </row>
    <row r="1124" customFormat="false" ht="14.4" hidden="false" customHeight="false" outlineLevel="0" collapsed="false">
      <c r="A1124" s="27" t="n">
        <v>11100438</v>
      </c>
      <c r="B1124" s="27" t="s">
        <v>2227</v>
      </c>
      <c r="C1124" s="43" t="n">
        <v>54.22</v>
      </c>
      <c r="D1124" s="27" t="n">
        <v>1.1</v>
      </c>
      <c r="E1124" s="27" t="n">
        <v>6</v>
      </c>
      <c r="F1124" s="27" t="n">
        <v>9.22</v>
      </c>
      <c r="G1124" s="27" t="s">
        <v>1875</v>
      </c>
      <c r="H1124" s="27" t="s">
        <v>2011</v>
      </c>
      <c r="I1124" s="27" t="s">
        <v>1876</v>
      </c>
      <c r="J1124" s="27" t="s">
        <v>2463</v>
      </c>
      <c r="K1124" s="27" t="n">
        <v>3277</v>
      </c>
      <c r="L1124" s="27" t="n">
        <v>705</v>
      </c>
      <c r="M1124" s="28" t="n">
        <f aca="false">IFERROR(VLOOKUP((OFFSET(hoje12_326_ana9,1123,10,1,1)&amp;"."&amp;OFFSET(hoje12_326_ana9,1123,11,1,1)),'12.326'!A:D,4,0),"-")</f>
        <v>15508682000115</v>
      </c>
    </row>
    <row r="1125" customFormat="false" ht="14.4" hidden="false" customHeight="false" outlineLevel="0" collapsed="false">
      <c r="A1125" s="27" t="n">
        <v>11100439</v>
      </c>
      <c r="B1125" s="27" t="s">
        <v>2228</v>
      </c>
      <c r="C1125" s="43" t="n">
        <v>79.26</v>
      </c>
      <c r="D1125" s="27" t="n">
        <v>1.62</v>
      </c>
      <c r="E1125" s="27" t="n">
        <v>6</v>
      </c>
      <c r="F1125" s="27" t="n">
        <v>13.48</v>
      </c>
      <c r="G1125" s="27" t="s">
        <v>1875</v>
      </c>
      <c r="H1125" s="27" t="s">
        <v>2011</v>
      </c>
      <c r="I1125" s="27" t="s">
        <v>1876</v>
      </c>
      <c r="J1125" s="27" t="s">
        <v>2464</v>
      </c>
      <c r="K1125" s="27" t="n">
        <v>3277</v>
      </c>
      <c r="L1125" s="27" t="n">
        <v>705</v>
      </c>
      <c r="M1125" s="28" t="n">
        <f aca="false">IFERROR(VLOOKUP((OFFSET(hoje12_326_ana9,1124,10,1,1)&amp;"."&amp;OFFSET(hoje12_326_ana9,1124,11,1,1)),'12.326'!A:D,4,0),"-")</f>
        <v>15508682000115</v>
      </c>
    </row>
    <row r="1126" customFormat="false" ht="14.4" hidden="false" customHeight="false" outlineLevel="0" collapsed="false">
      <c r="A1126" s="27" t="n">
        <v>11100456</v>
      </c>
      <c r="B1126" s="27" t="s">
        <v>2439</v>
      </c>
      <c r="C1126" s="43" t="n">
        <v>259.42</v>
      </c>
      <c r="D1126" s="27" t="n">
        <v>5.3</v>
      </c>
      <c r="E1126" s="27" t="n">
        <v>24</v>
      </c>
      <c r="F1126" s="27" t="n">
        <v>11.03</v>
      </c>
      <c r="G1126" s="27" t="s">
        <v>1875</v>
      </c>
      <c r="H1126" s="27" t="s">
        <v>2011</v>
      </c>
      <c r="I1126" s="27" t="s">
        <v>1876</v>
      </c>
      <c r="J1126" s="27" t="s">
        <v>2465</v>
      </c>
      <c r="K1126" s="27" t="n">
        <v>3277</v>
      </c>
      <c r="L1126" s="27" t="n">
        <v>705</v>
      </c>
      <c r="M1126" s="28" t="n">
        <f aca="false">IFERROR(VLOOKUP((OFFSET(hoje12_326_ana9,1125,10,1,1)&amp;"."&amp;OFFSET(hoje12_326_ana9,1125,11,1,1)),'12.326'!A:D,4,0),"-")</f>
        <v>15508682000115</v>
      </c>
    </row>
    <row r="1127" customFormat="false" ht="14.4" hidden="false" customHeight="false" outlineLevel="0" collapsed="false">
      <c r="A1127" s="27" t="n">
        <v>11100464</v>
      </c>
      <c r="B1127" s="27" t="s">
        <v>1946</v>
      </c>
      <c r="C1127" s="43" t="n">
        <v>340.13</v>
      </c>
      <c r="D1127" s="27" t="n">
        <v>6.91</v>
      </c>
      <c r="E1127" s="27" t="n">
        <v>72</v>
      </c>
      <c r="F1127" s="27" t="n">
        <v>4.82</v>
      </c>
      <c r="G1127" s="27" t="s">
        <v>1875</v>
      </c>
      <c r="H1127" s="27" t="s">
        <v>2011</v>
      </c>
      <c r="I1127" s="27" t="s">
        <v>1876</v>
      </c>
      <c r="J1127" s="27" t="s">
        <v>2231</v>
      </c>
      <c r="K1127" s="27" t="n">
        <v>3277</v>
      </c>
      <c r="L1127" s="27" t="n">
        <v>705</v>
      </c>
      <c r="M1127" s="28" t="n">
        <f aca="false">IFERROR(VLOOKUP((OFFSET(hoje12_326_ana9,1126,10,1,1)&amp;"."&amp;OFFSET(hoje12_326_ana9,1126,11,1,1)),'12.326'!A:D,4,0),"-")</f>
        <v>15508682000115</v>
      </c>
    </row>
    <row r="1128" customFormat="false" ht="14.4" hidden="false" customHeight="false" outlineLevel="0" collapsed="false">
      <c r="A1128" s="27" t="n">
        <v>11100474</v>
      </c>
      <c r="B1128" s="27" t="s">
        <v>2466</v>
      </c>
      <c r="C1128" s="43" t="n">
        <v>190.35</v>
      </c>
      <c r="D1128" s="27" t="n">
        <v>3.89</v>
      </c>
      <c r="E1128" s="27" t="n">
        <v>16</v>
      </c>
      <c r="F1128" s="27" t="n">
        <v>12.14</v>
      </c>
      <c r="G1128" s="27" t="s">
        <v>1875</v>
      </c>
      <c r="H1128" s="27" t="s">
        <v>2011</v>
      </c>
      <c r="I1128" s="27" t="s">
        <v>1876</v>
      </c>
      <c r="J1128" s="27" t="s">
        <v>2467</v>
      </c>
      <c r="K1128" s="27" t="n">
        <v>3277</v>
      </c>
      <c r="L1128" s="27" t="n">
        <v>705</v>
      </c>
      <c r="M1128" s="28" t="n">
        <f aca="false">IFERROR(VLOOKUP((OFFSET(hoje12_326_ana9,1127,10,1,1)&amp;"."&amp;OFFSET(hoje12_326_ana9,1127,11,1,1)),'12.326'!A:D,4,0),"-")</f>
        <v>15508682000115</v>
      </c>
    </row>
    <row r="1129" customFormat="false" ht="14.4" hidden="false" customHeight="false" outlineLevel="0" collapsed="false">
      <c r="A1129" s="27" t="n">
        <v>11100478</v>
      </c>
      <c r="B1129" s="27" t="s">
        <v>2233</v>
      </c>
      <c r="C1129" s="43" t="n">
        <v>87.96</v>
      </c>
      <c r="D1129" s="27" t="n">
        <v>1.8</v>
      </c>
      <c r="E1129" s="27" t="n">
        <v>12</v>
      </c>
      <c r="F1129" s="27" t="n">
        <v>7.48</v>
      </c>
      <c r="G1129" s="27" t="s">
        <v>1875</v>
      </c>
      <c r="H1129" s="27" t="s">
        <v>2011</v>
      </c>
      <c r="I1129" s="27" t="s">
        <v>1876</v>
      </c>
      <c r="J1129" s="27" t="s">
        <v>2232</v>
      </c>
      <c r="K1129" s="27" t="n">
        <v>3277</v>
      </c>
      <c r="L1129" s="27" t="n">
        <v>705</v>
      </c>
      <c r="M1129" s="28" t="n">
        <f aca="false">IFERROR(VLOOKUP((OFFSET(hoje12_326_ana9,1128,10,1,1)&amp;"."&amp;OFFSET(hoje12_326_ana9,1128,11,1,1)),'12.326'!A:D,4,0),"-")</f>
        <v>15508682000115</v>
      </c>
    </row>
    <row r="1130" customFormat="false" ht="14.4" hidden="false" customHeight="false" outlineLevel="0" collapsed="false">
      <c r="A1130" s="27" t="n">
        <v>11100502</v>
      </c>
      <c r="B1130" s="27" t="s">
        <v>2468</v>
      </c>
      <c r="C1130" s="43" t="n">
        <v>135</v>
      </c>
      <c r="D1130" s="27" t="n">
        <v>0</v>
      </c>
      <c r="E1130" s="27" t="n">
        <v>6</v>
      </c>
      <c r="F1130" s="27" t="n">
        <v>22.5</v>
      </c>
      <c r="G1130" s="27" t="s">
        <v>1875</v>
      </c>
      <c r="H1130" s="27" t="s">
        <v>68</v>
      </c>
      <c r="I1130" s="27" t="s">
        <v>1876</v>
      </c>
      <c r="J1130" s="27" t="s">
        <v>1877</v>
      </c>
      <c r="K1130" s="27" t="n">
        <v>3277</v>
      </c>
      <c r="L1130" s="27" t="n">
        <v>705</v>
      </c>
      <c r="M1130" s="28" t="n">
        <f aca="false">IFERROR(VLOOKUP((OFFSET(hoje12_326_ana9,1129,10,1,1)&amp;"."&amp;OFFSET(hoje12_326_ana9,1129,11,1,1)),'12.326'!A:D,4,0),"-")</f>
        <v>15508682000115</v>
      </c>
    </row>
    <row r="1131" customFormat="false" ht="14.4" hidden="false" customHeight="false" outlineLevel="0" collapsed="false">
      <c r="A1131" s="27" t="n">
        <v>11100511</v>
      </c>
      <c r="B1131" s="27" t="s">
        <v>1953</v>
      </c>
      <c r="C1131" s="43" t="n">
        <v>75.06</v>
      </c>
      <c r="D1131" s="27" t="n">
        <v>0</v>
      </c>
      <c r="E1131" s="27" t="n">
        <v>6</v>
      </c>
      <c r="F1131" s="27" t="n">
        <v>12.51</v>
      </c>
      <c r="G1131" s="27" t="s">
        <v>1875</v>
      </c>
      <c r="H1131" s="27" t="s">
        <v>68</v>
      </c>
      <c r="I1131" s="27" t="s">
        <v>1876</v>
      </c>
      <c r="J1131" s="27" t="s">
        <v>1877</v>
      </c>
      <c r="K1131" s="27" t="n">
        <v>3277</v>
      </c>
      <c r="L1131" s="27" t="n">
        <v>705</v>
      </c>
      <c r="M1131" s="28" t="n">
        <f aca="false">IFERROR(VLOOKUP((OFFSET(hoje12_326_ana9,1130,10,1,1)&amp;"."&amp;OFFSET(hoje12_326_ana9,1130,11,1,1)),'12.326'!A:D,4,0),"-")</f>
        <v>15508682000115</v>
      </c>
    </row>
    <row r="1132" customFormat="false" ht="14.4" hidden="false" customHeight="false" outlineLevel="0" collapsed="false">
      <c r="A1132" s="27" t="n">
        <v>11100585</v>
      </c>
      <c r="B1132" s="27" t="s">
        <v>2242</v>
      </c>
      <c r="C1132" s="43" t="n">
        <v>80.04</v>
      </c>
      <c r="D1132" s="27" t="n">
        <v>0</v>
      </c>
      <c r="E1132" s="27" t="n">
        <v>12</v>
      </c>
      <c r="F1132" s="27" t="n">
        <v>6.67</v>
      </c>
      <c r="G1132" s="27" t="s">
        <v>1875</v>
      </c>
      <c r="H1132" s="27" t="s">
        <v>68</v>
      </c>
      <c r="I1132" s="27" t="s">
        <v>1876</v>
      </c>
      <c r="J1132" s="27" t="s">
        <v>1877</v>
      </c>
      <c r="K1132" s="27" t="n">
        <v>3277</v>
      </c>
      <c r="L1132" s="27" t="n">
        <v>705</v>
      </c>
      <c r="M1132" s="28" t="n">
        <f aca="false">IFERROR(VLOOKUP((OFFSET(hoje12_326_ana9,1131,10,1,1)&amp;"."&amp;OFFSET(hoje12_326_ana9,1131,11,1,1)),'12.326'!A:D,4,0),"-")</f>
        <v>15508682000115</v>
      </c>
    </row>
    <row r="1133" customFormat="false" ht="14.4" hidden="false" customHeight="false" outlineLevel="0" collapsed="false">
      <c r="A1133" s="27" t="n">
        <v>11100660</v>
      </c>
      <c r="B1133" s="27" t="s">
        <v>2469</v>
      </c>
      <c r="C1133" s="43" t="n">
        <v>36.9</v>
      </c>
      <c r="D1133" s="27" t="n">
        <v>0</v>
      </c>
      <c r="E1133" s="27" t="n">
        <v>3</v>
      </c>
      <c r="F1133" s="27" t="n">
        <v>12.3</v>
      </c>
      <c r="G1133" s="27" t="s">
        <v>1875</v>
      </c>
      <c r="H1133" s="27" t="s">
        <v>68</v>
      </c>
      <c r="I1133" s="27" t="s">
        <v>1876</v>
      </c>
      <c r="J1133" s="27" t="s">
        <v>1877</v>
      </c>
      <c r="K1133" s="27" t="n">
        <v>3277</v>
      </c>
      <c r="L1133" s="27" t="n">
        <v>705</v>
      </c>
      <c r="M1133" s="28" t="n">
        <f aca="false">IFERROR(VLOOKUP((OFFSET(hoje12_326_ana9,1132,10,1,1)&amp;"."&amp;OFFSET(hoje12_326_ana9,1132,11,1,1)),'12.326'!A:D,4,0),"-")</f>
        <v>15508682000115</v>
      </c>
    </row>
    <row r="1134" customFormat="false" ht="14.4" hidden="false" customHeight="false" outlineLevel="0" collapsed="false">
      <c r="A1134" s="27" t="n">
        <v>11100820</v>
      </c>
      <c r="B1134" s="27" t="s">
        <v>1963</v>
      </c>
      <c r="C1134" s="43" t="n">
        <v>71.17</v>
      </c>
      <c r="D1134" s="27" t="n">
        <v>7.91</v>
      </c>
      <c r="E1134" s="27" t="n">
        <v>12</v>
      </c>
      <c r="F1134" s="27" t="n">
        <v>6.59</v>
      </c>
      <c r="G1134" s="27" t="s">
        <v>1875</v>
      </c>
      <c r="H1134" s="27" t="s">
        <v>1895</v>
      </c>
      <c r="I1134" s="27" t="s">
        <v>1876</v>
      </c>
      <c r="J1134" s="27" t="s">
        <v>2199</v>
      </c>
      <c r="K1134" s="27" t="n">
        <v>3277</v>
      </c>
      <c r="L1134" s="27" t="n">
        <v>705</v>
      </c>
      <c r="M1134" s="28" t="n">
        <f aca="false">IFERROR(VLOOKUP((OFFSET(hoje12_326_ana9,1133,10,1,1)&amp;"."&amp;OFFSET(hoje12_326_ana9,1133,11,1,1)),'12.326'!A:D,4,0),"-")</f>
        <v>15508682000115</v>
      </c>
    </row>
    <row r="1135" customFormat="false" ht="14.4" hidden="false" customHeight="false" outlineLevel="0" collapsed="false">
      <c r="A1135" s="27" t="n">
        <v>11100821</v>
      </c>
      <c r="B1135" s="27" t="s">
        <v>1965</v>
      </c>
      <c r="C1135" s="43" t="n">
        <v>112.32</v>
      </c>
      <c r="D1135" s="27" t="n">
        <v>12.48</v>
      </c>
      <c r="E1135" s="27" t="n">
        <v>12</v>
      </c>
      <c r="F1135" s="27" t="n">
        <v>10.4</v>
      </c>
      <c r="G1135" s="27" t="s">
        <v>1875</v>
      </c>
      <c r="H1135" s="27" t="s">
        <v>1895</v>
      </c>
      <c r="I1135" s="27" t="s">
        <v>1876</v>
      </c>
      <c r="J1135" s="27" t="s">
        <v>2470</v>
      </c>
      <c r="K1135" s="27" t="n">
        <v>3277</v>
      </c>
      <c r="L1135" s="27" t="n">
        <v>705</v>
      </c>
      <c r="M1135" s="28" t="n">
        <f aca="false">IFERROR(VLOOKUP((OFFSET(hoje12_326_ana9,1134,10,1,1)&amp;"."&amp;OFFSET(hoje12_326_ana9,1134,11,1,1)),'12.326'!A:D,4,0),"-")</f>
        <v>15508682000115</v>
      </c>
    </row>
    <row r="1136" customFormat="false" ht="14.4" hidden="false" customHeight="false" outlineLevel="0" collapsed="false">
      <c r="A1136" s="27" t="n">
        <v>11100822</v>
      </c>
      <c r="B1136" s="27" t="s">
        <v>1966</v>
      </c>
      <c r="C1136" s="43" t="n">
        <v>71.17</v>
      </c>
      <c r="D1136" s="27" t="n">
        <v>7.91</v>
      </c>
      <c r="E1136" s="27" t="n">
        <v>12</v>
      </c>
      <c r="F1136" s="27" t="n">
        <v>6.59</v>
      </c>
      <c r="G1136" s="27" t="s">
        <v>1875</v>
      </c>
      <c r="H1136" s="27" t="s">
        <v>1895</v>
      </c>
      <c r="I1136" s="27" t="s">
        <v>1876</v>
      </c>
      <c r="J1136" s="27" t="s">
        <v>2199</v>
      </c>
      <c r="K1136" s="27" t="n">
        <v>3277</v>
      </c>
      <c r="L1136" s="27" t="n">
        <v>705</v>
      </c>
      <c r="M1136" s="28" t="n">
        <f aca="false">IFERROR(VLOOKUP((OFFSET(hoje12_326_ana9,1135,10,1,1)&amp;"."&amp;OFFSET(hoje12_326_ana9,1135,11,1,1)),'12.326'!A:D,4,0),"-")</f>
        <v>15508682000115</v>
      </c>
    </row>
    <row r="1137" customFormat="false" ht="14.4" hidden="false" customHeight="false" outlineLevel="0" collapsed="false">
      <c r="A1137" s="27" t="n">
        <v>11100824</v>
      </c>
      <c r="B1137" s="27" t="s">
        <v>1967</v>
      </c>
      <c r="C1137" s="43" t="n">
        <v>71.17</v>
      </c>
      <c r="D1137" s="27" t="n">
        <v>7.91</v>
      </c>
      <c r="E1137" s="27" t="n">
        <v>12</v>
      </c>
      <c r="F1137" s="27" t="n">
        <v>6.59</v>
      </c>
      <c r="G1137" s="27" t="s">
        <v>1875</v>
      </c>
      <c r="H1137" s="27" t="s">
        <v>1895</v>
      </c>
      <c r="I1137" s="27" t="s">
        <v>1876</v>
      </c>
      <c r="J1137" s="27" t="s">
        <v>2199</v>
      </c>
      <c r="K1137" s="27" t="n">
        <v>3277</v>
      </c>
      <c r="L1137" s="27" t="n">
        <v>705</v>
      </c>
      <c r="M1137" s="28" t="n">
        <f aca="false">IFERROR(VLOOKUP((OFFSET(hoje12_326_ana9,1136,10,1,1)&amp;"."&amp;OFFSET(hoje12_326_ana9,1136,11,1,1)),'12.326'!A:D,4,0),"-")</f>
        <v>15508682000115</v>
      </c>
    </row>
    <row r="1138" customFormat="false" ht="14.4" hidden="false" customHeight="false" outlineLevel="0" collapsed="false">
      <c r="A1138" s="27" t="n">
        <v>11100826</v>
      </c>
      <c r="B1138" s="27" t="s">
        <v>1968</v>
      </c>
      <c r="C1138" s="43" t="n">
        <v>71.17</v>
      </c>
      <c r="D1138" s="27" t="n">
        <v>7.91</v>
      </c>
      <c r="E1138" s="27" t="n">
        <v>12</v>
      </c>
      <c r="F1138" s="27" t="n">
        <v>6.59</v>
      </c>
      <c r="G1138" s="27" t="s">
        <v>1875</v>
      </c>
      <c r="H1138" s="27" t="s">
        <v>1895</v>
      </c>
      <c r="I1138" s="27" t="s">
        <v>1876</v>
      </c>
      <c r="J1138" s="27" t="s">
        <v>2199</v>
      </c>
      <c r="K1138" s="27" t="n">
        <v>3277</v>
      </c>
      <c r="L1138" s="27" t="n">
        <v>705</v>
      </c>
      <c r="M1138" s="28" t="n">
        <f aca="false">IFERROR(VLOOKUP((OFFSET(hoje12_326_ana9,1137,10,1,1)&amp;"."&amp;OFFSET(hoje12_326_ana9,1137,11,1,1)),'12.326'!A:D,4,0),"-")</f>
        <v>15508682000115</v>
      </c>
    </row>
    <row r="1139" customFormat="false" ht="14.4" hidden="false" customHeight="false" outlineLevel="0" collapsed="false">
      <c r="A1139" s="27" t="n">
        <v>11100837</v>
      </c>
      <c r="B1139" s="27" t="s">
        <v>1971</v>
      </c>
      <c r="C1139" s="43" t="n">
        <v>64.53</v>
      </c>
      <c r="D1139" s="27" t="n">
        <v>7.17</v>
      </c>
      <c r="E1139" s="27" t="n">
        <v>6</v>
      </c>
      <c r="F1139" s="27" t="n">
        <v>11.95</v>
      </c>
      <c r="G1139" s="27" t="s">
        <v>1875</v>
      </c>
      <c r="H1139" s="27" t="s">
        <v>1895</v>
      </c>
      <c r="I1139" s="27" t="s">
        <v>1876</v>
      </c>
      <c r="J1139" s="27" t="s">
        <v>2201</v>
      </c>
      <c r="K1139" s="27" t="n">
        <v>3277</v>
      </c>
      <c r="L1139" s="27" t="n">
        <v>705</v>
      </c>
      <c r="M1139" s="28" t="n">
        <f aca="false">IFERROR(VLOOKUP((OFFSET(hoje12_326_ana9,1138,10,1,1)&amp;"."&amp;OFFSET(hoje12_326_ana9,1138,11,1,1)),'12.326'!A:D,4,0),"-")</f>
        <v>15508682000115</v>
      </c>
    </row>
    <row r="1140" customFormat="false" ht="14.4" hidden="false" customHeight="false" outlineLevel="0" collapsed="false">
      <c r="A1140" s="27" t="n">
        <v>11100860</v>
      </c>
      <c r="B1140" s="27" t="s">
        <v>2471</v>
      </c>
      <c r="C1140" s="43" t="n">
        <v>64.53</v>
      </c>
      <c r="D1140" s="27" t="n">
        <v>7.17</v>
      </c>
      <c r="E1140" s="27" t="n">
        <v>6</v>
      </c>
      <c r="F1140" s="27" t="n">
        <v>11.95</v>
      </c>
      <c r="G1140" s="27" t="s">
        <v>1875</v>
      </c>
      <c r="H1140" s="27" t="s">
        <v>1895</v>
      </c>
      <c r="I1140" s="27" t="s">
        <v>1876</v>
      </c>
      <c r="J1140" s="27" t="s">
        <v>2201</v>
      </c>
      <c r="K1140" s="27" t="n">
        <v>3277</v>
      </c>
      <c r="L1140" s="27" t="n">
        <v>705</v>
      </c>
      <c r="M1140" s="28" t="n">
        <f aca="false">IFERROR(VLOOKUP((OFFSET(hoje12_326_ana9,1139,10,1,1)&amp;"."&amp;OFFSET(hoje12_326_ana9,1139,11,1,1)),'12.326'!A:D,4,0),"-")</f>
        <v>15508682000115</v>
      </c>
    </row>
    <row r="1141" customFormat="false" ht="14.4" hidden="false" customHeight="false" outlineLevel="0" collapsed="false">
      <c r="A1141" s="27" t="n">
        <v>11100899</v>
      </c>
      <c r="B1141" s="27" t="s">
        <v>2331</v>
      </c>
      <c r="C1141" s="43" t="n">
        <v>211.8</v>
      </c>
      <c r="D1141" s="27" t="n">
        <v>4.32</v>
      </c>
      <c r="E1141" s="27" t="n">
        <v>12</v>
      </c>
      <c r="F1141" s="27" t="n">
        <v>18.01</v>
      </c>
      <c r="G1141" s="27" t="s">
        <v>1875</v>
      </c>
      <c r="H1141" s="27" t="s">
        <v>2011</v>
      </c>
      <c r="I1141" s="27" t="s">
        <v>1876</v>
      </c>
      <c r="J1141" s="27" t="s">
        <v>2472</v>
      </c>
      <c r="K1141" s="27" t="n">
        <v>3277</v>
      </c>
      <c r="L1141" s="27" t="n">
        <v>705</v>
      </c>
      <c r="M1141" s="28" t="n">
        <f aca="false">IFERROR(VLOOKUP((OFFSET(hoje12_326_ana9,1140,10,1,1)&amp;"."&amp;OFFSET(hoje12_326_ana9,1140,11,1,1)),'12.326'!A:D,4,0),"-")</f>
        <v>15508682000115</v>
      </c>
    </row>
    <row r="1142" customFormat="false" ht="14.4" hidden="false" customHeight="false" outlineLevel="0" collapsed="false">
      <c r="A1142" s="27" t="n">
        <v>11100905</v>
      </c>
      <c r="B1142" s="27" t="s">
        <v>2473</v>
      </c>
      <c r="C1142" s="43" t="n">
        <v>112.32</v>
      </c>
      <c r="D1142" s="27" t="n">
        <v>12.48</v>
      </c>
      <c r="E1142" s="27" t="n">
        <v>12</v>
      </c>
      <c r="F1142" s="27" t="n">
        <v>10.4</v>
      </c>
      <c r="G1142" s="27" t="s">
        <v>1875</v>
      </c>
      <c r="H1142" s="27" t="s">
        <v>1895</v>
      </c>
      <c r="I1142" s="27" t="s">
        <v>1876</v>
      </c>
      <c r="J1142" s="27" t="s">
        <v>2470</v>
      </c>
      <c r="K1142" s="27" t="n">
        <v>3277</v>
      </c>
      <c r="L1142" s="27" t="n">
        <v>705</v>
      </c>
      <c r="M1142" s="28" t="n">
        <f aca="false">IFERROR(VLOOKUP((OFFSET(hoje12_326_ana9,1141,10,1,1)&amp;"."&amp;OFFSET(hoje12_326_ana9,1141,11,1,1)),'12.326'!A:D,4,0),"-")</f>
        <v>15508682000115</v>
      </c>
    </row>
    <row r="1143" customFormat="false" ht="14.4" hidden="false" customHeight="false" outlineLevel="0" collapsed="false">
      <c r="A1143" s="27" t="n">
        <v>11100911</v>
      </c>
      <c r="B1143" s="27" t="s">
        <v>2474</v>
      </c>
      <c r="C1143" s="43" t="n">
        <v>134.57</v>
      </c>
      <c r="D1143" s="27" t="n">
        <v>14.95</v>
      </c>
      <c r="E1143" s="27" t="n">
        <v>12</v>
      </c>
      <c r="F1143" s="27" t="n">
        <v>12.46</v>
      </c>
      <c r="G1143" s="27" t="s">
        <v>1875</v>
      </c>
      <c r="H1143" s="27" t="s">
        <v>1895</v>
      </c>
      <c r="I1143" s="27" t="s">
        <v>1876</v>
      </c>
      <c r="J1143" s="27" t="s">
        <v>2475</v>
      </c>
      <c r="K1143" s="27" t="n">
        <v>3277</v>
      </c>
      <c r="L1143" s="27" t="n">
        <v>705</v>
      </c>
      <c r="M1143" s="28" t="n">
        <f aca="false">IFERROR(VLOOKUP((OFFSET(hoje12_326_ana9,1142,10,1,1)&amp;"."&amp;OFFSET(hoje12_326_ana9,1142,11,1,1)),'12.326'!A:D,4,0),"-")</f>
        <v>15508682000115</v>
      </c>
    </row>
    <row r="1144" customFormat="false" ht="14.4" hidden="false" customHeight="false" outlineLevel="0" collapsed="false">
      <c r="A1144" s="27" t="n">
        <v>11100928</v>
      </c>
      <c r="B1144" s="27" t="s">
        <v>2476</v>
      </c>
      <c r="C1144" s="43" t="n">
        <v>258.02</v>
      </c>
      <c r="D1144" s="27" t="n">
        <v>5.26</v>
      </c>
      <c r="E1144" s="27" t="n">
        <v>24</v>
      </c>
      <c r="F1144" s="27" t="n">
        <v>10.97</v>
      </c>
      <c r="G1144" s="27" t="s">
        <v>1875</v>
      </c>
      <c r="H1144" s="27" t="s">
        <v>2011</v>
      </c>
      <c r="I1144" s="27" t="s">
        <v>1876</v>
      </c>
      <c r="J1144" s="27" t="s">
        <v>2203</v>
      </c>
      <c r="K1144" s="27" t="n">
        <v>3277</v>
      </c>
      <c r="L1144" s="27" t="n">
        <v>705</v>
      </c>
      <c r="M1144" s="28" t="n">
        <f aca="false">IFERROR(VLOOKUP((OFFSET(hoje12_326_ana9,1143,10,1,1)&amp;"."&amp;OFFSET(hoje12_326_ana9,1143,11,1,1)),'12.326'!A:D,4,0),"-")</f>
        <v>15508682000115</v>
      </c>
    </row>
    <row r="1145" customFormat="false" ht="14.4" hidden="false" customHeight="false" outlineLevel="0" collapsed="false">
      <c r="A1145" s="27" t="n">
        <v>11100937</v>
      </c>
      <c r="B1145" s="27" t="s">
        <v>2015</v>
      </c>
      <c r="C1145" s="43" t="n">
        <v>527.33</v>
      </c>
      <c r="D1145" s="27" t="n">
        <v>10.75</v>
      </c>
      <c r="E1145" s="27" t="n">
        <v>24</v>
      </c>
      <c r="F1145" s="27" t="n">
        <v>22.42</v>
      </c>
      <c r="G1145" s="27" t="s">
        <v>1875</v>
      </c>
      <c r="H1145" s="27" t="s">
        <v>2011</v>
      </c>
      <c r="I1145" s="27" t="s">
        <v>1876</v>
      </c>
      <c r="J1145" s="27" t="s">
        <v>2461</v>
      </c>
      <c r="K1145" s="27" t="n">
        <v>3277</v>
      </c>
      <c r="L1145" s="27" t="n">
        <v>705</v>
      </c>
      <c r="M1145" s="28" t="n">
        <f aca="false">IFERROR(VLOOKUP((OFFSET(hoje12_326_ana9,1144,10,1,1)&amp;"."&amp;OFFSET(hoje12_326_ana9,1144,11,1,1)),'12.326'!A:D,4,0),"-")</f>
        <v>15508682000115</v>
      </c>
    </row>
    <row r="1146" customFormat="false" ht="14.4" hidden="false" customHeight="false" outlineLevel="0" collapsed="false">
      <c r="A1146" s="27" t="n">
        <v>11100940</v>
      </c>
      <c r="B1146" s="27" t="s">
        <v>1985</v>
      </c>
      <c r="C1146" s="43" t="n">
        <v>722.54</v>
      </c>
      <c r="D1146" s="27" t="n">
        <v>14.74</v>
      </c>
      <c r="E1146" s="27" t="n">
        <v>48</v>
      </c>
      <c r="F1146" s="27" t="n">
        <v>15.36</v>
      </c>
      <c r="G1146" s="27" t="s">
        <v>1875</v>
      </c>
      <c r="H1146" s="27" t="s">
        <v>2011</v>
      </c>
      <c r="I1146" s="27" t="s">
        <v>1876</v>
      </c>
      <c r="J1146" s="27" t="s">
        <v>2477</v>
      </c>
      <c r="K1146" s="27" t="n">
        <v>3277</v>
      </c>
      <c r="L1146" s="27" t="n">
        <v>705</v>
      </c>
      <c r="M1146" s="28" t="n">
        <f aca="false">IFERROR(VLOOKUP((OFFSET(hoje12_326_ana9,1145,10,1,1)&amp;"."&amp;OFFSET(hoje12_326_ana9,1145,11,1,1)),'12.326'!A:D,4,0),"-")</f>
        <v>15508682000115</v>
      </c>
    </row>
    <row r="1147" customFormat="false" ht="14.4" hidden="false" customHeight="false" outlineLevel="0" collapsed="false">
      <c r="A1147" s="27" t="n">
        <v>11100968</v>
      </c>
      <c r="B1147" s="27" t="s">
        <v>2125</v>
      </c>
      <c r="C1147" s="43" t="n">
        <v>54.22</v>
      </c>
      <c r="D1147" s="27" t="n">
        <v>1.1</v>
      </c>
      <c r="E1147" s="27" t="n">
        <v>6</v>
      </c>
      <c r="F1147" s="27" t="n">
        <v>9.22</v>
      </c>
      <c r="G1147" s="27" t="s">
        <v>1875</v>
      </c>
      <c r="H1147" s="27" t="s">
        <v>2011</v>
      </c>
      <c r="I1147" s="27" t="s">
        <v>1876</v>
      </c>
      <c r="J1147" s="27" t="s">
        <v>2463</v>
      </c>
      <c r="K1147" s="27" t="n">
        <v>3277</v>
      </c>
      <c r="L1147" s="27" t="n">
        <v>705</v>
      </c>
      <c r="M1147" s="28" t="n">
        <f aca="false">IFERROR(VLOOKUP((OFFSET(hoje12_326_ana9,1146,10,1,1)&amp;"."&amp;OFFSET(hoje12_326_ana9,1146,11,1,1)),'12.326'!A:D,4,0),"-")</f>
        <v>15508682000115</v>
      </c>
    </row>
    <row r="1148" customFormat="false" ht="14.4" hidden="false" customHeight="false" outlineLevel="0" collapsed="false">
      <c r="A1148" s="27" t="n">
        <v>11100988</v>
      </c>
      <c r="B1148" s="27" t="s">
        <v>1894</v>
      </c>
      <c r="C1148" s="43" t="n">
        <v>74.52</v>
      </c>
      <c r="D1148" s="27" t="n">
        <v>8.28</v>
      </c>
      <c r="E1148" s="27" t="n">
        <v>12</v>
      </c>
      <c r="F1148" s="27" t="n">
        <v>6.9</v>
      </c>
      <c r="G1148" s="27" t="s">
        <v>1875</v>
      </c>
      <c r="H1148" s="27" t="s">
        <v>1895</v>
      </c>
      <c r="I1148" s="27" t="s">
        <v>1876</v>
      </c>
      <c r="J1148" s="27" t="s">
        <v>2204</v>
      </c>
      <c r="K1148" s="27" t="n">
        <v>3277</v>
      </c>
      <c r="L1148" s="27" t="n">
        <v>705</v>
      </c>
      <c r="M1148" s="28" t="n">
        <f aca="false">IFERROR(VLOOKUP((OFFSET(hoje12_326_ana9,1147,10,1,1)&amp;"."&amp;OFFSET(hoje12_326_ana9,1147,11,1,1)),'12.326'!A:D,4,0),"-")</f>
        <v>15508682000115</v>
      </c>
    </row>
    <row r="1149" customFormat="false" ht="14.4" hidden="false" customHeight="false" outlineLevel="0" collapsed="false">
      <c r="A1149" s="27" t="n">
        <v>11100989</v>
      </c>
      <c r="B1149" s="27" t="s">
        <v>1904</v>
      </c>
      <c r="C1149" s="43" t="n">
        <v>71.06</v>
      </c>
      <c r="D1149" s="27" t="n">
        <v>7.9</v>
      </c>
      <c r="E1149" s="27" t="n">
        <v>12</v>
      </c>
      <c r="F1149" s="27" t="n">
        <v>6.58</v>
      </c>
      <c r="G1149" s="27" t="s">
        <v>1875</v>
      </c>
      <c r="H1149" s="27" t="s">
        <v>1895</v>
      </c>
      <c r="I1149" s="27" t="s">
        <v>1876</v>
      </c>
      <c r="J1149" s="27" t="s">
        <v>2478</v>
      </c>
      <c r="K1149" s="27" t="n">
        <v>3277</v>
      </c>
      <c r="L1149" s="27" t="n">
        <v>705</v>
      </c>
      <c r="M1149" s="28" t="n">
        <f aca="false">IFERROR(VLOOKUP((OFFSET(hoje12_326_ana9,1148,10,1,1)&amp;"."&amp;OFFSET(hoje12_326_ana9,1148,11,1,1)),'12.326'!A:D,4,0),"-")</f>
        <v>15508682000115</v>
      </c>
    </row>
    <row r="1150" customFormat="false" ht="14.4" hidden="false" customHeight="false" outlineLevel="0" collapsed="false">
      <c r="A1150" s="27" t="n">
        <v>11100993</v>
      </c>
      <c r="B1150" s="27" t="s">
        <v>1898</v>
      </c>
      <c r="C1150" s="43" t="n">
        <v>33.15</v>
      </c>
      <c r="D1150" s="27" t="n">
        <v>5.85</v>
      </c>
      <c r="E1150" s="27" t="n">
        <v>6</v>
      </c>
      <c r="F1150" s="27" t="n">
        <v>6.5</v>
      </c>
      <c r="G1150" s="27" t="s">
        <v>1875</v>
      </c>
      <c r="H1150" s="27" t="s">
        <v>1892</v>
      </c>
      <c r="I1150" s="27" t="s">
        <v>1876</v>
      </c>
      <c r="J1150" s="27" t="s">
        <v>2185</v>
      </c>
      <c r="K1150" s="27" t="n">
        <v>3277</v>
      </c>
      <c r="L1150" s="27" t="n">
        <v>705</v>
      </c>
      <c r="M1150" s="28" t="n">
        <f aca="false">IFERROR(VLOOKUP((OFFSET(hoje12_326_ana9,1149,10,1,1)&amp;"."&amp;OFFSET(hoje12_326_ana9,1149,11,1,1)),'12.326'!A:D,4,0),"-")</f>
        <v>15508682000115</v>
      </c>
    </row>
    <row r="1151" customFormat="false" ht="14.4" hidden="false" customHeight="false" outlineLevel="0" collapsed="false">
      <c r="A1151" s="27" t="n">
        <v>11101004</v>
      </c>
      <c r="B1151" s="27" t="s">
        <v>1888</v>
      </c>
      <c r="C1151" s="43" t="n">
        <v>54.88</v>
      </c>
      <c r="D1151" s="27" t="n">
        <v>9.68</v>
      </c>
      <c r="E1151" s="27" t="n">
        <v>6</v>
      </c>
      <c r="F1151" s="27" t="n">
        <v>10.76</v>
      </c>
      <c r="G1151" s="27" t="s">
        <v>1875</v>
      </c>
      <c r="H1151" s="27" t="s">
        <v>1892</v>
      </c>
      <c r="I1151" s="27" t="s">
        <v>1876</v>
      </c>
      <c r="J1151" s="27" t="s">
        <v>1901</v>
      </c>
      <c r="K1151" s="27" t="n">
        <v>3277</v>
      </c>
      <c r="L1151" s="27" t="n">
        <v>705</v>
      </c>
      <c r="M1151" s="28" t="n">
        <f aca="false">IFERROR(VLOOKUP((OFFSET(hoje12_326_ana9,1150,10,1,1)&amp;"."&amp;OFFSET(hoje12_326_ana9,1150,11,1,1)),'12.326'!A:D,4,0),"-")</f>
        <v>15508682000115</v>
      </c>
    </row>
    <row r="1152" customFormat="false" ht="14.4" hidden="false" customHeight="false" outlineLevel="0" collapsed="false">
      <c r="A1152" s="27" t="n">
        <v>11101000</v>
      </c>
      <c r="B1152" s="27" t="s">
        <v>1886</v>
      </c>
      <c r="C1152" s="43" t="n">
        <v>68.97</v>
      </c>
      <c r="D1152" s="27" t="n">
        <v>0</v>
      </c>
      <c r="E1152" s="27" t="n">
        <v>3</v>
      </c>
      <c r="F1152" s="27" t="n">
        <v>22.99</v>
      </c>
      <c r="G1152" s="27" t="s">
        <v>1875</v>
      </c>
      <c r="H1152" s="27" t="s">
        <v>68</v>
      </c>
      <c r="I1152" s="27" t="s">
        <v>1876</v>
      </c>
      <c r="J1152" s="27" t="s">
        <v>1877</v>
      </c>
      <c r="K1152" s="27" t="n">
        <v>705001</v>
      </c>
      <c r="L1152" s="27" t="n">
        <v>705</v>
      </c>
      <c r="M1152" s="28" t="n">
        <f aca="false">IFERROR(VLOOKUP((OFFSET(hoje12_326_ana9,1151,10,1,1)&amp;"."&amp;OFFSET(hoje12_326_ana9,1151,11,1,1)),'12.326'!A:D,4,0),"-")</f>
        <v>12934721000158</v>
      </c>
    </row>
    <row r="1153" customFormat="false" ht="14.4" hidden="false" customHeight="false" outlineLevel="0" collapsed="false">
      <c r="A1153" s="27" t="n">
        <v>11100998</v>
      </c>
      <c r="B1153" s="27" t="s">
        <v>1887</v>
      </c>
      <c r="C1153" s="43" t="n">
        <v>45.03</v>
      </c>
      <c r="D1153" s="27" t="n">
        <v>0</v>
      </c>
      <c r="E1153" s="27" t="n">
        <v>3</v>
      </c>
      <c r="F1153" s="27" t="n">
        <v>15.01</v>
      </c>
      <c r="G1153" s="27" t="s">
        <v>1875</v>
      </c>
      <c r="H1153" s="27" t="s">
        <v>68</v>
      </c>
      <c r="I1153" s="27" t="s">
        <v>1876</v>
      </c>
      <c r="J1153" s="27" t="s">
        <v>1877</v>
      </c>
      <c r="K1153" s="27" t="n">
        <v>705001</v>
      </c>
      <c r="L1153" s="27" t="n">
        <v>705</v>
      </c>
      <c r="M1153" s="28" t="n">
        <f aca="false">IFERROR(VLOOKUP((OFFSET(hoje12_326_ana9,1152,10,1,1)&amp;"."&amp;OFFSET(hoje12_326_ana9,1152,11,1,1)),'12.326'!A:D,4,0),"-")</f>
        <v>12934721000158</v>
      </c>
    </row>
    <row r="1154" customFormat="false" ht="14.4" hidden="false" customHeight="false" outlineLevel="0" collapsed="false">
      <c r="A1154" s="27" t="n">
        <v>11101004</v>
      </c>
      <c r="B1154" s="27" t="s">
        <v>1888</v>
      </c>
      <c r="C1154" s="43" t="n">
        <v>32.28</v>
      </c>
      <c r="D1154" s="27" t="n">
        <v>0</v>
      </c>
      <c r="E1154" s="27" t="n">
        <v>3</v>
      </c>
      <c r="F1154" s="27" t="n">
        <v>10.76</v>
      </c>
      <c r="G1154" s="27" t="s">
        <v>1875</v>
      </c>
      <c r="H1154" s="27" t="s">
        <v>68</v>
      </c>
      <c r="I1154" s="27" t="s">
        <v>1876</v>
      </c>
      <c r="J1154" s="27" t="s">
        <v>1877</v>
      </c>
      <c r="K1154" s="27" t="n">
        <v>705001</v>
      </c>
      <c r="L1154" s="27" t="n">
        <v>705</v>
      </c>
      <c r="M1154" s="28" t="n">
        <f aca="false">IFERROR(VLOOKUP((OFFSET(hoje12_326_ana9,1153,10,1,1)&amp;"."&amp;OFFSET(hoje12_326_ana9,1153,11,1,1)),'12.326'!A:D,4,0),"-")</f>
        <v>12934721000158</v>
      </c>
    </row>
    <row r="1155" customFormat="false" ht="14.4" hidden="false" customHeight="false" outlineLevel="0" collapsed="false">
      <c r="A1155" s="27" t="n">
        <v>11101003</v>
      </c>
      <c r="B1155" s="27" t="s">
        <v>1889</v>
      </c>
      <c r="C1155" s="43" t="n">
        <v>32.28</v>
      </c>
      <c r="D1155" s="27" t="n">
        <v>0</v>
      </c>
      <c r="E1155" s="27" t="n">
        <v>3</v>
      </c>
      <c r="F1155" s="27" t="n">
        <v>10.76</v>
      </c>
      <c r="G1155" s="27" t="s">
        <v>1875</v>
      </c>
      <c r="H1155" s="27" t="s">
        <v>68</v>
      </c>
      <c r="I1155" s="27" t="s">
        <v>1876</v>
      </c>
      <c r="J1155" s="27" t="s">
        <v>1877</v>
      </c>
      <c r="K1155" s="27" t="n">
        <v>705001</v>
      </c>
      <c r="L1155" s="27" t="n">
        <v>705</v>
      </c>
      <c r="M1155" s="28" t="n">
        <f aca="false">IFERROR(VLOOKUP((OFFSET(hoje12_326_ana9,1154,10,1,1)&amp;"."&amp;OFFSET(hoje12_326_ana9,1154,11,1,1)),'12.326'!A:D,4,0),"-")</f>
        <v>12934721000158</v>
      </c>
    </row>
    <row r="1156" customFormat="false" ht="14.4" hidden="false" customHeight="false" outlineLevel="0" collapsed="false">
      <c r="A1156" s="27" t="n">
        <v>11100216</v>
      </c>
      <c r="B1156" s="27" t="s">
        <v>1923</v>
      </c>
      <c r="C1156" s="43" t="n">
        <v>105.41</v>
      </c>
      <c r="D1156" s="27" t="n">
        <v>26.35</v>
      </c>
      <c r="E1156" s="27" t="n">
        <v>24</v>
      </c>
      <c r="F1156" s="27" t="n">
        <v>5.49</v>
      </c>
      <c r="G1156" s="27" t="s">
        <v>1875</v>
      </c>
      <c r="H1156" s="27" t="s">
        <v>2157</v>
      </c>
      <c r="I1156" s="27" t="s">
        <v>1876</v>
      </c>
      <c r="J1156" s="27" t="s">
        <v>2479</v>
      </c>
      <c r="K1156" s="27" t="n">
        <v>2606</v>
      </c>
      <c r="L1156" s="27" t="n">
        <v>708</v>
      </c>
      <c r="M1156" s="28" t="n">
        <f aca="false">IFERROR(VLOOKUP((OFFSET(hoje12_326_ana9,1155,10,1,1)&amp;"."&amp;OFFSET(hoje12_326_ana9,1155,11,1,1)),'12.326'!A:D,4,0),"-")</f>
        <v>37532249000158</v>
      </c>
    </row>
    <row r="1157" customFormat="false" ht="14.4" hidden="false" customHeight="false" outlineLevel="0" collapsed="false">
      <c r="A1157" s="27" t="n">
        <v>11100066</v>
      </c>
      <c r="B1157" s="27" t="s">
        <v>2111</v>
      </c>
      <c r="C1157" s="43" t="n">
        <v>141.79</v>
      </c>
      <c r="D1157" s="27" t="n">
        <v>35.45</v>
      </c>
      <c r="E1157" s="27" t="n">
        <v>12</v>
      </c>
      <c r="F1157" s="27" t="n">
        <v>14.77</v>
      </c>
      <c r="G1157" s="27" t="s">
        <v>1875</v>
      </c>
      <c r="H1157" s="27" t="s">
        <v>2157</v>
      </c>
      <c r="I1157" s="27" t="s">
        <v>1876</v>
      </c>
      <c r="J1157" s="27" t="s">
        <v>2480</v>
      </c>
      <c r="K1157" s="27" t="n">
        <v>2606</v>
      </c>
      <c r="L1157" s="27" t="n">
        <v>708</v>
      </c>
      <c r="M1157" s="28" t="n">
        <f aca="false">IFERROR(VLOOKUP((OFFSET(hoje12_326_ana9,1156,10,1,1)&amp;"."&amp;OFFSET(hoje12_326_ana9,1156,11,1,1)),'12.326'!A:D,4,0),"-")</f>
        <v>37532249000158</v>
      </c>
    </row>
    <row r="1158" customFormat="false" ht="14.4" hidden="false" customHeight="false" outlineLevel="0" collapsed="false">
      <c r="A1158" s="27" t="n">
        <v>11100542</v>
      </c>
      <c r="B1158" s="27" t="s">
        <v>2113</v>
      </c>
      <c r="C1158" s="43" t="n">
        <v>112.03</v>
      </c>
      <c r="D1158" s="27" t="n">
        <v>28.01</v>
      </c>
      <c r="E1158" s="27" t="n">
        <v>12</v>
      </c>
      <c r="F1158" s="27" t="n">
        <v>11.67</v>
      </c>
      <c r="G1158" s="27" t="s">
        <v>1875</v>
      </c>
      <c r="H1158" s="27" t="s">
        <v>2157</v>
      </c>
      <c r="I1158" s="27" t="s">
        <v>1876</v>
      </c>
      <c r="J1158" s="27" t="s">
        <v>2481</v>
      </c>
      <c r="K1158" s="27" t="n">
        <v>2606</v>
      </c>
      <c r="L1158" s="27" t="n">
        <v>708</v>
      </c>
      <c r="M1158" s="28" t="n">
        <f aca="false">IFERROR(VLOOKUP((OFFSET(hoje12_326_ana9,1157,10,1,1)&amp;"."&amp;OFFSET(hoje12_326_ana9,1157,11,1,1)),'12.326'!A:D,4,0),"-")</f>
        <v>37532249000158</v>
      </c>
    </row>
    <row r="1159" customFormat="false" ht="14.4" hidden="false" customHeight="false" outlineLevel="0" collapsed="false">
      <c r="A1159" s="27" t="n">
        <v>11100543</v>
      </c>
      <c r="B1159" s="27" t="s">
        <v>2115</v>
      </c>
      <c r="C1159" s="43" t="n">
        <v>164.64</v>
      </c>
      <c r="D1159" s="27" t="n">
        <v>41.16</v>
      </c>
      <c r="E1159" s="27" t="n">
        <v>12</v>
      </c>
      <c r="F1159" s="27" t="n">
        <v>17.15</v>
      </c>
      <c r="G1159" s="27" t="s">
        <v>1875</v>
      </c>
      <c r="H1159" s="27" t="s">
        <v>2157</v>
      </c>
      <c r="I1159" s="27" t="s">
        <v>1876</v>
      </c>
      <c r="J1159" s="27" t="s">
        <v>2482</v>
      </c>
      <c r="K1159" s="27" t="n">
        <v>2606</v>
      </c>
      <c r="L1159" s="27" t="n">
        <v>708</v>
      </c>
      <c r="M1159" s="28" t="n">
        <f aca="false">IFERROR(VLOOKUP((OFFSET(hoje12_326_ana9,1158,10,1,1)&amp;"."&amp;OFFSET(hoje12_326_ana9,1158,11,1,1)),'12.326'!A:D,4,0),"-")</f>
        <v>37532249000158</v>
      </c>
    </row>
    <row r="1160" customFormat="false" ht="14.4" hidden="false" customHeight="false" outlineLevel="0" collapsed="false">
      <c r="A1160" s="27" t="n">
        <v>11100373</v>
      </c>
      <c r="B1160" s="27" t="s">
        <v>2127</v>
      </c>
      <c r="C1160" s="43" t="n">
        <v>16.13</v>
      </c>
      <c r="D1160" s="27" t="n">
        <v>4.03</v>
      </c>
      <c r="E1160" s="27" t="n">
        <v>6</v>
      </c>
      <c r="F1160" s="27" t="n">
        <v>3.36</v>
      </c>
      <c r="G1160" s="27" t="s">
        <v>1875</v>
      </c>
      <c r="H1160" s="27" t="s">
        <v>2157</v>
      </c>
      <c r="I1160" s="27" t="s">
        <v>1876</v>
      </c>
      <c r="J1160" s="27" t="s">
        <v>2483</v>
      </c>
      <c r="K1160" s="27" t="n">
        <v>2606</v>
      </c>
      <c r="L1160" s="27" t="n">
        <v>708</v>
      </c>
      <c r="M1160" s="28" t="n">
        <f aca="false">IFERROR(VLOOKUP((OFFSET(hoje12_326_ana9,1159,10,1,1)&amp;"."&amp;OFFSET(hoje12_326_ana9,1159,11,1,1)),'12.326'!A:D,4,0),"-")</f>
        <v>37532249000158</v>
      </c>
    </row>
    <row r="1161" customFormat="false" ht="14.4" hidden="false" customHeight="false" outlineLevel="0" collapsed="false">
      <c r="A1161" s="27" t="n">
        <v>11100970</v>
      </c>
      <c r="B1161" s="27" t="s">
        <v>2197</v>
      </c>
      <c r="C1161" s="43" t="n">
        <v>27.74</v>
      </c>
      <c r="D1161" s="27" t="n">
        <v>6.94</v>
      </c>
      <c r="E1161" s="27" t="n">
        <v>3</v>
      </c>
      <c r="F1161" s="27" t="n">
        <v>11.56</v>
      </c>
      <c r="G1161" s="27" t="s">
        <v>1875</v>
      </c>
      <c r="H1161" s="27" t="s">
        <v>2157</v>
      </c>
      <c r="I1161" s="27" t="s">
        <v>1876</v>
      </c>
      <c r="J1161" s="27" t="s">
        <v>2198</v>
      </c>
      <c r="K1161" s="27" t="n">
        <v>2606</v>
      </c>
      <c r="L1161" s="27" t="n">
        <v>708</v>
      </c>
      <c r="M1161" s="28" t="n">
        <f aca="false">IFERROR(VLOOKUP((OFFSET(hoje12_326_ana9,1160,10,1,1)&amp;"."&amp;OFFSET(hoje12_326_ana9,1160,11,1,1)),'12.326'!A:D,4,0),"-")</f>
        <v>37532249000158</v>
      </c>
    </row>
    <row r="1162" customFormat="false" ht="14.4" hidden="false" customHeight="false" outlineLevel="0" collapsed="false">
      <c r="A1162" s="27" t="n">
        <v>11100968</v>
      </c>
      <c r="B1162" s="27" t="s">
        <v>2125</v>
      </c>
      <c r="C1162" s="43" t="n">
        <v>22.13</v>
      </c>
      <c r="D1162" s="27" t="n">
        <v>5.53</v>
      </c>
      <c r="E1162" s="27" t="n">
        <v>3</v>
      </c>
      <c r="F1162" s="27" t="n">
        <v>9.22</v>
      </c>
      <c r="G1162" s="27" t="s">
        <v>1875</v>
      </c>
      <c r="H1162" s="27" t="s">
        <v>2157</v>
      </c>
      <c r="I1162" s="27" t="s">
        <v>1876</v>
      </c>
      <c r="J1162" s="27" t="s">
        <v>2484</v>
      </c>
      <c r="K1162" s="27" t="n">
        <v>2606</v>
      </c>
      <c r="L1162" s="27" t="n">
        <v>708</v>
      </c>
      <c r="M1162" s="28" t="n">
        <f aca="false">IFERROR(VLOOKUP((OFFSET(hoje12_326_ana9,1161,10,1,1)&amp;"."&amp;OFFSET(hoje12_326_ana9,1161,11,1,1)),'12.326'!A:D,4,0),"-")</f>
        <v>37532249000158</v>
      </c>
    </row>
    <row r="1163" customFormat="false" ht="14.4" hidden="false" customHeight="false" outlineLevel="0" collapsed="false">
      <c r="A1163" s="27" t="n">
        <v>11100971</v>
      </c>
      <c r="B1163" s="27" t="s">
        <v>2253</v>
      </c>
      <c r="C1163" s="43" t="n">
        <v>57.89</v>
      </c>
      <c r="D1163" s="27" t="n">
        <v>14.47</v>
      </c>
      <c r="E1163" s="27" t="n">
        <v>6</v>
      </c>
      <c r="F1163" s="27" t="n">
        <v>12.06</v>
      </c>
      <c r="G1163" s="27" t="s">
        <v>1875</v>
      </c>
      <c r="H1163" s="27" t="s">
        <v>2157</v>
      </c>
      <c r="I1163" s="27" t="s">
        <v>1876</v>
      </c>
      <c r="J1163" s="27" t="s">
        <v>2485</v>
      </c>
      <c r="K1163" s="27" t="n">
        <v>2606</v>
      </c>
      <c r="L1163" s="27" t="n">
        <v>708</v>
      </c>
      <c r="M1163" s="28" t="n">
        <f aca="false">IFERROR(VLOOKUP((OFFSET(hoje12_326_ana9,1162,10,1,1)&amp;"."&amp;OFFSET(hoje12_326_ana9,1162,11,1,1)),'12.326'!A:D,4,0),"-")</f>
        <v>37532249000158</v>
      </c>
    </row>
    <row r="1164" customFormat="false" ht="14.4" hidden="false" customHeight="false" outlineLevel="0" collapsed="false">
      <c r="A1164" s="27" t="n">
        <v>11100972</v>
      </c>
      <c r="B1164" s="27" t="s">
        <v>2308</v>
      </c>
      <c r="C1164" s="43" t="n">
        <v>69.94</v>
      </c>
      <c r="D1164" s="27" t="n">
        <v>17.48</v>
      </c>
      <c r="E1164" s="27" t="n">
        <v>6</v>
      </c>
      <c r="F1164" s="27" t="n">
        <v>14.57</v>
      </c>
      <c r="G1164" s="27" t="s">
        <v>1875</v>
      </c>
      <c r="H1164" s="27" t="s">
        <v>2157</v>
      </c>
      <c r="I1164" s="27" t="s">
        <v>1876</v>
      </c>
      <c r="J1164" s="27" t="s">
        <v>2486</v>
      </c>
      <c r="K1164" s="27" t="n">
        <v>2606</v>
      </c>
      <c r="L1164" s="27" t="n">
        <v>708</v>
      </c>
      <c r="M1164" s="28" t="n">
        <f aca="false">IFERROR(VLOOKUP((OFFSET(hoje12_326_ana9,1163,10,1,1)&amp;"."&amp;OFFSET(hoje12_326_ana9,1163,11,1,1)),'12.326'!A:D,4,0),"-")</f>
        <v>37532249000158</v>
      </c>
    </row>
    <row r="1165" customFormat="false" ht="14.4" hidden="false" customHeight="false" outlineLevel="0" collapsed="false">
      <c r="A1165" s="27" t="n">
        <v>11100978</v>
      </c>
      <c r="B1165" s="27" t="s">
        <v>2255</v>
      </c>
      <c r="C1165" s="43" t="n">
        <v>108.58</v>
      </c>
      <c r="D1165" s="27" t="n">
        <v>27.14</v>
      </c>
      <c r="E1165" s="27" t="n">
        <v>6</v>
      </c>
      <c r="F1165" s="27" t="n">
        <v>22.62</v>
      </c>
      <c r="G1165" s="27" t="s">
        <v>1875</v>
      </c>
      <c r="H1165" s="27" t="s">
        <v>2157</v>
      </c>
      <c r="I1165" s="27" t="s">
        <v>1876</v>
      </c>
      <c r="J1165" s="27" t="s">
        <v>2487</v>
      </c>
      <c r="K1165" s="27" t="n">
        <v>2606</v>
      </c>
      <c r="L1165" s="27" t="n">
        <v>708</v>
      </c>
      <c r="M1165" s="28" t="n">
        <f aca="false">IFERROR(VLOOKUP((OFFSET(hoje12_326_ana9,1164,10,1,1)&amp;"."&amp;OFFSET(hoje12_326_ana9,1164,11,1,1)),'12.326'!A:D,4,0),"-")</f>
        <v>37532249000158</v>
      </c>
    </row>
    <row r="1166" customFormat="false" ht="14.4" hidden="false" customHeight="false" outlineLevel="0" collapsed="false">
      <c r="A1166" s="27" t="n">
        <v>11100976</v>
      </c>
      <c r="B1166" s="27" t="s">
        <v>2139</v>
      </c>
      <c r="C1166" s="43" t="n">
        <v>8.83</v>
      </c>
      <c r="D1166" s="27" t="n">
        <v>4.01</v>
      </c>
      <c r="E1166" s="27" t="n">
        <v>6</v>
      </c>
      <c r="F1166" s="27" t="n">
        <v>2.14</v>
      </c>
      <c r="G1166" s="27" t="s">
        <v>1875</v>
      </c>
      <c r="H1166" s="27" t="s">
        <v>2488</v>
      </c>
      <c r="I1166" s="27" t="s">
        <v>1876</v>
      </c>
      <c r="J1166" s="27" t="s">
        <v>2489</v>
      </c>
      <c r="K1166" s="27" t="n">
        <v>2606</v>
      </c>
      <c r="L1166" s="27" t="n">
        <v>708</v>
      </c>
      <c r="M1166" s="28" t="n">
        <f aca="false">IFERROR(VLOOKUP((OFFSET(hoje12_326_ana9,1165,10,1,1)&amp;"."&amp;OFFSET(hoje12_326_ana9,1165,11,1,1)),'12.326'!A:D,4,0),"-")</f>
        <v>37532249000158</v>
      </c>
    </row>
    <row r="1167" customFormat="false" ht="14.4" hidden="false" customHeight="false" outlineLevel="0" collapsed="false">
      <c r="A1167" s="27" t="n">
        <v>11100977</v>
      </c>
      <c r="B1167" s="27" t="s">
        <v>2445</v>
      </c>
      <c r="C1167" s="43" t="n">
        <v>14.8</v>
      </c>
      <c r="D1167" s="27" t="n">
        <v>5.3</v>
      </c>
      <c r="E1167" s="27" t="n">
        <v>6</v>
      </c>
      <c r="F1167" s="27" t="n">
        <v>3.35</v>
      </c>
      <c r="G1167" s="27" t="s">
        <v>1875</v>
      </c>
      <c r="H1167" s="27" t="s">
        <v>2490</v>
      </c>
      <c r="I1167" s="27" t="s">
        <v>1876</v>
      </c>
      <c r="J1167" s="27" t="s">
        <v>2491</v>
      </c>
      <c r="K1167" s="27" t="n">
        <v>2606</v>
      </c>
      <c r="L1167" s="27" t="n">
        <v>708</v>
      </c>
      <c r="M1167" s="28" t="n">
        <f aca="false">IFERROR(VLOOKUP((OFFSET(hoje12_326_ana9,1166,10,1,1)&amp;"."&amp;OFFSET(hoje12_326_ana9,1166,11,1,1)),'12.326'!A:D,4,0),"-")</f>
        <v>37532249000158</v>
      </c>
    </row>
    <row r="1168" customFormat="false" ht="14.4" hidden="false" customHeight="false" outlineLevel="0" collapsed="false">
      <c r="A1168" s="27" t="n">
        <v>11100987</v>
      </c>
      <c r="B1168" s="27" t="s">
        <v>1890</v>
      </c>
      <c r="C1168" s="43" t="n">
        <v>50.16</v>
      </c>
      <c r="D1168" s="27" t="n">
        <v>12.54</v>
      </c>
      <c r="E1168" s="27" t="n">
        <v>6</v>
      </c>
      <c r="F1168" s="27" t="n">
        <v>10.45</v>
      </c>
      <c r="G1168" s="27" t="s">
        <v>1875</v>
      </c>
      <c r="H1168" s="27" t="s">
        <v>2157</v>
      </c>
      <c r="I1168" s="27" t="s">
        <v>1876</v>
      </c>
      <c r="J1168" s="27" t="s">
        <v>2351</v>
      </c>
      <c r="K1168" s="27" t="n">
        <v>2606</v>
      </c>
      <c r="L1168" s="27" t="n">
        <v>708</v>
      </c>
      <c r="M1168" s="28" t="n">
        <f aca="false">IFERROR(VLOOKUP((OFFSET(hoje12_326_ana9,1167,10,1,1)&amp;"."&amp;OFFSET(hoje12_326_ana9,1167,11,1,1)),'12.326'!A:D,4,0),"-")</f>
        <v>37532249000158</v>
      </c>
    </row>
    <row r="1169" customFormat="false" ht="14.4" hidden="false" customHeight="false" outlineLevel="0" collapsed="false">
      <c r="A1169" s="27" t="n">
        <v>11100984</v>
      </c>
      <c r="B1169" s="27" t="s">
        <v>2257</v>
      </c>
      <c r="C1169" s="43" t="n">
        <v>61.92</v>
      </c>
      <c r="D1169" s="27" t="n">
        <v>15.48</v>
      </c>
      <c r="E1169" s="27" t="n">
        <v>6</v>
      </c>
      <c r="F1169" s="27" t="n">
        <v>12.9</v>
      </c>
      <c r="G1169" s="27" t="s">
        <v>1875</v>
      </c>
      <c r="H1169" s="27" t="s">
        <v>2157</v>
      </c>
      <c r="I1169" s="27" t="s">
        <v>1876</v>
      </c>
      <c r="J1169" s="27" t="s">
        <v>2492</v>
      </c>
      <c r="K1169" s="27" t="n">
        <v>2606</v>
      </c>
      <c r="L1169" s="27" t="n">
        <v>708</v>
      </c>
      <c r="M1169" s="28" t="n">
        <f aca="false">IFERROR(VLOOKUP((OFFSET(hoje12_326_ana9,1168,10,1,1)&amp;"."&amp;OFFSET(hoje12_326_ana9,1168,11,1,1)),'12.326'!A:D,4,0),"-")</f>
        <v>37532249000158</v>
      </c>
    </row>
    <row r="1170" customFormat="false" ht="14.4" hidden="false" customHeight="false" outlineLevel="0" collapsed="false">
      <c r="A1170" s="27" t="n">
        <v>11100989</v>
      </c>
      <c r="B1170" s="27" t="s">
        <v>1904</v>
      </c>
      <c r="C1170" s="43" t="n">
        <v>31.58</v>
      </c>
      <c r="D1170" s="27" t="n">
        <v>7.9</v>
      </c>
      <c r="E1170" s="27" t="n">
        <v>6</v>
      </c>
      <c r="F1170" s="27" t="n">
        <v>6.58</v>
      </c>
      <c r="G1170" s="27" t="s">
        <v>1875</v>
      </c>
      <c r="H1170" s="27" t="s">
        <v>2157</v>
      </c>
      <c r="I1170" s="27" t="s">
        <v>1876</v>
      </c>
      <c r="J1170" s="27" t="s">
        <v>2478</v>
      </c>
      <c r="K1170" s="27" t="n">
        <v>2606</v>
      </c>
      <c r="L1170" s="27" t="n">
        <v>708</v>
      </c>
      <c r="M1170" s="28" t="n">
        <f aca="false">IFERROR(VLOOKUP((OFFSET(hoje12_326_ana9,1169,10,1,1)&amp;"."&amp;OFFSET(hoje12_326_ana9,1169,11,1,1)),'12.326'!A:D,4,0),"-")</f>
        <v>37532249000158</v>
      </c>
    </row>
    <row r="1171" customFormat="false" ht="14.4" hidden="false" customHeight="false" outlineLevel="0" collapsed="false">
      <c r="A1171" s="27" t="n">
        <v>11100988</v>
      </c>
      <c r="B1171" s="27" t="s">
        <v>1894</v>
      </c>
      <c r="C1171" s="43" t="n">
        <v>33.12</v>
      </c>
      <c r="D1171" s="27" t="n">
        <v>8.28</v>
      </c>
      <c r="E1171" s="27" t="n">
        <v>6</v>
      </c>
      <c r="F1171" s="27" t="n">
        <v>6.9</v>
      </c>
      <c r="G1171" s="27" t="s">
        <v>1875</v>
      </c>
      <c r="H1171" s="27" t="s">
        <v>2157</v>
      </c>
      <c r="I1171" s="27" t="s">
        <v>1876</v>
      </c>
      <c r="J1171" s="27" t="s">
        <v>2204</v>
      </c>
      <c r="K1171" s="27" t="n">
        <v>2606</v>
      </c>
      <c r="L1171" s="27" t="n">
        <v>708</v>
      </c>
      <c r="M1171" s="28" t="n">
        <f aca="false">IFERROR(VLOOKUP((OFFSET(hoje12_326_ana9,1170,10,1,1)&amp;"."&amp;OFFSET(hoje12_326_ana9,1170,11,1,1)),'12.326'!A:D,4,0),"-")</f>
        <v>37532249000158</v>
      </c>
    </row>
    <row r="1172" customFormat="false" ht="14.4" hidden="false" customHeight="false" outlineLevel="0" collapsed="false">
      <c r="A1172" s="27" t="n">
        <v>11100998</v>
      </c>
      <c r="B1172" s="27" t="s">
        <v>1887</v>
      </c>
      <c r="C1172" s="43" t="n">
        <v>72.05</v>
      </c>
      <c r="D1172" s="27" t="n">
        <v>18.01</v>
      </c>
      <c r="E1172" s="27" t="n">
        <v>6</v>
      </c>
      <c r="F1172" s="27" t="n">
        <v>15.01</v>
      </c>
      <c r="G1172" s="27" t="s">
        <v>1875</v>
      </c>
      <c r="H1172" s="27" t="s">
        <v>2157</v>
      </c>
      <c r="I1172" s="27" t="s">
        <v>1876</v>
      </c>
      <c r="J1172" s="27" t="s">
        <v>2493</v>
      </c>
      <c r="K1172" s="27" t="n">
        <v>2606</v>
      </c>
      <c r="L1172" s="27" t="n">
        <v>708</v>
      </c>
      <c r="M1172" s="28" t="n">
        <f aca="false">IFERROR(VLOOKUP((OFFSET(hoje12_326_ana9,1171,10,1,1)&amp;"."&amp;OFFSET(hoje12_326_ana9,1171,11,1,1)),'12.326'!A:D,4,0),"-")</f>
        <v>37532249000158</v>
      </c>
    </row>
    <row r="1173" customFormat="false" ht="14.4" hidden="false" customHeight="false" outlineLevel="0" collapsed="false">
      <c r="A1173" s="27" t="n">
        <v>11100992</v>
      </c>
      <c r="B1173" s="27" t="s">
        <v>1891</v>
      </c>
      <c r="C1173" s="43" t="n">
        <v>73.68</v>
      </c>
      <c r="D1173" s="27" t="n">
        <v>18.42</v>
      </c>
      <c r="E1173" s="27" t="n">
        <v>6</v>
      </c>
      <c r="F1173" s="27" t="n">
        <v>15.35</v>
      </c>
      <c r="G1173" s="27" t="s">
        <v>1875</v>
      </c>
      <c r="H1173" s="27" t="s">
        <v>2157</v>
      </c>
      <c r="I1173" s="27" t="s">
        <v>1876</v>
      </c>
      <c r="J1173" s="27" t="s">
        <v>2494</v>
      </c>
      <c r="K1173" s="27" t="n">
        <v>2606</v>
      </c>
      <c r="L1173" s="27" t="n">
        <v>708</v>
      </c>
      <c r="M1173" s="28" t="n">
        <f aca="false">IFERROR(VLOOKUP((OFFSET(hoje12_326_ana9,1172,10,1,1)&amp;"."&amp;OFFSET(hoje12_326_ana9,1172,11,1,1)),'12.326'!A:D,4,0),"-")</f>
        <v>37532249000158</v>
      </c>
    </row>
    <row r="1174" customFormat="false" ht="14.4" hidden="false" customHeight="false" outlineLevel="0" collapsed="false">
      <c r="A1174" s="27" t="n">
        <v>11100985</v>
      </c>
      <c r="B1174" s="27" t="s">
        <v>1906</v>
      </c>
      <c r="C1174" s="43" t="n">
        <v>100.61</v>
      </c>
      <c r="D1174" s="27" t="n">
        <v>25.15</v>
      </c>
      <c r="E1174" s="27" t="n">
        <v>6</v>
      </c>
      <c r="F1174" s="27" t="n">
        <v>20.96</v>
      </c>
      <c r="G1174" s="27" t="s">
        <v>1875</v>
      </c>
      <c r="H1174" s="27" t="s">
        <v>2157</v>
      </c>
      <c r="I1174" s="27" t="s">
        <v>1876</v>
      </c>
      <c r="J1174" s="27" t="s">
        <v>2495</v>
      </c>
      <c r="K1174" s="27" t="n">
        <v>2606</v>
      </c>
      <c r="L1174" s="27" t="n">
        <v>708</v>
      </c>
      <c r="M1174" s="28" t="n">
        <f aca="false">IFERROR(VLOOKUP((OFFSET(hoje12_326_ana9,1173,10,1,1)&amp;"."&amp;OFFSET(hoje12_326_ana9,1173,11,1,1)),'12.326'!A:D,4,0),"-")</f>
        <v>37532249000158</v>
      </c>
    </row>
    <row r="1175" customFormat="false" ht="14.4" hidden="false" customHeight="false" outlineLevel="0" collapsed="false">
      <c r="A1175" s="27" t="n">
        <v>11100066</v>
      </c>
      <c r="B1175" s="27" t="s">
        <v>2111</v>
      </c>
      <c r="C1175" s="43" t="n">
        <v>71.95</v>
      </c>
      <c r="D1175" s="27" t="n">
        <v>17.99</v>
      </c>
      <c r="E1175" s="27" t="n">
        <v>6</v>
      </c>
      <c r="F1175" s="27" t="n">
        <v>14.99</v>
      </c>
      <c r="G1175" s="27" t="s">
        <v>1875</v>
      </c>
      <c r="H1175" s="27" t="s">
        <v>2157</v>
      </c>
      <c r="I1175" s="27" t="s">
        <v>1876</v>
      </c>
      <c r="J1175" s="27" t="s">
        <v>2496</v>
      </c>
      <c r="K1175" s="27" t="n">
        <v>2609</v>
      </c>
      <c r="L1175" s="27" t="n">
        <v>708</v>
      </c>
      <c r="M1175" s="28" t="n">
        <f aca="false">IFERROR(VLOOKUP((OFFSET(hoje12_326_ana9,1174,10,1,1)&amp;"."&amp;OFFSET(hoje12_326_ana9,1174,11,1,1)),'12.326'!A:D,4,0),"-")</f>
        <v>1602811000125</v>
      </c>
    </row>
    <row r="1176" customFormat="false" ht="14.4" hidden="false" customHeight="false" outlineLevel="0" collapsed="false">
      <c r="A1176" s="27" t="n">
        <v>11100216</v>
      </c>
      <c r="B1176" s="27" t="s">
        <v>1923</v>
      </c>
      <c r="C1176" s="43" t="n">
        <v>53.47</v>
      </c>
      <c r="D1176" s="27" t="n">
        <v>13.37</v>
      </c>
      <c r="E1176" s="27" t="n">
        <v>12</v>
      </c>
      <c r="F1176" s="27" t="n">
        <v>5.57</v>
      </c>
      <c r="G1176" s="27" t="s">
        <v>1875</v>
      </c>
      <c r="H1176" s="27" t="s">
        <v>2157</v>
      </c>
      <c r="I1176" s="27" t="s">
        <v>1876</v>
      </c>
      <c r="J1176" s="27" t="s">
        <v>2497</v>
      </c>
      <c r="K1176" s="27" t="n">
        <v>2609</v>
      </c>
      <c r="L1176" s="27" t="n">
        <v>708</v>
      </c>
      <c r="M1176" s="28" t="n">
        <f aca="false">IFERROR(VLOOKUP((OFFSET(hoje12_326_ana9,1175,10,1,1)&amp;"."&amp;OFFSET(hoje12_326_ana9,1175,11,1,1)),'12.326'!A:D,4,0),"-")</f>
        <v>1602811000125</v>
      </c>
    </row>
    <row r="1177" customFormat="false" ht="14.4" hidden="false" customHeight="false" outlineLevel="0" collapsed="false">
      <c r="A1177" s="27" t="n">
        <v>11100373</v>
      </c>
      <c r="B1177" s="27" t="s">
        <v>2127</v>
      </c>
      <c r="C1177" s="43" t="n">
        <v>8.18</v>
      </c>
      <c r="D1177" s="27" t="n">
        <v>2.05</v>
      </c>
      <c r="E1177" s="27" t="n">
        <v>3</v>
      </c>
      <c r="F1177" s="27" t="n">
        <v>3.41</v>
      </c>
      <c r="G1177" s="27" t="s">
        <v>1875</v>
      </c>
      <c r="H1177" s="27" t="s">
        <v>2157</v>
      </c>
      <c r="I1177" s="27" t="s">
        <v>1876</v>
      </c>
      <c r="J1177" s="27" t="s">
        <v>2498</v>
      </c>
      <c r="K1177" s="27" t="n">
        <v>2609</v>
      </c>
      <c r="L1177" s="27" t="n">
        <v>708</v>
      </c>
      <c r="M1177" s="28" t="n">
        <f aca="false">IFERROR(VLOOKUP((OFFSET(hoje12_326_ana9,1176,10,1,1)&amp;"."&amp;OFFSET(hoje12_326_ana9,1176,11,1,1)),'12.326'!A:D,4,0),"-")</f>
        <v>1602811000125</v>
      </c>
    </row>
    <row r="1178" customFormat="false" ht="14.4" hidden="false" customHeight="false" outlineLevel="0" collapsed="false">
      <c r="A1178" s="27" t="n">
        <v>11100542</v>
      </c>
      <c r="B1178" s="27" t="s">
        <v>2113</v>
      </c>
      <c r="C1178" s="43" t="n">
        <v>28.44</v>
      </c>
      <c r="D1178" s="27" t="n">
        <v>7.11</v>
      </c>
      <c r="E1178" s="27" t="n">
        <v>3</v>
      </c>
      <c r="F1178" s="27" t="n">
        <v>11.85</v>
      </c>
      <c r="G1178" s="27" t="s">
        <v>1875</v>
      </c>
      <c r="H1178" s="27" t="s">
        <v>2157</v>
      </c>
      <c r="I1178" s="27" t="s">
        <v>1876</v>
      </c>
      <c r="J1178" s="27" t="s">
        <v>2441</v>
      </c>
      <c r="K1178" s="27" t="n">
        <v>2609</v>
      </c>
      <c r="L1178" s="27" t="n">
        <v>708</v>
      </c>
      <c r="M1178" s="28" t="n">
        <f aca="false">IFERROR(VLOOKUP((OFFSET(hoje12_326_ana9,1177,10,1,1)&amp;"."&amp;OFFSET(hoje12_326_ana9,1177,11,1,1)),'12.326'!A:D,4,0),"-")</f>
        <v>1602811000125</v>
      </c>
    </row>
    <row r="1179" customFormat="false" ht="14.4" hidden="false" customHeight="false" outlineLevel="0" collapsed="false">
      <c r="A1179" s="27" t="n">
        <v>11100543</v>
      </c>
      <c r="B1179" s="27" t="s">
        <v>2115</v>
      </c>
      <c r="C1179" s="43" t="n">
        <v>41.78</v>
      </c>
      <c r="D1179" s="27" t="n">
        <v>10.45</v>
      </c>
      <c r="E1179" s="27" t="n">
        <v>3</v>
      </c>
      <c r="F1179" s="27" t="n">
        <v>17.41</v>
      </c>
      <c r="G1179" s="27" t="s">
        <v>1875</v>
      </c>
      <c r="H1179" s="27" t="s">
        <v>2157</v>
      </c>
      <c r="I1179" s="27" t="s">
        <v>1876</v>
      </c>
      <c r="J1179" s="27" t="s">
        <v>2499</v>
      </c>
      <c r="K1179" s="27" t="n">
        <v>2609</v>
      </c>
      <c r="L1179" s="27" t="n">
        <v>708</v>
      </c>
      <c r="M1179" s="28" t="n">
        <f aca="false">IFERROR(VLOOKUP((OFFSET(hoje12_326_ana9,1178,10,1,1)&amp;"."&amp;OFFSET(hoje12_326_ana9,1178,11,1,1)),'12.326'!A:D,4,0),"-")</f>
        <v>1602811000125</v>
      </c>
    </row>
    <row r="1180" customFormat="false" ht="14.4" hidden="false" customHeight="false" outlineLevel="0" collapsed="false">
      <c r="A1180" s="27" t="n">
        <v>11100968</v>
      </c>
      <c r="B1180" s="27" t="s">
        <v>2125</v>
      </c>
      <c r="C1180" s="43" t="n">
        <v>22.46</v>
      </c>
      <c r="D1180" s="27" t="n">
        <v>5.62</v>
      </c>
      <c r="E1180" s="27" t="n">
        <v>3</v>
      </c>
      <c r="F1180" s="27" t="n">
        <v>9.36</v>
      </c>
      <c r="G1180" s="27" t="s">
        <v>1875</v>
      </c>
      <c r="H1180" s="27" t="s">
        <v>2157</v>
      </c>
      <c r="I1180" s="27" t="s">
        <v>1876</v>
      </c>
      <c r="J1180" s="27" t="s">
        <v>2500</v>
      </c>
      <c r="K1180" s="27" t="n">
        <v>2609</v>
      </c>
      <c r="L1180" s="27" t="n">
        <v>708</v>
      </c>
      <c r="M1180" s="28" t="n">
        <f aca="false">IFERROR(VLOOKUP((OFFSET(hoje12_326_ana9,1179,10,1,1)&amp;"."&amp;OFFSET(hoje12_326_ana9,1179,11,1,1)),'12.326'!A:D,4,0),"-")</f>
        <v>1602811000125</v>
      </c>
    </row>
    <row r="1181" customFormat="false" ht="14.4" hidden="false" customHeight="false" outlineLevel="0" collapsed="false">
      <c r="A1181" s="27" t="n">
        <v>11100970</v>
      </c>
      <c r="B1181" s="27" t="s">
        <v>2197</v>
      </c>
      <c r="C1181" s="43" t="n">
        <v>28.15</v>
      </c>
      <c r="D1181" s="27" t="n">
        <v>7.04</v>
      </c>
      <c r="E1181" s="27" t="n">
        <v>3</v>
      </c>
      <c r="F1181" s="27" t="n">
        <v>11.73</v>
      </c>
      <c r="G1181" s="27" t="s">
        <v>1875</v>
      </c>
      <c r="H1181" s="27" t="s">
        <v>2157</v>
      </c>
      <c r="I1181" s="27" t="s">
        <v>1876</v>
      </c>
      <c r="J1181" s="27" t="s">
        <v>2501</v>
      </c>
      <c r="K1181" s="27" t="n">
        <v>2609</v>
      </c>
      <c r="L1181" s="27" t="n">
        <v>708</v>
      </c>
      <c r="M1181" s="28" t="n">
        <f aca="false">IFERROR(VLOOKUP((OFFSET(hoje12_326_ana9,1180,10,1,1)&amp;"."&amp;OFFSET(hoje12_326_ana9,1180,11,1,1)),'12.326'!A:D,4,0),"-")</f>
        <v>1602811000125</v>
      </c>
    </row>
    <row r="1182" customFormat="false" ht="14.4" hidden="false" customHeight="false" outlineLevel="0" collapsed="false">
      <c r="A1182" s="27" t="n">
        <v>11100971</v>
      </c>
      <c r="B1182" s="27" t="s">
        <v>2253</v>
      </c>
      <c r="C1182" s="43" t="n">
        <v>29.38</v>
      </c>
      <c r="D1182" s="27" t="n">
        <v>7.34</v>
      </c>
      <c r="E1182" s="27" t="n">
        <v>3</v>
      </c>
      <c r="F1182" s="27" t="n">
        <v>12.24</v>
      </c>
      <c r="G1182" s="27" t="s">
        <v>1875</v>
      </c>
      <c r="H1182" s="27" t="s">
        <v>2157</v>
      </c>
      <c r="I1182" s="27" t="s">
        <v>1876</v>
      </c>
      <c r="J1182" s="27" t="s">
        <v>2502</v>
      </c>
      <c r="K1182" s="27" t="n">
        <v>2609</v>
      </c>
      <c r="L1182" s="27" t="n">
        <v>708</v>
      </c>
      <c r="M1182" s="28" t="n">
        <f aca="false">IFERROR(VLOOKUP((OFFSET(hoje12_326_ana9,1181,10,1,1)&amp;"."&amp;OFFSET(hoje12_326_ana9,1181,11,1,1)),'12.326'!A:D,4,0),"-")</f>
        <v>1602811000125</v>
      </c>
    </row>
    <row r="1183" customFormat="false" ht="14.4" hidden="false" customHeight="false" outlineLevel="0" collapsed="false">
      <c r="A1183" s="27" t="n">
        <v>11100972</v>
      </c>
      <c r="B1183" s="27" t="s">
        <v>2308</v>
      </c>
      <c r="C1183" s="43" t="n">
        <v>35.5</v>
      </c>
      <c r="D1183" s="27" t="n">
        <v>8.87</v>
      </c>
      <c r="E1183" s="27" t="n">
        <v>3</v>
      </c>
      <c r="F1183" s="27" t="n">
        <v>14.79</v>
      </c>
      <c r="G1183" s="27" t="s">
        <v>1875</v>
      </c>
      <c r="H1183" s="27" t="s">
        <v>2157</v>
      </c>
      <c r="I1183" s="27" t="s">
        <v>1876</v>
      </c>
      <c r="J1183" s="27" t="s">
        <v>2503</v>
      </c>
      <c r="K1183" s="27" t="n">
        <v>2609</v>
      </c>
      <c r="L1183" s="27" t="n">
        <v>708</v>
      </c>
      <c r="M1183" s="28" t="n">
        <f aca="false">IFERROR(VLOOKUP((OFFSET(hoje12_326_ana9,1182,10,1,1)&amp;"."&amp;OFFSET(hoje12_326_ana9,1182,11,1,1)),'12.326'!A:D,4,0),"-")</f>
        <v>1602811000125</v>
      </c>
    </row>
    <row r="1184" customFormat="false" ht="14.4" hidden="false" customHeight="false" outlineLevel="0" collapsed="false">
      <c r="A1184" s="27" t="n">
        <v>11100976</v>
      </c>
      <c r="B1184" s="27" t="s">
        <v>2139</v>
      </c>
      <c r="C1184" s="43" t="n">
        <v>8.96</v>
      </c>
      <c r="D1184" s="27" t="n">
        <v>4.06</v>
      </c>
      <c r="E1184" s="27" t="n">
        <v>6</v>
      </c>
      <c r="F1184" s="27" t="n">
        <v>2.17</v>
      </c>
      <c r="G1184" s="27" t="s">
        <v>1875</v>
      </c>
      <c r="H1184" s="27" t="s">
        <v>2488</v>
      </c>
      <c r="I1184" s="27" t="s">
        <v>1876</v>
      </c>
      <c r="J1184" s="27" t="s">
        <v>2504</v>
      </c>
      <c r="K1184" s="27" t="n">
        <v>2609</v>
      </c>
      <c r="L1184" s="27" t="n">
        <v>708</v>
      </c>
      <c r="M1184" s="28" t="n">
        <f aca="false">IFERROR(VLOOKUP((OFFSET(hoje12_326_ana9,1183,10,1,1)&amp;"."&amp;OFFSET(hoje12_326_ana9,1183,11,1,1)),'12.326'!A:D,4,0),"-")</f>
        <v>1602811000125</v>
      </c>
    </row>
    <row r="1185" customFormat="false" ht="14.4" hidden="false" customHeight="false" outlineLevel="0" collapsed="false">
      <c r="A1185" s="27" t="n">
        <v>11100977</v>
      </c>
      <c r="B1185" s="27" t="s">
        <v>2445</v>
      </c>
      <c r="C1185" s="43" t="n">
        <v>15.01</v>
      </c>
      <c r="D1185" s="27" t="n">
        <v>5.39</v>
      </c>
      <c r="E1185" s="27" t="n">
        <v>6</v>
      </c>
      <c r="F1185" s="27" t="n">
        <v>3.4</v>
      </c>
      <c r="G1185" s="27" t="s">
        <v>1875</v>
      </c>
      <c r="H1185" s="27" t="s">
        <v>2490</v>
      </c>
      <c r="I1185" s="27" t="s">
        <v>1876</v>
      </c>
      <c r="J1185" s="27" t="s">
        <v>2505</v>
      </c>
      <c r="K1185" s="27" t="n">
        <v>2609</v>
      </c>
      <c r="L1185" s="27" t="n">
        <v>708</v>
      </c>
      <c r="M1185" s="28" t="n">
        <f aca="false">IFERROR(VLOOKUP((OFFSET(hoje12_326_ana9,1184,10,1,1)&amp;"."&amp;OFFSET(hoje12_326_ana9,1184,11,1,1)),'12.326'!A:D,4,0),"-")</f>
        <v>1602811000125</v>
      </c>
    </row>
    <row r="1186" customFormat="false" ht="14.4" hidden="false" customHeight="false" outlineLevel="0" collapsed="false">
      <c r="A1186" s="27" t="n">
        <v>11100978</v>
      </c>
      <c r="B1186" s="27" t="s">
        <v>2255</v>
      </c>
      <c r="C1186" s="43" t="n">
        <v>55.1</v>
      </c>
      <c r="D1186" s="27" t="n">
        <v>13.78</v>
      </c>
      <c r="E1186" s="27" t="n">
        <v>3</v>
      </c>
      <c r="F1186" s="27" t="n">
        <v>22.96</v>
      </c>
      <c r="G1186" s="27" t="s">
        <v>1875</v>
      </c>
      <c r="H1186" s="27" t="s">
        <v>2157</v>
      </c>
      <c r="I1186" s="27" t="s">
        <v>1876</v>
      </c>
      <c r="J1186" s="27" t="s">
        <v>2506</v>
      </c>
      <c r="K1186" s="27" t="n">
        <v>2609</v>
      </c>
      <c r="L1186" s="27" t="n">
        <v>708</v>
      </c>
      <c r="M1186" s="28" t="n">
        <f aca="false">IFERROR(VLOOKUP((OFFSET(hoje12_326_ana9,1185,10,1,1)&amp;"."&amp;OFFSET(hoje12_326_ana9,1185,11,1,1)),'12.326'!A:D,4,0),"-")</f>
        <v>1602811000125</v>
      </c>
    </row>
    <row r="1187" customFormat="false" ht="14.4" hidden="false" customHeight="false" outlineLevel="0" collapsed="false">
      <c r="A1187" s="27" t="n">
        <v>11100984</v>
      </c>
      <c r="B1187" s="27" t="s">
        <v>2257</v>
      </c>
      <c r="C1187" s="43" t="n">
        <v>31.42</v>
      </c>
      <c r="D1187" s="27" t="n">
        <v>7.85</v>
      </c>
      <c r="E1187" s="27" t="n">
        <v>3</v>
      </c>
      <c r="F1187" s="27" t="n">
        <v>13.09</v>
      </c>
      <c r="G1187" s="27" t="s">
        <v>1875</v>
      </c>
      <c r="H1187" s="27" t="s">
        <v>2157</v>
      </c>
      <c r="I1187" s="27" t="s">
        <v>1876</v>
      </c>
      <c r="J1187" s="27" t="s">
        <v>2451</v>
      </c>
      <c r="K1187" s="27" t="n">
        <v>2609</v>
      </c>
      <c r="L1187" s="27" t="n">
        <v>708</v>
      </c>
      <c r="M1187" s="28" t="n">
        <f aca="false">IFERROR(VLOOKUP((OFFSET(hoje12_326_ana9,1186,10,1,1)&amp;"."&amp;OFFSET(hoje12_326_ana9,1186,11,1,1)),'12.326'!A:D,4,0),"-")</f>
        <v>1602811000125</v>
      </c>
    </row>
    <row r="1188" customFormat="false" ht="14.4" hidden="false" customHeight="false" outlineLevel="0" collapsed="false">
      <c r="A1188" s="27" t="n">
        <v>11100985</v>
      </c>
      <c r="B1188" s="27" t="s">
        <v>1906</v>
      </c>
      <c r="C1188" s="43" t="n">
        <v>51.05</v>
      </c>
      <c r="D1188" s="27" t="n">
        <v>12.76</v>
      </c>
      <c r="E1188" s="27" t="n">
        <v>3</v>
      </c>
      <c r="F1188" s="27" t="n">
        <v>21.27</v>
      </c>
      <c r="G1188" s="27" t="s">
        <v>1875</v>
      </c>
      <c r="H1188" s="27" t="s">
        <v>2157</v>
      </c>
      <c r="I1188" s="27" t="s">
        <v>1876</v>
      </c>
      <c r="J1188" s="27" t="s">
        <v>2507</v>
      </c>
      <c r="K1188" s="27" t="n">
        <v>2609</v>
      </c>
      <c r="L1188" s="27" t="n">
        <v>708</v>
      </c>
      <c r="M1188" s="28" t="n">
        <f aca="false">IFERROR(VLOOKUP((OFFSET(hoje12_326_ana9,1187,10,1,1)&amp;"."&amp;OFFSET(hoje12_326_ana9,1187,11,1,1)),'12.326'!A:D,4,0),"-")</f>
        <v>1602811000125</v>
      </c>
    </row>
    <row r="1189" customFormat="false" ht="14.4" hidden="false" customHeight="false" outlineLevel="0" collapsed="false">
      <c r="A1189" s="27" t="n">
        <v>11100987</v>
      </c>
      <c r="B1189" s="27" t="s">
        <v>1890</v>
      </c>
      <c r="C1189" s="43" t="n">
        <v>25.46</v>
      </c>
      <c r="D1189" s="27" t="n">
        <v>6.37</v>
      </c>
      <c r="E1189" s="27" t="n">
        <v>3</v>
      </c>
      <c r="F1189" s="27" t="n">
        <v>10.61</v>
      </c>
      <c r="G1189" s="27" t="s">
        <v>1875</v>
      </c>
      <c r="H1189" s="27" t="s">
        <v>2157</v>
      </c>
      <c r="I1189" s="27" t="s">
        <v>1876</v>
      </c>
      <c r="J1189" s="27" t="s">
        <v>2508</v>
      </c>
      <c r="K1189" s="27" t="n">
        <v>2609</v>
      </c>
      <c r="L1189" s="27" t="n">
        <v>708</v>
      </c>
      <c r="M1189" s="28" t="n">
        <f aca="false">IFERROR(VLOOKUP((OFFSET(hoje12_326_ana9,1188,10,1,1)&amp;"."&amp;OFFSET(hoje12_326_ana9,1188,11,1,1)),'12.326'!A:D,4,0),"-")</f>
        <v>1602811000125</v>
      </c>
    </row>
    <row r="1190" customFormat="false" ht="14.4" hidden="false" customHeight="false" outlineLevel="0" collapsed="false">
      <c r="A1190" s="27" t="n">
        <v>11100988</v>
      </c>
      <c r="B1190" s="27" t="s">
        <v>1894</v>
      </c>
      <c r="C1190" s="43" t="n">
        <v>16.8</v>
      </c>
      <c r="D1190" s="27" t="n">
        <v>4.2</v>
      </c>
      <c r="E1190" s="27" t="n">
        <v>3</v>
      </c>
      <c r="F1190" s="27" t="n">
        <v>7</v>
      </c>
      <c r="G1190" s="27" t="s">
        <v>1875</v>
      </c>
      <c r="H1190" s="27" t="s">
        <v>2157</v>
      </c>
      <c r="I1190" s="27" t="s">
        <v>1876</v>
      </c>
      <c r="J1190" s="27" t="s">
        <v>2509</v>
      </c>
      <c r="K1190" s="27" t="n">
        <v>2609</v>
      </c>
      <c r="L1190" s="27" t="n">
        <v>708</v>
      </c>
      <c r="M1190" s="28" t="n">
        <f aca="false">IFERROR(VLOOKUP((OFFSET(hoje12_326_ana9,1189,10,1,1)&amp;"."&amp;OFFSET(hoje12_326_ana9,1189,11,1,1)),'12.326'!A:D,4,0),"-")</f>
        <v>1602811000125</v>
      </c>
    </row>
    <row r="1191" customFormat="false" ht="14.4" hidden="false" customHeight="false" outlineLevel="0" collapsed="false">
      <c r="A1191" s="27" t="n">
        <v>11100989</v>
      </c>
      <c r="B1191" s="27" t="s">
        <v>1904</v>
      </c>
      <c r="C1191" s="43" t="n">
        <v>16.03</v>
      </c>
      <c r="D1191" s="27" t="n">
        <v>4.01</v>
      </c>
      <c r="E1191" s="27" t="n">
        <v>3</v>
      </c>
      <c r="F1191" s="27" t="n">
        <v>6.68</v>
      </c>
      <c r="G1191" s="27" t="s">
        <v>1875</v>
      </c>
      <c r="H1191" s="27" t="s">
        <v>2157</v>
      </c>
      <c r="I1191" s="27" t="s">
        <v>1876</v>
      </c>
      <c r="J1191" s="27" t="s">
        <v>2489</v>
      </c>
      <c r="K1191" s="27" t="n">
        <v>2609</v>
      </c>
      <c r="L1191" s="27" t="n">
        <v>708</v>
      </c>
      <c r="M1191" s="28" t="n">
        <f aca="false">IFERROR(VLOOKUP((OFFSET(hoje12_326_ana9,1190,10,1,1)&amp;"."&amp;OFFSET(hoje12_326_ana9,1190,11,1,1)),'12.326'!A:D,4,0),"-")</f>
        <v>1602811000125</v>
      </c>
    </row>
    <row r="1192" customFormat="false" ht="14.4" hidden="false" customHeight="false" outlineLevel="0" collapsed="false">
      <c r="A1192" s="27" t="n">
        <v>11100992</v>
      </c>
      <c r="B1192" s="27" t="s">
        <v>1891</v>
      </c>
      <c r="C1192" s="43" t="n">
        <v>37.39</v>
      </c>
      <c r="D1192" s="27" t="n">
        <v>9.35</v>
      </c>
      <c r="E1192" s="27" t="n">
        <v>3</v>
      </c>
      <c r="F1192" s="27" t="n">
        <v>15.58</v>
      </c>
      <c r="G1192" s="27" t="s">
        <v>1875</v>
      </c>
      <c r="H1192" s="27" t="s">
        <v>2157</v>
      </c>
      <c r="I1192" s="27" t="s">
        <v>1876</v>
      </c>
      <c r="J1192" s="27" t="s">
        <v>2510</v>
      </c>
      <c r="K1192" s="27" t="n">
        <v>2609</v>
      </c>
      <c r="L1192" s="27" t="n">
        <v>708</v>
      </c>
      <c r="M1192" s="28" t="n">
        <f aca="false">IFERROR(VLOOKUP((OFFSET(hoje12_326_ana9,1191,10,1,1)&amp;"."&amp;OFFSET(hoje12_326_ana9,1191,11,1,1)),'12.326'!A:D,4,0),"-")</f>
        <v>1602811000125</v>
      </c>
    </row>
    <row r="1193" customFormat="false" ht="14.4" hidden="false" customHeight="false" outlineLevel="0" collapsed="false">
      <c r="A1193" s="27" t="n">
        <v>11100998</v>
      </c>
      <c r="B1193" s="27" t="s">
        <v>1887</v>
      </c>
      <c r="C1193" s="43" t="n">
        <v>36.58</v>
      </c>
      <c r="D1193" s="27" t="n">
        <v>9.14</v>
      </c>
      <c r="E1193" s="27" t="n">
        <v>3</v>
      </c>
      <c r="F1193" s="27" t="n">
        <v>15.24</v>
      </c>
      <c r="G1193" s="27" t="s">
        <v>1875</v>
      </c>
      <c r="H1193" s="27" t="s">
        <v>2157</v>
      </c>
      <c r="I1193" s="27" t="s">
        <v>1876</v>
      </c>
      <c r="J1193" s="27" t="s">
        <v>2036</v>
      </c>
      <c r="K1193" s="27" t="n">
        <v>2609</v>
      </c>
      <c r="L1193" s="27" t="n">
        <v>708</v>
      </c>
      <c r="M1193" s="28" t="n">
        <f aca="false">IFERROR(VLOOKUP((OFFSET(hoje12_326_ana9,1192,10,1,1)&amp;"."&amp;OFFSET(hoje12_326_ana9,1192,11,1,1)),'12.326'!A:D,4,0),"-")</f>
        <v>1602811000125</v>
      </c>
    </row>
    <row r="1194" customFormat="false" ht="14.4" hidden="false" customHeight="false" outlineLevel="0" collapsed="false">
      <c r="A1194" s="27" t="n">
        <v>11100216</v>
      </c>
      <c r="B1194" s="27" t="s">
        <v>1923</v>
      </c>
      <c r="C1194" s="43" t="n">
        <v>54.72</v>
      </c>
      <c r="D1194" s="27" t="n">
        <v>13.68</v>
      </c>
      <c r="E1194" s="27" t="n">
        <v>12</v>
      </c>
      <c r="F1194" s="27" t="n">
        <v>5.7</v>
      </c>
      <c r="G1194" s="27" t="s">
        <v>1875</v>
      </c>
      <c r="H1194" s="27" t="s">
        <v>2157</v>
      </c>
      <c r="I1194" s="27" t="s">
        <v>1876</v>
      </c>
      <c r="J1194" s="27" t="s">
        <v>2511</v>
      </c>
      <c r="K1194" s="27" t="n">
        <v>2625</v>
      </c>
      <c r="L1194" s="27" t="n">
        <v>708</v>
      </c>
      <c r="M1194" s="28" t="n">
        <f aca="false">IFERROR(VLOOKUP((OFFSET(hoje12_326_ana9,1193,10,1,1)&amp;"."&amp;OFFSET(hoje12_326_ana9,1193,11,1,1)),'12.326'!A:D,4,0),"-")</f>
        <v>3735605000119</v>
      </c>
    </row>
    <row r="1195" customFormat="false" ht="14.4" hidden="false" customHeight="false" outlineLevel="0" collapsed="false">
      <c r="A1195" s="27" t="n">
        <v>11100066</v>
      </c>
      <c r="B1195" s="27" t="s">
        <v>2111</v>
      </c>
      <c r="C1195" s="43" t="n">
        <v>147.17</v>
      </c>
      <c r="D1195" s="27" t="n">
        <v>36.79</v>
      </c>
      <c r="E1195" s="27" t="n">
        <v>12</v>
      </c>
      <c r="F1195" s="27" t="n">
        <v>15.33</v>
      </c>
      <c r="G1195" s="27" t="s">
        <v>1875</v>
      </c>
      <c r="H1195" s="27" t="s">
        <v>2157</v>
      </c>
      <c r="I1195" s="27" t="s">
        <v>1876</v>
      </c>
      <c r="J1195" s="27" t="s">
        <v>2512</v>
      </c>
      <c r="K1195" s="27" t="n">
        <v>2625</v>
      </c>
      <c r="L1195" s="27" t="n">
        <v>708</v>
      </c>
      <c r="M1195" s="28" t="n">
        <f aca="false">IFERROR(VLOOKUP((OFFSET(hoje12_326_ana9,1194,10,1,1)&amp;"."&amp;OFFSET(hoje12_326_ana9,1194,11,1,1)),'12.326'!A:D,4,0),"-")</f>
        <v>3735605000119</v>
      </c>
    </row>
    <row r="1196" customFormat="false" ht="14.4" hidden="false" customHeight="false" outlineLevel="0" collapsed="false">
      <c r="A1196" s="27" t="n">
        <v>11100542</v>
      </c>
      <c r="B1196" s="27" t="s">
        <v>2113</v>
      </c>
      <c r="C1196" s="43" t="n">
        <v>232.7</v>
      </c>
      <c r="D1196" s="27" t="n">
        <v>58.18</v>
      </c>
      <c r="E1196" s="27" t="n">
        <v>24</v>
      </c>
      <c r="F1196" s="27" t="n">
        <v>12.12</v>
      </c>
      <c r="G1196" s="27" t="s">
        <v>1875</v>
      </c>
      <c r="H1196" s="27" t="s">
        <v>2157</v>
      </c>
      <c r="I1196" s="27" t="s">
        <v>1876</v>
      </c>
      <c r="J1196" s="27" t="s">
        <v>2513</v>
      </c>
      <c r="K1196" s="27" t="n">
        <v>2625</v>
      </c>
      <c r="L1196" s="27" t="n">
        <v>708</v>
      </c>
      <c r="M1196" s="28" t="n">
        <f aca="false">IFERROR(VLOOKUP((OFFSET(hoje12_326_ana9,1195,10,1,1)&amp;"."&amp;OFFSET(hoje12_326_ana9,1195,11,1,1)),'12.326'!A:D,4,0),"-")</f>
        <v>3735605000119</v>
      </c>
    </row>
    <row r="1197" customFormat="false" ht="14.4" hidden="false" customHeight="false" outlineLevel="0" collapsed="false">
      <c r="A1197" s="27" t="n">
        <v>11100543</v>
      </c>
      <c r="B1197" s="27" t="s">
        <v>2115</v>
      </c>
      <c r="C1197" s="43" t="n">
        <v>170.98</v>
      </c>
      <c r="D1197" s="27" t="n">
        <v>42.74</v>
      </c>
      <c r="E1197" s="27" t="n">
        <v>12</v>
      </c>
      <c r="F1197" s="27" t="n">
        <v>17.81</v>
      </c>
      <c r="G1197" s="27" t="s">
        <v>1875</v>
      </c>
      <c r="H1197" s="27" t="s">
        <v>2157</v>
      </c>
      <c r="I1197" s="27" t="s">
        <v>1876</v>
      </c>
      <c r="J1197" s="27" t="s">
        <v>2514</v>
      </c>
      <c r="K1197" s="27" t="n">
        <v>2625</v>
      </c>
      <c r="L1197" s="27" t="n">
        <v>708</v>
      </c>
      <c r="M1197" s="28" t="n">
        <f aca="false">IFERROR(VLOOKUP((OFFSET(hoje12_326_ana9,1196,10,1,1)&amp;"."&amp;OFFSET(hoje12_326_ana9,1196,11,1,1)),'12.326'!A:D,4,0),"-")</f>
        <v>3735605000119</v>
      </c>
    </row>
    <row r="1198" customFormat="false" ht="14.4" hidden="false" customHeight="false" outlineLevel="0" collapsed="false">
      <c r="A1198" s="27" t="n">
        <v>11100373</v>
      </c>
      <c r="B1198" s="27" t="s">
        <v>2127</v>
      </c>
      <c r="C1198" s="43" t="n">
        <v>33.41</v>
      </c>
      <c r="D1198" s="27" t="n">
        <v>8.35</v>
      </c>
      <c r="E1198" s="27" t="n">
        <v>12</v>
      </c>
      <c r="F1198" s="27" t="n">
        <v>3.48</v>
      </c>
      <c r="G1198" s="27" t="s">
        <v>1875</v>
      </c>
      <c r="H1198" s="27" t="s">
        <v>2157</v>
      </c>
      <c r="I1198" s="27" t="s">
        <v>1876</v>
      </c>
      <c r="J1198" s="27" t="s">
        <v>2515</v>
      </c>
      <c r="K1198" s="27" t="n">
        <v>2625</v>
      </c>
      <c r="L1198" s="27" t="n">
        <v>708</v>
      </c>
      <c r="M1198" s="28" t="n">
        <f aca="false">IFERROR(VLOOKUP((OFFSET(hoje12_326_ana9,1197,10,1,1)&amp;"."&amp;OFFSET(hoje12_326_ana9,1197,11,1,1)),'12.326'!A:D,4,0),"-")</f>
        <v>3735605000119</v>
      </c>
    </row>
    <row r="1199" customFormat="false" ht="14.4" hidden="false" customHeight="false" outlineLevel="0" collapsed="false">
      <c r="A1199" s="27" t="n">
        <v>11100970</v>
      </c>
      <c r="B1199" s="27" t="s">
        <v>2197</v>
      </c>
      <c r="C1199" s="43" t="n">
        <v>28.8</v>
      </c>
      <c r="D1199" s="27" t="n">
        <v>7.2</v>
      </c>
      <c r="E1199" s="27" t="n">
        <v>3</v>
      </c>
      <c r="F1199" s="27" t="n">
        <v>12</v>
      </c>
      <c r="G1199" s="27" t="s">
        <v>1875</v>
      </c>
      <c r="H1199" s="27" t="s">
        <v>2157</v>
      </c>
      <c r="I1199" s="27" t="s">
        <v>1876</v>
      </c>
      <c r="J1199" s="27" t="s">
        <v>2516</v>
      </c>
      <c r="K1199" s="27" t="n">
        <v>2625</v>
      </c>
      <c r="L1199" s="27" t="n">
        <v>708</v>
      </c>
      <c r="M1199" s="28" t="n">
        <f aca="false">IFERROR(VLOOKUP((OFFSET(hoje12_326_ana9,1198,10,1,1)&amp;"."&amp;OFFSET(hoje12_326_ana9,1198,11,1,1)),'12.326'!A:D,4,0),"-")</f>
        <v>3735605000119</v>
      </c>
    </row>
    <row r="1200" customFormat="false" ht="14.4" hidden="false" customHeight="false" outlineLevel="0" collapsed="false">
      <c r="A1200" s="27" t="n">
        <v>11100968</v>
      </c>
      <c r="B1200" s="27" t="s">
        <v>2125</v>
      </c>
      <c r="C1200" s="43" t="n">
        <v>22.99</v>
      </c>
      <c r="D1200" s="27" t="n">
        <v>5.75</v>
      </c>
      <c r="E1200" s="27" t="n">
        <v>3</v>
      </c>
      <c r="F1200" s="27" t="n">
        <v>9.58</v>
      </c>
      <c r="G1200" s="27" t="s">
        <v>1875</v>
      </c>
      <c r="H1200" s="27" t="s">
        <v>2157</v>
      </c>
      <c r="I1200" s="27" t="s">
        <v>1876</v>
      </c>
      <c r="J1200" s="27" t="s">
        <v>2517</v>
      </c>
      <c r="K1200" s="27" t="n">
        <v>2625</v>
      </c>
      <c r="L1200" s="27" t="n">
        <v>708</v>
      </c>
      <c r="M1200" s="28" t="n">
        <f aca="false">IFERROR(VLOOKUP((OFFSET(hoje12_326_ana9,1199,10,1,1)&amp;"."&amp;OFFSET(hoje12_326_ana9,1199,11,1,1)),'12.326'!A:D,4,0),"-")</f>
        <v>3735605000119</v>
      </c>
    </row>
    <row r="1201" customFormat="false" ht="14.4" hidden="false" customHeight="false" outlineLevel="0" collapsed="false">
      <c r="A1201" s="27" t="n">
        <v>11100971</v>
      </c>
      <c r="B1201" s="27" t="s">
        <v>2253</v>
      </c>
      <c r="C1201" s="43" t="n">
        <v>30.07</v>
      </c>
      <c r="D1201" s="27" t="n">
        <v>7.52</v>
      </c>
      <c r="E1201" s="27" t="n">
        <v>3</v>
      </c>
      <c r="F1201" s="27" t="n">
        <v>12.53</v>
      </c>
      <c r="G1201" s="27" t="s">
        <v>1875</v>
      </c>
      <c r="H1201" s="27" t="s">
        <v>2157</v>
      </c>
      <c r="I1201" s="27" t="s">
        <v>1876</v>
      </c>
      <c r="J1201" s="27" t="s">
        <v>2518</v>
      </c>
      <c r="K1201" s="27" t="n">
        <v>2625</v>
      </c>
      <c r="L1201" s="27" t="n">
        <v>708</v>
      </c>
      <c r="M1201" s="28" t="n">
        <f aca="false">IFERROR(VLOOKUP((OFFSET(hoje12_326_ana9,1200,10,1,1)&amp;"."&amp;OFFSET(hoje12_326_ana9,1200,11,1,1)),'12.326'!A:D,4,0),"-")</f>
        <v>3735605000119</v>
      </c>
    </row>
    <row r="1202" customFormat="false" ht="14.4" hidden="false" customHeight="false" outlineLevel="0" collapsed="false">
      <c r="A1202" s="27" t="n">
        <v>11100972</v>
      </c>
      <c r="B1202" s="27" t="s">
        <v>2308</v>
      </c>
      <c r="C1202" s="43" t="n">
        <v>145.25</v>
      </c>
      <c r="D1202" s="27" t="n">
        <v>36.31</v>
      </c>
      <c r="E1202" s="27" t="n">
        <v>12</v>
      </c>
      <c r="F1202" s="27" t="n">
        <v>15.13</v>
      </c>
      <c r="G1202" s="27" t="s">
        <v>1875</v>
      </c>
      <c r="H1202" s="27" t="s">
        <v>2157</v>
      </c>
      <c r="I1202" s="27" t="s">
        <v>1876</v>
      </c>
      <c r="J1202" s="27" t="s">
        <v>2519</v>
      </c>
      <c r="K1202" s="27" t="n">
        <v>2625</v>
      </c>
      <c r="L1202" s="27" t="n">
        <v>708</v>
      </c>
      <c r="M1202" s="28" t="n">
        <f aca="false">IFERROR(VLOOKUP((OFFSET(hoje12_326_ana9,1201,10,1,1)&amp;"."&amp;OFFSET(hoje12_326_ana9,1201,11,1,1)),'12.326'!A:D,4,0),"-")</f>
        <v>3735605000119</v>
      </c>
    </row>
    <row r="1203" customFormat="false" ht="14.4" hidden="false" customHeight="false" outlineLevel="0" collapsed="false">
      <c r="A1203" s="27" t="n">
        <v>11100978</v>
      </c>
      <c r="B1203" s="27" t="s">
        <v>2255</v>
      </c>
      <c r="C1203" s="43" t="n">
        <v>56.35</v>
      </c>
      <c r="D1203" s="27" t="n">
        <v>14.09</v>
      </c>
      <c r="E1203" s="27" t="n">
        <v>3</v>
      </c>
      <c r="F1203" s="27" t="n">
        <v>23.48</v>
      </c>
      <c r="G1203" s="27" t="s">
        <v>1875</v>
      </c>
      <c r="H1203" s="27" t="s">
        <v>2157</v>
      </c>
      <c r="I1203" s="27" t="s">
        <v>1876</v>
      </c>
      <c r="J1203" s="27" t="s">
        <v>2520</v>
      </c>
      <c r="K1203" s="27" t="n">
        <v>2625</v>
      </c>
      <c r="L1203" s="27" t="n">
        <v>708</v>
      </c>
      <c r="M1203" s="28" t="n">
        <f aca="false">IFERROR(VLOOKUP((OFFSET(hoje12_326_ana9,1202,10,1,1)&amp;"."&amp;OFFSET(hoje12_326_ana9,1202,11,1,1)),'12.326'!A:D,4,0),"-")</f>
        <v>3735605000119</v>
      </c>
    </row>
    <row r="1204" customFormat="false" ht="14.4" hidden="false" customHeight="false" outlineLevel="0" collapsed="false">
      <c r="A1204" s="27" t="n">
        <v>11100976</v>
      </c>
      <c r="B1204" s="27" t="s">
        <v>2139</v>
      </c>
      <c r="C1204" s="43" t="n">
        <v>18.32</v>
      </c>
      <c r="D1204" s="27" t="n">
        <v>8.32</v>
      </c>
      <c r="E1204" s="27" t="n">
        <v>12</v>
      </c>
      <c r="F1204" s="27" t="n">
        <v>2.22</v>
      </c>
      <c r="G1204" s="27" t="s">
        <v>1875</v>
      </c>
      <c r="H1204" s="27" t="s">
        <v>2488</v>
      </c>
      <c r="I1204" s="27" t="s">
        <v>1876</v>
      </c>
      <c r="J1204" s="27" t="s">
        <v>2521</v>
      </c>
      <c r="K1204" s="27" t="n">
        <v>2625</v>
      </c>
      <c r="L1204" s="27" t="n">
        <v>708</v>
      </c>
      <c r="M1204" s="28" t="n">
        <f aca="false">IFERROR(VLOOKUP((OFFSET(hoje12_326_ana9,1203,10,1,1)&amp;"."&amp;OFFSET(hoje12_326_ana9,1203,11,1,1)),'12.326'!A:D,4,0),"-")</f>
        <v>3735605000119</v>
      </c>
    </row>
    <row r="1205" customFormat="false" ht="14.4" hidden="false" customHeight="false" outlineLevel="0" collapsed="false">
      <c r="A1205" s="27" t="n">
        <v>11100977</v>
      </c>
      <c r="B1205" s="27" t="s">
        <v>2445</v>
      </c>
      <c r="C1205" s="43" t="n">
        <v>30.65</v>
      </c>
      <c r="D1205" s="27" t="n">
        <v>10.99</v>
      </c>
      <c r="E1205" s="27" t="n">
        <v>12</v>
      </c>
      <c r="F1205" s="27" t="n">
        <v>3.47</v>
      </c>
      <c r="G1205" s="27" t="s">
        <v>1875</v>
      </c>
      <c r="H1205" s="27" t="s">
        <v>2490</v>
      </c>
      <c r="I1205" s="27" t="s">
        <v>1876</v>
      </c>
      <c r="J1205" s="27" t="s">
        <v>2522</v>
      </c>
      <c r="K1205" s="27" t="n">
        <v>2625</v>
      </c>
      <c r="L1205" s="27" t="n">
        <v>708</v>
      </c>
      <c r="M1205" s="28" t="n">
        <f aca="false">IFERROR(VLOOKUP((OFFSET(hoje12_326_ana9,1204,10,1,1)&amp;"."&amp;OFFSET(hoje12_326_ana9,1204,11,1,1)),'12.326'!A:D,4,0),"-")</f>
        <v>3735605000119</v>
      </c>
    </row>
    <row r="1206" customFormat="false" ht="14.4" hidden="false" customHeight="false" outlineLevel="0" collapsed="false">
      <c r="A1206" s="27" t="n">
        <v>11100987</v>
      </c>
      <c r="B1206" s="27" t="s">
        <v>1890</v>
      </c>
      <c r="C1206" s="43" t="n">
        <v>416.64</v>
      </c>
      <c r="D1206" s="27" t="n">
        <v>104.16</v>
      </c>
      <c r="E1206" s="27" t="n">
        <v>48</v>
      </c>
      <c r="F1206" s="27" t="n">
        <v>10.85</v>
      </c>
      <c r="G1206" s="27" t="s">
        <v>1875</v>
      </c>
      <c r="H1206" s="27" t="s">
        <v>2157</v>
      </c>
      <c r="I1206" s="27" t="s">
        <v>1876</v>
      </c>
      <c r="J1206" s="27" t="s">
        <v>2523</v>
      </c>
      <c r="K1206" s="27" t="n">
        <v>2625</v>
      </c>
      <c r="L1206" s="27" t="n">
        <v>708</v>
      </c>
      <c r="M1206" s="28" t="n">
        <f aca="false">IFERROR(VLOOKUP((OFFSET(hoje12_326_ana9,1205,10,1,1)&amp;"."&amp;OFFSET(hoje12_326_ana9,1205,11,1,1)),'12.326'!A:D,4,0),"-")</f>
        <v>3735605000119</v>
      </c>
    </row>
    <row r="1207" customFormat="false" ht="14.4" hidden="false" customHeight="false" outlineLevel="0" collapsed="false">
      <c r="A1207" s="27" t="n">
        <v>11100984</v>
      </c>
      <c r="B1207" s="27" t="s">
        <v>2257</v>
      </c>
      <c r="C1207" s="43" t="n">
        <v>128.54</v>
      </c>
      <c r="D1207" s="27" t="n">
        <v>32.14</v>
      </c>
      <c r="E1207" s="27" t="n">
        <v>12</v>
      </c>
      <c r="F1207" s="27" t="n">
        <v>13.39</v>
      </c>
      <c r="G1207" s="27" t="s">
        <v>1875</v>
      </c>
      <c r="H1207" s="27" t="s">
        <v>2157</v>
      </c>
      <c r="I1207" s="27" t="s">
        <v>1876</v>
      </c>
      <c r="J1207" s="27" t="s">
        <v>2524</v>
      </c>
      <c r="K1207" s="27" t="n">
        <v>2625</v>
      </c>
      <c r="L1207" s="27" t="n">
        <v>708</v>
      </c>
      <c r="M1207" s="28" t="n">
        <f aca="false">IFERROR(VLOOKUP((OFFSET(hoje12_326_ana9,1206,10,1,1)&amp;"."&amp;OFFSET(hoje12_326_ana9,1206,11,1,1)),'12.326'!A:D,4,0),"-")</f>
        <v>3735605000119</v>
      </c>
    </row>
    <row r="1208" customFormat="false" ht="14.4" hidden="false" customHeight="false" outlineLevel="0" collapsed="false">
      <c r="A1208" s="27" t="n">
        <v>11100989</v>
      </c>
      <c r="B1208" s="27" t="s">
        <v>1904</v>
      </c>
      <c r="C1208" s="43" t="n">
        <v>16.39</v>
      </c>
      <c r="D1208" s="27" t="n">
        <v>4.1</v>
      </c>
      <c r="E1208" s="27" t="n">
        <v>3</v>
      </c>
      <c r="F1208" s="27" t="n">
        <v>6.83</v>
      </c>
      <c r="G1208" s="27" t="s">
        <v>1875</v>
      </c>
      <c r="H1208" s="27" t="s">
        <v>2157</v>
      </c>
      <c r="I1208" s="27" t="s">
        <v>1876</v>
      </c>
      <c r="J1208" s="27" t="s">
        <v>2525</v>
      </c>
      <c r="K1208" s="27" t="n">
        <v>2625</v>
      </c>
      <c r="L1208" s="27" t="n">
        <v>708</v>
      </c>
      <c r="M1208" s="28" t="n">
        <f aca="false">IFERROR(VLOOKUP((OFFSET(hoje12_326_ana9,1207,10,1,1)&amp;"."&amp;OFFSET(hoje12_326_ana9,1207,11,1,1)),'12.326'!A:D,4,0),"-")</f>
        <v>3735605000119</v>
      </c>
    </row>
    <row r="1209" customFormat="false" ht="14.4" hidden="false" customHeight="false" outlineLevel="0" collapsed="false">
      <c r="A1209" s="27" t="n">
        <v>11100988</v>
      </c>
      <c r="B1209" s="27" t="s">
        <v>1894</v>
      </c>
      <c r="C1209" s="43" t="n">
        <v>17.18</v>
      </c>
      <c r="D1209" s="27" t="n">
        <v>4.3</v>
      </c>
      <c r="E1209" s="27" t="n">
        <v>3</v>
      </c>
      <c r="F1209" s="27" t="n">
        <v>7.16</v>
      </c>
      <c r="G1209" s="27" t="s">
        <v>1875</v>
      </c>
      <c r="H1209" s="27" t="s">
        <v>2157</v>
      </c>
      <c r="I1209" s="27" t="s">
        <v>1876</v>
      </c>
      <c r="J1209" s="27" t="s">
        <v>2526</v>
      </c>
      <c r="K1209" s="27" t="n">
        <v>2625</v>
      </c>
      <c r="L1209" s="27" t="n">
        <v>708</v>
      </c>
      <c r="M1209" s="28" t="n">
        <f aca="false">IFERROR(VLOOKUP((OFFSET(hoje12_326_ana9,1208,10,1,1)&amp;"."&amp;OFFSET(hoje12_326_ana9,1208,11,1,1)),'12.326'!A:D,4,0),"-")</f>
        <v>3735605000119</v>
      </c>
    </row>
    <row r="1210" customFormat="false" ht="14.4" hidden="false" customHeight="false" outlineLevel="0" collapsed="false">
      <c r="A1210" s="27" t="n">
        <v>11100998</v>
      </c>
      <c r="B1210" s="27" t="s">
        <v>1887</v>
      </c>
      <c r="C1210" s="43" t="n">
        <v>897.98</v>
      </c>
      <c r="D1210" s="27" t="n">
        <v>224.5</v>
      </c>
      <c r="E1210" s="27" t="n">
        <v>72</v>
      </c>
      <c r="F1210" s="27" t="n">
        <v>15.59</v>
      </c>
      <c r="G1210" s="27" t="s">
        <v>1875</v>
      </c>
      <c r="H1210" s="27" t="s">
        <v>2157</v>
      </c>
      <c r="I1210" s="27" t="s">
        <v>1876</v>
      </c>
      <c r="J1210" s="27" t="s">
        <v>2527</v>
      </c>
      <c r="K1210" s="27" t="n">
        <v>2625</v>
      </c>
      <c r="L1210" s="27" t="n">
        <v>708</v>
      </c>
      <c r="M1210" s="28" t="n">
        <f aca="false">IFERROR(VLOOKUP((OFFSET(hoje12_326_ana9,1209,10,1,1)&amp;"."&amp;OFFSET(hoje12_326_ana9,1209,11,1,1)),'12.326'!A:D,4,0),"-")</f>
        <v>3735605000119</v>
      </c>
    </row>
    <row r="1211" customFormat="false" ht="14.4" hidden="false" customHeight="false" outlineLevel="0" collapsed="false">
      <c r="A1211" s="27" t="n">
        <v>11100992</v>
      </c>
      <c r="B1211" s="27" t="s">
        <v>1891</v>
      </c>
      <c r="C1211" s="43" t="n">
        <v>612.1</v>
      </c>
      <c r="D1211" s="27" t="n">
        <v>153.02</v>
      </c>
      <c r="E1211" s="27" t="n">
        <v>48</v>
      </c>
      <c r="F1211" s="27" t="n">
        <v>15.94</v>
      </c>
      <c r="G1211" s="27" t="s">
        <v>1875</v>
      </c>
      <c r="H1211" s="27" t="s">
        <v>2157</v>
      </c>
      <c r="I1211" s="27" t="s">
        <v>1876</v>
      </c>
      <c r="J1211" s="27" t="s">
        <v>2528</v>
      </c>
      <c r="K1211" s="27" t="n">
        <v>2625</v>
      </c>
      <c r="L1211" s="27" t="n">
        <v>708</v>
      </c>
      <c r="M1211" s="28" t="n">
        <f aca="false">IFERROR(VLOOKUP((OFFSET(hoje12_326_ana9,1210,10,1,1)&amp;"."&amp;OFFSET(hoje12_326_ana9,1210,11,1,1)),'12.326'!A:D,4,0),"-")</f>
        <v>3735605000119</v>
      </c>
    </row>
    <row r="1212" customFormat="false" ht="14.4" hidden="false" customHeight="false" outlineLevel="0" collapsed="false">
      <c r="A1212" s="27" t="n">
        <v>11100985</v>
      </c>
      <c r="B1212" s="27" t="s">
        <v>1906</v>
      </c>
      <c r="C1212" s="43" t="n">
        <v>208.99</v>
      </c>
      <c r="D1212" s="27" t="n">
        <v>52.25</v>
      </c>
      <c r="E1212" s="27" t="n">
        <v>12</v>
      </c>
      <c r="F1212" s="27" t="n">
        <v>21.77</v>
      </c>
      <c r="G1212" s="27" t="s">
        <v>1875</v>
      </c>
      <c r="H1212" s="27" t="s">
        <v>2157</v>
      </c>
      <c r="I1212" s="27" t="s">
        <v>1876</v>
      </c>
      <c r="J1212" s="27" t="s">
        <v>2529</v>
      </c>
      <c r="K1212" s="27" t="n">
        <v>2625</v>
      </c>
      <c r="L1212" s="27" t="n">
        <v>708</v>
      </c>
      <c r="M1212" s="28" t="n">
        <f aca="false">IFERROR(VLOOKUP((OFFSET(hoje12_326_ana9,1211,10,1,1)&amp;"."&amp;OFFSET(hoje12_326_ana9,1211,11,1,1)),'12.326'!A:D,4,0),"-")</f>
        <v>3735605000119</v>
      </c>
    </row>
    <row r="1213" customFormat="false" ht="14.4" hidden="false" customHeight="false" outlineLevel="0" collapsed="false">
      <c r="A1213" s="27" t="n">
        <v>11100066</v>
      </c>
      <c r="B1213" s="27" t="s">
        <v>2111</v>
      </c>
      <c r="C1213" s="43" t="n">
        <v>143.23</v>
      </c>
      <c r="D1213" s="27" t="n">
        <v>35.81</v>
      </c>
      <c r="E1213" s="27" t="n">
        <v>12</v>
      </c>
      <c r="F1213" s="27" t="n">
        <v>14.92</v>
      </c>
      <c r="G1213" s="27" t="s">
        <v>1875</v>
      </c>
      <c r="H1213" s="27" t="s">
        <v>2157</v>
      </c>
      <c r="I1213" s="27" t="s">
        <v>1876</v>
      </c>
      <c r="J1213" s="27" t="s">
        <v>2530</v>
      </c>
      <c r="K1213" s="27" t="n">
        <v>2626</v>
      </c>
      <c r="L1213" s="27" t="n">
        <v>708</v>
      </c>
      <c r="M1213" s="28" t="n">
        <f aca="false">IFERROR(VLOOKUP((OFFSET(hoje12_326_ana9,1212,10,1,1)&amp;"."&amp;OFFSET(hoje12_326_ana9,1212,11,1,1)),'12.326'!A:D,4,0),"-")</f>
        <v>19088260000199</v>
      </c>
    </row>
    <row r="1214" customFormat="false" ht="14.4" hidden="false" customHeight="false" outlineLevel="0" collapsed="false">
      <c r="A1214" s="27" t="n">
        <v>11100216</v>
      </c>
      <c r="B1214" s="27" t="s">
        <v>1923</v>
      </c>
      <c r="C1214" s="43" t="n">
        <v>319.68</v>
      </c>
      <c r="D1214" s="27" t="n">
        <v>79.92</v>
      </c>
      <c r="E1214" s="27" t="n">
        <v>72</v>
      </c>
      <c r="F1214" s="27" t="n">
        <v>5.55</v>
      </c>
      <c r="G1214" s="27" t="s">
        <v>1875</v>
      </c>
      <c r="H1214" s="27" t="s">
        <v>2157</v>
      </c>
      <c r="I1214" s="27" t="s">
        <v>1876</v>
      </c>
      <c r="J1214" s="27" t="s">
        <v>2531</v>
      </c>
      <c r="K1214" s="27" t="n">
        <v>2626</v>
      </c>
      <c r="L1214" s="27" t="n">
        <v>708</v>
      </c>
      <c r="M1214" s="28" t="n">
        <f aca="false">IFERROR(VLOOKUP((OFFSET(hoje12_326_ana9,1213,10,1,1)&amp;"."&amp;OFFSET(hoje12_326_ana9,1213,11,1,1)),'12.326'!A:D,4,0),"-")</f>
        <v>19088260000199</v>
      </c>
    </row>
    <row r="1215" customFormat="false" ht="14.4" hidden="false" customHeight="false" outlineLevel="0" collapsed="false">
      <c r="A1215" s="27" t="n">
        <v>11100373</v>
      </c>
      <c r="B1215" s="27" t="s">
        <v>2127</v>
      </c>
      <c r="C1215" s="43" t="n">
        <v>32.54</v>
      </c>
      <c r="D1215" s="27" t="n">
        <v>8.14</v>
      </c>
      <c r="E1215" s="27" t="n">
        <v>12</v>
      </c>
      <c r="F1215" s="27" t="n">
        <v>3.39</v>
      </c>
      <c r="G1215" s="27" t="s">
        <v>1875</v>
      </c>
      <c r="H1215" s="27" t="s">
        <v>2157</v>
      </c>
      <c r="I1215" s="27" t="s">
        <v>1876</v>
      </c>
      <c r="J1215" s="27" t="s">
        <v>2026</v>
      </c>
      <c r="K1215" s="27" t="n">
        <v>2626</v>
      </c>
      <c r="L1215" s="27" t="n">
        <v>708</v>
      </c>
      <c r="M1215" s="28" t="n">
        <f aca="false">IFERROR(VLOOKUP((OFFSET(hoje12_326_ana9,1214,10,1,1)&amp;"."&amp;OFFSET(hoje12_326_ana9,1214,11,1,1)),'12.326'!A:D,4,0),"-")</f>
        <v>19088260000199</v>
      </c>
    </row>
    <row r="1216" customFormat="false" ht="14.4" hidden="false" customHeight="false" outlineLevel="0" collapsed="false">
      <c r="A1216" s="27" t="n">
        <v>11100542</v>
      </c>
      <c r="B1216" s="27" t="s">
        <v>2113</v>
      </c>
      <c r="C1216" s="43" t="n">
        <v>226.37</v>
      </c>
      <c r="D1216" s="27" t="n">
        <v>56.59</v>
      </c>
      <c r="E1216" s="27" t="n">
        <v>24</v>
      </c>
      <c r="F1216" s="27" t="n">
        <v>11.79</v>
      </c>
      <c r="G1216" s="27" t="s">
        <v>1875</v>
      </c>
      <c r="H1216" s="27" t="s">
        <v>2157</v>
      </c>
      <c r="I1216" s="27" t="s">
        <v>1876</v>
      </c>
      <c r="J1216" s="27" t="s">
        <v>2532</v>
      </c>
      <c r="K1216" s="27" t="n">
        <v>2626</v>
      </c>
      <c r="L1216" s="27" t="n">
        <v>708</v>
      </c>
      <c r="M1216" s="28" t="n">
        <f aca="false">IFERROR(VLOOKUP((OFFSET(hoje12_326_ana9,1215,10,1,1)&amp;"."&amp;OFFSET(hoje12_326_ana9,1215,11,1,1)),'12.326'!A:D,4,0),"-")</f>
        <v>19088260000199</v>
      </c>
    </row>
    <row r="1217" customFormat="false" ht="14.4" hidden="false" customHeight="false" outlineLevel="0" collapsed="false">
      <c r="A1217" s="27" t="n">
        <v>11100543</v>
      </c>
      <c r="B1217" s="27" t="s">
        <v>2115</v>
      </c>
      <c r="C1217" s="43" t="n">
        <v>166.27</v>
      </c>
      <c r="D1217" s="27" t="n">
        <v>41.57</v>
      </c>
      <c r="E1217" s="27" t="n">
        <v>12</v>
      </c>
      <c r="F1217" s="27" t="n">
        <v>17.32</v>
      </c>
      <c r="G1217" s="27" t="s">
        <v>1875</v>
      </c>
      <c r="H1217" s="27" t="s">
        <v>2157</v>
      </c>
      <c r="I1217" s="27" t="s">
        <v>1876</v>
      </c>
      <c r="J1217" s="27" t="s">
        <v>2533</v>
      </c>
      <c r="K1217" s="27" t="n">
        <v>2626</v>
      </c>
      <c r="L1217" s="27" t="n">
        <v>708</v>
      </c>
      <c r="M1217" s="28" t="n">
        <f aca="false">IFERROR(VLOOKUP((OFFSET(hoje12_326_ana9,1216,10,1,1)&amp;"."&amp;OFFSET(hoje12_326_ana9,1216,11,1,1)),'12.326'!A:D,4,0),"-")</f>
        <v>19088260000199</v>
      </c>
    </row>
    <row r="1218" customFormat="false" ht="14.4" hidden="false" customHeight="false" outlineLevel="0" collapsed="false">
      <c r="A1218" s="27" t="n">
        <v>11100968</v>
      </c>
      <c r="B1218" s="27" t="s">
        <v>2125</v>
      </c>
      <c r="C1218" s="43" t="n">
        <v>22.34</v>
      </c>
      <c r="D1218" s="27" t="n">
        <v>5.59</v>
      </c>
      <c r="E1218" s="27" t="n">
        <v>3</v>
      </c>
      <c r="F1218" s="27" t="n">
        <v>9.31</v>
      </c>
      <c r="G1218" s="27" t="s">
        <v>1875</v>
      </c>
      <c r="H1218" s="27" t="s">
        <v>2157</v>
      </c>
      <c r="I1218" s="27" t="s">
        <v>1876</v>
      </c>
      <c r="J1218" s="27" t="s">
        <v>2534</v>
      </c>
      <c r="K1218" s="27" t="n">
        <v>2626</v>
      </c>
      <c r="L1218" s="27" t="n">
        <v>708</v>
      </c>
      <c r="M1218" s="28" t="n">
        <f aca="false">IFERROR(VLOOKUP((OFFSET(hoje12_326_ana9,1217,10,1,1)&amp;"."&amp;OFFSET(hoje12_326_ana9,1217,11,1,1)),'12.326'!A:D,4,0),"-")</f>
        <v>19088260000199</v>
      </c>
    </row>
    <row r="1219" customFormat="false" ht="14.4" hidden="false" customHeight="false" outlineLevel="0" collapsed="false">
      <c r="A1219" s="27" t="n">
        <v>11100970</v>
      </c>
      <c r="B1219" s="27" t="s">
        <v>2197</v>
      </c>
      <c r="C1219" s="43" t="n">
        <v>28.03</v>
      </c>
      <c r="D1219" s="27" t="n">
        <v>7.01</v>
      </c>
      <c r="E1219" s="27" t="n">
        <v>3</v>
      </c>
      <c r="F1219" s="27" t="n">
        <v>11.68</v>
      </c>
      <c r="G1219" s="27" t="s">
        <v>1875</v>
      </c>
      <c r="H1219" s="27" t="s">
        <v>2157</v>
      </c>
      <c r="I1219" s="27" t="s">
        <v>1876</v>
      </c>
      <c r="J1219" s="27" t="s">
        <v>2535</v>
      </c>
      <c r="K1219" s="27" t="n">
        <v>2626</v>
      </c>
      <c r="L1219" s="27" t="n">
        <v>708</v>
      </c>
      <c r="M1219" s="28" t="n">
        <f aca="false">IFERROR(VLOOKUP((OFFSET(hoje12_326_ana9,1218,10,1,1)&amp;"."&amp;OFFSET(hoje12_326_ana9,1218,11,1,1)),'12.326'!A:D,4,0),"-")</f>
        <v>19088260000199</v>
      </c>
    </row>
    <row r="1220" customFormat="false" ht="14.4" hidden="false" customHeight="false" outlineLevel="0" collapsed="false">
      <c r="A1220" s="27" t="n">
        <v>11100971</v>
      </c>
      <c r="B1220" s="27" t="s">
        <v>2253</v>
      </c>
      <c r="C1220" s="43" t="n">
        <v>58.46</v>
      </c>
      <c r="D1220" s="27" t="n">
        <v>14.62</v>
      </c>
      <c r="E1220" s="27" t="n">
        <v>6</v>
      </c>
      <c r="F1220" s="27" t="n">
        <v>12.18</v>
      </c>
      <c r="G1220" s="27" t="s">
        <v>1875</v>
      </c>
      <c r="H1220" s="27" t="s">
        <v>2157</v>
      </c>
      <c r="I1220" s="27" t="s">
        <v>1876</v>
      </c>
      <c r="J1220" s="27" t="s">
        <v>2536</v>
      </c>
      <c r="K1220" s="27" t="n">
        <v>2626</v>
      </c>
      <c r="L1220" s="27" t="n">
        <v>708</v>
      </c>
      <c r="M1220" s="28" t="n">
        <f aca="false">IFERROR(VLOOKUP((OFFSET(hoje12_326_ana9,1219,10,1,1)&amp;"."&amp;OFFSET(hoje12_326_ana9,1219,11,1,1)),'12.326'!A:D,4,0),"-")</f>
        <v>19088260000199</v>
      </c>
    </row>
    <row r="1221" customFormat="false" ht="14.4" hidden="false" customHeight="false" outlineLevel="0" collapsed="false">
      <c r="A1221" s="27" t="n">
        <v>11100972</v>
      </c>
      <c r="B1221" s="27" t="s">
        <v>2308</v>
      </c>
      <c r="C1221" s="43" t="n">
        <v>141.31</v>
      </c>
      <c r="D1221" s="27" t="n">
        <v>35.33</v>
      </c>
      <c r="E1221" s="27" t="n">
        <v>12</v>
      </c>
      <c r="F1221" s="27" t="n">
        <v>14.72</v>
      </c>
      <c r="G1221" s="27" t="s">
        <v>1875</v>
      </c>
      <c r="H1221" s="27" t="s">
        <v>2157</v>
      </c>
      <c r="I1221" s="27" t="s">
        <v>1876</v>
      </c>
      <c r="J1221" s="27" t="s">
        <v>2537</v>
      </c>
      <c r="K1221" s="27" t="n">
        <v>2626</v>
      </c>
      <c r="L1221" s="27" t="n">
        <v>708</v>
      </c>
      <c r="M1221" s="28" t="n">
        <f aca="false">IFERROR(VLOOKUP((OFFSET(hoje12_326_ana9,1220,10,1,1)&amp;"."&amp;OFFSET(hoje12_326_ana9,1220,11,1,1)),'12.326'!A:D,4,0),"-")</f>
        <v>19088260000199</v>
      </c>
    </row>
    <row r="1222" customFormat="false" ht="14.4" hidden="false" customHeight="false" outlineLevel="0" collapsed="false">
      <c r="A1222" s="27" t="n">
        <v>11100976</v>
      </c>
      <c r="B1222" s="27" t="s">
        <v>2139</v>
      </c>
      <c r="C1222" s="43" t="n">
        <v>17.83</v>
      </c>
      <c r="D1222" s="27" t="n">
        <v>8.09</v>
      </c>
      <c r="E1222" s="27" t="n">
        <v>12</v>
      </c>
      <c r="F1222" s="27" t="n">
        <v>2.16</v>
      </c>
      <c r="G1222" s="27" t="s">
        <v>1875</v>
      </c>
      <c r="H1222" s="27" t="s">
        <v>2488</v>
      </c>
      <c r="I1222" s="27" t="s">
        <v>1876</v>
      </c>
      <c r="J1222" s="27" t="s">
        <v>2538</v>
      </c>
      <c r="K1222" s="27" t="n">
        <v>2626</v>
      </c>
      <c r="L1222" s="27" t="n">
        <v>708</v>
      </c>
      <c r="M1222" s="28" t="n">
        <f aca="false">IFERROR(VLOOKUP((OFFSET(hoje12_326_ana9,1221,10,1,1)&amp;"."&amp;OFFSET(hoje12_326_ana9,1221,11,1,1)),'12.326'!A:D,4,0),"-")</f>
        <v>19088260000199</v>
      </c>
    </row>
    <row r="1223" customFormat="false" ht="14.4" hidden="false" customHeight="false" outlineLevel="0" collapsed="false">
      <c r="A1223" s="27" t="n">
        <v>11100977</v>
      </c>
      <c r="B1223" s="27" t="s">
        <v>2445</v>
      </c>
      <c r="C1223" s="43" t="n">
        <v>29.86</v>
      </c>
      <c r="D1223" s="27" t="n">
        <v>10.7</v>
      </c>
      <c r="E1223" s="27" t="n">
        <v>12</v>
      </c>
      <c r="F1223" s="27" t="n">
        <v>3.38</v>
      </c>
      <c r="G1223" s="27" t="s">
        <v>1875</v>
      </c>
      <c r="H1223" s="27" t="s">
        <v>2490</v>
      </c>
      <c r="I1223" s="27" t="s">
        <v>1876</v>
      </c>
      <c r="J1223" s="27" t="s">
        <v>2539</v>
      </c>
      <c r="K1223" s="27" t="n">
        <v>2626</v>
      </c>
      <c r="L1223" s="27" t="n">
        <v>708</v>
      </c>
      <c r="M1223" s="28" t="n">
        <f aca="false">IFERROR(VLOOKUP((OFFSET(hoje12_326_ana9,1222,10,1,1)&amp;"."&amp;OFFSET(hoje12_326_ana9,1222,11,1,1)),'12.326'!A:D,4,0),"-")</f>
        <v>19088260000199</v>
      </c>
    </row>
    <row r="1224" customFormat="false" ht="14.4" hidden="false" customHeight="false" outlineLevel="0" collapsed="false">
      <c r="A1224" s="27" t="n">
        <v>11100978</v>
      </c>
      <c r="B1224" s="27" t="s">
        <v>2255</v>
      </c>
      <c r="C1224" s="43" t="n">
        <v>109.68</v>
      </c>
      <c r="D1224" s="27" t="n">
        <v>27.42</v>
      </c>
      <c r="E1224" s="27" t="n">
        <v>6</v>
      </c>
      <c r="F1224" s="27" t="n">
        <v>22.85</v>
      </c>
      <c r="G1224" s="27" t="s">
        <v>1875</v>
      </c>
      <c r="H1224" s="27" t="s">
        <v>2157</v>
      </c>
      <c r="I1224" s="27" t="s">
        <v>1876</v>
      </c>
      <c r="J1224" s="27" t="s">
        <v>2540</v>
      </c>
      <c r="K1224" s="27" t="n">
        <v>2626</v>
      </c>
      <c r="L1224" s="27" t="n">
        <v>708</v>
      </c>
      <c r="M1224" s="28" t="n">
        <f aca="false">IFERROR(VLOOKUP((OFFSET(hoje12_326_ana9,1223,10,1,1)&amp;"."&amp;OFFSET(hoje12_326_ana9,1223,11,1,1)),'12.326'!A:D,4,0),"-")</f>
        <v>19088260000199</v>
      </c>
    </row>
    <row r="1225" customFormat="false" ht="14.4" hidden="false" customHeight="false" outlineLevel="0" collapsed="false">
      <c r="A1225" s="27" t="n">
        <v>11100984</v>
      </c>
      <c r="B1225" s="27" t="s">
        <v>2257</v>
      </c>
      <c r="C1225" s="43" t="n">
        <v>125.09</v>
      </c>
      <c r="D1225" s="27" t="n">
        <v>31.27</v>
      </c>
      <c r="E1225" s="27" t="n">
        <v>12</v>
      </c>
      <c r="F1225" s="27" t="n">
        <v>13.03</v>
      </c>
      <c r="G1225" s="27" t="s">
        <v>1875</v>
      </c>
      <c r="H1225" s="27" t="s">
        <v>2157</v>
      </c>
      <c r="I1225" s="27" t="s">
        <v>1876</v>
      </c>
      <c r="J1225" s="27" t="s">
        <v>2541</v>
      </c>
      <c r="K1225" s="27" t="n">
        <v>2626</v>
      </c>
      <c r="L1225" s="27" t="n">
        <v>708</v>
      </c>
      <c r="M1225" s="28" t="n">
        <f aca="false">IFERROR(VLOOKUP((OFFSET(hoje12_326_ana9,1224,10,1,1)&amp;"."&amp;OFFSET(hoje12_326_ana9,1224,11,1,1)),'12.326'!A:D,4,0),"-")</f>
        <v>19088260000199</v>
      </c>
    </row>
    <row r="1226" customFormat="false" ht="14.4" hidden="false" customHeight="false" outlineLevel="0" collapsed="false">
      <c r="A1226" s="27" t="n">
        <v>11100985</v>
      </c>
      <c r="B1226" s="27" t="s">
        <v>1906</v>
      </c>
      <c r="C1226" s="43" t="n">
        <v>203.23</v>
      </c>
      <c r="D1226" s="27" t="n">
        <v>50.81</v>
      </c>
      <c r="E1226" s="27" t="n">
        <v>12</v>
      </c>
      <c r="F1226" s="27" t="n">
        <v>21.17</v>
      </c>
      <c r="G1226" s="27" t="s">
        <v>1875</v>
      </c>
      <c r="H1226" s="27" t="s">
        <v>2157</v>
      </c>
      <c r="I1226" s="27" t="s">
        <v>1876</v>
      </c>
      <c r="J1226" s="27" t="s">
        <v>2542</v>
      </c>
      <c r="K1226" s="27" t="n">
        <v>2626</v>
      </c>
      <c r="L1226" s="27" t="n">
        <v>708</v>
      </c>
      <c r="M1226" s="28" t="n">
        <f aca="false">IFERROR(VLOOKUP((OFFSET(hoje12_326_ana9,1225,10,1,1)&amp;"."&amp;OFFSET(hoje12_326_ana9,1225,11,1,1)),'12.326'!A:D,4,0),"-")</f>
        <v>19088260000199</v>
      </c>
    </row>
    <row r="1227" customFormat="false" ht="14.4" hidden="false" customHeight="false" outlineLevel="0" collapsed="false">
      <c r="A1227" s="27" t="n">
        <v>11100987</v>
      </c>
      <c r="B1227" s="27" t="s">
        <v>1890</v>
      </c>
      <c r="C1227" s="43" t="n">
        <v>405.5</v>
      </c>
      <c r="D1227" s="27" t="n">
        <v>101.38</v>
      </c>
      <c r="E1227" s="27" t="n">
        <v>48</v>
      </c>
      <c r="F1227" s="27" t="n">
        <v>10.56</v>
      </c>
      <c r="G1227" s="27" t="s">
        <v>1875</v>
      </c>
      <c r="H1227" s="27" t="s">
        <v>2157</v>
      </c>
      <c r="I1227" s="27" t="s">
        <v>1876</v>
      </c>
      <c r="J1227" s="27" t="s">
        <v>2543</v>
      </c>
      <c r="K1227" s="27" t="n">
        <v>2626</v>
      </c>
      <c r="L1227" s="27" t="n">
        <v>708</v>
      </c>
      <c r="M1227" s="28" t="n">
        <f aca="false">IFERROR(VLOOKUP((OFFSET(hoje12_326_ana9,1226,10,1,1)&amp;"."&amp;OFFSET(hoje12_326_ana9,1226,11,1,1)),'12.326'!A:D,4,0),"-")</f>
        <v>19088260000199</v>
      </c>
    </row>
    <row r="1228" customFormat="false" ht="14.4" hidden="false" customHeight="false" outlineLevel="0" collapsed="false">
      <c r="A1228" s="27" t="n">
        <v>11100988</v>
      </c>
      <c r="B1228" s="27" t="s">
        <v>1894</v>
      </c>
      <c r="C1228" s="43" t="n">
        <v>16.73</v>
      </c>
      <c r="D1228" s="27" t="n">
        <v>4.18</v>
      </c>
      <c r="E1228" s="27" t="n">
        <v>3</v>
      </c>
      <c r="F1228" s="27" t="n">
        <v>6.97</v>
      </c>
      <c r="G1228" s="27" t="s">
        <v>1875</v>
      </c>
      <c r="H1228" s="27" t="s">
        <v>2157</v>
      </c>
      <c r="I1228" s="27" t="s">
        <v>1876</v>
      </c>
      <c r="J1228" s="27" t="s">
        <v>2544</v>
      </c>
      <c r="K1228" s="27" t="n">
        <v>2626</v>
      </c>
      <c r="L1228" s="27" t="n">
        <v>708</v>
      </c>
      <c r="M1228" s="28" t="n">
        <f aca="false">IFERROR(VLOOKUP((OFFSET(hoje12_326_ana9,1227,10,1,1)&amp;"."&amp;OFFSET(hoje12_326_ana9,1227,11,1,1)),'12.326'!A:D,4,0),"-")</f>
        <v>19088260000199</v>
      </c>
    </row>
    <row r="1229" customFormat="false" ht="14.4" hidden="false" customHeight="false" outlineLevel="0" collapsed="false">
      <c r="A1229" s="27" t="n">
        <v>11100989</v>
      </c>
      <c r="B1229" s="27" t="s">
        <v>1904</v>
      </c>
      <c r="C1229" s="43" t="n">
        <v>15.96</v>
      </c>
      <c r="D1229" s="27" t="n">
        <v>3.99</v>
      </c>
      <c r="E1229" s="27" t="n">
        <v>3</v>
      </c>
      <c r="F1229" s="27" t="n">
        <v>6.65</v>
      </c>
      <c r="G1229" s="27" t="s">
        <v>1875</v>
      </c>
      <c r="H1229" s="27" t="s">
        <v>2157</v>
      </c>
      <c r="I1229" s="27" t="s">
        <v>1876</v>
      </c>
      <c r="J1229" s="27" t="s">
        <v>2545</v>
      </c>
      <c r="K1229" s="27" t="n">
        <v>2626</v>
      </c>
      <c r="L1229" s="27" t="n">
        <v>708</v>
      </c>
      <c r="M1229" s="28" t="n">
        <f aca="false">IFERROR(VLOOKUP((OFFSET(hoje12_326_ana9,1228,10,1,1)&amp;"."&amp;OFFSET(hoje12_326_ana9,1228,11,1,1)),'12.326'!A:D,4,0),"-")</f>
        <v>19088260000199</v>
      </c>
    </row>
    <row r="1230" customFormat="false" ht="14.4" hidden="false" customHeight="false" outlineLevel="0" collapsed="false">
      <c r="A1230" s="27" t="n">
        <v>11100992</v>
      </c>
      <c r="B1230" s="27" t="s">
        <v>1891</v>
      </c>
      <c r="C1230" s="43" t="n">
        <v>595.58</v>
      </c>
      <c r="D1230" s="27" t="n">
        <v>148.9</v>
      </c>
      <c r="E1230" s="27" t="n">
        <v>48</v>
      </c>
      <c r="F1230" s="27" t="n">
        <v>15.51</v>
      </c>
      <c r="G1230" s="27" t="s">
        <v>1875</v>
      </c>
      <c r="H1230" s="27" t="s">
        <v>2157</v>
      </c>
      <c r="I1230" s="27" t="s">
        <v>1876</v>
      </c>
      <c r="J1230" s="27" t="s">
        <v>2546</v>
      </c>
      <c r="K1230" s="27" t="n">
        <v>2626</v>
      </c>
      <c r="L1230" s="27" t="n">
        <v>708</v>
      </c>
      <c r="M1230" s="28" t="n">
        <f aca="false">IFERROR(VLOOKUP((OFFSET(hoje12_326_ana9,1229,10,1,1)&amp;"."&amp;OFFSET(hoje12_326_ana9,1229,11,1,1)),'12.326'!A:D,4,0),"-")</f>
        <v>19088260000199</v>
      </c>
    </row>
    <row r="1231" customFormat="false" ht="14.4" hidden="false" customHeight="false" outlineLevel="0" collapsed="false">
      <c r="A1231" s="27" t="n">
        <v>11100998</v>
      </c>
      <c r="B1231" s="27" t="s">
        <v>1887</v>
      </c>
      <c r="C1231" s="43" t="n">
        <v>873.22</v>
      </c>
      <c r="D1231" s="27" t="n">
        <v>218.3</v>
      </c>
      <c r="E1231" s="27" t="n">
        <v>72</v>
      </c>
      <c r="F1231" s="27" t="n">
        <v>15.16</v>
      </c>
      <c r="G1231" s="27" t="s">
        <v>1875</v>
      </c>
      <c r="H1231" s="27" t="s">
        <v>2157</v>
      </c>
      <c r="I1231" s="27" t="s">
        <v>1876</v>
      </c>
      <c r="J1231" s="27" t="s">
        <v>2547</v>
      </c>
      <c r="K1231" s="27" t="n">
        <v>2626</v>
      </c>
      <c r="L1231" s="27" t="n">
        <v>708</v>
      </c>
      <c r="M1231" s="28" t="n">
        <f aca="false">IFERROR(VLOOKUP((OFFSET(hoje12_326_ana9,1230,10,1,1)&amp;"."&amp;OFFSET(hoje12_326_ana9,1230,11,1,1)),'12.326'!A:D,4,0),"-")</f>
        <v>19088260000199</v>
      </c>
    </row>
    <row r="1232" customFormat="false" ht="14.4" hidden="false" customHeight="false" outlineLevel="0" collapsed="false">
      <c r="A1232" s="27" t="n">
        <v>11100066</v>
      </c>
      <c r="B1232" s="27" t="s">
        <v>2111</v>
      </c>
      <c r="C1232" s="43" t="n">
        <v>143.23</v>
      </c>
      <c r="D1232" s="27" t="n">
        <v>35.81</v>
      </c>
      <c r="E1232" s="27" t="n">
        <v>12</v>
      </c>
      <c r="F1232" s="27" t="n">
        <v>14.92</v>
      </c>
      <c r="G1232" s="27" t="s">
        <v>1875</v>
      </c>
      <c r="H1232" s="27" t="s">
        <v>2157</v>
      </c>
      <c r="I1232" s="27" t="s">
        <v>1876</v>
      </c>
      <c r="J1232" s="27" t="s">
        <v>2530</v>
      </c>
      <c r="K1232" s="27" t="n">
        <v>2628</v>
      </c>
      <c r="L1232" s="27" t="n">
        <v>708</v>
      </c>
      <c r="M1232" s="28" t="n">
        <f aca="false">IFERROR(VLOOKUP((OFFSET(hoje12_326_ana9,1231,10,1,1)&amp;"."&amp;OFFSET(hoje12_326_ana9,1231,11,1,1)),'12.326'!A:D,4,0),"-")</f>
        <v>43437785000177</v>
      </c>
    </row>
    <row r="1233" customFormat="false" ht="14.4" hidden="false" customHeight="false" outlineLevel="0" collapsed="false">
      <c r="A1233" s="27" t="n">
        <v>11100216</v>
      </c>
      <c r="B1233" s="27" t="s">
        <v>1923</v>
      </c>
      <c r="C1233" s="43" t="n">
        <v>1278.72</v>
      </c>
      <c r="D1233" s="27" t="n">
        <v>319.68</v>
      </c>
      <c r="E1233" s="27" t="n">
        <v>288</v>
      </c>
      <c r="F1233" s="27" t="n">
        <v>5.55</v>
      </c>
      <c r="G1233" s="27" t="s">
        <v>1875</v>
      </c>
      <c r="H1233" s="27" t="s">
        <v>2157</v>
      </c>
      <c r="I1233" s="27" t="s">
        <v>1876</v>
      </c>
      <c r="J1233" s="27" t="s">
        <v>2548</v>
      </c>
      <c r="K1233" s="27" t="n">
        <v>2628</v>
      </c>
      <c r="L1233" s="27" t="n">
        <v>708</v>
      </c>
      <c r="M1233" s="28" t="n">
        <f aca="false">IFERROR(VLOOKUP((OFFSET(hoje12_326_ana9,1232,10,1,1)&amp;"."&amp;OFFSET(hoje12_326_ana9,1232,11,1,1)),'12.326'!A:D,4,0),"-")</f>
        <v>43437785000177</v>
      </c>
    </row>
    <row r="1234" customFormat="false" ht="14.4" hidden="false" customHeight="false" outlineLevel="0" collapsed="false">
      <c r="A1234" s="27" t="n">
        <v>11100373</v>
      </c>
      <c r="B1234" s="27" t="s">
        <v>2127</v>
      </c>
      <c r="C1234" s="43" t="n">
        <v>32.54</v>
      </c>
      <c r="D1234" s="27" t="n">
        <v>8.14</v>
      </c>
      <c r="E1234" s="27" t="n">
        <v>12</v>
      </c>
      <c r="F1234" s="27" t="n">
        <v>3.39</v>
      </c>
      <c r="G1234" s="27" t="s">
        <v>1875</v>
      </c>
      <c r="H1234" s="27" t="s">
        <v>2157</v>
      </c>
      <c r="I1234" s="27" t="s">
        <v>1876</v>
      </c>
      <c r="J1234" s="27" t="s">
        <v>2026</v>
      </c>
      <c r="K1234" s="27" t="n">
        <v>2628</v>
      </c>
      <c r="L1234" s="27" t="n">
        <v>708</v>
      </c>
      <c r="M1234" s="28" t="n">
        <f aca="false">IFERROR(VLOOKUP((OFFSET(hoje12_326_ana9,1233,10,1,1)&amp;"."&amp;OFFSET(hoje12_326_ana9,1233,11,1,1)),'12.326'!A:D,4,0),"-")</f>
        <v>43437785000177</v>
      </c>
    </row>
    <row r="1235" customFormat="false" ht="14.4" hidden="false" customHeight="false" outlineLevel="0" collapsed="false">
      <c r="A1235" s="27" t="n">
        <v>11100542</v>
      </c>
      <c r="B1235" s="27" t="s">
        <v>2113</v>
      </c>
      <c r="C1235" s="43" t="n">
        <v>56.59</v>
      </c>
      <c r="D1235" s="27" t="n">
        <v>14.15</v>
      </c>
      <c r="E1235" s="27" t="n">
        <v>6</v>
      </c>
      <c r="F1235" s="27" t="n">
        <v>11.79</v>
      </c>
      <c r="G1235" s="27" t="s">
        <v>1875</v>
      </c>
      <c r="H1235" s="27" t="s">
        <v>2157</v>
      </c>
      <c r="I1235" s="27" t="s">
        <v>1876</v>
      </c>
      <c r="J1235" s="27" t="s">
        <v>2549</v>
      </c>
      <c r="K1235" s="27" t="n">
        <v>2628</v>
      </c>
      <c r="L1235" s="27" t="n">
        <v>708</v>
      </c>
      <c r="M1235" s="28" t="n">
        <f aca="false">IFERROR(VLOOKUP((OFFSET(hoje12_326_ana9,1234,10,1,1)&amp;"."&amp;OFFSET(hoje12_326_ana9,1234,11,1,1)),'12.326'!A:D,4,0),"-")</f>
        <v>43437785000177</v>
      </c>
    </row>
    <row r="1236" customFormat="false" ht="14.4" hidden="false" customHeight="false" outlineLevel="0" collapsed="false">
      <c r="A1236" s="27" t="n">
        <v>11100543</v>
      </c>
      <c r="B1236" s="27" t="s">
        <v>2115</v>
      </c>
      <c r="C1236" s="43" t="n">
        <v>83.14</v>
      </c>
      <c r="D1236" s="27" t="n">
        <v>20.78</v>
      </c>
      <c r="E1236" s="27" t="n">
        <v>6</v>
      </c>
      <c r="F1236" s="27" t="n">
        <v>17.32</v>
      </c>
      <c r="G1236" s="27" t="s">
        <v>1875</v>
      </c>
      <c r="H1236" s="27" t="s">
        <v>2157</v>
      </c>
      <c r="I1236" s="27" t="s">
        <v>1876</v>
      </c>
      <c r="J1236" s="27" t="s">
        <v>2550</v>
      </c>
      <c r="K1236" s="27" t="n">
        <v>2628</v>
      </c>
      <c r="L1236" s="27" t="n">
        <v>708</v>
      </c>
      <c r="M1236" s="28" t="n">
        <f aca="false">IFERROR(VLOOKUP((OFFSET(hoje12_326_ana9,1235,10,1,1)&amp;"."&amp;OFFSET(hoje12_326_ana9,1235,11,1,1)),'12.326'!A:D,4,0),"-")</f>
        <v>43437785000177</v>
      </c>
    </row>
    <row r="1237" customFormat="false" ht="14.4" hidden="false" customHeight="false" outlineLevel="0" collapsed="false">
      <c r="A1237" s="27" t="n">
        <v>11100968</v>
      </c>
      <c r="B1237" s="27" t="s">
        <v>2125</v>
      </c>
      <c r="C1237" s="43" t="n">
        <v>22.34</v>
      </c>
      <c r="D1237" s="27" t="n">
        <v>5.59</v>
      </c>
      <c r="E1237" s="27" t="n">
        <v>3</v>
      </c>
      <c r="F1237" s="27" t="n">
        <v>9.31</v>
      </c>
      <c r="G1237" s="27" t="s">
        <v>1875</v>
      </c>
      <c r="H1237" s="27" t="s">
        <v>2157</v>
      </c>
      <c r="I1237" s="27" t="s">
        <v>1876</v>
      </c>
      <c r="J1237" s="27" t="s">
        <v>2534</v>
      </c>
      <c r="K1237" s="27" t="n">
        <v>2628</v>
      </c>
      <c r="L1237" s="27" t="n">
        <v>708</v>
      </c>
      <c r="M1237" s="28" t="n">
        <f aca="false">IFERROR(VLOOKUP((OFFSET(hoje12_326_ana9,1236,10,1,1)&amp;"."&amp;OFFSET(hoje12_326_ana9,1236,11,1,1)),'12.326'!A:D,4,0),"-")</f>
        <v>43437785000177</v>
      </c>
    </row>
    <row r="1238" customFormat="false" ht="14.4" hidden="false" customHeight="false" outlineLevel="0" collapsed="false">
      <c r="A1238" s="27" t="n">
        <v>11100972</v>
      </c>
      <c r="B1238" s="27" t="s">
        <v>2308</v>
      </c>
      <c r="C1238" s="43" t="n">
        <v>35.33</v>
      </c>
      <c r="D1238" s="27" t="n">
        <v>8.83</v>
      </c>
      <c r="E1238" s="27" t="n">
        <v>3</v>
      </c>
      <c r="F1238" s="27" t="n">
        <v>14.72</v>
      </c>
      <c r="G1238" s="27" t="s">
        <v>1875</v>
      </c>
      <c r="H1238" s="27" t="s">
        <v>2157</v>
      </c>
      <c r="I1238" s="27" t="s">
        <v>1876</v>
      </c>
      <c r="J1238" s="27" t="s">
        <v>2551</v>
      </c>
      <c r="K1238" s="27" t="n">
        <v>2628</v>
      </c>
      <c r="L1238" s="27" t="n">
        <v>708</v>
      </c>
      <c r="M1238" s="28" t="n">
        <f aca="false">IFERROR(VLOOKUP((OFFSET(hoje12_326_ana9,1237,10,1,1)&amp;"."&amp;OFFSET(hoje12_326_ana9,1237,11,1,1)),'12.326'!A:D,4,0),"-")</f>
        <v>43437785000177</v>
      </c>
    </row>
    <row r="1239" customFormat="false" ht="14.4" hidden="false" customHeight="false" outlineLevel="0" collapsed="false">
      <c r="A1239" s="27" t="n">
        <v>11100976</v>
      </c>
      <c r="B1239" s="27" t="s">
        <v>2139</v>
      </c>
      <c r="C1239" s="43" t="n">
        <v>106.99</v>
      </c>
      <c r="D1239" s="27" t="n">
        <v>48.53</v>
      </c>
      <c r="E1239" s="27" t="n">
        <v>72</v>
      </c>
      <c r="F1239" s="27" t="n">
        <v>2.16</v>
      </c>
      <c r="G1239" s="27" t="s">
        <v>1875</v>
      </c>
      <c r="H1239" s="27" t="s">
        <v>2488</v>
      </c>
      <c r="I1239" s="27" t="s">
        <v>1876</v>
      </c>
      <c r="J1239" s="27" t="s">
        <v>2552</v>
      </c>
      <c r="K1239" s="27" t="n">
        <v>2628</v>
      </c>
      <c r="L1239" s="27" t="n">
        <v>708</v>
      </c>
      <c r="M1239" s="28" t="n">
        <f aca="false">IFERROR(VLOOKUP((OFFSET(hoje12_326_ana9,1238,10,1,1)&amp;"."&amp;OFFSET(hoje12_326_ana9,1238,11,1,1)),'12.326'!A:D,4,0),"-")</f>
        <v>43437785000177</v>
      </c>
    </row>
    <row r="1240" customFormat="false" ht="14.4" hidden="false" customHeight="false" outlineLevel="0" collapsed="false">
      <c r="A1240" s="27" t="n">
        <v>11100977</v>
      </c>
      <c r="B1240" s="27" t="s">
        <v>2445</v>
      </c>
      <c r="C1240" s="43" t="n">
        <v>29.86</v>
      </c>
      <c r="D1240" s="27" t="n">
        <v>10.7</v>
      </c>
      <c r="E1240" s="27" t="n">
        <v>12</v>
      </c>
      <c r="F1240" s="27" t="n">
        <v>3.38</v>
      </c>
      <c r="G1240" s="27" t="s">
        <v>1875</v>
      </c>
      <c r="H1240" s="27" t="s">
        <v>2490</v>
      </c>
      <c r="I1240" s="27" t="s">
        <v>1876</v>
      </c>
      <c r="J1240" s="27" t="s">
        <v>2539</v>
      </c>
      <c r="K1240" s="27" t="n">
        <v>2628</v>
      </c>
      <c r="L1240" s="27" t="n">
        <v>708</v>
      </c>
      <c r="M1240" s="28" t="n">
        <f aca="false">IFERROR(VLOOKUP((OFFSET(hoje12_326_ana9,1239,10,1,1)&amp;"."&amp;OFFSET(hoje12_326_ana9,1239,11,1,1)),'12.326'!A:D,4,0),"-")</f>
        <v>43437785000177</v>
      </c>
    </row>
    <row r="1241" customFormat="false" ht="14.4" hidden="false" customHeight="false" outlineLevel="0" collapsed="false">
      <c r="A1241" s="27" t="n">
        <v>11100978</v>
      </c>
      <c r="B1241" s="27" t="s">
        <v>2255</v>
      </c>
      <c r="C1241" s="43" t="n">
        <v>219.36</v>
      </c>
      <c r="D1241" s="27" t="n">
        <v>54.84</v>
      </c>
      <c r="E1241" s="27" t="n">
        <v>12</v>
      </c>
      <c r="F1241" s="27" t="n">
        <v>22.85</v>
      </c>
      <c r="G1241" s="27" t="s">
        <v>1875</v>
      </c>
      <c r="H1241" s="27" t="s">
        <v>2157</v>
      </c>
      <c r="I1241" s="27" t="s">
        <v>1876</v>
      </c>
      <c r="J1241" s="27" t="s">
        <v>2553</v>
      </c>
      <c r="K1241" s="27" t="n">
        <v>2628</v>
      </c>
      <c r="L1241" s="27" t="n">
        <v>708</v>
      </c>
      <c r="M1241" s="28" t="n">
        <f aca="false">IFERROR(VLOOKUP((OFFSET(hoje12_326_ana9,1240,10,1,1)&amp;"."&amp;OFFSET(hoje12_326_ana9,1240,11,1,1)),'12.326'!A:D,4,0),"-")</f>
        <v>43437785000177</v>
      </c>
    </row>
    <row r="1242" customFormat="false" ht="14.4" hidden="false" customHeight="false" outlineLevel="0" collapsed="false">
      <c r="A1242" s="27" t="n">
        <v>11100984</v>
      </c>
      <c r="B1242" s="27" t="s">
        <v>2257</v>
      </c>
      <c r="C1242" s="43" t="n">
        <v>31.27</v>
      </c>
      <c r="D1242" s="27" t="n">
        <v>7.82</v>
      </c>
      <c r="E1242" s="27" t="n">
        <v>3</v>
      </c>
      <c r="F1242" s="27" t="n">
        <v>13.03</v>
      </c>
      <c r="G1242" s="27" t="s">
        <v>1875</v>
      </c>
      <c r="H1242" s="27" t="s">
        <v>2157</v>
      </c>
      <c r="I1242" s="27" t="s">
        <v>1876</v>
      </c>
      <c r="J1242" s="27" t="s">
        <v>2554</v>
      </c>
      <c r="K1242" s="27" t="n">
        <v>2628</v>
      </c>
      <c r="L1242" s="27" t="n">
        <v>708</v>
      </c>
      <c r="M1242" s="28" t="n">
        <f aca="false">IFERROR(VLOOKUP((OFFSET(hoje12_326_ana9,1241,10,1,1)&amp;"."&amp;OFFSET(hoje12_326_ana9,1241,11,1,1)),'12.326'!A:D,4,0),"-")</f>
        <v>43437785000177</v>
      </c>
    </row>
    <row r="1243" customFormat="false" ht="14.4" hidden="false" customHeight="false" outlineLevel="0" collapsed="false">
      <c r="A1243" s="27" t="n">
        <v>11100985</v>
      </c>
      <c r="B1243" s="27" t="s">
        <v>1906</v>
      </c>
      <c r="C1243" s="43" t="n">
        <v>50.81</v>
      </c>
      <c r="D1243" s="27" t="n">
        <v>12.7</v>
      </c>
      <c r="E1243" s="27" t="n">
        <v>3</v>
      </c>
      <c r="F1243" s="27" t="n">
        <v>21.17</v>
      </c>
      <c r="G1243" s="27" t="s">
        <v>1875</v>
      </c>
      <c r="H1243" s="27" t="s">
        <v>2157</v>
      </c>
      <c r="I1243" s="27" t="s">
        <v>1876</v>
      </c>
      <c r="J1243" s="27" t="s">
        <v>2555</v>
      </c>
      <c r="K1243" s="27" t="n">
        <v>2628</v>
      </c>
      <c r="L1243" s="27" t="n">
        <v>708</v>
      </c>
      <c r="M1243" s="28" t="n">
        <f aca="false">IFERROR(VLOOKUP((OFFSET(hoje12_326_ana9,1242,10,1,1)&amp;"."&amp;OFFSET(hoje12_326_ana9,1242,11,1,1)),'12.326'!A:D,4,0),"-")</f>
        <v>43437785000177</v>
      </c>
    </row>
    <row r="1244" customFormat="false" ht="14.4" hidden="false" customHeight="false" outlineLevel="0" collapsed="false">
      <c r="A1244" s="27" t="n">
        <v>11100987</v>
      </c>
      <c r="B1244" s="27" t="s">
        <v>1890</v>
      </c>
      <c r="C1244" s="43" t="n">
        <v>101.38</v>
      </c>
      <c r="D1244" s="27" t="n">
        <v>25.34</v>
      </c>
      <c r="E1244" s="27" t="n">
        <v>12</v>
      </c>
      <c r="F1244" s="27" t="n">
        <v>10.56</v>
      </c>
      <c r="G1244" s="27" t="s">
        <v>1875</v>
      </c>
      <c r="H1244" s="27" t="s">
        <v>2157</v>
      </c>
      <c r="I1244" s="27" t="s">
        <v>1876</v>
      </c>
      <c r="J1244" s="27" t="s">
        <v>2556</v>
      </c>
      <c r="K1244" s="27" t="n">
        <v>2628</v>
      </c>
      <c r="L1244" s="27" t="n">
        <v>708</v>
      </c>
      <c r="M1244" s="28" t="n">
        <f aca="false">IFERROR(VLOOKUP((OFFSET(hoje12_326_ana9,1243,10,1,1)&amp;"."&amp;OFFSET(hoje12_326_ana9,1243,11,1,1)),'12.326'!A:D,4,0),"-")</f>
        <v>43437785000177</v>
      </c>
    </row>
    <row r="1245" customFormat="false" ht="14.4" hidden="false" customHeight="false" outlineLevel="0" collapsed="false">
      <c r="A1245" s="27" t="n">
        <v>11100992</v>
      </c>
      <c r="B1245" s="27" t="s">
        <v>1891</v>
      </c>
      <c r="C1245" s="43" t="n">
        <v>37.22</v>
      </c>
      <c r="D1245" s="27" t="n">
        <v>9.31</v>
      </c>
      <c r="E1245" s="27" t="n">
        <v>3</v>
      </c>
      <c r="F1245" s="27" t="n">
        <v>15.51</v>
      </c>
      <c r="G1245" s="27" t="s">
        <v>1875</v>
      </c>
      <c r="H1245" s="27" t="s">
        <v>2157</v>
      </c>
      <c r="I1245" s="27" t="s">
        <v>1876</v>
      </c>
      <c r="J1245" s="27" t="s">
        <v>2335</v>
      </c>
      <c r="K1245" s="27" t="n">
        <v>2628</v>
      </c>
      <c r="L1245" s="27" t="n">
        <v>708</v>
      </c>
      <c r="M1245" s="28" t="n">
        <f aca="false">IFERROR(VLOOKUP((OFFSET(hoje12_326_ana9,1244,10,1,1)&amp;"."&amp;OFFSET(hoje12_326_ana9,1244,11,1,1)),'12.326'!A:D,4,0),"-")</f>
        <v>43437785000177</v>
      </c>
    </row>
    <row r="1246" customFormat="false" ht="14.4" hidden="false" customHeight="false" outlineLevel="0" collapsed="false">
      <c r="A1246" s="27" t="n">
        <v>11100998</v>
      </c>
      <c r="B1246" s="27" t="s">
        <v>1887</v>
      </c>
      <c r="C1246" s="43" t="n">
        <v>36.38</v>
      </c>
      <c r="D1246" s="27" t="n">
        <v>9.1</v>
      </c>
      <c r="E1246" s="27" t="n">
        <v>3</v>
      </c>
      <c r="F1246" s="27" t="n">
        <v>15.16</v>
      </c>
      <c r="G1246" s="27" t="s">
        <v>1875</v>
      </c>
      <c r="H1246" s="27" t="s">
        <v>2157</v>
      </c>
      <c r="I1246" s="27" t="s">
        <v>1876</v>
      </c>
      <c r="J1246" s="27" t="s">
        <v>2557</v>
      </c>
      <c r="K1246" s="27" t="n">
        <v>2628</v>
      </c>
      <c r="L1246" s="27" t="n">
        <v>708</v>
      </c>
      <c r="M1246" s="28" t="n">
        <f aca="false">IFERROR(VLOOKUP((OFFSET(hoje12_326_ana9,1245,10,1,1)&amp;"."&amp;OFFSET(hoje12_326_ana9,1245,11,1,1)),'12.326'!A:D,4,0),"-")</f>
        <v>43437785000177</v>
      </c>
    </row>
    <row r="1247" customFormat="false" ht="14.4" hidden="false" customHeight="false" outlineLevel="0" collapsed="false">
      <c r="A1247" s="27" t="n">
        <v>11100090</v>
      </c>
      <c r="B1247" s="27" t="s">
        <v>2558</v>
      </c>
      <c r="C1247" s="43" t="n">
        <v>17.99</v>
      </c>
      <c r="D1247" s="27" t="n">
        <v>0.37</v>
      </c>
      <c r="E1247" s="27" t="n">
        <v>6</v>
      </c>
      <c r="F1247" s="27" t="n">
        <v>3.06</v>
      </c>
      <c r="G1247" s="27" t="s">
        <v>1875</v>
      </c>
      <c r="H1247" s="27" t="s">
        <v>2011</v>
      </c>
      <c r="I1247" s="27" t="s">
        <v>1876</v>
      </c>
      <c r="J1247" s="27" t="s">
        <v>2559</v>
      </c>
      <c r="K1247" s="27" t="n">
        <v>2648</v>
      </c>
      <c r="L1247" s="27" t="n">
        <v>708</v>
      </c>
      <c r="M1247" s="28" t="n">
        <f aca="false">IFERROR(VLOOKUP((OFFSET(hoje12_326_ana9,1246,10,1,1)&amp;"."&amp;OFFSET(hoje12_326_ana9,1246,11,1,1)),'12.326'!A:D,4,0),"-")</f>
        <v>5327650000160</v>
      </c>
    </row>
    <row r="1248" customFormat="false" ht="14.4" hidden="false" customHeight="false" outlineLevel="0" collapsed="false">
      <c r="A1248" s="27" t="n">
        <v>11100672</v>
      </c>
      <c r="B1248" s="27" t="s">
        <v>2392</v>
      </c>
      <c r="C1248" s="43" t="n">
        <v>39.98</v>
      </c>
      <c r="D1248" s="27" t="n">
        <v>0.82</v>
      </c>
      <c r="E1248" s="27" t="n">
        <v>12</v>
      </c>
      <c r="F1248" s="27" t="n">
        <v>3.4</v>
      </c>
      <c r="G1248" s="27" t="s">
        <v>1875</v>
      </c>
      <c r="H1248" s="27" t="s">
        <v>2011</v>
      </c>
      <c r="I1248" s="27" t="s">
        <v>1876</v>
      </c>
      <c r="J1248" s="27" t="s">
        <v>2560</v>
      </c>
      <c r="K1248" s="27" t="n">
        <v>2648</v>
      </c>
      <c r="L1248" s="27" t="n">
        <v>708</v>
      </c>
      <c r="M1248" s="28" t="n">
        <f aca="false">IFERROR(VLOOKUP((OFFSET(hoje12_326_ana9,1247,10,1,1)&amp;"."&amp;OFFSET(hoje12_326_ana9,1247,11,1,1)),'12.326'!A:D,4,0),"-")</f>
        <v>5327650000160</v>
      </c>
    </row>
    <row r="1249" customFormat="false" ht="14.4" hidden="false" customHeight="false" outlineLevel="0" collapsed="false">
      <c r="A1249" s="27" t="n">
        <v>11100542</v>
      </c>
      <c r="B1249" s="27" t="s">
        <v>2113</v>
      </c>
      <c r="C1249" s="43" t="n">
        <v>138.65</v>
      </c>
      <c r="D1249" s="27" t="n">
        <v>2.83</v>
      </c>
      <c r="E1249" s="27" t="n">
        <v>12</v>
      </c>
      <c r="F1249" s="27" t="n">
        <v>11.79</v>
      </c>
      <c r="G1249" s="27" t="s">
        <v>1875</v>
      </c>
      <c r="H1249" s="27" t="s">
        <v>2011</v>
      </c>
      <c r="I1249" s="27" t="s">
        <v>1876</v>
      </c>
      <c r="J1249" s="27" t="s">
        <v>2561</v>
      </c>
      <c r="K1249" s="27" t="n">
        <v>2649</v>
      </c>
      <c r="L1249" s="27" t="n">
        <v>708</v>
      </c>
      <c r="M1249" s="28" t="n">
        <f aca="false">IFERROR(VLOOKUP((OFFSET(hoje12_326_ana9,1248,10,1,1)&amp;"."&amp;OFFSET(hoje12_326_ana9,1248,11,1,1)),'12.326'!A:D,4,0),"-")</f>
        <v>5318045000122</v>
      </c>
    </row>
    <row r="1250" customFormat="false" ht="14.4" hidden="false" customHeight="false" outlineLevel="0" collapsed="false">
      <c r="A1250" s="27" t="n">
        <v>11100543</v>
      </c>
      <c r="B1250" s="27" t="s">
        <v>2115</v>
      </c>
      <c r="C1250" s="43" t="n">
        <v>101.84</v>
      </c>
      <c r="D1250" s="27" t="n">
        <v>2.08</v>
      </c>
      <c r="E1250" s="27" t="n">
        <v>6</v>
      </c>
      <c r="F1250" s="27" t="n">
        <v>17.32</v>
      </c>
      <c r="G1250" s="27" t="s">
        <v>1875</v>
      </c>
      <c r="H1250" s="27" t="s">
        <v>2011</v>
      </c>
      <c r="I1250" s="27" t="s">
        <v>1876</v>
      </c>
      <c r="J1250" s="27" t="s">
        <v>2095</v>
      </c>
      <c r="K1250" s="27" t="n">
        <v>2649</v>
      </c>
      <c r="L1250" s="27" t="n">
        <v>708</v>
      </c>
      <c r="M1250" s="28" t="n">
        <f aca="false">IFERROR(VLOOKUP((OFFSET(hoje12_326_ana9,1249,10,1,1)&amp;"."&amp;OFFSET(hoje12_326_ana9,1249,11,1,1)),'12.326'!A:D,4,0),"-")</f>
        <v>5318045000122</v>
      </c>
    </row>
    <row r="1251" customFormat="false" ht="14.4" hidden="false" customHeight="false" outlineLevel="0" collapsed="false">
      <c r="A1251" s="27" t="n">
        <v>11100977</v>
      </c>
      <c r="B1251" s="27" t="s">
        <v>2445</v>
      </c>
      <c r="C1251" s="43" t="n">
        <v>39.74</v>
      </c>
      <c r="D1251" s="27" t="n">
        <v>0.82</v>
      </c>
      <c r="E1251" s="27" t="n">
        <v>12</v>
      </c>
      <c r="F1251" s="27" t="n">
        <v>3.38</v>
      </c>
      <c r="G1251" s="27" t="s">
        <v>1875</v>
      </c>
      <c r="H1251" s="27" t="s">
        <v>2011</v>
      </c>
      <c r="I1251" s="27" t="s">
        <v>1876</v>
      </c>
      <c r="J1251" s="27" t="s">
        <v>2560</v>
      </c>
      <c r="K1251" s="27" t="n">
        <v>2649</v>
      </c>
      <c r="L1251" s="27" t="n">
        <v>708</v>
      </c>
      <c r="M1251" s="28" t="n">
        <f aca="false">IFERROR(VLOOKUP((OFFSET(hoje12_326_ana9,1250,10,1,1)&amp;"."&amp;OFFSET(hoje12_326_ana9,1250,11,1,1)),'12.326'!A:D,4,0),"-")</f>
        <v>5318045000122</v>
      </c>
    </row>
    <row r="1252" customFormat="false" ht="14.4" hidden="false" customHeight="false" outlineLevel="0" collapsed="false">
      <c r="A1252" s="27" t="n">
        <v>11100672</v>
      </c>
      <c r="B1252" s="27" t="s">
        <v>2392</v>
      </c>
      <c r="C1252" s="43" t="n">
        <v>39.4</v>
      </c>
      <c r="D1252" s="27" t="n">
        <v>0.8</v>
      </c>
      <c r="E1252" s="27" t="n">
        <v>12</v>
      </c>
      <c r="F1252" s="27" t="n">
        <v>3.35</v>
      </c>
      <c r="G1252" s="27" t="s">
        <v>1875</v>
      </c>
      <c r="H1252" s="27" t="s">
        <v>2011</v>
      </c>
      <c r="I1252" s="27" t="s">
        <v>1876</v>
      </c>
      <c r="J1252" s="27" t="s">
        <v>2562</v>
      </c>
      <c r="K1252" s="27" t="n">
        <v>2650</v>
      </c>
      <c r="L1252" s="27" t="n">
        <v>708</v>
      </c>
      <c r="M1252" s="28" t="n">
        <f aca="false">IFERROR(VLOOKUP((OFFSET(hoje12_326_ana9,1251,10,1,1)&amp;"."&amp;OFFSET(hoje12_326_ana9,1251,11,1,1)),'12.326'!A:D,4,0),"-")</f>
        <v>49540108000166</v>
      </c>
    </row>
    <row r="1253" customFormat="false" ht="14.4" hidden="false" customHeight="false" outlineLevel="0" collapsed="false">
      <c r="A1253" s="27" t="n">
        <v>11100936</v>
      </c>
      <c r="B1253" s="27" t="s">
        <v>2374</v>
      </c>
      <c r="C1253" s="43" t="n">
        <v>102.39</v>
      </c>
      <c r="D1253" s="27" t="n">
        <v>2.09</v>
      </c>
      <c r="E1253" s="27" t="n">
        <v>2</v>
      </c>
      <c r="F1253" s="27" t="n">
        <v>52.24</v>
      </c>
      <c r="G1253" s="27" t="s">
        <v>1875</v>
      </c>
      <c r="H1253" s="27" t="s">
        <v>2011</v>
      </c>
      <c r="I1253" s="27" t="s">
        <v>1876</v>
      </c>
      <c r="J1253" s="27" t="s">
        <v>2563</v>
      </c>
      <c r="K1253" s="27" t="n">
        <v>2650</v>
      </c>
      <c r="L1253" s="27" t="n">
        <v>708</v>
      </c>
      <c r="M1253" s="28" t="n">
        <f aca="false">IFERROR(VLOOKUP((OFFSET(hoje12_326_ana9,1252,10,1,1)&amp;"."&amp;OFFSET(hoje12_326_ana9,1252,11,1,1)),'12.326'!A:D,4,0),"-")</f>
        <v>49540108000166</v>
      </c>
    </row>
    <row r="1254" customFormat="false" ht="14.4" hidden="false" customHeight="false" outlineLevel="0" collapsed="false">
      <c r="A1254" s="27" t="n">
        <v>11100091</v>
      </c>
      <c r="B1254" s="27" t="s">
        <v>1910</v>
      </c>
      <c r="C1254" s="43" t="n">
        <v>13.52</v>
      </c>
      <c r="D1254" s="27" t="n">
        <v>0.28</v>
      </c>
      <c r="E1254" s="27" t="n">
        <v>3</v>
      </c>
      <c r="F1254" s="27" t="n">
        <v>4.6</v>
      </c>
      <c r="G1254" s="27" t="s">
        <v>1875</v>
      </c>
      <c r="H1254" s="27" t="s">
        <v>2011</v>
      </c>
      <c r="I1254" s="27" t="s">
        <v>1876</v>
      </c>
      <c r="J1254" s="27" t="s">
        <v>2564</v>
      </c>
      <c r="K1254" s="27" t="n">
        <v>2651</v>
      </c>
      <c r="L1254" s="27" t="n">
        <v>708</v>
      </c>
      <c r="M1254" s="28" t="n">
        <f aca="false">IFERROR(VLOOKUP((OFFSET(hoje12_326_ana9,1253,10,1,1)&amp;"."&amp;OFFSET(hoje12_326_ana9,1253,11,1,1)),'12.326'!A:D,4,0),"-")</f>
        <v>8650875000140</v>
      </c>
    </row>
    <row r="1255" customFormat="false" ht="14.4" hidden="false" customHeight="false" outlineLevel="0" collapsed="false">
      <c r="A1255" s="27" t="n">
        <v>11100672</v>
      </c>
      <c r="B1255" s="27" t="s">
        <v>2392</v>
      </c>
      <c r="C1255" s="43" t="n">
        <v>39.4</v>
      </c>
      <c r="D1255" s="27" t="n">
        <v>0.8</v>
      </c>
      <c r="E1255" s="27" t="n">
        <v>12</v>
      </c>
      <c r="F1255" s="27" t="n">
        <v>3.35</v>
      </c>
      <c r="G1255" s="27" t="s">
        <v>1875</v>
      </c>
      <c r="H1255" s="27" t="s">
        <v>2011</v>
      </c>
      <c r="I1255" s="27" t="s">
        <v>1876</v>
      </c>
      <c r="J1255" s="27" t="s">
        <v>2562</v>
      </c>
      <c r="K1255" s="27" t="n">
        <v>2651</v>
      </c>
      <c r="L1255" s="27" t="n">
        <v>708</v>
      </c>
      <c r="M1255" s="28" t="n">
        <f aca="false">IFERROR(VLOOKUP((OFFSET(hoje12_326_ana9,1254,10,1,1)&amp;"."&amp;OFFSET(hoje12_326_ana9,1254,11,1,1)),'12.326'!A:D,4,0),"-")</f>
        <v>8650875000140</v>
      </c>
    </row>
    <row r="1256" customFormat="false" ht="14.4" hidden="false" customHeight="false" outlineLevel="0" collapsed="false">
      <c r="A1256" s="27" t="n">
        <v>11100091</v>
      </c>
      <c r="B1256" s="27" t="s">
        <v>1910</v>
      </c>
      <c r="C1256" s="43" t="n">
        <v>41.19</v>
      </c>
      <c r="D1256" s="27" t="n">
        <v>0.84</v>
      </c>
      <c r="E1256" s="27" t="n">
        <v>9</v>
      </c>
      <c r="F1256" s="27" t="n">
        <v>4.67</v>
      </c>
      <c r="G1256" s="27" t="s">
        <v>1875</v>
      </c>
      <c r="H1256" s="27" t="s">
        <v>2011</v>
      </c>
      <c r="I1256" s="27" t="s">
        <v>1876</v>
      </c>
      <c r="J1256" s="27" t="s">
        <v>2565</v>
      </c>
      <c r="K1256" s="27" t="n">
        <v>2652</v>
      </c>
      <c r="L1256" s="27" t="n">
        <v>708</v>
      </c>
      <c r="M1256" s="28" t="n">
        <f aca="false">IFERROR(VLOOKUP((OFFSET(hoje12_326_ana9,1255,10,1,1)&amp;"."&amp;OFFSET(hoje12_326_ana9,1255,11,1,1)),'12.326'!A:D,4,0),"-")</f>
        <v>40242188000107</v>
      </c>
    </row>
    <row r="1257" customFormat="false" ht="14.4" hidden="false" customHeight="false" outlineLevel="0" collapsed="false">
      <c r="A1257" s="27" t="n">
        <v>11100672</v>
      </c>
      <c r="B1257" s="27" t="s">
        <v>2392</v>
      </c>
      <c r="C1257" s="43" t="n">
        <v>39.98</v>
      </c>
      <c r="D1257" s="27" t="n">
        <v>0.82</v>
      </c>
      <c r="E1257" s="27" t="n">
        <v>12</v>
      </c>
      <c r="F1257" s="27" t="n">
        <v>3.4</v>
      </c>
      <c r="G1257" s="27" t="s">
        <v>1875</v>
      </c>
      <c r="H1257" s="27" t="s">
        <v>2011</v>
      </c>
      <c r="I1257" s="27" t="s">
        <v>1876</v>
      </c>
      <c r="J1257" s="27" t="s">
        <v>2560</v>
      </c>
      <c r="K1257" s="27" t="n">
        <v>2652</v>
      </c>
      <c r="L1257" s="27" t="n">
        <v>708</v>
      </c>
      <c r="M1257" s="28" t="n">
        <f aca="false">IFERROR(VLOOKUP((OFFSET(hoje12_326_ana9,1256,10,1,1)&amp;"."&amp;OFFSET(hoje12_326_ana9,1256,11,1,1)),'12.326'!A:D,4,0),"-")</f>
        <v>40242188000107</v>
      </c>
    </row>
    <row r="1258" customFormat="false" ht="14.4" hidden="false" customHeight="false" outlineLevel="0" collapsed="false">
      <c r="A1258" s="27" t="n">
        <v>11100092</v>
      </c>
      <c r="B1258" s="27" t="s">
        <v>2333</v>
      </c>
      <c r="C1258" s="43" t="n">
        <v>49.13</v>
      </c>
      <c r="D1258" s="27" t="n">
        <v>1</v>
      </c>
      <c r="E1258" s="27" t="n">
        <v>9</v>
      </c>
      <c r="F1258" s="27" t="n">
        <v>5.57</v>
      </c>
      <c r="G1258" s="27" t="s">
        <v>1875</v>
      </c>
      <c r="H1258" s="27" t="s">
        <v>2011</v>
      </c>
      <c r="I1258" s="27" t="s">
        <v>1876</v>
      </c>
      <c r="J1258" s="27" t="s">
        <v>2566</v>
      </c>
      <c r="K1258" s="27" t="n">
        <v>2653</v>
      </c>
      <c r="L1258" s="27" t="n">
        <v>708</v>
      </c>
      <c r="M1258" s="28" t="n">
        <f aca="false">IFERROR(VLOOKUP((OFFSET(hoje12_326_ana9,1257,10,1,1)&amp;"."&amp;OFFSET(hoje12_326_ana9,1257,11,1,1)),'12.326'!A:D,4,0),"-")</f>
        <v>26827733000198</v>
      </c>
    </row>
    <row r="1259" customFormat="false" ht="14.4" hidden="false" customHeight="false" outlineLevel="0" collapsed="false">
      <c r="A1259" s="27" t="n">
        <v>11100542</v>
      </c>
      <c r="B1259" s="27" t="s">
        <v>2113</v>
      </c>
      <c r="C1259" s="43" t="n">
        <v>139.36</v>
      </c>
      <c r="D1259" s="27" t="n">
        <v>2.84</v>
      </c>
      <c r="E1259" s="27" t="n">
        <v>12</v>
      </c>
      <c r="F1259" s="27" t="n">
        <v>11.85</v>
      </c>
      <c r="G1259" s="27" t="s">
        <v>1875</v>
      </c>
      <c r="H1259" s="27" t="s">
        <v>2011</v>
      </c>
      <c r="I1259" s="27" t="s">
        <v>1876</v>
      </c>
      <c r="J1259" s="27" t="s">
        <v>2567</v>
      </c>
      <c r="K1259" s="27" t="n">
        <v>2653</v>
      </c>
      <c r="L1259" s="27" t="n">
        <v>708</v>
      </c>
      <c r="M1259" s="28" t="n">
        <f aca="false">IFERROR(VLOOKUP((OFFSET(hoje12_326_ana9,1258,10,1,1)&amp;"."&amp;OFFSET(hoje12_326_ana9,1258,11,1,1)),'12.326'!A:D,4,0),"-")</f>
        <v>26827733000198</v>
      </c>
    </row>
    <row r="1260" customFormat="false" ht="14.4" hidden="false" customHeight="false" outlineLevel="0" collapsed="false">
      <c r="A1260" s="27" t="n">
        <v>11100543</v>
      </c>
      <c r="B1260" s="27" t="s">
        <v>2115</v>
      </c>
      <c r="C1260" s="43" t="n">
        <v>102.37</v>
      </c>
      <c r="D1260" s="27" t="n">
        <v>2.09</v>
      </c>
      <c r="E1260" s="27" t="n">
        <v>6</v>
      </c>
      <c r="F1260" s="27" t="n">
        <v>17.41</v>
      </c>
      <c r="G1260" s="27" t="s">
        <v>1875</v>
      </c>
      <c r="H1260" s="27" t="s">
        <v>2011</v>
      </c>
      <c r="I1260" s="27" t="s">
        <v>1876</v>
      </c>
      <c r="J1260" s="27" t="s">
        <v>2563</v>
      </c>
      <c r="K1260" s="27" t="n">
        <v>2653</v>
      </c>
      <c r="L1260" s="27" t="n">
        <v>708</v>
      </c>
      <c r="M1260" s="28" t="n">
        <f aca="false">IFERROR(VLOOKUP((OFFSET(hoje12_326_ana9,1259,10,1,1)&amp;"."&amp;OFFSET(hoje12_326_ana9,1259,11,1,1)),'12.326'!A:D,4,0),"-")</f>
        <v>26827733000198</v>
      </c>
    </row>
    <row r="1261" customFormat="false" ht="14.4" hidden="false" customHeight="false" outlineLevel="0" collapsed="false">
      <c r="A1261" s="27" t="n">
        <v>11100977</v>
      </c>
      <c r="B1261" s="27" t="s">
        <v>2445</v>
      </c>
      <c r="C1261" s="43" t="n">
        <v>29.99</v>
      </c>
      <c r="D1261" s="27" t="n">
        <v>0.61</v>
      </c>
      <c r="E1261" s="27" t="n">
        <v>9</v>
      </c>
      <c r="F1261" s="27" t="n">
        <v>3.4</v>
      </c>
      <c r="G1261" s="27" t="s">
        <v>1875</v>
      </c>
      <c r="H1261" s="27" t="s">
        <v>2011</v>
      </c>
      <c r="I1261" s="27" t="s">
        <v>1876</v>
      </c>
      <c r="J1261" s="27" t="s">
        <v>2568</v>
      </c>
      <c r="K1261" s="27" t="n">
        <v>2653</v>
      </c>
      <c r="L1261" s="27" t="n">
        <v>708</v>
      </c>
      <c r="M1261" s="28" t="n">
        <f aca="false">IFERROR(VLOOKUP((OFFSET(hoje12_326_ana9,1260,10,1,1)&amp;"."&amp;OFFSET(hoje12_326_ana9,1260,11,1,1)),'12.326'!A:D,4,0),"-")</f>
        <v>26827733000198</v>
      </c>
    </row>
    <row r="1262" customFormat="false" ht="14.4" hidden="false" customHeight="false" outlineLevel="0" collapsed="false">
      <c r="A1262" s="27" t="n">
        <v>11100091</v>
      </c>
      <c r="B1262" s="27" t="s">
        <v>1910</v>
      </c>
      <c r="C1262" s="43" t="n">
        <v>41.72</v>
      </c>
      <c r="D1262" s="27" t="n">
        <v>0.85</v>
      </c>
      <c r="E1262" s="27" t="n">
        <v>9</v>
      </c>
      <c r="F1262" s="27" t="n">
        <v>4.73</v>
      </c>
      <c r="G1262" s="27" t="s">
        <v>1875</v>
      </c>
      <c r="H1262" s="27" t="s">
        <v>2011</v>
      </c>
      <c r="I1262" s="27" t="s">
        <v>1876</v>
      </c>
      <c r="J1262" s="27" t="s">
        <v>2569</v>
      </c>
      <c r="K1262" s="27" t="n">
        <v>2654</v>
      </c>
      <c r="L1262" s="27" t="n">
        <v>708</v>
      </c>
      <c r="M1262" s="28" t="n">
        <f aca="false">IFERROR(VLOOKUP((OFFSET(hoje12_326_ana9,1261,10,1,1)&amp;"."&amp;OFFSET(hoje12_326_ana9,1261,11,1,1)),'12.326'!A:D,4,0),"-")</f>
        <v>7317095000110</v>
      </c>
    </row>
    <row r="1263" customFormat="false" ht="14.4" hidden="false" customHeight="false" outlineLevel="0" collapsed="false">
      <c r="A1263" s="27" t="n">
        <v>11100542</v>
      </c>
      <c r="B1263" s="27" t="s">
        <v>2113</v>
      </c>
      <c r="C1263" s="43" t="n">
        <v>70.56</v>
      </c>
      <c r="D1263" s="27" t="n">
        <v>1.44</v>
      </c>
      <c r="E1263" s="27" t="n">
        <v>6</v>
      </c>
      <c r="F1263" s="27" t="n">
        <v>12</v>
      </c>
      <c r="G1263" s="27" t="s">
        <v>1875</v>
      </c>
      <c r="H1263" s="27" t="s">
        <v>2011</v>
      </c>
      <c r="I1263" s="27" t="s">
        <v>1876</v>
      </c>
      <c r="J1263" s="27" t="s">
        <v>2570</v>
      </c>
      <c r="K1263" s="27" t="n">
        <v>2654</v>
      </c>
      <c r="L1263" s="27" t="n">
        <v>708</v>
      </c>
      <c r="M1263" s="28" t="n">
        <f aca="false">IFERROR(VLOOKUP((OFFSET(hoje12_326_ana9,1262,10,1,1)&amp;"."&amp;OFFSET(hoje12_326_ana9,1262,11,1,1)),'12.326'!A:D,4,0),"-")</f>
        <v>7317095000110</v>
      </c>
    </row>
    <row r="1264" customFormat="false" ht="14.4" hidden="false" customHeight="false" outlineLevel="0" collapsed="false">
      <c r="A1264" s="27" t="n">
        <v>11100543</v>
      </c>
      <c r="B1264" s="27" t="s">
        <v>2115</v>
      </c>
      <c r="C1264" s="43" t="n">
        <v>103.66</v>
      </c>
      <c r="D1264" s="27" t="n">
        <v>2.12</v>
      </c>
      <c r="E1264" s="27" t="n">
        <v>6</v>
      </c>
      <c r="F1264" s="27" t="n">
        <v>17.63</v>
      </c>
      <c r="G1264" s="27" t="s">
        <v>1875</v>
      </c>
      <c r="H1264" s="27" t="s">
        <v>2011</v>
      </c>
      <c r="I1264" s="27" t="s">
        <v>1876</v>
      </c>
      <c r="J1264" s="27" t="s">
        <v>2571</v>
      </c>
      <c r="K1264" s="27" t="n">
        <v>2654</v>
      </c>
      <c r="L1264" s="27" t="n">
        <v>708</v>
      </c>
      <c r="M1264" s="28" t="n">
        <f aca="false">IFERROR(VLOOKUP((OFFSET(hoje12_326_ana9,1263,10,1,1)&amp;"."&amp;OFFSET(hoje12_326_ana9,1263,11,1,1)),'12.326'!A:D,4,0),"-")</f>
        <v>7317095000110</v>
      </c>
    </row>
    <row r="1265" customFormat="false" ht="14.4" hidden="false" customHeight="false" outlineLevel="0" collapsed="false">
      <c r="A1265" s="27" t="n">
        <v>11100977</v>
      </c>
      <c r="B1265" s="27" t="s">
        <v>2445</v>
      </c>
      <c r="C1265" s="43" t="n">
        <v>40.45</v>
      </c>
      <c r="D1265" s="27" t="n">
        <v>0.83</v>
      </c>
      <c r="E1265" s="27" t="n">
        <v>12</v>
      </c>
      <c r="F1265" s="27" t="n">
        <v>3.44</v>
      </c>
      <c r="G1265" s="27" t="s">
        <v>1875</v>
      </c>
      <c r="H1265" s="27" t="s">
        <v>2011</v>
      </c>
      <c r="I1265" s="27" t="s">
        <v>1876</v>
      </c>
      <c r="J1265" s="27" t="s">
        <v>2572</v>
      </c>
      <c r="K1265" s="27" t="n">
        <v>2654</v>
      </c>
      <c r="L1265" s="27" t="n">
        <v>708</v>
      </c>
      <c r="M1265" s="28" t="n">
        <f aca="false">IFERROR(VLOOKUP((OFFSET(hoje12_326_ana9,1264,10,1,1)&amp;"."&amp;OFFSET(hoje12_326_ana9,1264,11,1,1)),'12.326'!A:D,4,0),"-")</f>
        <v>7317095000110</v>
      </c>
    </row>
    <row r="1266" customFormat="false" ht="14.4" hidden="false" customHeight="false" outlineLevel="0" collapsed="false">
      <c r="A1266" s="27" t="n">
        <v>11100090</v>
      </c>
      <c r="B1266" s="27" t="s">
        <v>2558</v>
      </c>
      <c r="C1266" s="43" t="n">
        <v>17.7</v>
      </c>
      <c r="D1266" s="27" t="n">
        <v>0.36</v>
      </c>
      <c r="E1266" s="27" t="n">
        <v>6</v>
      </c>
      <c r="F1266" s="27" t="n">
        <v>3.01</v>
      </c>
      <c r="G1266" s="27" t="s">
        <v>1875</v>
      </c>
      <c r="H1266" s="27" t="s">
        <v>2011</v>
      </c>
      <c r="I1266" s="27" t="s">
        <v>1876</v>
      </c>
      <c r="J1266" s="27" t="s">
        <v>2559</v>
      </c>
      <c r="K1266" s="27" t="n">
        <v>2655</v>
      </c>
      <c r="L1266" s="27" t="n">
        <v>708</v>
      </c>
      <c r="M1266" s="28" t="n">
        <f aca="false">IFERROR(VLOOKUP((OFFSET(hoje12_326_ana9,1265,10,1,1)&amp;"."&amp;OFFSET(hoje12_326_ana9,1265,11,1,1)),'12.326'!A:D,4,0),"-")</f>
        <v>24196029000159</v>
      </c>
    </row>
    <row r="1267" customFormat="false" ht="14.4" hidden="false" customHeight="false" outlineLevel="0" collapsed="false">
      <c r="A1267" s="27" t="n">
        <v>11100672</v>
      </c>
      <c r="B1267" s="27" t="s">
        <v>2392</v>
      </c>
      <c r="C1267" s="43" t="n">
        <v>39.4</v>
      </c>
      <c r="D1267" s="27" t="n">
        <v>0.8</v>
      </c>
      <c r="E1267" s="27" t="n">
        <v>12</v>
      </c>
      <c r="F1267" s="27" t="n">
        <v>3.35</v>
      </c>
      <c r="G1267" s="27" t="s">
        <v>1875</v>
      </c>
      <c r="H1267" s="27" t="s">
        <v>2011</v>
      </c>
      <c r="I1267" s="27" t="s">
        <v>1876</v>
      </c>
      <c r="J1267" s="27" t="s">
        <v>2562</v>
      </c>
      <c r="K1267" s="27" t="n">
        <v>2655</v>
      </c>
      <c r="L1267" s="27" t="n">
        <v>708</v>
      </c>
      <c r="M1267" s="28" t="n">
        <f aca="false">IFERROR(VLOOKUP((OFFSET(hoje12_326_ana9,1266,10,1,1)&amp;"."&amp;OFFSET(hoje12_326_ana9,1266,11,1,1)),'12.326'!A:D,4,0),"-")</f>
        <v>24196029000159</v>
      </c>
    </row>
    <row r="1268" customFormat="false" ht="14.4" hidden="false" customHeight="false" outlineLevel="0" collapsed="false">
      <c r="A1268" s="27" t="n">
        <v>11100827</v>
      </c>
      <c r="B1268" s="27" t="s">
        <v>2196</v>
      </c>
      <c r="C1268" s="43" t="n">
        <v>22.58</v>
      </c>
      <c r="D1268" s="27" t="n">
        <v>0.46</v>
      </c>
      <c r="E1268" s="27" t="n">
        <v>3</v>
      </c>
      <c r="F1268" s="27" t="n">
        <v>7.68</v>
      </c>
      <c r="G1268" s="27" t="s">
        <v>1875</v>
      </c>
      <c r="H1268" s="27" t="s">
        <v>2011</v>
      </c>
      <c r="I1268" s="27" t="s">
        <v>1876</v>
      </c>
      <c r="J1268" s="27" t="s">
        <v>2573</v>
      </c>
      <c r="K1268" s="27" t="n">
        <v>2657</v>
      </c>
      <c r="L1268" s="27" t="n">
        <v>708</v>
      </c>
      <c r="M1268" s="28" t="n">
        <f aca="false">IFERROR(VLOOKUP((OFFSET(hoje12_326_ana9,1267,10,1,1)&amp;"."&amp;OFFSET(hoje12_326_ana9,1267,11,1,1)),'12.326'!A:D,4,0),"-")</f>
        <v>19621681000133</v>
      </c>
    </row>
    <row r="1269" customFormat="false" ht="14.4" hidden="false" customHeight="false" outlineLevel="0" collapsed="false">
      <c r="A1269" s="27" t="n">
        <v>11100936</v>
      </c>
      <c r="B1269" s="27" t="s">
        <v>2374</v>
      </c>
      <c r="C1269" s="43" t="n">
        <v>103.92</v>
      </c>
      <c r="D1269" s="27" t="n">
        <v>2.12</v>
      </c>
      <c r="E1269" s="27" t="n">
        <v>2</v>
      </c>
      <c r="F1269" s="27" t="n">
        <v>53.02</v>
      </c>
      <c r="G1269" s="27" t="s">
        <v>1875</v>
      </c>
      <c r="H1269" s="27" t="s">
        <v>2011</v>
      </c>
      <c r="I1269" s="27" t="s">
        <v>1876</v>
      </c>
      <c r="J1269" s="27" t="s">
        <v>2574</v>
      </c>
      <c r="K1269" s="27" t="n">
        <v>2657</v>
      </c>
      <c r="L1269" s="27" t="n">
        <v>708</v>
      </c>
      <c r="M1269" s="28" t="n">
        <f aca="false">IFERROR(VLOOKUP((OFFSET(hoje12_326_ana9,1268,10,1,1)&amp;"."&amp;OFFSET(hoje12_326_ana9,1268,11,1,1)),'12.326'!A:D,4,0),"-")</f>
        <v>19621681000133</v>
      </c>
    </row>
    <row r="1270" customFormat="false" ht="14.4" hidden="false" customHeight="false" outlineLevel="0" collapsed="false">
      <c r="A1270" s="27" t="n">
        <v>11101003</v>
      </c>
      <c r="B1270" s="27" t="s">
        <v>1889</v>
      </c>
      <c r="C1270" s="43" t="n">
        <v>54.05</v>
      </c>
      <c r="D1270" s="27" t="n">
        <v>1.1</v>
      </c>
      <c r="E1270" s="27" t="n">
        <v>5</v>
      </c>
      <c r="F1270" s="27" t="n">
        <v>11.03</v>
      </c>
      <c r="G1270" s="27" t="s">
        <v>1875</v>
      </c>
      <c r="H1270" s="27" t="s">
        <v>2011</v>
      </c>
      <c r="I1270" s="27" t="s">
        <v>1876</v>
      </c>
      <c r="J1270" s="27" t="s">
        <v>2463</v>
      </c>
      <c r="K1270" s="27" t="n">
        <v>2659</v>
      </c>
      <c r="L1270" s="27" t="n">
        <v>708</v>
      </c>
      <c r="M1270" s="28" t="n">
        <f aca="false">IFERROR(VLOOKUP((OFFSET(hoje12_326_ana9,1269,10,1,1)&amp;"."&amp;OFFSET(hoje12_326_ana9,1269,11,1,1)),'12.326'!A:D,4,0),"-")</f>
        <v>3735605000119</v>
      </c>
    </row>
    <row r="1271" customFormat="false" ht="14.4" hidden="false" customHeight="false" outlineLevel="0" collapsed="false">
      <c r="A1271" s="27" t="n">
        <v>11101004</v>
      </c>
      <c r="B1271" s="27" t="s">
        <v>1888</v>
      </c>
      <c r="C1271" s="43" t="n">
        <v>54.05</v>
      </c>
      <c r="D1271" s="27" t="n">
        <v>1.1</v>
      </c>
      <c r="E1271" s="27" t="n">
        <v>5</v>
      </c>
      <c r="F1271" s="27" t="n">
        <v>11.03</v>
      </c>
      <c r="G1271" s="27" t="s">
        <v>1875</v>
      </c>
      <c r="H1271" s="27" t="s">
        <v>2011</v>
      </c>
      <c r="I1271" s="27" t="s">
        <v>1876</v>
      </c>
      <c r="J1271" s="27" t="s">
        <v>2463</v>
      </c>
      <c r="K1271" s="27" t="n">
        <v>2659</v>
      </c>
      <c r="L1271" s="27" t="n">
        <v>708</v>
      </c>
      <c r="M1271" s="28" t="n">
        <f aca="false">IFERROR(VLOOKUP((OFFSET(hoje12_326_ana9,1270,10,1,1)&amp;"."&amp;OFFSET(hoje12_326_ana9,1270,11,1,1)),'12.326'!A:D,4,0),"-")</f>
        <v>3735605000119</v>
      </c>
    </row>
    <row r="1272" customFormat="false" ht="14.4" hidden="false" customHeight="false" outlineLevel="0" collapsed="false">
      <c r="A1272" s="27" t="n">
        <v>11101003</v>
      </c>
      <c r="B1272" s="27" t="s">
        <v>1889</v>
      </c>
      <c r="C1272" s="43" t="n">
        <v>53.27</v>
      </c>
      <c r="D1272" s="27" t="n">
        <v>1.08</v>
      </c>
      <c r="E1272" s="27" t="n">
        <v>5</v>
      </c>
      <c r="F1272" s="27" t="n">
        <v>10.87</v>
      </c>
      <c r="G1272" s="27" t="s">
        <v>1875</v>
      </c>
      <c r="H1272" s="27" t="s">
        <v>2011</v>
      </c>
      <c r="I1272" s="27" t="s">
        <v>1876</v>
      </c>
      <c r="J1272" s="27" t="s">
        <v>2575</v>
      </c>
      <c r="K1272" s="27" t="n">
        <v>2660</v>
      </c>
      <c r="L1272" s="27" t="n">
        <v>708</v>
      </c>
      <c r="M1272" s="28" t="n">
        <f aca="false">IFERROR(VLOOKUP((OFFSET(hoje12_326_ana9,1271,10,1,1)&amp;"."&amp;OFFSET(hoje12_326_ana9,1271,11,1,1)),'12.326'!A:D,4,0),"-")</f>
        <v>19088260000199</v>
      </c>
    </row>
    <row r="1273" customFormat="false" ht="14.4" hidden="false" customHeight="false" outlineLevel="0" collapsed="false">
      <c r="A1273" s="27" t="n">
        <v>11101004</v>
      </c>
      <c r="B1273" s="27" t="s">
        <v>1888</v>
      </c>
      <c r="C1273" s="43" t="n">
        <v>53.27</v>
      </c>
      <c r="D1273" s="27" t="n">
        <v>1.08</v>
      </c>
      <c r="E1273" s="27" t="n">
        <v>5</v>
      </c>
      <c r="F1273" s="27" t="n">
        <v>10.87</v>
      </c>
      <c r="G1273" s="27" t="s">
        <v>1875</v>
      </c>
      <c r="H1273" s="27" t="s">
        <v>2011</v>
      </c>
      <c r="I1273" s="27" t="s">
        <v>1876</v>
      </c>
      <c r="J1273" s="27" t="s">
        <v>2575</v>
      </c>
      <c r="K1273" s="27" t="n">
        <v>2660</v>
      </c>
      <c r="L1273" s="27" t="n">
        <v>708</v>
      </c>
      <c r="M1273" s="28" t="n">
        <f aca="false">IFERROR(VLOOKUP((OFFSET(hoje12_326_ana9,1272,10,1,1)&amp;"."&amp;OFFSET(hoje12_326_ana9,1272,11,1,1)),'12.326'!A:D,4,0),"-")</f>
        <v>19088260000199</v>
      </c>
    </row>
    <row r="1274" customFormat="false" ht="14.4" hidden="false" customHeight="false" outlineLevel="0" collapsed="false">
      <c r="A1274" s="27" t="n">
        <v>11100066</v>
      </c>
      <c r="B1274" s="27" t="s">
        <v>2111</v>
      </c>
      <c r="C1274" s="43" t="n">
        <v>141.79</v>
      </c>
      <c r="D1274" s="27" t="n">
        <v>35.45</v>
      </c>
      <c r="E1274" s="27" t="n">
        <v>12</v>
      </c>
      <c r="F1274" s="27" t="n">
        <v>14.77</v>
      </c>
      <c r="G1274" s="27" t="s">
        <v>1875</v>
      </c>
      <c r="H1274" s="27" t="s">
        <v>2157</v>
      </c>
      <c r="I1274" s="27" t="s">
        <v>1876</v>
      </c>
      <c r="J1274" s="27" t="s">
        <v>2480</v>
      </c>
      <c r="K1274" s="27" t="n">
        <v>2661</v>
      </c>
      <c r="L1274" s="27" t="n">
        <v>708</v>
      </c>
      <c r="M1274" s="28" t="n">
        <f aca="false">IFERROR(VLOOKUP((OFFSET(hoje12_326_ana9,1273,10,1,1)&amp;"."&amp;OFFSET(hoje12_326_ana9,1273,11,1,1)),'12.326'!A:D,4,0),"-")</f>
        <v>59844699000119</v>
      </c>
    </row>
    <row r="1275" customFormat="false" ht="14.4" hidden="false" customHeight="false" outlineLevel="0" collapsed="false">
      <c r="A1275" s="27" t="n">
        <v>11100216</v>
      </c>
      <c r="B1275" s="27" t="s">
        <v>1923</v>
      </c>
      <c r="C1275" s="43" t="n">
        <v>52.7</v>
      </c>
      <c r="D1275" s="27" t="n">
        <v>13.18</v>
      </c>
      <c r="E1275" s="27" t="n">
        <v>12</v>
      </c>
      <c r="F1275" s="27" t="n">
        <v>5.49</v>
      </c>
      <c r="G1275" s="27" t="s">
        <v>1875</v>
      </c>
      <c r="H1275" s="27" t="s">
        <v>2157</v>
      </c>
      <c r="I1275" s="27" t="s">
        <v>1876</v>
      </c>
      <c r="J1275" s="27" t="s">
        <v>2576</v>
      </c>
      <c r="K1275" s="27" t="n">
        <v>2661</v>
      </c>
      <c r="L1275" s="27" t="n">
        <v>708</v>
      </c>
      <c r="M1275" s="28" t="n">
        <f aca="false">IFERROR(VLOOKUP((OFFSET(hoje12_326_ana9,1274,10,1,1)&amp;"."&amp;OFFSET(hoje12_326_ana9,1274,11,1,1)),'12.326'!A:D,4,0),"-")</f>
        <v>59844699000119</v>
      </c>
    </row>
    <row r="1276" customFormat="false" ht="14.4" hidden="false" customHeight="false" outlineLevel="0" collapsed="false">
      <c r="A1276" s="27" t="n">
        <v>11100373</v>
      </c>
      <c r="B1276" s="27" t="s">
        <v>2127</v>
      </c>
      <c r="C1276" s="43" t="n">
        <v>8.06</v>
      </c>
      <c r="D1276" s="27" t="n">
        <v>2.02</v>
      </c>
      <c r="E1276" s="27" t="n">
        <v>3</v>
      </c>
      <c r="F1276" s="27" t="n">
        <v>3.36</v>
      </c>
      <c r="G1276" s="27" t="s">
        <v>1875</v>
      </c>
      <c r="H1276" s="27" t="s">
        <v>2157</v>
      </c>
      <c r="I1276" s="27" t="s">
        <v>1876</v>
      </c>
      <c r="J1276" s="27" t="s">
        <v>2577</v>
      </c>
      <c r="K1276" s="27" t="n">
        <v>2661</v>
      </c>
      <c r="L1276" s="27" t="n">
        <v>708</v>
      </c>
      <c r="M1276" s="28" t="n">
        <f aca="false">IFERROR(VLOOKUP((OFFSET(hoje12_326_ana9,1275,10,1,1)&amp;"."&amp;OFFSET(hoje12_326_ana9,1275,11,1,1)),'12.326'!A:D,4,0),"-")</f>
        <v>59844699000119</v>
      </c>
    </row>
    <row r="1277" customFormat="false" ht="14.4" hidden="false" customHeight="false" outlineLevel="0" collapsed="false">
      <c r="A1277" s="27" t="n">
        <v>11100542</v>
      </c>
      <c r="B1277" s="27" t="s">
        <v>2113</v>
      </c>
      <c r="C1277" s="43" t="n">
        <v>28.01</v>
      </c>
      <c r="D1277" s="27" t="n">
        <v>7</v>
      </c>
      <c r="E1277" s="27" t="n">
        <v>3</v>
      </c>
      <c r="F1277" s="27" t="n">
        <v>11.67</v>
      </c>
      <c r="G1277" s="27" t="s">
        <v>1875</v>
      </c>
      <c r="H1277" s="27" t="s">
        <v>2157</v>
      </c>
      <c r="I1277" s="27" t="s">
        <v>1876</v>
      </c>
      <c r="J1277" s="27" t="s">
        <v>2535</v>
      </c>
      <c r="K1277" s="27" t="n">
        <v>2661</v>
      </c>
      <c r="L1277" s="27" t="n">
        <v>708</v>
      </c>
      <c r="M1277" s="28" t="n">
        <f aca="false">IFERROR(VLOOKUP((OFFSET(hoje12_326_ana9,1276,10,1,1)&amp;"."&amp;OFFSET(hoje12_326_ana9,1276,11,1,1)),'12.326'!A:D,4,0),"-")</f>
        <v>59844699000119</v>
      </c>
    </row>
    <row r="1278" customFormat="false" ht="14.4" hidden="false" customHeight="false" outlineLevel="0" collapsed="false">
      <c r="A1278" s="27" t="n">
        <v>11100543</v>
      </c>
      <c r="B1278" s="27" t="s">
        <v>2115</v>
      </c>
      <c r="C1278" s="43" t="n">
        <v>41.16</v>
      </c>
      <c r="D1278" s="27" t="n">
        <v>10.29</v>
      </c>
      <c r="E1278" s="27" t="n">
        <v>3</v>
      </c>
      <c r="F1278" s="27" t="n">
        <v>17.15</v>
      </c>
      <c r="G1278" s="27" t="s">
        <v>1875</v>
      </c>
      <c r="H1278" s="27" t="s">
        <v>2157</v>
      </c>
      <c r="I1278" s="27" t="s">
        <v>1876</v>
      </c>
      <c r="J1278" s="27" t="s">
        <v>2578</v>
      </c>
      <c r="K1278" s="27" t="n">
        <v>2661</v>
      </c>
      <c r="L1278" s="27" t="n">
        <v>708</v>
      </c>
      <c r="M1278" s="28" t="n">
        <f aca="false">IFERROR(VLOOKUP((OFFSET(hoje12_326_ana9,1277,10,1,1)&amp;"."&amp;OFFSET(hoje12_326_ana9,1277,11,1,1)),'12.326'!A:D,4,0),"-")</f>
        <v>59844699000119</v>
      </c>
    </row>
    <row r="1279" customFormat="false" ht="14.4" hidden="false" customHeight="false" outlineLevel="0" collapsed="false">
      <c r="A1279" s="27" t="n">
        <v>11100968</v>
      </c>
      <c r="B1279" s="27" t="s">
        <v>2125</v>
      </c>
      <c r="C1279" s="43" t="n">
        <v>22.13</v>
      </c>
      <c r="D1279" s="27" t="n">
        <v>5.53</v>
      </c>
      <c r="E1279" s="27" t="n">
        <v>3</v>
      </c>
      <c r="F1279" s="27" t="n">
        <v>9.22</v>
      </c>
      <c r="G1279" s="27" t="s">
        <v>1875</v>
      </c>
      <c r="H1279" s="27" t="s">
        <v>2157</v>
      </c>
      <c r="I1279" s="27" t="s">
        <v>1876</v>
      </c>
      <c r="J1279" s="27" t="s">
        <v>2484</v>
      </c>
      <c r="K1279" s="27" t="n">
        <v>2661</v>
      </c>
      <c r="L1279" s="27" t="n">
        <v>708</v>
      </c>
      <c r="M1279" s="28" t="n">
        <f aca="false">IFERROR(VLOOKUP((OFFSET(hoje12_326_ana9,1278,10,1,1)&amp;"."&amp;OFFSET(hoje12_326_ana9,1278,11,1,1)),'12.326'!A:D,4,0),"-")</f>
        <v>59844699000119</v>
      </c>
    </row>
    <row r="1280" customFormat="false" ht="14.4" hidden="false" customHeight="false" outlineLevel="0" collapsed="false">
      <c r="A1280" s="27" t="n">
        <v>11100970</v>
      </c>
      <c r="B1280" s="27" t="s">
        <v>2197</v>
      </c>
      <c r="C1280" s="43" t="n">
        <v>27.74</v>
      </c>
      <c r="D1280" s="27" t="n">
        <v>6.94</v>
      </c>
      <c r="E1280" s="27" t="n">
        <v>3</v>
      </c>
      <c r="F1280" s="27" t="n">
        <v>11.56</v>
      </c>
      <c r="G1280" s="27" t="s">
        <v>1875</v>
      </c>
      <c r="H1280" s="27" t="s">
        <v>2157</v>
      </c>
      <c r="I1280" s="27" t="s">
        <v>1876</v>
      </c>
      <c r="J1280" s="27" t="s">
        <v>2198</v>
      </c>
      <c r="K1280" s="27" t="n">
        <v>2661</v>
      </c>
      <c r="L1280" s="27" t="n">
        <v>708</v>
      </c>
      <c r="M1280" s="28" t="n">
        <f aca="false">IFERROR(VLOOKUP((OFFSET(hoje12_326_ana9,1279,10,1,1)&amp;"."&amp;OFFSET(hoje12_326_ana9,1279,11,1,1)),'12.326'!A:D,4,0),"-")</f>
        <v>59844699000119</v>
      </c>
    </row>
    <row r="1281" customFormat="false" ht="14.4" hidden="false" customHeight="false" outlineLevel="0" collapsed="false">
      <c r="A1281" s="27" t="n">
        <v>11100971</v>
      </c>
      <c r="B1281" s="27" t="s">
        <v>2253</v>
      </c>
      <c r="C1281" s="43" t="n">
        <v>28.94</v>
      </c>
      <c r="D1281" s="27" t="n">
        <v>7.24</v>
      </c>
      <c r="E1281" s="27" t="n">
        <v>3</v>
      </c>
      <c r="F1281" s="27" t="n">
        <v>12.06</v>
      </c>
      <c r="G1281" s="27" t="s">
        <v>1875</v>
      </c>
      <c r="H1281" s="27" t="s">
        <v>2157</v>
      </c>
      <c r="I1281" s="27" t="s">
        <v>1876</v>
      </c>
      <c r="J1281" s="27" t="s">
        <v>2579</v>
      </c>
      <c r="K1281" s="27" t="n">
        <v>2661</v>
      </c>
      <c r="L1281" s="27" t="n">
        <v>708</v>
      </c>
      <c r="M1281" s="28" t="n">
        <f aca="false">IFERROR(VLOOKUP((OFFSET(hoje12_326_ana9,1280,10,1,1)&amp;"."&amp;OFFSET(hoje12_326_ana9,1280,11,1,1)),'12.326'!A:D,4,0),"-")</f>
        <v>59844699000119</v>
      </c>
    </row>
    <row r="1282" customFormat="false" ht="14.4" hidden="false" customHeight="false" outlineLevel="0" collapsed="false">
      <c r="A1282" s="27" t="n">
        <v>11100972</v>
      </c>
      <c r="B1282" s="27" t="s">
        <v>2308</v>
      </c>
      <c r="C1282" s="43" t="n">
        <v>34.97</v>
      </c>
      <c r="D1282" s="27" t="n">
        <v>8.74</v>
      </c>
      <c r="E1282" s="27" t="n">
        <v>3</v>
      </c>
      <c r="F1282" s="27" t="n">
        <v>14.57</v>
      </c>
      <c r="G1282" s="27" t="s">
        <v>1875</v>
      </c>
      <c r="H1282" s="27" t="s">
        <v>2157</v>
      </c>
      <c r="I1282" s="27" t="s">
        <v>1876</v>
      </c>
      <c r="J1282" s="27" t="s">
        <v>2580</v>
      </c>
      <c r="K1282" s="27" t="n">
        <v>2661</v>
      </c>
      <c r="L1282" s="27" t="n">
        <v>708</v>
      </c>
      <c r="M1282" s="28" t="n">
        <f aca="false">IFERROR(VLOOKUP((OFFSET(hoje12_326_ana9,1281,10,1,1)&amp;"."&amp;OFFSET(hoje12_326_ana9,1281,11,1,1)),'12.326'!A:D,4,0),"-")</f>
        <v>59844699000119</v>
      </c>
    </row>
    <row r="1283" customFormat="false" ht="14.4" hidden="false" customHeight="false" outlineLevel="0" collapsed="false">
      <c r="A1283" s="27" t="n">
        <v>11100976</v>
      </c>
      <c r="B1283" s="27" t="s">
        <v>2139</v>
      </c>
      <c r="C1283" s="43" t="n">
        <v>17.66</v>
      </c>
      <c r="D1283" s="27" t="n">
        <v>8.02</v>
      </c>
      <c r="E1283" s="27" t="n">
        <v>12</v>
      </c>
      <c r="F1283" s="27" t="n">
        <v>2.14</v>
      </c>
      <c r="G1283" s="27" t="s">
        <v>1875</v>
      </c>
      <c r="H1283" s="27" t="s">
        <v>2488</v>
      </c>
      <c r="I1283" s="27" t="s">
        <v>1876</v>
      </c>
      <c r="J1283" s="27" t="s">
        <v>2581</v>
      </c>
      <c r="K1283" s="27" t="n">
        <v>2661</v>
      </c>
      <c r="L1283" s="27" t="n">
        <v>708</v>
      </c>
      <c r="M1283" s="28" t="n">
        <f aca="false">IFERROR(VLOOKUP((OFFSET(hoje12_326_ana9,1282,10,1,1)&amp;"."&amp;OFFSET(hoje12_326_ana9,1282,11,1,1)),'12.326'!A:D,4,0),"-")</f>
        <v>59844699000119</v>
      </c>
    </row>
    <row r="1284" customFormat="false" ht="14.4" hidden="false" customHeight="false" outlineLevel="0" collapsed="false">
      <c r="A1284" s="27" t="n">
        <v>11100977</v>
      </c>
      <c r="B1284" s="27" t="s">
        <v>2445</v>
      </c>
      <c r="C1284" s="43" t="n">
        <v>29.59</v>
      </c>
      <c r="D1284" s="27" t="n">
        <v>10.61</v>
      </c>
      <c r="E1284" s="27" t="n">
        <v>12</v>
      </c>
      <c r="F1284" s="27" t="n">
        <v>3.35</v>
      </c>
      <c r="G1284" s="27" t="s">
        <v>1875</v>
      </c>
      <c r="H1284" s="27" t="s">
        <v>2490</v>
      </c>
      <c r="I1284" s="27" t="s">
        <v>1876</v>
      </c>
      <c r="J1284" s="27" t="s">
        <v>2582</v>
      </c>
      <c r="K1284" s="27" t="n">
        <v>2661</v>
      </c>
      <c r="L1284" s="27" t="n">
        <v>708</v>
      </c>
      <c r="M1284" s="28" t="n">
        <f aca="false">IFERROR(VLOOKUP((OFFSET(hoje12_326_ana9,1283,10,1,1)&amp;"."&amp;OFFSET(hoje12_326_ana9,1283,11,1,1)),'12.326'!A:D,4,0),"-")</f>
        <v>59844699000119</v>
      </c>
    </row>
    <row r="1285" customFormat="false" ht="14.4" hidden="false" customHeight="false" outlineLevel="0" collapsed="false">
      <c r="A1285" s="27" t="n">
        <v>11100978</v>
      </c>
      <c r="B1285" s="27" t="s">
        <v>2255</v>
      </c>
      <c r="C1285" s="43" t="n">
        <v>54.29</v>
      </c>
      <c r="D1285" s="27" t="n">
        <v>13.57</v>
      </c>
      <c r="E1285" s="27" t="n">
        <v>3</v>
      </c>
      <c r="F1285" s="27" t="n">
        <v>22.62</v>
      </c>
      <c r="G1285" s="27" t="s">
        <v>1875</v>
      </c>
      <c r="H1285" s="27" t="s">
        <v>2157</v>
      </c>
      <c r="I1285" s="27" t="s">
        <v>1876</v>
      </c>
      <c r="J1285" s="27" t="s">
        <v>2583</v>
      </c>
      <c r="K1285" s="27" t="n">
        <v>2661</v>
      </c>
      <c r="L1285" s="27" t="n">
        <v>708</v>
      </c>
      <c r="M1285" s="28" t="n">
        <f aca="false">IFERROR(VLOOKUP((OFFSET(hoje12_326_ana9,1284,10,1,1)&amp;"."&amp;OFFSET(hoje12_326_ana9,1284,11,1,1)),'12.326'!A:D,4,0),"-")</f>
        <v>59844699000119</v>
      </c>
    </row>
    <row r="1286" customFormat="false" ht="14.4" hidden="false" customHeight="false" outlineLevel="0" collapsed="false">
      <c r="A1286" s="27" t="n">
        <v>11100984</v>
      </c>
      <c r="B1286" s="27" t="s">
        <v>2257</v>
      </c>
      <c r="C1286" s="43" t="n">
        <v>30.96</v>
      </c>
      <c r="D1286" s="27" t="n">
        <v>7.74</v>
      </c>
      <c r="E1286" s="27" t="n">
        <v>3</v>
      </c>
      <c r="F1286" s="27" t="n">
        <v>12.9</v>
      </c>
      <c r="G1286" s="27" t="s">
        <v>1875</v>
      </c>
      <c r="H1286" s="27" t="s">
        <v>2157</v>
      </c>
      <c r="I1286" s="27" t="s">
        <v>1876</v>
      </c>
      <c r="J1286" s="27" t="s">
        <v>2584</v>
      </c>
      <c r="K1286" s="27" t="n">
        <v>2661</v>
      </c>
      <c r="L1286" s="27" t="n">
        <v>708</v>
      </c>
      <c r="M1286" s="28" t="n">
        <f aca="false">IFERROR(VLOOKUP((OFFSET(hoje12_326_ana9,1285,10,1,1)&amp;"."&amp;OFFSET(hoje12_326_ana9,1285,11,1,1)),'12.326'!A:D,4,0),"-")</f>
        <v>59844699000119</v>
      </c>
    </row>
    <row r="1287" customFormat="false" ht="14.4" hidden="false" customHeight="false" outlineLevel="0" collapsed="false">
      <c r="A1287" s="27" t="n">
        <v>11100985</v>
      </c>
      <c r="B1287" s="27" t="s">
        <v>1906</v>
      </c>
      <c r="C1287" s="43" t="n">
        <v>50.3</v>
      </c>
      <c r="D1287" s="27" t="n">
        <v>12.58</v>
      </c>
      <c r="E1287" s="27" t="n">
        <v>3</v>
      </c>
      <c r="F1287" s="27" t="n">
        <v>20.96</v>
      </c>
      <c r="G1287" s="27" t="s">
        <v>1875</v>
      </c>
      <c r="H1287" s="27" t="s">
        <v>2157</v>
      </c>
      <c r="I1287" s="27" t="s">
        <v>1876</v>
      </c>
      <c r="J1287" s="27" t="s">
        <v>2585</v>
      </c>
      <c r="K1287" s="27" t="n">
        <v>2661</v>
      </c>
      <c r="L1287" s="27" t="n">
        <v>708</v>
      </c>
      <c r="M1287" s="28" t="n">
        <f aca="false">IFERROR(VLOOKUP((OFFSET(hoje12_326_ana9,1286,10,1,1)&amp;"."&amp;OFFSET(hoje12_326_ana9,1286,11,1,1)),'12.326'!A:D,4,0),"-")</f>
        <v>59844699000119</v>
      </c>
    </row>
    <row r="1288" customFormat="false" ht="14.4" hidden="false" customHeight="false" outlineLevel="0" collapsed="false">
      <c r="A1288" s="27" t="n">
        <v>11100987</v>
      </c>
      <c r="B1288" s="27" t="s">
        <v>1890</v>
      </c>
      <c r="C1288" s="43" t="n">
        <v>100.32</v>
      </c>
      <c r="D1288" s="27" t="n">
        <v>25.08</v>
      </c>
      <c r="E1288" s="27" t="n">
        <v>12</v>
      </c>
      <c r="F1288" s="27" t="n">
        <v>10.45</v>
      </c>
      <c r="G1288" s="27" t="s">
        <v>1875</v>
      </c>
      <c r="H1288" s="27" t="s">
        <v>2157</v>
      </c>
      <c r="I1288" s="27" t="s">
        <v>1876</v>
      </c>
      <c r="J1288" s="27" t="s">
        <v>2586</v>
      </c>
      <c r="K1288" s="27" t="n">
        <v>2661</v>
      </c>
      <c r="L1288" s="27" t="n">
        <v>708</v>
      </c>
      <c r="M1288" s="28" t="n">
        <f aca="false">IFERROR(VLOOKUP((OFFSET(hoje12_326_ana9,1287,10,1,1)&amp;"."&amp;OFFSET(hoje12_326_ana9,1287,11,1,1)),'12.326'!A:D,4,0),"-")</f>
        <v>59844699000119</v>
      </c>
    </row>
    <row r="1289" customFormat="false" ht="14.4" hidden="false" customHeight="false" outlineLevel="0" collapsed="false">
      <c r="A1289" s="27" t="n">
        <v>11100992</v>
      </c>
      <c r="B1289" s="27" t="s">
        <v>1891</v>
      </c>
      <c r="C1289" s="43" t="n">
        <v>147.36</v>
      </c>
      <c r="D1289" s="27" t="n">
        <v>36.84</v>
      </c>
      <c r="E1289" s="27" t="n">
        <v>12</v>
      </c>
      <c r="F1289" s="27" t="n">
        <v>15.35</v>
      </c>
      <c r="G1289" s="27" t="s">
        <v>1875</v>
      </c>
      <c r="H1289" s="27" t="s">
        <v>2157</v>
      </c>
      <c r="I1289" s="27" t="s">
        <v>1876</v>
      </c>
      <c r="J1289" s="27" t="s">
        <v>2587</v>
      </c>
      <c r="K1289" s="27" t="n">
        <v>2661</v>
      </c>
      <c r="L1289" s="27" t="n">
        <v>708</v>
      </c>
      <c r="M1289" s="28" t="n">
        <f aca="false">IFERROR(VLOOKUP((OFFSET(hoje12_326_ana9,1288,10,1,1)&amp;"."&amp;OFFSET(hoje12_326_ana9,1288,11,1,1)),'12.326'!A:D,4,0),"-")</f>
        <v>59844699000119</v>
      </c>
    </row>
    <row r="1290" customFormat="false" ht="14.4" hidden="false" customHeight="false" outlineLevel="0" collapsed="false">
      <c r="A1290" s="27" t="n">
        <v>11100998</v>
      </c>
      <c r="B1290" s="27" t="s">
        <v>1887</v>
      </c>
      <c r="C1290" s="43" t="n">
        <v>36.02</v>
      </c>
      <c r="D1290" s="27" t="n">
        <v>9.01</v>
      </c>
      <c r="E1290" s="27" t="n">
        <v>3</v>
      </c>
      <c r="F1290" s="27" t="n">
        <v>15.01</v>
      </c>
      <c r="G1290" s="27" t="s">
        <v>1875</v>
      </c>
      <c r="H1290" s="27" t="s">
        <v>2157</v>
      </c>
      <c r="I1290" s="27" t="s">
        <v>1876</v>
      </c>
      <c r="J1290" s="27" t="s">
        <v>2588</v>
      </c>
      <c r="K1290" s="27" t="n">
        <v>2661</v>
      </c>
      <c r="L1290" s="27" t="n">
        <v>708</v>
      </c>
      <c r="M1290" s="28" t="n">
        <f aca="false">IFERROR(VLOOKUP((OFFSET(hoje12_326_ana9,1289,10,1,1)&amp;"."&amp;OFFSET(hoje12_326_ana9,1289,11,1,1)),'12.326'!A:D,4,0),"-")</f>
        <v>59844699000119</v>
      </c>
    </row>
    <row r="1291" customFormat="false" ht="14.4" hidden="false" customHeight="false" outlineLevel="0" collapsed="false">
      <c r="A1291" s="27" t="n">
        <v>11101000</v>
      </c>
      <c r="B1291" s="27" t="s">
        <v>1886</v>
      </c>
      <c r="C1291" s="43" t="n">
        <v>55.18</v>
      </c>
      <c r="D1291" s="27" t="n">
        <v>13.79</v>
      </c>
      <c r="E1291" s="27" t="n">
        <v>3</v>
      </c>
      <c r="F1291" s="27" t="n">
        <v>22.99</v>
      </c>
      <c r="G1291" s="27" t="s">
        <v>1875</v>
      </c>
      <c r="H1291" s="27" t="s">
        <v>2157</v>
      </c>
      <c r="I1291" s="27" t="s">
        <v>1876</v>
      </c>
      <c r="J1291" s="27" t="s">
        <v>2589</v>
      </c>
      <c r="K1291" s="27" t="n">
        <v>2661</v>
      </c>
      <c r="L1291" s="27" t="n">
        <v>708</v>
      </c>
      <c r="M1291" s="28" t="n">
        <f aca="false">IFERROR(VLOOKUP((OFFSET(hoje12_326_ana9,1290,10,1,1)&amp;"."&amp;OFFSET(hoje12_326_ana9,1290,11,1,1)),'12.326'!A:D,4,0),"-")</f>
        <v>59844699000119</v>
      </c>
    </row>
    <row r="1292" customFormat="false" ht="14.4" hidden="false" customHeight="false" outlineLevel="0" collapsed="false">
      <c r="A1292" s="27" t="n">
        <v>11101000</v>
      </c>
      <c r="B1292" s="27" t="s">
        <v>1886</v>
      </c>
      <c r="C1292" s="43" t="n">
        <v>70.89</v>
      </c>
      <c r="D1292" s="27" t="n">
        <v>0</v>
      </c>
      <c r="E1292" s="27" t="n">
        <v>3</v>
      </c>
      <c r="F1292" s="27" t="n">
        <v>23.63</v>
      </c>
      <c r="G1292" s="27" t="s">
        <v>1875</v>
      </c>
      <c r="H1292" s="27" t="s">
        <v>68</v>
      </c>
      <c r="I1292" s="27" t="s">
        <v>1876</v>
      </c>
      <c r="J1292" s="27" t="s">
        <v>1877</v>
      </c>
      <c r="K1292" s="27" t="n">
        <v>708001</v>
      </c>
      <c r="L1292" s="27" t="n">
        <v>708</v>
      </c>
      <c r="M1292" s="28" t="n">
        <f aca="false">IFERROR(VLOOKUP((OFFSET(hoje12_326_ana9,1291,10,1,1)&amp;"."&amp;OFFSET(hoje12_326_ana9,1291,11,1,1)),'12.326'!A:D,4,0),"-")</f>
        <v>3735605000119</v>
      </c>
    </row>
    <row r="1293" customFormat="false" ht="14.4" hidden="false" customHeight="false" outlineLevel="0" collapsed="false">
      <c r="A1293" s="27" t="n">
        <v>11100998</v>
      </c>
      <c r="B1293" s="27" t="s">
        <v>1887</v>
      </c>
      <c r="C1293" s="43" t="n">
        <v>46.29</v>
      </c>
      <c r="D1293" s="27" t="n">
        <v>0</v>
      </c>
      <c r="E1293" s="27" t="n">
        <v>3</v>
      </c>
      <c r="F1293" s="27" t="n">
        <v>15.43</v>
      </c>
      <c r="G1293" s="27" t="s">
        <v>1875</v>
      </c>
      <c r="H1293" s="27" t="s">
        <v>68</v>
      </c>
      <c r="I1293" s="27" t="s">
        <v>1876</v>
      </c>
      <c r="J1293" s="27" t="s">
        <v>1877</v>
      </c>
      <c r="K1293" s="27" t="n">
        <v>708001</v>
      </c>
      <c r="L1293" s="27" t="n">
        <v>708</v>
      </c>
      <c r="M1293" s="28" t="n">
        <f aca="false">IFERROR(VLOOKUP((OFFSET(hoje12_326_ana9,1292,10,1,1)&amp;"."&amp;OFFSET(hoje12_326_ana9,1292,11,1,1)),'12.326'!A:D,4,0),"-")</f>
        <v>3735605000119</v>
      </c>
    </row>
    <row r="1294" customFormat="false" ht="14.4" hidden="false" customHeight="false" outlineLevel="0" collapsed="false">
      <c r="A1294" s="27" t="n">
        <v>11101004</v>
      </c>
      <c r="B1294" s="27" t="s">
        <v>1888</v>
      </c>
      <c r="C1294" s="43" t="n">
        <v>33.18</v>
      </c>
      <c r="D1294" s="27" t="n">
        <v>0</v>
      </c>
      <c r="E1294" s="27" t="n">
        <v>3</v>
      </c>
      <c r="F1294" s="27" t="n">
        <v>11.06</v>
      </c>
      <c r="G1294" s="27" t="s">
        <v>1875</v>
      </c>
      <c r="H1294" s="27" t="s">
        <v>68</v>
      </c>
      <c r="I1294" s="27" t="s">
        <v>1876</v>
      </c>
      <c r="J1294" s="27" t="s">
        <v>1877</v>
      </c>
      <c r="K1294" s="27" t="n">
        <v>708001</v>
      </c>
      <c r="L1294" s="27" t="n">
        <v>708</v>
      </c>
      <c r="M1294" s="28" t="n">
        <f aca="false">IFERROR(VLOOKUP((OFFSET(hoje12_326_ana9,1293,10,1,1)&amp;"."&amp;OFFSET(hoje12_326_ana9,1293,11,1,1)),'12.326'!A:D,4,0),"-")</f>
        <v>3735605000119</v>
      </c>
    </row>
    <row r="1295" customFormat="false" ht="14.4" hidden="false" customHeight="false" outlineLevel="0" collapsed="false">
      <c r="A1295" s="27" t="n">
        <v>11101003</v>
      </c>
      <c r="B1295" s="27" t="s">
        <v>1889</v>
      </c>
      <c r="C1295" s="43" t="n">
        <v>33.18</v>
      </c>
      <c r="D1295" s="27" t="n">
        <v>0</v>
      </c>
      <c r="E1295" s="27" t="n">
        <v>3</v>
      </c>
      <c r="F1295" s="27" t="n">
        <v>11.06</v>
      </c>
      <c r="G1295" s="27" t="s">
        <v>1875</v>
      </c>
      <c r="H1295" s="27" t="s">
        <v>68</v>
      </c>
      <c r="I1295" s="27" t="s">
        <v>1876</v>
      </c>
      <c r="J1295" s="27" t="s">
        <v>1877</v>
      </c>
      <c r="K1295" s="27" t="n">
        <v>708001</v>
      </c>
      <c r="L1295" s="27" t="n">
        <v>708</v>
      </c>
      <c r="M1295" s="28" t="n">
        <f aca="false">IFERROR(VLOOKUP((OFFSET(hoje12_326_ana9,1294,10,1,1)&amp;"."&amp;OFFSET(hoje12_326_ana9,1294,11,1,1)),'12.326'!A:D,4,0),"-")</f>
        <v>3735605000119</v>
      </c>
    </row>
    <row r="1296" customFormat="false" ht="14.4" hidden="false" customHeight="false" outlineLevel="0" collapsed="false">
      <c r="A1296" s="27" t="n">
        <v>11101000</v>
      </c>
      <c r="B1296" s="27" t="s">
        <v>1886</v>
      </c>
      <c r="C1296" s="43" t="n">
        <v>68.97</v>
      </c>
      <c r="D1296" s="27" t="n">
        <v>0</v>
      </c>
      <c r="E1296" s="27" t="n">
        <v>3</v>
      </c>
      <c r="F1296" s="27" t="n">
        <v>22.99</v>
      </c>
      <c r="G1296" s="27" t="s">
        <v>1875</v>
      </c>
      <c r="H1296" s="27" t="s">
        <v>68</v>
      </c>
      <c r="I1296" s="27" t="s">
        <v>1876</v>
      </c>
      <c r="J1296" s="27" t="s">
        <v>1877</v>
      </c>
      <c r="K1296" s="27" t="n">
        <v>708002</v>
      </c>
      <c r="L1296" s="27" t="n">
        <v>708</v>
      </c>
      <c r="M1296" s="28" t="n">
        <f aca="false">IFERROR(VLOOKUP((OFFSET(hoje12_326_ana9,1295,10,1,1)&amp;"."&amp;OFFSET(hoje12_326_ana9,1295,11,1,1)),'12.326'!A:D,4,0),"-")</f>
        <v>19088260000199</v>
      </c>
    </row>
    <row r="1297" customFormat="false" ht="14.4" hidden="false" customHeight="false" outlineLevel="0" collapsed="false">
      <c r="A1297" s="27" t="n">
        <v>11100998</v>
      </c>
      <c r="B1297" s="27" t="s">
        <v>1887</v>
      </c>
      <c r="C1297" s="43" t="n">
        <v>45.03</v>
      </c>
      <c r="D1297" s="27" t="n">
        <v>0</v>
      </c>
      <c r="E1297" s="27" t="n">
        <v>3</v>
      </c>
      <c r="F1297" s="27" t="n">
        <v>15.01</v>
      </c>
      <c r="G1297" s="27" t="s">
        <v>1875</v>
      </c>
      <c r="H1297" s="27" t="s">
        <v>68</v>
      </c>
      <c r="I1297" s="27" t="s">
        <v>1876</v>
      </c>
      <c r="J1297" s="27" t="s">
        <v>1877</v>
      </c>
      <c r="K1297" s="27" t="n">
        <v>708002</v>
      </c>
      <c r="L1297" s="27" t="n">
        <v>708</v>
      </c>
      <c r="M1297" s="28" t="n">
        <f aca="false">IFERROR(VLOOKUP((OFFSET(hoje12_326_ana9,1296,10,1,1)&amp;"."&amp;OFFSET(hoje12_326_ana9,1296,11,1,1)),'12.326'!A:D,4,0),"-")</f>
        <v>19088260000199</v>
      </c>
    </row>
    <row r="1298" customFormat="false" ht="14.4" hidden="false" customHeight="false" outlineLevel="0" collapsed="false">
      <c r="A1298" s="27" t="n">
        <v>11101004</v>
      </c>
      <c r="B1298" s="27" t="s">
        <v>1888</v>
      </c>
      <c r="C1298" s="43" t="n">
        <v>32.28</v>
      </c>
      <c r="D1298" s="27" t="n">
        <v>0</v>
      </c>
      <c r="E1298" s="27" t="n">
        <v>3</v>
      </c>
      <c r="F1298" s="27" t="n">
        <v>10.76</v>
      </c>
      <c r="G1298" s="27" t="s">
        <v>1875</v>
      </c>
      <c r="H1298" s="27" t="s">
        <v>68</v>
      </c>
      <c r="I1298" s="27" t="s">
        <v>1876</v>
      </c>
      <c r="J1298" s="27" t="s">
        <v>1877</v>
      </c>
      <c r="K1298" s="27" t="n">
        <v>708002</v>
      </c>
      <c r="L1298" s="27" t="n">
        <v>708</v>
      </c>
      <c r="M1298" s="28" t="n">
        <f aca="false">IFERROR(VLOOKUP((OFFSET(hoje12_326_ana9,1297,10,1,1)&amp;"."&amp;OFFSET(hoje12_326_ana9,1297,11,1,1)),'12.326'!A:D,4,0),"-")</f>
        <v>19088260000199</v>
      </c>
    </row>
    <row r="1299" customFormat="false" ht="14.4" hidden="false" customHeight="false" outlineLevel="0" collapsed="false">
      <c r="A1299" s="27" t="n">
        <v>11101003</v>
      </c>
      <c r="B1299" s="27" t="s">
        <v>1889</v>
      </c>
      <c r="C1299" s="43" t="n">
        <v>32.28</v>
      </c>
      <c r="D1299" s="27" t="n">
        <v>0</v>
      </c>
      <c r="E1299" s="27" t="n">
        <v>3</v>
      </c>
      <c r="F1299" s="27" t="n">
        <v>10.76</v>
      </c>
      <c r="G1299" s="27" t="s">
        <v>1875</v>
      </c>
      <c r="H1299" s="27" t="s">
        <v>68</v>
      </c>
      <c r="I1299" s="27" t="s">
        <v>1876</v>
      </c>
      <c r="J1299" s="27" t="s">
        <v>1877</v>
      </c>
      <c r="K1299" s="27" t="n">
        <v>708002</v>
      </c>
      <c r="L1299" s="27" t="n">
        <v>708</v>
      </c>
      <c r="M1299" s="28" t="n">
        <f aca="false">IFERROR(VLOOKUP((OFFSET(hoje12_326_ana9,1298,10,1,1)&amp;"."&amp;OFFSET(hoje12_326_ana9,1298,11,1,1)),'12.326'!A:D,4,0),"-")</f>
        <v>19088260000199</v>
      </c>
    </row>
    <row r="1300" customFormat="false" ht="14.4" hidden="false" customHeight="false" outlineLevel="0" collapsed="false">
      <c r="A1300" s="27" t="n">
        <v>11101000</v>
      </c>
      <c r="B1300" s="27" t="s">
        <v>1886</v>
      </c>
      <c r="C1300" s="43" t="n">
        <v>68.97</v>
      </c>
      <c r="D1300" s="27" t="n">
        <v>0</v>
      </c>
      <c r="E1300" s="27" t="n">
        <v>3</v>
      </c>
      <c r="F1300" s="27" t="n">
        <v>22.99</v>
      </c>
      <c r="G1300" s="27" t="s">
        <v>1875</v>
      </c>
      <c r="H1300" s="27" t="s">
        <v>68</v>
      </c>
      <c r="I1300" s="27" t="s">
        <v>1876</v>
      </c>
      <c r="J1300" s="27" t="s">
        <v>1877</v>
      </c>
      <c r="K1300" s="27" t="n">
        <v>708003</v>
      </c>
      <c r="L1300" s="27" t="n">
        <v>708</v>
      </c>
      <c r="M1300" s="28" t="n">
        <f aca="false">IFERROR(VLOOKUP((OFFSET(hoje12_326_ana9,1299,10,1,1)&amp;"."&amp;OFFSET(hoje12_326_ana9,1299,11,1,1)),'12.326'!A:D,4,0),"-")</f>
        <v>43437785000177</v>
      </c>
    </row>
    <row r="1301" customFormat="false" ht="14.4" hidden="false" customHeight="false" outlineLevel="0" collapsed="false">
      <c r="A1301" s="27" t="n">
        <v>11100998</v>
      </c>
      <c r="B1301" s="27" t="s">
        <v>1887</v>
      </c>
      <c r="C1301" s="43" t="n">
        <v>45.03</v>
      </c>
      <c r="D1301" s="27" t="n">
        <v>0</v>
      </c>
      <c r="E1301" s="27" t="n">
        <v>3</v>
      </c>
      <c r="F1301" s="27" t="n">
        <v>15.01</v>
      </c>
      <c r="G1301" s="27" t="s">
        <v>1875</v>
      </c>
      <c r="H1301" s="27" t="s">
        <v>68</v>
      </c>
      <c r="I1301" s="27" t="s">
        <v>1876</v>
      </c>
      <c r="J1301" s="27" t="s">
        <v>1877</v>
      </c>
      <c r="K1301" s="27" t="n">
        <v>708003</v>
      </c>
      <c r="L1301" s="27" t="n">
        <v>708</v>
      </c>
      <c r="M1301" s="28" t="n">
        <f aca="false">IFERROR(VLOOKUP((OFFSET(hoje12_326_ana9,1300,10,1,1)&amp;"."&amp;OFFSET(hoje12_326_ana9,1300,11,1,1)),'12.326'!A:D,4,0),"-")</f>
        <v>43437785000177</v>
      </c>
    </row>
    <row r="1302" customFormat="false" ht="14.4" hidden="false" customHeight="false" outlineLevel="0" collapsed="false">
      <c r="A1302" s="27" t="n">
        <v>11101004</v>
      </c>
      <c r="B1302" s="27" t="s">
        <v>1888</v>
      </c>
      <c r="C1302" s="43" t="n">
        <v>32.28</v>
      </c>
      <c r="D1302" s="27" t="n">
        <v>0</v>
      </c>
      <c r="E1302" s="27" t="n">
        <v>3</v>
      </c>
      <c r="F1302" s="27" t="n">
        <v>10.76</v>
      </c>
      <c r="G1302" s="27" t="s">
        <v>1875</v>
      </c>
      <c r="H1302" s="27" t="s">
        <v>68</v>
      </c>
      <c r="I1302" s="27" t="s">
        <v>1876</v>
      </c>
      <c r="J1302" s="27" t="s">
        <v>1877</v>
      </c>
      <c r="K1302" s="27" t="n">
        <v>708003</v>
      </c>
      <c r="L1302" s="27" t="n">
        <v>708</v>
      </c>
      <c r="M1302" s="28" t="n">
        <f aca="false">IFERROR(VLOOKUP((OFFSET(hoje12_326_ana9,1301,10,1,1)&amp;"."&amp;OFFSET(hoje12_326_ana9,1301,11,1,1)),'12.326'!A:D,4,0),"-")</f>
        <v>43437785000177</v>
      </c>
    </row>
    <row r="1303" customFormat="false" ht="14.4" hidden="false" customHeight="false" outlineLevel="0" collapsed="false">
      <c r="A1303" s="27" t="n">
        <v>11101003</v>
      </c>
      <c r="B1303" s="27" t="s">
        <v>1889</v>
      </c>
      <c r="C1303" s="43" t="n">
        <v>32.28</v>
      </c>
      <c r="D1303" s="27" t="n">
        <v>0</v>
      </c>
      <c r="E1303" s="27" t="n">
        <v>3</v>
      </c>
      <c r="F1303" s="27" t="n">
        <v>10.76</v>
      </c>
      <c r="G1303" s="27" t="s">
        <v>1875</v>
      </c>
      <c r="H1303" s="27" t="s">
        <v>68</v>
      </c>
      <c r="I1303" s="27" t="s">
        <v>1876</v>
      </c>
      <c r="J1303" s="27" t="s">
        <v>1877</v>
      </c>
      <c r="K1303" s="27" t="n">
        <v>708003</v>
      </c>
      <c r="L1303" s="27" t="n">
        <v>708</v>
      </c>
      <c r="M1303" s="28" t="n">
        <f aca="false">IFERROR(VLOOKUP((OFFSET(hoje12_326_ana9,1302,10,1,1)&amp;"."&amp;OFFSET(hoje12_326_ana9,1302,11,1,1)),'12.326'!A:D,4,0),"-")</f>
        <v>43437785000177</v>
      </c>
    </row>
    <row r="1304" customFormat="false" ht="14.4" hidden="false" customHeight="false" outlineLevel="0" collapsed="false">
      <c r="A1304" s="27" t="n">
        <v>11100003</v>
      </c>
      <c r="B1304" s="27" t="s">
        <v>2590</v>
      </c>
      <c r="C1304" s="43" t="n">
        <v>84.5</v>
      </c>
      <c r="D1304" s="27" t="n">
        <v>2.62</v>
      </c>
      <c r="E1304" s="27" t="n">
        <v>12</v>
      </c>
      <c r="F1304" s="27" t="n">
        <v>7.26</v>
      </c>
      <c r="G1304" s="27" t="s">
        <v>1875</v>
      </c>
      <c r="H1304" s="27" t="s">
        <v>2009</v>
      </c>
      <c r="I1304" s="27" t="s">
        <v>1876</v>
      </c>
      <c r="J1304" s="27" t="s">
        <v>2591</v>
      </c>
      <c r="K1304" s="27" t="n">
        <v>1482</v>
      </c>
      <c r="L1304" s="27" t="n">
        <v>710</v>
      </c>
      <c r="M1304" s="28" t="n">
        <f aca="false">IFERROR(VLOOKUP((OFFSET(hoje12_326_ana9,1303,10,1,1)&amp;"."&amp;OFFSET(hoje12_326_ana9,1303,11,1,1)),'12.326'!A:D,4,0),"-")</f>
        <v>5027616000170</v>
      </c>
    </row>
    <row r="1305" customFormat="false" ht="14.4" hidden="false" customHeight="false" outlineLevel="0" collapsed="false">
      <c r="A1305" s="27" t="n">
        <v>11100065</v>
      </c>
      <c r="B1305" s="27" t="s">
        <v>2207</v>
      </c>
      <c r="C1305" s="43" t="n">
        <v>490.27</v>
      </c>
      <c r="D1305" s="27" t="n">
        <v>15.17</v>
      </c>
      <c r="E1305" s="27" t="n">
        <v>48</v>
      </c>
      <c r="F1305" s="27" t="n">
        <v>10.53</v>
      </c>
      <c r="G1305" s="27" t="s">
        <v>1875</v>
      </c>
      <c r="H1305" s="27" t="s">
        <v>2009</v>
      </c>
      <c r="I1305" s="27" t="s">
        <v>1876</v>
      </c>
      <c r="J1305" s="27" t="s">
        <v>2592</v>
      </c>
      <c r="K1305" s="27" t="n">
        <v>1482</v>
      </c>
      <c r="L1305" s="27" t="n">
        <v>710</v>
      </c>
      <c r="M1305" s="28" t="n">
        <f aca="false">IFERROR(VLOOKUP((OFFSET(hoje12_326_ana9,1304,10,1,1)&amp;"."&amp;OFFSET(hoje12_326_ana9,1304,11,1,1)),'12.326'!A:D,4,0),"-")</f>
        <v>5027616000170</v>
      </c>
    </row>
    <row r="1306" customFormat="false" ht="14.4" hidden="false" customHeight="false" outlineLevel="0" collapsed="false">
      <c r="A1306" s="27" t="n">
        <v>11100066</v>
      </c>
      <c r="B1306" s="27" t="s">
        <v>2111</v>
      </c>
      <c r="C1306" s="43" t="n">
        <v>687.7</v>
      </c>
      <c r="D1306" s="27" t="n">
        <v>21.26</v>
      </c>
      <c r="E1306" s="27" t="n">
        <v>48</v>
      </c>
      <c r="F1306" s="27" t="n">
        <v>14.77</v>
      </c>
      <c r="G1306" s="27" t="s">
        <v>1875</v>
      </c>
      <c r="H1306" s="27" t="s">
        <v>2009</v>
      </c>
      <c r="I1306" s="27" t="s">
        <v>1876</v>
      </c>
      <c r="J1306" s="27" t="s">
        <v>2186</v>
      </c>
      <c r="K1306" s="27" t="n">
        <v>1482</v>
      </c>
      <c r="L1306" s="27" t="n">
        <v>710</v>
      </c>
      <c r="M1306" s="28" t="n">
        <f aca="false">IFERROR(VLOOKUP((OFFSET(hoje12_326_ana9,1305,10,1,1)&amp;"."&amp;OFFSET(hoje12_326_ana9,1305,11,1,1)),'12.326'!A:D,4,0),"-")</f>
        <v>5027616000170</v>
      </c>
    </row>
    <row r="1307" customFormat="false" ht="14.4" hidden="false" customHeight="false" outlineLevel="0" collapsed="false">
      <c r="A1307" s="27" t="n">
        <v>11100071</v>
      </c>
      <c r="B1307" s="27" t="s">
        <v>2593</v>
      </c>
      <c r="C1307" s="43" t="n">
        <v>687.7</v>
      </c>
      <c r="D1307" s="27" t="n">
        <v>21.26</v>
      </c>
      <c r="E1307" s="27" t="n">
        <v>48</v>
      </c>
      <c r="F1307" s="27" t="n">
        <v>14.77</v>
      </c>
      <c r="G1307" s="27" t="s">
        <v>1875</v>
      </c>
      <c r="H1307" s="27" t="s">
        <v>2009</v>
      </c>
      <c r="I1307" s="27" t="s">
        <v>1876</v>
      </c>
      <c r="J1307" s="27" t="s">
        <v>2186</v>
      </c>
      <c r="K1307" s="27" t="n">
        <v>1482</v>
      </c>
      <c r="L1307" s="27" t="n">
        <v>710</v>
      </c>
      <c r="M1307" s="28" t="n">
        <f aca="false">IFERROR(VLOOKUP((OFFSET(hoje12_326_ana9,1306,10,1,1)&amp;"."&amp;OFFSET(hoje12_326_ana9,1306,11,1,1)),'12.326'!A:D,4,0),"-")</f>
        <v>5027616000170</v>
      </c>
    </row>
    <row r="1308" customFormat="false" ht="14.4" hidden="false" customHeight="false" outlineLevel="0" collapsed="false">
      <c r="A1308" s="27" t="n">
        <v>11100078</v>
      </c>
      <c r="B1308" s="27" t="s">
        <v>2594</v>
      </c>
      <c r="C1308" s="43" t="n">
        <v>179.6</v>
      </c>
      <c r="D1308" s="27" t="n">
        <v>5.56</v>
      </c>
      <c r="E1308" s="27" t="n">
        <v>12</v>
      </c>
      <c r="F1308" s="27" t="n">
        <v>15.43</v>
      </c>
      <c r="G1308" s="27" t="s">
        <v>1875</v>
      </c>
      <c r="H1308" s="27" t="s">
        <v>2009</v>
      </c>
      <c r="I1308" s="27" t="s">
        <v>1876</v>
      </c>
      <c r="J1308" s="27" t="s">
        <v>2595</v>
      </c>
      <c r="K1308" s="27" t="n">
        <v>1482</v>
      </c>
      <c r="L1308" s="27" t="n">
        <v>710</v>
      </c>
      <c r="M1308" s="28" t="n">
        <f aca="false">IFERROR(VLOOKUP((OFFSET(hoje12_326_ana9,1307,10,1,1)&amp;"."&amp;OFFSET(hoje12_326_ana9,1307,11,1,1)),'12.326'!A:D,4,0),"-")</f>
        <v>5027616000170</v>
      </c>
    </row>
    <row r="1309" customFormat="false" ht="14.4" hidden="false" customHeight="false" outlineLevel="0" collapsed="false">
      <c r="A1309" s="27" t="n">
        <v>11100091</v>
      </c>
      <c r="B1309" s="27" t="s">
        <v>1910</v>
      </c>
      <c r="C1309" s="43" t="n">
        <v>1285.06</v>
      </c>
      <c r="D1309" s="27" t="n">
        <v>39.74</v>
      </c>
      <c r="E1309" s="27" t="n">
        <v>288</v>
      </c>
      <c r="F1309" s="27" t="n">
        <v>4.6</v>
      </c>
      <c r="G1309" s="27" t="s">
        <v>1875</v>
      </c>
      <c r="H1309" s="27" t="s">
        <v>2009</v>
      </c>
      <c r="I1309" s="27" t="s">
        <v>1876</v>
      </c>
      <c r="J1309" s="27" t="s">
        <v>2596</v>
      </c>
      <c r="K1309" s="27" t="n">
        <v>1482</v>
      </c>
      <c r="L1309" s="27" t="n">
        <v>710</v>
      </c>
      <c r="M1309" s="28" t="n">
        <f aca="false">IFERROR(VLOOKUP((OFFSET(hoje12_326_ana9,1308,10,1,1)&amp;"."&amp;OFFSET(hoje12_326_ana9,1308,11,1,1)),'12.326'!A:D,4,0),"-")</f>
        <v>5027616000170</v>
      </c>
    </row>
    <row r="1310" customFormat="false" ht="14.4" hidden="false" customHeight="false" outlineLevel="0" collapsed="false">
      <c r="A1310" s="27" t="n">
        <v>11100092</v>
      </c>
      <c r="B1310" s="27" t="s">
        <v>2333</v>
      </c>
      <c r="C1310" s="43" t="n">
        <v>383.4</v>
      </c>
      <c r="D1310" s="27" t="n">
        <v>11.88</v>
      </c>
      <c r="E1310" s="27" t="n">
        <v>72</v>
      </c>
      <c r="F1310" s="27" t="n">
        <v>5.49</v>
      </c>
      <c r="G1310" s="27" t="s">
        <v>1875</v>
      </c>
      <c r="H1310" s="27" t="s">
        <v>2009</v>
      </c>
      <c r="I1310" s="27" t="s">
        <v>1876</v>
      </c>
      <c r="J1310" s="27" t="s">
        <v>2597</v>
      </c>
      <c r="K1310" s="27" t="n">
        <v>1482</v>
      </c>
      <c r="L1310" s="27" t="n">
        <v>710</v>
      </c>
      <c r="M1310" s="28" t="n">
        <f aca="false">IFERROR(VLOOKUP((OFFSET(hoje12_326_ana9,1309,10,1,1)&amp;"."&amp;OFFSET(hoje12_326_ana9,1309,11,1,1)),'12.326'!A:D,4,0),"-")</f>
        <v>5027616000170</v>
      </c>
    </row>
    <row r="1311" customFormat="false" ht="14.4" hidden="false" customHeight="false" outlineLevel="0" collapsed="false">
      <c r="A1311" s="27" t="n">
        <v>11100098</v>
      </c>
      <c r="B1311" s="27" t="s">
        <v>2269</v>
      </c>
      <c r="C1311" s="43" t="n">
        <v>643.92</v>
      </c>
      <c r="D1311" s="27" t="n">
        <v>19.92</v>
      </c>
      <c r="E1311" s="27" t="n">
        <v>48</v>
      </c>
      <c r="F1311" s="27" t="n">
        <v>13.83</v>
      </c>
      <c r="G1311" s="27" t="s">
        <v>1875</v>
      </c>
      <c r="H1311" s="27" t="s">
        <v>2009</v>
      </c>
      <c r="I1311" s="27" t="s">
        <v>1876</v>
      </c>
      <c r="J1311" s="27" t="s">
        <v>2598</v>
      </c>
      <c r="K1311" s="27" t="n">
        <v>1482</v>
      </c>
      <c r="L1311" s="27" t="n">
        <v>710</v>
      </c>
      <c r="M1311" s="28" t="n">
        <f aca="false">IFERROR(VLOOKUP((OFFSET(hoje12_326_ana9,1310,10,1,1)&amp;"."&amp;OFFSET(hoje12_326_ana9,1310,11,1,1)),'12.326'!A:D,4,0),"-")</f>
        <v>5027616000170</v>
      </c>
    </row>
    <row r="1312" customFormat="false" ht="14.4" hidden="false" customHeight="false" outlineLevel="0" collapsed="false">
      <c r="A1312" s="27" t="n">
        <v>11100111</v>
      </c>
      <c r="B1312" s="27" t="s">
        <v>2425</v>
      </c>
      <c r="C1312" s="43" t="n">
        <v>644.4</v>
      </c>
      <c r="D1312" s="27" t="n">
        <v>19.92</v>
      </c>
      <c r="E1312" s="27" t="n">
        <v>48</v>
      </c>
      <c r="F1312" s="27" t="n">
        <v>13.84</v>
      </c>
      <c r="G1312" s="27" t="s">
        <v>1875</v>
      </c>
      <c r="H1312" s="27" t="s">
        <v>2009</v>
      </c>
      <c r="I1312" s="27" t="s">
        <v>1876</v>
      </c>
      <c r="J1312" s="27" t="s">
        <v>2005</v>
      </c>
      <c r="K1312" s="27" t="n">
        <v>1482</v>
      </c>
      <c r="L1312" s="27" t="n">
        <v>710</v>
      </c>
      <c r="M1312" s="28" t="n">
        <f aca="false">IFERROR(VLOOKUP((OFFSET(hoje12_326_ana9,1311,10,1,1)&amp;"."&amp;OFFSET(hoje12_326_ana9,1311,11,1,1)),'12.326'!A:D,4,0),"-")</f>
        <v>5027616000170</v>
      </c>
    </row>
    <row r="1313" customFormat="false" ht="14.4" hidden="false" customHeight="false" outlineLevel="0" collapsed="false">
      <c r="A1313" s="27" t="n">
        <v>11100115</v>
      </c>
      <c r="B1313" s="27" t="s">
        <v>2599</v>
      </c>
      <c r="C1313" s="43" t="n">
        <v>644.4</v>
      </c>
      <c r="D1313" s="27" t="n">
        <v>19.92</v>
      </c>
      <c r="E1313" s="27" t="n">
        <v>48</v>
      </c>
      <c r="F1313" s="27" t="n">
        <v>13.84</v>
      </c>
      <c r="G1313" s="27" t="s">
        <v>1875</v>
      </c>
      <c r="H1313" s="27" t="s">
        <v>2009</v>
      </c>
      <c r="I1313" s="27" t="s">
        <v>1876</v>
      </c>
      <c r="J1313" s="27" t="s">
        <v>2005</v>
      </c>
      <c r="K1313" s="27" t="n">
        <v>1482</v>
      </c>
      <c r="L1313" s="27" t="n">
        <v>710</v>
      </c>
      <c r="M1313" s="28" t="n">
        <f aca="false">IFERROR(VLOOKUP((OFFSET(hoje12_326_ana9,1312,10,1,1)&amp;"."&amp;OFFSET(hoje12_326_ana9,1312,11,1,1)),'12.326'!A:D,4,0),"-")</f>
        <v>5027616000170</v>
      </c>
    </row>
    <row r="1314" customFormat="false" ht="14.4" hidden="false" customHeight="false" outlineLevel="0" collapsed="false">
      <c r="A1314" s="27" t="n">
        <v>11100116</v>
      </c>
      <c r="B1314" s="27" t="s">
        <v>2456</v>
      </c>
      <c r="C1314" s="43" t="n">
        <v>643.92</v>
      </c>
      <c r="D1314" s="27" t="n">
        <v>19.92</v>
      </c>
      <c r="E1314" s="27" t="n">
        <v>24</v>
      </c>
      <c r="F1314" s="27" t="n">
        <v>27.66</v>
      </c>
      <c r="G1314" s="27" t="s">
        <v>1875</v>
      </c>
      <c r="H1314" s="27" t="s">
        <v>2009</v>
      </c>
      <c r="I1314" s="27" t="s">
        <v>1876</v>
      </c>
      <c r="J1314" s="27" t="s">
        <v>2598</v>
      </c>
      <c r="K1314" s="27" t="n">
        <v>1482</v>
      </c>
      <c r="L1314" s="27" t="n">
        <v>710</v>
      </c>
      <c r="M1314" s="28" t="n">
        <f aca="false">IFERROR(VLOOKUP((OFFSET(hoje12_326_ana9,1313,10,1,1)&amp;"."&amp;OFFSET(hoje12_326_ana9,1313,11,1,1)),'12.326'!A:D,4,0),"-")</f>
        <v>5027616000170</v>
      </c>
    </row>
    <row r="1315" customFormat="false" ht="14.4" hidden="false" customHeight="false" outlineLevel="0" collapsed="false">
      <c r="A1315" s="27" t="n">
        <v>11100117</v>
      </c>
      <c r="B1315" s="27" t="s">
        <v>2048</v>
      </c>
      <c r="C1315" s="43" t="n">
        <v>686.78</v>
      </c>
      <c r="D1315" s="27" t="n">
        <v>21.22</v>
      </c>
      <c r="E1315" s="27" t="n">
        <v>48</v>
      </c>
      <c r="F1315" s="27" t="n">
        <v>14.75</v>
      </c>
      <c r="G1315" s="27" t="s">
        <v>1875</v>
      </c>
      <c r="H1315" s="27" t="s">
        <v>2009</v>
      </c>
      <c r="I1315" s="27" t="s">
        <v>1876</v>
      </c>
      <c r="J1315" s="27" t="s">
        <v>2600</v>
      </c>
      <c r="K1315" s="27" t="n">
        <v>1482</v>
      </c>
      <c r="L1315" s="27" t="n">
        <v>710</v>
      </c>
      <c r="M1315" s="28" t="n">
        <f aca="false">IFERROR(VLOOKUP((OFFSET(hoje12_326_ana9,1314,10,1,1)&amp;"."&amp;OFFSET(hoje12_326_ana9,1314,11,1,1)),'12.326'!A:D,4,0),"-")</f>
        <v>5027616000170</v>
      </c>
    </row>
    <row r="1316" customFormat="false" ht="14.4" hidden="false" customHeight="false" outlineLevel="0" collapsed="false">
      <c r="A1316" s="27" t="n">
        <v>11100120</v>
      </c>
      <c r="B1316" s="27" t="s">
        <v>2212</v>
      </c>
      <c r="C1316" s="43" t="n">
        <v>644.4</v>
      </c>
      <c r="D1316" s="27" t="n">
        <v>19.92</v>
      </c>
      <c r="E1316" s="27" t="n">
        <v>48</v>
      </c>
      <c r="F1316" s="27" t="n">
        <v>13.84</v>
      </c>
      <c r="G1316" s="27" t="s">
        <v>1875</v>
      </c>
      <c r="H1316" s="27" t="s">
        <v>2009</v>
      </c>
      <c r="I1316" s="27" t="s">
        <v>1876</v>
      </c>
      <c r="J1316" s="27" t="s">
        <v>2005</v>
      </c>
      <c r="K1316" s="27" t="n">
        <v>1482</v>
      </c>
      <c r="L1316" s="27" t="n">
        <v>710</v>
      </c>
      <c r="M1316" s="28" t="n">
        <f aca="false">IFERROR(VLOOKUP((OFFSET(hoje12_326_ana9,1315,10,1,1)&amp;"."&amp;OFFSET(hoje12_326_ana9,1315,11,1,1)),'12.326'!A:D,4,0),"-")</f>
        <v>5027616000170</v>
      </c>
    </row>
    <row r="1317" customFormat="false" ht="14.4" hidden="false" customHeight="false" outlineLevel="0" collapsed="false">
      <c r="A1317" s="27" t="n">
        <v>11100121</v>
      </c>
      <c r="B1317" s="27" t="s">
        <v>2213</v>
      </c>
      <c r="C1317" s="43" t="n">
        <v>823.63</v>
      </c>
      <c r="D1317" s="27" t="n">
        <v>25.49</v>
      </c>
      <c r="E1317" s="27" t="n">
        <v>48</v>
      </c>
      <c r="F1317" s="27" t="n">
        <v>17.69</v>
      </c>
      <c r="G1317" s="27" t="s">
        <v>1875</v>
      </c>
      <c r="H1317" s="27" t="s">
        <v>2009</v>
      </c>
      <c r="I1317" s="27" t="s">
        <v>1876</v>
      </c>
      <c r="J1317" s="27" t="s">
        <v>2601</v>
      </c>
      <c r="K1317" s="27" t="n">
        <v>1482</v>
      </c>
      <c r="L1317" s="27" t="n">
        <v>710</v>
      </c>
      <c r="M1317" s="28" t="n">
        <f aca="false">IFERROR(VLOOKUP((OFFSET(hoje12_326_ana9,1316,10,1,1)&amp;"."&amp;OFFSET(hoje12_326_ana9,1316,11,1,1)),'12.326'!A:D,4,0),"-")</f>
        <v>5027616000170</v>
      </c>
    </row>
    <row r="1318" customFormat="false" ht="14.4" hidden="false" customHeight="false" outlineLevel="0" collapsed="false">
      <c r="A1318" s="27" t="n">
        <v>11100126</v>
      </c>
      <c r="B1318" s="27" t="s">
        <v>2602</v>
      </c>
      <c r="C1318" s="43" t="n">
        <v>823.63</v>
      </c>
      <c r="D1318" s="27" t="n">
        <v>25.49</v>
      </c>
      <c r="E1318" s="27" t="n">
        <v>48</v>
      </c>
      <c r="F1318" s="27" t="n">
        <v>17.69</v>
      </c>
      <c r="G1318" s="27" t="s">
        <v>1875</v>
      </c>
      <c r="H1318" s="27" t="s">
        <v>2009</v>
      </c>
      <c r="I1318" s="27" t="s">
        <v>1876</v>
      </c>
      <c r="J1318" s="27" t="s">
        <v>2601</v>
      </c>
      <c r="K1318" s="27" t="n">
        <v>1482</v>
      </c>
      <c r="L1318" s="27" t="n">
        <v>710</v>
      </c>
      <c r="M1318" s="28" t="n">
        <f aca="false">IFERROR(VLOOKUP((OFFSET(hoje12_326_ana9,1317,10,1,1)&amp;"."&amp;OFFSET(hoje12_326_ana9,1317,11,1,1)),'12.326'!A:D,4,0),"-")</f>
        <v>5027616000170</v>
      </c>
    </row>
    <row r="1319" customFormat="false" ht="14.4" hidden="false" customHeight="false" outlineLevel="0" collapsed="false">
      <c r="A1319" s="27" t="n">
        <v>11100140</v>
      </c>
      <c r="B1319" s="27" t="s">
        <v>2459</v>
      </c>
      <c r="C1319" s="43" t="n">
        <v>705.31</v>
      </c>
      <c r="D1319" s="27" t="n">
        <v>21.89</v>
      </c>
      <c r="E1319" s="27" t="n">
        <v>144</v>
      </c>
      <c r="F1319" s="27" t="n">
        <v>5.05</v>
      </c>
      <c r="G1319" s="27" t="s">
        <v>1875</v>
      </c>
      <c r="H1319" s="27" t="s">
        <v>2009</v>
      </c>
      <c r="I1319" s="27" t="s">
        <v>1876</v>
      </c>
      <c r="J1319" s="27" t="s">
        <v>2603</v>
      </c>
      <c r="K1319" s="27" t="n">
        <v>1482</v>
      </c>
      <c r="L1319" s="27" t="n">
        <v>710</v>
      </c>
      <c r="M1319" s="28" t="n">
        <f aca="false">IFERROR(VLOOKUP((OFFSET(hoje12_326_ana9,1318,10,1,1)&amp;"."&amp;OFFSET(hoje12_326_ana9,1318,11,1,1)),'12.326'!A:D,4,0),"-")</f>
        <v>5027616000170</v>
      </c>
    </row>
    <row r="1320" customFormat="false" ht="14.4" hidden="false" customHeight="false" outlineLevel="0" collapsed="false">
      <c r="A1320" s="27" t="n">
        <v>11100146</v>
      </c>
      <c r="B1320" s="27" t="s">
        <v>1907</v>
      </c>
      <c r="C1320" s="43" t="n">
        <v>604.15</v>
      </c>
      <c r="D1320" s="27" t="n">
        <v>18.65</v>
      </c>
      <c r="E1320" s="27" t="n">
        <v>72</v>
      </c>
      <c r="F1320" s="27" t="n">
        <v>8.65</v>
      </c>
      <c r="G1320" s="27" t="s">
        <v>1875</v>
      </c>
      <c r="H1320" s="27" t="s">
        <v>2009</v>
      </c>
      <c r="I1320" s="27" t="s">
        <v>1876</v>
      </c>
      <c r="J1320" s="27" t="s">
        <v>2604</v>
      </c>
      <c r="K1320" s="27" t="n">
        <v>1482</v>
      </c>
      <c r="L1320" s="27" t="n">
        <v>710</v>
      </c>
      <c r="M1320" s="28" t="n">
        <f aca="false">IFERROR(VLOOKUP((OFFSET(hoje12_326_ana9,1319,10,1,1)&amp;"."&amp;OFFSET(hoje12_326_ana9,1319,11,1,1)),'12.326'!A:D,4,0),"-")</f>
        <v>5027616000170</v>
      </c>
    </row>
    <row r="1321" customFormat="false" ht="14.4" hidden="false" customHeight="false" outlineLevel="0" collapsed="false">
      <c r="A1321" s="27" t="n">
        <v>11100203</v>
      </c>
      <c r="B1321" s="27" t="s">
        <v>2605</v>
      </c>
      <c r="C1321" s="43" t="n">
        <v>361.08</v>
      </c>
      <c r="D1321" s="27" t="n">
        <v>11.16</v>
      </c>
      <c r="E1321" s="27" t="n">
        <v>36</v>
      </c>
      <c r="F1321" s="27" t="n">
        <v>10.34</v>
      </c>
      <c r="G1321" s="27" t="s">
        <v>1875</v>
      </c>
      <c r="H1321" s="27" t="s">
        <v>2009</v>
      </c>
      <c r="I1321" s="27" t="s">
        <v>1876</v>
      </c>
      <c r="J1321" s="27" t="s">
        <v>2606</v>
      </c>
      <c r="K1321" s="27" t="n">
        <v>1482</v>
      </c>
      <c r="L1321" s="27" t="n">
        <v>710</v>
      </c>
      <c r="M1321" s="28" t="n">
        <f aca="false">IFERROR(VLOOKUP((OFFSET(hoje12_326_ana9,1320,10,1,1)&amp;"."&amp;OFFSET(hoje12_326_ana9,1320,11,1,1)),'12.326'!A:D,4,0),"-")</f>
        <v>5027616000170</v>
      </c>
    </row>
    <row r="1322" customFormat="false" ht="14.4" hidden="false" customHeight="false" outlineLevel="0" collapsed="false">
      <c r="A1322" s="27" t="n">
        <v>11100214</v>
      </c>
      <c r="B1322" s="27" t="s">
        <v>1922</v>
      </c>
      <c r="C1322" s="43" t="n">
        <v>1596.67</v>
      </c>
      <c r="D1322" s="27" t="n">
        <v>49.25</v>
      </c>
      <c r="E1322" s="27" t="n">
        <v>432</v>
      </c>
      <c r="F1322" s="27" t="n">
        <v>3.81</v>
      </c>
      <c r="G1322" s="27" t="s">
        <v>1875</v>
      </c>
      <c r="H1322" s="27" t="s">
        <v>2009</v>
      </c>
      <c r="I1322" s="27" t="s">
        <v>1876</v>
      </c>
      <c r="J1322" s="27" t="s">
        <v>2607</v>
      </c>
      <c r="K1322" s="27" t="n">
        <v>1482</v>
      </c>
      <c r="L1322" s="27" t="n">
        <v>710</v>
      </c>
      <c r="M1322" s="28" t="n">
        <f aca="false">IFERROR(VLOOKUP((OFFSET(hoje12_326_ana9,1321,10,1,1)&amp;"."&amp;OFFSET(hoje12_326_ana9,1321,11,1,1)),'12.326'!A:D,4,0),"-")</f>
        <v>5027616000170</v>
      </c>
    </row>
    <row r="1323" customFormat="false" ht="14.4" hidden="false" customHeight="false" outlineLevel="0" collapsed="false">
      <c r="A1323" s="27" t="n">
        <v>11100239</v>
      </c>
      <c r="B1323" s="27" t="s">
        <v>1924</v>
      </c>
      <c r="C1323" s="43" t="n">
        <v>315</v>
      </c>
      <c r="D1323" s="27" t="n">
        <v>9.72</v>
      </c>
      <c r="E1323" s="27" t="n">
        <v>72</v>
      </c>
      <c r="F1323" s="27" t="n">
        <v>4.51</v>
      </c>
      <c r="G1323" s="27" t="s">
        <v>1875</v>
      </c>
      <c r="H1323" s="27" t="s">
        <v>2009</v>
      </c>
      <c r="I1323" s="27" t="s">
        <v>1876</v>
      </c>
      <c r="J1323" s="27" t="s">
        <v>2608</v>
      </c>
      <c r="K1323" s="27" t="n">
        <v>1482</v>
      </c>
      <c r="L1323" s="27" t="n">
        <v>710</v>
      </c>
      <c r="M1323" s="28" t="n">
        <f aca="false">IFERROR(VLOOKUP((OFFSET(hoje12_326_ana9,1322,10,1,1)&amp;"."&amp;OFFSET(hoje12_326_ana9,1322,11,1,1)),'12.326'!A:D,4,0),"-")</f>
        <v>5027616000170</v>
      </c>
    </row>
    <row r="1324" customFormat="false" ht="14.4" hidden="false" customHeight="false" outlineLevel="0" collapsed="false">
      <c r="A1324" s="27" t="n">
        <v>11100250</v>
      </c>
      <c r="B1324" s="27" t="s">
        <v>2283</v>
      </c>
      <c r="C1324" s="43" t="n">
        <v>372.24</v>
      </c>
      <c r="D1324" s="27" t="n">
        <v>11.52</v>
      </c>
      <c r="E1324" s="27" t="n">
        <v>72</v>
      </c>
      <c r="F1324" s="27" t="n">
        <v>5.33</v>
      </c>
      <c r="G1324" s="27" t="s">
        <v>1875</v>
      </c>
      <c r="H1324" s="27" t="s">
        <v>2009</v>
      </c>
      <c r="I1324" s="27" t="s">
        <v>1876</v>
      </c>
      <c r="J1324" s="27" t="s">
        <v>2609</v>
      </c>
      <c r="K1324" s="27" t="n">
        <v>1482</v>
      </c>
      <c r="L1324" s="27" t="n">
        <v>710</v>
      </c>
      <c r="M1324" s="28" t="n">
        <f aca="false">IFERROR(VLOOKUP((OFFSET(hoje12_326_ana9,1323,10,1,1)&amp;"."&amp;OFFSET(hoje12_326_ana9,1323,11,1,1)),'12.326'!A:D,4,0),"-")</f>
        <v>5027616000170</v>
      </c>
    </row>
    <row r="1325" customFormat="false" ht="14.4" hidden="false" customHeight="false" outlineLevel="0" collapsed="false">
      <c r="A1325" s="27" t="n">
        <v>11100303</v>
      </c>
      <c r="B1325" s="27" t="s">
        <v>2610</v>
      </c>
      <c r="C1325" s="43" t="n">
        <v>234.66</v>
      </c>
      <c r="D1325" s="27" t="n">
        <v>7.26</v>
      </c>
      <c r="E1325" s="27" t="n">
        <v>12</v>
      </c>
      <c r="F1325" s="27" t="n">
        <v>20.16</v>
      </c>
      <c r="G1325" s="27" t="s">
        <v>1875</v>
      </c>
      <c r="H1325" s="27" t="s">
        <v>2009</v>
      </c>
      <c r="I1325" s="27" t="s">
        <v>1876</v>
      </c>
      <c r="J1325" s="27" t="s">
        <v>2611</v>
      </c>
      <c r="K1325" s="27" t="n">
        <v>1482</v>
      </c>
      <c r="L1325" s="27" t="n">
        <v>710</v>
      </c>
      <c r="M1325" s="28" t="n">
        <f aca="false">IFERROR(VLOOKUP((OFFSET(hoje12_326_ana9,1324,10,1,1)&amp;"."&amp;OFFSET(hoje12_326_ana9,1324,11,1,1)),'12.326'!A:D,4,0),"-")</f>
        <v>5027616000170</v>
      </c>
    </row>
    <row r="1326" customFormat="false" ht="14.4" hidden="false" customHeight="false" outlineLevel="0" collapsed="false">
      <c r="A1326" s="27" t="n">
        <v>11100318</v>
      </c>
      <c r="B1326" s="27" t="s">
        <v>1938</v>
      </c>
      <c r="C1326" s="43" t="n">
        <v>50.52</v>
      </c>
      <c r="D1326" s="27" t="n">
        <v>1.56</v>
      </c>
      <c r="E1326" s="27" t="n">
        <v>12</v>
      </c>
      <c r="F1326" s="27" t="n">
        <v>4.34</v>
      </c>
      <c r="G1326" s="27" t="s">
        <v>1875</v>
      </c>
      <c r="H1326" s="27" t="s">
        <v>2009</v>
      </c>
      <c r="I1326" s="27" t="s">
        <v>1876</v>
      </c>
      <c r="J1326" s="27" t="s">
        <v>2612</v>
      </c>
      <c r="K1326" s="27" t="n">
        <v>1482</v>
      </c>
      <c r="L1326" s="27" t="n">
        <v>710</v>
      </c>
      <c r="M1326" s="28" t="n">
        <f aca="false">IFERROR(VLOOKUP((OFFSET(hoje12_326_ana9,1325,10,1,1)&amp;"."&amp;OFFSET(hoje12_326_ana9,1325,11,1,1)),'12.326'!A:D,4,0),"-")</f>
        <v>5027616000170</v>
      </c>
    </row>
    <row r="1327" customFormat="false" ht="14.4" hidden="false" customHeight="false" outlineLevel="0" collapsed="false">
      <c r="A1327" s="27" t="n">
        <v>11100322</v>
      </c>
      <c r="B1327" s="27" t="s">
        <v>2284</v>
      </c>
      <c r="C1327" s="43" t="n">
        <v>173.66</v>
      </c>
      <c r="D1327" s="27" t="n">
        <v>5.38</v>
      </c>
      <c r="E1327" s="27" t="n">
        <v>48</v>
      </c>
      <c r="F1327" s="27" t="n">
        <v>3.73</v>
      </c>
      <c r="G1327" s="27" t="s">
        <v>1875</v>
      </c>
      <c r="H1327" s="27" t="s">
        <v>2009</v>
      </c>
      <c r="I1327" s="27" t="s">
        <v>1876</v>
      </c>
      <c r="J1327" s="27" t="s">
        <v>2440</v>
      </c>
      <c r="K1327" s="27" t="n">
        <v>1482</v>
      </c>
      <c r="L1327" s="27" t="n">
        <v>710</v>
      </c>
      <c r="M1327" s="28" t="n">
        <f aca="false">IFERROR(VLOOKUP((OFFSET(hoje12_326_ana9,1326,10,1,1)&amp;"."&amp;OFFSET(hoje12_326_ana9,1326,11,1,1)),'12.326'!A:D,4,0),"-")</f>
        <v>5027616000170</v>
      </c>
    </row>
    <row r="1328" customFormat="false" ht="14.4" hidden="false" customHeight="false" outlineLevel="0" collapsed="false">
      <c r="A1328" s="27" t="n">
        <v>11100329</v>
      </c>
      <c r="B1328" s="27" t="s">
        <v>2454</v>
      </c>
      <c r="C1328" s="43" t="n">
        <v>214.76</v>
      </c>
      <c r="D1328" s="27" t="n">
        <v>6.64</v>
      </c>
      <c r="E1328" s="27" t="n">
        <v>12</v>
      </c>
      <c r="F1328" s="27" t="n">
        <v>18.45</v>
      </c>
      <c r="G1328" s="27" t="s">
        <v>1875</v>
      </c>
      <c r="H1328" s="27" t="s">
        <v>2009</v>
      </c>
      <c r="I1328" s="27" t="s">
        <v>1876</v>
      </c>
      <c r="J1328" s="27" t="s">
        <v>2613</v>
      </c>
      <c r="K1328" s="27" t="n">
        <v>1482</v>
      </c>
      <c r="L1328" s="27" t="n">
        <v>710</v>
      </c>
      <c r="M1328" s="28" t="n">
        <f aca="false">IFERROR(VLOOKUP((OFFSET(hoje12_326_ana9,1327,10,1,1)&amp;"."&amp;OFFSET(hoje12_326_ana9,1327,11,1,1)),'12.326'!A:D,4,0),"-")</f>
        <v>5027616000170</v>
      </c>
    </row>
    <row r="1329" customFormat="false" ht="14.4" hidden="false" customHeight="false" outlineLevel="0" collapsed="false">
      <c r="A1329" s="27" t="n">
        <v>11100334</v>
      </c>
      <c r="B1329" s="27" t="s">
        <v>2614</v>
      </c>
      <c r="C1329" s="43" t="n">
        <v>333.48</v>
      </c>
      <c r="D1329" s="27" t="n">
        <v>10.32</v>
      </c>
      <c r="E1329" s="27" t="n">
        <v>12</v>
      </c>
      <c r="F1329" s="27" t="n">
        <v>28.65</v>
      </c>
      <c r="G1329" s="27" t="s">
        <v>1875</v>
      </c>
      <c r="H1329" s="27" t="s">
        <v>2009</v>
      </c>
      <c r="I1329" s="27" t="s">
        <v>1876</v>
      </c>
      <c r="J1329" s="27" t="s">
        <v>2615</v>
      </c>
      <c r="K1329" s="27" t="n">
        <v>1482</v>
      </c>
      <c r="L1329" s="27" t="n">
        <v>710</v>
      </c>
      <c r="M1329" s="28" t="n">
        <f aca="false">IFERROR(VLOOKUP((OFFSET(hoje12_326_ana9,1328,10,1,1)&amp;"."&amp;OFFSET(hoje12_326_ana9,1328,11,1,1)),'12.326'!A:D,4,0),"-")</f>
        <v>5027616000170</v>
      </c>
    </row>
    <row r="1330" customFormat="false" ht="14.4" hidden="false" customHeight="false" outlineLevel="0" collapsed="false">
      <c r="A1330" s="27" t="n">
        <v>11100337</v>
      </c>
      <c r="B1330" s="27" t="s">
        <v>1940</v>
      </c>
      <c r="C1330" s="43" t="n">
        <v>169.6</v>
      </c>
      <c r="D1330" s="27" t="n">
        <v>5.24</v>
      </c>
      <c r="E1330" s="27" t="n">
        <v>12</v>
      </c>
      <c r="F1330" s="27" t="n">
        <v>14.57</v>
      </c>
      <c r="G1330" s="27" t="s">
        <v>1875</v>
      </c>
      <c r="H1330" s="27" t="s">
        <v>2009</v>
      </c>
      <c r="I1330" s="27" t="s">
        <v>1876</v>
      </c>
      <c r="J1330" s="27" t="s">
        <v>2616</v>
      </c>
      <c r="K1330" s="27" t="n">
        <v>1482</v>
      </c>
      <c r="L1330" s="27" t="n">
        <v>710</v>
      </c>
      <c r="M1330" s="28" t="n">
        <f aca="false">IFERROR(VLOOKUP((OFFSET(hoje12_326_ana9,1329,10,1,1)&amp;"."&amp;OFFSET(hoje12_326_ana9,1329,11,1,1)),'12.326'!A:D,4,0),"-")</f>
        <v>5027616000170</v>
      </c>
    </row>
    <row r="1331" customFormat="false" ht="14.4" hidden="false" customHeight="false" outlineLevel="0" collapsed="false">
      <c r="A1331" s="27" t="n">
        <v>11100351</v>
      </c>
      <c r="B1331" s="27" t="s">
        <v>2222</v>
      </c>
      <c r="C1331" s="43" t="n">
        <v>128.51</v>
      </c>
      <c r="D1331" s="27" t="n">
        <v>3.97</v>
      </c>
      <c r="E1331" s="27" t="n">
        <v>12</v>
      </c>
      <c r="F1331" s="27" t="n">
        <v>11.04</v>
      </c>
      <c r="G1331" s="27" t="s">
        <v>1875</v>
      </c>
      <c r="H1331" s="27" t="s">
        <v>2009</v>
      </c>
      <c r="I1331" s="27" t="s">
        <v>1876</v>
      </c>
      <c r="J1331" s="27" t="s">
        <v>2617</v>
      </c>
      <c r="K1331" s="27" t="n">
        <v>1482</v>
      </c>
      <c r="L1331" s="27" t="n">
        <v>710</v>
      </c>
      <c r="M1331" s="28" t="n">
        <f aca="false">IFERROR(VLOOKUP((OFFSET(hoje12_326_ana9,1330,10,1,1)&amp;"."&amp;OFFSET(hoje12_326_ana9,1330,11,1,1)),'12.326'!A:D,4,0),"-")</f>
        <v>5027616000170</v>
      </c>
    </row>
    <row r="1332" customFormat="false" ht="14.4" hidden="false" customHeight="false" outlineLevel="0" collapsed="false">
      <c r="A1332" s="27" t="n">
        <v>11100363</v>
      </c>
      <c r="B1332" s="27" t="s">
        <v>2286</v>
      </c>
      <c r="C1332" s="43" t="n">
        <v>119.42</v>
      </c>
      <c r="D1332" s="27" t="n">
        <v>3.7</v>
      </c>
      <c r="E1332" s="27" t="n">
        <v>24</v>
      </c>
      <c r="F1332" s="27" t="n">
        <v>5.13</v>
      </c>
      <c r="G1332" s="27" t="s">
        <v>1875</v>
      </c>
      <c r="H1332" s="27" t="s">
        <v>2009</v>
      </c>
      <c r="I1332" s="27" t="s">
        <v>1876</v>
      </c>
      <c r="J1332" s="27" t="s">
        <v>2618</v>
      </c>
      <c r="K1332" s="27" t="n">
        <v>1482</v>
      </c>
      <c r="L1332" s="27" t="n">
        <v>710</v>
      </c>
      <c r="M1332" s="28" t="n">
        <f aca="false">IFERROR(VLOOKUP((OFFSET(hoje12_326_ana9,1331,10,1,1)&amp;"."&amp;OFFSET(hoje12_326_ana9,1331,11,1,1)),'12.326'!A:D,4,0),"-")</f>
        <v>5027616000170</v>
      </c>
    </row>
    <row r="1333" customFormat="false" ht="14.4" hidden="false" customHeight="false" outlineLevel="0" collapsed="false">
      <c r="A1333" s="27" t="n">
        <v>11100366</v>
      </c>
      <c r="B1333" s="27" t="s">
        <v>1943</v>
      </c>
      <c r="C1333" s="43" t="n">
        <v>255.26</v>
      </c>
      <c r="D1333" s="27" t="n">
        <v>7.9</v>
      </c>
      <c r="E1333" s="27" t="n">
        <v>18</v>
      </c>
      <c r="F1333" s="27" t="n">
        <v>14.62</v>
      </c>
      <c r="G1333" s="27" t="s">
        <v>1875</v>
      </c>
      <c r="H1333" s="27" t="s">
        <v>2009</v>
      </c>
      <c r="I1333" s="27" t="s">
        <v>1876</v>
      </c>
      <c r="J1333" s="27" t="s">
        <v>2478</v>
      </c>
      <c r="K1333" s="27" t="n">
        <v>1482</v>
      </c>
      <c r="L1333" s="27" t="n">
        <v>710</v>
      </c>
      <c r="M1333" s="28" t="n">
        <f aca="false">IFERROR(VLOOKUP((OFFSET(hoje12_326_ana9,1332,10,1,1)&amp;"."&amp;OFFSET(hoje12_326_ana9,1332,11,1,1)),'12.326'!A:D,4,0),"-")</f>
        <v>5027616000170</v>
      </c>
    </row>
    <row r="1334" customFormat="false" ht="14.4" hidden="false" customHeight="false" outlineLevel="0" collapsed="false">
      <c r="A1334" s="27" t="n">
        <v>11100370</v>
      </c>
      <c r="B1334" s="27" t="s">
        <v>2434</v>
      </c>
      <c r="C1334" s="43" t="n">
        <v>100.33</v>
      </c>
      <c r="D1334" s="27" t="n">
        <v>3.11</v>
      </c>
      <c r="E1334" s="27" t="n">
        <v>12</v>
      </c>
      <c r="F1334" s="27" t="n">
        <v>8.62</v>
      </c>
      <c r="G1334" s="27" t="s">
        <v>1875</v>
      </c>
      <c r="H1334" s="27" t="s">
        <v>2009</v>
      </c>
      <c r="I1334" s="27" t="s">
        <v>1876</v>
      </c>
      <c r="J1334" s="27" t="s">
        <v>2619</v>
      </c>
      <c r="K1334" s="27" t="n">
        <v>1482</v>
      </c>
      <c r="L1334" s="27" t="n">
        <v>710</v>
      </c>
      <c r="M1334" s="28" t="n">
        <f aca="false">IFERROR(VLOOKUP((OFFSET(hoje12_326_ana9,1333,10,1,1)&amp;"."&amp;OFFSET(hoje12_326_ana9,1333,11,1,1)),'12.326'!A:D,4,0),"-")</f>
        <v>5027616000170</v>
      </c>
    </row>
    <row r="1335" customFormat="false" ht="14.4" hidden="false" customHeight="false" outlineLevel="0" collapsed="false">
      <c r="A1335" s="27" t="n">
        <v>11100390</v>
      </c>
      <c r="B1335" s="27" t="s">
        <v>2620</v>
      </c>
      <c r="C1335" s="43" t="n">
        <v>206.96</v>
      </c>
      <c r="D1335" s="27" t="n">
        <v>6.4</v>
      </c>
      <c r="E1335" s="27" t="n">
        <v>12</v>
      </c>
      <c r="F1335" s="27" t="n">
        <v>17.78</v>
      </c>
      <c r="G1335" s="27" t="s">
        <v>1875</v>
      </c>
      <c r="H1335" s="27" t="s">
        <v>2009</v>
      </c>
      <c r="I1335" s="27" t="s">
        <v>1876</v>
      </c>
      <c r="J1335" s="27" t="s">
        <v>2621</v>
      </c>
      <c r="K1335" s="27" t="n">
        <v>1482</v>
      </c>
      <c r="L1335" s="27" t="n">
        <v>710</v>
      </c>
      <c r="M1335" s="28" t="n">
        <f aca="false">IFERROR(VLOOKUP((OFFSET(hoje12_326_ana9,1334,10,1,1)&amp;"."&amp;OFFSET(hoje12_326_ana9,1334,11,1,1)),'12.326'!A:D,4,0),"-")</f>
        <v>5027616000170</v>
      </c>
    </row>
    <row r="1336" customFormat="false" ht="14.4" hidden="false" customHeight="false" outlineLevel="0" collapsed="false">
      <c r="A1336" s="27" t="n">
        <v>11100435</v>
      </c>
      <c r="B1336" s="27" t="s">
        <v>2225</v>
      </c>
      <c r="C1336" s="43" t="n">
        <v>136.66</v>
      </c>
      <c r="D1336" s="27" t="n">
        <v>4.22</v>
      </c>
      <c r="E1336" s="27" t="n">
        <v>12</v>
      </c>
      <c r="F1336" s="27" t="n">
        <v>11.74</v>
      </c>
      <c r="G1336" s="27" t="s">
        <v>1875</v>
      </c>
      <c r="H1336" s="27" t="s">
        <v>2009</v>
      </c>
      <c r="I1336" s="27" t="s">
        <v>1876</v>
      </c>
      <c r="J1336" s="27" t="s">
        <v>2622</v>
      </c>
      <c r="K1336" s="27" t="n">
        <v>1482</v>
      </c>
      <c r="L1336" s="27" t="n">
        <v>710</v>
      </c>
      <c r="M1336" s="28" t="n">
        <f aca="false">IFERROR(VLOOKUP((OFFSET(hoje12_326_ana9,1335,10,1,1)&amp;"."&amp;OFFSET(hoje12_326_ana9,1335,11,1,1)),'12.326'!A:D,4,0),"-")</f>
        <v>5027616000170</v>
      </c>
    </row>
    <row r="1337" customFormat="false" ht="14.4" hidden="false" customHeight="false" outlineLevel="0" collapsed="false">
      <c r="A1337" s="27" t="n">
        <v>11100436</v>
      </c>
      <c r="B1337" s="27" t="s">
        <v>2226</v>
      </c>
      <c r="C1337" s="43" t="n">
        <v>136.66</v>
      </c>
      <c r="D1337" s="27" t="n">
        <v>4.22</v>
      </c>
      <c r="E1337" s="27" t="n">
        <v>12</v>
      </c>
      <c r="F1337" s="27" t="n">
        <v>11.74</v>
      </c>
      <c r="G1337" s="27" t="s">
        <v>1875</v>
      </c>
      <c r="H1337" s="27" t="s">
        <v>2009</v>
      </c>
      <c r="I1337" s="27" t="s">
        <v>1876</v>
      </c>
      <c r="J1337" s="27" t="s">
        <v>2622</v>
      </c>
      <c r="K1337" s="27" t="n">
        <v>1482</v>
      </c>
      <c r="L1337" s="27" t="n">
        <v>710</v>
      </c>
      <c r="M1337" s="28" t="n">
        <f aca="false">IFERROR(VLOOKUP((OFFSET(hoje12_326_ana9,1336,10,1,1)&amp;"."&amp;OFFSET(hoje12_326_ana9,1336,11,1,1)),'12.326'!A:D,4,0),"-")</f>
        <v>5027616000170</v>
      </c>
    </row>
    <row r="1338" customFormat="false" ht="14.4" hidden="false" customHeight="false" outlineLevel="0" collapsed="false">
      <c r="A1338" s="27" t="n">
        <v>11100445</v>
      </c>
      <c r="B1338" s="27" t="s">
        <v>2085</v>
      </c>
      <c r="C1338" s="43" t="n">
        <v>540.58</v>
      </c>
      <c r="D1338" s="27" t="n">
        <v>16.7</v>
      </c>
      <c r="E1338" s="27" t="n">
        <v>48</v>
      </c>
      <c r="F1338" s="27" t="n">
        <v>11.61</v>
      </c>
      <c r="G1338" s="27" t="s">
        <v>1875</v>
      </c>
      <c r="H1338" s="27" t="s">
        <v>2009</v>
      </c>
      <c r="I1338" s="27" t="s">
        <v>1876</v>
      </c>
      <c r="J1338" s="27" t="s">
        <v>2623</v>
      </c>
      <c r="K1338" s="27" t="n">
        <v>1482</v>
      </c>
      <c r="L1338" s="27" t="n">
        <v>710</v>
      </c>
      <c r="M1338" s="28" t="n">
        <f aca="false">IFERROR(VLOOKUP((OFFSET(hoje12_326_ana9,1337,10,1,1)&amp;"."&amp;OFFSET(hoje12_326_ana9,1337,11,1,1)),'12.326'!A:D,4,0),"-")</f>
        <v>5027616000170</v>
      </c>
    </row>
    <row r="1339" customFormat="false" ht="14.4" hidden="false" customHeight="false" outlineLevel="0" collapsed="false">
      <c r="A1339" s="27" t="n">
        <v>11100446</v>
      </c>
      <c r="B1339" s="27" t="s">
        <v>2624</v>
      </c>
      <c r="C1339" s="43" t="n">
        <v>441.62</v>
      </c>
      <c r="D1339" s="27" t="n">
        <v>13.66</v>
      </c>
      <c r="E1339" s="27" t="n">
        <v>24</v>
      </c>
      <c r="F1339" s="27" t="n">
        <v>18.97</v>
      </c>
      <c r="G1339" s="27" t="s">
        <v>1875</v>
      </c>
      <c r="H1339" s="27" t="s">
        <v>2009</v>
      </c>
      <c r="I1339" s="27" t="s">
        <v>2625</v>
      </c>
      <c r="J1339" s="27" t="s">
        <v>1877</v>
      </c>
      <c r="K1339" s="27" t="n">
        <v>1482</v>
      </c>
      <c r="L1339" s="27" t="n">
        <v>710</v>
      </c>
      <c r="M1339" s="28" t="n">
        <f aca="false">IFERROR(VLOOKUP((OFFSET(hoje12_326_ana9,1338,10,1,1)&amp;"."&amp;OFFSET(hoje12_326_ana9,1338,11,1,1)),'12.326'!A:D,4,0),"-")</f>
        <v>5027616000170</v>
      </c>
    </row>
    <row r="1340" customFormat="false" ht="14.4" hidden="false" customHeight="false" outlineLevel="0" collapsed="false">
      <c r="A1340" s="27" t="n">
        <v>11100448</v>
      </c>
      <c r="B1340" s="27" t="s">
        <v>2230</v>
      </c>
      <c r="C1340" s="43" t="n">
        <v>540.58</v>
      </c>
      <c r="D1340" s="27" t="n">
        <v>16.7</v>
      </c>
      <c r="E1340" s="27" t="n">
        <v>48</v>
      </c>
      <c r="F1340" s="27" t="n">
        <v>11.61</v>
      </c>
      <c r="G1340" s="27" t="s">
        <v>1875</v>
      </c>
      <c r="H1340" s="27" t="s">
        <v>2009</v>
      </c>
      <c r="I1340" s="27" t="s">
        <v>1876</v>
      </c>
      <c r="J1340" s="27" t="s">
        <v>2623</v>
      </c>
      <c r="K1340" s="27" t="n">
        <v>1482</v>
      </c>
      <c r="L1340" s="27" t="n">
        <v>710</v>
      </c>
      <c r="M1340" s="28" t="n">
        <f aca="false">IFERROR(VLOOKUP((OFFSET(hoje12_326_ana9,1339,10,1,1)&amp;"."&amp;OFFSET(hoje12_326_ana9,1339,11,1,1)),'12.326'!A:D,4,0),"-")</f>
        <v>5027616000170</v>
      </c>
    </row>
    <row r="1341" customFormat="false" ht="14.4" hidden="false" customHeight="false" outlineLevel="0" collapsed="false">
      <c r="A1341" s="27" t="n">
        <v>11100449</v>
      </c>
      <c r="B1341" s="27" t="s">
        <v>2626</v>
      </c>
      <c r="C1341" s="43" t="n">
        <v>441.62</v>
      </c>
      <c r="D1341" s="27" t="n">
        <v>13.66</v>
      </c>
      <c r="E1341" s="27" t="n">
        <v>24</v>
      </c>
      <c r="F1341" s="27" t="n">
        <v>18.97</v>
      </c>
      <c r="G1341" s="27" t="s">
        <v>1875</v>
      </c>
      <c r="H1341" s="27" t="s">
        <v>2009</v>
      </c>
      <c r="I1341" s="27" t="s">
        <v>1876</v>
      </c>
      <c r="J1341" s="27" t="s">
        <v>2627</v>
      </c>
      <c r="K1341" s="27" t="n">
        <v>1482</v>
      </c>
      <c r="L1341" s="27" t="n">
        <v>710</v>
      </c>
      <c r="M1341" s="28" t="n">
        <f aca="false">IFERROR(VLOOKUP((OFFSET(hoje12_326_ana9,1340,10,1,1)&amp;"."&amp;OFFSET(hoje12_326_ana9,1340,11,1,1)),'12.326'!A:D,4,0),"-")</f>
        <v>5027616000170</v>
      </c>
    </row>
    <row r="1342" customFormat="false" ht="14.4" hidden="false" customHeight="false" outlineLevel="0" collapsed="false">
      <c r="A1342" s="27" t="n">
        <v>11100450</v>
      </c>
      <c r="B1342" s="27" t="s">
        <v>2628</v>
      </c>
      <c r="C1342" s="43" t="n">
        <v>657.22</v>
      </c>
      <c r="D1342" s="27" t="n">
        <v>20.3</v>
      </c>
      <c r="E1342" s="27" t="n">
        <v>72</v>
      </c>
      <c r="F1342" s="27" t="n">
        <v>9.41</v>
      </c>
      <c r="G1342" s="27" t="s">
        <v>1875</v>
      </c>
      <c r="H1342" s="27" t="s">
        <v>2009</v>
      </c>
      <c r="I1342" s="27" t="s">
        <v>1876</v>
      </c>
      <c r="J1342" s="27" t="s">
        <v>2629</v>
      </c>
      <c r="K1342" s="27" t="n">
        <v>1482</v>
      </c>
      <c r="L1342" s="27" t="n">
        <v>710</v>
      </c>
      <c r="M1342" s="28" t="n">
        <f aca="false">IFERROR(VLOOKUP((OFFSET(hoje12_326_ana9,1341,10,1,1)&amp;"."&amp;OFFSET(hoje12_326_ana9,1341,11,1,1)),'12.326'!A:D,4,0),"-")</f>
        <v>5027616000170</v>
      </c>
    </row>
    <row r="1343" customFormat="false" ht="14.4" hidden="false" customHeight="false" outlineLevel="0" collapsed="false">
      <c r="A1343" s="27" t="n">
        <v>11100452</v>
      </c>
      <c r="B1343" s="27" t="s">
        <v>2630</v>
      </c>
      <c r="C1343" s="43" t="n">
        <v>222.44</v>
      </c>
      <c r="D1343" s="27" t="n">
        <v>6.88</v>
      </c>
      <c r="E1343" s="27" t="n">
        <v>12</v>
      </c>
      <c r="F1343" s="27" t="n">
        <v>19.11</v>
      </c>
      <c r="G1343" s="27" t="s">
        <v>1875</v>
      </c>
      <c r="H1343" s="27" t="s">
        <v>2009</v>
      </c>
      <c r="I1343" s="27" t="s">
        <v>1876</v>
      </c>
      <c r="J1343" s="27" t="s">
        <v>2631</v>
      </c>
      <c r="K1343" s="27" t="n">
        <v>1482</v>
      </c>
      <c r="L1343" s="27" t="n">
        <v>710</v>
      </c>
      <c r="M1343" s="28" t="n">
        <f aca="false">IFERROR(VLOOKUP((OFFSET(hoje12_326_ana9,1342,10,1,1)&amp;"."&amp;OFFSET(hoje12_326_ana9,1342,11,1,1)),'12.326'!A:D,4,0),"-")</f>
        <v>5027616000170</v>
      </c>
    </row>
    <row r="1344" customFormat="false" ht="14.4" hidden="false" customHeight="false" outlineLevel="0" collapsed="false">
      <c r="A1344" s="27" t="n">
        <v>11100453</v>
      </c>
      <c r="B1344" s="27" t="s">
        <v>2632</v>
      </c>
      <c r="C1344" s="43" t="n">
        <v>145.15</v>
      </c>
      <c r="D1344" s="27" t="n">
        <v>4.49</v>
      </c>
      <c r="E1344" s="27" t="n">
        <v>12</v>
      </c>
      <c r="F1344" s="27" t="n">
        <v>12.47</v>
      </c>
      <c r="G1344" s="27" t="s">
        <v>1875</v>
      </c>
      <c r="H1344" s="27" t="s">
        <v>2009</v>
      </c>
      <c r="I1344" s="27" t="s">
        <v>1876</v>
      </c>
      <c r="J1344" s="27" t="s">
        <v>2633</v>
      </c>
      <c r="K1344" s="27" t="n">
        <v>1482</v>
      </c>
      <c r="L1344" s="27" t="n">
        <v>710</v>
      </c>
      <c r="M1344" s="28" t="n">
        <f aca="false">IFERROR(VLOOKUP((OFFSET(hoje12_326_ana9,1343,10,1,1)&amp;"."&amp;OFFSET(hoje12_326_ana9,1343,11,1,1)),'12.326'!A:D,4,0),"-")</f>
        <v>5027616000170</v>
      </c>
    </row>
    <row r="1345" customFormat="false" ht="14.4" hidden="false" customHeight="false" outlineLevel="0" collapsed="false">
      <c r="A1345" s="27" t="n">
        <v>11100454</v>
      </c>
      <c r="B1345" s="27" t="s">
        <v>2634</v>
      </c>
      <c r="C1345" s="43" t="n">
        <v>149.64</v>
      </c>
      <c r="D1345" s="27" t="n">
        <v>0</v>
      </c>
      <c r="E1345" s="27" t="n">
        <v>12</v>
      </c>
      <c r="F1345" s="27" t="n">
        <v>12.47</v>
      </c>
      <c r="G1345" s="27" t="s">
        <v>1875</v>
      </c>
      <c r="H1345" s="27" t="s">
        <v>68</v>
      </c>
      <c r="I1345" s="27" t="s">
        <v>1876</v>
      </c>
      <c r="J1345" s="27" t="s">
        <v>1877</v>
      </c>
      <c r="K1345" s="27" t="n">
        <v>1482</v>
      </c>
      <c r="L1345" s="27" t="n">
        <v>710</v>
      </c>
      <c r="M1345" s="28" t="n">
        <f aca="false">IFERROR(VLOOKUP((OFFSET(hoje12_326_ana9,1344,10,1,1)&amp;"."&amp;OFFSET(hoje12_326_ana9,1344,11,1,1)),'12.326'!A:D,4,0),"-")</f>
        <v>5027616000170</v>
      </c>
    </row>
    <row r="1346" customFormat="false" ht="14.4" hidden="false" customHeight="false" outlineLevel="0" collapsed="false">
      <c r="A1346" s="27" t="n">
        <v>11100456</v>
      </c>
      <c r="B1346" s="27" t="s">
        <v>2439</v>
      </c>
      <c r="C1346" s="43" t="n">
        <v>256.78</v>
      </c>
      <c r="D1346" s="27" t="n">
        <v>7.94</v>
      </c>
      <c r="E1346" s="27" t="n">
        <v>24</v>
      </c>
      <c r="F1346" s="27" t="n">
        <v>11.03</v>
      </c>
      <c r="G1346" s="27" t="s">
        <v>1875</v>
      </c>
      <c r="H1346" s="27" t="s">
        <v>2009</v>
      </c>
      <c r="I1346" s="27" t="s">
        <v>1876</v>
      </c>
      <c r="J1346" s="27" t="s">
        <v>2635</v>
      </c>
      <c r="K1346" s="27" t="n">
        <v>1482</v>
      </c>
      <c r="L1346" s="27" t="n">
        <v>710</v>
      </c>
      <c r="M1346" s="28" t="n">
        <f aca="false">IFERROR(VLOOKUP((OFFSET(hoje12_326_ana9,1345,10,1,1)&amp;"."&amp;OFFSET(hoje12_326_ana9,1345,11,1,1)),'12.326'!A:D,4,0),"-")</f>
        <v>5027616000170</v>
      </c>
    </row>
    <row r="1347" customFormat="false" ht="14.4" hidden="false" customHeight="false" outlineLevel="0" collapsed="false">
      <c r="A1347" s="27" t="n">
        <v>11100462</v>
      </c>
      <c r="B1347" s="27" t="s">
        <v>2001</v>
      </c>
      <c r="C1347" s="43" t="n">
        <v>375.77</v>
      </c>
      <c r="D1347" s="27" t="n">
        <v>11.59</v>
      </c>
      <c r="E1347" s="27" t="n">
        <v>72</v>
      </c>
      <c r="F1347" s="27" t="n">
        <v>5.38</v>
      </c>
      <c r="G1347" s="27" t="s">
        <v>1875</v>
      </c>
      <c r="H1347" s="27" t="s">
        <v>2009</v>
      </c>
      <c r="I1347" s="27" t="s">
        <v>1876</v>
      </c>
      <c r="J1347" s="27" t="s">
        <v>2636</v>
      </c>
      <c r="K1347" s="27" t="n">
        <v>1482</v>
      </c>
      <c r="L1347" s="27" t="n">
        <v>710</v>
      </c>
      <c r="M1347" s="28" t="n">
        <f aca="false">IFERROR(VLOOKUP((OFFSET(hoje12_326_ana9,1346,10,1,1)&amp;"."&amp;OFFSET(hoje12_326_ana9,1346,11,1,1)),'12.326'!A:D,4,0),"-")</f>
        <v>5027616000170</v>
      </c>
    </row>
    <row r="1348" customFormat="false" ht="14.4" hidden="false" customHeight="false" outlineLevel="0" collapsed="false">
      <c r="A1348" s="27" t="n">
        <v>11100464</v>
      </c>
      <c r="B1348" s="27" t="s">
        <v>1946</v>
      </c>
      <c r="C1348" s="43" t="n">
        <v>336.6</v>
      </c>
      <c r="D1348" s="27" t="n">
        <v>10.44</v>
      </c>
      <c r="E1348" s="27" t="n">
        <v>72</v>
      </c>
      <c r="F1348" s="27" t="n">
        <v>4.82</v>
      </c>
      <c r="G1348" s="27" t="s">
        <v>1875</v>
      </c>
      <c r="H1348" s="27" t="s">
        <v>2009</v>
      </c>
      <c r="I1348" s="27" t="s">
        <v>1876</v>
      </c>
      <c r="J1348" s="27" t="s">
        <v>2637</v>
      </c>
      <c r="K1348" s="27" t="n">
        <v>1482</v>
      </c>
      <c r="L1348" s="27" t="n">
        <v>710</v>
      </c>
      <c r="M1348" s="28" t="n">
        <f aca="false">IFERROR(VLOOKUP((OFFSET(hoje12_326_ana9,1347,10,1,1)&amp;"."&amp;OFFSET(hoje12_326_ana9,1347,11,1,1)),'12.326'!A:D,4,0),"-")</f>
        <v>5027616000170</v>
      </c>
    </row>
    <row r="1349" customFormat="false" ht="14.4" hidden="false" customHeight="false" outlineLevel="0" collapsed="false">
      <c r="A1349" s="27" t="n">
        <v>11100474</v>
      </c>
      <c r="B1349" s="27" t="s">
        <v>2466</v>
      </c>
      <c r="C1349" s="43" t="n">
        <v>423.94</v>
      </c>
      <c r="D1349" s="27" t="n">
        <v>13.1</v>
      </c>
      <c r="E1349" s="27" t="n">
        <v>36</v>
      </c>
      <c r="F1349" s="27" t="n">
        <v>12.14</v>
      </c>
      <c r="G1349" s="27" t="s">
        <v>1875</v>
      </c>
      <c r="H1349" s="27" t="s">
        <v>2009</v>
      </c>
      <c r="I1349" s="27" t="s">
        <v>1876</v>
      </c>
      <c r="J1349" s="27" t="s">
        <v>2638</v>
      </c>
      <c r="K1349" s="27" t="n">
        <v>1482</v>
      </c>
      <c r="L1349" s="27" t="n">
        <v>710</v>
      </c>
      <c r="M1349" s="28" t="n">
        <f aca="false">IFERROR(VLOOKUP((OFFSET(hoje12_326_ana9,1348,10,1,1)&amp;"."&amp;OFFSET(hoje12_326_ana9,1348,11,1,1)),'12.326'!A:D,4,0),"-")</f>
        <v>5027616000170</v>
      </c>
    </row>
    <row r="1350" customFormat="false" ht="14.4" hidden="false" customHeight="false" outlineLevel="0" collapsed="false">
      <c r="A1350" s="27" t="n">
        <v>11100477</v>
      </c>
      <c r="B1350" s="27" t="s">
        <v>1950</v>
      </c>
      <c r="C1350" s="43" t="n">
        <v>522.43</v>
      </c>
      <c r="D1350" s="27" t="n">
        <v>16.13</v>
      </c>
      <c r="E1350" s="27" t="n">
        <v>72</v>
      </c>
      <c r="F1350" s="27" t="n">
        <v>7.48</v>
      </c>
      <c r="G1350" s="27" t="s">
        <v>1875</v>
      </c>
      <c r="H1350" s="27" t="s">
        <v>2009</v>
      </c>
      <c r="I1350" s="27" t="s">
        <v>1876</v>
      </c>
      <c r="J1350" s="27" t="s">
        <v>2639</v>
      </c>
      <c r="K1350" s="27" t="n">
        <v>1482</v>
      </c>
      <c r="L1350" s="27" t="n">
        <v>710</v>
      </c>
      <c r="M1350" s="28" t="n">
        <f aca="false">IFERROR(VLOOKUP((OFFSET(hoje12_326_ana9,1349,10,1,1)&amp;"."&amp;OFFSET(hoje12_326_ana9,1349,11,1,1)),'12.326'!A:D,4,0),"-")</f>
        <v>5027616000170</v>
      </c>
    </row>
    <row r="1351" customFormat="false" ht="14.4" hidden="false" customHeight="false" outlineLevel="0" collapsed="false">
      <c r="A1351" s="27" t="n">
        <v>11100478</v>
      </c>
      <c r="B1351" s="27" t="s">
        <v>2233</v>
      </c>
      <c r="C1351" s="43" t="n">
        <v>522.43</v>
      </c>
      <c r="D1351" s="27" t="n">
        <v>16.13</v>
      </c>
      <c r="E1351" s="27" t="n">
        <v>72</v>
      </c>
      <c r="F1351" s="27" t="n">
        <v>7.48</v>
      </c>
      <c r="G1351" s="27" t="s">
        <v>1875</v>
      </c>
      <c r="H1351" s="27" t="s">
        <v>2009</v>
      </c>
      <c r="I1351" s="27" t="s">
        <v>1876</v>
      </c>
      <c r="J1351" s="27" t="s">
        <v>2639</v>
      </c>
      <c r="K1351" s="27" t="n">
        <v>1482</v>
      </c>
      <c r="L1351" s="27" t="n">
        <v>710</v>
      </c>
      <c r="M1351" s="28" t="n">
        <f aca="false">IFERROR(VLOOKUP((OFFSET(hoje12_326_ana9,1350,10,1,1)&amp;"."&amp;OFFSET(hoje12_326_ana9,1350,11,1,1)),'12.326'!A:D,4,0),"-")</f>
        <v>5027616000170</v>
      </c>
    </row>
    <row r="1352" customFormat="false" ht="14.4" hidden="false" customHeight="false" outlineLevel="0" collapsed="false">
      <c r="A1352" s="27" t="n">
        <v>11100517</v>
      </c>
      <c r="B1352" s="27" t="s">
        <v>2640</v>
      </c>
      <c r="C1352" s="43" t="n">
        <v>326.16</v>
      </c>
      <c r="D1352" s="27" t="n">
        <v>10.08</v>
      </c>
      <c r="E1352" s="27" t="n">
        <v>24</v>
      </c>
      <c r="F1352" s="27" t="n">
        <v>14.01</v>
      </c>
      <c r="G1352" s="27" t="s">
        <v>1875</v>
      </c>
      <c r="H1352" s="27" t="s">
        <v>2009</v>
      </c>
      <c r="I1352" s="27" t="s">
        <v>1876</v>
      </c>
      <c r="J1352" s="27" t="s">
        <v>2641</v>
      </c>
      <c r="K1352" s="27" t="n">
        <v>1482</v>
      </c>
      <c r="L1352" s="27" t="n">
        <v>710</v>
      </c>
      <c r="M1352" s="28" t="n">
        <f aca="false">IFERROR(VLOOKUP((OFFSET(hoje12_326_ana9,1351,10,1,1)&amp;"."&amp;OFFSET(hoje12_326_ana9,1351,11,1,1)),'12.326'!A:D,4,0),"-")</f>
        <v>5027616000170</v>
      </c>
    </row>
    <row r="1353" customFormat="false" ht="14.4" hidden="false" customHeight="false" outlineLevel="0" collapsed="false">
      <c r="A1353" s="27" t="n">
        <v>11100524</v>
      </c>
      <c r="B1353" s="27" t="s">
        <v>2642</v>
      </c>
      <c r="C1353" s="43" t="n">
        <v>142.25</v>
      </c>
      <c r="D1353" s="27" t="n">
        <v>4.39</v>
      </c>
      <c r="E1353" s="27" t="n">
        <v>24</v>
      </c>
      <c r="F1353" s="27" t="n">
        <v>6.11</v>
      </c>
      <c r="G1353" s="27" t="s">
        <v>1875</v>
      </c>
      <c r="H1353" s="27" t="s">
        <v>2009</v>
      </c>
      <c r="I1353" s="27" t="s">
        <v>1876</v>
      </c>
      <c r="J1353" s="27" t="s">
        <v>2643</v>
      </c>
      <c r="K1353" s="27" t="n">
        <v>1482</v>
      </c>
      <c r="L1353" s="27" t="n">
        <v>710</v>
      </c>
      <c r="M1353" s="28" t="n">
        <f aca="false">IFERROR(VLOOKUP((OFFSET(hoje12_326_ana9,1352,10,1,1)&amp;"."&amp;OFFSET(hoje12_326_ana9,1352,11,1,1)),'12.326'!A:D,4,0),"-")</f>
        <v>5027616000170</v>
      </c>
    </row>
    <row r="1354" customFormat="false" ht="14.4" hidden="false" customHeight="false" outlineLevel="0" collapsed="false">
      <c r="A1354" s="27" t="n">
        <v>11100535</v>
      </c>
      <c r="B1354" s="27" t="s">
        <v>2644</v>
      </c>
      <c r="C1354" s="43" t="n">
        <v>99.82</v>
      </c>
      <c r="D1354" s="27" t="n">
        <v>3.08</v>
      </c>
      <c r="E1354" s="27" t="n">
        <v>6</v>
      </c>
      <c r="F1354" s="27" t="n">
        <v>17.15</v>
      </c>
      <c r="G1354" s="27" t="s">
        <v>1875</v>
      </c>
      <c r="H1354" s="27" t="s">
        <v>2009</v>
      </c>
      <c r="I1354" s="27" t="s">
        <v>1876</v>
      </c>
      <c r="J1354" s="27" t="s">
        <v>2645</v>
      </c>
      <c r="K1354" s="27" t="n">
        <v>1482</v>
      </c>
      <c r="L1354" s="27" t="n">
        <v>710</v>
      </c>
      <c r="M1354" s="28" t="n">
        <f aca="false">IFERROR(VLOOKUP((OFFSET(hoje12_326_ana9,1353,10,1,1)&amp;"."&amp;OFFSET(hoje12_326_ana9,1353,11,1,1)),'12.326'!A:D,4,0),"-")</f>
        <v>5027616000170</v>
      </c>
    </row>
    <row r="1355" customFormat="false" ht="14.4" hidden="false" customHeight="false" outlineLevel="0" collapsed="false">
      <c r="A1355" s="27" t="n">
        <v>11100543</v>
      </c>
      <c r="B1355" s="27" t="s">
        <v>2115</v>
      </c>
      <c r="C1355" s="43" t="n">
        <v>99.82</v>
      </c>
      <c r="D1355" s="27" t="n">
        <v>3.08</v>
      </c>
      <c r="E1355" s="27" t="n">
        <v>6</v>
      </c>
      <c r="F1355" s="27" t="n">
        <v>17.15</v>
      </c>
      <c r="G1355" s="27" t="s">
        <v>1875</v>
      </c>
      <c r="H1355" s="27" t="s">
        <v>2009</v>
      </c>
      <c r="I1355" s="27" t="s">
        <v>1876</v>
      </c>
      <c r="J1355" s="27" t="s">
        <v>2645</v>
      </c>
      <c r="K1355" s="27" t="n">
        <v>1482</v>
      </c>
      <c r="L1355" s="27" t="n">
        <v>710</v>
      </c>
      <c r="M1355" s="28" t="n">
        <f aca="false">IFERROR(VLOOKUP((OFFSET(hoje12_326_ana9,1354,10,1,1)&amp;"."&amp;OFFSET(hoje12_326_ana9,1354,11,1,1)),'12.326'!A:D,4,0),"-")</f>
        <v>5027616000170</v>
      </c>
    </row>
    <row r="1356" customFormat="false" ht="14.4" hidden="false" customHeight="false" outlineLevel="0" collapsed="false">
      <c r="A1356" s="27" t="n">
        <v>11100544</v>
      </c>
      <c r="B1356" s="27" t="s">
        <v>2646</v>
      </c>
      <c r="C1356" s="43" t="n">
        <v>366.66</v>
      </c>
      <c r="D1356" s="27" t="n">
        <v>11.34</v>
      </c>
      <c r="E1356" s="27" t="n">
        <v>36</v>
      </c>
      <c r="F1356" s="27" t="n">
        <v>10.5</v>
      </c>
      <c r="G1356" s="27" t="s">
        <v>1875</v>
      </c>
      <c r="H1356" s="27" t="s">
        <v>2009</v>
      </c>
      <c r="I1356" s="27" t="s">
        <v>1876</v>
      </c>
      <c r="J1356" s="27" t="s">
        <v>2031</v>
      </c>
      <c r="K1356" s="27" t="n">
        <v>1482</v>
      </c>
      <c r="L1356" s="27" t="n">
        <v>710</v>
      </c>
      <c r="M1356" s="28" t="n">
        <f aca="false">IFERROR(VLOOKUP((OFFSET(hoje12_326_ana9,1355,10,1,1)&amp;"."&amp;OFFSET(hoje12_326_ana9,1355,11,1,1)),'12.326'!A:D,4,0),"-")</f>
        <v>5027616000170</v>
      </c>
    </row>
    <row r="1357" customFormat="false" ht="14.4" hidden="false" customHeight="false" outlineLevel="0" collapsed="false">
      <c r="A1357" s="27" t="n">
        <v>11100545</v>
      </c>
      <c r="B1357" s="27" t="s">
        <v>2647</v>
      </c>
      <c r="C1357" s="43" t="n">
        <v>213.37</v>
      </c>
      <c r="D1357" s="27" t="n">
        <v>6.59</v>
      </c>
      <c r="E1357" s="27" t="n">
        <v>36</v>
      </c>
      <c r="F1357" s="27" t="n">
        <v>6.11</v>
      </c>
      <c r="G1357" s="27" t="s">
        <v>1875</v>
      </c>
      <c r="H1357" s="27" t="s">
        <v>2009</v>
      </c>
      <c r="I1357" s="27" t="s">
        <v>1876</v>
      </c>
      <c r="J1357" s="27" t="s">
        <v>2648</v>
      </c>
      <c r="K1357" s="27" t="n">
        <v>1482</v>
      </c>
      <c r="L1357" s="27" t="n">
        <v>710</v>
      </c>
      <c r="M1357" s="28" t="n">
        <f aca="false">IFERROR(VLOOKUP((OFFSET(hoje12_326_ana9,1356,10,1,1)&amp;"."&amp;OFFSET(hoje12_326_ana9,1356,11,1,1)),'12.326'!A:D,4,0),"-")</f>
        <v>5027616000170</v>
      </c>
    </row>
    <row r="1358" customFormat="false" ht="14.4" hidden="false" customHeight="false" outlineLevel="0" collapsed="false">
      <c r="A1358" s="27" t="n">
        <v>11100551</v>
      </c>
      <c r="B1358" s="27" t="s">
        <v>2649</v>
      </c>
      <c r="C1358" s="43" t="n">
        <v>99.82</v>
      </c>
      <c r="D1358" s="27" t="n">
        <v>3.08</v>
      </c>
      <c r="E1358" s="27" t="n">
        <v>6</v>
      </c>
      <c r="F1358" s="27" t="n">
        <v>17.15</v>
      </c>
      <c r="G1358" s="27" t="s">
        <v>1875</v>
      </c>
      <c r="H1358" s="27" t="s">
        <v>2009</v>
      </c>
      <c r="I1358" s="27" t="s">
        <v>1876</v>
      </c>
      <c r="J1358" s="27" t="s">
        <v>2645</v>
      </c>
      <c r="K1358" s="27" t="n">
        <v>1482</v>
      </c>
      <c r="L1358" s="27" t="n">
        <v>710</v>
      </c>
      <c r="M1358" s="28" t="n">
        <f aca="false">IFERROR(VLOOKUP((OFFSET(hoje12_326_ana9,1357,10,1,1)&amp;"."&amp;OFFSET(hoje12_326_ana9,1357,11,1,1)),'12.326'!A:D,4,0),"-")</f>
        <v>5027616000170</v>
      </c>
    </row>
    <row r="1359" customFormat="false" ht="14.4" hidden="false" customHeight="false" outlineLevel="0" collapsed="false">
      <c r="A1359" s="27" t="n">
        <v>11100894</v>
      </c>
      <c r="B1359" s="27" t="s">
        <v>2650</v>
      </c>
      <c r="C1359" s="43" t="n">
        <v>392.5</v>
      </c>
      <c r="D1359" s="27" t="n">
        <v>12.14</v>
      </c>
      <c r="E1359" s="27" t="n">
        <v>24</v>
      </c>
      <c r="F1359" s="27" t="n">
        <v>16.86</v>
      </c>
      <c r="G1359" s="27" t="s">
        <v>1875</v>
      </c>
      <c r="H1359" s="27" t="s">
        <v>2009</v>
      </c>
      <c r="I1359" s="27" t="s">
        <v>1876</v>
      </c>
      <c r="J1359" s="27" t="s">
        <v>2651</v>
      </c>
      <c r="K1359" s="27" t="n">
        <v>1482</v>
      </c>
      <c r="L1359" s="27" t="n">
        <v>710</v>
      </c>
      <c r="M1359" s="28" t="n">
        <f aca="false">IFERROR(VLOOKUP((OFFSET(hoje12_326_ana9,1358,10,1,1)&amp;"."&amp;OFFSET(hoje12_326_ana9,1358,11,1,1)),'12.326'!A:D,4,0),"-")</f>
        <v>5027616000170</v>
      </c>
    </row>
    <row r="1360" customFormat="false" ht="14.4" hidden="false" customHeight="false" outlineLevel="0" collapsed="false">
      <c r="A1360" s="27" t="n">
        <v>11100897</v>
      </c>
      <c r="B1360" s="27" t="s">
        <v>2652</v>
      </c>
      <c r="C1360" s="43" t="n">
        <v>72.64</v>
      </c>
      <c r="D1360" s="27" t="n">
        <v>2.24</v>
      </c>
      <c r="E1360" s="27" t="n">
        <v>12</v>
      </c>
      <c r="F1360" s="27" t="n">
        <v>6.24</v>
      </c>
      <c r="G1360" s="27" t="s">
        <v>1875</v>
      </c>
      <c r="H1360" s="27" t="s">
        <v>2009</v>
      </c>
      <c r="I1360" s="27" t="s">
        <v>1876</v>
      </c>
      <c r="J1360" s="27" t="s">
        <v>2437</v>
      </c>
      <c r="K1360" s="27" t="n">
        <v>1482</v>
      </c>
      <c r="L1360" s="27" t="n">
        <v>710</v>
      </c>
      <c r="M1360" s="28" t="n">
        <f aca="false">IFERROR(VLOOKUP((OFFSET(hoje12_326_ana9,1359,10,1,1)&amp;"."&amp;OFFSET(hoje12_326_ana9,1359,11,1,1)),'12.326'!A:D,4,0),"-")</f>
        <v>5027616000170</v>
      </c>
    </row>
    <row r="1361" customFormat="false" ht="14.4" hidden="false" customHeight="false" outlineLevel="0" collapsed="false">
      <c r="A1361" s="27" t="n">
        <v>11100917</v>
      </c>
      <c r="B1361" s="27" t="s">
        <v>2653</v>
      </c>
      <c r="C1361" s="43" t="n">
        <v>99.82</v>
      </c>
      <c r="D1361" s="27" t="n">
        <v>3.08</v>
      </c>
      <c r="E1361" s="27" t="n">
        <v>6</v>
      </c>
      <c r="F1361" s="27" t="n">
        <v>17.15</v>
      </c>
      <c r="G1361" s="27" t="s">
        <v>1875</v>
      </c>
      <c r="H1361" s="27" t="s">
        <v>2009</v>
      </c>
      <c r="I1361" s="27" t="s">
        <v>1876</v>
      </c>
      <c r="J1361" s="27" t="s">
        <v>2645</v>
      </c>
      <c r="K1361" s="27" t="n">
        <v>1482</v>
      </c>
      <c r="L1361" s="27" t="n">
        <v>710</v>
      </c>
      <c r="M1361" s="28" t="n">
        <f aca="false">IFERROR(VLOOKUP((OFFSET(hoje12_326_ana9,1360,10,1,1)&amp;"."&amp;OFFSET(hoje12_326_ana9,1360,11,1,1)),'12.326'!A:D,4,0),"-")</f>
        <v>5027616000170</v>
      </c>
    </row>
    <row r="1362" customFormat="false" ht="14.4" hidden="false" customHeight="false" outlineLevel="0" collapsed="false">
      <c r="A1362" s="27" t="n">
        <v>11100923</v>
      </c>
      <c r="B1362" s="27" t="s">
        <v>2654</v>
      </c>
      <c r="C1362" s="43" t="n">
        <v>332.05</v>
      </c>
      <c r="D1362" s="27" t="n">
        <v>10.27</v>
      </c>
      <c r="E1362" s="27" t="n">
        <v>2</v>
      </c>
      <c r="F1362" s="27" t="n">
        <v>171.16</v>
      </c>
      <c r="G1362" s="27" t="s">
        <v>1875</v>
      </c>
      <c r="H1362" s="27" t="s">
        <v>2009</v>
      </c>
      <c r="I1362" s="27" t="s">
        <v>1876</v>
      </c>
      <c r="J1362" s="27" t="s">
        <v>2422</v>
      </c>
      <c r="K1362" s="27" t="n">
        <v>1482</v>
      </c>
      <c r="L1362" s="27" t="n">
        <v>710</v>
      </c>
      <c r="M1362" s="28" t="n">
        <f aca="false">IFERROR(VLOOKUP((OFFSET(hoje12_326_ana9,1361,10,1,1)&amp;"."&amp;OFFSET(hoje12_326_ana9,1361,11,1,1)),'12.326'!A:D,4,0),"-")</f>
        <v>5027616000170</v>
      </c>
    </row>
    <row r="1363" customFormat="false" ht="14.4" hidden="false" customHeight="false" outlineLevel="0" collapsed="false">
      <c r="A1363" s="27" t="n">
        <v>11100944</v>
      </c>
      <c r="B1363" s="27" t="s">
        <v>2250</v>
      </c>
      <c r="C1363" s="43" t="n">
        <v>173.66</v>
      </c>
      <c r="D1363" s="27" t="n">
        <v>5.38</v>
      </c>
      <c r="E1363" s="27" t="n">
        <v>12</v>
      </c>
      <c r="F1363" s="27" t="n">
        <v>14.92</v>
      </c>
      <c r="G1363" s="27" t="s">
        <v>1875</v>
      </c>
      <c r="H1363" s="27" t="s">
        <v>2009</v>
      </c>
      <c r="I1363" s="27" t="s">
        <v>1876</v>
      </c>
      <c r="J1363" s="27" t="s">
        <v>2440</v>
      </c>
      <c r="K1363" s="27" t="n">
        <v>1482</v>
      </c>
      <c r="L1363" s="27" t="n">
        <v>710</v>
      </c>
      <c r="M1363" s="28" t="n">
        <f aca="false">IFERROR(VLOOKUP((OFFSET(hoje12_326_ana9,1362,10,1,1)&amp;"."&amp;OFFSET(hoje12_326_ana9,1362,11,1,1)),'12.326'!A:D,4,0),"-")</f>
        <v>5027616000170</v>
      </c>
    </row>
    <row r="1364" customFormat="false" ht="14.4" hidden="false" customHeight="false" outlineLevel="0" collapsed="false">
      <c r="A1364" s="27" t="n">
        <v>11100945</v>
      </c>
      <c r="B1364" s="27" t="s">
        <v>2655</v>
      </c>
      <c r="C1364" s="43" t="n">
        <v>294.49</v>
      </c>
      <c r="D1364" s="27" t="n">
        <v>9.11</v>
      </c>
      <c r="E1364" s="27" t="n">
        <v>12</v>
      </c>
      <c r="F1364" s="27" t="n">
        <v>25.3</v>
      </c>
      <c r="G1364" s="27" t="s">
        <v>1875</v>
      </c>
      <c r="H1364" s="27" t="s">
        <v>2009</v>
      </c>
      <c r="I1364" s="27" t="s">
        <v>1876</v>
      </c>
      <c r="J1364" s="27" t="s">
        <v>2656</v>
      </c>
      <c r="K1364" s="27" t="n">
        <v>1482</v>
      </c>
      <c r="L1364" s="27" t="n">
        <v>710</v>
      </c>
      <c r="M1364" s="28" t="n">
        <f aca="false">IFERROR(VLOOKUP((OFFSET(hoje12_326_ana9,1363,10,1,1)&amp;"."&amp;OFFSET(hoje12_326_ana9,1363,11,1,1)),'12.326'!A:D,4,0),"-")</f>
        <v>5027616000170</v>
      </c>
    </row>
    <row r="1365" customFormat="false" ht="14.4" hidden="false" customHeight="false" outlineLevel="0" collapsed="false">
      <c r="A1365" s="27" t="n">
        <v>11100948</v>
      </c>
      <c r="B1365" s="27" t="s">
        <v>2657</v>
      </c>
      <c r="C1365" s="43" t="n">
        <v>336.6</v>
      </c>
      <c r="D1365" s="27" t="n">
        <v>10.44</v>
      </c>
      <c r="E1365" s="27" t="n">
        <v>72</v>
      </c>
      <c r="F1365" s="27" t="n">
        <v>4.82</v>
      </c>
      <c r="G1365" s="27" t="s">
        <v>1875</v>
      </c>
      <c r="H1365" s="27" t="s">
        <v>2009</v>
      </c>
      <c r="I1365" s="27" t="s">
        <v>1876</v>
      </c>
      <c r="J1365" s="27" t="s">
        <v>2637</v>
      </c>
      <c r="K1365" s="27" t="n">
        <v>1482</v>
      </c>
      <c r="L1365" s="27" t="n">
        <v>710</v>
      </c>
      <c r="M1365" s="28" t="n">
        <f aca="false">IFERROR(VLOOKUP((OFFSET(hoje12_326_ana9,1364,10,1,1)&amp;"."&amp;OFFSET(hoje12_326_ana9,1364,11,1,1)),'12.326'!A:D,4,0),"-")</f>
        <v>5027616000170</v>
      </c>
    </row>
    <row r="1366" customFormat="false" ht="14.4" hidden="false" customHeight="false" outlineLevel="0" collapsed="false">
      <c r="A1366" s="27" t="n">
        <v>11100964</v>
      </c>
      <c r="B1366" s="27" t="s">
        <v>2322</v>
      </c>
      <c r="C1366" s="43" t="n">
        <v>522.43</v>
      </c>
      <c r="D1366" s="27" t="n">
        <v>16.13</v>
      </c>
      <c r="E1366" s="27" t="n">
        <v>72</v>
      </c>
      <c r="F1366" s="27" t="n">
        <v>7.48</v>
      </c>
      <c r="G1366" s="27" t="s">
        <v>1875</v>
      </c>
      <c r="H1366" s="27" t="s">
        <v>2009</v>
      </c>
      <c r="I1366" s="27" t="s">
        <v>1876</v>
      </c>
      <c r="J1366" s="27" t="s">
        <v>2639</v>
      </c>
      <c r="K1366" s="27" t="n">
        <v>1482</v>
      </c>
      <c r="L1366" s="27" t="n">
        <v>710</v>
      </c>
      <c r="M1366" s="28" t="n">
        <f aca="false">IFERROR(VLOOKUP((OFFSET(hoje12_326_ana9,1365,10,1,1)&amp;"."&amp;OFFSET(hoje12_326_ana9,1365,11,1,1)),'12.326'!A:D,4,0),"-")</f>
        <v>5027616000170</v>
      </c>
    </row>
    <row r="1367" customFormat="false" ht="14.4" hidden="false" customHeight="false" outlineLevel="0" collapsed="false">
      <c r="A1367" s="27" t="n">
        <v>11100973</v>
      </c>
      <c r="B1367" s="27" t="s">
        <v>2313</v>
      </c>
      <c r="C1367" s="43" t="n">
        <v>117.91</v>
      </c>
      <c r="D1367" s="27" t="n">
        <v>3.65</v>
      </c>
      <c r="E1367" s="27" t="n">
        <v>6</v>
      </c>
      <c r="F1367" s="27" t="n">
        <v>20.26</v>
      </c>
      <c r="G1367" s="27" t="s">
        <v>1875</v>
      </c>
      <c r="H1367" s="27" t="s">
        <v>2009</v>
      </c>
      <c r="I1367" s="27" t="s">
        <v>1876</v>
      </c>
      <c r="J1367" s="27" t="s">
        <v>2658</v>
      </c>
      <c r="K1367" s="27" t="n">
        <v>1482</v>
      </c>
      <c r="L1367" s="27" t="n">
        <v>710</v>
      </c>
      <c r="M1367" s="28" t="n">
        <f aca="false">IFERROR(VLOOKUP((OFFSET(hoje12_326_ana9,1366,10,1,1)&amp;"."&amp;OFFSET(hoje12_326_ana9,1366,11,1,1)),'12.326'!A:D,4,0),"-")</f>
        <v>5027616000170</v>
      </c>
    </row>
    <row r="1368" customFormat="false" ht="14.4" hidden="false" customHeight="false" outlineLevel="0" collapsed="false">
      <c r="A1368" s="27" t="n">
        <v>11100980</v>
      </c>
      <c r="B1368" s="27" t="s">
        <v>2311</v>
      </c>
      <c r="C1368" s="43" t="n">
        <v>122.24</v>
      </c>
      <c r="D1368" s="27" t="n">
        <v>21.58</v>
      </c>
      <c r="E1368" s="27" t="n">
        <v>6</v>
      </c>
      <c r="F1368" s="27" t="n">
        <v>23.97</v>
      </c>
      <c r="G1368" s="27" t="s">
        <v>1875</v>
      </c>
      <c r="H1368" s="27" t="s">
        <v>1892</v>
      </c>
      <c r="I1368" s="27" t="s">
        <v>1876</v>
      </c>
      <c r="J1368" s="27" t="s">
        <v>2338</v>
      </c>
      <c r="K1368" s="27" t="n">
        <v>1482</v>
      </c>
      <c r="L1368" s="27" t="n">
        <v>710</v>
      </c>
      <c r="M1368" s="28" t="n">
        <f aca="false">IFERROR(VLOOKUP((OFFSET(hoje12_326_ana9,1367,10,1,1)&amp;"."&amp;OFFSET(hoje12_326_ana9,1367,11,1,1)),'12.326'!A:D,4,0),"-")</f>
        <v>5027616000170</v>
      </c>
    </row>
    <row r="1369" customFormat="false" ht="14.4" hidden="false" customHeight="false" outlineLevel="0" collapsed="false">
      <c r="A1369" s="27" t="n">
        <v>11100986</v>
      </c>
      <c r="B1369" s="27" t="s">
        <v>1902</v>
      </c>
      <c r="C1369" s="43" t="n">
        <v>100.45</v>
      </c>
      <c r="D1369" s="27" t="n">
        <v>3.11</v>
      </c>
      <c r="E1369" s="27" t="n">
        <v>6</v>
      </c>
      <c r="F1369" s="27" t="n">
        <v>17.26</v>
      </c>
      <c r="G1369" s="27" t="s">
        <v>1875</v>
      </c>
      <c r="H1369" s="27" t="s">
        <v>2009</v>
      </c>
      <c r="I1369" s="27" t="s">
        <v>1876</v>
      </c>
      <c r="J1369" s="27" t="s">
        <v>2619</v>
      </c>
      <c r="K1369" s="27" t="n">
        <v>1482</v>
      </c>
      <c r="L1369" s="27" t="n">
        <v>710</v>
      </c>
      <c r="M1369" s="28" t="n">
        <f aca="false">IFERROR(VLOOKUP((OFFSET(hoje12_326_ana9,1368,10,1,1)&amp;"."&amp;OFFSET(hoje12_326_ana9,1368,11,1,1)),'12.326'!A:D,4,0),"-")</f>
        <v>5027616000170</v>
      </c>
    </row>
    <row r="1370" customFormat="false" ht="14.4" hidden="false" customHeight="false" outlineLevel="0" collapsed="false">
      <c r="A1370" s="27" t="n">
        <v>11100995</v>
      </c>
      <c r="B1370" s="27" t="s">
        <v>1897</v>
      </c>
      <c r="C1370" s="43" t="n">
        <v>690.96</v>
      </c>
      <c r="D1370" s="27" t="n">
        <v>21.36</v>
      </c>
      <c r="E1370" s="27" t="n">
        <v>48</v>
      </c>
      <c r="F1370" s="27" t="n">
        <v>14.84</v>
      </c>
      <c r="G1370" s="27" t="s">
        <v>1875</v>
      </c>
      <c r="H1370" s="27" t="s">
        <v>2009</v>
      </c>
      <c r="I1370" s="27" t="s">
        <v>1876</v>
      </c>
      <c r="J1370" s="27" t="s">
        <v>2659</v>
      </c>
      <c r="K1370" s="27" t="n">
        <v>1482</v>
      </c>
      <c r="L1370" s="27" t="n">
        <v>710</v>
      </c>
      <c r="M1370" s="28" t="n">
        <f aca="false">IFERROR(VLOOKUP((OFFSET(hoje12_326_ana9,1369,10,1,1)&amp;"."&amp;OFFSET(hoje12_326_ana9,1369,11,1,1)),'12.326'!A:D,4,0),"-")</f>
        <v>5027616000170</v>
      </c>
    </row>
    <row r="1371" customFormat="false" ht="14.4" hidden="false" customHeight="false" outlineLevel="0" collapsed="false">
      <c r="A1371" s="27" t="n">
        <v>11100998</v>
      </c>
      <c r="B1371" s="27" t="s">
        <v>1887</v>
      </c>
      <c r="C1371" s="43" t="n">
        <v>1048.32</v>
      </c>
      <c r="D1371" s="27" t="n">
        <v>32.4</v>
      </c>
      <c r="E1371" s="27" t="n">
        <v>72</v>
      </c>
      <c r="F1371" s="27" t="n">
        <v>15.01</v>
      </c>
      <c r="G1371" s="27" t="s">
        <v>1875</v>
      </c>
      <c r="H1371" s="27" t="s">
        <v>2009</v>
      </c>
      <c r="I1371" s="27" t="s">
        <v>1876</v>
      </c>
      <c r="J1371" s="27" t="s">
        <v>2660</v>
      </c>
      <c r="K1371" s="27" t="n">
        <v>1482</v>
      </c>
      <c r="L1371" s="27" t="n">
        <v>710</v>
      </c>
      <c r="M1371" s="28" t="n">
        <f aca="false">IFERROR(VLOOKUP((OFFSET(hoje12_326_ana9,1370,10,1,1)&amp;"."&amp;OFFSET(hoje12_326_ana9,1370,11,1,1)),'12.326'!A:D,4,0),"-")</f>
        <v>5027616000170</v>
      </c>
    </row>
    <row r="1372" customFormat="false" ht="14.4" hidden="false" customHeight="false" outlineLevel="0" collapsed="false">
      <c r="A1372" s="27" t="n">
        <v>11101000</v>
      </c>
      <c r="B1372" s="27" t="s">
        <v>1886</v>
      </c>
      <c r="C1372" s="43" t="n">
        <v>267.6</v>
      </c>
      <c r="D1372" s="27" t="n">
        <v>8.28</v>
      </c>
      <c r="E1372" s="27" t="n">
        <v>12</v>
      </c>
      <c r="F1372" s="27" t="n">
        <v>22.99</v>
      </c>
      <c r="G1372" s="27" t="s">
        <v>1875</v>
      </c>
      <c r="H1372" s="27" t="s">
        <v>2009</v>
      </c>
      <c r="I1372" s="27" t="s">
        <v>1876</v>
      </c>
      <c r="J1372" s="27" t="s">
        <v>2661</v>
      </c>
      <c r="K1372" s="27" t="n">
        <v>1482</v>
      </c>
      <c r="L1372" s="27" t="n">
        <v>710</v>
      </c>
      <c r="M1372" s="28" t="n">
        <f aca="false">IFERROR(VLOOKUP((OFFSET(hoje12_326_ana9,1371,10,1,1)&amp;"."&amp;OFFSET(hoje12_326_ana9,1371,11,1,1)),'12.326'!A:D,4,0),"-")</f>
        <v>5027616000170</v>
      </c>
    </row>
    <row r="1373" customFormat="false" ht="14.4" hidden="false" customHeight="false" outlineLevel="0" collapsed="false">
      <c r="A1373" s="27" t="n">
        <v>11100937</v>
      </c>
      <c r="B1373" s="27" t="s">
        <v>2015</v>
      </c>
      <c r="C1373" s="43" t="n">
        <v>2448.26</v>
      </c>
      <c r="D1373" s="27" t="n">
        <v>242.14</v>
      </c>
      <c r="E1373" s="27" t="n">
        <v>120</v>
      </c>
      <c r="F1373" s="27" t="n">
        <v>22.42</v>
      </c>
      <c r="G1373" s="27" t="s">
        <v>1875</v>
      </c>
      <c r="H1373" s="27" t="s">
        <v>2007</v>
      </c>
      <c r="I1373" s="27" t="s">
        <v>1876</v>
      </c>
      <c r="J1373" s="27" t="s">
        <v>2662</v>
      </c>
      <c r="K1373" s="27" t="n">
        <v>1486</v>
      </c>
      <c r="L1373" s="27" t="n">
        <v>710</v>
      </c>
      <c r="M1373" s="28" t="n">
        <f aca="false">IFERROR(VLOOKUP((OFFSET(hoje12_326_ana9,1372,10,1,1)&amp;"."&amp;OFFSET(hoje12_326_ana9,1372,11,1,1)),'12.326'!A:D,4,0),"-")</f>
        <v>37570181000100</v>
      </c>
    </row>
    <row r="1374" customFormat="false" ht="14.4" hidden="false" customHeight="false" outlineLevel="0" collapsed="false">
      <c r="A1374" s="27" t="n">
        <v>11100092</v>
      </c>
      <c r="B1374" s="27" t="s">
        <v>2333</v>
      </c>
      <c r="C1374" s="43" t="n">
        <v>2087.08</v>
      </c>
      <c r="D1374" s="27" t="n">
        <v>284.6</v>
      </c>
      <c r="E1374" s="27" t="n">
        <v>432</v>
      </c>
      <c r="F1374" s="27" t="n">
        <v>5.49</v>
      </c>
      <c r="G1374" s="27" t="s">
        <v>1875</v>
      </c>
      <c r="H1374" s="27" t="s">
        <v>2004</v>
      </c>
      <c r="I1374" s="27" t="s">
        <v>1876</v>
      </c>
      <c r="J1374" s="27" t="s">
        <v>2663</v>
      </c>
      <c r="K1374" s="27" t="n">
        <v>1486</v>
      </c>
      <c r="L1374" s="27" t="n">
        <v>710</v>
      </c>
      <c r="M1374" s="28" t="n">
        <f aca="false">IFERROR(VLOOKUP((OFFSET(hoje12_326_ana9,1373,10,1,1)&amp;"."&amp;OFFSET(hoje12_326_ana9,1373,11,1,1)),'12.326'!A:D,4,0),"-")</f>
        <v>37570181000100</v>
      </c>
    </row>
    <row r="1375" customFormat="false" ht="14.4" hidden="false" customHeight="false" outlineLevel="0" collapsed="false">
      <c r="A1375" s="27" t="n">
        <v>11100066</v>
      </c>
      <c r="B1375" s="27" t="s">
        <v>2111</v>
      </c>
      <c r="C1375" s="43" t="n">
        <v>283.58</v>
      </c>
      <c r="D1375" s="27" t="n">
        <v>70.9</v>
      </c>
      <c r="E1375" s="27" t="n">
        <v>24</v>
      </c>
      <c r="F1375" s="27" t="n">
        <v>14.77</v>
      </c>
      <c r="G1375" s="27" t="s">
        <v>1875</v>
      </c>
      <c r="H1375" s="27" t="s">
        <v>2157</v>
      </c>
      <c r="I1375" s="27" t="s">
        <v>1876</v>
      </c>
      <c r="J1375" s="27" t="s">
        <v>2664</v>
      </c>
      <c r="K1375" s="27" t="n">
        <v>1486</v>
      </c>
      <c r="L1375" s="27" t="n">
        <v>710</v>
      </c>
      <c r="M1375" s="28" t="n">
        <f aca="false">IFERROR(VLOOKUP((OFFSET(hoje12_326_ana9,1374,10,1,1)&amp;"."&amp;OFFSET(hoje12_326_ana9,1374,11,1,1)),'12.326'!A:D,4,0),"-")</f>
        <v>37570181000100</v>
      </c>
    </row>
    <row r="1376" customFormat="false" ht="14.4" hidden="false" customHeight="false" outlineLevel="0" collapsed="false">
      <c r="A1376" s="27" t="n">
        <v>11100068</v>
      </c>
      <c r="B1376" s="27" t="s">
        <v>2665</v>
      </c>
      <c r="C1376" s="43" t="n">
        <v>2019.84</v>
      </c>
      <c r="D1376" s="27" t="n">
        <v>0</v>
      </c>
      <c r="E1376" s="27" t="n">
        <v>96</v>
      </c>
      <c r="F1376" s="27" t="n">
        <v>21.04</v>
      </c>
      <c r="G1376" s="27" t="s">
        <v>1875</v>
      </c>
      <c r="H1376" s="27" t="s">
        <v>68</v>
      </c>
      <c r="I1376" s="27" t="s">
        <v>1876</v>
      </c>
      <c r="J1376" s="27" t="s">
        <v>1877</v>
      </c>
      <c r="K1376" s="27" t="n">
        <v>1486</v>
      </c>
      <c r="L1376" s="27" t="n">
        <v>710</v>
      </c>
      <c r="M1376" s="28" t="n">
        <f aca="false">IFERROR(VLOOKUP((OFFSET(hoje12_326_ana9,1375,10,1,1)&amp;"."&amp;OFFSET(hoje12_326_ana9,1375,11,1,1)),'12.326'!A:D,4,0),"-")</f>
        <v>37570181000100</v>
      </c>
    </row>
    <row r="1377" customFormat="false" ht="14.4" hidden="false" customHeight="false" outlineLevel="0" collapsed="false">
      <c r="A1377" s="27" t="n">
        <v>11100091</v>
      </c>
      <c r="B1377" s="27" t="s">
        <v>1910</v>
      </c>
      <c r="C1377" s="43" t="n">
        <v>3855.17</v>
      </c>
      <c r="D1377" s="27" t="n">
        <v>119.23</v>
      </c>
      <c r="E1377" s="27" t="n">
        <v>864</v>
      </c>
      <c r="F1377" s="27" t="n">
        <v>4.6</v>
      </c>
      <c r="G1377" s="27" t="s">
        <v>1875</v>
      </c>
      <c r="H1377" s="27" t="s">
        <v>2009</v>
      </c>
      <c r="I1377" s="27" t="s">
        <v>1876</v>
      </c>
      <c r="J1377" s="27" t="s">
        <v>2666</v>
      </c>
      <c r="K1377" s="27" t="n">
        <v>1486</v>
      </c>
      <c r="L1377" s="27" t="n">
        <v>710</v>
      </c>
      <c r="M1377" s="28" t="n">
        <f aca="false">IFERROR(VLOOKUP((OFFSET(hoje12_326_ana9,1376,10,1,1)&amp;"."&amp;OFFSET(hoje12_326_ana9,1376,11,1,1)),'12.326'!A:D,4,0),"-")</f>
        <v>37570181000100</v>
      </c>
    </row>
    <row r="1378" customFormat="false" ht="14.4" hidden="false" customHeight="false" outlineLevel="0" collapsed="false">
      <c r="A1378" s="27" t="n">
        <v>11100093</v>
      </c>
      <c r="B1378" s="27" t="s">
        <v>1911</v>
      </c>
      <c r="C1378" s="43" t="n">
        <v>1613.3</v>
      </c>
      <c r="D1378" s="27" t="n">
        <v>49.9</v>
      </c>
      <c r="E1378" s="27" t="n">
        <v>216</v>
      </c>
      <c r="F1378" s="27" t="n">
        <v>7.7</v>
      </c>
      <c r="G1378" s="27" t="s">
        <v>1875</v>
      </c>
      <c r="H1378" s="27" t="s">
        <v>2009</v>
      </c>
      <c r="I1378" s="27" t="s">
        <v>1876</v>
      </c>
      <c r="J1378" s="27" t="s">
        <v>2667</v>
      </c>
      <c r="K1378" s="27" t="n">
        <v>1486</v>
      </c>
      <c r="L1378" s="27" t="n">
        <v>710</v>
      </c>
      <c r="M1378" s="28" t="n">
        <f aca="false">IFERROR(VLOOKUP((OFFSET(hoje12_326_ana9,1377,10,1,1)&amp;"."&amp;OFFSET(hoje12_326_ana9,1377,11,1,1)),'12.326'!A:D,4,0),"-")</f>
        <v>37570181000100</v>
      </c>
    </row>
    <row r="1379" customFormat="false" ht="14.4" hidden="false" customHeight="false" outlineLevel="0" collapsed="false">
      <c r="A1379" s="27" t="n">
        <v>11100155</v>
      </c>
      <c r="B1379" s="27" t="s">
        <v>1917</v>
      </c>
      <c r="C1379" s="43" t="n">
        <v>486.58</v>
      </c>
      <c r="D1379" s="27" t="n">
        <v>15.02</v>
      </c>
      <c r="E1379" s="27" t="n">
        <v>48</v>
      </c>
      <c r="F1379" s="27" t="n">
        <v>10.45</v>
      </c>
      <c r="G1379" s="27" t="s">
        <v>1875</v>
      </c>
      <c r="H1379" s="27" t="s">
        <v>2009</v>
      </c>
      <c r="I1379" s="27" t="s">
        <v>1876</v>
      </c>
      <c r="J1379" s="27" t="s">
        <v>2189</v>
      </c>
      <c r="K1379" s="27" t="n">
        <v>1486</v>
      </c>
      <c r="L1379" s="27" t="n">
        <v>710</v>
      </c>
      <c r="M1379" s="28" t="n">
        <f aca="false">IFERROR(VLOOKUP((OFFSET(hoje12_326_ana9,1378,10,1,1)&amp;"."&amp;OFFSET(hoje12_326_ana9,1378,11,1,1)),'12.326'!A:D,4,0),"-")</f>
        <v>37570181000100</v>
      </c>
    </row>
    <row r="1380" customFormat="false" ht="14.4" hidden="false" customHeight="false" outlineLevel="0" collapsed="false">
      <c r="A1380" s="27" t="n">
        <v>11100176</v>
      </c>
      <c r="B1380" s="27" t="s">
        <v>2217</v>
      </c>
      <c r="C1380" s="43" t="n">
        <v>1043.86</v>
      </c>
      <c r="D1380" s="27" t="n">
        <v>32.3</v>
      </c>
      <c r="E1380" s="27" t="n">
        <v>48</v>
      </c>
      <c r="F1380" s="27" t="n">
        <v>22.42</v>
      </c>
      <c r="G1380" s="27" t="s">
        <v>1875</v>
      </c>
      <c r="H1380" s="27" t="s">
        <v>2009</v>
      </c>
      <c r="I1380" s="27" t="s">
        <v>1876</v>
      </c>
      <c r="J1380" s="27" t="s">
        <v>2668</v>
      </c>
      <c r="K1380" s="27" t="n">
        <v>1486</v>
      </c>
      <c r="L1380" s="27" t="n">
        <v>710</v>
      </c>
      <c r="M1380" s="28" t="n">
        <f aca="false">IFERROR(VLOOKUP((OFFSET(hoje12_326_ana9,1379,10,1,1)&amp;"."&amp;OFFSET(hoje12_326_ana9,1379,11,1,1)),'12.326'!A:D,4,0),"-")</f>
        <v>37570181000100</v>
      </c>
    </row>
    <row r="1381" customFormat="false" ht="14.4" hidden="false" customHeight="false" outlineLevel="0" collapsed="false">
      <c r="A1381" s="27" t="n">
        <v>11100214</v>
      </c>
      <c r="B1381" s="27" t="s">
        <v>1922</v>
      </c>
      <c r="C1381" s="43" t="n">
        <v>1596.67</v>
      </c>
      <c r="D1381" s="27" t="n">
        <v>49.25</v>
      </c>
      <c r="E1381" s="27" t="n">
        <v>432</v>
      </c>
      <c r="F1381" s="27" t="n">
        <v>3.81</v>
      </c>
      <c r="G1381" s="27" t="s">
        <v>1875</v>
      </c>
      <c r="H1381" s="27" t="s">
        <v>2009</v>
      </c>
      <c r="I1381" s="27" t="s">
        <v>1876</v>
      </c>
      <c r="J1381" s="27" t="s">
        <v>2607</v>
      </c>
      <c r="K1381" s="27" t="n">
        <v>1486</v>
      </c>
      <c r="L1381" s="27" t="n">
        <v>710</v>
      </c>
      <c r="M1381" s="28" t="n">
        <f aca="false">IFERROR(VLOOKUP((OFFSET(hoje12_326_ana9,1380,10,1,1)&amp;"."&amp;OFFSET(hoje12_326_ana9,1380,11,1,1)),'12.326'!A:D,4,0),"-")</f>
        <v>37570181000100</v>
      </c>
    </row>
    <row r="1382" customFormat="false" ht="14.4" hidden="false" customHeight="false" outlineLevel="0" collapsed="false">
      <c r="A1382" s="27" t="n">
        <v>11100215</v>
      </c>
      <c r="B1382" s="27" t="s">
        <v>2381</v>
      </c>
      <c r="C1382" s="43" t="n">
        <v>1103.62</v>
      </c>
      <c r="D1382" s="27" t="n">
        <v>33.98</v>
      </c>
      <c r="E1382" s="27" t="n">
        <v>288</v>
      </c>
      <c r="F1382" s="27" t="n">
        <v>3.95</v>
      </c>
      <c r="G1382" s="27" t="s">
        <v>1875</v>
      </c>
      <c r="H1382" s="27" t="s">
        <v>2009</v>
      </c>
      <c r="I1382" s="27" t="s">
        <v>1876</v>
      </c>
      <c r="J1382" s="27" t="s">
        <v>2669</v>
      </c>
      <c r="K1382" s="27" t="n">
        <v>1486</v>
      </c>
      <c r="L1382" s="27" t="n">
        <v>710</v>
      </c>
      <c r="M1382" s="28" t="n">
        <f aca="false">IFERROR(VLOOKUP((OFFSET(hoje12_326_ana9,1381,10,1,1)&amp;"."&amp;OFFSET(hoje12_326_ana9,1381,11,1,1)),'12.326'!A:D,4,0),"-")</f>
        <v>37570181000100</v>
      </c>
    </row>
    <row r="1383" customFormat="false" ht="14.4" hidden="false" customHeight="false" outlineLevel="0" collapsed="false">
      <c r="A1383" s="27" t="n">
        <v>11100216</v>
      </c>
      <c r="B1383" s="27" t="s">
        <v>1923</v>
      </c>
      <c r="C1383" s="43" t="n">
        <v>316.22</v>
      </c>
      <c r="D1383" s="27" t="n">
        <v>79.06</v>
      </c>
      <c r="E1383" s="27" t="n">
        <v>72</v>
      </c>
      <c r="F1383" s="27" t="n">
        <v>5.49</v>
      </c>
      <c r="G1383" s="27" t="s">
        <v>1875</v>
      </c>
      <c r="H1383" s="27" t="s">
        <v>2157</v>
      </c>
      <c r="I1383" s="27" t="s">
        <v>1876</v>
      </c>
      <c r="J1383" s="27" t="s">
        <v>2670</v>
      </c>
      <c r="K1383" s="27" t="n">
        <v>1486</v>
      </c>
      <c r="L1383" s="27" t="n">
        <v>710</v>
      </c>
      <c r="M1383" s="28" t="n">
        <f aca="false">IFERROR(VLOOKUP((OFFSET(hoje12_326_ana9,1382,10,1,1)&amp;"."&amp;OFFSET(hoje12_326_ana9,1382,11,1,1)),'12.326'!A:D,4,0),"-")</f>
        <v>37570181000100</v>
      </c>
    </row>
    <row r="1384" customFormat="false" ht="14.4" hidden="false" customHeight="false" outlineLevel="0" collapsed="false">
      <c r="A1384" s="27" t="n">
        <v>11100239</v>
      </c>
      <c r="B1384" s="27" t="s">
        <v>1924</v>
      </c>
      <c r="C1384" s="43" t="n">
        <v>630</v>
      </c>
      <c r="D1384" s="27" t="n">
        <v>19.44</v>
      </c>
      <c r="E1384" s="27" t="n">
        <v>144</v>
      </c>
      <c r="F1384" s="27" t="n">
        <v>4.51</v>
      </c>
      <c r="G1384" s="27" t="s">
        <v>1875</v>
      </c>
      <c r="H1384" s="27" t="s">
        <v>2009</v>
      </c>
      <c r="I1384" s="27" t="s">
        <v>1876</v>
      </c>
      <c r="J1384" s="27" t="s">
        <v>2671</v>
      </c>
      <c r="K1384" s="27" t="n">
        <v>1486</v>
      </c>
      <c r="L1384" s="27" t="n">
        <v>710</v>
      </c>
      <c r="M1384" s="28" t="n">
        <f aca="false">IFERROR(VLOOKUP((OFFSET(hoje12_326_ana9,1383,10,1,1)&amp;"."&amp;OFFSET(hoje12_326_ana9,1383,11,1,1)),'12.326'!A:D,4,0),"-")</f>
        <v>37570181000100</v>
      </c>
    </row>
    <row r="1385" customFormat="false" ht="14.4" hidden="false" customHeight="false" outlineLevel="0" collapsed="false">
      <c r="A1385" s="27" t="n">
        <v>11100250</v>
      </c>
      <c r="B1385" s="27" t="s">
        <v>2283</v>
      </c>
      <c r="C1385" s="43" t="n">
        <v>744.48</v>
      </c>
      <c r="D1385" s="27" t="n">
        <v>23.04</v>
      </c>
      <c r="E1385" s="27" t="n">
        <v>144</v>
      </c>
      <c r="F1385" s="27" t="n">
        <v>5.33</v>
      </c>
      <c r="G1385" s="27" t="s">
        <v>1875</v>
      </c>
      <c r="H1385" s="27" t="s">
        <v>2009</v>
      </c>
      <c r="I1385" s="27" t="s">
        <v>1876</v>
      </c>
      <c r="J1385" s="27" t="s">
        <v>2672</v>
      </c>
      <c r="K1385" s="27" t="n">
        <v>1486</v>
      </c>
      <c r="L1385" s="27" t="n">
        <v>710</v>
      </c>
      <c r="M1385" s="28" t="n">
        <f aca="false">IFERROR(VLOOKUP((OFFSET(hoje12_326_ana9,1384,10,1,1)&amp;"."&amp;OFFSET(hoje12_326_ana9,1384,11,1,1)),'12.326'!A:D,4,0),"-")</f>
        <v>37570181000100</v>
      </c>
    </row>
    <row r="1386" customFormat="false" ht="14.4" hidden="false" customHeight="false" outlineLevel="0" collapsed="false">
      <c r="A1386" s="27" t="n">
        <v>11100256</v>
      </c>
      <c r="B1386" s="27" t="s">
        <v>1928</v>
      </c>
      <c r="C1386" s="43" t="n">
        <v>80.44</v>
      </c>
      <c r="D1386" s="27" t="n">
        <v>2.48</v>
      </c>
      <c r="E1386" s="27" t="n">
        <v>12</v>
      </c>
      <c r="F1386" s="27" t="n">
        <v>6.91</v>
      </c>
      <c r="G1386" s="27" t="s">
        <v>1875</v>
      </c>
      <c r="H1386" s="27" t="s">
        <v>2009</v>
      </c>
      <c r="I1386" s="27" t="s">
        <v>1876</v>
      </c>
      <c r="J1386" s="27" t="s">
        <v>2673</v>
      </c>
      <c r="K1386" s="27" t="n">
        <v>1486</v>
      </c>
      <c r="L1386" s="27" t="n">
        <v>710</v>
      </c>
      <c r="M1386" s="28" t="n">
        <f aca="false">IFERROR(VLOOKUP((OFFSET(hoje12_326_ana9,1385,10,1,1)&amp;"."&amp;OFFSET(hoje12_326_ana9,1385,11,1,1)),'12.326'!A:D,4,0),"-")</f>
        <v>37570181000100</v>
      </c>
    </row>
    <row r="1387" customFormat="false" ht="14.4" hidden="false" customHeight="false" outlineLevel="0" collapsed="false">
      <c r="A1387" s="27" t="n">
        <v>11100257</v>
      </c>
      <c r="B1387" s="27" t="s">
        <v>2385</v>
      </c>
      <c r="C1387" s="43" t="n">
        <v>85.75</v>
      </c>
      <c r="D1387" s="27" t="n">
        <v>9.53</v>
      </c>
      <c r="E1387" s="27" t="n">
        <v>12</v>
      </c>
      <c r="F1387" s="27" t="n">
        <v>7.94</v>
      </c>
      <c r="G1387" s="27" t="s">
        <v>1875</v>
      </c>
      <c r="H1387" s="27" t="s">
        <v>1895</v>
      </c>
      <c r="I1387" s="27" t="s">
        <v>1876</v>
      </c>
      <c r="J1387" s="27" t="s">
        <v>2674</v>
      </c>
      <c r="K1387" s="27" t="n">
        <v>1486</v>
      </c>
      <c r="L1387" s="27" t="n">
        <v>710</v>
      </c>
      <c r="M1387" s="28" t="n">
        <f aca="false">IFERROR(VLOOKUP((OFFSET(hoje12_326_ana9,1386,10,1,1)&amp;"."&amp;OFFSET(hoje12_326_ana9,1386,11,1,1)),'12.326'!A:D,4,0),"-")</f>
        <v>37570181000100</v>
      </c>
    </row>
    <row r="1388" customFormat="false" ht="14.4" hidden="false" customHeight="false" outlineLevel="0" collapsed="false">
      <c r="A1388" s="27" t="n">
        <v>11100258</v>
      </c>
      <c r="B1388" s="27" t="s">
        <v>2675</v>
      </c>
      <c r="C1388" s="43" t="n">
        <v>92.42</v>
      </c>
      <c r="D1388" s="27" t="n">
        <v>2.86</v>
      </c>
      <c r="E1388" s="27" t="n">
        <v>12</v>
      </c>
      <c r="F1388" s="27" t="n">
        <v>7.94</v>
      </c>
      <c r="G1388" s="27" t="s">
        <v>1875</v>
      </c>
      <c r="H1388" s="27" t="s">
        <v>2009</v>
      </c>
      <c r="I1388" s="27" t="s">
        <v>2625</v>
      </c>
      <c r="J1388" s="27" t="s">
        <v>1877</v>
      </c>
      <c r="K1388" s="27" t="n">
        <v>1486</v>
      </c>
      <c r="L1388" s="27" t="n">
        <v>710</v>
      </c>
      <c r="M1388" s="28" t="n">
        <f aca="false">IFERROR(VLOOKUP((OFFSET(hoje12_326_ana9,1387,10,1,1)&amp;"."&amp;OFFSET(hoje12_326_ana9,1387,11,1,1)),'12.326'!A:D,4,0),"-")</f>
        <v>37570181000100</v>
      </c>
    </row>
    <row r="1389" customFormat="false" ht="14.4" hidden="false" customHeight="false" outlineLevel="0" collapsed="false">
      <c r="A1389" s="27" t="n">
        <v>11100261</v>
      </c>
      <c r="B1389" s="27" t="s">
        <v>1929</v>
      </c>
      <c r="C1389" s="43" t="n">
        <v>85.75</v>
      </c>
      <c r="D1389" s="27" t="n">
        <v>9.53</v>
      </c>
      <c r="E1389" s="27" t="n">
        <v>12</v>
      </c>
      <c r="F1389" s="27" t="n">
        <v>7.94</v>
      </c>
      <c r="G1389" s="27" t="s">
        <v>1875</v>
      </c>
      <c r="H1389" s="27" t="s">
        <v>1895</v>
      </c>
      <c r="I1389" s="27" t="s">
        <v>1876</v>
      </c>
      <c r="J1389" s="27" t="s">
        <v>2674</v>
      </c>
      <c r="K1389" s="27" t="n">
        <v>1486</v>
      </c>
      <c r="L1389" s="27" t="n">
        <v>710</v>
      </c>
      <c r="M1389" s="28" t="n">
        <f aca="false">IFERROR(VLOOKUP((OFFSET(hoje12_326_ana9,1388,10,1,1)&amp;"."&amp;OFFSET(hoje12_326_ana9,1388,11,1,1)),'12.326'!A:D,4,0),"-")</f>
        <v>37570181000100</v>
      </c>
    </row>
    <row r="1390" customFormat="false" ht="14.4" hidden="false" customHeight="false" outlineLevel="0" collapsed="false">
      <c r="A1390" s="27" t="n">
        <v>11100262</v>
      </c>
      <c r="B1390" s="27" t="s">
        <v>1931</v>
      </c>
      <c r="C1390" s="43" t="n">
        <v>85.64</v>
      </c>
      <c r="D1390" s="27" t="n">
        <v>9.52</v>
      </c>
      <c r="E1390" s="27" t="n">
        <v>12</v>
      </c>
      <c r="F1390" s="27" t="n">
        <v>7.93</v>
      </c>
      <c r="G1390" s="27" t="s">
        <v>1875</v>
      </c>
      <c r="H1390" s="27" t="s">
        <v>1895</v>
      </c>
      <c r="I1390" s="27" t="s">
        <v>1876</v>
      </c>
      <c r="J1390" s="27" t="s">
        <v>2676</v>
      </c>
      <c r="K1390" s="27" t="n">
        <v>1486</v>
      </c>
      <c r="L1390" s="27" t="n">
        <v>710</v>
      </c>
      <c r="M1390" s="28" t="n">
        <f aca="false">IFERROR(VLOOKUP((OFFSET(hoje12_326_ana9,1389,10,1,1)&amp;"."&amp;OFFSET(hoje12_326_ana9,1389,11,1,1)),'12.326'!A:D,4,0),"-")</f>
        <v>37570181000100</v>
      </c>
    </row>
    <row r="1391" customFormat="false" ht="14.4" hidden="false" customHeight="false" outlineLevel="0" collapsed="false">
      <c r="A1391" s="27" t="n">
        <v>11100264</v>
      </c>
      <c r="B1391" s="27" t="s">
        <v>1933</v>
      </c>
      <c r="C1391" s="43" t="n">
        <v>85.75</v>
      </c>
      <c r="D1391" s="27" t="n">
        <v>9.53</v>
      </c>
      <c r="E1391" s="27" t="n">
        <v>12</v>
      </c>
      <c r="F1391" s="27" t="n">
        <v>7.94</v>
      </c>
      <c r="G1391" s="27" t="s">
        <v>1875</v>
      </c>
      <c r="H1391" s="27" t="s">
        <v>1895</v>
      </c>
      <c r="I1391" s="27" t="s">
        <v>1876</v>
      </c>
      <c r="J1391" s="27" t="s">
        <v>2674</v>
      </c>
      <c r="K1391" s="27" t="n">
        <v>1486</v>
      </c>
      <c r="L1391" s="27" t="n">
        <v>710</v>
      </c>
      <c r="M1391" s="28" t="n">
        <f aca="false">IFERROR(VLOOKUP((OFFSET(hoje12_326_ana9,1390,10,1,1)&amp;"."&amp;OFFSET(hoje12_326_ana9,1390,11,1,1)),'12.326'!A:D,4,0),"-")</f>
        <v>37570181000100</v>
      </c>
    </row>
    <row r="1392" customFormat="false" ht="14.4" hidden="false" customHeight="false" outlineLevel="0" collapsed="false">
      <c r="A1392" s="27" t="n">
        <v>11100266</v>
      </c>
      <c r="B1392" s="27" t="s">
        <v>2677</v>
      </c>
      <c r="C1392" s="43" t="n">
        <v>85.64</v>
      </c>
      <c r="D1392" s="27" t="n">
        <v>9.52</v>
      </c>
      <c r="E1392" s="27" t="n">
        <v>12</v>
      </c>
      <c r="F1392" s="27" t="n">
        <v>7.93</v>
      </c>
      <c r="G1392" s="27" t="s">
        <v>1875</v>
      </c>
      <c r="H1392" s="27" t="s">
        <v>1895</v>
      </c>
      <c r="I1392" s="27" t="s">
        <v>1876</v>
      </c>
      <c r="J1392" s="27" t="s">
        <v>2676</v>
      </c>
      <c r="K1392" s="27" t="n">
        <v>1486</v>
      </c>
      <c r="L1392" s="27" t="n">
        <v>710</v>
      </c>
      <c r="M1392" s="28" t="n">
        <f aca="false">IFERROR(VLOOKUP((OFFSET(hoje12_326_ana9,1391,10,1,1)&amp;"."&amp;OFFSET(hoje12_326_ana9,1391,11,1,1)),'12.326'!A:D,4,0),"-")</f>
        <v>37570181000100</v>
      </c>
    </row>
    <row r="1393" customFormat="false" ht="14.4" hidden="false" customHeight="false" outlineLevel="0" collapsed="false">
      <c r="A1393" s="27" t="n">
        <v>11100273</v>
      </c>
      <c r="B1393" s="27" t="s">
        <v>2386</v>
      </c>
      <c r="C1393" s="43" t="n">
        <v>85.75</v>
      </c>
      <c r="D1393" s="27" t="n">
        <v>9.53</v>
      </c>
      <c r="E1393" s="27" t="n">
        <v>12</v>
      </c>
      <c r="F1393" s="27" t="n">
        <v>7.94</v>
      </c>
      <c r="G1393" s="27" t="s">
        <v>1875</v>
      </c>
      <c r="H1393" s="27" t="s">
        <v>1895</v>
      </c>
      <c r="I1393" s="27" t="s">
        <v>1876</v>
      </c>
      <c r="J1393" s="27" t="s">
        <v>2674</v>
      </c>
      <c r="K1393" s="27" t="n">
        <v>1486</v>
      </c>
      <c r="L1393" s="27" t="n">
        <v>710</v>
      </c>
      <c r="M1393" s="28" t="n">
        <f aca="false">IFERROR(VLOOKUP((OFFSET(hoje12_326_ana9,1392,10,1,1)&amp;"."&amp;OFFSET(hoje12_326_ana9,1392,11,1,1)),'12.326'!A:D,4,0),"-")</f>
        <v>37570181000100</v>
      </c>
    </row>
    <row r="1394" customFormat="false" ht="14.4" hidden="false" customHeight="false" outlineLevel="0" collapsed="false">
      <c r="A1394" s="27" t="n">
        <v>11100279</v>
      </c>
      <c r="B1394" s="27" t="s">
        <v>2678</v>
      </c>
      <c r="C1394" s="43" t="n">
        <v>85.75</v>
      </c>
      <c r="D1394" s="27" t="n">
        <v>9.53</v>
      </c>
      <c r="E1394" s="27" t="n">
        <v>12</v>
      </c>
      <c r="F1394" s="27" t="n">
        <v>7.94</v>
      </c>
      <c r="G1394" s="27" t="s">
        <v>1875</v>
      </c>
      <c r="H1394" s="27" t="s">
        <v>1895</v>
      </c>
      <c r="I1394" s="27" t="s">
        <v>1876</v>
      </c>
      <c r="J1394" s="27" t="s">
        <v>2674</v>
      </c>
      <c r="K1394" s="27" t="n">
        <v>1486</v>
      </c>
      <c r="L1394" s="27" t="n">
        <v>710</v>
      </c>
      <c r="M1394" s="28" t="n">
        <f aca="false">IFERROR(VLOOKUP((OFFSET(hoje12_326_ana9,1393,10,1,1)&amp;"."&amp;OFFSET(hoje12_326_ana9,1393,11,1,1)),'12.326'!A:D,4,0),"-")</f>
        <v>37570181000100</v>
      </c>
    </row>
    <row r="1395" customFormat="false" ht="14.4" hidden="false" customHeight="false" outlineLevel="0" collapsed="false">
      <c r="A1395" s="27" t="n">
        <v>11100280</v>
      </c>
      <c r="B1395" s="27" t="s">
        <v>1936</v>
      </c>
      <c r="C1395" s="43" t="n">
        <v>85.75</v>
      </c>
      <c r="D1395" s="27" t="n">
        <v>9.53</v>
      </c>
      <c r="E1395" s="27" t="n">
        <v>12</v>
      </c>
      <c r="F1395" s="27" t="n">
        <v>7.94</v>
      </c>
      <c r="G1395" s="27" t="s">
        <v>1875</v>
      </c>
      <c r="H1395" s="27" t="s">
        <v>1895</v>
      </c>
      <c r="I1395" s="27" t="s">
        <v>1876</v>
      </c>
      <c r="J1395" s="27" t="s">
        <v>2674</v>
      </c>
      <c r="K1395" s="27" t="n">
        <v>1486</v>
      </c>
      <c r="L1395" s="27" t="n">
        <v>710</v>
      </c>
      <c r="M1395" s="28" t="n">
        <f aca="false">IFERROR(VLOOKUP((OFFSET(hoje12_326_ana9,1394,10,1,1)&amp;"."&amp;OFFSET(hoje12_326_ana9,1394,11,1,1)),'12.326'!A:D,4,0),"-")</f>
        <v>37570181000100</v>
      </c>
    </row>
    <row r="1396" customFormat="false" ht="14.4" hidden="false" customHeight="false" outlineLevel="0" collapsed="false">
      <c r="A1396" s="27" t="n">
        <v>11100282</v>
      </c>
      <c r="B1396" s="27" t="s">
        <v>2102</v>
      </c>
      <c r="C1396" s="43" t="n">
        <v>85.75</v>
      </c>
      <c r="D1396" s="27" t="n">
        <v>9.53</v>
      </c>
      <c r="E1396" s="27" t="n">
        <v>12</v>
      </c>
      <c r="F1396" s="27" t="n">
        <v>7.94</v>
      </c>
      <c r="G1396" s="27" t="s">
        <v>1875</v>
      </c>
      <c r="H1396" s="27" t="s">
        <v>1895</v>
      </c>
      <c r="I1396" s="27" t="s">
        <v>1876</v>
      </c>
      <c r="J1396" s="27" t="s">
        <v>2674</v>
      </c>
      <c r="K1396" s="27" t="n">
        <v>1486</v>
      </c>
      <c r="L1396" s="27" t="n">
        <v>710</v>
      </c>
      <c r="M1396" s="28" t="n">
        <f aca="false">IFERROR(VLOOKUP((OFFSET(hoje12_326_ana9,1395,10,1,1)&amp;"."&amp;OFFSET(hoje12_326_ana9,1395,11,1,1)),'12.326'!A:D,4,0),"-")</f>
        <v>37570181000100</v>
      </c>
    </row>
    <row r="1397" customFormat="false" ht="14.4" hidden="false" customHeight="false" outlineLevel="0" collapsed="false">
      <c r="A1397" s="27" t="n">
        <v>11100373</v>
      </c>
      <c r="B1397" s="27" t="s">
        <v>2127</v>
      </c>
      <c r="C1397" s="43" t="n">
        <v>64.51</v>
      </c>
      <c r="D1397" s="27" t="n">
        <v>16.13</v>
      </c>
      <c r="E1397" s="27" t="n">
        <v>24</v>
      </c>
      <c r="F1397" s="27" t="n">
        <v>3.36</v>
      </c>
      <c r="G1397" s="27" t="s">
        <v>1875</v>
      </c>
      <c r="H1397" s="27" t="s">
        <v>2157</v>
      </c>
      <c r="I1397" s="27" t="s">
        <v>1876</v>
      </c>
      <c r="J1397" s="27" t="s">
        <v>2334</v>
      </c>
      <c r="K1397" s="27" t="n">
        <v>1486</v>
      </c>
      <c r="L1397" s="27" t="n">
        <v>710</v>
      </c>
      <c r="M1397" s="28" t="n">
        <f aca="false">IFERROR(VLOOKUP((OFFSET(hoje12_326_ana9,1396,10,1,1)&amp;"."&amp;OFFSET(hoje12_326_ana9,1396,11,1,1)),'12.326'!A:D,4,0),"-")</f>
        <v>37570181000100</v>
      </c>
    </row>
    <row r="1398" customFormat="false" ht="14.4" hidden="false" customHeight="false" outlineLevel="0" collapsed="false">
      <c r="A1398" s="27" t="n">
        <v>11100464</v>
      </c>
      <c r="B1398" s="27" t="s">
        <v>1946</v>
      </c>
      <c r="C1398" s="43" t="n">
        <v>336.6</v>
      </c>
      <c r="D1398" s="27" t="n">
        <v>10.44</v>
      </c>
      <c r="E1398" s="27" t="n">
        <v>72</v>
      </c>
      <c r="F1398" s="27" t="n">
        <v>4.82</v>
      </c>
      <c r="G1398" s="27" t="s">
        <v>1875</v>
      </c>
      <c r="H1398" s="27" t="s">
        <v>2009</v>
      </c>
      <c r="I1398" s="27" t="s">
        <v>1876</v>
      </c>
      <c r="J1398" s="27" t="s">
        <v>2637</v>
      </c>
      <c r="K1398" s="27" t="n">
        <v>1486</v>
      </c>
      <c r="L1398" s="27" t="n">
        <v>710</v>
      </c>
      <c r="M1398" s="28" t="n">
        <f aca="false">IFERROR(VLOOKUP((OFFSET(hoje12_326_ana9,1397,10,1,1)&amp;"."&amp;OFFSET(hoje12_326_ana9,1397,11,1,1)),'12.326'!A:D,4,0),"-")</f>
        <v>37570181000100</v>
      </c>
    </row>
    <row r="1399" customFormat="false" ht="14.4" hidden="false" customHeight="false" outlineLevel="0" collapsed="false">
      <c r="A1399" s="27" t="n">
        <v>11100542</v>
      </c>
      <c r="B1399" s="27" t="s">
        <v>2113</v>
      </c>
      <c r="C1399" s="43" t="n">
        <v>56.02</v>
      </c>
      <c r="D1399" s="27" t="n">
        <v>14</v>
      </c>
      <c r="E1399" s="27" t="n">
        <v>6</v>
      </c>
      <c r="F1399" s="27" t="n">
        <v>11.67</v>
      </c>
      <c r="G1399" s="27" t="s">
        <v>1875</v>
      </c>
      <c r="H1399" s="27" t="s">
        <v>2157</v>
      </c>
      <c r="I1399" s="27" t="s">
        <v>1876</v>
      </c>
      <c r="J1399" s="27" t="s">
        <v>2679</v>
      </c>
      <c r="K1399" s="27" t="n">
        <v>1486</v>
      </c>
      <c r="L1399" s="27" t="n">
        <v>710</v>
      </c>
      <c r="M1399" s="28" t="n">
        <f aca="false">IFERROR(VLOOKUP((OFFSET(hoje12_326_ana9,1398,10,1,1)&amp;"."&amp;OFFSET(hoje12_326_ana9,1398,11,1,1)),'12.326'!A:D,4,0),"-")</f>
        <v>37570181000100</v>
      </c>
    </row>
    <row r="1400" customFormat="false" ht="14.4" hidden="false" customHeight="false" outlineLevel="0" collapsed="false">
      <c r="A1400" s="27" t="n">
        <v>11100543</v>
      </c>
      <c r="B1400" s="27" t="s">
        <v>2115</v>
      </c>
      <c r="C1400" s="43" t="n">
        <v>82.32</v>
      </c>
      <c r="D1400" s="27" t="n">
        <v>20.58</v>
      </c>
      <c r="E1400" s="27" t="n">
        <v>6</v>
      </c>
      <c r="F1400" s="27" t="n">
        <v>17.15</v>
      </c>
      <c r="G1400" s="27" t="s">
        <v>1875</v>
      </c>
      <c r="H1400" s="27" t="s">
        <v>2157</v>
      </c>
      <c r="I1400" s="27" t="s">
        <v>1876</v>
      </c>
      <c r="J1400" s="27" t="s">
        <v>2680</v>
      </c>
      <c r="K1400" s="27" t="n">
        <v>1486</v>
      </c>
      <c r="L1400" s="27" t="n">
        <v>710</v>
      </c>
      <c r="M1400" s="28" t="n">
        <f aca="false">IFERROR(VLOOKUP((OFFSET(hoje12_326_ana9,1399,10,1,1)&amp;"."&amp;OFFSET(hoje12_326_ana9,1399,11,1,1)),'12.326'!A:D,4,0),"-")</f>
        <v>37570181000100</v>
      </c>
    </row>
    <row r="1401" customFormat="false" ht="14.4" hidden="false" customHeight="false" outlineLevel="0" collapsed="false">
      <c r="A1401" s="27" t="n">
        <v>11100609</v>
      </c>
      <c r="B1401" s="27" t="s">
        <v>2681</v>
      </c>
      <c r="C1401" s="43" t="n">
        <v>140.72</v>
      </c>
      <c r="D1401" s="27" t="n">
        <v>4.36</v>
      </c>
      <c r="E1401" s="27" t="n">
        <v>18</v>
      </c>
      <c r="F1401" s="27" t="n">
        <v>8.06</v>
      </c>
      <c r="G1401" s="27" t="s">
        <v>1875</v>
      </c>
      <c r="H1401" s="27" t="s">
        <v>2009</v>
      </c>
      <c r="I1401" s="27" t="s">
        <v>2625</v>
      </c>
      <c r="J1401" s="27" t="s">
        <v>1877</v>
      </c>
      <c r="K1401" s="27" t="n">
        <v>1486</v>
      </c>
      <c r="L1401" s="27" t="n">
        <v>710</v>
      </c>
      <c r="M1401" s="28" t="n">
        <f aca="false">IFERROR(VLOOKUP((OFFSET(hoje12_326_ana9,1400,10,1,1)&amp;"."&amp;OFFSET(hoje12_326_ana9,1400,11,1,1)),'12.326'!A:D,4,0),"-")</f>
        <v>37570181000100</v>
      </c>
    </row>
    <row r="1402" customFormat="false" ht="14.4" hidden="false" customHeight="false" outlineLevel="0" collapsed="false">
      <c r="A1402" s="27" t="n">
        <v>11100629</v>
      </c>
      <c r="B1402" s="27" t="s">
        <v>2682</v>
      </c>
      <c r="C1402" s="43" t="n">
        <v>286.34</v>
      </c>
      <c r="D1402" s="27" t="n">
        <v>8.86</v>
      </c>
      <c r="E1402" s="27" t="n">
        <v>24</v>
      </c>
      <c r="F1402" s="27" t="n">
        <v>12.3</v>
      </c>
      <c r="G1402" s="27" t="s">
        <v>1875</v>
      </c>
      <c r="H1402" s="27" t="s">
        <v>2009</v>
      </c>
      <c r="I1402" s="27" t="s">
        <v>1876</v>
      </c>
      <c r="J1402" s="27" t="s">
        <v>2683</v>
      </c>
      <c r="K1402" s="27" t="n">
        <v>1486</v>
      </c>
      <c r="L1402" s="27" t="n">
        <v>710</v>
      </c>
      <c r="M1402" s="28" t="n">
        <f aca="false">IFERROR(VLOOKUP((OFFSET(hoje12_326_ana9,1401,10,1,1)&amp;"."&amp;OFFSET(hoje12_326_ana9,1401,11,1,1)),'12.326'!A:D,4,0),"-")</f>
        <v>37570181000100</v>
      </c>
    </row>
    <row r="1403" customFormat="false" ht="14.4" hidden="false" customHeight="false" outlineLevel="0" collapsed="false">
      <c r="A1403" s="27" t="n">
        <v>11100643</v>
      </c>
      <c r="B1403" s="27" t="s">
        <v>2684</v>
      </c>
      <c r="C1403" s="43" t="n">
        <v>286.34</v>
      </c>
      <c r="D1403" s="27" t="n">
        <v>8.86</v>
      </c>
      <c r="E1403" s="27" t="n">
        <v>24</v>
      </c>
      <c r="F1403" s="27" t="n">
        <v>12.3</v>
      </c>
      <c r="G1403" s="27" t="s">
        <v>1875</v>
      </c>
      <c r="H1403" s="27" t="s">
        <v>2009</v>
      </c>
      <c r="I1403" s="27" t="s">
        <v>1876</v>
      </c>
      <c r="J1403" s="27" t="s">
        <v>2683</v>
      </c>
      <c r="K1403" s="27" t="n">
        <v>1486</v>
      </c>
      <c r="L1403" s="27" t="n">
        <v>710</v>
      </c>
      <c r="M1403" s="28" t="n">
        <f aca="false">IFERROR(VLOOKUP((OFFSET(hoje12_326_ana9,1402,10,1,1)&amp;"."&amp;OFFSET(hoje12_326_ana9,1402,11,1,1)),'12.326'!A:D,4,0),"-")</f>
        <v>37570181000100</v>
      </c>
    </row>
    <row r="1404" customFormat="false" ht="14.4" hidden="false" customHeight="false" outlineLevel="0" collapsed="false">
      <c r="A1404" s="27" t="n">
        <v>11100666</v>
      </c>
      <c r="B1404" s="27" t="s">
        <v>2685</v>
      </c>
      <c r="C1404" s="43" t="n">
        <v>286.34</v>
      </c>
      <c r="D1404" s="27" t="n">
        <v>8.86</v>
      </c>
      <c r="E1404" s="27" t="n">
        <v>24</v>
      </c>
      <c r="F1404" s="27" t="n">
        <v>12.3</v>
      </c>
      <c r="G1404" s="27" t="s">
        <v>1875</v>
      </c>
      <c r="H1404" s="27" t="s">
        <v>2009</v>
      </c>
      <c r="I1404" s="27" t="s">
        <v>1876</v>
      </c>
      <c r="J1404" s="27" t="s">
        <v>2683</v>
      </c>
      <c r="K1404" s="27" t="n">
        <v>1486</v>
      </c>
      <c r="L1404" s="27" t="n">
        <v>710</v>
      </c>
      <c r="M1404" s="28" t="n">
        <f aca="false">IFERROR(VLOOKUP((OFFSET(hoje12_326_ana9,1403,10,1,1)&amp;"."&amp;OFFSET(hoje12_326_ana9,1403,11,1,1)),'12.326'!A:D,4,0),"-")</f>
        <v>37570181000100</v>
      </c>
    </row>
    <row r="1405" customFormat="false" ht="14.4" hidden="false" customHeight="false" outlineLevel="0" collapsed="false">
      <c r="A1405" s="27" t="n">
        <v>11100827</v>
      </c>
      <c r="B1405" s="27" t="s">
        <v>2196</v>
      </c>
      <c r="C1405" s="43" t="n">
        <v>81.76</v>
      </c>
      <c r="D1405" s="27" t="n">
        <v>9.08</v>
      </c>
      <c r="E1405" s="27" t="n">
        <v>12</v>
      </c>
      <c r="F1405" s="27" t="n">
        <v>7.57</v>
      </c>
      <c r="G1405" s="27" t="s">
        <v>1875</v>
      </c>
      <c r="H1405" s="27" t="s">
        <v>1895</v>
      </c>
      <c r="I1405" s="27" t="s">
        <v>1876</v>
      </c>
      <c r="J1405" s="27" t="s">
        <v>1973</v>
      </c>
      <c r="K1405" s="27" t="n">
        <v>1486</v>
      </c>
      <c r="L1405" s="27" t="n">
        <v>710</v>
      </c>
      <c r="M1405" s="28" t="n">
        <f aca="false">IFERROR(VLOOKUP((OFFSET(hoje12_326_ana9,1404,10,1,1)&amp;"."&amp;OFFSET(hoje12_326_ana9,1404,11,1,1)),'12.326'!A:D,4,0),"-")</f>
        <v>37570181000100</v>
      </c>
    </row>
    <row r="1406" customFormat="false" ht="14.4" hidden="false" customHeight="false" outlineLevel="0" collapsed="false">
      <c r="A1406" s="27" t="n">
        <v>11100830</v>
      </c>
      <c r="B1406" s="27" t="s">
        <v>1969</v>
      </c>
      <c r="C1406" s="43" t="n">
        <v>139</v>
      </c>
      <c r="D1406" s="27" t="n">
        <v>15.44</v>
      </c>
      <c r="E1406" s="27" t="n">
        <v>12</v>
      </c>
      <c r="F1406" s="27" t="n">
        <v>12.87</v>
      </c>
      <c r="G1406" s="27" t="s">
        <v>1875</v>
      </c>
      <c r="H1406" s="27" t="s">
        <v>1895</v>
      </c>
      <c r="I1406" s="27" t="s">
        <v>1876</v>
      </c>
      <c r="J1406" s="27" t="s">
        <v>1970</v>
      </c>
      <c r="K1406" s="27" t="n">
        <v>1486</v>
      </c>
      <c r="L1406" s="27" t="n">
        <v>710</v>
      </c>
      <c r="M1406" s="28" t="n">
        <f aca="false">IFERROR(VLOOKUP((OFFSET(hoje12_326_ana9,1405,10,1,1)&amp;"."&amp;OFFSET(hoje12_326_ana9,1405,11,1,1)),'12.326'!A:D,4,0),"-")</f>
        <v>37570181000100</v>
      </c>
    </row>
    <row r="1407" customFormat="false" ht="14.4" hidden="false" customHeight="false" outlineLevel="0" collapsed="false">
      <c r="A1407" s="27" t="n">
        <v>11100831</v>
      </c>
      <c r="B1407" s="27" t="s">
        <v>2686</v>
      </c>
      <c r="C1407" s="43" t="n">
        <v>139</v>
      </c>
      <c r="D1407" s="27" t="n">
        <v>15.44</v>
      </c>
      <c r="E1407" s="27" t="n">
        <v>12</v>
      </c>
      <c r="F1407" s="27" t="n">
        <v>12.87</v>
      </c>
      <c r="G1407" s="27" t="s">
        <v>1875</v>
      </c>
      <c r="H1407" s="27" t="s">
        <v>1895</v>
      </c>
      <c r="I1407" s="27" t="s">
        <v>1876</v>
      </c>
      <c r="J1407" s="27" t="s">
        <v>1970</v>
      </c>
      <c r="K1407" s="27" t="n">
        <v>1486</v>
      </c>
      <c r="L1407" s="27" t="n">
        <v>710</v>
      </c>
      <c r="M1407" s="28" t="n">
        <f aca="false">IFERROR(VLOOKUP((OFFSET(hoje12_326_ana9,1406,10,1,1)&amp;"."&amp;OFFSET(hoje12_326_ana9,1406,11,1,1)),'12.326'!A:D,4,0),"-")</f>
        <v>37570181000100</v>
      </c>
    </row>
    <row r="1408" customFormat="false" ht="14.4" hidden="false" customHeight="false" outlineLevel="0" collapsed="false">
      <c r="A1408" s="27" t="n">
        <v>11100832</v>
      </c>
      <c r="B1408" s="27" t="s">
        <v>2687</v>
      </c>
      <c r="C1408" s="43" t="n">
        <v>44.06</v>
      </c>
      <c r="D1408" s="27" t="n">
        <v>1.36</v>
      </c>
      <c r="E1408" s="27" t="n">
        <v>6</v>
      </c>
      <c r="F1408" s="27" t="n">
        <v>7.57</v>
      </c>
      <c r="G1408" s="27" t="s">
        <v>1875</v>
      </c>
      <c r="H1408" s="27" t="s">
        <v>2009</v>
      </c>
      <c r="I1408" s="27" t="s">
        <v>1876</v>
      </c>
      <c r="J1408" s="27" t="s">
        <v>2688</v>
      </c>
      <c r="K1408" s="27" t="n">
        <v>1486</v>
      </c>
      <c r="L1408" s="27" t="n">
        <v>710</v>
      </c>
      <c r="M1408" s="28" t="n">
        <f aca="false">IFERROR(VLOOKUP((OFFSET(hoje12_326_ana9,1407,10,1,1)&amp;"."&amp;OFFSET(hoje12_326_ana9,1407,11,1,1)),'12.326'!A:D,4,0),"-")</f>
        <v>37570181000100</v>
      </c>
    </row>
    <row r="1409" customFormat="false" ht="14.4" hidden="false" customHeight="false" outlineLevel="0" collapsed="false">
      <c r="A1409" s="27" t="n">
        <v>11100836</v>
      </c>
      <c r="B1409" s="27" t="s">
        <v>2069</v>
      </c>
      <c r="C1409" s="43" t="n">
        <v>81.76</v>
      </c>
      <c r="D1409" s="27" t="n">
        <v>9.08</v>
      </c>
      <c r="E1409" s="27" t="n">
        <v>12</v>
      </c>
      <c r="F1409" s="27" t="n">
        <v>7.57</v>
      </c>
      <c r="G1409" s="27" t="s">
        <v>1875</v>
      </c>
      <c r="H1409" s="27" t="s">
        <v>1895</v>
      </c>
      <c r="I1409" s="27" t="s">
        <v>1876</v>
      </c>
      <c r="J1409" s="27" t="s">
        <v>1973</v>
      </c>
      <c r="K1409" s="27" t="n">
        <v>1486</v>
      </c>
      <c r="L1409" s="27" t="n">
        <v>710</v>
      </c>
      <c r="M1409" s="28" t="n">
        <f aca="false">IFERROR(VLOOKUP((OFFSET(hoje12_326_ana9,1408,10,1,1)&amp;"."&amp;OFFSET(hoje12_326_ana9,1408,11,1,1)),'12.326'!A:D,4,0),"-")</f>
        <v>37570181000100</v>
      </c>
    </row>
    <row r="1410" customFormat="false" ht="14.4" hidden="false" customHeight="false" outlineLevel="0" collapsed="false">
      <c r="A1410" s="27" t="n">
        <v>11100837</v>
      </c>
      <c r="B1410" s="27" t="s">
        <v>1971</v>
      </c>
      <c r="C1410" s="43" t="n">
        <v>278.21</v>
      </c>
      <c r="D1410" s="27" t="n">
        <v>8.59</v>
      </c>
      <c r="E1410" s="27" t="n">
        <v>24</v>
      </c>
      <c r="F1410" s="27" t="n">
        <v>11.95</v>
      </c>
      <c r="G1410" s="27" t="s">
        <v>1875</v>
      </c>
      <c r="H1410" s="27" t="s">
        <v>2009</v>
      </c>
      <c r="I1410" s="27" t="s">
        <v>1876</v>
      </c>
      <c r="J1410" s="27" t="s">
        <v>2689</v>
      </c>
      <c r="K1410" s="27" t="n">
        <v>1486</v>
      </c>
      <c r="L1410" s="27" t="n">
        <v>710</v>
      </c>
      <c r="M1410" s="28" t="n">
        <f aca="false">IFERROR(VLOOKUP((OFFSET(hoje12_326_ana9,1409,10,1,1)&amp;"."&amp;OFFSET(hoje12_326_ana9,1409,11,1,1)),'12.326'!A:D,4,0),"-")</f>
        <v>37570181000100</v>
      </c>
    </row>
    <row r="1411" customFormat="false" ht="14.4" hidden="false" customHeight="false" outlineLevel="0" collapsed="false">
      <c r="A1411" s="27" t="n">
        <v>11100838</v>
      </c>
      <c r="B1411" s="27" t="s">
        <v>1972</v>
      </c>
      <c r="C1411" s="43" t="n">
        <v>81.76</v>
      </c>
      <c r="D1411" s="27" t="n">
        <v>9.08</v>
      </c>
      <c r="E1411" s="27" t="n">
        <v>12</v>
      </c>
      <c r="F1411" s="27" t="n">
        <v>7.57</v>
      </c>
      <c r="G1411" s="27" t="s">
        <v>1875</v>
      </c>
      <c r="H1411" s="27" t="s">
        <v>1895</v>
      </c>
      <c r="I1411" s="27" t="s">
        <v>1876</v>
      </c>
      <c r="J1411" s="27" t="s">
        <v>1973</v>
      </c>
      <c r="K1411" s="27" t="n">
        <v>1486</v>
      </c>
      <c r="L1411" s="27" t="n">
        <v>710</v>
      </c>
      <c r="M1411" s="28" t="n">
        <f aca="false">IFERROR(VLOOKUP((OFFSET(hoje12_326_ana9,1410,10,1,1)&amp;"."&amp;OFFSET(hoje12_326_ana9,1410,11,1,1)),'12.326'!A:D,4,0),"-")</f>
        <v>37570181000100</v>
      </c>
    </row>
    <row r="1412" customFormat="false" ht="14.4" hidden="false" customHeight="false" outlineLevel="0" collapsed="false">
      <c r="A1412" s="27" t="n">
        <v>11100839</v>
      </c>
      <c r="B1412" s="27" t="s">
        <v>2690</v>
      </c>
      <c r="C1412" s="43" t="n">
        <v>278.21</v>
      </c>
      <c r="D1412" s="27" t="n">
        <v>8.59</v>
      </c>
      <c r="E1412" s="27" t="n">
        <v>24</v>
      </c>
      <c r="F1412" s="27" t="n">
        <v>11.95</v>
      </c>
      <c r="G1412" s="27" t="s">
        <v>1875</v>
      </c>
      <c r="H1412" s="27" t="s">
        <v>2009</v>
      </c>
      <c r="I1412" s="27" t="s">
        <v>1876</v>
      </c>
      <c r="J1412" s="27" t="s">
        <v>2689</v>
      </c>
      <c r="K1412" s="27" t="n">
        <v>1486</v>
      </c>
      <c r="L1412" s="27" t="n">
        <v>710</v>
      </c>
      <c r="M1412" s="28" t="n">
        <f aca="false">IFERROR(VLOOKUP((OFFSET(hoje12_326_ana9,1411,10,1,1)&amp;"."&amp;OFFSET(hoje12_326_ana9,1411,11,1,1)),'12.326'!A:D,4,0),"-")</f>
        <v>37570181000100</v>
      </c>
    </row>
    <row r="1413" customFormat="false" ht="14.4" hidden="false" customHeight="false" outlineLevel="0" collapsed="false">
      <c r="A1413" s="27" t="n">
        <v>11100841</v>
      </c>
      <c r="B1413" s="27" t="s">
        <v>1974</v>
      </c>
      <c r="C1413" s="43" t="n">
        <v>81.76</v>
      </c>
      <c r="D1413" s="27" t="n">
        <v>9.08</v>
      </c>
      <c r="E1413" s="27" t="n">
        <v>12</v>
      </c>
      <c r="F1413" s="27" t="n">
        <v>7.57</v>
      </c>
      <c r="G1413" s="27" t="s">
        <v>1875</v>
      </c>
      <c r="H1413" s="27" t="s">
        <v>1895</v>
      </c>
      <c r="I1413" s="27" t="s">
        <v>1876</v>
      </c>
      <c r="J1413" s="27" t="s">
        <v>1973</v>
      </c>
      <c r="K1413" s="27" t="n">
        <v>1486</v>
      </c>
      <c r="L1413" s="27" t="n">
        <v>710</v>
      </c>
      <c r="M1413" s="28" t="n">
        <f aca="false">IFERROR(VLOOKUP((OFFSET(hoje12_326_ana9,1412,10,1,1)&amp;"."&amp;OFFSET(hoje12_326_ana9,1412,11,1,1)),'12.326'!A:D,4,0),"-")</f>
        <v>37570181000100</v>
      </c>
    </row>
    <row r="1414" customFormat="false" ht="14.4" hidden="false" customHeight="false" outlineLevel="0" collapsed="false">
      <c r="A1414" s="27" t="n">
        <v>11100843</v>
      </c>
      <c r="B1414" s="27" t="s">
        <v>1975</v>
      </c>
      <c r="C1414" s="43" t="n">
        <v>81.76</v>
      </c>
      <c r="D1414" s="27" t="n">
        <v>9.08</v>
      </c>
      <c r="E1414" s="27" t="n">
        <v>12</v>
      </c>
      <c r="F1414" s="27" t="n">
        <v>7.57</v>
      </c>
      <c r="G1414" s="27" t="s">
        <v>1875</v>
      </c>
      <c r="H1414" s="27" t="s">
        <v>1895</v>
      </c>
      <c r="I1414" s="27" t="s">
        <v>1876</v>
      </c>
      <c r="J1414" s="27" t="s">
        <v>1973</v>
      </c>
      <c r="K1414" s="27" t="n">
        <v>1486</v>
      </c>
      <c r="L1414" s="27" t="n">
        <v>710</v>
      </c>
      <c r="M1414" s="28" t="n">
        <f aca="false">IFERROR(VLOOKUP((OFFSET(hoje12_326_ana9,1413,10,1,1)&amp;"."&amp;OFFSET(hoje12_326_ana9,1413,11,1,1)),'12.326'!A:D,4,0),"-")</f>
        <v>37570181000100</v>
      </c>
    </row>
    <row r="1415" customFormat="false" ht="14.4" hidden="false" customHeight="false" outlineLevel="0" collapsed="false">
      <c r="A1415" s="27" t="n">
        <v>11100850</v>
      </c>
      <c r="B1415" s="27" t="s">
        <v>2409</v>
      </c>
      <c r="C1415" s="43" t="n">
        <v>81.76</v>
      </c>
      <c r="D1415" s="27" t="n">
        <v>9.08</v>
      </c>
      <c r="E1415" s="27" t="n">
        <v>12</v>
      </c>
      <c r="F1415" s="27" t="n">
        <v>7.57</v>
      </c>
      <c r="G1415" s="27" t="s">
        <v>1875</v>
      </c>
      <c r="H1415" s="27" t="s">
        <v>1895</v>
      </c>
      <c r="I1415" s="27" t="s">
        <v>1876</v>
      </c>
      <c r="J1415" s="27" t="s">
        <v>1973</v>
      </c>
      <c r="K1415" s="27" t="n">
        <v>1486</v>
      </c>
      <c r="L1415" s="27" t="n">
        <v>710</v>
      </c>
      <c r="M1415" s="28" t="n">
        <f aca="false">IFERROR(VLOOKUP((OFFSET(hoje12_326_ana9,1414,10,1,1)&amp;"."&amp;OFFSET(hoje12_326_ana9,1414,11,1,1)),'12.326'!A:D,4,0),"-")</f>
        <v>37570181000100</v>
      </c>
    </row>
    <row r="1416" customFormat="false" ht="14.4" hidden="false" customHeight="false" outlineLevel="0" collapsed="false">
      <c r="A1416" s="27" t="n">
        <v>11100860</v>
      </c>
      <c r="B1416" s="27" t="s">
        <v>2471</v>
      </c>
      <c r="C1416" s="43" t="n">
        <v>347.76</v>
      </c>
      <c r="D1416" s="27" t="n">
        <v>10.74</v>
      </c>
      <c r="E1416" s="27" t="n">
        <v>30</v>
      </c>
      <c r="F1416" s="27" t="n">
        <v>11.95</v>
      </c>
      <c r="G1416" s="27" t="s">
        <v>1875</v>
      </c>
      <c r="H1416" s="27" t="s">
        <v>2009</v>
      </c>
      <c r="I1416" s="27" t="s">
        <v>1876</v>
      </c>
      <c r="J1416" s="27" t="s">
        <v>2691</v>
      </c>
      <c r="K1416" s="27" t="n">
        <v>1486</v>
      </c>
      <c r="L1416" s="27" t="n">
        <v>710</v>
      </c>
      <c r="M1416" s="28" t="n">
        <f aca="false">IFERROR(VLOOKUP((OFFSET(hoje12_326_ana9,1415,10,1,1)&amp;"."&amp;OFFSET(hoje12_326_ana9,1415,11,1,1)),'12.326'!A:D,4,0),"-")</f>
        <v>37570181000100</v>
      </c>
    </row>
    <row r="1417" customFormat="false" ht="14.4" hidden="false" customHeight="false" outlineLevel="0" collapsed="false">
      <c r="A1417" s="27" t="n">
        <v>11100861</v>
      </c>
      <c r="B1417" s="27" t="s">
        <v>1992</v>
      </c>
      <c r="C1417" s="43" t="n">
        <v>81.76</v>
      </c>
      <c r="D1417" s="27" t="n">
        <v>9.08</v>
      </c>
      <c r="E1417" s="27" t="n">
        <v>12</v>
      </c>
      <c r="F1417" s="27" t="n">
        <v>7.57</v>
      </c>
      <c r="G1417" s="27" t="s">
        <v>1875</v>
      </c>
      <c r="H1417" s="27" t="s">
        <v>1895</v>
      </c>
      <c r="I1417" s="27" t="s">
        <v>1876</v>
      </c>
      <c r="J1417" s="27" t="s">
        <v>1973</v>
      </c>
      <c r="K1417" s="27" t="n">
        <v>1486</v>
      </c>
      <c r="L1417" s="27" t="n">
        <v>710</v>
      </c>
      <c r="M1417" s="28" t="n">
        <f aca="false">IFERROR(VLOOKUP((OFFSET(hoje12_326_ana9,1416,10,1,1)&amp;"."&amp;OFFSET(hoje12_326_ana9,1416,11,1,1)),'12.326'!A:D,4,0),"-")</f>
        <v>37570181000100</v>
      </c>
    </row>
    <row r="1418" customFormat="false" ht="14.4" hidden="false" customHeight="false" outlineLevel="0" collapsed="false">
      <c r="A1418" s="27" t="n">
        <v>11100863</v>
      </c>
      <c r="B1418" s="27" t="s">
        <v>1981</v>
      </c>
      <c r="C1418" s="43" t="n">
        <v>81.76</v>
      </c>
      <c r="D1418" s="27" t="n">
        <v>9.08</v>
      </c>
      <c r="E1418" s="27" t="n">
        <v>12</v>
      </c>
      <c r="F1418" s="27" t="n">
        <v>7.57</v>
      </c>
      <c r="G1418" s="27" t="s">
        <v>1875</v>
      </c>
      <c r="H1418" s="27" t="s">
        <v>1895</v>
      </c>
      <c r="I1418" s="27" t="s">
        <v>1876</v>
      </c>
      <c r="J1418" s="27" t="s">
        <v>1973</v>
      </c>
      <c r="K1418" s="27" t="n">
        <v>1486</v>
      </c>
      <c r="L1418" s="27" t="n">
        <v>710</v>
      </c>
      <c r="M1418" s="28" t="n">
        <f aca="false">IFERROR(VLOOKUP((OFFSET(hoje12_326_ana9,1417,10,1,1)&amp;"."&amp;OFFSET(hoje12_326_ana9,1417,11,1,1)),'12.326'!A:D,4,0),"-")</f>
        <v>37570181000100</v>
      </c>
    </row>
    <row r="1419" customFormat="false" ht="14.4" hidden="false" customHeight="false" outlineLevel="0" collapsed="false">
      <c r="A1419" s="27" t="n">
        <v>11100865</v>
      </c>
      <c r="B1419" s="27" t="s">
        <v>1982</v>
      </c>
      <c r="C1419" s="43" t="n">
        <v>81.76</v>
      </c>
      <c r="D1419" s="27" t="n">
        <v>9.08</v>
      </c>
      <c r="E1419" s="27" t="n">
        <v>12</v>
      </c>
      <c r="F1419" s="27" t="n">
        <v>7.57</v>
      </c>
      <c r="G1419" s="27" t="s">
        <v>1875</v>
      </c>
      <c r="H1419" s="27" t="s">
        <v>1895</v>
      </c>
      <c r="I1419" s="27" t="s">
        <v>1876</v>
      </c>
      <c r="J1419" s="27" t="s">
        <v>1973</v>
      </c>
      <c r="K1419" s="27" t="n">
        <v>1486</v>
      </c>
      <c r="L1419" s="27" t="n">
        <v>710</v>
      </c>
      <c r="M1419" s="28" t="n">
        <f aca="false">IFERROR(VLOOKUP((OFFSET(hoje12_326_ana9,1418,10,1,1)&amp;"."&amp;OFFSET(hoje12_326_ana9,1418,11,1,1)),'12.326'!A:D,4,0),"-")</f>
        <v>37570181000100</v>
      </c>
    </row>
    <row r="1420" customFormat="false" ht="14.4" hidden="false" customHeight="false" outlineLevel="0" collapsed="false">
      <c r="A1420" s="27" t="n">
        <v>11100870</v>
      </c>
      <c r="B1420" s="27" t="s">
        <v>2692</v>
      </c>
      <c r="C1420" s="43" t="n">
        <v>208.66</v>
      </c>
      <c r="D1420" s="27" t="n">
        <v>6.44</v>
      </c>
      <c r="E1420" s="27" t="n">
        <v>18</v>
      </c>
      <c r="F1420" s="27" t="n">
        <v>11.95</v>
      </c>
      <c r="G1420" s="27" t="s">
        <v>1875</v>
      </c>
      <c r="H1420" s="27" t="s">
        <v>2009</v>
      </c>
      <c r="I1420" s="27" t="s">
        <v>1876</v>
      </c>
      <c r="J1420" s="27" t="s">
        <v>2693</v>
      </c>
      <c r="K1420" s="27" t="n">
        <v>1486</v>
      </c>
      <c r="L1420" s="27" t="n">
        <v>710</v>
      </c>
      <c r="M1420" s="28" t="n">
        <f aca="false">IFERROR(VLOOKUP((OFFSET(hoje12_326_ana9,1419,10,1,1)&amp;"."&amp;OFFSET(hoje12_326_ana9,1419,11,1,1)),'12.326'!A:D,4,0),"-")</f>
        <v>37570181000100</v>
      </c>
    </row>
    <row r="1421" customFormat="false" ht="14.4" hidden="false" customHeight="false" outlineLevel="0" collapsed="false">
      <c r="A1421" s="27" t="n">
        <v>11100928</v>
      </c>
      <c r="B1421" s="27" t="s">
        <v>2476</v>
      </c>
      <c r="C1421" s="43" t="n">
        <v>2043.07</v>
      </c>
      <c r="D1421" s="27" t="n">
        <v>63.17</v>
      </c>
      <c r="E1421" s="27" t="n">
        <v>192</v>
      </c>
      <c r="F1421" s="27" t="n">
        <v>10.97</v>
      </c>
      <c r="G1421" s="27" t="s">
        <v>1875</v>
      </c>
      <c r="H1421" s="27" t="s">
        <v>2009</v>
      </c>
      <c r="I1421" s="27" t="s">
        <v>1876</v>
      </c>
      <c r="J1421" s="27" t="s">
        <v>2694</v>
      </c>
      <c r="K1421" s="27" t="n">
        <v>1486</v>
      </c>
      <c r="L1421" s="27" t="n">
        <v>710</v>
      </c>
      <c r="M1421" s="28" t="n">
        <f aca="false">IFERROR(VLOOKUP((OFFSET(hoje12_326_ana9,1420,10,1,1)&amp;"."&amp;OFFSET(hoje12_326_ana9,1420,11,1,1)),'12.326'!A:D,4,0),"-")</f>
        <v>37570181000100</v>
      </c>
    </row>
    <row r="1422" customFormat="false" ht="14.4" hidden="false" customHeight="false" outlineLevel="0" collapsed="false">
      <c r="A1422" s="27" t="n">
        <v>11100955</v>
      </c>
      <c r="B1422" s="27" t="s">
        <v>2252</v>
      </c>
      <c r="C1422" s="43" t="n">
        <v>382.75</v>
      </c>
      <c r="D1422" s="27" t="n">
        <v>11.81</v>
      </c>
      <c r="E1422" s="27" t="n">
        <v>144</v>
      </c>
      <c r="F1422" s="27" t="n">
        <v>2.74</v>
      </c>
      <c r="G1422" s="27" t="s">
        <v>1875</v>
      </c>
      <c r="H1422" s="27" t="s">
        <v>2009</v>
      </c>
      <c r="I1422" s="27" t="s">
        <v>1876</v>
      </c>
      <c r="J1422" s="27" t="s">
        <v>2695</v>
      </c>
      <c r="K1422" s="27" t="n">
        <v>1486</v>
      </c>
      <c r="L1422" s="27" t="n">
        <v>710</v>
      </c>
      <c r="M1422" s="28" t="n">
        <f aca="false">IFERROR(VLOOKUP((OFFSET(hoje12_326_ana9,1421,10,1,1)&amp;"."&amp;OFFSET(hoje12_326_ana9,1421,11,1,1)),'12.326'!A:D,4,0),"-")</f>
        <v>37570181000100</v>
      </c>
    </row>
    <row r="1423" customFormat="false" ht="14.4" hidden="false" customHeight="false" outlineLevel="0" collapsed="false">
      <c r="A1423" s="27" t="n">
        <v>11100968</v>
      </c>
      <c r="B1423" s="27" t="s">
        <v>2125</v>
      </c>
      <c r="C1423" s="43" t="n">
        <v>44.26</v>
      </c>
      <c r="D1423" s="27" t="n">
        <v>11.06</v>
      </c>
      <c r="E1423" s="27" t="n">
        <v>6</v>
      </c>
      <c r="F1423" s="27" t="n">
        <v>9.22</v>
      </c>
      <c r="G1423" s="27" t="s">
        <v>1875</v>
      </c>
      <c r="H1423" s="27" t="s">
        <v>2157</v>
      </c>
      <c r="I1423" s="27" t="s">
        <v>1876</v>
      </c>
      <c r="J1423" s="27" t="s">
        <v>2696</v>
      </c>
      <c r="K1423" s="27" t="n">
        <v>1486</v>
      </c>
      <c r="L1423" s="27" t="n">
        <v>710</v>
      </c>
      <c r="M1423" s="28" t="n">
        <f aca="false">IFERROR(VLOOKUP((OFFSET(hoje12_326_ana9,1422,10,1,1)&amp;"."&amp;OFFSET(hoje12_326_ana9,1422,11,1,1)),'12.326'!A:D,4,0),"-")</f>
        <v>37570181000100</v>
      </c>
    </row>
    <row r="1424" customFormat="false" ht="14.4" hidden="false" customHeight="false" outlineLevel="0" collapsed="false">
      <c r="A1424" s="27" t="n">
        <v>11100971</v>
      </c>
      <c r="B1424" s="27" t="s">
        <v>2253</v>
      </c>
      <c r="C1424" s="43" t="n">
        <v>115.78</v>
      </c>
      <c r="D1424" s="27" t="n">
        <v>28.94</v>
      </c>
      <c r="E1424" s="27" t="n">
        <v>12</v>
      </c>
      <c r="F1424" s="27" t="n">
        <v>12.06</v>
      </c>
      <c r="G1424" s="27" t="s">
        <v>1875</v>
      </c>
      <c r="H1424" s="27" t="s">
        <v>2157</v>
      </c>
      <c r="I1424" s="27" t="s">
        <v>1876</v>
      </c>
      <c r="J1424" s="27" t="s">
        <v>2697</v>
      </c>
      <c r="K1424" s="27" t="n">
        <v>1486</v>
      </c>
      <c r="L1424" s="27" t="n">
        <v>710</v>
      </c>
      <c r="M1424" s="28" t="n">
        <f aca="false">IFERROR(VLOOKUP((OFFSET(hoje12_326_ana9,1423,10,1,1)&amp;"."&amp;OFFSET(hoje12_326_ana9,1423,11,1,1)),'12.326'!A:D,4,0),"-")</f>
        <v>37570181000100</v>
      </c>
    </row>
    <row r="1425" customFormat="false" ht="14.4" hidden="false" customHeight="false" outlineLevel="0" collapsed="false">
      <c r="A1425" s="27" t="n">
        <v>11100972</v>
      </c>
      <c r="B1425" s="27" t="s">
        <v>2308</v>
      </c>
      <c r="C1425" s="43" t="n">
        <v>139.87</v>
      </c>
      <c r="D1425" s="27" t="n">
        <v>34.97</v>
      </c>
      <c r="E1425" s="27" t="n">
        <v>12</v>
      </c>
      <c r="F1425" s="27" t="n">
        <v>14.57</v>
      </c>
      <c r="G1425" s="27" t="s">
        <v>1875</v>
      </c>
      <c r="H1425" s="27" t="s">
        <v>2157</v>
      </c>
      <c r="I1425" s="27" t="s">
        <v>1876</v>
      </c>
      <c r="J1425" s="27" t="s">
        <v>2698</v>
      </c>
      <c r="K1425" s="27" t="n">
        <v>1486</v>
      </c>
      <c r="L1425" s="27" t="n">
        <v>710</v>
      </c>
      <c r="M1425" s="28" t="n">
        <f aca="false">IFERROR(VLOOKUP((OFFSET(hoje12_326_ana9,1424,10,1,1)&amp;"."&amp;OFFSET(hoje12_326_ana9,1424,11,1,1)),'12.326'!A:D,4,0),"-")</f>
        <v>37570181000100</v>
      </c>
    </row>
    <row r="1426" customFormat="false" ht="14.4" hidden="false" customHeight="false" outlineLevel="0" collapsed="false">
      <c r="A1426" s="27" t="n">
        <v>11100976</v>
      </c>
      <c r="B1426" s="27" t="s">
        <v>2139</v>
      </c>
      <c r="C1426" s="43" t="n">
        <v>158.98</v>
      </c>
      <c r="D1426" s="27" t="n">
        <v>72.14</v>
      </c>
      <c r="E1426" s="27" t="n">
        <v>108</v>
      </c>
      <c r="F1426" s="27" t="n">
        <v>2.14</v>
      </c>
      <c r="G1426" s="27" t="s">
        <v>1875</v>
      </c>
      <c r="H1426" s="27" t="s">
        <v>2488</v>
      </c>
      <c r="I1426" s="27" t="s">
        <v>1876</v>
      </c>
      <c r="J1426" s="27" t="s">
        <v>2699</v>
      </c>
      <c r="K1426" s="27" t="n">
        <v>1486</v>
      </c>
      <c r="L1426" s="27" t="n">
        <v>710</v>
      </c>
      <c r="M1426" s="28" t="n">
        <f aca="false">IFERROR(VLOOKUP((OFFSET(hoje12_326_ana9,1425,10,1,1)&amp;"."&amp;OFFSET(hoje12_326_ana9,1425,11,1,1)),'12.326'!A:D,4,0),"-")</f>
        <v>37570181000100</v>
      </c>
    </row>
    <row r="1427" customFormat="false" ht="14.4" hidden="false" customHeight="false" outlineLevel="0" collapsed="false">
      <c r="A1427" s="27" t="n">
        <v>11100977</v>
      </c>
      <c r="B1427" s="27" t="s">
        <v>2445</v>
      </c>
      <c r="C1427" s="43" t="n">
        <v>177.55</v>
      </c>
      <c r="D1427" s="27" t="n">
        <v>63.65</v>
      </c>
      <c r="E1427" s="27" t="n">
        <v>72</v>
      </c>
      <c r="F1427" s="27" t="n">
        <v>3.35</v>
      </c>
      <c r="G1427" s="27" t="s">
        <v>1875</v>
      </c>
      <c r="H1427" s="27" t="s">
        <v>2490</v>
      </c>
      <c r="I1427" s="27" t="s">
        <v>1876</v>
      </c>
      <c r="J1427" s="27" t="s">
        <v>2700</v>
      </c>
      <c r="K1427" s="27" t="n">
        <v>1486</v>
      </c>
      <c r="L1427" s="27" t="n">
        <v>710</v>
      </c>
      <c r="M1427" s="28" t="n">
        <f aca="false">IFERROR(VLOOKUP((OFFSET(hoje12_326_ana9,1426,10,1,1)&amp;"."&amp;OFFSET(hoje12_326_ana9,1426,11,1,1)),'12.326'!A:D,4,0),"-")</f>
        <v>37570181000100</v>
      </c>
    </row>
    <row r="1428" customFormat="false" ht="14.4" hidden="false" customHeight="false" outlineLevel="0" collapsed="false">
      <c r="A1428" s="27" t="n">
        <v>11100978</v>
      </c>
      <c r="B1428" s="27" t="s">
        <v>2255</v>
      </c>
      <c r="C1428" s="43" t="n">
        <v>217.15</v>
      </c>
      <c r="D1428" s="27" t="n">
        <v>54.29</v>
      </c>
      <c r="E1428" s="27" t="n">
        <v>12</v>
      </c>
      <c r="F1428" s="27" t="n">
        <v>22.62</v>
      </c>
      <c r="G1428" s="27" t="s">
        <v>1875</v>
      </c>
      <c r="H1428" s="27" t="s">
        <v>2157</v>
      </c>
      <c r="I1428" s="27" t="s">
        <v>1876</v>
      </c>
      <c r="J1428" s="27" t="s">
        <v>2701</v>
      </c>
      <c r="K1428" s="27" t="n">
        <v>1486</v>
      </c>
      <c r="L1428" s="27" t="n">
        <v>710</v>
      </c>
      <c r="M1428" s="28" t="n">
        <f aca="false">IFERROR(VLOOKUP((OFFSET(hoje12_326_ana9,1427,10,1,1)&amp;"."&amp;OFFSET(hoje12_326_ana9,1427,11,1,1)),'12.326'!A:D,4,0),"-")</f>
        <v>37570181000100</v>
      </c>
    </row>
    <row r="1429" customFormat="false" ht="14.4" hidden="false" customHeight="false" outlineLevel="0" collapsed="false">
      <c r="A1429" s="27" t="n">
        <v>11100984</v>
      </c>
      <c r="B1429" s="27" t="s">
        <v>2257</v>
      </c>
      <c r="C1429" s="43" t="n">
        <v>123.84</v>
      </c>
      <c r="D1429" s="27" t="n">
        <v>30.96</v>
      </c>
      <c r="E1429" s="27" t="n">
        <v>12</v>
      </c>
      <c r="F1429" s="27" t="n">
        <v>12.9</v>
      </c>
      <c r="G1429" s="27" t="s">
        <v>1875</v>
      </c>
      <c r="H1429" s="27" t="s">
        <v>2157</v>
      </c>
      <c r="I1429" s="27" t="s">
        <v>1876</v>
      </c>
      <c r="J1429" s="27" t="s">
        <v>2702</v>
      </c>
      <c r="K1429" s="27" t="n">
        <v>1486</v>
      </c>
      <c r="L1429" s="27" t="n">
        <v>710</v>
      </c>
      <c r="M1429" s="28" t="n">
        <f aca="false">IFERROR(VLOOKUP((OFFSET(hoje12_326_ana9,1428,10,1,1)&amp;"."&amp;OFFSET(hoje12_326_ana9,1428,11,1,1)),'12.326'!A:D,4,0),"-")</f>
        <v>37570181000100</v>
      </c>
    </row>
    <row r="1430" customFormat="false" ht="14.4" hidden="false" customHeight="false" outlineLevel="0" collapsed="false">
      <c r="A1430" s="27" t="n">
        <v>11100985</v>
      </c>
      <c r="B1430" s="27" t="s">
        <v>1906</v>
      </c>
      <c r="C1430" s="43" t="n">
        <v>100.61</v>
      </c>
      <c r="D1430" s="27" t="n">
        <v>25.15</v>
      </c>
      <c r="E1430" s="27" t="n">
        <v>6</v>
      </c>
      <c r="F1430" s="27" t="n">
        <v>20.96</v>
      </c>
      <c r="G1430" s="27" t="s">
        <v>1875</v>
      </c>
      <c r="H1430" s="27" t="s">
        <v>2157</v>
      </c>
      <c r="I1430" s="27" t="s">
        <v>1876</v>
      </c>
      <c r="J1430" s="27" t="s">
        <v>2495</v>
      </c>
      <c r="K1430" s="27" t="n">
        <v>1486</v>
      </c>
      <c r="L1430" s="27" t="n">
        <v>710</v>
      </c>
      <c r="M1430" s="28" t="n">
        <f aca="false">IFERROR(VLOOKUP((OFFSET(hoje12_326_ana9,1429,10,1,1)&amp;"."&amp;OFFSET(hoje12_326_ana9,1429,11,1,1)),'12.326'!A:D,4,0),"-")</f>
        <v>37570181000100</v>
      </c>
    </row>
    <row r="1431" customFormat="false" ht="14.4" hidden="false" customHeight="false" outlineLevel="0" collapsed="false">
      <c r="A1431" s="27" t="n">
        <v>11100987</v>
      </c>
      <c r="B1431" s="27" t="s">
        <v>1890</v>
      </c>
      <c r="C1431" s="43" t="n">
        <v>180.58</v>
      </c>
      <c r="D1431" s="27" t="n">
        <v>70.22</v>
      </c>
      <c r="E1431" s="27" t="n">
        <v>24</v>
      </c>
      <c r="F1431" s="27" t="n">
        <v>10.45</v>
      </c>
      <c r="G1431" s="27" t="s">
        <v>1875</v>
      </c>
      <c r="H1431" s="27" t="s">
        <v>2162</v>
      </c>
      <c r="I1431" s="27" t="s">
        <v>1876</v>
      </c>
      <c r="J1431" s="27" t="s">
        <v>2703</v>
      </c>
      <c r="K1431" s="27" t="n">
        <v>1486</v>
      </c>
      <c r="L1431" s="27" t="n">
        <v>710</v>
      </c>
      <c r="M1431" s="28" t="n">
        <f aca="false">IFERROR(VLOOKUP((OFFSET(hoje12_326_ana9,1430,10,1,1)&amp;"."&amp;OFFSET(hoje12_326_ana9,1430,11,1,1)),'12.326'!A:D,4,0),"-")</f>
        <v>37570181000100</v>
      </c>
    </row>
    <row r="1432" customFormat="false" ht="14.4" hidden="false" customHeight="false" outlineLevel="0" collapsed="false">
      <c r="A1432" s="27" t="n">
        <v>11100992</v>
      </c>
      <c r="B1432" s="27" t="s">
        <v>1891</v>
      </c>
      <c r="C1432" s="43" t="n">
        <v>265.25</v>
      </c>
      <c r="D1432" s="27" t="n">
        <v>103.15</v>
      </c>
      <c r="E1432" s="27" t="n">
        <v>24</v>
      </c>
      <c r="F1432" s="27" t="n">
        <v>15.35</v>
      </c>
      <c r="G1432" s="27" t="s">
        <v>1875</v>
      </c>
      <c r="H1432" s="27" t="s">
        <v>2162</v>
      </c>
      <c r="I1432" s="27" t="s">
        <v>1876</v>
      </c>
      <c r="J1432" s="27" t="s">
        <v>2704</v>
      </c>
      <c r="K1432" s="27" t="n">
        <v>1486</v>
      </c>
      <c r="L1432" s="27" t="n">
        <v>710</v>
      </c>
      <c r="M1432" s="28" t="n">
        <f aca="false">IFERROR(VLOOKUP((OFFSET(hoje12_326_ana9,1431,10,1,1)&amp;"."&amp;OFFSET(hoje12_326_ana9,1431,11,1,1)),'12.326'!A:D,4,0),"-")</f>
        <v>37570181000100</v>
      </c>
    </row>
    <row r="1433" customFormat="false" ht="14.4" hidden="false" customHeight="false" outlineLevel="0" collapsed="false">
      <c r="A1433" s="27" t="n">
        <v>11100998</v>
      </c>
      <c r="B1433" s="27" t="s">
        <v>1887</v>
      </c>
      <c r="C1433" s="43" t="n">
        <v>288.19</v>
      </c>
      <c r="D1433" s="27" t="n">
        <v>72.05</v>
      </c>
      <c r="E1433" s="27" t="n">
        <v>24</v>
      </c>
      <c r="F1433" s="27" t="n">
        <v>15.01</v>
      </c>
      <c r="G1433" s="27" t="s">
        <v>1875</v>
      </c>
      <c r="H1433" s="27" t="s">
        <v>2157</v>
      </c>
      <c r="I1433" s="27" t="s">
        <v>1876</v>
      </c>
      <c r="J1433" s="27" t="s">
        <v>2705</v>
      </c>
      <c r="K1433" s="27" t="n">
        <v>1486</v>
      </c>
      <c r="L1433" s="27" t="n">
        <v>710</v>
      </c>
      <c r="M1433" s="28" t="n">
        <f aca="false">IFERROR(VLOOKUP((OFFSET(hoje12_326_ana9,1432,10,1,1)&amp;"."&amp;OFFSET(hoje12_326_ana9,1432,11,1,1)),'12.326'!A:D,4,0),"-")</f>
        <v>37570181000100</v>
      </c>
    </row>
    <row r="1434" customFormat="false" ht="14.4" hidden="false" customHeight="false" outlineLevel="0" collapsed="false">
      <c r="A1434" s="27" t="n">
        <v>11100091</v>
      </c>
      <c r="B1434" s="27" t="s">
        <v>1910</v>
      </c>
      <c r="C1434" s="43" t="n">
        <v>262.2</v>
      </c>
      <c r="D1434" s="27" t="n">
        <v>0</v>
      </c>
      <c r="E1434" s="27" t="n">
        <v>57</v>
      </c>
      <c r="F1434" s="27" t="n">
        <v>4.6</v>
      </c>
      <c r="G1434" s="27" t="s">
        <v>1875</v>
      </c>
      <c r="H1434" s="27" t="s">
        <v>68</v>
      </c>
      <c r="I1434" s="27" t="s">
        <v>1876</v>
      </c>
      <c r="J1434" s="27" t="s">
        <v>1877</v>
      </c>
      <c r="K1434" s="27" t="n">
        <v>1487</v>
      </c>
      <c r="L1434" s="27" t="n">
        <v>710</v>
      </c>
      <c r="M1434" s="28" t="n">
        <f aca="false">IFERROR(VLOOKUP((OFFSET(hoje12_326_ana9,1433,10,1,1)&amp;"."&amp;OFFSET(hoje12_326_ana9,1433,11,1,1)),'12.326'!A:D,4,0),"-")</f>
        <v>37570181000100</v>
      </c>
    </row>
    <row r="1435" customFormat="false" ht="14.4" hidden="false" customHeight="false" outlineLevel="0" collapsed="false">
      <c r="A1435" s="27" t="n">
        <v>11100214</v>
      </c>
      <c r="B1435" s="27" t="s">
        <v>1922</v>
      </c>
      <c r="C1435" s="43" t="n">
        <v>228.6</v>
      </c>
      <c r="D1435" s="27" t="n">
        <v>0</v>
      </c>
      <c r="E1435" s="27" t="n">
        <v>60</v>
      </c>
      <c r="F1435" s="27" t="n">
        <v>3.81</v>
      </c>
      <c r="G1435" s="27" t="s">
        <v>1875</v>
      </c>
      <c r="H1435" s="27" t="s">
        <v>68</v>
      </c>
      <c r="I1435" s="27" t="s">
        <v>1876</v>
      </c>
      <c r="J1435" s="27" t="s">
        <v>1877</v>
      </c>
      <c r="K1435" s="27" t="n">
        <v>1487</v>
      </c>
      <c r="L1435" s="27" t="n">
        <v>710</v>
      </c>
      <c r="M1435" s="28" t="n">
        <f aca="false">IFERROR(VLOOKUP((OFFSET(hoje12_326_ana9,1434,10,1,1)&amp;"."&amp;OFFSET(hoje12_326_ana9,1434,11,1,1)),'12.326'!A:D,4,0),"-")</f>
        <v>37570181000100</v>
      </c>
    </row>
    <row r="1436" customFormat="false" ht="14.4" hidden="false" customHeight="false" outlineLevel="0" collapsed="false">
      <c r="A1436" s="27" t="n">
        <v>11100832</v>
      </c>
      <c r="B1436" s="27" t="s">
        <v>2687</v>
      </c>
      <c r="C1436" s="43" t="n">
        <v>68.13</v>
      </c>
      <c r="D1436" s="27" t="n">
        <v>0</v>
      </c>
      <c r="E1436" s="27" t="n">
        <v>9</v>
      </c>
      <c r="F1436" s="27" t="n">
        <v>7.57</v>
      </c>
      <c r="G1436" s="27" t="s">
        <v>1875</v>
      </c>
      <c r="H1436" s="27" t="s">
        <v>68</v>
      </c>
      <c r="I1436" s="27" t="s">
        <v>1876</v>
      </c>
      <c r="J1436" s="27" t="s">
        <v>1877</v>
      </c>
      <c r="K1436" s="27" t="n">
        <v>1487</v>
      </c>
      <c r="L1436" s="27" t="n">
        <v>710</v>
      </c>
      <c r="M1436" s="28" t="n">
        <f aca="false">IFERROR(VLOOKUP((OFFSET(hoje12_326_ana9,1435,10,1,1)&amp;"."&amp;OFFSET(hoje12_326_ana9,1435,11,1,1)),'12.326'!A:D,4,0),"-")</f>
        <v>37570181000100</v>
      </c>
    </row>
    <row r="1437" customFormat="false" ht="14.4" hidden="false" customHeight="false" outlineLevel="0" collapsed="false">
      <c r="A1437" s="27" t="n">
        <v>11100865</v>
      </c>
      <c r="B1437" s="27" t="s">
        <v>1982</v>
      </c>
      <c r="C1437" s="43" t="n">
        <v>81.76</v>
      </c>
      <c r="D1437" s="27" t="n">
        <v>9.08</v>
      </c>
      <c r="E1437" s="27" t="n">
        <v>12</v>
      </c>
      <c r="F1437" s="27" t="n">
        <v>7.57</v>
      </c>
      <c r="G1437" s="27" t="s">
        <v>1875</v>
      </c>
      <c r="H1437" s="27" t="s">
        <v>1895</v>
      </c>
      <c r="I1437" s="27" t="s">
        <v>1876</v>
      </c>
      <c r="J1437" s="27" t="s">
        <v>1973</v>
      </c>
      <c r="K1437" s="27" t="n">
        <v>1487</v>
      </c>
      <c r="L1437" s="27" t="n">
        <v>710</v>
      </c>
      <c r="M1437" s="28" t="n">
        <f aca="false">IFERROR(VLOOKUP((OFFSET(hoje12_326_ana9,1436,10,1,1)&amp;"."&amp;OFFSET(hoje12_326_ana9,1436,11,1,1)),'12.326'!A:D,4,0),"-")</f>
        <v>37570181000100</v>
      </c>
    </row>
    <row r="1438" customFormat="false" ht="14.4" hidden="false" customHeight="false" outlineLevel="0" collapsed="false">
      <c r="A1438" s="27" t="n">
        <v>11100827</v>
      </c>
      <c r="B1438" s="27" t="s">
        <v>2196</v>
      </c>
      <c r="C1438" s="43" t="n">
        <v>61.32</v>
      </c>
      <c r="D1438" s="27" t="n">
        <v>6.81</v>
      </c>
      <c r="E1438" s="27" t="n">
        <v>9</v>
      </c>
      <c r="F1438" s="27" t="n">
        <v>7.57</v>
      </c>
      <c r="G1438" s="27" t="s">
        <v>1875</v>
      </c>
      <c r="H1438" s="27" t="s">
        <v>1895</v>
      </c>
      <c r="I1438" s="27" t="s">
        <v>1876</v>
      </c>
      <c r="J1438" s="27" t="s">
        <v>2706</v>
      </c>
      <c r="K1438" s="27" t="n">
        <v>1487</v>
      </c>
      <c r="L1438" s="27" t="n">
        <v>710</v>
      </c>
      <c r="M1438" s="28" t="n">
        <f aca="false">IFERROR(VLOOKUP((OFFSET(hoje12_326_ana9,1437,10,1,1)&amp;"."&amp;OFFSET(hoje12_326_ana9,1437,11,1,1)),'12.326'!A:D,4,0),"-")</f>
        <v>37570181000100</v>
      </c>
    </row>
    <row r="1439" customFormat="false" ht="14.4" hidden="false" customHeight="false" outlineLevel="0" collapsed="false">
      <c r="A1439" s="27" t="n">
        <v>11100065</v>
      </c>
      <c r="B1439" s="27" t="s">
        <v>2207</v>
      </c>
      <c r="C1439" s="43" t="n">
        <v>245.14</v>
      </c>
      <c r="D1439" s="27" t="n">
        <v>7.58</v>
      </c>
      <c r="E1439" s="27" t="n">
        <v>24</v>
      </c>
      <c r="F1439" s="27" t="n">
        <v>10.53</v>
      </c>
      <c r="G1439" s="27" t="s">
        <v>1875</v>
      </c>
      <c r="H1439" s="27" t="s">
        <v>2009</v>
      </c>
      <c r="I1439" s="27" t="s">
        <v>1876</v>
      </c>
      <c r="J1439" s="27" t="s">
        <v>2707</v>
      </c>
      <c r="K1439" s="27" t="n">
        <v>1488</v>
      </c>
      <c r="L1439" s="27" t="n">
        <v>710</v>
      </c>
      <c r="M1439" s="28" t="n">
        <f aca="false">IFERROR(VLOOKUP((OFFSET(hoje12_326_ana9,1438,10,1,1)&amp;"."&amp;OFFSET(hoje12_326_ana9,1438,11,1,1)),'12.326'!A:D,4,0),"-")</f>
        <v>551975000531</v>
      </c>
    </row>
    <row r="1440" customFormat="false" ht="14.4" hidden="false" customHeight="false" outlineLevel="0" collapsed="false">
      <c r="A1440" s="27" t="n">
        <v>11100068</v>
      </c>
      <c r="B1440" s="27" t="s">
        <v>2665</v>
      </c>
      <c r="C1440" s="43" t="n">
        <v>489.82</v>
      </c>
      <c r="D1440" s="27" t="n">
        <v>15.14</v>
      </c>
      <c r="E1440" s="27" t="n">
        <v>24</v>
      </c>
      <c r="F1440" s="27" t="n">
        <v>21.04</v>
      </c>
      <c r="G1440" s="27" t="s">
        <v>1875</v>
      </c>
      <c r="H1440" s="27" t="s">
        <v>2009</v>
      </c>
      <c r="I1440" s="27" t="s">
        <v>1876</v>
      </c>
      <c r="J1440" s="27" t="s">
        <v>2708</v>
      </c>
      <c r="K1440" s="27" t="n">
        <v>1488</v>
      </c>
      <c r="L1440" s="27" t="n">
        <v>710</v>
      </c>
      <c r="M1440" s="28" t="n">
        <f aca="false">IFERROR(VLOOKUP((OFFSET(hoje12_326_ana9,1439,10,1,1)&amp;"."&amp;OFFSET(hoje12_326_ana9,1439,11,1,1)),'12.326'!A:D,4,0),"-")</f>
        <v>551975000531</v>
      </c>
    </row>
    <row r="1441" customFormat="false" ht="14.4" hidden="false" customHeight="false" outlineLevel="0" collapsed="false">
      <c r="A1441" s="27" t="n">
        <v>11100091</v>
      </c>
      <c r="B1441" s="27" t="s">
        <v>1910</v>
      </c>
      <c r="C1441" s="43" t="n">
        <v>642.53</v>
      </c>
      <c r="D1441" s="27" t="n">
        <v>19.87</v>
      </c>
      <c r="E1441" s="27" t="n">
        <v>144</v>
      </c>
      <c r="F1441" s="27" t="n">
        <v>4.6</v>
      </c>
      <c r="G1441" s="27" t="s">
        <v>1875</v>
      </c>
      <c r="H1441" s="27" t="s">
        <v>2009</v>
      </c>
      <c r="I1441" s="27" t="s">
        <v>1876</v>
      </c>
      <c r="J1441" s="27" t="s">
        <v>2709</v>
      </c>
      <c r="K1441" s="27" t="n">
        <v>1488</v>
      </c>
      <c r="L1441" s="27" t="n">
        <v>710</v>
      </c>
      <c r="M1441" s="28" t="n">
        <f aca="false">IFERROR(VLOOKUP((OFFSET(hoje12_326_ana9,1440,10,1,1)&amp;"."&amp;OFFSET(hoje12_326_ana9,1440,11,1,1)),'12.326'!A:D,4,0),"-")</f>
        <v>551975000531</v>
      </c>
    </row>
    <row r="1442" customFormat="false" ht="14.4" hidden="false" customHeight="false" outlineLevel="0" collapsed="false">
      <c r="A1442" s="27" t="n">
        <v>11100115</v>
      </c>
      <c r="B1442" s="27" t="s">
        <v>2599</v>
      </c>
      <c r="C1442" s="43" t="n">
        <v>322.2</v>
      </c>
      <c r="D1442" s="27" t="n">
        <v>9.96</v>
      </c>
      <c r="E1442" s="27" t="n">
        <v>24</v>
      </c>
      <c r="F1442" s="27" t="n">
        <v>13.84</v>
      </c>
      <c r="G1442" s="27" t="s">
        <v>1875</v>
      </c>
      <c r="H1442" s="27" t="s">
        <v>2009</v>
      </c>
      <c r="I1442" s="27" t="s">
        <v>1876</v>
      </c>
      <c r="J1442" s="27" t="s">
        <v>2710</v>
      </c>
      <c r="K1442" s="27" t="n">
        <v>1488</v>
      </c>
      <c r="L1442" s="27" t="n">
        <v>710</v>
      </c>
      <c r="M1442" s="28" t="n">
        <f aca="false">IFERROR(VLOOKUP((OFFSET(hoje12_326_ana9,1441,10,1,1)&amp;"."&amp;OFFSET(hoje12_326_ana9,1441,11,1,1)),'12.326'!A:D,4,0),"-")</f>
        <v>551975000531</v>
      </c>
    </row>
    <row r="1443" customFormat="false" ht="14.4" hidden="false" customHeight="false" outlineLevel="0" collapsed="false">
      <c r="A1443" s="27" t="n">
        <v>11100120</v>
      </c>
      <c r="B1443" s="27" t="s">
        <v>2212</v>
      </c>
      <c r="C1443" s="43" t="n">
        <v>322.2</v>
      </c>
      <c r="D1443" s="27" t="n">
        <v>9.96</v>
      </c>
      <c r="E1443" s="27" t="n">
        <v>24</v>
      </c>
      <c r="F1443" s="27" t="n">
        <v>13.84</v>
      </c>
      <c r="G1443" s="27" t="s">
        <v>1875</v>
      </c>
      <c r="H1443" s="27" t="s">
        <v>2009</v>
      </c>
      <c r="I1443" s="27" t="s">
        <v>1876</v>
      </c>
      <c r="J1443" s="27" t="s">
        <v>2710</v>
      </c>
      <c r="K1443" s="27" t="n">
        <v>1488</v>
      </c>
      <c r="L1443" s="27" t="n">
        <v>710</v>
      </c>
      <c r="M1443" s="28" t="n">
        <f aca="false">IFERROR(VLOOKUP((OFFSET(hoje12_326_ana9,1442,10,1,1)&amp;"."&amp;OFFSET(hoje12_326_ana9,1442,11,1,1)),'12.326'!A:D,4,0),"-")</f>
        <v>551975000531</v>
      </c>
    </row>
    <row r="1444" customFormat="false" ht="14.4" hidden="false" customHeight="false" outlineLevel="0" collapsed="false">
      <c r="A1444" s="27" t="n">
        <v>11100140</v>
      </c>
      <c r="B1444" s="27" t="s">
        <v>2459</v>
      </c>
      <c r="C1444" s="43" t="n">
        <v>352.66</v>
      </c>
      <c r="D1444" s="27" t="n">
        <v>10.94</v>
      </c>
      <c r="E1444" s="27" t="n">
        <v>72</v>
      </c>
      <c r="F1444" s="27" t="n">
        <v>5.05</v>
      </c>
      <c r="G1444" s="27" t="s">
        <v>1875</v>
      </c>
      <c r="H1444" s="27" t="s">
        <v>2009</v>
      </c>
      <c r="I1444" s="27" t="s">
        <v>1876</v>
      </c>
      <c r="J1444" s="27" t="s">
        <v>2711</v>
      </c>
      <c r="K1444" s="27" t="n">
        <v>1488</v>
      </c>
      <c r="L1444" s="27" t="n">
        <v>710</v>
      </c>
      <c r="M1444" s="28" t="n">
        <f aca="false">IFERROR(VLOOKUP((OFFSET(hoje12_326_ana9,1443,10,1,1)&amp;"."&amp;OFFSET(hoje12_326_ana9,1443,11,1,1)),'12.326'!A:D,4,0),"-")</f>
        <v>551975000531</v>
      </c>
    </row>
    <row r="1445" customFormat="false" ht="14.4" hidden="false" customHeight="false" outlineLevel="0" collapsed="false">
      <c r="A1445" s="27" t="n">
        <v>11100176</v>
      </c>
      <c r="B1445" s="27" t="s">
        <v>2217</v>
      </c>
      <c r="C1445" s="43" t="n">
        <v>3131.57</v>
      </c>
      <c r="D1445" s="27" t="n">
        <v>96.91</v>
      </c>
      <c r="E1445" s="27" t="n">
        <v>144</v>
      </c>
      <c r="F1445" s="27" t="n">
        <v>22.42</v>
      </c>
      <c r="G1445" s="27" t="s">
        <v>1875</v>
      </c>
      <c r="H1445" s="27" t="s">
        <v>2009</v>
      </c>
      <c r="I1445" s="27" t="s">
        <v>1876</v>
      </c>
      <c r="J1445" s="27" t="s">
        <v>2712</v>
      </c>
      <c r="K1445" s="27" t="n">
        <v>1488</v>
      </c>
      <c r="L1445" s="27" t="n">
        <v>710</v>
      </c>
      <c r="M1445" s="28" t="n">
        <f aca="false">IFERROR(VLOOKUP((OFFSET(hoje12_326_ana9,1444,10,1,1)&amp;"."&amp;OFFSET(hoje12_326_ana9,1444,11,1,1)),'12.326'!A:D,4,0),"-")</f>
        <v>551975000531</v>
      </c>
    </row>
    <row r="1446" customFormat="false" ht="14.4" hidden="false" customHeight="false" outlineLevel="0" collapsed="false">
      <c r="A1446" s="27" t="n">
        <v>11100198</v>
      </c>
      <c r="B1446" s="27" t="s">
        <v>2281</v>
      </c>
      <c r="C1446" s="43" t="n">
        <v>367.82</v>
      </c>
      <c r="D1446" s="27" t="n">
        <v>11.38</v>
      </c>
      <c r="E1446" s="27" t="n">
        <v>24</v>
      </c>
      <c r="F1446" s="27" t="n">
        <v>15.8</v>
      </c>
      <c r="G1446" s="27" t="s">
        <v>1875</v>
      </c>
      <c r="H1446" s="27" t="s">
        <v>2009</v>
      </c>
      <c r="I1446" s="27" t="s">
        <v>1876</v>
      </c>
      <c r="J1446" s="27" t="s">
        <v>2713</v>
      </c>
      <c r="K1446" s="27" t="n">
        <v>1488</v>
      </c>
      <c r="L1446" s="27" t="n">
        <v>710</v>
      </c>
      <c r="M1446" s="28" t="n">
        <f aca="false">IFERROR(VLOOKUP((OFFSET(hoje12_326_ana9,1445,10,1,1)&amp;"."&amp;OFFSET(hoje12_326_ana9,1445,11,1,1)),'12.326'!A:D,4,0),"-")</f>
        <v>551975000531</v>
      </c>
    </row>
    <row r="1447" customFormat="false" ht="14.4" hidden="false" customHeight="false" outlineLevel="0" collapsed="false">
      <c r="A1447" s="27" t="n">
        <v>11100314</v>
      </c>
      <c r="B1447" s="27" t="s">
        <v>1937</v>
      </c>
      <c r="C1447" s="43" t="n">
        <v>121.28</v>
      </c>
      <c r="D1447" s="27" t="n">
        <v>3.76</v>
      </c>
      <c r="E1447" s="27" t="n">
        <v>12</v>
      </c>
      <c r="F1447" s="27" t="n">
        <v>10.42</v>
      </c>
      <c r="G1447" s="27" t="s">
        <v>1875</v>
      </c>
      <c r="H1447" s="27" t="s">
        <v>2009</v>
      </c>
      <c r="I1447" s="27" t="s">
        <v>1876</v>
      </c>
      <c r="J1447" s="27" t="s">
        <v>2714</v>
      </c>
      <c r="K1447" s="27" t="n">
        <v>1488</v>
      </c>
      <c r="L1447" s="27" t="n">
        <v>710</v>
      </c>
      <c r="M1447" s="28" t="n">
        <f aca="false">IFERROR(VLOOKUP((OFFSET(hoje12_326_ana9,1446,10,1,1)&amp;"."&amp;OFFSET(hoje12_326_ana9,1446,11,1,1)),'12.326'!A:D,4,0),"-")</f>
        <v>551975000531</v>
      </c>
    </row>
    <row r="1448" customFormat="false" ht="14.4" hidden="false" customHeight="false" outlineLevel="0" collapsed="false">
      <c r="A1448" s="27" t="n">
        <v>11100318</v>
      </c>
      <c r="B1448" s="27" t="s">
        <v>1938</v>
      </c>
      <c r="C1448" s="43" t="n">
        <v>50.52</v>
      </c>
      <c r="D1448" s="27" t="n">
        <v>1.56</v>
      </c>
      <c r="E1448" s="27" t="n">
        <v>12</v>
      </c>
      <c r="F1448" s="27" t="n">
        <v>4.34</v>
      </c>
      <c r="G1448" s="27" t="s">
        <v>1875</v>
      </c>
      <c r="H1448" s="27" t="s">
        <v>2009</v>
      </c>
      <c r="I1448" s="27" t="s">
        <v>1876</v>
      </c>
      <c r="J1448" s="27" t="s">
        <v>2612</v>
      </c>
      <c r="K1448" s="27" t="n">
        <v>1488</v>
      </c>
      <c r="L1448" s="27" t="n">
        <v>710</v>
      </c>
      <c r="M1448" s="28" t="n">
        <f aca="false">IFERROR(VLOOKUP((OFFSET(hoje12_326_ana9,1447,10,1,1)&amp;"."&amp;OFFSET(hoje12_326_ana9,1447,11,1,1)),'12.326'!A:D,4,0),"-")</f>
        <v>551975000531</v>
      </c>
    </row>
    <row r="1449" customFormat="false" ht="14.4" hidden="false" customHeight="false" outlineLevel="0" collapsed="false">
      <c r="A1449" s="27" t="n">
        <v>11100322</v>
      </c>
      <c r="B1449" s="27" t="s">
        <v>2284</v>
      </c>
      <c r="C1449" s="43" t="n">
        <v>43.42</v>
      </c>
      <c r="D1449" s="27" t="n">
        <v>1.34</v>
      </c>
      <c r="E1449" s="27" t="n">
        <v>12</v>
      </c>
      <c r="F1449" s="27" t="n">
        <v>3.73</v>
      </c>
      <c r="G1449" s="27" t="s">
        <v>1875</v>
      </c>
      <c r="H1449" s="27" t="s">
        <v>2009</v>
      </c>
      <c r="I1449" s="27" t="s">
        <v>1876</v>
      </c>
      <c r="J1449" s="27" t="s">
        <v>2715</v>
      </c>
      <c r="K1449" s="27" t="n">
        <v>1488</v>
      </c>
      <c r="L1449" s="27" t="n">
        <v>710</v>
      </c>
      <c r="M1449" s="28" t="n">
        <f aca="false">IFERROR(VLOOKUP((OFFSET(hoje12_326_ana9,1448,10,1,1)&amp;"."&amp;OFFSET(hoje12_326_ana9,1448,11,1,1)),'12.326'!A:D,4,0),"-")</f>
        <v>551975000531</v>
      </c>
    </row>
    <row r="1450" customFormat="false" ht="14.4" hidden="false" customHeight="false" outlineLevel="0" collapsed="false">
      <c r="A1450" s="27" t="n">
        <v>11100331</v>
      </c>
      <c r="B1450" s="27" t="s">
        <v>2716</v>
      </c>
      <c r="C1450" s="43" t="n">
        <v>45.86</v>
      </c>
      <c r="D1450" s="27" t="n">
        <v>1.42</v>
      </c>
      <c r="E1450" s="27" t="n">
        <v>12</v>
      </c>
      <c r="F1450" s="27" t="n">
        <v>3.94</v>
      </c>
      <c r="G1450" s="27" t="s">
        <v>1875</v>
      </c>
      <c r="H1450" s="27" t="s">
        <v>2009</v>
      </c>
      <c r="I1450" s="27" t="s">
        <v>1876</v>
      </c>
      <c r="J1450" s="27" t="s">
        <v>2717</v>
      </c>
      <c r="K1450" s="27" t="n">
        <v>1488</v>
      </c>
      <c r="L1450" s="27" t="n">
        <v>710</v>
      </c>
      <c r="M1450" s="28" t="n">
        <f aca="false">IFERROR(VLOOKUP((OFFSET(hoje12_326_ana9,1449,10,1,1)&amp;"."&amp;OFFSET(hoje12_326_ana9,1449,11,1,1)),'12.326'!A:D,4,0),"-")</f>
        <v>551975000531</v>
      </c>
    </row>
    <row r="1451" customFormat="false" ht="14.4" hidden="false" customHeight="false" outlineLevel="0" collapsed="false">
      <c r="A1451" s="27" t="n">
        <v>11100337</v>
      </c>
      <c r="B1451" s="27" t="s">
        <v>1940</v>
      </c>
      <c r="C1451" s="43" t="n">
        <v>169.6</v>
      </c>
      <c r="D1451" s="27" t="n">
        <v>5.24</v>
      </c>
      <c r="E1451" s="27" t="n">
        <v>12</v>
      </c>
      <c r="F1451" s="27" t="n">
        <v>14.57</v>
      </c>
      <c r="G1451" s="27" t="s">
        <v>1875</v>
      </c>
      <c r="H1451" s="27" t="s">
        <v>2009</v>
      </c>
      <c r="I1451" s="27" t="s">
        <v>1876</v>
      </c>
      <c r="J1451" s="27" t="s">
        <v>2616</v>
      </c>
      <c r="K1451" s="27" t="n">
        <v>1488</v>
      </c>
      <c r="L1451" s="27" t="n">
        <v>710</v>
      </c>
      <c r="M1451" s="28" t="n">
        <f aca="false">IFERROR(VLOOKUP((OFFSET(hoje12_326_ana9,1450,10,1,1)&amp;"."&amp;OFFSET(hoje12_326_ana9,1450,11,1,1)),'12.326'!A:D,4,0),"-")</f>
        <v>551975000531</v>
      </c>
    </row>
    <row r="1452" customFormat="false" ht="14.4" hidden="false" customHeight="false" outlineLevel="0" collapsed="false">
      <c r="A1452" s="27" t="n">
        <v>11100351</v>
      </c>
      <c r="B1452" s="27" t="s">
        <v>2222</v>
      </c>
      <c r="C1452" s="43" t="n">
        <v>128.51</v>
      </c>
      <c r="D1452" s="27" t="n">
        <v>3.97</v>
      </c>
      <c r="E1452" s="27" t="n">
        <v>12</v>
      </c>
      <c r="F1452" s="27" t="n">
        <v>11.04</v>
      </c>
      <c r="G1452" s="27" t="s">
        <v>1875</v>
      </c>
      <c r="H1452" s="27" t="s">
        <v>2009</v>
      </c>
      <c r="I1452" s="27" t="s">
        <v>1876</v>
      </c>
      <c r="J1452" s="27" t="s">
        <v>2617</v>
      </c>
      <c r="K1452" s="27" t="n">
        <v>1488</v>
      </c>
      <c r="L1452" s="27" t="n">
        <v>710</v>
      </c>
      <c r="M1452" s="28" t="n">
        <f aca="false">IFERROR(VLOOKUP((OFFSET(hoje12_326_ana9,1451,10,1,1)&amp;"."&amp;OFFSET(hoje12_326_ana9,1451,11,1,1)),'12.326'!A:D,4,0),"-")</f>
        <v>551975000531</v>
      </c>
    </row>
    <row r="1453" customFormat="false" ht="14.4" hidden="false" customHeight="false" outlineLevel="0" collapsed="false">
      <c r="A1453" s="27" t="n">
        <v>11100363</v>
      </c>
      <c r="B1453" s="27" t="s">
        <v>2286</v>
      </c>
      <c r="C1453" s="43" t="n">
        <v>59.71</v>
      </c>
      <c r="D1453" s="27" t="n">
        <v>1.85</v>
      </c>
      <c r="E1453" s="27" t="n">
        <v>12</v>
      </c>
      <c r="F1453" s="27" t="n">
        <v>5.13</v>
      </c>
      <c r="G1453" s="27" t="s">
        <v>1875</v>
      </c>
      <c r="H1453" s="27" t="s">
        <v>2009</v>
      </c>
      <c r="I1453" s="27" t="s">
        <v>1876</v>
      </c>
      <c r="J1453" s="27" t="s">
        <v>2718</v>
      </c>
      <c r="K1453" s="27" t="n">
        <v>1488</v>
      </c>
      <c r="L1453" s="27" t="n">
        <v>710</v>
      </c>
      <c r="M1453" s="28" t="n">
        <f aca="false">IFERROR(VLOOKUP((OFFSET(hoje12_326_ana9,1452,10,1,1)&amp;"."&amp;OFFSET(hoje12_326_ana9,1452,11,1,1)),'12.326'!A:D,4,0),"-")</f>
        <v>551975000531</v>
      </c>
    </row>
    <row r="1454" customFormat="false" ht="14.4" hidden="false" customHeight="false" outlineLevel="0" collapsed="false">
      <c r="A1454" s="27" t="n">
        <v>11100431</v>
      </c>
      <c r="B1454" s="27" t="s">
        <v>2224</v>
      </c>
      <c r="C1454" s="43" t="n">
        <v>39.23</v>
      </c>
      <c r="D1454" s="27" t="n">
        <v>1.21</v>
      </c>
      <c r="E1454" s="27" t="n">
        <v>3</v>
      </c>
      <c r="F1454" s="27" t="n">
        <v>13.48</v>
      </c>
      <c r="G1454" s="27" t="s">
        <v>1875</v>
      </c>
      <c r="H1454" s="27" t="s">
        <v>2009</v>
      </c>
      <c r="I1454" s="27" t="s">
        <v>1876</v>
      </c>
      <c r="J1454" s="27" t="s">
        <v>2719</v>
      </c>
      <c r="K1454" s="27" t="n">
        <v>1488</v>
      </c>
      <c r="L1454" s="27" t="n">
        <v>710</v>
      </c>
      <c r="M1454" s="28" t="n">
        <f aca="false">IFERROR(VLOOKUP((OFFSET(hoje12_326_ana9,1453,10,1,1)&amp;"."&amp;OFFSET(hoje12_326_ana9,1453,11,1,1)),'12.326'!A:D,4,0),"-")</f>
        <v>551975000531</v>
      </c>
    </row>
    <row r="1455" customFormat="false" ht="14.4" hidden="false" customHeight="false" outlineLevel="0" collapsed="false">
      <c r="A1455" s="27" t="n">
        <v>11100445</v>
      </c>
      <c r="B1455" s="27" t="s">
        <v>2085</v>
      </c>
      <c r="C1455" s="43" t="n">
        <v>67.57</v>
      </c>
      <c r="D1455" s="27" t="n">
        <v>2.09</v>
      </c>
      <c r="E1455" s="27" t="n">
        <v>6</v>
      </c>
      <c r="F1455" s="27" t="n">
        <v>11.61</v>
      </c>
      <c r="G1455" s="27" t="s">
        <v>1875</v>
      </c>
      <c r="H1455" s="27" t="s">
        <v>2009</v>
      </c>
      <c r="I1455" s="27" t="s">
        <v>1876</v>
      </c>
      <c r="J1455" s="27" t="s">
        <v>2563</v>
      </c>
      <c r="K1455" s="27" t="n">
        <v>1488</v>
      </c>
      <c r="L1455" s="27" t="n">
        <v>710</v>
      </c>
      <c r="M1455" s="28" t="n">
        <f aca="false">IFERROR(VLOOKUP((OFFSET(hoje12_326_ana9,1454,10,1,1)&amp;"."&amp;OFFSET(hoje12_326_ana9,1454,11,1,1)),'12.326'!A:D,4,0),"-")</f>
        <v>551975000531</v>
      </c>
    </row>
    <row r="1456" customFormat="false" ht="14.4" hidden="false" customHeight="false" outlineLevel="0" collapsed="false">
      <c r="A1456" s="27" t="n">
        <v>11100446</v>
      </c>
      <c r="B1456" s="27" t="s">
        <v>2624</v>
      </c>
      <c r="C1456" s="43" t="n">
        <v>110.41</v>
      </c>
      <c r="D1456" s="27" t="n">
        <v>3.41</v>
      </c>
      <c r="E1456" s="27" t="n">
        <v>6</v>
      </c>
      <c r="F1456" s="27" t="n">
        <v>18.97</v>
      </c>
      <c r="G1456" s="27" t="s">
        <v>1875</v>
      </c>
      <c r="H1456" s="27" t="s">
        <v>2009</v>
      </c>
      <c r="I1456" s="27" t="s">
        <v>2625</v>
      </c>
      <c r="J1456" s="27" t="s">
        <v>1877</v>
      </c>
      <c r="K1456" s="27" t="n">
        <v>1488</v>
      </c>
      <c r="L1456" s="27" t="n">
        <v>710</v>
      </c>
      <c r="M1456" s="28" t="n">
        <f aca="false">IFERROR(VLOOKUP((OFFSET(hoje12_326_ana9,1455,10,1,1)&amp;"."&amp;OFFSET(hoje12_326_ana9,1455,11,1,1)),'12.326'!A:D,4,0),"-")</f>
        <v>551975000531</v>
      </c>
    </row>
    <row r="1457" customFormat="false" ht="14.4" hidden="false" customHeight="false" outlineLevel="0" collapsed="false">
      <c r="A1457" s="27" t="n">
        <v>11100448</v>
      </c>
      <c r="B1457" s="27" t="s">
        <v>2230</v>
      </c>
      <c r="C1457" s="43" t="n">
        <v>67.57</v>
      </c>
      <c r="D1457" s="27" t="n">
        <v>2.09</v>
      </c>
      <c r="E1457" s="27" t="n">
        <v>6</v>
      </c>
      <c r="F1457" s="27" t="n">
        <v>11.61</v>
      </c>
      <c r="G1457" s="27" t="s">
        <v>1875</v>
      </c>
      <c r="H1457" s="27" t="s">
        <v>2009</v>
      </c>
      <c r="I1457" s="27" t="s">
        <v>1876</v>
      </c>
      <c r="J1457" s="27" t="s">
        <v>2563</v>
      </c>
      <c r="K1457" s="27" t="n">
        <v>1488</v>
      </c>
      <c r="L1457" s="27" t="n">
        <v>710</v>
      </c>
      <c r="M1457" s="28" t="n">
        <f aca="false">IFERROR(VLOOKUP((OFFSET(hoje12_326_ana9,1456,10,1,1)&amp;"."&amp;OFFSET(hoje12_326_ana9,1456,11,1,1)),'12.326'!A:D,4,0),"-")</f>
        <v>551975000531</v>
      </c>
    </row>
    <row r="1458" customFormat="false" ht="14.4" hidden="false" customHeight="false" outlineLevel="0" collapsed="false">
      <c r="A1458" s="27" t="n">
        <v>11100449</v>
      </c>
      <c r="B1458" s="27" t="s">
        <v>2626</v>
      </c>
      <c r="C1458" s="43" t="n">
        <v>110.41</v>
      </c>
      <c r="D1458" s="27" t="n">
        <v>3.41</v>
      </c>
      <c r="E1458" s="27" t="n">
        <v>6</v>
      </c>
      <c r="F1458" s="27" t="n">
        <v>18.97</v>
      </c>
      <c r="G1458" s="27" t="s">
        <v>1875</v>
      </c>
      <c r="H1458" s="27" t="s">
        <v>2009</v>
      </c>
      <c r="I1458" s="27" t="s">
        <v>1876</v>
      </c>
      <c r="J1458" s="27" t="s">
        <v>2720</v>
      </c>
      <c r="K1458" s="27" t="n">
        <v>1488</v>
      </c>
      <c r="L1458" s="27" t="n">
        <v>710</v>
      </c>
      <c r="M1458" s="28" t="n">
        <f aca="false">IFERROR(VLOOKUP((OFFSET(hoje12_326_ana9,1457,10,1,1)&amp;"."&amp;OFFSET(hoje12_326_ana9,1457,11,1,1)),'12.326'!A:D,4,0),"-")</f>
        <v>551975000531</v>
      </c>
    </row>
    <row r="1459" customFormat="false" ht="14.4" hidden="false" customHeight="false" outlineLevel="0" collapsed="false">
      <c r="A1459" s="27" t="n">
        <v>11100937</v>
      </c>
      <c r="B1459" s="27" t="s">
        <v>2015</v>
      </c>
      <c r="C1459" s="43" t="n">
        <v>521.93</v>
      </c>
      <c r="D1459" s="27" t="n">
        <v>16.15</v>
      </c>
      <c r="E1459" s="27" t="n">
        <v>24</v>
      </c>
      <c r="F1459" s="27" t="n">
        <v>22.42</v>
      </c>
      <c r="G1459" s="27" t="s">
        <v>1875</v>
      </c>
      <c r="H1459" s="27" t="s">
        <v>2009</v>
      </c>
      <c r="I1459" s="27" t="s">
        <v>1876</v>
      </c>
      <c r="J1459" s="27" t="s">
        <v>2721</v>
      </c>
      <c r="K1459" s="27" t="n">
        <v>1488</v>
      </c>
      <c r="L1459" s="27" t="n">
        <v>710</v>
      </c>
      <c r="M1459" s="28" t="n">
        <f aca="false">IFERROR(VLOOKUP((OFFSET(hoje12_326_ana9,1458,10,1,1)&amp;"."&amp;OFFSET(hoje12_326_ana9,1458,11,1,1)),'12.326'!A:D,4,0),"-")</f>
        <v>551975000531</v>
      </c>
    </row>
    <row r="1460" customFormat="false" ht="14.4" hidden="false" customHeight="false" outlineLevel="0" collapsed="false">
      <c r="A1460" s="27" t="n">
        <v>11100954</v>
      </c>
      <c r="B1460" s="27" t="s">
        <v>2722</v>
      </c>
      <c r="C1460" s="43" t="n">
        <v>487.01</v>
      </c>
      <c r="D1460" s="27" t="n">
        <v>15.07</v>
      </c>
      <c r="E1460" s="27" t="n">
        <v>48</v>
      </c>
      <c r="F1460" s="27" t="n">
        <v>10.46</v>
      </c>
      <c r="G1460" s="27" t="s">
        <v>1875</v>
      </c>
      <c r="H1460" s="27" t="s">
        <v>2009</v>
      </c>
      <c r="I1460" s="27" t="s">
        <v>1876</v>
      </c>
      <c r="J1460" s="27" t="s">
        <v>2723</v>
      </c>
      <c r="K1460" s="27" t="n">
        <v>1488</v>
      </c>
      <c r="L1460" s="27" t="n">
        <v>710</v>
      </c>
      <c r="M1460" s="28" t="n">
        <f aca="false">IFERROR(VLOOKUP((OFFSET(hoje12_326_ana9,1459,10,1,1)&amp;"."&amp;OFFSET(hoje12_326_ana9,1459,11,1,1)),'12.326'!A:D,4,0),"-")</f>
        <v>551975000531</v>
      </c>
    </row>
    <row r="1461" customFormat="false" ht="14.4" hidden="false" customHeight="false" outlineLevel="0" collapsed="false">
      <c r="A1461" s="27" t="n">
        <v>11100987</v>
      </c>
      <c r="B1461" s="27" t="s">
        <v>1890</v>
      </c>
      <c r="C1461" s="43" t="n">
        <v>243.29</v>
      </c>
      <c r="D1461" s="27" t="n">
        <v>7.51</v>
      </c>
      <c r="E1461" s="27" t="n">
        <v>24</v>
      </c>
      <c r="F1461" s="27" t="n">
        <v>10.45</v>
      </c>
      <c r="G1461" s="27" t="s">
        <v>1875</v>
      </c>
      <c r="H1461" s="27" t="s">
        <v>2009</v>
      </c>
      <c r="I1461" s="27" t="s">
        <v>1876</v>
      </c>
      <c r="J1461" s="27" t="s">
        <v>2330</v>
      </c>
      <c r="K1461" s="27" t="n">
        <v>1488</v>
      </c>
      <c r="L1461" s="27" t="n">
        <v>710</v>
      </c>
      <c r="M1461" s="28" t="n">
        <f aca="false">IFERROR(VLOOKUP((OFFSET(hoje12_326_ana9,1460,10,1,1)&amp;"."&amp;OFFSET(hoje12_326_ana9,1460,11,1,1)),'12.326'!A:D,4,0),"-")</f>
        <v>551975000531</v>
      </c>
    </row>
    <row r="1462" customFormat="false" ht="14.4" hidden="false" customHeight="false" outlineLevel="0" collapsed="false">
      <c r="A1462" s="27" t="n">
        <v>11100998</v>
      </c>
      <c r="B1462" s="27" t="s">
        <v>1887</v>
      </c>
      <c r="C1462" s="43" t="n">
        <v>180.98</v>
      </c>
      <c r="D1462" s="27" t="n">
        <v>3.7</v>
      </c>
      <c r="E1462" s="27" t="n">
        <v>12</v>
      </c>
      <c r="F1462" s="27" t="n">
        <v>15.39</v>
      </c>
      <c r="G1462" s="27" t="s">
        <v>1875</v>
      </c>
      <c r="H1462" s="27" t="s">
        <v>2011</v>
      </c>
      <c r="I1462" s="27" t="s">
        <v>1876</v>
      </c>
      <c r="J1462" s="27" t="s">
        <v>2618</v>
      </c>
      <c r="K1462" s="27" t="n">
        <v>2459</v>
      </c>
      <c r="L1462" s="27" t="n">
        <v>711</v>
      </c>
      <c r="M1462" s="28" t="n">
        <f aca="false">IFERROR(VLOOKUP((OFFSET(hoje12_326_ana9,1461,10,1,1)&amp;"."&amp;OFFSET(hoje12_326_ana9,1461,11,1,1)),'12.326'!A:D,4,0),"-")</f>
        <v>33768854000171</v>
      </c>
    </row>
    <row r="1463" customFormat="false" ht="14.4" hidden="false" customHeight="false" outlineLevel="0" collapsed="false">
      <c r="A1463" s="27" t="n">
        <v>11101000</v>
      </c>
      <c r="B1463" s="27" t="s">
        <v>1886</v>
      </c>
      <c r="C1463" s="43" t="n">
        <v>277.3</v>
      </c>
      <c r="D1463" s="27" t="n">
        <v>5.66</v>
      </c>
      <c r="E1463" s="27" t="n">
        <v>12</v>
      </c>
      <c r="F1463" s="27" t="n">
        <v>23.58</v>
      </c>
      <c r="G1463" s="27" t="s">
        <v>1875</v>
      </c>
      <c r="H1463" s="27" t="s">
        <v>2011</v>
      </c>
      <c r="I1463" s="27" t="s">
        <v>1876</v>
      </c>
      <c r="J1463" s="27" t="s">
        <v>2724</v>
      </c>
      <c r="K1463" s="27" t="n">
        <v>2459</v>
      </c>
      <c r="L1463" s="27" t="n">
        <v>711</v>
      </c>
      <c r="M1463" s="28" t="n">
        <f aca="false">IFERROR(VLOOKUP((OFFSET(hoje12_326_ana9,1462,10,1,1)&amp;"."&amp;OFFSET(hoje12_326_ana9,1462,11,1,1)),'12.326'!A:D,4,0),"-")</f>
        <v>33768854000171</v>
      </c>
    </row>
    <row r="1464" customFormat="false" ht="14.4" hidden="false" customHeight="false" outlineLevel="0" collapsed="false">
      <c r="A1464" s="27" t="n">
        <v>11101003</v>
      </c>
      <c r="B1464" s="27" t="s">
        <v>1889</v>
      </c>
      <c r="C1464" s="43" t="n">
        <v>112.61</v>
      </c>
      <c r="D1464" s="27" t="n">
        <v>19.87</v>
      </c>
      <c r="E1464" s="27" t="n">
        <v>12</v>
      </c>
      <c r="F1464" s="27" t="n">
        <v>11.04</v>
      </c>
      <c r="G1464" s="27" t="s">
        <v>1875</v>
      </c>
      <c r="H1464" s="27" t="s">
        <v>1892</v>
      </c>
      <c r="I1464" s="27" t="s">
        <v>1876</v>
      </c>
      <c r="J1464" s="27" t="s">
        <v>2709</v>
      </c>
      <c r="K1464" s="27" t="n">
        <v>2459</v>
      </c>
      <c r="L1464" s="27" t="n">
        <v>711</v>
      </c>
      <c r="M1464" s="28" t="n">
        <f aca="false">IFERROR(VLOOKUP((OFFSET(hoje12_326_ana9,1463,10,1,1)&amp;"."&amp;OFFSET(hoje12_326_ana9,1463,11,1,1)),'12.326'!A:D,4,0),"-")</f>
        <v>33768854000171</v>
      </c>
    </row>
    <row r="1465" customFormat="false" ht="14.4" hidden="false" customHeight="false" outlineLevel="0" collapsed="false">
      <c r="A1465" s="27" t="n">
        <v>11101004</v>
      </c>
      <c r="B1465" s="27" t="s">
        <v>1888</v>
      </c>
      <c r="C1465" s="43" t="n">
        <v>129.83</v>
      </c>
      <c r="D1465" s="27" t="n">
        <v>2.65</v>
      </c>
      <c r="E1465" s="27" t="n">
        <v>12</v>
      </c>
      <c r="F1465" s="27" t="n">
        <v>11.04</v>
      </c>
      <c r="G1465" s="27" t="s">
        <v>1875</v>
      </c>
      <c r="H1465" s="27" t="s">
        <v>2011</v>
      </c>
      <c r="I1465" s="27" t="s">
        <v>1876</v>
      </c>
      <c r="J1465" s="27" t="s">
        <v>2012</v>
      </c>
      <c r="K1465" s="27" t="n">
        <v>2459</v>
      </c>
      <c r="L1465" s="27" t="n">
        <v>711</v>
      </c>
      <c r="M1465" s="28" t="n">
        <f aca="false">IFERROR(VLOOKUP((OFFSET(hoje12_326_ana9,1464,10,1,1)&amp;"."&amp;OFFSET(hoje12_326_ana9,1464,11,1,1)),'12.326'!A:D,4,0),"-")</f>
        <v>33768854000171</v>
      </c>
    </row>
    <row r="1466" customFormat="false" ht="14.4" hidden="false" customHeight="false" outlineLevel="0" collapsed="false">
      <c r="A1466" s="27" t="n">
        <v>11101000</v>
      </c>
      <c r="B1466" s="27" t="s">
        <v>1886</v>
      </c>
      <c r="C1466" s="43" t="n">
        <v>68.97</v>
      </c>
      <c r="D1466" s="27" t="n">
        <v>0</v>
      </c>
      <c r="E1466" s="27" t="n">
        <v>3</v>
      </c>
      <c r="F1466" s="27" t="n">
        <v>22.99</v>
      </c>
      <c r="G1466" s="27" t="s">
        <v>1875</v>
      </c>
      <c r="H1466" s="27" t="s">
        <v>68</v>
      </c>
      <c r="I1466" s="27" t="s">
        <v>1876</v>
      </c>
      <c r="J1466" s="27" t="s">
        <v>1877</v>
      </c>
      <c r="K1466" s="27" t="n">
        <v>711001</v>
      </c>
      <c r="L1466" s="27" t="n">
        <v>711</v>
      </c>
      <c r="M1466" s="28" t="n">
        <f aca="false">IFERROR(VLOOKUP((OFFSET(hoje12_326_ana9,1465,10,1,1)&amp;"."&amp;OFFSET(hoje12_326_ana9,1465,11,1,1)),'12.326'!A:D,4,0),"-")</f>
        <v>33768854000171</v>
      </c>
    </row>
    <row r="1467" customFormat="false" ht="14.4" hidden="false" customHeight="false" outlineLevel="0" collapsed="false">
      <c r="A1467" s="27" t="n">
        <v>11100998</v>
      </c>
      <c r="B1467" s="27" t="s">
        <v>1887</v>
      </c>
      <c r="C1467" s="43" t="n">
        <v>45.03</v>
      </c>
      <c r="D1467" s="27" t="n">
        <v>0</v>
      </c>
      <c r="E1467" s="27" t="n">
        <v>3</v>
      </c>
      <c r="F1467" s="27" t="n">
        <v>15.01</v>
      </c>
      <c r="G1467" s="27" t="s">
        <v>1875</v>
      </c>
      <c r="H1467" s="27" t="s">
        <v>68</v>
      </c>
      <c r="I1467" s="27" t="s">
        <v>1876</v>
      </c>
      <c r="J1467" s="27" t="s">
        <v>1877</v>
      </c>
      <c r="K1467" s="27" t="n">
        <v>711001</v>
      </c>
      <c r="L1467" s="27" t="n">
        <v>711</v>
      </c>
      <c r="M1467" s="28" t="n">
        <f aca="false">IFERROR(VLOOKUP((OFFSET(hoje12_326_ana9,1466,10,1,1)&amp;"."&amp;OFFSET(hoje12_326_ana9,1466,11,1,1)),'12.326'!A:D,4,0),"-")</f>
        <v>33768854000171</v>
      </c>
    </row>
    <row r="1468" customFormat="false" ht="14.4" hidden="false" customHeight="false" outlineLevel="0" collapsed="false">
      <c r="A1468" s="27" t="n">
        <v>11101004</v>
      </c>
      <c r="B1468" s="27" t="s">
        <v>1888</v>
      </c>
      <c r="C1468" s="43" t="n">
        <v>32.28</v>
      </c>
      <c r="D1468" s="27" t="n">
        <v>0</v>
      </c>
      <c r="E1468" s="27" t="n">
        <v>3</v>
      </c>
      <c r="F1468" s="27" t="n">
        <v>10.76</v>
      </c>
      <c r="G1468" s="27" t="s">
        <v>1875</v>
      </c>
      <c r="H1468" s="27" t="s">
        <v>68</v>
      </c>
      <c r="I1468" s="27" t="s">
        <v>1876</v>
      </c>
      <c r="J1468" s="27" t="s">
        <v>1877</v>
      </c>
      <c r="K1468" s="27" t="n">
        <v>711001</v>
      </c>
      <c r="L1468" s="27" t="n">
        <v>711</v>
      </c>
      <c r="M1468" s="28" t="n">
        <f aca="false">IFERROR(VLOOKUP((OFFSET(hoje12_326_ana9,1467,10,1,1)&amp;"."&amp;OFFSET(hoje12_326_ana9,1467,11,1,1)),'12.326'!A:D,4,0),"-")</f>
        <v>33768854000171</v>
      </c>
    </row>
    <row r="1469" customFormat="false" ht="14.4" hidden="false" customHeight="false" outlineLevel="0" collapsed="false">
      <c r="A1469" s="27" t="n">
        <v>11101003</v>
      </c>
      <c r="B1469" s="27" t="s">
        <v>1889</v>
      </c>
      <c r="C1469" s="43" t="n">
        <v>32.28</v>
      </c>
      <c r="D1469" s="27" t="n">
        <v>0</v>
      </c>
      <c r="E1469" s="27" t="n">
        <v>3</v>
      </c>
      <c r="F1469" s="27" t="n">
        <v>10.76</v>
      </c>
      <c r="G1469" s="27" t="s">
        <v>1875</v>
      </c>
      <c r="H1469" s="27" t="s">
        <v>68</v>
      </c>
      <c r="I1469" s="27" t="s">
        <v>1876</v>
      </c>
      <c r="J1469" s="27" t="s">
        <v>1877</v>
      </c>
      <c r="K1469" s="27" t="n">
        <v>711001</v>
      </c>
      <c r="L1469" s="27" t="n">
        <v>711</v>
      </c>
      <c r="M1469" s="28" t="n">
        <f aca="false">IFERROR(VLOOKUP((OFFSET(hoje12_326_ana9,1468,10,1,1)&amp;"."&amp;OFFSET(hoje12_326_ana9,1468,11,1,1)),'12.326'!A:D,4,0),"-")</f>
        <v>33768854000171</v>
      </c>
    </row>
    <row r="1470" customFormat="false" ht="14.4" hidden="false" customHeight="false" outlineLevel="0" collapsed="false">
      <c r="A1470" s="27" t="n">
        <v>11100350</v>
      </c>
      <c r="B1470" s="27" t="s">
        <v>1941</v>
      </c>
      <c r="C1470" s="43" t="n">
        <v>33.27</v>
      </c>
      <c r="D1470" s="27" t="n">
        <v>0</v>
      </c>
      <c r="E1470" s="27" t="n">
        <v>3</v>
      </c>
      <c r="F1470" s="27" t="n">
        <v>11.09</v>
      </c>
      <c r="G1470" s="27" t="s">
        <v>1875</v>
      </c>
      <c r="H1470" s="27" t="s">
        <v>68</v>
      </c>
      <c r="I1470" s="27" t="s">
        <v>1876</v>
      </c>
      <c r="J1470" s="27" t="s">
        <v>1877</v>
      </c>
      <c r="K1470" s="27" t="n">
        <v>2478</v>
      </c>
      <c r="L1470" s="27" t="n">
        <v>711</v>
      </c>
      <c r="M1470" s="28" t="n">
        <f aca="false">IFERROR(VLOOKUP((OFFSET(hoje12_326_ana9,1469,10,1,1)&amp;"."&amp;OFFSET(hoje12_326_ana9,1469,11,1,1)),'12.326'!A:D,4,0),"-")</f>
        <v>53091979000117</v>
      </c>
    </row>
    <row r="1471" customFormat="false" ht="14.4" hidden="false" customHeight="false" outlineLevel="0" collapsed="false">
      <c r="A1471" s="27" t="n">
        <v>11100619</v>
      </c>
      <c r="B1471" s="27" t="s">
        <v>2725</v>
      </c>
      <c r="C1471" s="43" t="n">
        <v>50.58</v>
      </c>
      <c r="D1471" s="27" t="n">
        <v>0</v>
      </c>
      <c r="E1471" s="27" t="n">
        <v>3</v>
      </c>
      <c r="F1471" s="27" t="n">
        <v>16.86</v>
      </c>
      <c r="G1471" s="27" t="s">
        <v>1875</v>
      </c>
      <c r="H1471" s="27" t="s">
        <v>68</v>
      </c>
      <c r="I1471" s="27" t="s">
        <v>2726</v>
      </c>
      <c r="J1471" s="27" t="s">
        <v>2727</v>
      </c>
      <c r="K1471" s="27" t="n">
        <v>2478</v>
      </c>
      <c r="L1471" s="27" t="n">
        <v>711</v>
      </c>
      <c r="M1471" s="28" t="n">
        <f aca="false">IFERROR(VLOOKUP((OFFSET(hoje12_326_ana9,1470,10,1,1)&amp;"."&amp;OFFSET(hoje12_326_ana9,1470,11,1,1)),'12.326'!A:D,4,0),"-")</f>
        <v>53091979000117</v>
      </c>
    </row>
    <row r="1472" customFormat="false" ht="14.4" hidden="false" customHeight="false" outlineLevel="0" collapsed="false">
      <c r="A1472" s="27" t="n">
        <v>11100623</v>
      </c>
      <c r="B1472" s="27" t="s">
        <v>2728</v>
      </c>
      <c r="C1472" s="43" t="n">
        <v>50.58</v>
      </c>
      <c r="D1472" s="27" t="n">
        <v>0</v>
      </c>
      <c r="E1472" s="27" t="n">
        <v>3</v>
      </c>
      <c r="F1472" s="27" t="n">
        <v>16.86</v>
      </c>
      <c r="G1472" s="27" t="s">
        <v>1875</v>
      </c>
      <c r="H1472" s="27" t="s">
        <v>68</v>
      </c>
      <c r="I1472" s="27" t="s">
        <v>2726</v>
      </c>
      <c r="J1472" s="27" t="s">
        <v>2727</v>
      </c>
      <c r="K1472" s="27" t="n">
        <v>2478</v>
      </c>
      <c r="L1472" s="27" t="n">
        <v>711</v>
      </c>
      <c r="M1472" s="28" t="n">
        <f aca="false">IFERROR(VLOOKUP((OFFSET(hoje12_326_ana9,1471,10,1,1)&amp;"."&amp;OFFSET(hoje12_326_ana9,1471,11,1,1)),'12.326'!A:D,4,0),"-")</f>
        <v>53091979000117</v>
      </c>
    </row>
    <row r="1473" customFormat="false" ht="14.4" hidden="false" customHeight="false" outlineLevel="0" collapsed="false">
      <c r="A1473" s="27" t="n">
        <v>11101000</v>
      </c>
      <c r="B1473" s="27" t="s">
        <v>1886</v>
      </c>
      <c r="C1473" s="43" t="n">
        <v>68.97</v>
      </c>
      <c r="D1473" s="27" t="n">
        <v>0</v>
      </c>
      <c r="E1473" s="27" t="n">
        <v>3</v>
      </c>
      <c r="F1473" s="27" t="n">
        <v>22.99</v>
      </c>
      <c r="G1473" s="27" t="s">
        <v>1875</v>
      </c>
      <c r="H1473" s="27" t="s">
        <v>68</v>
      </c>
      <c r="I1473" s="27" t="s">
        <v>1876</v>
      </c>
      <c r="J1473" s="27" t="s">
        <v>1877</v>
      </c>
      <c r="K1473" s="27" t="n">
        <v>712001</v>
      </c>
      <c r="L1473" s="27" t="n">
        <v>712</v>
      </c>
      <c r="M1473" s="28" t="n">
        <f aca="false">IFERROR(VLOOKUP((OFFSET(hoje12_326_ana9,1472,10,1,1)&amp;"."&amp;OFFSET(hoje12_326_ana9,1472,11,1,1)),'12.326'!A:D,4,0),"-")</f>
        <v>33168717000449</v>
      </c>
    </row>
    <row r="1474" customFormat="false" ht="14.4" hidden="false" customHeight="false" outlineLevel="0" collapsed="false">
      <c r="A1474" s="27" t="n">
        <v>11100998</v>
      </c>
      <c r="B1474" s="27" t="s">
        <v>1887</v>
      </c>
      <c r="C1474" s="43" t="n">
        <v>45.03</v>
      </c>
      <c r="D1474" s="27" t="n">
        <v>0</v>
      </c>
      <c r="E1474" s="27" t="n">
        <v>3</v>
      </c>
      <c r="F1474" s="27" t="n">
        <v>15.01</v>
      </c>
      <c r="G1474" s="27" t="s">
        <v>1875</v>
      </c>
      <c r="H1474" s="27" t="s">
        <v>68</v>
      </c>
      <c r="I1474" s="27" t="s">
        <v>1876</v>
      </c>
      <c r="J1474" s="27" t="s">
        <v>1877</v>
      </c>
      <c r="K1474" s="27" t="n">
        <v>712001</v>
      </c>
      <c r="L1474" s="27" t="n">
        <v>712</v>
      </c>
      <c r="M1474" s="28" t="n">
        <f aca="false">IFERROR(VLOOKUP((OFFSET(hoje12_326_ana9,1473,10,1,1)&amp;"."&amp;OFFSET(hoje12_326_ana9,1473,11,1,1)),'12.326'!A:D,4,0),"-")</f>
        <v>33168717000449</v>
      </c>
    </row>
    <row r="1475" customFormat="false" ht="14.4" hidden="false" customHeight="false" outlineLevel="0" collapsed="false">
      <c r="A1475" s="27" t="n">
        <v>11101004</v>
      </c>
      <c r="B1475" s="27" t="s">
        <v>1888</v>
      </c>
      <c r="C1475" s="43" t="n">
        <v>32.28</v>
      </c>
      <c r="D1475" s="27" t="n">
        <v>0</v>
      </c>
      <c r="E1475" s="27" t="n">
        <v>3</v>
      </c>
      <c r="F1475" s="27" t="n">
        <v>10.76</v>
      </c>
      <c r="G1475" s="27" t="s">
        <v>1875</v>
      </c>
      <c r="H1475" s="27" t="s">
        <v>68</v>
      </c>
      <c r="I1475" s="27" t="s">
        <v>1876</v>
      </c>
      <c r="J1475" s="27" t="s">
        <v>1877</v>
      </c>
      <c r="K1475" s="27" t="n">
        <v>712001</v>
      </c>
      <c r="L1475" s="27" t="n">
        <v>712</v>
      </c>
      <c r="M1475" s="28" t="n">
        <f aca="false">IFERROR(VLOOKUP((OFFSET(hoje12_326_ana9,1474,10,1,1)&amp;"."&amp;OFFSET(hoje12_326_ana9,1474,11,1,1)),'12.326'!A:D,4,0),"-")</f>
        <v>33168717000449</v>
      </c>
    </row>
    <row r="1476" customFormat="false" ht="14.4" hidden="false" customHeight="false" outlineLevel="0" collapsed="false">
      <c r="A1476" s="27" t="n">
        <v>11101003</v>
      </c>
      <c r="B1476" s="27" t="s">
        <v>1889</v>
      </c>
      <c r="C1476" s="43" t="n">
        <v>32.28</v>
      </c>
      <c r="D1476" s="27" t="n">
        <v>0</v>
      </c>
      <c r="E1476" s="27" t="n">
        <v>3</v>
      </c>
      <c r="F1476" s="27" t="n">
        <v>10.76</v>
      </c>
      <c r="G1476" s="27" t="s">
        <v>1875</v>
      </c>
      <c r="H1476" s="27" t="s">
        <v>68</v>
      </c>
      <c r="I1476" s="27" t="s">
        <v>1876</v>
      </c>
      <c r="J1476" s="27" t="s">
        <v>1877</v>
      </c>
      <c r="K1476" s="27" t="n">
        <v>712001</v>
      </c>
      <c r="L1476" s="27" t="n">
        <v>712</v>
      </c>
      <c r="M1476" s="28" t="n">
        <f aca="false">IFERROR(VLOOKUP((OFFSET(hoje12_326_ana9,1475,10,1,1)&amp;"."&amp;OFFSET(hoje12_326_ana9,1475,11,1,1)),'12.326'!A:D,4,0),"-")</f>
        <v>33168717000449</v>
      </c>
    </row>
    <row r="1477" customFormat="false" ht="14.4" hidden="false" customHeight="false" outlineLevel="0" collapsed="false">
      <c r="A1477" s="27" t="n">
        <v>11101000</v>
      </c>
      <c r="B1477" s="27" t="s">
        <v>1886</v>
      </c>
      <c r="C1477" s="43" t="n">
        <v>68.97</v>
      </c>
      <c r="D1477" s="27" t="n">
        <v>0</v>
      </c>
      <c r="E1477" s="27" t="n">
        <v>3</v>
      </c>
      <c r="F1477" s="27" t="n">
        <v>22.99</v>
      </c>
      <c r="G1477" s="27" t="s">
        <v>1875</v>
      </c>
      <c r="H1477" s="27" t="s">
        <v>68</v>
      </c>
      <c r="I1477" s="27" t="s">
        <v>1876</v>
      </c>
      <c r="J1477" s="27" t="s">
        <v>1877</v>
      </c>
      <c r="K1477" s="27" t="n">
        <v>712002</v>
      </c>
      <c r="L1477" s="27" t="n">
        <v>712</v>
      </c>
      <c r="M1477" s="28" t="n">
        <f aca="false">IFERROR(VLOOKUP((OFFSET(hoje12_326_ana9,1476,10,1,1)&amp;"."&amp;OFFSET(hoje12_326_ana9,1476,11,1,1)),'12.326'!A:D,4,0),"-")</f>
        <v>33168717000104</v>
      </c>
    </row>
    <row r="1478" customFormat="false" ht="14.4" hidden="false" customHeight="false" outlineLevel="0" collapsed="false">
      <c r="A1478" s="27" t="n">
        <v>11100998</v>
      </c>
      <c r="B1478" s="27" t="s">
        <v>1887</v>
      </c>
      <c r="C1478" s="43" t="n">
        <v>45.03</v>
      </c>
      <c r="D1478" s="27" t="n">
        <v>0</v>
      </c>
      <c r="E1478" s="27" t="n">
        <v>3</v>
      </c>
      <c r="F1478" s="27" t="n">
        <v>15.01</v>
      </c>
      <c r="G1478" s="27" t="s">
        <v>1875</v>
      </c>
      <c r="H1478" s="27" t="s">
        <v>68</v>
      </c>
      <c r="I1478" s="27" t="s">
        <v>1876</v>
      </c>
      <c r="J1478" s="27" t="s">
        <v>1877</v>
      </c>
      <c r="K1478" s="27" t="n">
        <v>712002</v>
      </c>
      <c r="L1478" s="27" t="n">
        <v>712</v>
      </c>
      <c r="M1478" s="28" t="n">
        <f aca="false">IFERROR(VLOOKUP((OFFSET(hoje12_326_ana9,1477,10,1,1)&amp;"."&amp;OFFSET(hoje12_326_ana9,1477,11,1,1)),'12.326'!A:D,4,0),"-")</f>
        <v>33168717000104</v>
      </c>
    </row>
    <row r="1479" customFormat="false" ht="14.4" hidden="false" customHeight="false" outlineLevel="0" collapsed="false">
      <c r="A1479" s="27" t="n">
        <v>11101004</v>
      </c>
      <c r="B1479" s="27" t="s">
        <v>1888</v>
      </c>
      <c r="C1479" s="43" t="n">
        <v>32.28</v>
      </c>
      <c r="D1479" s="27" t="n">
        <v>0</v>
      </c>
      <c r="E1479" s="27" t="n">
        <v>3</v>
      </c>
      <c r="F1479" s="27" t="n">
        <v>10.76</v>
      </c>
      <c r="G1479" s="27" t="s">
        <v>1875</v>
      </c>
      <c r="H1479" s="27" t="s">
        <v>68</v>
      </c>
      <c r="I1479" s="27" t="s">
        <v>1876</v>
      </c>
      <c r="J1479" s="27" t="s">
        <v>1877</v>
      </c>
      <c r="K1479" s="27" t="n">
        <v>712002</v>
      </c>
      <c r="L1479" s="27" t="n">
        <v>712</v>
      </c>
      <c r="M1479" s="28" t="n">
        <f aca="false">IFERROR(VLOOKUP((OFFSET(hoje12_326_ana9,1478,10,1,1)&amp;"."&amp;OFFSET(hoje12_326_ana9,1478,11,1,1)),'12.326'!A:D,4,0),"-")</f>
        <v>33168717000104</v>
      </c>
    </row>
    <row r="1480" customFormat="false" ht="14.4" hidden="false" customHeight="false" outlineLevel="0" collapsed="false">
      <c r="A1480" s="27" t="n">
        <v>11101003</v>
      </c>
      <c r="B1480" s="27" t="s">
        <v>1889</v>
      </c>
      <c r="C1480" s="43" t="n">
        <v>32.28</v>
      </c>
      <c r="D1480" s="27" t="n">
        <v>0</v>
      </c>
      <c r="E1480" s="27" t="n">
        <v>3</v>
      </c>
      <c r="F1480" s="27" t="n">
        <v>10.76</v>
      </c>
      <c r="G1480" s="27" t="s">
        <v>1875</v>
      </c>
      <c r="H1480" s="27" t="s">
        <v>68</v>
      </c>
      <c r="I1480" s="27" t="s">
        <v>1876</v>
      </c>
      <c r="J1480" s="27" t="s">
        <v>1877</v>
      </c>
      <c r="K1480" s="27" t="n">
        <v>712002</v>
      </c>
      <c r="L1480" s="27" t="n">
        <v>712</v>
      </c>
      <c r="M1480" s="28" t="n">
        <f aca="false">IFERROR(VLOOKUP((OFFSET(hoje12_326_ana9,1479,10,1,1)&amp;"."&amp;OFFSET(hoje12_326_ana9,1479,11,1,1)),'12.326'!A:D,4,0),"-")</f>
        <v>33168717000104</v>
      </c>
    </row>
    <row r="1481" customFormat="false" ht="14.4" hidden="false" customHeight="false" outlineLevel="0" collapsed="false">
      <c r="A1481" s="27" t="n">
        <v>11100361</v>
      </c>
      <c r="B1481" s="27" t="s">
        <v>2729</v>
      </c>
      <c r="C1481" s="43" t="n">
        <v>183.36</v>
      </c>
      <c r="D1481" s="27" t="n">
        <v>0</v>
      </c>
      <c r="E1481" s="27" t="n">
        <v>12</v>
      </c>
      <c r="F1481" s="27" t="n">
        <v>15.28</v>
      </c>
      <c r="G1481" s="27" t="s">
        <v>1875</v>
      </c>
      <c r="H1481" s="27" t="s">
        <v>68</v>
      </c>
      <c r="I1481" s="27" t="s">
        <v>1876</v>
      </c>
      <c r="J1481" s="27" t="s">
        <v>1877</v>
      </c>
      <c r="K1481" s="27" t="n">
        <v>494</v>
      </c>
      <c r="L1481" s="27" t="n">
        <v>715</v>
      </c>
      <c r="M1481" s="28" t="n">
        <f aca="false">IFERROR(VLOOKUP((OFFSET(hoje12_326_ana9,1480,10,1,1)&amp;"."&amp;OFFSET(hoje12_326_ana9,1480,11,1,1)),'12.326'!A:D,4,0),"-")</f>
        <v>15489834000180</v>
      </c>
    </row>
    <row r="1482" customFormat="false" ht="14.4" hidden="false" customHeight="false" outlineLevel="0" collapsed="false">
      <c r="A1482" s="27" t="n">
        <v>11100091</v>
      </c>
      <c r="B1482" s="27" t="s">
        <v>1910</v>
      </c>
      <c r="C1482" s="43" t="n">
        <v>608.75</v>
      </c>
      <c r="D1482" s="27" t="n">
        <v>53.65</v>
      </c>
      <c r="E1482" s="27" t="n">
        <v>144</v>
      </c>
      <c r="F1482" s="27" t="n">
        <v>4.6</v>
      </c>
      <c r="G1482" s="27" t="s">
        <v>1875</v>
      </c>
      <c r="H1482" s="27" t="s">
        <v>2730</v>
      </c>
      <c r="I1482" s="27" t="s">
        <v>1876</v>
      </c>
      <c r="J1482" s="27" t="s">
        <v>2731</v>
      </c>
      <c r="K1482" s="27" t="n">
        <v>494</v>
      </c>
      <c r="L1482" s="27" t="n">
        <v>715</v>
      </c>
      <c r="M1482" s="28" t="n">
        <f aca="false">IFERROR(VLOOKUP((OFFSET(hoje12_326_ana9,1481,10,1,1)&amp;"."&amp;OFFSET(hoje12_326_ana9,1481,11,1,1)),'12.326'!A:D,4,0),"-")</f>
        <v>15489834000180</v>
      </c>
    </row>
    <row r="1483" customFormat="false" ht="14.4" hidden="false" customHeight="false" outlineLevel="0" collapsed="false">
      <c r="A1483" s="27" t="n">
        <v>11100492</v>
      </c>
      <c r="B1483" s="27" t="s">
        <v>2732</v>
      </c>
      <c r="C1483" s="43" t="n">
        <v>210.4</v>
      </c>
      <c r="D1483" s="27" t="n">
        <v>0</v>
      </c>
      <c r="E1483" s="27" t="n">
        <v>16</v>
      </c>
      <c r="F1483" s="27" t="n">
        <v>13.15</v>
      </c>
      <c r="G1483" s="27" t="s">
        <v>1875</v>
      </c>
      <c r="H1483" s="27" t="s">
        <v>68</v>
      </c>
      <c r="I1483" s="27" t="s">
        <v>1876</v>
      </c>
      <c r="J1483" s="27" t="s">
        <v>1877</v>
      </c>
      <c r="K1483" s="27" t="n">
        <v>494</v>
      </c>
      <c r="L1483" s="27" t="n">
        <v>715</v>
      </c>
      <c r="M1483" s="28" t="n">
        <f aca="false">IFERROR(VLOOKUP((OFFSET(hoje12_326_ana9,1482,10,1,1)&amp;"."&amp;OFFSET(hoje12_326_ana9,1482,11,1,1)),'12.326'!A:D,4,0),"-")</f>
        <v>15489834000180</v>
      </c>
    </row>
    <row r="1484" customFormat="false" ht="14.4" hidden="false" customHeight="false" outlineLevel="0" collapsed="false">
      <c r="A1484" s="27" t="n">
        <v>11100241</v>
      </c>
      <c r="B1484" s="27" t="s">
        <v>2733</v>
      </c>
      <c r="C1484" s="43" t="n">
        <v>75.84</v>
      </c>
      <c r="D1484" s="27" t="n">
        <v>0</v>
      </c>
      <c r="E1484" s="27" t="n">
        <v>12</v>
      </c>
      <c r="F1484" s="27" t="n">
        <v>6.32</v>
      </c>
      <c r="G1484" s="27" t="s">
        <v>1875</v>
      </c>
      <c r="H1484" s="27" t="s">
        <v>68</v>
      </c>
      <c r="I1484" s="27" t="s">
        <v>1876</v>
      </c>
      <c r="J1484" s="27" t="s">
        <v>1877</v>
      </c>
      <c r="K1484" s="27" t="n">
        <v>494</v>
      </c>
      <c r="L1484" s="27" t="n">
        <v>715</v>
      </c>
      <c r="M1484" s="28" t="n">
        <f aca="false">IFERROR(VLOOKUP((OFFSET(hoje12_326_ana9,1483,10,1,1)&amp;"."&amp;OFFSET(hoje12_326_ana9,1483,11,1,1)),'12.326'!A:D,4,0),"-")</f>
        <v>15489834000180</v>
      </c>
    </row>
    <row r="1485" customFormat="false" ht="14.4" hidden="false" customHeight="false" outlineLevel="0" collapsed="false">
      <c r="A1485" s="27" t="n">
        <v>11100248</v>
      </c>
      <c r="B1485" s="27" t="s">
        <v>2734</v>
      </c>
      <c r="C1485" s="43" t="n">
        <v>754.99</v>
      </c>
      <c r="D1485" s="27" t="n">
        <v>15.41</v>
      </c>
      <c r="E1485" s="27" t="n">
        <v>144</v>
      </c>
      <c r="F1485" s="27" t="n">
        <v>5.35</v>
      </c>
      <c r="G1485" s="27" t="s">
        <v>1875</v>
      </c>
      <c r="H1485" s="27" t="s">
        <v>2011</v>
      </c>
      <c r="I1485" s="27" t="s">
        <v>2625</v>
      </c>
      <c r="J1485" s="27" t="s">
        <v>2735</v>
      </c>
      <c r="K1485" s="27" t="n">
        <v>494</v>
      </c>
      <c r="L1485" s="27" t="n">
        <v>715</v>
      </c>
      <c r="M1485" s="28" t="n">
        <f aca="false">IFERROR(VLOOKUP((OFFSET(hoje12_326_ana9,1484,10,1,1)&amp;"."&amp;OFFSET(hoje12_326_ana9,1484,11,1,1)),'12.326'!A:D,4,0),"-")</f>
        <v>15489834000180</v>
      </c>
    </row>
    <row r="1486" customFormat="false" ht="14.4" hidden="false" customHeight="false" outlineLevel="0" collapsed="false">
      <c r="A1486" s="27" t="n">
        <v>11100138</v>
      </c>
      <c r="B1486" s="27" t="s">
        <v>2035</v>
      </c>
      <c r="C1486" s="43" t="n">
        <v>544.82</v>
      </c>
      <c r="D1486" s="27" t="n">
        <v>34.78</v>
      </c>
      <c r="E1486" s="27" t="n">
        <v>72</v>
      </c>
      <c r="F1486" s="27" t="n">
        <v>8.05</v>
      </c>
      <c r="G1486" s="27" t="s">
        <v>1875</v>
      </c>
      <c r="H1486" s="27" t="s">
        <v>2736</v>
      </c>
      <c r="I1486" s="27" t="s">
        <v>1876</v>
      </c>
      <c r="J1486" s="27" t="s">
        <v>2215</v>
      </c>
      <c r="K1486" s="27" t="n">
        <v>494</v>
      </c>
      <c r="L1486" s="27" t="n">
        <v>715</v>
      </c>
      <c r="M1486" s="28" t="n">
        <f aca="false">IFERROR(VLOOKUP((OFFSET(hoje12_326_ana9,1485,10,1,1)&amp;"."&amp;OFFSET(hoje12_326_ana9,1485,11,1,1)),'12.326'!A:D,4,0),"-")</f>
        <v>15489834000180</v>
      </c>
    </row>
    <row r="1487" customFormat="false" ht="14.4" hidden="false" customHeight="false" outlineLevel="0" collapsed="false">
      <c r="A1487" s="27" t="n">
        <v>11100069</v>
      </c>
      <c r="B1487" s="27" t="s">
        <v>2362</v>
      </c>
      <c r="C1487" s="43" t="n">
        <v>70.91</v>
      </c>
      <c r="D1487" s="27" t="n">
        <v>1.45</v>
      </c>
      <c r="E1487" s="27" t="n">
        <v>12</v>
      </c>
      <c r="F1487" s="27" t="n">
        <v>6.03</v>
      </c>
      <c r="G1487" s="27" t="s">
        <v>1875</v>
      </c>
      <c r="H1487" s="27" t="s">
        <v>2011</v>
      </c>
      <c r="I1487" s="27" t="s">
        <v>1876</v>
      </c>
      <c r="J1487" s="27" t="s">
        <v>2570</v>
      </c>
      <c r="K1487" s="27" t="n">
        <v>494</v>
      </c>
      <c r="L1487" s="27" t="n">
        <v>715</v>
      </c>
      <c r="M1487" s="28" t="n">
        <f aca="false">IFERROR(VLOOKUP((OFFSET(hoje12_326_ana9,1486,10,1,1)&amp;"."&amp;OFFSET(hoje12_326_ana9,1486,11,1,1)),'12.326'!A:D,4,0),"-")</f>
        <v>15489834000180</v>
      </c>
    </row>
    <row r="1488" customFormat="false" ht="14.4" hidden="false" customHeight="false" outlineLevel="0" collapsed="false">
      <c r="A1488" s="27" t="n">
        <v>11100189</v>
      </c>
      <c r="B1488" s="27" t="s">
        <v>2737</v>
      </c>
      <c r="C1488" s="43" t="n">
        <v>1671.68</v>
      </c>
      <c r="D1488" s="27" t="n">
        <v>0</v>
      </c>
      <c r="E1488" s="27" t="n">
        <v>32</v>
      </c>
      <c r="F1488" s="27" t="n">
        <v>52.24</v>
      </c>
      <c r="G1488" s="27" t="s">
        <v>1875</v>
      </c>
      <c r="H1488" s="27" t="s">
        <v>68</v>
      </c>
      <c r="I1488" s="27" t="s">
        <v>1876</v>
      </c>
      <c r="J1488" s="27" t="s">
        <v>1877</v>
      </c>
      <c r="K1488" s="27" t="n">
        <v>494</v>
      </c>
      <c r="L1488" s="27" t="n">
        <v>715</v>
      </c>
      <c r="M1488" s="28" t="n">
        <f aca="false">IFERROR(VLOOKUP((OFFSET(hoje12_326_ana9,1487,10,1,1)&amp;"."&amp;OFFSET(hoje12_326_ana9,1487,11,1,1)),'12.326'!A:D,4,0),"-")</f>
        <v>15489834000180</v>
      </c>
    </row>
    <row r="1489" customFormat="false" ht="14.4" hidden="false" customHeight="false" outlineLevel="0" collapsed="false">
      <c r="A1489" s="27" t="n">
        <v>11100809</v>
      </c>
      <c r="B1489" s="27" t="s">
        <v>2249</v>
      </c>
      <c r="C1489" s="43" t="n">
        <v>169.56</v>
      </c>
      <c r="D1489" s="27" t="n">
        <v>56.52</v>
      </c>
      <c r="E1489" s="27" t="n">
        <v>72</v>
      </c>
      <c r="F1489" s="27" t="n">
        <v>3.14</v>
      </c>
      <c r="G1489" s="27" t="s">
        <v>1875</v>
      </c>
      <c r="H1489" s="27" t="s">
        <v>2738</v>
      </c>
      <c r="I1489" s="27" t="s">
        <v>1876</v>
      </c>
      <c r="J1489" s="27" t="s">
        <v>2739</v>
      </c>
      <c r="K1489" s="27" t="n">
        <v>494</v>
      </c>
      <c r="L1489" s="27" t="n">
        <v>715</v>
      </c>
      <c r="M1489" s="28" t="n">
        <f aca="false">IFERROR(VLOOKUP((OFFSET(hoje12_326_ana9,1488,10,1,1)&amp;"."&amp;OFFSET(hoje12_326_ana9,1488,11,1,1)),'12.326'!A:D,4,0),"-")</f>
        <v>15489834000180</v>
      </c>
    </row>
    <row r="1490" customFormat="false" ht="14.4" hidden="false" customHeight="false" outlineLevel="0" collapsed="false">
      <c r="A1490" s="27" t="n">
        <v>11100773</v>
      </c>
      <c r="B1490" s="27" t="s">
        <v>2061</v>
      </c>
      <c r="C1490" s="43" t="n">
        <v>169.56</v>
      </c>
      <c r="D1490" s="27" t="n">
        <v>56.52</v>
      </c>
      <c r="E1490" s="27" t="n">
        <v>72</v>
      </c>
      <c r="F1490" s="27" t="n">
        <v>3.14</v>
      </c>
      <c r="G1490" s="27" t="s">
        <v>1875</v>
      </c>
      <c r="H1490" s="27" t="s">
        <v>2738</v>
      </c>
      <c r="I1490" s="27" t="s">
        <v>1876</v>
      </c>
      <c r="J1490" s="27" t="s">
        <v>2739</v>
      </c>
      <c r="K1490" s="27" t="n">
        <v>494</v>
      </c>
      <c r="L1490" s="27" t="n">
        <v>715</v>
      </c>
      <c r="M1490" s="28" t="n">
        <f aca="false">IFERROR(VLOOKUP((OFFSET(hoje12_326_ana9,1489,10,1,1)&amp;"."&amp;OFFSET(hoje12_326_ana9,1489,11,1,1)),'12.326'!A:D,4,0),"-")</f>
        <v>15489834000180</v>
      </c>
    </row>
    <row r="1491" customFormat="false" ht="14.4" hidden="false" customHeight="false" outlineLevel="0" collapsed="false">
      <c r="A1491" s="27" t="n">
        <v>11100076</v>
      </c>
      <c r="B1491" s="27" t="s">
        <v>2740</v>
      </c>
      <c r="C1491" s="43" t="n">
        <v>706.54</v>
      </c>
      <c r="D1491" s="27" t="n">
        <v>14.42</v>
      </c>
      <c r="E1491" s="27" t="n">
        <v>48</v>
      </c>
      <c r="F1491" s="27" t="n">
        <v>15.02</v>
      </c>
      <c r="G1491" s="27" t="s">
        <v>1875</v>
      </c>
      <c r="H1491" s="27" t="s">
        <v>2011</v>
      </c>
      <c r="I1491" s="27" t="s">
        <v>1876</v>
      </c>
      <c r="J1491" s="27" t="s">
        <v>2741</v>
      </c>
      <c r="K1491" s="27" t="n">
        <v>494</v>
      </c>
      <c r="L1491" s="27" t="n">
        <v>715</v>
      </c>
      <c r="M1491" s="28" t="n">
        <f aca="false">IFERROR(VLOOKUP((OFFSET(hoje12_326_ana9,1490,10,1,1)&amp;"."&amp;OFFSET(hoje12_326_ana9,1490,11,1,1)),'12.326'!A:D,4,0),"-")</f>
        <v>15489834000180</v>
      </c>
    </row>
    <row r="1492" customFormat="false" ht="14.4" hidden="false" customHeight="false" outlineLevel="0" collapsed="false">
      <c r="A1492" s="27" t="n">
        <v>11100129</v>
      </c>
      <c r="B1492" s="27" t="s">
        <v>2742</v>
      </c>
      <c r="C1492" s="43" t="n">
        <v>235.67</v>
      </c>
      <c r="D1492" s="27" t="n">
        <v>4.81</v>
      </c>
      <c r="E1492" s="27" t="n">
        <v>24</v>
      </c>
      <c r="F1492" s="27" t="n">
        <v>10.02</v>
      </c>
      <c r="G1492" s="27" t="s">
        <v>1875</v>
      </c>
      <c r="H1492" s="27" t="s">
        <v>2011</v>
      </c>
      <c r="I1492" s="27" t="s">
        <v>1876</v>
      </c>
      <c r="J1492" s="27" t="s">
        <v>2743</v>
      </c>
      <c r="K1492" s="27" t="n">
        <v>494</v>
      </c>
      <c r="L1492" s="27" t="n">
        <v>715</v>
      </c>
      <c r="M1492" s="28" t="n">
        <f aca="false">IFERROR(VLOOKUP((OFFSET(hoje12_326_ana9,1491,10,1,1)&amp;"."&amp;OFFSET(hoje12_326_ana9,1491,11,1,1)),'12.326'!A:D,4,0),"-")</f>
        <v>15489834000180</v>
      </c>
    </row>
    <row r="1493" customFormat="false" ht="14.4" hidden="false" customHeight="false" outlineLevel="0" collapsed="false">
      <c r="A1493" s="27" t="n">
        <v>11100118</v>
      </c>
      <c r="B1493" s="27" t="s">
        <v>2744</v>
      </c>
      <c r="C1493" s="43" t="n">
        <v>413.72</v>
      </c>
      <c r="D1493" s="27" t="n">
        <v>8.44</v>
      </c>
      <c r="E1493" s="27" t="n">
        <v>24</v>
      </c>
      <c r="F1493" s="27" t="n">
        <v>17.59</v>
      </c>
      <c r="G1493" s="27" t="s">
        <v>1875</v>
      </c>
      <c r="H1493" s="27" t="s">
        <v>2011</v>
      </c>
      <c r="I1493" s="27" t="s">
        <v>1876</v>
      </c>
      <c r="J1493" s="27" t="s">
        <v>2745</v>
      </c>
      <c r="K1493" s="27" t="n">
        <v>494</v>
      </c>
      <c r="L1493" s="27" t="n">
        <v>715</v>
      </c>
      <c r="M1493" s="28" t="n">
        <f aca="false">IFERROR(VLOOKUP((OFFSET(hoje12_326_ana9,1492,10,1,1)&amp;"."&amp;OFFSET(hoje12_326_ana9,1492,11,1,1)),'12.326'!A:D,4,0),"-")</f>
        <v>15489834000180</v>
      </c>
    </row>
    <row r="1494" customFormat="false" ht="14.4" hidden="false" customHeight="false" outlineLevel="0" collapsed="false">
      <c r="A1494" s="27" t="n">
        <v>11100307</v>
      </c>
      <c r="B1494" s="27" t="s">
        <v>2746</v>
      </c>
      <c r="C1494" s="43" t="n">
        <v>355.62</v>
      </c>
      <c r="D1494" s="27" t="n">
        <v>7.26</v>
      </c>
      <c r="E1494" s="27" t="n">
        <v>18</v>
      </c>
      <c r="F1494" s="27" t="n">
        <v>20.16</v>
      </c>
      <c r="G1494" s="27" t="s">
        <v>1875</v>
      </c>
      <c r="H1494" s="27" t="s">
        <v>2011</v>
      </c>
      <c r="I1494" s="27" t="s">
        <v>1876</v>
      </c>
      <c r="J1494" s="27" t="s">
        <v>2611</v>
      </c>
      <c r="K1494" s="27" t="n">
        <v>494</v>
      </c>
      <c r="L1494" s="27" t="n">
        <v>715</v>
      </c>
      <c r="M1494" s="28" t="n">
        <f aca="false">IFERROR(VLOOKUP((OFFSET(hoje12_326_ana9,1493,10,1,1)&amp;"."&amp;OFFSET(hoje12_326_ana9,1493,11,1,1)),'12.326'!A:D,4,0),"-")</f>
        <v>15489834000180</v>
      </c>
    </row>
    <row r="1495" customFormat="false" ht="14.4" hidden="false" customHeight="false" outlineLevel="0" collapsed="false">
      <c r="A1495" s="27" t="n">
        <v>11100788</v>
      </c>
      <c r="B1495" s="27" t="s">
        <v>2248</v>
      </c>
      <c r="C1495" s="43" t="n">
        <v>169.56</v>
      </c>
      <c r="D1495" s="27" t="n">
        <v>56.52</v>
      </c>
      <c r="E1495" s="27" t="n">
        <v>72</v>
      </c>
      <c r="F1495" s="27" t="n">
        <v>3.14</v>
      </c>
      <c r="G1495" s="27" t="s">
        <v>1875</v>
      </c>
      <c r="H1495" s="27" t="s">
        <v>2738</v>
      </c>
      <c r="I1495" s="27" t="s">
        <v>1876</v>
      </c>
      <c r="J1495" s="27" t="s">
        <v>2739</v>
      </c>
      <c r="K1495" s="27" t="n">
        <v>494</v>
      </c>
      <c r="L1495" s="27" t="n">
        <v>715</v>
      </c>
      <c r="M1495" s="28" t="n">
        <f aca="false">IFERROR(VLOOKUP((OFFSET(hoje12_326_ana9,1494,10,1,1)&amp;"."&amp;OFFSET(hoje12_326_ana9,1494,11,1,1)),'12.326'!A:D,4,0),"-")</f>
        <v>15489834000180</v>
      </c>
    </row>
    <row r="1496" customFormat="false" ht="14.4" hidden="false" customHeight="false" outlineLevel="0" collapsed="false">
      <c r="A1496" s="27" t="n">
        <v>11100093</v>
      </c>
      <c r="B1496" s="27" t="s">
        <v>1911</v>
      </c>
      <c r="C1496" s="43" t="n">
        <v>4169.09</v>
      </c>
      <c r="D1496" s="27" t="n">
        <v>266.11</v>
      </c>
      <c r="E1496" s="27" t="n">
        <v>576</v>
      </c>
      <c r="F1496" s="27" t="n">
        <v>7.7</v>
      </c>
      <c r="G1496" s="27" t="s">
        <v>1875</v>
      </c>
      <c r="H1496" s="27" t="s">
        <v>2736</v>
      </c>
      <c r="I1496" s="27" t="s">
        <v>1876</v>
      </c>
      <c r="J1496" s="27" t="s">
        <v>2747</v>
      </c>
      <c r="K1496" s="27" t="n">
        <v>494</v>
      </c>
      <c r="L1496" s="27" t="n">
        <v>715</v>
      </c>
      <c r="M1496" s="28" t="n">
        <f aca="false">IFERROR(VLOOKUP((OFFSET(hoje12_326_ana9,1495,10,1,1)&amp;"."&amp;OFFSET(hoje12_326_ana9,1495,11,1,1)),'12.326'!A:D,4,0),"-")</f>
        <v>15489834000180</v>
      </c>
    </row>
    <row r="1497" customFormat="false" ht="14.4" hidden="false" customHeight="false" outlineLevel="0" collapsed="false">
      <c r="A1497" s="27" t="n">
        <v>11100213</v>
      </c>
      <c r="B1497" s="27" t="s">
        <v>1881</v>
      </c>
      <c r="C1497" s="43" t="n">
        <v>184.16</v>
      </c>
      <c r="D1497" s="27" t="n">
        <v>3.76</v>
      </c>
      <c r="E1497" s="27" t="n">
        <v>72</v>
      </c>
      <c r="F1497" s="27" t="n">
        <v>2.61</v>
      </c>
      <c r="G1497" s="27" t="s">
        <v>1875</v>
      </c>
      <c r="H1497" s="27" t="s">
        <v>2011</v>
      </c>
      <c r="I1497" s="27" t="s">
        <v>1876</v>
      </c>
      <c r="J1497" s="27" t="s">
        <v>2714</v>
      </c>
      <c r="K1497" s="27" t="n">
        <v>494</v>
      </c>
      <c r="L1497" s="27" t="n">
        <v>715</v>
      </c>
      <c r="M1497" s="28" t="n">
        <f aca="false">IFERROR(VLOOKUP((OFFSET(hoje12_326_ana9,1496,10,1,1)&amp;"."&amp;OFFSET(hoje12_326_ana9,1496,11,1,1)),'12.326'!A:D,4,0),"-")</f>
        <v>15489834000180</v>
      </c>
    </row>
    <row r="1498" customFormat="false" ht="14.4" hidden="false" customHeight="false" outlineLevel="0" collapsed="false">
      <c r="A1498" s="27" t="n">
        <v>11100070</v>
      </c>
      <c r="B1498" s="27" t="s">
        <v>2208</v>
      </c>
      <c r="C1498" s="43" t="n">
        <v>495.31</v>
      </c>
      <c r="D1498" s="27" t="n">
        <v>10.13</v>
      </c>
      <c r="E1498" s="27" t="n">
        <v>48</v>
      </c>
      <c r="F1498" s="27" t="n">
        <v>10.53</v>
      </c>
      <c r="G1498" s="27" t="s">
        <v>1875</v>
      </c>
      <c r="H1498" s="27" t="s">
        <v>2011</v>
      </c>
      <c r="I1498" s="27" t="s">
        <v>1876</v>
      </c>
      <c r="J1498" s="27" t="s">
        <v>2748</v>
      </c>
      <c r="K1498" s="27" t="n">
        <v>494</v>
      </c>
      <c r="L1498" s="27" t="n">
        <v>715</v>
      </c>
      <c r="M1498" s="28" t="n">
        <f aca="false">IFERROR(VLOOKUP((OFFSET(hoje12_326_ana9,1497,10,1,1)&amp;"."&amp;OFFSET(hoje12_326_ana9,1497,11,1,1)),'12.326'!A:D,4,0),"-")</f>
        <v>15489834000180</v>
      </c>
    </row>
    <row r="1499" customFormat="false" ht="14.4" hidden="false" customHeight="false" outlineLevel="0" collapsed="false">
      <c r="A1499" s="27" t="n">
        <v>11100074</v>
      </c>
      <c r="B1499" s="27" t="s">
        <v>2749</v>
      </c>
      <c r="C1499" s="43" t="n">
        <v>380.52</v>
      </c>
      <c r="D1499" s="27" t="n">
        <v>0</v>
      </c>
      <c r="E1499" s="27" t="n">
        <v>12</v>
      </c>
      <c r="F1499" s="27" t="n">
        <v>31.71</v>
      </c>
      <c r="G1499" s="27" t="s">
        <v>1875</v>
      </c>
      <c r="H1499" s="27" t="s">
        <v>68</v>
      </c>
      <c r="I1499" s="27" t="s">
        <v>2625</v>
      </c>
      <c r="J1499" s="27" t="s">
        <v>2750</v>
      </c>
      <c r="K1499" s="27" t="n">
        <v>494</v>
      </c>
      <c r="L1499" s="27" t="n">
        <v>715</v>
      </c>
      <c r="M1499" s="28" t="n">
        <f aca="false">IFERROR(VLOOKUP((OFFSET(hoje12_326_ana9,1498,10,1,1)&amp;"."&amp;OFFSET(hoje12_326_ana9,1498,11,1,1)),'12.326'!A:D,4,0),"-")</f>
        <v>15489834000180</v>
      </c>
    </row>
    <row r="1500" customFormat="false" ht="14.4" hidden="false" customHeight="false" outlineLevel="0" collapsed="false">
      <c r="A1500" s="27" t="n">
        <v>11100097</v>
      </c>
      <c r="B1500" s="27" t="s">
        <v>1912</v>
      </c>
      <c r="C1500" s="43" t="n">
        <v>492.05</v>
      </c>
      <c r="D1500" s="27" t="n">
        <v>10.03</v>
      </c>
      <c r="E1500" s="27" t="n">
        <v>48</v>
      </c>
      <c r="F1500" s="27" t="n">
        <v>10.46</v>
      </c>
      <c r="G1500" s="27" t="s">
        <v>1875</v>
      </c>
      <c r="H1500" s="27" t="s">
        <v>2011</v>
      </c>
      <c r="I1500" s="27" t="s">
        <v>1876</v>
      </c>
      <c r="J1500" s="27" t="s">
        <v>2210</v>
      </c>
      <c r="K1500" s="27" t="n">
        <v>494</v>
      </c>
      <c r="L1500" s="27" t="n">
        <v>715</v>
      </c>
      <c r="M1500" s="28" t="n">
        <f aca="false">IFERROR(VLOOKUP((OFFSET(hoje12_326_ana9,1499,10,1,1)&amp;"."&amp;OFFSET(hoje12_326_ana9,1499,11,1,1)),'12.326'!A:D,4,0),"-")</f>
        <v>15489834000180</v>
      </c>
    </row>
    <row r="1501" customFormat="false" ht="14.4" hidden="false" customHeight="false" outlineLevel="0" collapsed="false">
      <c r="A1501" s="27" t="n">
        <v>11100111</v>
      </c>
      <c r="B1501" s="27" t="s">
        <v>2425</v>
      </c>
      <c r="C1501" s="43" t="n">
        <v>325.51</v>
      </c>
      <c r="D1501" s="27" t="n">
        <v>6.65</v>
      </c>
      <c r="E1501" s="27" t="n">
        <v>24</v>
      </c>
      <c r="F1501" s="27" t="n">
        <v>13.84</v>
      </c>
      <c r="G1501" s="27" t="s">
        <v>1875</v>
      </c>
      <c r="H1501" s="27" t="s">
        <v>2011</v>
      </c>
      <c r="I1501" s="27" t="s">
        <v>1876</v>
      </c>
      <c r="J1501" s="27" t="s">
        <v>2613</v>
      </c>
      <c r="K1501" s="27" t="n">
        <v>494</v>
      </c>
      <c r="L1501" s="27" t="n">
        <v>715</v>
      </c>
      <c r="M1501" s="28" t="n">
        <f aca="false">IFERROR(VLOOKUP((OFFSET(hoje12_326_ana9,1500,10,1,1)&amp;"."&amp;OFFSET(hoje12_326_ana9,1500,11,1,1)),'12.326'!A:D,4,0),"-")</f>
        <v>15489834000180</v>
      </c>
    </row>
    <row r="1502" customFormat="false" ht="14.4" hidden="false" customHeight="false" outlineLevel="0" collapsed="false">
      <c r="A1502" s="27" t="n">
        <v>11100150</v>
      </c>
      <c r="B1502" s="27" t="s">
        <v>2216</v>
      </c>
      <c r="C1502" s="43" t="n">
        <v>329.58</v>
      </c>
      <c r="D1502" s="27" t="n">
        <v>6.72</v>
      </c>
      <c r="E1502" s="27" t="n">
        <v>15</v>
      </c>
      <c r="F1502" s="27" t="n">
        <v>22.42</v>
      </c>
      <c r="G1502" s="27" t="s">
        <v>1875</v>
      </c>
      <c r="H1502" s="27" t="s">
        <v>2011</v>
      </c>
      <c r="I1502" s="27" t="s">
        <v>1876</v>
      </c>
      <c r="J1502" s="27" t="s">
        <v>2751</v>
      </c>
      <c r="K1502" s="27" t="n">
        <v>494</v>
      </c>
      <c r="L1502" s="27" t="n">
        <v>715</v>
      </c>
      <c r="M1502" s="28" t="n">
        <f aca="false">IFERROR(VLOOKUP((OFFSET(hoje12_326_ana9,1501,10,1,1)&amp;"."&amp;OFFSET(hoje12_326_ana9,1501,11,1,1)),'12.326'!A:D,4,0),"-")</f>
        <v>15489834000180</v>
      </c>
    </row>
    <row r="1503" customFormat="false" ht="14.4" hidden="false" customHeight="false" outlineLevel="0" collapsed="false">
      <c r="A1503" s="27" t="n">
        <v>11100176</v>
      </c>
      <c r="B1503" s="27" t="s">
        <v>2217</v>
      </c>
      <c r="C1503" s="43" t="n">
        <v>329.58</v>
      </c>
      <c r="D1503" s="27" t="n">
        <v>6.72</v>
      </c>
      <c r="E1503" s="27" t="n">
        <v>15</v>
      </c>
      <c r="F1503" s="27" t="n">
        <v>22.42</v>
      </c>
      <c r="G1503" s="27" t="s">
        <v>1875</v>
      </c>
      <c r="H1503" s="27" t="s">
        <v>2011</v>
      </c>
      <c r="I1503" s="27" t="s">
        <v>1876</v>
      </c>
      <c r="J1503" s="27" t="s">
        <v>2751</v>
      </c>
      <c r="K1503" s="27" t="n">
        <v>494</v>
      </c>
      <c r="L1503" s="27" t="n">
        <v>715</v>
      </c>
      <c r="M1503" s="28" t="n">
        <f aca="false">IFERROR(VLOOKUP((OFFSET(hoje12_326_ana9,1502,10,1,1)&amp;"."&amp;OFFSET(hoje12_326_ana9,1502,11,1,1)),'12.326'!A:D,4,0),"-")</f>
        <v>15489834000180</v>
      </c>
    </row>
    <row r="1504" customFormat="false" ht="14.4" hidden="false" customHeight="false" outlineLevel="0" collapsed="false">
      <c r="A1504" s="27" t="n">
        <v>11100205</v>
      </c>
      <c r="B1504" s="27" t="s">
        <v>1921</v>
      </c>
      <c r="C1504" s="43" t="n">
        <v>428.98</v>
      </c>
      <c r="D1504" s="27" t="n">
        <v>8.78</v>
      </c>
      <c r="E1504" s="27" t="n">
        <v>72</v>
      </c>
      <c r="F1504" s="27" t="n">
        <v>6.08</v>
      </c>
      <c r="G1504" s="27" t="s">
        <v>1875</v>
      </c>
      <c r="H1504" s="27" t="s">
        <v>2011</v>
      </c>
      <c r="I1504" s="27" t="s">
        <v>1876</v>
      </c>
      <c r="J1504" s="27" t="s">
        <v>2218</v>
      </c>
      <c r="K1504" s="27" t="n">
        <v>494</v>
      </c>
      <c r="L1504" s="27" t="n">
        <v>715</v>
      </c>
      <c r="M1504" s="28" t="n">
        <f aca="false">IFERROR(VLOOKUP((OFFSET(hoje12_326_ana9,1503,10,1,1)&amp;"."&amp;OFFSET(hoje12_326_ana9,1503,11,1,1)),'12.326'!A:D,4,0),"-")</f>
        <v>15489834000180</v>
      </c>
    </row>
    <row r="1505" customFormat="false" ht="14.4" hidden="false" customHeight="false" outlineLevel="0" collapsed="false">
      <c r="A1505" s="27" t="n">
        <v>11100314</v>
      </c>
      <c r="B1505" s="27" t="s">
        <v>1937</v>
      </c>
      <c r="C1505" s="43" t="n">
        <v>245.09</v>
      </c>
      <c r="D1505" s="27" t="n">
        <v>4.99</v>
      </c>
      <c r="E1505" s="27" t="n">
        <v>24</v>
      </c>
      <c r="F1505" s="27" t="n">
        <v>10.42</v>
      </c>
      <c r="G1505" s="27" t="s">
        <v>1875</v>
      </c>
      <c r="H1505" s="27" t="s">
        <v>2011</v>
      </c>
      <c r="I1505" s="27" t="s">
        <v>1876</v>
      </c>
      <c r="J1505" s="27" t="s">
        <v>2752</v>
      </c>
      <c r="K1505" s="27" t="n">
        <v>494</v>
      </c>
      <c r="L1505" s="27" t="n">
        <v>715</v>
      </c>
      <c r="M1505" s="28" t="n">
        <f aca="false">IFERROR(VLOOKUP((OFFSET(hoje12_326_ana9,1504,10,1,1)&amp;"."&amp;OFFSET(hoje12_326_ana9,1504,11,1,1)),'12.326'!A:D,4,0),"-")</f>
        <v>15489834000180</v>
      </c>
    </row>
    <row r="1506" customFormat="false" ht="14.4" hidden="false" customHeight="false" outlineLevel="0" collapsed="false">
      <c r="A1506" s="27" t="n">
        <v>11100319</v>
      </c>
      <c r="B1506" s="27" t="s">
        <v>2753</v>
      </c>
      <c r="C1506" s="43" t="n">
        <v>302.82</v>
      </c>
      <c r="D1506" s="27" t="n">
        <v>6.18</v>
      </c>
      <c r="E1506" s="27" t="n">
        <v>12</v>
      </c>
      <c r="F1506" s="27" t="n">
        <v>25.75</v>
      </c>
      <c r="G1506" s="27" t="s">
        <v>1875</v>
      </c>
      <c r="H1506" s="27" t="s">
        <v>2011</v>
      </c>
      <c r="I1506" s="27" t="s">
        <v>1876</v>
      </c>
      <c r="J1506" s="27" t="s">
        <v>2754</v>
      </c>
      <c r="K1506" s="27" t="n">
        <v>494</v>
      </c>
      <c r="L1506" s="27" t="n">
        <v>715</v>
      </c>
      <c r="M1506" s="28" t="n">
        <f aca="false">IFERROR(VLOOKUP((OFFSET(hoje12_326_ana9,1505,10,1,1)&amp;"."&amp;OFFSET(hoje12_326_ana9,1505,11,1,1)),'12.326'!A:D,4,0),"-")</f>
        <v>15489834000180</v>
      </c>
    </row>
    <row r="1507" customFormat="false" ht="14.4" hidden="false" customHeight="false" outlineLevel="0" collapsed="false">
      <c r="A1507" s="27" t="n">
        <v>11100322</v>
      </c>
      <c r="B1507" s="27" t="s">
        <v>2284</v>
      </c>
      <c r="C1507" s="43" t="n">
        <v>43.86</v>
      </c>
      <c r="D1507" s="27" t="n">
        <v>0.9</v>
      </c>
      <c r="E1507" s="27" t="n">
        <v>12</v>
      </c>
      <c r="F1507" s="27" t="n">
        <v>3.73</v>
      </c>
      <c r="G1507" s="27" t="s">
        <v>1875</v>
      </c>
      <c r="H1507" s="27" t="s">
        <v>2011</v>
      </c>
      <c r="I1507" s="27" t="s">
        <v>1876</v>
      </c>
      <c r="J1507" s="27" t="s">
        <v>2755</v>
      </c>
      <c r="K1507" s="27" t="n">
        <v>494</v>
      </c>
      <c r="L1507" s="27" t="n">
        <v>715</v>
      </c>
      <c r="M1507" s="28" t="n">
        <f aca="false">IFERROR(VLOOKUP((OFFSET(hoje12_326_ana9,1506,10,1,1)&amp;"."&amp;OFFSET(hoje12_326_ana9,1506,11,1,1)),'12.326'!A:D,4,0),"-")</f>
        <v>15489834000180</v>
      </c>
    </row>
    <row r="1508" customFormat="false" ht="14.4" hidden="false" customHeight="false" outlineLevel="0" collapsed="false">
      <c r="A1508" s="27" t="n">
        <v>11100337</v>
      </c>
      <c r="B1508" s="27" t="s">
        <v>1940</v>
      </c>
      <c r="C1508" s="43" t="n">
        <v>171.35</v>
      </c>
      <c r="D1508" s="27" t="n">
        <v>3.49</v>
      </c>
      <c r="E1508" s="27" t="n">
        <v>12</v>
      </c>
      <c r="F1508" s="27" t="n">
        <v>14.57</v>
      </c>
      <c r="G1508" s="27" t="s">
        <v>1875</v>
      </c>
      <c r="H1508" s="27" t="s">
        <v>2011</v>
      </c>
      <c r="I1508" s="27" t="s">
        <v>1876</v>
      </c>
      <c r="J1508" s="27" t="s">
        <v>2756</v>
      </c>
      <c r="K1508" s="27" t="n">
        <v>494</v>
      </c>
      <c r="L1508" s="27" t="n">
        <v>715</v>
      </c>
      <c r="M1508" s="28" t="n">
        <f aca="false">IFERROR(VLOOKUP((OFFSET(hoje12_326_ana9,1507,10,1,1)&amp;"."&amp;OFFSET(hoje12_326_ana9,1507,11,1,1)),'12.326'!A:D,4,0),"-")</f>
        <v>15489834000180</v>
      </c>
    </row>
    <row r="1509" customFormat="false" ht="14.4" hidden="false" customHeight="false" outlineLevel="0" collapsed="false">
      <c r="A1509" s="27" t="n">
        <v>11100362</v>
      </c>
      <c r="B1509" s="27" t="s">
        <v>1942</v>
      </c>
      <c r="C1509" s="43" t="n">
        <v>230.74</v>
      </c>
      <c r="D1509" s="27" t="n">
        <v>4.7</v>
      </c>
      <c r="E1509" s="27" t="n">
        <v>24</v>
      </c>
      <c r="F1509" s="27" t="n">
        <v>9.81</v>
      </c>
      <c r="G1509" s="27" t="s">
        <v>1875</v>
      </c>
      <c r="H1509" s="27" t="s">
        <v>2011</v>
      </c>
      <c r="I1509" s="27" t="s">
        <v>1876</v>
      </c>
      <c r="J1509" s="27" t="s">
        <v>2757</v>
      </c>
      <c r="K1509" s="27" t="n">
        <v>494</v>
      </c>
      <c r="L1509" s="27" t="n">
        <v>715</v>
      </c>
      <c r="M1509" s="28" t="n">
        <f aca="false">IFERROR(VLOOKUP((OFFSET(hoje12_326_ana9,1508,10,1,1)&amp;"."&amp;OFFSET(hoje12_326_ana9,1508,11,1,1)),'12.326'!A:D,4,0),"-")</f>
        <v>15489834000180</v>
      </c>
    </row>
    <row r="1510" customFormat="false" ht="14.4" hidden="false" customHeight="false" outlineLevel="0" collapsed="false">
      <c r="A1510" s="27" t="n">
        <v>11100417</v>
      </c>
      <c r="B1510" s="27" t="s">
        <v>2758</v>
      </c>
      <c r="C1510" s="43" t="n">
        <v>441.52</v>
      </c>
      <c r="D1510" s="27" t="n">
        <v>9.02</v>
      </c>
      <c r="E1510" s="27" t="n">
        <v>18</v>
      </c>
      <c r="F1510" s="27" t="n">
        <v>25.03</v>
      </c>
      <c r="G1510" s="27" t="s">
        <v>1875</v>
      </c>
      <c r="H1510" s="27" t="s">
        <v>2011</v>
      </c>
      <c r="I1510" s="27" t="s">
        <v>1876</v>
      </c>
      <c r="J1510" s="27" t="s">
        <v>2759</v>
      </c>
      <c r="K1510" s="27" t="n">
        <v>494</v>
      </c>
      <c r="L1510" s="27" t="n">
        <v>715</v>
      </c>
      <c r="M1510" s="28" t="n">
        <f aca="false">IFERROR(VLOOKUP((OFFSET(hoje12_326_ana9,1509,10,1,1)&amp;"."&amp;OFFSET(hoje12_326_ana9,1509,11,1,1)),'12.326'!A:D,4,0),"-")</f>
        <v>15489834000180</v>
      </c>
    </row>
    <row r="1511" customFormat="false" ht="14.4" hidden="false" customHeight="false" outlineLevel="0" collapsed="false">
      <c r="A1511" s="27" t="n">
        <v>11100419</v>
      </c>
      <c r="B1511" s="27" t="s">
        <v>2289</v>
      </c>
      <c r="C1511" s="43" t="n">
        <v>349.27</v>
      </c>
      <c r="D1511" s="27" t="n">
        <v>7.13</v>
      </c>
      <c r="E1511" s="27" t="n">
        <v>24</v>
      </c>
      <c r="F1511" s="27" t="n">
        <v>14.85</v>
      </c>
      <c r="G1511" s="27" t="s">
        <v>1875</v>
      </c>
      <c r="H1511" s="27" t="s">
        <v>2011</v>
      </c>
      <c r="I1511" s="27" t="s">
        <v>1876</v>
      </c>
      <c r="J1511" s="27" t="s">
        <v>2260</v>
      </c>
      <c r="K1511" s="27" t="n">
        <v>494</v>
      </c>
      <c r="L1511" s="27" t="n">
        <v>715</v>
      </c>
      <c r="M1511" s="28" t="n">
        <f aca="false">IFERROR(VLOOKUP((OFFSET(hoje12_326_ana9,1510,10,1,1)&amp;"."&amp;OFFSET(hoje12_326_ana9,1510,11,1,1)),'12.326'!A:D,4,0),"-")</f>
        <v>15489834000180</v>
      </c>
    </row>
    <row r="1512" customFormat="false" ht="14.4" hidden="false" customHeight="false" outlineLevel="0" collapsed="false">
      <c r="A1512" s="27" t="n">
        <v>11100429</v>
      </c>
      <c r="B1512" s="27" t="s">
        <v>2290</v>
      </c>
      <c r="C1512" s="43" t="n">
        <v>108.43</v>
      </c>
      <c r="D1512" s="27" t="n">
        <v>2.21</v>
      </c>
      <c r="E1512" s="27" t="n">
        <v>12</v>
      </c>
      <c r="F1512" s="27" t="n">
        <v>9.22</v>
      </c>
      <c r="G1512" s="27" t="s">
        <v>1875</v>
      </c>
      <c r="H1512" s="27" t="s">
        <v>2011</v>
      </c>
      <c r="I1512" s="27" t="s">
        <v>1876</v>
      </c>
      <c r="J1512" s="27" t="s">
        <v>2760</v>
      </c>
      <c r="K1512" s="27" t="n">
        <v>494</v>
      </c>
      <c r="L1512" s="27" t="n">
        <v>715</v>
      </c>
      <c r="M1512" s="28" t="n">
        <f aca="false">IFERROR(VLOOKUP((OFFSET(hoje12_326_ana9,1511,10,1,1)&amp;"."&amp;OFFSET(hoje12_326_ana9,1511,11,1,1)),'12.326'!A:D,4,0),"-")</f>
        <v>15489834000180</v>
      </c>
    </row>
    <row r="1513" customFormat="false" ht="14.4" hidden="false" customHeight="false" outlineLevel="0" collapsed="false">
      <c r="A1513" s="27" t="n">
        <v>11100438</v>
      </c>
      <c r="B1513" s="27" t="s">
        <v>2227</v>
      </c>
      <c r="C1513" s="43" t="n">
        <v>108.43</v>
      </c>
      <c r="D1513" s="27" t="n">
        <v>2.21</v>
      </c>
      <c r="E1513" s="27" t="n">
        <v>12</v>
      </c>
      <c r="F1513" s="27" t="n">
        <v>9.22</v>
      </c>
      <c r="G1513" s="27" t="s">
        <v>1875</v>
      </c>
      <c r="H1513" s="27" t="s">
        <v>2011</v>
      </c>
      <c r="I1513" s="27" t="s">
        <v>1876</v>
      </c>
      <c r="J1513" s="27" t="s">
        <v>2760</v>
      </c>
      <c r="K1513" s="27" t="n">
        <v>494</v>
      </c>
      <c r="L1513" s="27" t="n">
        <v>715</v>
      </c>
      <c r="M1513" s="28" t="n">
        <f aca="false">IFERROR(VLOOKUP((OFFSET(hoje12_326_ana9,1512,10,1,1)&amp;"."&amp;OFFSET(hoje12_326_ana9,1512,11,1,1)),'12.326'!A:D,4,0),"-")</f>
        <v>15489834000180</v>
      </c>
    </row>
    <row r="1514" customFormat="false" ht="14.4" hidden="false" customHeight="false" outlineLevel="0" collapsed="false">
      <c r="A1514" s="27" t="n">
        <v>11100439</v>
      </c>
      <c r="B1514" s="27" t="s">
        <v>2228</v>
      </c>
      <c r="C1514" s="43" t="n">
        <v>158.52</v>
      </c>
      <c r="D1514" s="27" t="n">
        <v>3.24</v>
      </c>
      <c r="E1514" s="27" t="n">
        <v>12</v>
      </c>
      <c r="F1514" s="27" t="n">
        <v>13.48</v>
      </c>
      <c r="G1514" s="27" t="s">
        <v>1875</v>
      </c>
      <c r="H1514" s="27" t="s">
        <v>2011</v>
      </c>
      <c r="I1514" s="27" t="s">
        <v>1876</v>
      </c>
      <c r="J1514" s="27" t="s">
        <v>2761</v>
      </c>
      <c r="K1514" s="27" t="n">
        <v>494</v>
      </c>
      <c r="L1514" s="27" t="n">
        <v>715</v>
      </c>
      <c r="M1514" s="28" t="n">
        <f aca="false">IFERROR(VLOOKUP((OFFSET(hoje12_326_ana9,1513,10,1,1)&amp;"."&amp;OFFSET(hoje12_326_ana9,1513,11,1,1)),'12.326'!A:D,4,0),"-")</f>
        <v>15489834000180</v>
      </c>
    </row>
    <row r="1515" customFormat="false" ht="14.4" hidden="false" customHeight="false" outlineLevel="0" collapsed="false">
      <c r="A1515" s="27" t="n">
        <v>11100448</v>
      </c>
      <c r="B1515" s="27" t="s">
        <v>2230</v>
      </c>
      <c r="C1515" s="43" t="n">
        <v>273.07</v>
      </c>
      <c r="D1515" s="27" t="n">
        <v>5.57</v>
      </c>
      <c r="E1515" s="27" t="n">
        <v>24</v>
      </c>
      <c r="F1515" s="27" t="n">
        <v>11.61</v>
      </c>
      <c r="G1515" s="27" t="s">
        <v>1875</v>
      </c>
      <c r="H1515" s="27" t="s">
        <v>2011</v>
      </c>
      <c r="I1515" s="27" t="s">
        <v>1876</v>
      </c>
      <c r="J1515" s="27" t="s">
        <v>2762</v>
      </c>
      <c r="K1515" s="27" t="n">
        <v>494</v>
      </c>
      <c r="L1515" s="27" t="n">
        <v>715</v>
      </c>
      <c r="M1515" s="28" t="n">
        <f aca="false">IFERROR(VLOOKUP((OFFSET(hoje12_326_ana9,1514,10,1,1)&amp;"."&amp;OFFSET(hoje12_326_ana9,1514,11,1,1)),'12.326'!A:D,4,0),"-")</f>
        <v>15489834000180</v>
      </c>
    </row>
    <row r="1516" customFormat="false" ht="14.4" hidden="false" customHeight="false" outlineLevel="0" collapsed="false">
      <c r="A1516" s="27" t="n">
        <v>11100561</v>
      </c>
      <c r="B1516" s="27" t="s">
        <v>2240</v>
      </c>
      <c r="C1516" s="43" t="n">
        <v>203.76</v>
      </c>
      <c r="D1516" s="27" t="n">
        <v>0</v>
      </c>
      <c r="E1516" s="27" t="n">
        <v>12</v>
      </c>
      <c r="F1516" s="27" t="n">
        <v>16.98</v>
      </c>
      <c r="G1516" s="27" t="s">
        <v>1875</v>
      </c>
      <c r="H1516" s="27" t="s">
        <v>68</v>
      </c>
      <c r="I1516" s="27" t="s">
        <v>1876</v>
      </c>
      <c r="J1516" s="27" t="s">
        <v>1877</v>
      </c>
      <c r="K1516" s="27" t="n">
        <v>494</v>
      </c>
      <c r="L1516" s="27" t="n">
        <v>715</v>
      </c>
      <c r="M1516" s="28" t="n">
        <f aca="false">IFERROR(VLOOKUP((OFFSET(hoje12_326_ana9,1515,10,1,1)&amp;"."&amp;OFFSET(hoje12_326_ana9,1515,11,1,1)),'12.326'!A:D,4,0),"-")</f>
        <v>15489834000180</v>
      </c>
    </row>
    <row r="1517" customFormat="false" ht="14.4" hidden="false" customHeight="false" outlineLevel="0" collapsed="false">
      <c r="A1517" s="27" t="n">
        <v>11100575</v>
      </c>
      <c r="B1517" s="27" t="s">
        <v>2763</v>
      </c>
      <c r="C1517" s="43" t="n">
        <v>258.96</v>
      </c>
      <c r="D1517" s="27" t="n">
        <v>0</v>
      </c>
      <c r="E1517" s="27" t="n">
        <v>24</v>
      </c>
      <c r="F1517" s="27" t="n">
        <v>10.79</v>
      </c>
      <c r="G1517" s="27" t="s">
        <v>1875</v>
      </c>
      <c r="H1517" s="27" t="s">
        <v>68</v>
      </c>
      <c r="I1517" s="27" t="s">
        <v>2625</v>
      </c>
      <c r="J1517" s="27" t="s">
        <v>2764</v>
      </c>
      <c r="K1517" s="27" t="n">
        <v>494</v>
      </c>
      <c r="L1517" s="27" t="n">
        <v>715</v>
      </c>
      <c r="M1517" s="28" t="n">
        <f aca="false">IFERROR(VLOOKUP((OFFSET(hoje12_326_ana9,1516,10,1,1)&amp;"."&amp;OFFSET(hoje12_326_ana9,1516,11,1,1)),'12.326'!A:D,4,0),"-")</f>
        <v>15489834000180</v>
      </c>
    </row>
    <row r="1518" customFormat="false" ht="14.4" hidden="false" customHeight="false" outlineLevel="0" collapsed="false">
      <c r="A1518" s="27" t="n">
        <v>11100698</v>
      </c>
      <c r="B1518" s="27" t="s">
        <v>2029</v>
      </c>
      <c r="C1518" s="43" t="n">
        <v>231.12</v>
      </c>
      <c r="D1518" s="27" t="n">
        <v>0</v>
      </c>
      <c r="E1518" s="27" t="n">
        <v>108</v>
      </c>
      <c r="F1518" s="27" t="n">
        <v>2.14</v>
      </c>
      <c r="G1518" s="27" t="s">
        <v>1875</v>
      </c>
      <c r="H1518" s="27" t="s">
        <v>68</v>
      </c>
      <c r="I1518" s="27" t="s">
        <v>1876</v>
      </c>
      <c r="J1518" s="27" t="s">
        <v>1877</v>
      </c>
      <c r="K1518" s="27" t="n">
        <v>494</v>
      </c>
      <c r="L1518" s="27" t="n">
        <v>715</v>
      </c>
      <c r="M1518" s="28" t="n">
        <f aca="false">IFERROR(VLOOKUP((OFFSET(hoje12_326_ana9,1517,10,1,1)&amp;"."&amp;OFFSET(hoje12_326_ana9,1517,11,1,1)),'12.326'!A:D,4,0),"-")</f>
        <v>15489834000180</v>
      </c>
    </row>
    <row r="1519" customFormat="false" ht="14.4" hidden="false" customHeight="false" outlineLevel="0" collapsed="false">
      <c r="A1519" s="27" t="n">
        <v>11100820</v>
      </c>
      <c r="B1519" s="27" t="s">
        <v>1963</v>
      </c>
      <c r="C1519" s="43" t="n">
        <v>71.17</v>
      </c>
      <c r="D1519" s="27" t="n">
        <v>7.91</v>
      </c>
      <c r="E1519" s="27" t="n">
        <v>12</v>
      </c>
      <c r="F1519" s="27" t="n">
        <v>6.59</v>
      </c>
      <c r="G1519" s="27" t="s">
        <v>1875</v>
      </c>
      <c r="H1519" s="27" t="s">
        <v>1895</v>
      </c>
      <c r="I1519" s="27" t="s">
        <v>1876</v>
      </c>
      <c r="J1519" s="27" t="s">
        <v>2199</v>
      </c>
      <c r="K1519" s="27" t="n">
        <v>494</v>
      </c>
      <c r="L1519" s="27" t="n">
        <v>715</v>
      </c>
      <c r="M1519" s="28" t="n">
        <f aca="false">IFERROR(VLOOKUP((OFFSET(hoje12_326_ana9,1518,10,1,1)&amp;"."&amp;OFFSET(hoje12_326_ana9,1518,11,1,1)),'12.326'!A:D,4,0),"-")</f>
        <v>15489834000180</v>
      </c>
    </row>
    <row r="1520" customFormat="false" ht="14.4" hidden="false" customHeight="false" outlineLevel="0" collapsed="false">
      <c r="A1520" s="27" t="n">
        <v>11100822</v>
      </c>
      <c r="B1520" s="27" t="s">
        <v>1966</v>
      </c>
      <c r="C1520" s="43" t="n">
        <v>35.59</v>
      </c>
      <c r="D1520" s="27" t="n">
        <v>3.95</v>
      </c>
      <c r="E1520" s="27" t="n">
        <v>6</v>
      </c>
      <c r="F1520" s="27" t="n">
        <v>6.59</v>
      </c>
      <c r="G1520" s="27" t="s">
        <v>1875</v>
      </c>
      <c r="H1520" s="27" t="s">
        <v>1895</v>
      </c>
      <c r="I1520" s="27" t="s">
        <v>1876</v>
      </c>
      <c r="J1520" s="27" t="s">
        <v>2765</v>
      </c>
      <c r="K1520" s="27" t="n">
        <v>494</v>
      </c>
      <c r="L1520" s="27" t="n">
        <v>715</v>
      </c>
      <c r="M1520" s="28" t="n">
        <f aca="false">IFERROR(VLOOKUP((OFFSET(hoje12_326_ana9,1519,10,1,1)&amp;"."&amp;OFFSET(hoje12_326_ana9,1519,11,1,1)),'12.326'!A:D,4,0),"-")</f>
        <v>15489834000180</v>
      </c>
    </row>
    <row r="1521" customFormat="false" ht="14.4" hidden="false" customHeight="false" outlineLevel="0" collapsed="false">
      <c r="A1521" s="27" t="n">
        <v>11100826</v>
      </c>
      <c r="B1521" s="27" t="s">
        <v>1968</v>
      </c>
      <c r="C1521" s="43" t="n">
        <v>35.59</v>
      </c>
      <c r="D1521" s="27" t="n">
        <v>3.95</v>
      </c>
      <c r="E1521" s="27" t="n">
        <v>6</v>
      </c>
      <c r="F1521" s="27" t="n">
        <v>6.59</v>
      </c>
      <c r="G1521" s="27" t="s">
        <v>1875</v>
      </c>
      <c r="H1521" s="27" t="s">
        <v>1895</v>
      </c>
      <c r="I1521" s="27" t="s">
        <v>1876</v>
      </c>
      <c r="J1521" s="27" t="s">
        <v>2765</v>
      </c>
      <c r="K1521" s="27" t="n">
        <v>494</v>
      </c>
      <c r="L1521" s="27" t="n">
        <v>715</v>
      </c>
      <c r="M1521" s="28" t="n">
        <f aca="false">IFERROR(VLOOKUP((OFFSET(hoje12_326_ana9,1520,10,1,1)&amp;"."&amp;OFFSET(hoje12_326_ana9,1520,11,1,1)),'12.326'!A:D,4,0),"-")</f>
        <v>15489834000180</v>
      </c>
    </row>
    <row r="1522" customFormat="false" ht="14.4" hidden="false" customHeight="false" outlineLevel="0" collapsed="false">
      <c r="A1522" s="27" t="n">
        <v>11100827</v>
      </c>
      <c r="B1522" s="27" t="s">
        <v>2196</v>
      </c>
      <c r="C1522" s="43" t="n">
        <v>89.03</v>
      </c>
      <c r="D1522" s="27" t="n">
        <v>1.81</v>
      </c>
      <c r="E1522" s="27" t="n">
        <v>12</v>
      </c>
      <c r="F1522" s="27" t="n">
        <v>7.57</v>
      </c>
      <c r="G1522" s="27" t="s">
        <v>1875</v>
      </c>
      <c r="H1522" s="27" t="s">
        <v>2011</v>
      </c>
      <c r="I1522" s="27" t="s">
        <v>1876</v>
      </c>
      <c r="J1522" s="27" t="s">
        <v>2364</v>
      </c>
      <c r="K1522" s="27" t="n">
        <v>494</v>
      </c>
      <c r="L1522" s="27" t="n">
        <v>715</v>
      </c>
      <c r="M1522" s="28" t="n">
        <f aca="false">IFERROR(VLOOKUP((OFFSET(hoje12_326_ana9,1521,10,1,1)&amp;"."&amp;OFFSET(hoje12_326_ana9,1521,11,1,1)),'12.326'!A:D,4,0),"-")</f>
        <v>15489834000180</v>
      </c>
    </row>
    <row r="1523" customFormat="false" ht="14.4" hidden="false" customHeight="false" outlineLevel="0" collapsed="false">
      <c r="A1523" s="27" t="n">
        <v>11100838</v>
      </c>
      <c r="B1523" s="27" t="s">
        <v>1972</v>
      </c>
      <c r="C1523" s="43" t="n">
        <v>44.51</v>
      </c>
      <c r="D1523" s="27" t="n">
        <v>0.91</v>
      </c>
      <c r="E1523" s="27" t="n">
        <v>6</v>
      </c>
      <c r="F1523" s="27" t="n">
        <v>7.57</v>
      </c>
      <c r="G1523" s="27" t="s">
        <v>1875</v>
      </c>
      <c r="H1523" s="27" t="s">
        <v>2011</v>
      </c>
      <c r="I1523" s="27" t="s">
        <v>1876</v>
      </c>
      <c r="J1523" s="27" t="s">
        <v>2766</v>
      </c>
      <c r="K1523" s="27" t="n">
        <v>494</v>
      </c>
      <c r="L1523" s="27" t="n">
        <v>715</v>
      </c>
      <c r="M1523" s="28" t="n">
        <f aca="false">IFERROR(VLOOKUP((OFFSET(hoje12_326_ana9,1522,10,1,1)&amp;"."&amp;OFFSET(hoje12_326_ana9,1522,11,1,1)),'12.326'!A:D,4,0),"-")</f>
        <v>15489834000180</v>
      </c>
    </row>
    <row r="1524" customFormat="false" ht="14.4" hidden="false" customHeight="false" outlineLevel="0" collapsed="false">
      <c r="A1524" s="27" t="n">
        <v>11100841</v>
      </c>
      <c r="B1524" s="27" t="s">
        <v>1974</v>
      </c>
      <c r="C1524" s="43" t="n">
        <v>133.54</v>
      </c>
      <c r="D1524" s="27" t="n">
        <v>2.72</v>
      </c>
      <c r="E1524" s="27" t="n">
        <v>18</v>
      </c>
      <c r="F1524" s="27" t="n">
        <v>7.57</v>
      </c>
      <c r="G1524" s="27" t="s">
        <v>1875</v>
      </c>
      <c r="H1524" s="27" t="s">
        <v>2011</v>
      </c>
      <c r="I1524" s="27" t="s">
        <v>1876</v>
      </c>
      <c r="J1524" s="27" t="s">
        <v>2767</v>
      </c>
      <c r="K1524" s="27" t="n">
        <v>494</v>
      </c>
      <c r="L1524" s="27" t="n">
        <v>715</v>
      </c>
      <c r="M1524" s="28" t="n">
        <f aca="false">IFERROR(VLOOKUP((OFFSET(hoje12_326_ana9,1523,10,1,1)&amp;"."&amp;OFFSET(hoje12_326_ana9,1523,11,1,1)),'12.326'!A:D,4,0),"-")</f>
        <v>15489834000180</v>
      </c>
    </row>
    <row r="1525" customFormat="false" ht="14.4" hidden="false" customHeight="false" outlineLevel="0" collapsed="false">
      <c r="A1525" s="27" t="n">
        <v>11100860</v>
      </c>
      <c r="B1525" s="27" t="s">
        <v>2471</v>
      </c>
      <c r="C1525" s="43" t="n">
        <v>70.27</v>
      </c>
      <c r="D1525" s="27" t="n">
        <v>1.43</v>
      </c>
      <c r="E1525" s="27" t="n">
        <v>6</v>
      </c>
      <c r="F1525" s="27" t="n">
        <v>11.95</v>
      </c>
      <c r="G1525" s="27" t="s">
        <v>1875</v>
      </c>
      <c r="H1525" s="27" t="s">
        <v>2011</v>
      </c>
      <c r="I1525" s="27" t="s">
        <v>1876</v>
      </c>
      <c r="J1525" s="27" t="s">
        <v>2768</v>
      </c>
      <c r="K1525" s="27" t="n">
        <v>494</v>
      </c>
      <c r="L1525" s="27" t="n">
        <v>715</v>
      </c>
      <c r="M1525" s="28" t="n">
        <f aca="false">IFERROR(VLOOKUP((OFFSET(hoje12_326_ana9,1524,10,1,1)&amp;"."&amp;OFFSET(hoje12_326_ana9,1524,11,1,1)),'12.326'!A:D,4,0),"-")</f>
        <v>15489834000180</v>
      </c>
    </row>
    <row r="1526" customFormat="false" ht="14.4" hidden="false" customHeight="false" outlineLevel="0" collapsed="false">
      <c r="A1526" s="27" t="n">
        <v>11100861</v>
      </c>
      <c r="B1526" s="27" t="s">
        <v>1992</v>
      </c>
      <c r="C1526" s="43" t="n">
        <v>44.51</v>
      </c>
      <c r="D1526" s="27" t="n">
        <v>0.91</v>
      </c>
      <c r="E1526" s="27" t="n">
        <v>6</v>
      </c>
      <c r="F1526" s="27" t="n">
        <v>7.57</v>
      </c>
      <c r="G1526" s="27" t="s">
        <v>1875</v>
      </c>
      <c r="H1526" s="27" t="s">
        <v>2011</v>
      </c>
      <c r="I1526" s="27" t="s">
        <v>1876</v>
      </c>
      <c r="J1526" s="27" t="s">
        <v>2766</v>
      </c>
      <c r="K1526" s="27" t="n">
        <v>494</v>
      </c>
      <c r="L1526" s="27" t="n">
        <v>715</v>
      </c>
      <c r="M1526" s="28" t="n">
        <f aca="false">IFERROR(VLOOKUP((OFFSET(hoje12_326_ana9,1525,10,1,1)&amp;"."&amp;OFFSET(hoje12_326_ana9,1525,11,1,1)),'12.326'!A:D,4,0),"-")</f>
        <v>15489834000180</v>
      </c>
    </row>
    <row r="1527" customFormat="false" ht="14.4" hidden="false" customHeight="false" outlineLevel="0" collapsed="false">
      <c r="A1527" s="27" t="n">
        <v>11100971</v>
      </c>
      <c r="B1527" s="27" t="s">
        <v>2253</v>
      </c>
      <c r="C1527" s="43" t="n">
        <v>144.72</v>
      </c>
      <c r="D1527" s="27" t="n">
        <v>0</v>
      </c>
      <c r="E1527" s="27" t="n">
        <v>12</v>
      </c>
      <c r="F1527" s="27" t="n">
        <v>12.06</v>
      </c>
      <c r="G1527" s="27" t="s">
        <v>1875</v>
      </c>
      <c r="H1527" s="27" t="s">
        <v>68</v>
      </c>
      <c r="I1527" s="27" t="s">
        <v>1876</v>
      </c>
      <c r="J1527" s="27" t="s">
        <v>1877</v>
      </c>
      <c r="K1527" s="27" t="n">
        <v>494</v>
      </c>
      <c r="L1527" s="27" t="n">
        <v>715</v>
      </c>
      <c r="M1527" s="28" t="n">
        <f aca="false">IFERROR(VLOOKUP((OFFSET(hoje12_326_ana9,1526,10,1,1)&amp;"."&amp;OFFSET(hoje12_326_ana9,1526,11,1,1)),'12.326'!A:D,4,0),"-")</f>
        <v>15489834000180</v>
      </c>
    </row>
    <row r="1528" customFormat="false" ht="14.4" hidden="false" customHeight="false" outlineLevel="0" collapsed="false">
      <c r="A1528" s="27" t="n">
        <v>11100972</v>
      </c>
      <c r="B1528" s="27" t="s">
        <v>2308</v>
      </c>
      <c r="C1528" s="43" t="n">
        <v>342.7</v>
      </c>
      <c r="D1528" s="27" t="n">
        <v>6.98</v>
      </c>
      <c r="E1528" s="27" t="n">
        <v>24</v>
      </c>
      <c r="F1528" s="27" t="n">
        <v>14.57</v>
      </c>
      <c r="G1528" s="27" t="s">
        <v>1875</v>
      </c>
      <c r="H1528" s="27" t="s">
        <v>2011</v>
      </c>
      <c r="I1528" s="27" t="s">
        <v>1876</v>
      </c>
      <c r="J1528" s="27" t="s">
        <v>2769</v>
      </c>
      <c r="K1528" s="27" t="n">
        <v>494</v>
      </c>
      <c r="L1528" s="27" t="n">
        <v>715</v>
      </c>
      <c r="M1528" s="28" t="n">
        <f aca="false">IFERROR(VLOOKUP((OFFSET(hoje12_326_ana9,1527,10,1,1)&amp;"."&amp;OFFSET(hoje12_326_ana9,1527,11,1,1)),'12.326'!A:D,4,0),"-")</f>
        <v>15489834000180</v>
      </c>
    </row>
    <row r="1529" customFormat="false" ht="14.4" hidden="false" customHeight="false" outlineLevel="0" collapsed="false">
      <c r="A1529" s="27" t="n">
        <v>11101000</v>
      </c>
      <c r="B1529" s="27" t="s">
        <v>1886</v>
      </c>
      <c r="C1529" s="43" t="n">
        <v>68.97</v>
      </c>
      <c r="D1529" s="27" t="n">
        <v>0</v>
      </c>
      <c r="E1529" s="27" t="n">
        <v>3</v>
      </c>
      <c r="F1529" s="27" t="n">
        <v>22.99</v>
      </c>
      <c r="G1529" s="27" t="s">
        <v>1875</v>
      </c>
      <c r="H1529" s="27" t="s">
        <v>68</v>
      </c>
      <c r="I1529" s="27" t="s">
        <v>1876</v>
      </c>
      <c r="J1529" s="27" t="s">
        <v>1877</v>
      </c>
      <c r="K1529" s="27" t="n">
        <v>721001</v>
      </c>
      <c r="L1529" s="27" t="n">
        <v>721</v>
      </c>
      <c r="M1529" s="28" t="n">
        <f aca="false">IFERROR(VLOOKUP((OFFSET(hoje12_326_ana9,1528,10,1,1)&amp;"."&amp;OFFSET(hoje12_326_ana9,1528,11,1,1)),'12.326'!A:D,4,0),"-")</f>
        <v>2318826001281</v>
      </c>
    </row>
    <row r="1530" customFormat="false" ht="14.4" hidden="false" customHeight="false" outlineLevel="0" collapsed="false">
      <c r="A1530" s="27" t="n">
        <v>11100998</v>
      </c>
      <c r="B1530" s="27" t="s">
        <v>1887</v>
      </c>
      <c r="C1530" s="43" t="n">
        <v>45.03</v>
      </c>
      <c r="D1530" s="27" t="n">
        <v>0</v>
      </c>
      <c r="E1530" s="27" t="n">
        <v>3</v>
      </c>
      <c r="F1530" s="27" t="n">
        <v>15.01</v>
      </c>
      <c r="G1530" s="27" t="s">
        <v>1875</v>
      </c>
      <c r="H1530" s="27" t="s">
        <v>68</v>
      </c>
      <c r="I1530" s="27" t="s">
        <v>1876</v>
      </c>
      <c r="J1530" s="27" t="s">
        <v>1877</v>
      </c>
      <c r="K1530" s="27" t="n">
        <v>721001</v>
      </c>
      <c r="L1530" s="27" t="n">
        <v>721</v>
      </c>
      <c r="M1530" s="28" t="n">
        <f aca="false">IFERROR(VLOOKUP((OFFSET(hoje12_326_ana9,1529,10,1,1)&amp;"."&amp;OFFSET(hoje12_326_ana9,1529,11,1,1)),'12.326'!A:D,4,0),"-")</f>
        <v>2318826001281</v>
      </c>
    </row>
    <row r="1531" customFormat="false" ht="14.4" hidden="false" customHeight="false" outlineLevel="0" collapsed="false">
      <c r="A1531" s="27" t="n">
        <v>11101004</v>
      </c>
      <c r="B1531" s="27" t="s">
        <v>1888</v>
      </c>
      <c r="C1531" s="43" t="n">
        <v>32.28</v>
      </c>
      <c r="D1531" s="27" t="n">
        <v>0</v>
      </c>
      <c r="E1531" s="27" t="n">
        <v>3</v>
      </c>
      <c r="F1531" s="27" t="n">
        <v>10.76</v>
      </c>
      <c r="G1531" s="27" t="s">
        <v>1875</v>
      </c>
      <c r="H1531" s="27" t="s">
        <v>68</v>
      </c>
      <c r="I1531" s="27" t="s">
        <v>1876</v>
      </c>
      <c r="J1531" s="27" t="s">
        <v>1877</v>
      </c>
      <c r="K1531" s="27" t="n">
        <v>721001</v>
      </c>
      <c r="L1531" s="27" t="n">
        <v>721</v>
      </c>
      <c r="M1531" s="28" t="n">
        <f aca="false">IFERROR(VLOOKUP((OFFSET(hoje12_326_ana9,1530,10,1,1)&amp;"."&amp;OFFSET(hoje12_326_ana9,1530,11,1,1)),'12.326'!A:D,4,0),"-")</f>
        <v>2318826001281</v>
      </c>
    </row>
    <row r="1532" customFormat="false" ht="14.4" hidden="false" customHeight="false" outlineLevel="0" collapsed="false">
      <c r="A1532" s="27" t="n">
        <v>11101003</v>
      </c>
      <c r="B1532" s="27" t="s">
        <v>1889</v>
      </c>
      <c r="C1532" s="43" t="n">
        <v>32.28</v>
      </c>
      <c r="D1532" s="27" t="n">
        <v>0</v>
      </c>
      <c r="E1532" s="27" t="n">
        <v>3</v>
      </c>
      <c r="F1532" s="27" t="n">
        <v>10.76</v>
      </c>
      <c r="G1532" s="27" t="s">
        <v>1875</v>
      </c>
      <c r="H1532" s="27" t="s">
        <v>68</v>
      </c>
      <c r="I1532" s="27" t="s">
        <v>1876</v>
      </c>
      <c r="J1532" s="27" t="s">
        <v>1877</v>
      </c>
      <c r="K1532" s="27" t="n">
        <v>721001</v>
      </c>
      <c r="L1532" s="27" t="n">
        <v>721</v>
      </c>
      <c r="M1532" s="28" t="n">
        <f aca="false">IFERROR(VLOOKUP((OFFSET(hoje12_326_ana9,1531,10,1,1)&amp;"."&amp;OFFSET(hoje12_326_ana9,1531,11,1,1)),'12.326'!A:D,4,0),"-")</f>
        <v>2318826001281</v>
      </c>
    </row>
    <row r="1533" customFormat="false" ht="14.4" hidden="false" customHeight="false" outlineLevel="0" collapsed="false">
      <c r="A1533" s="27" t="n">
        <v>11101000</v>
      </c>
      <c r="B1533" s="27" t="s">
        <v>1886</v>
      </c>
      <c r="C1533" s="43" t="n">
        <v>68.97</v>
      </c>
      <c r="D1533" s="27" t="n">
        <v>0</v>
      </c>
      <c r="E1533" s="27" t="n">
        <v>3</v>
      </c>
      <c r="F1533" s="27" t="n">
        <v>22.99</v>
      </c>
      <c r="G1533" s="27" t="s">
        <v>1875</v>
      </c>
      <c r="H1533" s="27" t="s">
        <v>68</v>
      </c>
      <c r="I1533" s="27" t="s">
        <v>1876</v>
      </c>
      <c r="J1533" s="27" t="s">
        <v>1877</v>
      </c>
      <c r="K1533" s="27" t="n">
        <v>721002</v>
      </c>
      <c r="L1533" s="27" t="n">
        <v>721</v>
      </c>
      <c r="M1533" s="28" t="n">
        <f aca="false">IFERROR(VLOOKUP((OFFSET(hoje12_326_ana9,1532,10,1,1)&amp;"."&amp;OFFSET(hoje12_326_ana9,1532,11,1,1)),'12.326'!A:D,4,0),"-")</f>
        <v>2318826001010</v>
      </c>
    </row>
    <row r="1534" customFormat="false" ht="14.4" hidden="false" customHeight="false" outlineLevel="0" collapsed="false">
      <c r="A1534" s="27" t="n">
        <v>11100998</v>
      </c>
      <c r="B1534" s="27" t="s">
        <v>1887</v>
      </c>
      <c r="C1534" s="43" t="n">
        <v>45.03</v>
      </c>
      <c r="D1534" s="27" t="n">
        <v>0</v>
      </c>
      <c r="E1534" s="27" t="n">
        <v>3</v>
      </c>
      <c r="F1534" s="27" t="n">
        <v>15.01</v>
      </c>
      <c r="G1534" s="27" t="s">
        <v>1875</v>
      </c>
      <c r="H1534" s="27" t="s">
        <v>68</v>
      </c>
      <c r="I1534" s="27" t="s">
        <v>1876</v>
      </c>
      <c r="J1534" s="27" t="s">
        <v>1877</v>
      </c>
      <c r="K1534" s="27" t="n">
        <v>721002</v>
      </c>
      <c r="L1534" s="27" t="n">
        <v>721</v>
      </c>
      <c r="M1534" s="28" t="n">
        <f aca="false">IFERROR(VLOOKUP((OFFSET(hoje12_326_ana9,1533,10,1,1)&amp;"."&amp;OFFSET(hoje12_326_ana9,1533,11,1,1)),'12.326'!A:D,4,0),"-")</f>
        <v>2318826001010</v>
      </c>
    </row>
    <row r="1535" customFormat="false" ht="14.4" hidden="false" customHeight="false" outlineLevel="0" collapsed="false">
      <c r="A1535" s="27" t="n">
        <v>11101004</v>
      </c>
      <c r="B1535" s="27" t="s">
        <v>1888</v>
      </c>
      <c r="C1535" s="43" t="n">
        <v>32.28</v>
      </c>
      <c r="D1535" s="27" t="n">
        <v>0</v>
      </c>
      <c r="E1535" s="27" t="n">
        <v>3</v>
      </c>
      <c r="F1535" s="27" t="n">
        <v>10.76</v>
      </c>
      <c r="G1535" s="27" t="s">
        <v>1875</v>
      </c>
      <c r="H1535" s="27" t="s">
        <v>68</v>
      </c>
      <c r="I1535" s="27" t="s">
        <v>1876</v>
      </c>
      <c r="J1535" s="27" t="s">
        <v>1877</v>
      </c>
      <c r="K1535" s="27" t="n">
        <v>721002</v>
      </c>
      <c r="L1535" s="27" t="n">
        <v>721</v>
      </c>
      <c r="M1535" s="28" t="n">
        <f aca="false">IFERROR(VLOOKUP((OFFSET(hoje12_326_ana9,1534,10,1,1)&amp;"."&amp;OFFSET(hoje12_326_ana9,1534,11,1,1)),'12.326'!A:D,4,0),"-")</f>
        <v>2318826001010</v>
      </c>
    </row>
    <row r="1536" customFormat="false" ht="14.4" hidden="false" customHeight="false" outlineLevel="0" collapsed="false">
      <c r="A1536" s="27" t="n">
        <v>11101003</v>
      </c>
      <c r="B1536" s="27" t="s">
        <v>1889</v>
      </c>
      <c r="C1536" s="43" t="n">
        <v>32.28</v>
      </c>
      <c r="D1536" s="27" t="n">
        <v>0</v>
      </c>
      <c r="E1536" s="27" t="n">
        <v>3</v>
      </c>
      <c r="F1536" s="27" t="n">
        <v>10.76</v>
      </c>
      <c r="G1536" s="27" t="s">
        <v>1875</v>
      </c>
      <c r="H1536" s="27" t="s">
        <v>68</v>
      </c>
      <c r="I1536" s="27" t="s">
        <v>1876</v>
      </c>
      <c r="J1536" s="27" t="s">
        <v>1877</v>
      </c>
      <c r="K1536" s="27" t="n">
        <v>721002</v>
      </c>
      <c r="L1536" s="27" t="n">
        <v>721</v>
      </c>
      <c r="M1536" s="28" t="n">
        <f aca="false">IFERROR(VLOOKUP((OFFSET(hoje12_326_ana9,1535,10,1,1)&amp;"."&amp;OFFSET(hoje12_326_ana9,1535,11,1,1)),'12.326'!A:D,4,0),"-")</f>
        <v>2318826001010</v>
      </c>
    </row>
    <row r="1537" customFormat="false" ht="14.4" hidden="false" customHeight="false" outlineLevel="0" collapsed="false">
      <c r="A1537" s="27" t="n">
        <v>11101000</v>
      </c>
      <c r="B1537" s="27" t="s">
        <v>1886</v>
      </c>
      <c r="C1537" s="43" t="n">
        <v>68.97</v>
      </c>
      <c r="D1537" s="27" t="n">
        <v>0</v>
      </c>
      <c r="E1537" s="27" t="n">
        <v>3</v>
      </c>
      <c r="F1537" s="27" t="n">
        <v>22.99</v>
      </c>
      <c r="G1537" s="27" t="s">
        <v>1875</v>
      </c>
      <c r="H1537" s="27" t="s">
        <v>68</v>
      </c>
      <c r="I1537" s="27" t="s">
        <v>1876</v>
      </c>
      <c r="J1537" s="27" t="s">
        <v>1877</v>
      </c>
      <c r="K1537" s="27" t="n">
        <v>721003</v>
      </c>
      <c r="L1537" s="27" t="n">
        <v>721</v>
      </c>
      <c r="M1537" s="28" t="n">
        <f aca="false">IFERROR(VLOOKUP((OFFSET(hoje12_326_ana9,1536,10,1,1)&amp;"."&amp;OFFSET(hoje12_326_ana9,1536,11,1,1)),'12.326'!A:D,4,0),"-")</f>
        <v>2318826000390</v>
      </c>
    </row>
    <row r="1538" customFormat="false" ht="14.4" hidden="false" customHeight="false" outlineLevel="0" collapsed="false">
      <c r="A1538" s="27" t="n">
        <v>11100998</v>
      </c>
      <c r="B1538" s="27" t="s">
        <v>1887</v>
      </c>
      <c r="C1538" s="43" t="n">
        <v>45.03</v>
      </c>
      <c r="D1538" s="27" t="n">
        <v>0</v>
      </c>
      <c r="E1538" s="27" t="n">
        <v>3</v>
      </c>
      <c r="F1538" s="27" t="n">
        <v>15.01</v>
      </c>
      <c r="G1538" s="27" t="s">
        <v>1875</v>
      </c>
      <c r="H1538" s="27" t="s">
        <v>68</v>
      </c>
      <c r="I1538" s="27" t="s">
        <v>1876</v>
      </c>
      <c r="J1538" s="27" t="s">
        <v>1877</v>
      </c>
      <c r="K1538" s="27" t="n">
        <v>721003</v>
      </c>
      <c r="L1538" s="27" t="n">
        <v>721</v>
      </c>
      <c r="M1538" s="28" t="n">
        <f aca="false">IFERROR(VLOOKUP((OFFSET(hoje12_326_ana9,1537,10,1,1)&amp;"."&amp;OFFSET(hoje12_326_ana9,1537,11,1,1)),'12.326'!A:D,4,0),"-")</f>
        <v>2318826000390</v>
      </c>
    </row>
    <row r="1539" customFormat="false" ht="14.4" hidden="false" customHeight="false" outlineLevel="0" collapsed="false">
      <c r="A1539" s="27" t="n">
        <v>11101004</v>
      </c>
      <c r="B1539" s="27" t="s">
        <v>1888</v>
      </c>
      <c r="C1539" s="43" t="n">
        <v>32.28</v>
      </c>
      <c r="D1539" s="27" t="n">
        <v>0</v>
      </c>
      <c r="E1539" s="27" t="n">
        <v>3</v>
      </c>
      <c r="F1539" s="27" t="n">
        <v>10.76</v>
      </c>
      <c r="G1539" s="27" t="s">
        <v>1875</v>
      </c>
      <c r="H1539" s="27" t="s">
        <v>68</v>
      </c>
      <c r="I1539" s="27" t="s">
        <v>1876</v>
      </c>
      <c r="J1539" s="27" t="s">
        <v>1877</v>
      </c>
      <c r="K1539" s="27" t="n">
        <v>721003</v>
      </c>
      <c r="L1539" s="27" t="n">
        <v>721</v>
      </c>
      <c r="M1539" s="28" t="n">
        <f aca="false">IFERROR(VLOOKUP((OFFSET(hoje12_326_ana9,1538,10,1,1)&amp;"."&amp;OFFSET(hoje12_326_ana9,1538,11,1,1)),'12.326'!A:D,4,0),"-")</f>
        <v>2318826000390</v>
      </c>
    </row>
    <row r="1540" customFormat="false" ht="14.4" hidden="false" customHeight="false" outlineLevel="0" collapsed="false">
      <c r="A1540" s="27" t="n">
        <v>11101003</v>
      </c>
      <c r="B1540" s="27" t="s">
        <v>1889</v>
      </c>
      <c r="C1540" s="43" t="n">
        <v>32.28</v>
      </c>
      <c r="D1540" s="27" t="n">
        <v>0</v>
      </c>
      <c r="E1540" s="27" t="n">
        <v>3</v>
      </c>
      <c r="F1540" s="27" t="n">
        <v>10.76</v>
      </c>
      <c r="G1540" s="27" t="s">
        <v>1875</v>
      </c>
      <c r="H1540" s="27" t="s">
        <v>68</v>
      </c>
      <c r="I1540" s="27" t="s">
        <v>1876</v>
      </c>
      <c r="J1540" s="27" t="s">
        <v>1877</v>
      </c>
      <c r="K1540" s="27" t="n">
        <v>721003</v>
      </c>
      <c r="L1540" s="27" t="n">
        <v>721</v>
      </c>
      <c r="M1540" s="28" t="n">
        <f aca="false">IFERROR(VLOOKUP((OFFSET(hoje12_326_ana9,1539,10,1,1)&amp;"."&amp;OFFSET(hoje12_326_ana9,1539,11,1,1)),'12.326'!A:D,4,0),"-")</f>
        <v>2318826000390</v>
      </c>
    </row>
    <row r="1541" customFormat="false" ht="14.4" hidden="false" customHeight="false" outlineLevel="0" collapsed="false">
      <c r="A1541" s="27" t="n">
        <v>11101000</v>
      </c>
      <c r="B1541" s="27" t="s">
        <v>1886</v>
      </c>
      <c r="C1541" s="43" t="n">
        <v>68.97</v>
      </c>
      <c r="D1541" s="27" t="n">
        <v>0</v>
      </c>
      <c r="E1541" s="27" t="n">
        <v>3</v>
      </c>
      <c r="F1541" s="27" t="n">
        <v>22.99</v>
      </c>
      <c r="G1541" s="27" t="s">
        <v>1875</v>
      </c>
      <c r="H1541" s="27" t="s">
        <v>68</v>
      </c>
      <c r="I1541" s="27" t="s">
        <v>1876</v>
      </c>
      <c r="J1541" s="27" t="s">
        <v>1877</v>
      </c>
      <c r="K1541" s="27" t="n">
        <v>721004</v>
      </c>
      <c r="L1541" s="27" t="n">
        <v>721</v>
      </c>
      <c r="M1541" s="28" t="n">
        <f aca="false">IFERROR(VLOOKUP((OFFSET(hoje12_326_ana9,1540,10,1,1)&amp;"."&amp;OFFSET(hoje12_326_ana9,1540,11,1,1)),'12.326'!A:D,4,0),"-")</f>
        <v>2318826000633</v>
      </c>
    </row>
    <row r="1542" customFormat="false" ht="14.4" hidden="false" customHeight="false" outlineLevel="0" collapsed="false">
      <c r="A1542" s="27" t="n">
        <v>11100998</v>
      </c>
      <c r="B1542" s="27" t="s">
        <v>1887</v>
      </c>
      <c r="C1542" s="43" t="n">
        <v>45.03</v>
      </c>
      <c r="D1542" s="27" t="n">
        <v>0</v>
      </c>
      <c r="E1542" s="27" t="n">
        <v>3</v>
      </c>
      <c r="F1542" s="27" t="n">
        <v>15.01</v>
      </c>
      <c r="G1542" s="27" t="s">
        <v>1875</v>
      </c>
      <c r="H1542" s="27" t="s">
        <v>68</v>
      </c>
      <c r="I1542" s="27" t="s">
        <v>1876</v>
      </c>
      <c r="J1542" s="27" t="s">
        <v>1877</v>
      </c>
      <c r="K1542" s="27" t="n">
        <v>721004</v>
      </c>
      <c r="L1542" s="27" t="n">
        <v>721</v>
      </c>
      <c r="M1542" s="28" t="n">
        <f aca="false">IFERROR(VLOOKUP((OFFSET(hoje12_326_ana9,1541,10,1,1)&amp;"."&amp;OFFSET(hoje12_326_ana9,1541,11,1,1)),'12.326'!A:D,4,0),"-")</f>
        <v>2318826000633</v>
      </c>
    </row>
    <row r="1543" customFormat="false" ht="14.4" hidden="false" customHeight="false" outlineLevel="0" collapsed="false">
      <c r="A1543" s="27" t="n">
        <v>11101004</v>
      </c>
      <c r="B1543" s="27" t="s">
        <v>1888</v>
      </c>
      <c r="C1543" s="43" t="n">
        <v>32.28</v>
      </c>
      <c r="D1543" s="27" t="n">
        <v>0</v>
      </c>
      <c r="E1543" s="27" t="n">
        <v>3</v>
      </c>
      <c r="F1543" s="27" t="n">
        <v>10.76</v>
      </c>
      <c r="G1543" s="27" t="s">
        <v>1875</v>
      </c>
      <c r="H1543" s="27" t="s">
        <v>68</v>
      </c>
      <c r="I1543" s="27" t="s">
        <v>1876</v>
      </c>
      <c r="J1543" s="27" t="s">
        <v>1877</v>
      </c>
      <c r="K1543" s="27" t="n">
        <v>721004</v>
      </c>
      <c r="L1543" s="27" t="n">
        <v>721</v>
      </c>
      <c r="M1543" s="28" t="n">
        <f aca="false">IFERROR(VLOOKUP((OFFSET(hoje12_326_ana9,1542,10,1,1)&amp;"."&amp;OFFSET(hoje12_326_ana9,1542,11,1,1)),'12.326'!A:D,4,0),"-")</f>
        <v>2318826000633</v>
      </c>
    </row>
    <row r="1544" customFormat="false" ht="14.4" hidden="false" customHeight="false" outlineLevel="0" collapsed="false">
      <c r="A1544" s="27" t="n">
        <v>11101003</v>
      </c>
      <c r="B1544" s="27" t="s">
        <v>1889</v>
      </c>
      <c r="C1544" s="43" t="n">
        <v>32.28</v>
      </c>
      <c r="D1544" s="27" t="n">
        <v>0</v>
      </c>
      <c r="E1544" s="27" t="n">
        <v>3</v>
      </c>
      <c r="F1544" s="27" t="n">
        <v>10.76</v>
      </c>
      <c r="G1544" s="27" t="s">
        <v>1875</v>
      </c>
      <c r="H1544" s="27" t="s">
        <v>68</v>
      </c>
      <c r="I1544" s="27" t="s">
        <v>1876</v>
      </c>
      <c r="J1544" s="27" t="s">
        <v>1877</v>
      </c>
      <c r="K1544" s="27" t="n">
        <v>721004</v>
      </c>
      <c r="L1544" s="27" t="n">
        <v>721</v>
      </c>
      <c r="M1544" s="28" t="n">
        <f aca="false">IFERROR(VLOOKUP((OFFSET(hoje12_326_ana9,1543,10,1,1)&amp;"."&amp;OFFSET(hoje12_326_ana9,1543,11,1,1)),'12.326'!A:D,4,0),"-")</f>
        <v>2318826000633</v>
      </c>
    </row>
    <row r="1545" customFormat="false" ht="14.4" hidden="false" customHeight="false" outlineLevel="0" collapsed="false">
      <c r="A1545" s="27" t="n">
        <v>11101000</v>
      </c>
      <c r="B1545" s="27" t="s">
        <v>1886</v>
      </c>
      <c r="C1545" s="43" t="n">
        <v>68.97</v>
      </c>
      <c r="D1545" s="27" t="n">
        <v>0</v>
      </c>
      <c r="E1545" s="27" t="n">
        <v>3</v>
      </c>
      <c r="F1545" s="27" t="n">
        <v>22.99</v>
      </c>
      <c r="G1545" s="27" t="s">
        <v>1875</v>
      </c>
      <c r="H1545" s="27" t="s">
        <v>68</v>
      </c>
      <c r="I1545" s="27" t="s">
        <v>1876</v>
      </c>
      <c r="J1545" s="27" t="s">
        <v>1877</v>
      </c>
      <c r="K1545" s="27" t="n">
        <v>721005</v>
      </c>
      <c r="L1545" s="27" t="n">
        <v>721</v>
      </c>
      <c r="M1545" s="28" t="n">
        <f aca="false">IFERROR(VLOOKUP((OFFSET(hoje12_326_ana9,1544,10,1,1)&amp;"."&amp;OFFSET(hoje12_326_ana9,1544,11,1,1)),'12.326'!A:D,4,0),"-")</f>
        <v>2318826000714</v>
      </c>
    </row>
    <row r="1546" customFormat="false" ht="14.4" hidden="false" customHeight="false" outlineLevel="0" collapsed="false">
      <c r="A1546" s="27" t="n">
        <v>11100998</v>
      </c>
      <c r="B1546" s="27" t="s">
        <v>1887</v>
      </c>
      <c r="C1546" s="43" t="n">
        <v>45.03</v>
      </c>
      <c r="D1546" s="27" t="n">
        <v>0</v>
      </c>
      <c r="E1546" s="27" t="n">
        <v>3</v>
      </c>
      <c r="F1546" s="27" t="n">
        <v>15.01</v>
      </c>
      <c r="G1546" s="27" t="s">
        <v>1875</v>
      </c>
      <c r="H1546" s="27" t="s">
        <v>68</v>
      </c>
      <c r="I1546" s="27" t="s">
        <v>1876</v>
      </c>
      <c r="J1546" s="27" t="s">
        <v>1877</v>
      </c>
      <c r="K1546" s="27" t="n">
        <v>721005</v>
      </c>
      <c r="L1546" s="27" t="n">
        <v>721</v>
      </c>
      <c r="M1546" s="28" t="n">
        <f aca="false">IFERROR(VLOOKUP((OFFSET(hoje12_326_ana9,1545,10,1,1)&amp;"."&amp;OFFSET(hoje12_326_ana9,1545,11,1,1)),'12.326'!A:D,4,0),"-")</f>
        <v>2318826000714</v>
      </c>
    </row>
    <row r="1547" customFormat="false" ht="14.4" hidden="false" customHeight="false" outlineLevel="0" collapsed="false">
      <c r="A1547" s="27" t="n">
        <v>11101004</v>
      </c>
      <c r="B1547" s="27" t="s">
        <v>1888</v>
      </c>
      <c r="C1547" s="43" t="n">
        <v>32.28</v>
      </c>
      <c r="D1547" s="27" t="n">
        <v>0</v>
      </c>
      <c r="E1547" s="27" t="n">
        <v>3</v>
      </c>
      <c r="F1547" s="27" t="n">
        <v>10.76</v>
      </c>
      <c r="G1547" s="27" t="s">
        <v>1875</v>
      </c>
      <c r="H1547" s="27" t="s">
        <v>68</v>
      </c>
      <c r="I1547" s="27" t="s">
        <v>1876</v>
      </c>
      <c r="J1547" s="27" t="s">
        <v>1877</v>
      </c>
      <c r="K1547" s="27" t="n">
        <v>721005</v>
      </c>
      <c r="L1547" s="27" t="n">
        <v>721</v>
      </c>
      <c r="M1547" s="28" t="n">
        <f aca="false">IFERROR(VLOOKUP((OFFSET(hoje12_326_ana9,1546,10,1,1)&amp;"."&amp;OFFSET(hoje12_326_ana9,1546,11,1,1)),'12.326'!A:D,4,0),"-")</f>
        <v>2318826000714</v>
      </c>
    </row>
    <row r="1548" customFormat="false" ht="14.4" hidden="false" customHeight="false" outlineLevel="0" collapsed="false">
      <c r="A1548" s="27" t="n">
        <v>11101003</v>
      </c>
      <c r="B1548" s="27" t="s">
        <v>1889</v>
      </c>
      <c r="C1548" s="43" t="n">
        <v>32.28</v>
      </c>
      <c r="D1548" s="27" t="n">
        <v>0</v>
      </c>
      <c r="E1548" s="27" t="n">
        <v>3</v>
      </c>
      <c r="F1548" s="27" t="n">
        <v>10.76</v>
      </c>
      <c r="G1548" s="27" t="s">
        <v>1875</v>
      </c>
      <c r="H1548" s="27" t="s">
        <v>68</v>
      </c>
      <c r="I1548" s="27" t="s">
        <v>1876</v>
      </c>
      <c r="J1548" s="27" t="s">
        <v>1877</v>
      </c>
      <c r="K1548" s="27" t="n">
        <v>721005</v>
      </c>
      <c r="L1548" s="27" t="n">
        <v>721</v>
      </c>
      <c r="M1548" s="28" t="n">
        <f aca="false">IFERROR(VLOOKUP((OFFSET(hoje12_326_ana9,1547,10,1,1)&amp;"."&amp;OFFSET(hoje12_326_ana9,1547,11,1,1)),'12.326'!A:D,4,0),"-")</f>
        <v>2318826000714</v>
      </c>
    </row>
    <row r="1549" customFormat="false" ht="14.4" hidden="false" customHeight="false" outlineLevel="0" collapsed="false">
      <c r="A1549" s="27" t="n">
        <v>11101000</v>
      </c>
      <c r="B1549" s="27" t="s">
        <v>1886</v>
      </c>
      <c r="C1549" s="43" t="n">
        <v>68.97</v>
      </c>
      <c r="D1549" s="27" t="n">
        <v>0</v>
      </c>
      <c r="E1549" s="27" t="n">
        <v>3</v>
      </c>
      <c r="F1549" s="27" t="n">
        <v>22.99</v>
      </c>
      <c r="G1549" s="27" t="s">
        <v>1875</v>
      </c>
      <c r="H1549" s="27" t="s">
        <v>68</v>
      </c>
      <c r="I1549" s="27" t="s">
        <v>1876</v>
      </c>
      <c r="J1549" s="27" t="s">
        <v>1877</v>
      </c>
      <c r="K1549" s="27" t="n">
        <v>721006</v>
      </c>
      <c r="L1549" s="27" t="n">
        <v>721</v>
      </c>
      <c r="M1549" s="28" t="n">
        <f aca="false">IFERROR(VLOOKUP((OFFSET(hoje12_326_ana9,1548,10,1,1)&amp;"."&amp;OFFSET(hoje12_326_ana9,1548,11,1,1)),'12.326'!A:D,4,0),"-")</f>
        <v>9473933000928</v>
      </c>
    </row>
    <row r="1550" customFormat="false" ht="14.4" hidden="false" customHeight="false" outlineLevel="0" collapsed="false">
      <c r="A1550" s="27" t="n">
        <v>11100998</v>
      </c>
      <c r="B1550" s="27" t="s">
        <v>1887</v>
      </c>
      <c r="C1550" s="43" t="n">
        <v>45.03</v>
      </c>
      <c r="D1550" s="27" t="n">
        <v>0</v>
      </c>
      <c r="E1550" s="27" t="n">
        <v>3</v>
      </c>
      <c r="F1550" s="27" t="n">
        <v>15.01</v>
      </c>
      <c r="G1550" s="27" t="s">
        <v>1875</v>
      </c>
      <c r="H1550" s="27" t="s">
        <v>68</v>
      </c>
      <c r="I1550" s="27" t="s">
        <v>1876</v>
      </c>
      <c r="J1550" s="27" t="s">
        <v>1877</v>
      </c>
      <c r="K1550" s="27" t="n">
        <v>721006</v>
      </c>
      <c r="L1550" s="27" t="n">
        <v>721</v>
      </c>
      <c r="M1550" s="28" t="n">
        <f aca="false">IFERROR(VLOOKUP((OFFSET(hoje12_326_ana9,1549,10,1,1)&amp;"."&amp;OFFSET(hoje12_326_ana9,1549,11,1,1)),'12.326'!A:D,4,0),"-")</f>
        <v>9473933000928</v>
      </c>
    </row>
    <row r="1551" customFormat="false" ht="14.4" hidden="false" customHeight="false" outlineLevel="0" collapsed="false">
      <c r="A1551" s="27" t="n">
        <v>11101004</v>
      </c>
      <c r="B1551" s="27" t="s">
        <v>1888</v>
      </c>
      <c r="C1551" s="43" t="n">
        <v>32.28</v>
      </c>
      <c r="D1551" s="27" t="n">
        <v>0</v>
      </c>
      <c r="E1551" s="27" t="n">
        <v>3</v>
      </c>
      <c r="F1551" s="27" t="n">
        <v>10.76</v>
      </c>
      <c r="G1551" s="27" t="s">
        <v>1875</v>
      </c>
      <c r="H1551" s="27" t="s">
        <v>68</v>
      </c>
      <c r="I1551" s="27" t="s">
        <v>1876</v>
      </c>
      <c r="J1551" s="27" t="s">
        <v>1877</v>
      </c>
      <c r="K1551" s="27" t="n">
        <v>721006</v>
      </c>
      <c r="L1551" s="27" t="n">
        <v>721</v>
      </c>
      <c r="M1551" s="28" t="n">
        <f aca="false">IFERROR(VLOOKUP((OFFSET(hoje12_326_ana9,1550,10,1,1)&amp;"."&amp;OFFSET(hoje12_326_ana9,1550,11,1,1)),'12.326'!A:D,4,0),"-")</f>
        <v>9473933000928</v>
      </c>
    </row>
    <row r="1552" customFormat="false" ht="14.4" hidden="false" customHeight="false" outlineLevel="0" collapsed="false">
      <c r="A1552" s="27" t="n">
        <v>11101003</v>
      </c>
      <c r="B1552" s="27" t="s">
        <v>1889</v>
      </c>
      <c r="C1552" s="43" t="n">
        <v>32.28</v>
      </c>
      <c r="D1552" s="27" t="n">
        <v>0</v>
      </c>
      <c r="E1552" s="27" t="n">
        <v>3</v>
      </c>
      <c r="F1552" s="27" t="n">
        <v>10.76</v>
      </c>
      <c r="G1552" s="27" t="s">
        <v>1875</v>
      </c>
      <c r="H1552" s="27" t="s">
        <v>68</v>
      </c>
      <c r="I1552" s="27" t="s">
        <v>1876</v>
      </c>
      <c r="J1552" s="27" t="s">
        <v>1877</v>
      </c>
      <c r="K1552" s="27" t="n">
        <v>721006</v>
      </c>
      <c r="L1552" s="27" t="n">
        <v>721</v>
      </c>
      <c r="M1552" s="28" t="n">
        <f aca="false">IFERROR(VLOOKUP((OFFSET(hoje12_326_ana9,1551,10,1,1)&amp;"."&amp;OFFSET(hoje12_326_ana9,1551,11,1,1)),'12.326'!A:D,4,0),"-")</f>
        <v>9473933000928</v>
      </c>
    </row>
    <row r="1553" customFormat="false" ht="14.4" hidden="false" customHeight="false" outlineLevel="0" collapsed="false">
      <c r="A1553" s="27" t="n">
        <v>11101000</v>
      </c>
      <c r="B1553" s="27" t="s">
        <v>1886</v>
      </c>
      <c r="C1553" s="43" t="n">
        <v>68.97</v>
      </c>
      <c r="D1553" s="27" t="n">
        <v>0</v>
      </c>
      <c r="E1553" s="27" t="n">
        <v>3</v>
      </c>
      <c r="F1553" s="27" t="n">
        <v>22.99</v>
      </c>
      <c r="G1553" s="27" t="s">
        <v>1875</v>
      </c>
      <c r="H1553" s="27" t="s">
        <v>68</v>
      </c>
      <c r="I1553" s="27" t="s">
        <v>1876</v>
      </c>
      <c r="J1553" s="27" t="s">
        <v>1877</v>
      </c>
      <c r="K1553" s="27" t="n">
        <v>721007</v>
      </c>
      <c r="L1553" s="27" t="n">
        <v>721</v>
      </c>
      <c r="M1553" s="28" t="n">
        <f aca="false">IFERROR(VLOOKUP((OFFSET(hoje12_326_ana9,1552,10,1,1)&amp;"."&amp;OFFSET(hoje12_326_ana9,1552,11,1,1)),'12.326'!A:D,4,0),"-")</f>
        <v>9473933000170</v>
      </c>
    </row>
    <row r="1554" customFormat="false" ht="14.4" hidden="false" customHeight="false" outlineLevel="0" collapsed="false">
      <c r="A1554" s="27" t="n">
        <v>11100998</v>
      </c>
      <c r="B1554" s="27" t="s">
        <v>1887</v>
      </c>
      <c r="C1554" s="43" t="n">
        <v>45.03</v>
      </c>
      <c r="D1554" s="27" t="n">
        <v>0</v>
      </c>
      <c r="E1554" s="27" t="n">
        <v>3</v>
      </c>
      <c r="F1554" s="27" t="n">
        <v>15.01</v>
      </c>
      <c r="G1554" s="27" t="s">
        <v>1875</v>
      </c>
      <c r="H1554" s="27" t="s">
        <v>68</v>
      </c>
      <c r="I1554" s="27" t="s">
        <v>1876</v>
      </c>
      <c r="J1554" s="27" t="s">
        <v>1877</v>
      </c>
      <c r="K1554" s="27" t="n">
        <v>721007</v>
      </c>
      <c r="L1554" s="27" t="n">
        <v>721</v>
      </c>
      <c r="M1554" s="28" t="n">
        <f aca="false">IFERROR(VLOOKUP((OFFSET(hoje12_326_ana9,1553,10,1,1)&amp;"."&amp;OFFSET(hoje12_326_ana9,1553,11,1,1)),'12.326'!A:D,4,0),"-")</f>
        <v>9473933000170</v>
      </c>
    </row>
    <row r="1555" customFormat="false" ht="14.4" hidden="false" customHeight="false" outlineLevel="0" collapsed="false">
      <c r="A1555" s="27" t="n">
        <v>11101004</v>
      </c>
      <c r="B1555" s="27" t="s">
        <v>1888</v>
      </c>
      <c r="C1555" s="43" t="n">
        <v>32.28</v>
      </c>
      <c r="D1555" s="27" t="n">
        <v>0</v>
      </c>
      <c r="E1555" s="27" t="n">
        <v>3</v>
      </c>
      <c r="F1555" s="27" t="n">
        <v>10.76</v>
      </c>
      <c r="G1555" s="27" t="s">
        <v>1875</v>
      </c>
      <c r="H1555" s="27" t="s">
        <v>68</v>
      </c>
      <c r="I1555" s="27" t="s">
        <v>1876</v>
      </c>
      <c r="J1555" s="27" t="s">
        <v>1877</v>
      </c>
      <c r="K1555" s="27" t="n">
        <v>721007</v>
      </c>
      <c r="L1555" s="27" t="n">
        <v>721</v>
      </c>
      <c r="M1555" s="28" t="n">
        <f aca="false">IFERROR(VLOOKUP((OFFSET(hoje12_326_ana9,1554,10,1,1)&amp;"."&amp;OFFSET(hoje12_326_ana9,1554,11,1,1)),'12.326'!A:D,4,0),"-")</f>
        <v>9473933000170</v>
      </c>
    </row>
    <row r="1556" customFormat="false" ht="14.4" hidden="false" customHeight="false" outlineLevel="0" collapsed="false">
      <c r="A1556" s="27" t="n">
        <v>11101003</v>
      </c>
      <c r="B1556" s="27" t="s">
        <v>1889</v>
      </c>
      <c r="C1556" s="43" t="n">
        <v>32.28</v>
      </c>
      <c r="D1556" s="27" t="n">
        <v>0</v>
      </c>
      <c r="E1556" s="27" t="n">
        <v>3</v>
      </c>
      <c r="F1556" s="27" t="n">
        <v>10.76</v>
      </c>
      <c r="G1556" s="27" t="s">
        <v>1875</v>
      </c>
      <c r="H1556" s="27" t="s">
        <v>68</v>
      </c>
      <c r="I1556" s="27" t="s">
        <v>1876</v>
      </c>
      <c r="J1556" s="27" t="s">
        <v>1877</v>
      </c>
      <c r="K1556" s="27" t="n">
        <v>721007</v>
      </c>
      <c r="L1556" s="27" t="n">
        <v>721</v>
      </c>
      <c r="M1556" s="28" t="n">
        <f aca="false">IFERROR(VLOOKUP((OFFSET(hoje12_326_ana9,1555,10,1,1)&amp;"."&amp;OFFSET(hoje12_326_ana9,1555,11,1,1)),'12.326'!A:D,4,0),"-")</f>
        <v>9473933000170</v>
      </c>
    </row>
    <row r="1557" customFormat="false" ht="14.4" hidden="false" customHeight="false" outlineLevel="0" collapsed="false">
      <c r="A1557" s="27" t="n">
        <v>11101000</v>
      </c>
      <c r="B1557" s="27" t="s">
        <v>1886</v>
      </c>
      <c r="C1557" s="43" t="n">
        <v>68.97</v>
      </c>
      <c r="D1557" s="27" t="n">
        <v>0</v>
      </c>
      <c r="E1557" s="27" t="n">
        <v>3</v>
      </c>
      <c r="F1557" s="27" t="n">
        <v>22.99</v>
      </c>
      <c r="G1557" s="27" t="s">
        <v>1875</v>
      </c>
      <c r="H1557" s="27" t="s">
        <v>68</v>
      </c>
      <c r="I1557" s="27" t="s">
        <v>1876</v>
      </c>
      <c r="J1557" s="27" t="s">
        <v>1877</v>
      </c>
      <c r="K1557" s="27" t="n">
        <v>721008</v>
      </c>
      <c r="L1557" s="27" t="n">
        <v>721</v>
      </c>
      <c r="M1557" s="28" t="n">
        <f aca="false">IFERROR(VLOOKUP((OFFSET(hoje12_326_ana9,1556,10,1,1)&amp;"."&amp;OFFSET(hoje12_326_ana9,1556,11,1,1)),'12.326'!A:D,4,0),"-")</f>
        <v>2318826001109</v>
      </c>
    </row>
    <row r="1558" customFormat="false" ht="14.4" hidden="false" customHeight="false" outlineLevel="0" collapsed="false">
      <c r="A1558" s="27" t="n">
        <v>11100998</v>
      </c>
      <c r="B1558" s="27" t="s">
        <v>1887</v>
      </c>
      <c r="C1558" s="43" t="n">
        <v>45.03</v>
      </c>
      <c r="D1558" s="27" t="n">
        <v>0</v>
      </c>
      <c r="E1558" s="27" t="n">
        <v>3</v>
      </c>
      <c r="F1558" s="27" t="n">
        <v>15.01</v>
      </c>
      <c r="G1558" s="27" t="s">
        <v>1875</v>
      </c>
      <c r="H1558" s="27" t="s">
        <v>68</v>
      </c>
      <c r="I1558" s="27" t="s">
        <v>1876</v>
      </c>
      <c r="J1558" s="27" t="s">
        <v>1877</v>
      </c>
      <c r="K1558" s="27" t="n">
        <v>721008</v>
      </c>
      <c r="L1558" s="27" t="n">
        <v>721</v>
      </c>
      <c r="M1558" s="28" t="n">
        <f aca="false">IFERROR(VLOOKUP((OFFSET(hoje12_326_ana9,1557,10,1,1)&amp;"."&amp;OFFSET(hoje12_326_ana9,1557,11,1,1)),'12.326'!A:D,4,0),"-")</f>
        <v>2318826001109</v>
      </c>
    </row>
    <row r="1559" customFormat="false" ht="14.4" hidden="false" customHeight="false" outlineLevel="0" collapsed="false">
      <c r="A1559" s="27" t="n">
        <v>11101004</v>
      </c>
      <c r="B1559" s="27" t="s">
        <v>1888</v>
      </c>
      <c r="C1559" s="43" t="n">
        <v>32.28</v>
      </c>
      <c r="D1559" s="27" t="n">
        <v>0</v>
      </c>
      <c r="E1559" s="27" t="n">
        <v>3</v>
      </c>
      <c r="F1559" s="27" t="n">
        <v>10.76</v>
      </c>
      <c r="G1559" s="27" t="s">
        <v>1875</v>
      </c>
      <c r="H1559" s="27" t="s">
        <v>68</v>
      </c>
      <c r="I1559" s="27" t="s">
        <v>1876</v>
      </c>
      <c r="J1559" s="27" t="s">
        <v>1877</v>
      </c>
      <c r="K1559" s="27" t="n">
        <v>721008</v>
      </c>
      <c r="L1559" s="27" t="n">
        <v>721</v>
      </c>
      <c r="M1559" s="28" t="n">
        <f aca="false">IFERROR(VLOOKUP((OFFSET(hoje12_326_ana9,1558,10,1,1)&amp;"."&amp;OFFSET(hoje12_326_ana9,1558,11,1,1)),'12.326'!A:D,4,0),"-")</f>
        <v>2318826001109</v>
      </c>
    </row>
    <row r="1560" customFormat="false" ht="14.4" hidden="false" customHeight="false" outlineLevel="0" collapsed="false">
      <c r="A1560" s="27" t="n">
        <v>11101003</v>
      </c>
      <c r="B1560" s="27" t="s">
        <v>1889</v>
      </c>
      <c r="C1560" s="43" t="n">
        <v>32.28</v>
      </c>
      <c r="D1560" s="27" t="n">
        <v>0</v>
      </c>
      <c r="E1560" s="27" t="n">
        <v>3</v>
      </c>
      <c r="F1560" s="27" t="n">
        <v>10.76</v>
      </c>
      <c r="G1560" s="27" t="s">
        <v>1875</v>
      </c>
      <c r="H1560" s="27" t="s">
        <v>68</v>
      </c>
      <c r="I1560" s="27" t="s">
        <v>1876</v>
      </c>
      <c r="J1560" s="27" t="s">
        <v>1877</v>
      </c>
      <c r="K1560" s="27" t="n">
        <v>721008</v>
      </c>
      <c r="L1560" s="27" t="n">
        <v>721</v>
      </c>
      <c r="M1560" s="28" t="n">
        <f aca="false">IFERROR(VLOOKUP((OFFSET(hoje12_326_ana9,1559,10,1,1)&amp;"."&amp;OFFSET(hoje12_326_ana9,1559,11,1,1)),'12.326'!A:D,4,0),"-")</f>
        <v>2318826001109</v>
      </c>
    </row>
    <row r="1561" customFormat="false" ht="14.4" hidden="false" customHeight="false" outlineLevel="0" collapsed="false">
      <c r="A1561" s="27" t="n">
        <v>11101000</v>
      </c>
      <c r="B1561" s="27" t="s">
        <v>1886</v>
      </c>
      <c r="C1561" s="43" t="n">
        <v>68.97</v>
      </c>
      <c r="D1561" s="27" t="n">
        <v>0</v>
      </c>
      <c r="E1561" s="27" t="n">
        <v>3</v>
      </c>
      <c r="F1561" s="27" t="n">
        <v>22.99</v>
      </c>
      <c r="G1561" s="27" t="s">
        <v>1875</v>
      </c>
      <c r="H1561" s="27" t="s">
        <v>68</v>
      </c>
      <c r="I1561" s="27" t="s">
        <v>1876</v>
      </c>
      <c r="J1561" s="27" t="s">
        <v>1877</v>
      </c>
      <c r="K1561" s="27" t="n">
        <v>721009</v>
      </c>
      <c r="L1561" s="27" t="n">
        <v>721</v>
      </c>
      <c r="M1561" s="28" t="n">
        <f aca="false">IFERROR(VLOOKUP((OFFSET(hoje12_326_ana9,1560,10,1,1)&amp;"."&amp;OFFSET(hoje12_326_ana9,1560,11,1,1)),'12.326'!A:D,4,0),"-")</f>
        <v>2318826000986</v>
      </c>
    </row>
    <row r="1562" customFormat="false" ht="14.4" hidden="false" customHeight="false" outlineLevel="0" collapsed="false">
      <c r="A1562" s="27" t="n">
        <v>11100998</v>
      </c>
      <c r="B1562" s="27" t="s">
        <v>1887</v>
      </c>
      <c r="C1562" s="43" t="n">
        <v>45.03</v>
      </c>
      <c r="D1562" s="27" t="n">
        <v>0</v>
      </c>
      <c r="E1562" s="27" t="n">
        <v>3</v>
      </c>
      <c r="F1562" s="27" t="n">
        <v>15.01</v>
      </c>
      <c r="G1562" s="27" t="s">
        <v>1875</v>
      </c>
      <c r="H1562" s="27" t="s">
        <v>68</v>
      </c>
      <c r="I1562" s="27" t="s">
        <v>1876</v>
      </c>
      <c r="J1562" s="27" t="s">
        <v>1877</v>
      </c>
      <c r="K1562" s="27" t="n">
        <v>721009</v>
      </c>
      <c r="L1562" s="27" t="n">
        <v>721</v>
      </c>
      <c r="M1562" s="28" t="n">
        <f aca="false">IFERROR(VLOOKUP((OFFSET(hoje12_326_ana9,1561,10,1,1)&amp;"."&amp;OFFSET(hoje12_326_ana9,1561,11,1,1)),'12.326'!A:D,4,0),"-")</f>
        <v>2318826000986</v>
      </c>
    </row>
    <row r="1563" customFormat="false" ht="14.4" hidden="false" customHeight="false" outlineLevel="0" collapsed="false">
      <c r="A1563" s="27" t="n">
        <v>11101004</v>
      </c>
      <c r="B1563" s="27" t="s">
        <v>1888</v>
      </c>
      <c r="C1563" s="43" t="n">
        <v>32.28</v>
      </c>
      <c r="D1563" s="27" t="n">
        <v>0</v>
      </c>
      <c r="E1563" s="27" t="n">
        <v>3</v>
      </c>
      <c r="F1563" s="27" t="n">
        <v>10.76</v>
      </c>
      <c r="G1563" s="27" t="s">
        <v>1875</v>
      </c>
      <c r="H1563" s="27" t="s">
        <v>68</v>
      </c>
      <c r="I1563" s="27" t="s">
        <v>1876</v>
      </c>
      <c r="J1563" s="27" t="s">
        <v>1877</v>
      </c>
      <c r="K1563" s="27" t="n">
        <v>721009</v>
      </c>
      <c r="L1563" s="27" t="n">
        <v>721</v>
      </c>
      <c r="M1563" s="28" t="n">
        <f aca="false">IFERROR(VLOOKUP((OFFSET(hoje12_326_ana9,1562,10,1,1)&amp;"."&amp;OFFSET(hoje12_326_ana9,1562,11,1,1)),'12.326'!A:D,4,0),"-")</f>
        <v>2318826000986</v>
      </c>
    </row>
    <row r="1564" customFormat="false" ht="14.4" hidden="false" customHeight="false" outlineLevel="0" collapsed="false">
      <c r="A1564" s="27" t="n">
        <v>11101003</v>
      </c>
      <c r="B1564" s="27" t="s">
        <v>1889</v>
      </c>
      <c r="C1564" s="43" t="n">
        <v>32.28</v>
      </c>
      <c r="D1564" s="27" t="n">
        <v>0</v>
      </c>
      <c r="E1564" s="27" t="n">
        <v>3</v>
      </c>
      <c r="F1564" s="27" t="n">
        <v>10.76</v>
      </c>
      <c r="G1564" s="27" t="s">
        <v>1875</v>
      </c>
      <c r="H1564" s="27" t="s">
        <v>68</v>
      </c>
      <c r="I1564" s="27" t="s">
        <v>1876</v>
      </c>
      <c r="J1564" s="27" t="s">
        <v>1877</v>
      </c>
      <c r="K1564" s="27" t="n">
        <v>721009</v>
      </c>
      <c r="L1564" s="27" t="n">
        <v>721</v>
      </c>
      <c r="M1564" s="28" t="n">
        <f aca="false">IFERROR(VLOOKUP((OFFSET(hoje12_326_ana9,1563,10,1,1)&amp;"."&amp;OFFSET(hoje12_326_ana9,1563,11,1,1)),'12.326'!A:D,4,0),"-")</f>
        <v>2318826000986</v>
      </c>
    </row>
    <row r="1565" customFormat="false" ht="14.4" hidden="false" customHeight="false" outlineLevel="0" collapsed="false">
      <c r="A1565" s="27" t="n">
        <v>11101000</v>
      </c>
      <c r="B1565" s="27" t="s">
        <v>1886</v>
      </c>
      <c r="C1565" s="43" t="n">
        <v>68.97</v>
      </c>
      <c r="D1565" s="27" t="n">
        <v>0</v>
      </c>
      <c r="E1565" s="27" t="n">
        <v>3</v>
      </c>
      <c r="F1565" s="27" t="n">
        <v>22.99</v>
      </c>
      <c r="G1565" s="27" t="s">
        <v>1875</v>
      </c>
      <c r="H1565" s="27" t="s">
        <v>68</v>
      </c>
      <c r="I1565" s="27" t="s">
        <v>1876</v>
      </c>
      <c r="J1565" s="27" t="s">
        <v>1877</v>
      </c>
      <c r="K1565" s="27" t="n">
        <v>721010</v>
      </c>
      <c r="L1565" s="27" t="n">
        <v>721</v>
      </c>
      <c r="M1565" s="28" t="n">
        <f aca="false">IFERROR(VLOOKUP((OFFSET(hoje12_326_ana9,1564,10,1,1)&amp;"."&amp;OFFSET(hoje12_326_ana9,1564,11,1,1)),'12.326'!A:D,4,0),"-")</f>
        <v>2318826000129</v>
      </c>
    </row>
    <row r="1566" customFormat="false" ht="14.4" hidden="false" customHeight="false" outlineLevel="0" collapsed="false">
      <c r="A1566" s="27" t="n">
        <v>11100998</v>
      </c>
      <c r="B1566" s="27" t="s">
        <v>1887</v>
      </c>
      <c r="C1566" s="43" t="n">
        <v>45.03</v>
      </c>
      <c r="D1566" s="27" t="n">
        <v>0</v>
      </c>
      <c r="E1566" s="27" t="n">
        <v>3</v>
      </c>
      <c r="F1566" s="27" t="n">
        <v>15.01</v>
      </c>
      <c r="G1566" s="27" t="s">
        <v>1875</v>
      </c>
      <c r="H1566" s="27" t="s">
        <v>68</v>
      </c>
      <c r="I1566" s="27" t="s">
        <v>1876</v>
      </c>
      <c r="J1566" s="27" t="s">
        <v>1877</v>
      </c>
      <c r="K1566" s="27" t="n">
        <v>721010</v>
      </c>
      <c r="L1566" s="27" t="n">
        <v>721</v>
      </c>
      <c r="M1566" s="28" t="n">
        <f aca="false">IFERROR(VLOOKUP((OFFSET(hoje12_326_ana9,1565,10,1,1)&amp;"."&amp;OFFSET(hoje12_326_ana9,1565,11,1,1)),'12.326'!A:D,4,0),"-")</f>
        <v>2318826000129</v>
      </c>
    </row>
    <row r="1567" customFormat="false" ht="14.4" hidden="false" customHeight="false" outlineLevel="0" collapsed="false">
      <c r="A1567" s="27" t="n">
        <v>11101004</v>
      </c>
      <c r="B1567" s="27" t="s">
        <v>1888</v>
      </c>
      <c r="C1567" s="43" t="n">
        <v>32.28</v>
      </c>
      <c r="D1567" s="27" t="n">
        <v>0</v>
      </c>
      <c r="E1567" s="27" t="n">
        <v>3</v>
      </c>
      <c r="F1567" s="27" t="n">
        <v>10.76</v>
      </c>
      <c r="G1567" s="27" t="s">
        <v>1875</v>
      </c>
      <c r="H1567" s="27" t="s">
        <v>68</v>
      </c>
      <c r="I1567" s="27" t="s">
        <v>1876</v>
      </c>
      <c r="J1567" s="27" t="s">
        <v>1877</v>
      </c>
      <c r="K1567" s="27" t="n">
        <v>721010</v>
      </c>
      <c r="L1567" s="27" t="n">
        <v>721</v>
      </c>
      <c r="M1567" s="28" t="n">
        <f aca="false">IFERROR(VLOOKUP((OFFSET(hoje12_326_ana9,1566,10,1,1)&amp;"."&amp;OFFSET(hoje12_326_ana9,1566,11,1,1)),'12.326'!A:D,4,0),"-")</f>
        <v>2318826000129</v>
      </c>
    </row>
    <row r="1568" customFormat="false" ht="14.4" hidden="false" customHeight="false" outlineLevel="0" collapsed="false">
      <c r="A1568" s="27" t="n">
        <v>11101003</v>
      </c>
      <c r="B1568" s="27" t="s">
        <v>1889</v>
      </c>
      <c r="C1568" s="43" t="n">
        <v>32.28</v>
      </c>
      <c r="D1568" s="27" t="n">
        <v>0</v>
      </c>
      <c r="E1568" s="27" t="n">
        <v>3</v>
      </c>
      <c r="F1568" s="27" t="n">
        <v>10.76</v>
      </c>
      <c r="G1568" s="27" t="s">
        <v>1875</v>
      </c>
      <c r="H1568" s="27" t="s">
        <v>68</v>
      </c>
      <c r="I1568" s="27" t="s">
        <v>1876</v>
      </c>
      <c r="J1568" s="27" t="s">
        <v>1877</v>
      </c>
      <c r="K1568" s="27" t="n">
        <v>721010</v>
      </c>
      <c r="L1568" s="27" t="n">
        <v>721</v>
      </c>
      <c r="M1568" s="28" t="n">
        <f aca="false">IFERROR(VLOOKUP((OFFSET(hoje12_326_ana9,1567,10,1,1)&amp;"."&amp;OFFSET(hoje12_326_ana9,1567,11,1,1)),'12.326'!A:D,4,0),"-")</f>
        <v>2318826000129</v>
      </c>
    </row>
    <row r="1569" customFormat="false" ht="14.4" hidden="false" customHeight="false" outlineLevel="0" collapsed="false">
      <c r="A1569" s="27" t="n">
        <v>11101000</v>
      </c>
      <c r="B1569" s="27" t="s">
        <v>1886</v>
      </c>
      <c r="C1569" s="43" t="n">
        <v>68.97</v>
      </c>
      <c r="D1569" s="27" t="n">
        <v>0</v>
      </c>
      <c r="E1569" s="27" t="n">
        <v>3</v>
      </c>
      <c r="F1569" s="27" t="n">
        <v>22.99</v>
      </c>
      <c r="G1569" s="27" t="s">
        <v>1875</v>
      </c>
      <c r="H1569" s="27" t="s">
        <v>68</v>
      </c>
      <c r="I1569" s="27" t="s">
        <v>1876</v>
      </c>
      <c r="J1569" s="27" t="s">
        <v>1877</v>
      </c>
      <c r="K1569" s="27" t="n">
        <v>721011</v>
      </c>
      <c r="L1569" s="27" t="n">
        <v>721</v>
      </c>
      <c r="M1569" s="28" t="n">
        <f aca="false">IFERROR(VLOOKUP((OFFSET(hoje12_326_ana9,1568,10,1,1)&amp;"."&amp;OFFSET(hoje12_326_ana9,1568,11,1,1)),'12.326'!A:D,4,0),"-")</f>
        <v>2318826000200</v>
      </c>
    </row>
    <row r="1570" customFormat="false" ht="14.4" hidden="false" customHeight="false" outlineLevel="0" collapsed="false">
      <c r="A1570" s="27" t="n">
        <v>11100998</v>
      </c>
      <c r="B1570" s="27" t="s">
        <v>1887</v>
      </c>
      <c r="C1570" s="43" t="n">
        <v>45.03</v>
      </c>
      <c r="D1570" s="27" t="n">
        <v>0</v>
      </c>
      <c r="E1570" s="27" t="n">
        <v>3</v>
      </c>
      <c r="F1570" s="27" t="n">
        <v>15.01</v>
      </c>
      <c r="G1570" s="27" t="s">
        <v>1875</v>
      </c>
      <c r="H1570" s="27" t="s">
        <v>68</v>
      </c>
      <c r="I1570" s="27" t="s">
        <v>1876</v>
      </c>
      <c r="J1570" s="27" t="s">
        <v>1877</v>
      </c>
      <c r="K1570" s="27" t="n">
        <v>721011</v>
      </c>
      <c r="L1570" s="27" t="n">
        <v>721</v>
      </c>
      <c r="M1570" s="28" t="n">
        <f aca="false">IFERROR(VLOOKUP((OFFSET(hoje12_326_ana9,1569,10,1,1)&amp;"."&amp;OFFSET(hoje12_326_ana9,1569,11,1,1)),'12.326'!A:D,4,0),"-")</f>
        <v>2318826000200</v>
      </c>
    </row>
    <row r="1571" customFormat="false" ht="14.4" hidden="false" customHeight="false" outlineLevel="0" collapsed="false">
      <c r="A1571" s="27" t="n">
        <v>11101004</v>
      </c>
      <c r="B1571" s="27" t="s">
        <v>1888</v>
      </c>
      <c r="C1571" s="43" t="n">
        <v>32.28</v>
      </c>
      <c r="D1571" s="27" t="n">
        <v>0</v>
      </c>
      <c r="E1571" s="27" t="n">
        <v>3</v>
      </c>
      <c r="F1571" s="27" t="n">
        <v>10.76</v>
      </c>
      <c r="G1571" s="27" t="s">
        <v>1875</v>
      </c>
      <c r="H1571" s="27" t="s">
        <v>68</v>
      </c>
      <c r="I1571" s="27" t="s">
        <v>1876</v>
      </c>
      <c r="J1571" s="27" t="s">
        <v>1877</v>
      </c>
      <c r="K1571" s="27" t="n">
        <v>721011</v>
      </c>
      <c r="L1571" s="27" t="n">
        <v>721</v>
      </c>
      <c r="M1571" s="28" t="n">
        <f aca="false">IFERROR(VLOOKUP((OFFSET(hoje12_326_ana9,1570,10,1,1)&amp;"."&amp;OFFSET(hoje12_326_ana9,1570,11,1,1)),'12.326'!A:D,4,0),"-")</f>
        <v>2318826000200</v>
      </c>
    </row>
    <row r="1572" customFormat="false" ht="14.4" hidden="false" customHeight="false" outlineLevel="0" collapsed="false">
      <c r="A1572" s="27" t="n">
        <v>11101003</v>
      </c>
      <c r="B1572" s="27" t="s">
        <v>1889</v>
      </c>
      <c r="C1572" s="43" t="n">
        <v>32.28</v>
      </c>
      <c r="D1572" s="27" t="n">
        <v>0</v>
      </c>
      <c r="E1572" s="27" t="n">
        <v>3</v>
      </c>
      <c r="F1572" s="27" t="n">
        <v>10.76</v>
      </c>
      <c r="G1572" s="27" t="s">
        <v>1875</v>
      </c>
      <c r="H1572" s="27" t="s">
        <v>68</v>
      </c>
      <c r="I1572" s="27" t="s">
        <v>1876</v>
      </c>
      <c r="J1572" s="27" t="s">
        <v>1877</v>
      </c>
      <c r="K1572" s="27" t="n">
        <v>721011</v>
      </c>
      <c r="L1572" s="27" t="n">
        <v>721</v>
      </c>
      <c r="M1572" s="28" t="n">
        <f aca="false">IFERROR(VLOOKUP((OFFSET(hoje12_326_ana9,1571,10,1,1)&amp;"."&amp;OFFSET(hoje12_326_ana9,1571,11,1,1)),'12.326'!A:D,4,0),"-")</f>
        <v>2318826000200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88671875" defaultRowHeight="14.4" customHeight="false" zeroHeight="false" outlineLevelRow="0" outlineLevelCol="0"/>
  <cols>
    <col collapsed="false" customWidth="true" hidden="false" outlineLevel="0" max="1" min="1" style="35" width="16.44"/>
    <col collapsed="false" customWidth="true" hidden="false" outlineLevel="0" max="2" min="2" style="34" width="44.33"/>
    <col collapsed="false" customWidth="true" hidden="false" outlineLevel="0" max="3" min="3" style="34" width="33.11"/>
    <col collapsed="false" customWidth="true" hidden="false" outlineLevel="0" max="4" min="4" style="34" width="38.88"/>
    <col collapsed="false" customWidth="true" hidden="false" outlineLevel="0" max="5" min="5" style="34" width="25.67"/>
    <col collapsed="false" customWidth="true" hidden="false" outlineLevel="0" max="6" min="6" style="34" width="16.56"/>
    <col collapsed="false" customWidth="true" hidden="false" outlineLevel="0" max="7" min="7" style="34" width="15.56"/>
    <col collapsed="false" customWidth="false" hidden="false" outlineLevel="0" max="16384" min="8" style="34" width="8.88"/>
  </cols>
  <sheetData>
    <row r="1" customFormat="false" ht="14.4" hidden="false" customHeight="false" outlineLevel="0" collapsed="false">
      <c r="F1" s="44" t="n">
        <f aca="false">SUBTOTAL(9,F3:F886)</f>
        <v>50037179.8416267</v>
      </c>
      <c r="G1" s="44" t="n">
        <f aca="false">SUBTOTAL(9,G3:G886)</f>
        <v>3438308.08</v>
      </c>
    </row>
    <row r="2" customFormat="false" ht="14.4" hidden="false" customHeight="false" outlineLevel="0" collapsed="false">
      <c r="A2" s="45" t="s">
        <v>43</v>
      </c>
      <c r="B2" s="46" t="s">
        <v>2770</v>
      </c>
      <c r="C2" s="46" t="s">
        <v>2771</v>
      </c>
      <c r="D2" s="46" t="s">
        <v>2772</v>
      </c>
      <c r="E2" s="46" t="s">
        <v>2773</v>
      </c>
      <c r="F2" s="46" t="s">
        <v>2774</v>
      </c>
      <c r="G2" s="47" t="s">
        <v>15</v>
      </c>
    </row>
    <row r="3" customFormat="false" ht="14.4" hidden="false" customHeight="false" outlineLevel="0" collapsed="false">
      <c r="A3" s="48" t="n">
        <v>1274396000128</v>
      </c>
      <c r="B3" s="49" t="s">
        <v>2775</v>
      </c>
      <c r="C3" s="49" t="s">
        <v>25</v>
      </c>
      <c r="D3" s="49" t="s">
        <v>2776</v>
      </c>
      <c r="E3" s="49" t="s">
        <v>192</v>
      </c>
      <c r="F3" s="50" t="n">
        <f aca="false">VLOOKUP(C3,'Top Redes'!A:D,4,0)</f>
        <v>119452.20395</v>
      </c>
      <c r="G3" s="50" t="n">
        <f aca="false">IFERROR(VLOOKUP($A3,'319'!$B:$H,7,0),0)</f>
        <v>2692.15</v>
      </c>
    </row>
    <row r="4" customFormat="false" ht="14.4" hidden="false" customHeight="false" outlineLevel="0" collapsed="false">
      <c r="A4" s="48" t="n">
        <v>1274396000209</v>
      </c>
      <c r="B4" s="49" t="s">
        <v>2775</v>
      </c>
      <c r="C4" s="49" t="s">
        <v>25</v>
      </c>
      <c r="D4" s="49" t="s">
        <v>2777</v>
      </c>
      <c r="E4" s="49" t="s">
        <v>197</v>
      </c>
      <c r="F4" s="50" t="n">
        <f aca="false">VLOOKUP(C4,'Top Redes'!A:D,4,0)</f>
        <v>119452.20395</v>
      </c>
      <c r="G4" s="50" t="n">
        <f aca="false">IFERROR(VLOOKUP($A4,'319'!$B:$H,7,0),0)</f>
        <v>4037.09</v>
      </c>
    </row>
    <row r="5" customFormat="false" ht="14.4" hidden="false" customHeight="false" outlineLevel="0" collapsed="false">
      <c r="A5" s="48" t="n">
        <v>1274396000390</v>
      </c>
      <c r="B5" s="49" t="s">
        <v>2775</v>
      </c>
      <c r="C5" s="49" t="s">
        <v>25</v>
      </c>
      <c r="D5" s="49" t="s">
        <v>2778</v>
      </c>
      <c r="E5" s="49" t="s">
        <v>192</v>
      </c>
      <c r="F5" s="50" t="n">
        <f aca="false">VLOOKUP(C5,'Top Redes'!A:D,4,0)</f>
        <v>119452.20395</v>
      </c>
      <c r="G5" s="50" t="n">
        <f aca="false">IFERROR(VLOOKUP($A5,'319'!$B:$H,7,0),0)</f>
        <v>15137.6</v>
      </c>
    </row>
    <row r="6" customFormat="false" ht="14.4" hidden="false" customHeight="false" outlineLevel="0" collapsed="false">
      <c r="A6" s="48" t="n">
        <v>1274396000470</v>
      </c>
      <c r="B6" s="49" t="s">
        <v>2775</v>
      </c>
      <c r="C6" s="49" t="s">
        <v>25</v>
      </c>
      <c r="D6" s="49" t="s">
        <v>2779</v>
      </c>
      <c r="E6" s="49" t="s">
        <v>207</v>
      </c>
      <c r="F6" s="50" t="n">
        <f aca="false">VLOOKUP(C6,'Top Redes'!A:D,4,0)</f>
        <v>119452.20395</v>
      </c>
      <c r="G6" s="50" t="n">
        <f aca="false">IFERROR(VLOOKUP($A6,'319'!$B:$H,7,0),0)</f>
        <v>204.87</v>
      </c>
    </row>
    <row r="7" customFormat="false" ht="14.4" hidden="false" customHeight="false" outlineLevel="0" collapsed="false">
      <c r="A7" s="48" t="n">
        <v>1274396000632</v>
      </c>
      <c r="B7" s="49" t="s">
        <v>2775</v>
      </c>
      <c r="C7" s="49" t="s">
        <v>25</v>
      </c>
      <c r="D7" s="49" t="s">
        <v>2780</v>
      </c>
      <c r="E7" s="49" t="s">
        <v>197</v>
      </c>
      <c r="F7" s="50" t="n">
        <f aca="false">VLOOKUP(C7,'Top Redes'!A:D,4,0)</f>
        <v>119452.20395</v>
      </c>
      <c r="G7" s="50" t="n">
        <f aca="false">IFERROR(VLOOKUP($A7,'319'!$B:$H,7,0),0)</f>
        <v>49122.34</v>
      </c>
    </row>
    <row r="8" customFormat="false" ht="14.4" hidden="false" customHeight="false" outlineLevel="0" collapsed="false">
      <c r="A8" s="48" t="n">
        <v>1274396000713</v>
      </c>
      <c r="B8" s="49" t="s">
        <v>2775</v>
      </c>
      <c r="C8" s="49" t="s">
        <v>25</v>
      </c>
      <c r="D8" s="49" t="s">
        <v>2781</v>
      </c>
      <c r="E8" s="49" t="s">
        <v>207</v>
      </c>
      <c r="F8" s="50" t="n">
        <f aca="false">VLOOKUP(C8,'Top Redes'!A:D,4,0)</f>
        <v>119452.20395</v>
      </c>
      <c r="G8" s="50" t="n">
        <f aca="false">IFERROR(VLOOKUP($A8,'319'!$B:$H,7,0),0)</f>
        <v>7357.77</v>
      </c>
    </row>
    <row r="9" customFormat="false" ht="14.4" hidden="false" customHeight="false" outlineLevel="0" collapsed="false">
      <c r="A9" s="48" t="n">
        <v>1274396000802</v>
      </c>
      <c r="B9" s="49" t="s">
        <v>2775</v>
      </c>
      <c r="C9" s="49" t="s">
        <v>25</v>
      </c>
      <c r="D9" s="49" t="s">
        <v>2781</v>
      </c>
      <c r="E9" s="49" t="s">
        <v>213</v>
      </c>
      <c r="F9" s="50" t="n">
        <f aca="false">VLOOKUP(C9,'Top Redes'!A:D,4,0)</f>
        <v>119452.20395</v>
      </c>
      <c r="G9" s="50" t="n">
        <f aca="false">IFERROR(VLOOKUP($A9,'319'!$B:$H,7,0),0)</f>
        <v>9335.77</v>
      </c>
    </row>
    <row r="10" customFormat="false" ht="14.4" hidden="false" customHeight="false" outlineLevel="0" collapsed="false">
      <c r="A10" s="48" t="n">
        <v>1274396000985</v>
      </c>
      <c r="B10" s="49" t="s">
        <v>2775</v>
      </c>
      <c r="C10" s="49" t="s">
        <v>25</v>
      </c>
      <c r="D10" s="49" t="s">
        <v>2775</v>
      </c>
      <c r="E10" s="49" t="s">
        <v>207</v>
      </c>
      <c r="F10" s="50" t="n">
        <f aca="false">VLOOKUP(C10,'Top Redes'!A:D,4,0)</f>
        <v>119452.20395</v>
      </c>
      <c r="G10" s="50" t="n">
        <f aca="false">IFERROR(VLOOKUP($A10,'319'!$B:$H,7,0),0)</f>
        <v>12951.56</v>
      </c>
    </row>
    <row r="11" customFormat="false" ht="14.4" hidden="false" customHeight="false" outlineLevel="0" collapsed="false">
      <c r="A11" s="48" t="n">
        <v>1274396001019</v>
      </c>
      <c r="B11" s="49" t="s">
        <v>2775</v>
      </c>
      <c r="C11" s="49" t="s">
        <v>25</v>
      </c>
      <c r="D11" s="49" t="s">
        <v>2780</v>
      </c>
      <c r="E11" s="49" t="s">
        <v>192</v>
      </c>
      <c r="F11" s="50" t="n">
        <f aca="false">VLOOKUP(C11,'Top Redes'!A:D,4,0)</f>
        <v>119452.20395</v>
      </c>
      <c r="G11" s="50" t="n">
        <f aca="false">IFERROR(VLOOKUP($A11,'319'!$B:$H,7,0),0)</f>
        <v>35735.35</v>
      </c>
    </row>
    <row r="12" customFormat="false" ht="14.4" hidden="false" customHeight="false" outlineLevel="0" collapsed="false">
      <c r="A12" s="48" t="n">
        <v>2318826000129</v>
      </c>
      <c r="B12" s="49" t="s">
        <v>471</v>
      </c>
      <c r="C12" s="49" t="s">
        <v>19</v>
      </c>
      <c r="D12" s="49" t="s">
        <v>2782</v>
      </c>
      <c r="E12" s="49" t="s">
        <v>475</v>
      </c>
      <c r="F12" s="50" t="n">
        <f aca="false">VLOOKUP(C12,'Top Redes'!A:D,4,0)</f>
        <v>624018.30218</v>
      </c>
      <c r="G12" s="50" t="n">
        <f aca="false">IFERROR(VLOOKUP($A12,'319'!$B:$H,7,0),0)</f>
        <v>40129.08</v>
      </c>
    </row>
    <row r="13" customFormat="false" ht="14.4" hidden="false" customHeight="false" outlineLevel="0" collapsed="false">
      <c r="A13" s="48" t="n">
        <v>2318826000200</v>
      </c>
      <c r="B13" s="49" t="s">
        <v>471</v>
      </c>
      <c r="C13" s="49" t="s">
        <v>19</v>
      </c>
      <c r="D13" s="49" t="s">
        <v>2783</v>
      </c>
      <c r="E13" s="49" t="s">
        <v>139</v>
      </c>
      <c r="F13" s="50" t="n">
        <f aca="false">VLOOKUP(C13,'Top Redes'!A:D,4,0)</f>
        <v>624018.30218</v>
      </c>
      <c r="G13" s="50" t="n">
        <f aca="false">IFERROR(VLOOKUP($A13,'319'!$B:$H,7,0),0)</f>
        <v>221339.41</v>
      </c>
    </row>
    <row r="14" customFormat="false" ht="14.4" hidden="false" customHeight="false" outlineLevel="0" collapsed="false">
      <c r="A14" s="48" t="n">
        <v>2318826000390</v>
      </c>
      <c r="B14" s="49" t="s">
        <v>471</v>
      </c>
      <c r="C14" s="49" t="s">
        <v>19</v>
      </c>
      <c r="D14" s="49" t="s">
        <v>2784</v>
      </c>
      <c r="E14" s="49" t="s">
        <v>336</v>
      </c>
      <c r="F14" s="50" t="n">
        <f aca="false">VLOOKUP(C14,'Top Redes'!A:D,4,0)</f>
        <v>624018.30218</v>
      </c>
      <c r="G14" s="50" t="n">
        <f aca="false">IFERROR(VLOOKUP($A14,'319'!$B:$H,7,0),0)</f>
        <v>64515.33</v>
      </c>
    </row>
    <row r="15" customFormat="false" ht="14.4" hidden="false" customHeight="false" outlineLevel="0" collapsed="false">
      <c r="A15" s="48" t="n">
        <v>2318826000633</v>
      </c>
      <c r="B15" s="49" t="s">
        <v>471</v>
      </c>
      <c r="C15" s="49" t="s">
        <v>19</v>
      </c>
      <c r="D15" s="49" t="s">
        <v>2785</v>
      </c>
      <c r="E15" s="49" t="s">
        <v>475</v>
      </c>
      <c r="F15" s="50" t="n">
        <f aca="false">VLOOKUP(C15,'Top Redes'!A:D,4,0)</f>
        <v>624018.30218</v>
      </c>
      <c r="G15" s="50" t="n">
        <f aca="false">IFERROR(VLOOKUP($A15,'319'!$B:$H,7,0),0)</f>
        <v>84468.68</v>
      </c>
    </row>
    <row r="16" customFormat="false" ht="14.4" hidden="false" customHeight="false" outlineLevel="0" collapsed="false">
      <c r="A16" s="48" t="n">
        <v>2318826000714</v>
      </c>
      <c r="B16" s="49" t="s">
        <v>471</v>
      </c>
      <c r="C16" s="49" t="s">
        <v>19</v>
      </c>
      <c r="D16" s="49" t="s">
        <v>2786</v>
      </c>
      <c r="E16" s="49" t="s">
        <v>213</v>
      </c>
      <c r="F16" s="50" t="n">
        <f aca="false">VLOOKUP(C16,'Top Redes'!A:D,4,0)</f>
        <v>624018.30218</v>
      </c>
      <c r="G16" s="50" t="n">
        <f aca="false">IFERROR(VLOOKUP($A16,'319'!$B:$H,7,0),0)</f>
        <v>42022.57</v>
      </c>
    </row>
    <row r="17" customFormat="false" ht="14.4" hidden="false" customHeight="false" outlineLevel="0" collapsed="false">
      <c r="A17" s="48" t="n">
        <v>2318826000986</v>
      </c>
      <c r="B17" s="49" t="s">
        <v>471</v>
      </c>
      <c r="C17" s="49" t="s">
        <v>19</v>
      </c>
      <c r="D17" s="49" t="s">
        <v>2786</v>
      </c>
      <c r="E17" s="49" t="s">
        <v>473</v>
      </c>
      <c r="F17" s="50" t="n">
        <f aca="false">VLOOKUP(C17,'Top Redes'!A:D,4,0)</f>
        <v>624018.30218</v>
      </c>
      <c r="G17" s="50" t="n">
        <f aca="false">IFERROR(VLOOKUP($A17,'319'!$B:$H,7,0),0)</f>
        <v>17444.01</v>
      </c>
    </row>
    <row r="18" customFormat="false" ht="14.4" hidden="false" customHeight="false" outlineLevel="0" collapsed="false">
      <c r="A18" s="48" t="n">
        <v>2318826001010</v>
      </c>
      <c r="B18" s="49" t="s">
        <v>471</v>
      </c>
      <c r="C18" s="49" t="s">
        <v>19</v>
      </c>
      <c r="D18" s="49" t="s">
        <v>2787</v>
      </c>
      <c r="E18" s="49" t="s">
        <v>473</v>
      </c>
      <c r="F18" s="50" t="n">
        <f aca="false">VLOOKUP(C18,'Top Redes'!A:D,4,0)</f>
        <v>624018.30218</v>
      </c>
      <c r="G18" s="50" t="n">
        <f aca="false">IFERROR(VLOOKUP($A18,'319'!$B:$H,7,0),0)</f>
        <v>16844.9</v>
      </c>
    </row>
    <row r="19" customFormat="false" ht="14.4" hidden="false" customHeight="false" outlineLevel="0" collapsed="false">
      <c r="A19" s="48" t="n">
        <v>2318826001109</v>
      </c>
      <c r="B19" s="49" t="s">
        <v>471</v>
      </c>
      <c r="C19" s="49" t="s">
        <v>19</v>
      </c>
      <c r="D19" s="49" t="s">
        <v>2788</v>
      </c>
      <c r="E19" s="49" t="s">
        <v>139</v>
      </c>
      <c r="F19" s="50" t="n">
        <f aca="false">VLOOKUP(C19,'Top Redes'!A:D,4,0)</f>
        <v>624018.30218</v>
      </c>
      <c r="G19" s="50" t="n">
        <f aca="false">IFERROR(VLOOKUP($A19,'319'!$B:$H,7,0),0)</f>
        <v>26441.07</v>
      </c>
    </row>
    <row r="20" customFormat="false" ht="14.4" hidden="false" customHeight="false" outlineLevel="0" collapsed="false">
      <c r="A20" s="48" t="n">
        <v>3863081000141</v>
      </c>
      <c r="B20" s="49" t="s">
        <v>2789</v>
      </c>
      <c r="C20" s="49" t="s">
        <v>33</v>
      </c>
      <c r="D20" s="49" t="s">
        <v>2790</v>
      </c>
      <c r="E20" s="49" t="s">
        <v>107</v>
      </c>
      <c r="F20" s="50" t="n">
        <f aca="false">VLOOKUP(C20,'Top Redes'!A:D,4,0)</f>
        <v>53172.7037</v>
      </c>
      <c r="G20" s="50" t="n">
        <f aca="false">IFERROR(VLOOKUP($A20,'319'!$B:$H,7,0),0)</f>
        <v>0</v>
      </c>
    </row>
    <row r="21" customFormat="false" ht="14.4" hidden="false" customHeight="false" outlineLevel="0" collapsed="false">
      <c r="A21" s="48" t="n">
        <v>4265309000164</v>
      </c>
      <c r="B21" s="49" t="s">
        <v>2791</v>
      </c>
      <c r="C21" s="49" t="s">
        <v>28</v>
      </c>
      <c r="D21" s="49" t="s">
        <v>2792</v>
      </c>
      <c r="E21" s="49" t="s">
        <v>213</v>
      </c>
      <c r="F21" s="50" t="n">
        <f aca="false">VLOOKUP(C21,'Top Redes'!A:D,4,0)</f>
        <v>47842.230975</v>
      </c>
      <c r="G21" s="50" t="n">
        <f aca="false">IFERROR(VLOOKUP($A21,'319'!$B:$H,7,0),0)</f>
        <v>0</v>
      </c>
    </row>
    <row r="22" customFormat="false" ht="14.4" hidden="false" customHeight="false" outlineLevel="0" collapsed="false">
      <c r="A22" s="48" t="n">
        <v>4265309000407</v>
      </c>
      <c r="B22" s="49" t="s">
        <v>2791</v>
      </c>
      <c r="C22" s="49" t="s">
        <v>28</v>
      </c>
      <c r="D22" s="49" t="s">
        <v>2793</v>
      </c>
      <c r="E22" s="49" t="s">
        <v>1272</v>
      </c>
      <c r="F22" s="50" t="n">
        <f aca="false">VLOOKUP(C22,'Top Redes'!A:D,4,0)</f>
        <v>47842.230975</v>
      </c>
      <c r="G22" s="50" t="n">
        <f aca="false">IFERROR(VLOOKUP($A22,'319'!$B:$H,7,0),0)</f>
        <v>0</v>
      </c>
    </row>
    <row r="23" customFormat="false" ht="14.4" hidden="false" customHeight="false" outlineLevel="0" collapsed="false">
      <c r="A23" s="48" t="n">
        <v>4757459000357</v>
      </c>
      <c r="B23" s="49" t="s">
        <v>2794</v>
      </c>
      <c r="C23" s="49" t="s">
        <v>18</v>
      </c>
      <c r="D23" s="49" t="s">
        <v>2795</v>
      </c>
      <c r="E23" s="49" t="s">
        <v>935</v>
      </c>
      <c r="F23" s="50" t="n">
        <f aca="false">VLOOKUP(C23,'Top Redes'!A:D,4,0)</f>
        <v>884542.962790001</v>
      </c>
      <c r="G23" s="50" t="n">
        <f aca="false">IFERROR(VLOOKUP($A23,'319'!$B:$H,7,0),0)</f>
        <v>0</v>
      </c>
    </row>
    <row r="24" customFormat="false" ht="14.4" hidden="false" customHeight="false" outlineLevel="0" collapsed="false">
      <c r="A24" s="48" t="n">
        <v>4757459000438</v>
      </c>
      <c r="B24" s="49" t="s">
        <v>2796</v>
      </c>
      <c r="C24" s="49" t="s">
        <v>18</v>
      </c>
      <c r="D24" s="49" t="s">
        <v>2797</v>
      </c>
      <c r="E24" s="49" t="s">
        <v>107</v>
      </c>
      <c r="F24" s="50" t="n">
        <f aca="false">VLOOKUP(C24,'Top Redes'!A:D,4,0)</f>
        <v>884542.962790001</v>
      </c>
      <c r="G24" s="50" t="n">
        <f aca="false">IFERROR(VLOOKUP($A24,'319'!$B:$H,7,0),0)</f>
        <v>-242.94</v>
      </c>
    </row>
    <row r="25" customFormat="false" ht="14.4" hidden="false" customHeight="false" outlineLevel="0" collapsed="false">
      <c r="A25" s="48" t="n">
        <v>4757459000519</v>
      </c>
      <c r="B25" s="49" t="s">
        <v>2798</v>
      </c>
      <c r="C25" s="49" t="s">
        <v>18</v>
      </c>
      <c r="D25" s="49" t="s">
        <v>2799</v>
      </c>
      <c r="E25" s="49" t="s">
        <v>107</v>
      </c>
      <c r="F25" s="50" t="n">
        <f aca="false">VLOOKUP(C25,'Top Redes'!A:D,4,0)</f>
        <v>884542.962790001</v>
      </c>
      <c r="G25" s="50" t="n">
        <f aca="false">IFERROR(VLOOKUP($A25,'319'!$B:$H,7,0),0)</f>
        <v>1097650.09</v>
      </c>
    </row>
    <row r="26" customFormat="false" ht="14.4" hidden="false" customHeight="false" outlineLevel="0" collapsed="false">
      <c r="A26" s="48" t="n">
        <v>4757459000780</v>
      </c>
      <c r="B26" s="49" t="s">
        <v>2800</v>
      </c>
      <c r="C26" s="49" t="s">
        <v>18</v>
      </c>
      <c r="D26" s="49" t="s">
        <v>2801</v>
      </c>
      <c r="E26" s="49" t="s">
        <v>107</v>
      </c>
      <c r="F26" s="50" t="n">
        <f aca="false">VLOOKUP(C26,'Top Redes'!A:D,4,0)</f>
        <v>884542.962790001</v>
      </c>
      <c r="G26" s="50" t="n">
        <f aca="false">IFERROR(VLOOKUP($A26,'319'!$B:$H,7,0),0)</f>
        <v>0</v>
      </c>
    </row>
    <row r="27" customFormat="false" ht="14.4" hidden="false" customHeight="false" outlineLevel="0" collapsed="false">
      <c r="A27" s="48" t="n">
        <v>4757459000942</v>
      </c>
      <c r="B27" s="49" t="s">
        <v>2802</v>
      </c>
      <c r="C27" s="49" t="s">
        <v>18</v>
      </c>
      <c r="D27" s="49" t="s">
        <v>2803</v>
      </c>
      <c r="E27" s="49" t="s">
        <v>107</v>
      </c>
      <c r="F27" s="50" t="n">
        <f aca="false">VLOOKUP(C27,'Top Redes'!A:D,4,0)</f>
        <v>884542.962790001</v>
      </c>
      <c r="G27" s="50" t="n">
        <f aca="false">IFERROR(VLOOKUP($A27,'319'!$B:$H,7,0),0)</f>
        <v>0</v>
      </c>
    </row>
    <row r="28" customFormat="false" ht="14.4" hidden="false" customHeight="false" outlineLevel="0" collapsed="false">
      <c r="A28" s="48" t="n">
        <v>4757459001248</v>
      </c>
      <c r="B28" s="49" t="s">
        <v>2804</v>
      </c>
      <c r="C28" s="49" t="s">
        <v>18</v>
      </c>
      <c r="D28" s="49" t="s">
        <v>2805</v>
      </c>
      <c r="E28" s="49" t="s">
        <v>604</v>
      </c>
      <c r="F28" s="50" t="n">
        <f aca="false">VLOOKUP(C28,'Top Redes'!A:D,4,0)</f>
        <v>884542.962790001</v>
      </c>
      <c r="G28" s="50" t="n">
        <f aca="false">IFERROR(VLOOKUP($A28,'319'!$B:$H,7,0),0)</f>
        <v>-82.32</v>
      </c>
    </row>
    <row r="29" customFormat="false" ht="14.4" hidden="false" customHeight="false" outlineLevel="0" collapsed="false">
      <c r="A29" s="48" t="n">
        <v>4757459001400</v>
      </c>
      <c r="B29" s="49" t="s">
        <v>2806</v>
      </c>
      <c r="C29" s="49" t="s">
        <v>18</v>
      </c>
      <c r="D29" s="49" t="s">
        <v>2807</v>
      </c>
      <c r="E29" s="49" t="s">
        <v>107</v>
      </c>
      <c r="F29" s="50" t="n">
        <f aca="false">VLOOKUP(C29,'Top Redes'!A:D,4,0)</f>
        <v>884542.962790001</v>
      </c>
      <c r="G29" s="50" t="n">
        <f aca="false">IFERROR(VLOOKUP($A29,'319'!$B:$H,7,0),0)</f>
        <v>-242.94</v>
      </c>
    </row>
    <row r="30" customFormat="false" ht="14.4" hidden="false" customHeight="false" outlineLevel="0" collapsed="false">
      <c r="A30" s="48" t="n">
        <v>4757459001671</v>
      </c>
      <c r="B30" s="49" t="s">
        <v>2808</v>
      </c>
      <c r="C30" s="49" t="s">
        <v>18</v>
      </c>
      <c r="D30" s="49" t="s">
        <v>2809</v>
      </c>
      <c r="E30" s="49" t="s">
        <v>604</v>
      </c>
      <c r="F30" s="50" t="n">
        <f aca="false">VLOOKUP(C30,'Top Redes'!A:D,4,0)</f>
        <v>884542.962790001</v>
      </c>
      <c r="G30" s="50" t="n">
        <f aca="false">IFERROR(VLOOKUP($A30,'319'!$B:$H,7,0),0)</f>
        <v>0</v>
      </c>
    </row>
    <row r="31" customFormat="false" ht="14.4" hidden="false" customHeight="false" outlineLevel="0" collapsed="false">
      <c r="A31" s="48" t="n">
        <v>4757459001752</v>
      </c>
      <c r="B31" s="49" t="s">
        <v>2810</v>
      </c>
      <c r="C31" s="49" t="s">
        <v>18</v>
      </c>
      <c r="D31" s="49" t="s">
        <v>2811</v>
      </c>
      <c r="E31" s="49" t="s">
        <v>979</v>
      </c>
      <c r="F31" s="50" t="n">
        <f aca="false">VLOOKUP(C31,'Top Redes'!A:D,4,0)</f>
        <v>884542.962790001</v>
      </c>
      <c r="G31" s="50" t="n">
        <f aca="false">IFERROR(VLOOKUP($A31,'319'!$B:$H,7,0),0)</f>
        <v>0</v>
      </c>
    </row>
    <row r="32" customFormat="false" ht="14.4" hidden="false" customHeight="false" outlineLevel="0" collapsed="false">
      <c r="A32" s="48" t="n">
        <v>4757459001914</v>
      </c>
      <c r="B32" s="49" t="s">
        <v>2812</v>
      </c>
      <c r="C32" s="49" t="s">
        <v>18</v>
      </c>
      <c r="D32" s="49" t="s">
        <v>2813</v>
      </c>
      <c r="E32" s="49" t="s">
        <v>107</v>
      </c>
      <c r="F32" s="50" t="n">
        <f aca="false">VLOOKUP(C32,'Top Redes'!A:D,4,0)</f>
        <v>884542.962790001</v>
      </c>
      <c r="G32" s="50" t="n">
        <f aca="false">IFERROR(VLOOKUP($A32,'319'!$B:$H,7,0),0)</f>
        <v>-242.94</v>
      </c>
    </row>
    <row r="33" customFormat="false" ht="14.4" hidden="false" customHeight="false" outlineLevel="0" collapsed="false">
      <c r="A33" s="48" t="n">
        <v>4757459002058</v>
      </c>
      <c r="B33" s="49" t="s">
        <v>2814</v>
      </c>
      <c r="C33" s="49" t="s">
        <v>18</v>
      </c>
      <c r="D33" s="49" t="s">
        <v>2815</v>
      </c>
      <c r="E33" s="49" t="s">
        <v>594</v>
      </c>
      <c r="F33" s="50" t="n">
        <f aca="false">VLOOKUP(C33,'Top Redes'!A:D,4,0)</f>
        <v>884542.962790001</v>
      </c>
      <c r="G33" s="50" t="n">
        <f aca="false">IFERROR(VLOOKUP($A33,'319'!$B:$H,7,0),0)</f>
        <v>0</v>
      </c>
    </row>
    <row r="34" customFormat="false" ht="14.4" hidden="false" customHeight="false" outlineLevel="0" collapsed="false">
      <c r="A34" s="48" t="n">
        <v>4757459002481</v>
      </c>
      <c r="B34" s="49" t="s">
        <v>2816</v>
      </c>
      <c r="C34" s="49" t="s">
        <v>18</v>
      </c>
      <c r="D34" s="49" t="s">
        <v>2817</v>
      </c>
      <c r="E34" s="49" t="s">
        <v>342</v>
      </c>
      <c r="F34" s="50" t="n">
        <f aca="false">VLOOKUP(C34,'Top Redes'!A:D,4,0)</f>
        <v>884542.962790001</v>
      </c>
      <c r="G34" s="50" t="n">
        <f aca="false">IFERROR(VLOOKUP($A34,'319'!$B:$H,7,0),0)</f>
        <v>0</v>
      </c>
    </row>
    <row r="35" customFormat="false" ht="14.4" hidden="false" customHeight="false" outlineLevel="0" collapsed="false">
      <c r="A35" s="48" t="n">
        <v>4757459002562</v>
      </c>
      <c r="B35" s="49" t="s">
        <v>2818</v>
      </c>
      <c r="C35" s="49" t="s">
        <v>18</v>
      </c>
      <c r="D35" s="49" t="s">
        <v>2819</v>
      </c>
      <c r="E35" s="49" t="s">
        <v>117</v>
      </c>
      <c r="F35" s="50" t="n">
        <f aca="false">VLOOKUP(C35,'Top Redes'!A:D,4,0)</f>
        <v>884542.962790001</v>
      </c>
      <c r="G35" s="50" t="n">
        <f aca="false">IFERROR(VLOOKUP($A35,'319'!$B:$H,7,0),0)</f>
        <v>0</v>
      </c>
    </row>
    <row r="36" customFormat="false" ht="14.4" hidden="false" customHeight="false" outlineLevel="0" collapsed="false">
      <c r="A36" s="48" t="n">
        <v>4757459002643</v>
      </c>
      <c r="B36" s="49" t="s">
        <v>2820</v>
      </c>
      <c r="C36" s="49" t="s">
        <v>18</v>
      </c>
      <c r="D36" s="49" t="s">
        <v>2821</v>
      </c>
      <c r="E36" s="49" t="s">
        <v>103</v>
      </c>
      <c r="F36" s="50" t="n">
        <f aca="false">VLOOKUP(C36,'Top Redes'!A:D,4,0)</f>
        <v>884542.962790001</v>
      </c>
      <c r="G36" s="50" t="n">
        <f aca="false">IFERROR(VLOOKUP($A36,'319'!$B:$H,7,0),0)</f>
        <v>0</v>
      </c>
    </row>
    <row r="37" customFormat="false" ht="14.4" hidden="false" customHeight="false" outlineLevel="0" collapsed="false">
      <c r="A37" s="48" t="n">
        <v>4757459002724</v>
      </c>
      <c r="B37" s="49" t="s">
        <v>2822</v>
      </c>
      <c r="C37" s="49" t="s">
        <v>18</v>
      </c>
      <c r="D37" s="49" t="s">
        <v>2823</v>
      </c>
      <c r="E37" s="49" t="s">
        <v>103</v>
      </c>
      <c r="F37" s="50" t="n">
        <f aca="false">VLOOKUP(C37,'Top Redes'!A:D,4,0)</f>
        <v>884542.962790001</v>
      </c>
      <c r="G37" s="50" t="n">
        <f aca="false">IFERROR(VLOOKUP($A37,'319'!$B:$H,7,0),0)</f>
        <v>0</v>
      </c>
    </row>
    <row r="38" customFormat="false" ht="14.4" hidden="false" customHeight="false" outlineLevel="0" collapsed="false">
      <c r="A38" s="48" t="n">
        <v>4757459002805</v>
      </c>
      <c r="B38" s="49" t="s">
        <v>2824</v>
      </c>
      <c r="C38" s="49" t="s">
        <v>18</v>
      </c>
      <c r="D38" s="49" t="s">
        <v>2825</v>
      </c>
      <c r="E38" s="49" t="s">
        <v>604</v>
      </c>
      <c r="F38" s="50" t="n">
        <f aca="false">VLOOKUP(C38,'Top Redes'!A:D,4,0)</f>
        <v>884542.962790001</v>
      </c>
      <c r="G38" s="50" t="n">
        <f aca="false">IFERROR(VLOOKUP($A38,'319'!$B:$H,7,0),0)</f>
        <v>-82.32</v>
      </c>
    </row>
    <row r="39" customFormat="false" ht="14.4" hidden="false" customHeight="false" outlineLevel="0" collapsed="false">
      <c r="A39" s="48" t="n">
        <v>4757459002996</v>
      </c>
      <c r="B39" s="49" t="s">
        <v>2826</v>
      </c>
      <c r="C39" s="49" t="s">
        <v>18</v>
      </c>
      <c r="D39" s="49" t="s">
        <v>2827</v>
      </c>
      <c r="E39" s="49" t="s">
        <v>631</v>
      </c>
      <c r="F39" s="50" t="n">
        <f aca="false">VLOOKUP(C39,'Top Redes'!A:D,4,0)</f>
        <v>884542.962790001</v>
      </c>
      <c r="G39" s="50" t="n">
        <f aca="false">IFERROR(VLOOKUP($A39,'319'!$B:$H,7,0),0)</f>
        <v>-266.04</v>
      </c>
    </row>
    <row r="40" customFormat="false" ht="14.4" hidden="false" customHeight="false" outlineLevel="0" collapsed="false">
      <c r="A40" s="48" t="n">
        <v>4757459003100</v>
      </c>
      <c r="B40" s="49" t="s">
        <v>2828</v>
      </c>
      <c r="C40" s="49" t="s">
        <v>18</v>
      </c>
      <c r="D40" s="49" t="s">
        <v>2829</v>
      </c>
      <c r="E40" s="49" t="s">
        <v>107</v>
      </c>
      <c r="F40" s="50" t="n">
        <f aca="false">VLOOKUP(C40,'Top Redes'!A:D,4,0)</f>
        <v>884542.962790001</v>
      </c>
      <c r="G40" s="50" t="n">
        <f aca="false">IFERROR(VLOOKUP($A40,'319'!$B:$H,7,0),0)</f>
        <v>0</v>
      </c>
    </row>
    <row r="41" customFormat="false" ht="14.4" hidden="false" customHeight="false" outlineLevel="0" collapsed="false">
      <c r="A41" s="48" t="n">
        <v>4757459003291</v>
      </c>
      <c r="B41" s="49" t="s">
        <v>2830</v>
      </c>
      <c r="C41" s="49" t="s">
        <v>18</v>
      </c>
      <c r="D41" s="49" t="s">
        <v>2831</v>
      </c>
      <c r="E41" s="49" t="s">
        <v>463</v>
      </c>
      <c r="F41" s="50" t="n">
        <f aca="false">VLOOKUP(C41,'Top Redes'!A:D,4,0)</f>
        <v>884542.962790001</v>
      </c>
      <c r="G41" s="50" t="n">
        <f aca="false">IFERROR(VLOOKUP($A41,'319'!$B:$H,7,0),0)</f>
        <v>-82.32</v>
      </c>
    </row>
    <row r="42" customFormat="false" ht="14.4" hidden="false" customHeight="false" outlineLevel="0" collapsed="false">
      <c r="A42" s="48" t="n">
        <v>4757459003372</v>
      </c>
      <c r="B42" s="49" t="s">
        <v>2832</v>
      </c>
      <c r="C42" s="49" t="s">
        <v>18</v>
      </c>
      <c r="D42" s="49" t="s">
        <v>2833</v>
      </c>
      <c r="E42" s="49" t="s">
        <v>107</v>
      </c>
      <c r="F42" s="50" t="n">
        <f aca="false">VLOOKUP(C42,'Top Redes'!A:D,4,0)</f>
        <v>884542.962790001</v>
      </c>
      <c r="G42" s="50" t="n">
        <f aca="false">IFERROR(VLOOKUP($A42,'319'!$B:$H,7,0),0)</f>
        <v>0</v>
      </c>
    </row>
    <row r="43" customFormat="false" ht="14.4" hidden="false" customHeight="false" outlineLevel="0" collapsed="false">
      <c r="A43" s="48" t="n">
        <v>4757459003453</v>
      </c>
      <c r="B43" s="49" t="s">
        <v>2834</v>
      </c>
      <c r="C43" s="49" t="s">
        <v>18</v>
      </c>
      <c r="D43" s="49" t="s">
        <v>2835</v>
      </c>
      <c r="E43" s="49" t="s">
        <v>103</v>
      </c>
      <c r="F43" s="50" t="n">
        <f aca="false">VLOOKUP(C43,'Top Redes'!A:D,4,0)</f>
        <v>884542.962790001</v>
      </c>
      <c r="G43" s="50" t="n">
        <f aca="false">IFERROR(VLOOKUP($A43,'319'!$B:$H,7,0),0)</f>
        <v>0</v>
      </c>
    </row>
    <row r="44" customFormat="false" ht="14.4" hidden="false" customHeight="false" outlineLevel="0" collapsed="false">
      <c r="A44" s="48" t="n">
        <v>4757459003704</v>
      </c>
      <c r="B44" s="49" t="s">
        <v>2836</v>
      </c>
      <c r="C44" s="49" t="s">
        <v>18</v>
      </c>
      <c r="D44" s="49" t="s">
        <v>2837</v>
      </c>
      <c r="E44" s="49" t="s">
        <v>351</v>
      </c>
      <c r="F44" s="50" t="n">
        <f aca="false">VLOOKUP(C44,'Top Redes'!A:D,4,0)</f>
        <v>884542.962790001</v>
      </c>
      <c r="G44" s="50" t="n">
        <f aca="false">IFERROR(VLOOKUP($A44,'319'!$B:$H,7,0),0)</f>
        <v>0</v>
      </c>
    </row>
    <row r="45" customFormat="false" ht="14.4" hidden="false" customHeight="false" outlineLevel="0" collapsed="false">
      <c r="A45" s="48" t="n">
        <v>4757459003887</v>
      </c>
      <c r="B45" s="49" t="s">
        <v>2838</v>
      </c>
      <c r="C45" s="49" t="s">
        <v>18</v>
      </c>
      <c r="D45" s="49" t="s">
        <v>2839</v>
      </c>
      <c r="E45" s="49" t="s">
        <v>357</v>
      </c>
      <c r="F45" s="50" t="n">
        <f aca="false">VLOOKUP(C45,'Top Redes'!A:D,4,0)</f>
        <v>884542.962790001</v>
      </c>
      <c r="G45" s="50" t="n">
        <f aca="false">IFERROR(VLOOKUP($A45,'319'!$B:$H,7,0),0)</f>
        <v>0</v>
      </c>
    </row>
    <row r="46" customFormat="false" ht="14.4" hidden="false" customHeight="false" outlineLevel="0" collapsed="false">
      <c r="A46" s="48" t="n">
        <v>4757459003968</v>
      </c>
      <c r="B46" s="49" t="s">
        <v>2840</v>
      </c>
      <c r="C46" s="49" t="s">
        <v>18</v>
      </c>
      <c r="D46" s="49" t="s">
        <v>2841</v>
      </c>
      <c r="E46" s="49" t="s">
        <v>107</v>
      </c>
      <c r="F46" s="50" t="n">
        <f aca="false">VLOOKUP(C46,'Top Redes'!A:D,4,0)</f>
        <v>884542.962790001</v>
      </c>
      <c r="G46" s="50" t="n">
        <f aca="false">IFERROR(VLOOKUP($A46,'319'!$B:$H,7,0),0)</f>
        <v>-242.94</v>
      </c>
    </row>
    <row r="47" customFormat="false" ht="14.4" hidden="false" customHeight="false" outlineLevel="0" collapsed="false">
      <c r="A47" s="48" t="n">
        <v>4757459004000</v>
      </c>
      <c r="B47" s="49" t="s">
        <v>2842</v>
      </c>
      <c r="C47" s="49" t="s">
        <v>18</v>
      </c>
      <c r="D47" s="49" t="s">
        <v>2843</v>
      </c>
      <c r="E47" s="49" t="s">
        <v>192</v>
      </c>
      <c r="F47" s="50" t="n">
        <f aca="false">VLOOKUP(C47,'Top Redes'!A:D,4,0)</f>
        <v>884542.962790001</v>
      </c>
      <c r="G47" s="50" t="n">
        <f aca="false">IFERROR(VLOOKUP($A47,'319'!$B:$H,7,0),0)</f>
        <v>-242.94</v>
      </c>
    </row>
    <row r="48" customFormat="false" ht="14.4" hidden="false" customHeight="false" outlineLevel="0" collapsed="false">
      <c r="A48" s="48" t="n">
        <v>4822179000113</v>
      </c>
      <c r="B48" s="49" t="s">
        <v>2844</v>
      </c>
      <c r="C48" s="49" t="s">
        <v>30</v>
      </c>
      <c r="D48" s="49" t="s">
        <v>2845</v>
      </c>
      <c r="E48" s="49" t="s">
        <v>77</v>
      </c>
      <c r="F48" s="50" t="n">
        <f aca="false">VLOOKUP(C48,'Top Redes'!A:D,4,0)</f>
        <v>107170.42605</v>
      </c>
      <c r="G48" s="50" t="n">
        <f aca="false">IFERROR(VLOOKUP($A48,'319'!$B:$H,7,0),0)</f>
        <v>175918.17</v>
      </c>
    </row>
    <row r="49" customFormat="false" ht="14.4" hidden="false" customHeight="false" outlineLevel="0" collapsed="false">
      <c r="A49" s="48" t="n">
        <v>5318045000122</v>
      </c>
      <c r="B49" s="49" t="s">
        <v>378</v>
      </c>
      <c r="C49" s="49" t="s">
        <v>37</v>
      </c>
      <c r="D49" s="49" t="s">
        <v>2846</v>
      </c>
      <c r="E49" s="49" t="s">
        <v>377</v>
      </c>
      <c r="F49" s="50" t="n">
        <f aca="false">VLOOKUP(C49,'Top Redes'!A:D,4,0)</f>
        <v>27465.830285</v>
      </c>
      <c r="G49" s="50" t="n">
        <f aca="false">IFERROR(VLOOKUP($A49,'319'!$B:$H,7,0),0)</f>
        <v>26641.48</v>
      </c>
    </row>
    <row r="50" customFormat="false" ht="14.4" hidden="false" customHeight="false" outlineLevel="0" collapsed="false">
      <c r="A50" s="48" t="n">
        <v>5318045000203</v>
      </c>
      <c r="B50" s="49" t="s">
        <v>378</v>
      </c>
      <c r="C50" s="49" t="s">
        <v>37</v>
      </c>
      <c r="D50" s="49" t="s">
        <v>2847</v>
      </c>
      <c r="E50" s="49" t="s">
        <v>351</v>
      </c>
      <c r="F50" s="50" t="n">
        <f aca="false">VLOOKUP(C50,'Top Redes'!A:D,4,0)</f>
        <v>27465.830285</v>
      </c>
      <c r="G50" s="50" t="n">
        <f aca="false">IFERROR(VLOOKUP($A50,'319'!$B:$H,7,0),0)</f>
        <v>19551.53</v>
      </c>
    </row>
    <row r="51" customFormat="false" ht="14.4" hidden="false" customHeight="false" outlineLevel="0" collapsed="false">
      <c r="A51" s="48" t="n">
        <v>5318045000394</v>
      </c>
      <c r="B51" s="49" t="s">
        <v>378</v>
      </c>
      <c r="C51" s="49" t="s">
        <v>37</v>
      </c>
      <c r="D51" s="49" t="s">
        <v>2848</v>
      </c>
      <c r="E51" s="49" t="s">
        <v>377</v>
      </c>
      <c r="F51" s="50" t="n">
        <f aca="false">VLOOKUP(C51,'Top Redes'!A:D,4,0)</f>
        <v>27465.830285</v>
      </c>
      <c r="G51" s="50" t="n">
        <f aca="false">IFERROR(VLOOKUP($A51,'319'!$B:$H,7,0),0)</f>
        <v>9175.46</v>
      </c>
    </row>
    <row r="52" customFormat="false" ht="14.4" hidden="false" customHeight="false" outlineLevel="0" collapsed="false">
      <c r="A52" s="48" t="n">
        <v>5348350000167</v>
      </c>
      <c r="B52" s="49" t="s">
        <v>2849</v>
      </c>
      <c r="C52" s="49" t="s">
        <v>29</v>
      </c>
      <c r="D52" s="49" t="s">
        <v>2850</v>
      </c>
      <c r="E52" s="49" t="s">
        <v>192</v>
      </c>
      <c r="F52" s="50" t="n">
        <f aca="false">VLOOKUP(C52,'Top Redes'!A:D,4,0)</f>
        <v>53050.67048</v>
      </c>
      <c r="G52" s="50" t="n">
        <f aca="false">IFERROR(VLOOKUP($A52,'319'!$B:$H,7,0),0)</f>
        <v>44277.46</v>
      </c>
    </row>
    <row r="53" customFormat="false" ht="14.4" hidden="false" customHeight="false" outlineLevel="0" collapsed="false">
      <c r="A53" s="48" t="n">
        <v>5348350000248</v>
      </c>
      <c r="B53" s="49" t="s">
        <v>2849</v>
      </c>
      <c r="C53" s="49" t="s">
        <v>29</v>
      </c>
      <c r="D53" s="49" t="s">
        <v>2851</v>
      </c>
      <c r="E53" s="49" t="s">
        <v>192</v>
      </c>
      <c r="F53" s="50" t="n">
        <f aca="false">VLOOKUP(C53,'Top Redes'!A:D,4,0)</f>
        <v>53050.67048</v>
      </c>
      <c r="G53" s="50" t="n">
        <f aca="false">IFERROR(VLOOKUP($A53,'319'!$B:$H,7,0),0)</f>
        <v>16413.74</v>
      </c>
    </row>
    <row r="54" customFormat="false" ht="14.4" hidden="false" customHeight="false" outlineLevel="0" collapsed="false">
      <c r="A54" s="48" t="n">
        <v>5348350000329</v>
      </c>
      <c r="B54" s="49" t="s">
        <v>2849</v>
      </c>
      <c r="C54" s="49" t="s">
        <v>29</v>
      </c>
      <c r="D54" s="49" t="s">
        <v>2852</v>
      </c>
      <c r="E54" s="49" t="s">
        <v>197</v>
      </c>
      <c r="F54" s="50" t="n">
        <f aca="false">VLOOKUP(C54,'Top Redes'!A:D,4,0)</f>
        <v>53050.67048</v>
      </c>
      <c r="G54" s="50" t="n">
        <f aca="false">IFERROR(VLOOKUP($A54,'319'!$B:$H,7,0),0)</f>
        <v>6929.79</v>
      </c>
    </row>
    <row r="55" customFormat="false" ht="14.4" hidden="false" customHeight="false" outlineLevel="0" collapsed="false">
      <c r="A55" s="48" t="n">
        <v>5348350000400</v>
      </c>
      <c r="B55" s="49" t="s">
        <v>2849</v>
      </c>
      <c r="C55" s="49" t="s">
        <v>29</v>
      </c>
      <c r="D55" s="49" t="s">
        <v>2853</v>
      </c>
      <c r="E55" s="49" t="s">
        <v>197</v>
      </c>
      <c r="F55" s="50" t="n">
        <f aca="false">VLOOKUP(C55,'Top Redes'!A:D,4,0)</f>
        <v>53050.67048</v>
      </c>
      <c r="G55" s="50" t="n">
        <f aca="false">IFERROR(VLOOKUP($A55,'319'!$B:$H,7,0),0)</f>
        <v>2318.56</v>
      </c>
    </row>
    <row r="56" customFormat="false" ht="14.4" hidden="false" customHeight="false" outlineLevel="0" collapsed="false">
      <c r="A56" s="48" t="n">
        <v>6813685000171</v>
      </c>
      <c r="B56" s="49" t="s">
        <v>512</v>
      </c>
      <c r="C56" s="49" t="s">
        <v>26</v>
      </c>
      <c r="D56" s="49" t="s">
        <v>2854</v>
      </c>
      <c r="E56" s="49" t="s">
        <v>309</v>
      </c>
      <c r="F56" s="50" t="n">
        <f aca="false">VLOOKUP(C56,'Top Redes'!A:D,4,0)</f>
        <v>58236.697</v>
      </c>
      <c r="G56" s="50" t="n">
        <f aca="false">IFERROR(VLOOKUP($A56,'319'!$B:$H,7,0),0)</f>
        <v>0</v>
      </c>
    </row>
    <row r="57" customFormat="false" ht="14.4" hidden="false" customHeight="false" outlineLevel="0" collapsed="false">
      <c r="A57" s="48" t="n">
        <v>6813685000333</v>
      </c>
      <c r="B57" s="49" t="s">
        <v>512</v>
      </c>
      <c r="C57" s="49" t="s">
        <v>26</v>
      </c>
      <c r="D57" s="49" t="s">
        <v>2854</v>
      </c>
      <c r="E57" s="49" t="s">
        <v>1591</v>
      </c>
      <c r="F57" s="50" t="n">
        <f aca="false">VLOOKUP(C57,'Top Redes'!A:D,4,0)</f>
        <v>58236.697</v>
      </c>
      <c r="G57" s="50" t="n">
        <f aca="false">IFERROR(VLOOKUP($A57,'319'!$B:$H,7,0),0)</f>
        <v>0</v>
      </c>
    </row>
    <row r="58" customFormat="false" ht="14.4" hidden="false" customHeight="false" outlineLevel="0" collapsed="false">
      <c r="A58" s="48" t="n">
        <v>6813685000414</v>
      </c>
      <c r="B58" s="49" t="s">
        <v>512</v>
      </c>
      <c r="C58" s="49" t="s">
        <v>26</v>
      </c>
      <c r="D58" s="49" t="s">
        <v>2855</v>
      </c>
      <c r="E58" s="49" t="s">
        <v>309</v>
      </c>
      <c r="F58" s="50" t="n">
        <f aca="false">VLOOKUP(C58,'Top Redes'!A:D,4,0)</f>
        <v>58236.697</v>
      </c>
      <c r="G58" s="50" t="n">
        <f aca="false">IFERROR(VLOOKUP($A58,'319'!$B:$H,7,0),0)</f>
        <v>0</v>
      </c>
    </row>
    <row r="59" customFormat="false" ht="14.4" hidden="false" customHeight="false" outlineLevel="0" collapsed="false">
      <c r="A59" s="48" t="n">
        <v>6813685000503</v>
      </c>
      <c r="B59" s="49" t="s">
        <v>512</v>
      </c>
      <c r="C59" s="49" t="s">
        <v>26</v>
      </c>
      <c r="D59" s="49" t="s">
        <v>2854</v>
      </c>
      <c r="E59" s="49" t="s">
        <v>309</v>
      </c>
      <c r="F59" s="50" t="n">
        <f aca="false">VLOOKUP(C59,'Top Redes'!A:D,4,0)</f>
        <v>58236.697</v>
      </c>
      <c r="G59" s="50" t="n">
        <f aca="false">IFERROR(VLOOKUP($A59,'319'!$B:$H,7,0),0)</f>
        <v>0</v>
      </c>
    </row>
    <row r="60" customFormat="false" ht="14.4" hidden="false" customHeight="false" outlineLevel="0" collapsed="false">
      <c r="A60" s="48" t="n">
        <v>6813685000767</v>
      </c>
      <c r="B60" s="49" t="s">
        <v>512</v>
      </c>
      <c r="C60" s="49" t="s">
        <v>26</v>
      </c>
      <c r="D60" s="49" t="s">
        <v>2854</v>
      </c>
      <c r="E60" s="49" t="s">
        <v>309</v>
      </c>
      <c r="F60" s="50" t="n">
        <f aca="false">VLOOKUP(C60,'Top Redes'!A:D,4,0)</f>
        <v>58236.697</v>
      </c>
      <c r="G60" s="50" t="n">
        <f aca="false">IFERROR(VLOOKUP($A60,'319'!$B:$H,7,0),0)</f>
        <v>0</v>
      </c>
    </row>
    <row r="61" customFormat="false" ht="14.4" hidden="false" customHeight="false" outlineLevel="0" collapsed="false">
      <c r="A61" s="48" t="n">
        <v>6813685000848</v>
      </c>
      <c r="B61" s="49" t="s">
        <v>512</v>
      </c>
      <c r="C61" s="49" t="s">
        <v>26</v>
      </c>
      <c r="D61" s="49" t="s">
        <v>512</v>
      </c>
      <c r="E61" s="49" t="s">
        <v>309</v>
      </c>
      <c r="F61" s="50" t="n">
        <f aca="false">VLOOKUP(C61,'Top Redes'!A:D,4,0)</f>
        <v>58236.697</v>
      </c>
      <c r="G61" s="50" t="n">
        <f aca="false">IFERROR(VLOOKUP($A61,'319'!$B:$H,7,0),0)</f>
        <v>0</v>
      </c>
    </row>
    <row r="62" customFormat="false" ht="14.4" hidden="false" customHeight="false" outlineLevel="0" collapsed="false">
      <c r="A62" s="48" t="n">
        <v>6813685000929</v>
      </c>
      <c r="B62" s="49" t="s">
        <v>512</v>
      </c>
      <c r="C62" s="49" t="s">
        <v>26</v>
      </c>
      <c r="D62" s="49" t="s">
        <v>2856</v>
      </c>
      <c r="E62" s="49" t="s">
        <v>604</v>
      </c>
      <c r="F62" s="50" t="n">
        <f aca="false">VLOOKUP(C62,'Top Redes'!A:D,4,0)</f>
        <v>58236.697</v>
      </c>
      <c r="G62" s="50" t="n">
        <f aca="false">IFERROR(VLOOKUP($A62,'319'!$B:$H,7,0),0)</f>
        <v>0</v>
      </c>
    </row>
    <row r="63" customFormat="false" ht="14.4" hidden="false" customHeight="false" outlineLevel="0" collapsed="false">
      <c r="A63" s="48" t="n">
        <v>6813685001062</v>
      </c>
      <c r="B63" s="49" t="s">
        <v>512</v>
      </c>
      <c r="C63" s="49" t="s">
        <v>26</v>
      </c>
      <c r="D63" s="49" t="s">
        <v>2857</v>
      </c>
      <c r="E63" s="49" t="s">
        <v>935</v>
      </c>
      <c r="F63" s="50" t="n">
        <f aca="false">VLOOKUP(C63,'Top Redes'!A:D,4,0)</f>
        <v>58236.697</v>
      </c>
      <c r="G63" s="50" t="n">
        <f aca="false">IFERROR(VLOOKUP($A63,'319'!$B:$H,7,0),0)</f>
        <v>0</v>
      </c>
    </row>
    <row r="64" customFormat="false" ht="14.4" hidden="false" customHeight="false" outlineLevel="0" collapsed="false">
      <c r="A64" s="48" t="n">
        <v>6813685001143</v>
      </c>
      <c r="B64" s="49" t="s">
        <v>512</v>
      </c>
      <c r="C64" s="49" t="s">
        <v>26</v>
      </c>
      <c r="D64" s="49" t="s">
        <v>2858</v>
      </c>
      <c r="E64" s="49" t="s">
        <v>309</v>
      </c>
      <c r="F64" s="50" t="n">
        <f aca="false">VLOOKUP(C64,'Top Redes'!A:D,4,0)</f>
        <v>58236.697</v>
      </c>
      <c r="G64" s="50" t="n">
        <f aca="false">IFERROR(VLOOKUP($A64,'319'!$B:$H,7,0),0)</f>
        <v>0</v>
      </c>
    </row>
    <row r="65" customFormat="false" ht="14.4" hidden="false" customHeight="false" outlineLevel="0" collapsed="false">
      <c r="A65" s="48" t="n">
        <v>6813685001305</v>
      </c>
      <c r="B65" s="49" t="s">
        <v>512</v>
      </c>
      <c r="C65" s="49" t="s">
        <v>26</v>
      </c>
      <c r="D65" s="49" t="s">
        <v>2859</v>
      </c>
      <c r="E65" s="49" t="s">
        <v>139</v>
      </c>
      <c r="F65" s="50" t="n">
        <f aca="false">VLOOKUP(C65,'Top Redes'!A:D,4,0)</f>
        <v>58236.697</v>
      </c>
      <c r="G65" s="50" t="n">
        <f aca="false">IFERROR(VLOOKUP($A65,'319'!$B:$H,7,0),0)</f>
        <v>0</v>
      </c>
    </row>
    <row r="66" customFormat="false" ht="14.4" hidden="false" customHeight="false" outlineLevel="0" collapsed="false">
      <c r="A66" s="48" t="n">
        <v>6813685001496</v>
      </c>
      <c r="B66" s="49" t="s">
        <v>512</v>
      </c>
      <c r="C66" s="49" t="s">
        <v>26</v>
      </c>
      <c r="D66" s="49" t="s">
        <v>2860</v>
      </c>
      <c r="E66" s="49" t="s">
        <v>309</v>
      </c>
      <c r="F66" s="50" t="n">
        <f aca="false">VLOOKUP(C66,'Top Redes'!A:D,4,0)</f>
        <v>58236.697</v>
      </c>
      <c r="G66" s="50" t="n">
        <f aca="false">IFERROR(VLOOKUP($A66,'319'!$B:$H,7,0),0)</f>
        <v>78869.4</v>
      </c>
    </row>
    <row r="67" customFormat="false" ht="14.4" hidden="false" customHeight="false" outlineLevel="0" collapsed="false">
      <c r="A67" s="48" t="n">
        <v>6813685001577</v>
      </c>
      <c r="B67" s="49" t="s">
        <v>512</v>
      </c>
      <c r="C67" s="49" t="s">
        <v>26</v>
      </c>
      <c r="D67" s="49" t="s">
        <v>512</v>
      </c>
      <c r="E67" s="49" t="s">
        <v>139</v>
      </c>
      <c r="F67" s="50" t="n">
        <f aca="false">VLOOKUP(C67,'Top Redes'!A:D,4,0)</f>
        <v>58236.697</v>
      </c>
      <c r="G67" s="50" t="n">
        <f aca="false">IFERROR(VLOOKUP($A67,'319'!$B:$H,7,0),0)</f>
        <v>52724.26</v>
      </c>
    </row>
    <row r="68" customFormat="false" ht="14.4" hidden="false" customHeight="false" outlineLevel="0" collapsed="false">
      <c r="A68" s="48" t="n">
        <v>7719683000180</v>
      </c>
      <c r="B68" s="49" t="s">
        <v>662</v>
      </c>
      <c r="C68" s="49" t="s">
        <v>20</v>
      </c>
      <c r="D68" s="49" t="s">
        <v>2861</v>
      </c>
      <c r="E68" s="49" t="s">
        <v>77</v>
      </c>
      <c r="F68" s="50" t="n">
        <f aca="false">VLOOKUP(C68,'Top Redes'!A:D,4,0)</f>
        <v>406248.886758333</v>
      </c>
      <c r="G68" s="50" t="n">
        <f aca="false">IFERROR(VLOOKUP($A68,'319'!$B:$H,7,0),0)</f>
        <v>8073.84</v>
      </c>
    </row>
    <row r="69" customFormat="false" ht="14.4" hidden="false" customHeight="false" outlineLevel="0" collapsed="false">
      <c r="A69" s="48" t="n">
        <v>7719683000261</v>
      </c>
      <c r="B69" s="49" t="s">
        <v>716</v>
      </c>
      <c r="C69" s="49" t="s">
        <v>20</v>
      </c>
      <c r="D69" s="49" t="s">
        <v>2862</v>
      </c>
      <c r="E69" s="49" t="s">
        <v>77</v>
      </c>
      <c r="F69" s="50" t="n">
        <f aca="false">VLOOKUP(C69,'Top Redes'!A:D,4,0)</f>
        <v>406248.886758333</v>
      </c>
      <c r="G69" s="50" t="n">
        <f aca="false">IFERROR(VLOOKUP($A69,'319'!$B:$H,7,0),0)</f>
        <v>5783.28</v>
      </c>
    </row>
    <row r="70" customFormat="false" ht="14.4" hidden="false" customHeight="false" outlineLevel="0" collapsed="false">
      <c r="A70" s="48" t="n">
        <v>7719683000342</v>
      </c>
      <c r="B70" s="49" t="s">
        <v>825</v>
      </c>
      <c r="C70" s="49" t="s">
        <v>20</v>
      </c>
      <c r="D70" s="49" t="s">
        <v>2863</v>
      </c>
      <c r="E70" s="49" t="s">
        <v>77</v>
      </c>
      <c r="F70" s="50" t="n">
        <f aca="false">VLOOKUP(C70,'Top Redes'!A:D,4,0)</f>
        <v>406248.886758333</v>
      </c>
      <c r="G70" s="50" t="n">
        <f aca="false">IFERROR(VLOOKUP($A70,'319'!$B:$H,7,0),0)</f>
        <v>2335.87</v>
      </c>
    </row>
    <row r="71" customFormat="false" ht="14.4" hidden="false" customHeight="false" outlineLevel="0" collapsed="false">
      <c r="A71" s="48" t="n">
        <v>7719683000423</v>
      </c>
      <c r="B71" s="49" t="s">
        <v>645</v>
      </c>
      <c r="C71" s="49" t="s">
        <v>20</v>
      </c>
      <c r="D71" s="49" t="s">
        <v>2864</v>
      </c>
      <c r="E71" s="49" t="s">
        <v>77</v>
      </c>
      <c r="F71" s="50" t="n">
        <f aca="false">VLOOKUP(C71,'Top Redes'!A:D,4,0)</f>
        <v>406248.886758333</v>
      </c>
      <c r="G71" s="50" t="n">
        <f aca="false">IFERROR(VLOOKUP($A71,'319'!$B:$H,7,0),0)</f>
        <v>8949.71</v>
      </c>
    </row>
    <row r="72" customFormat="false" ht="14.4" hidden="false" customHeight="false" outlineLevel="0" collapsed="false">
      <c r="A72" s="48" t="n">
        <v>7719683000695</v>
      </c>
      <c r="B72" s="49" t="s">
        <v>556</v>
      </c>
      <c r="C72" s="49" t="s">
        <v>20</v>
      </c>
      <c r="D72" s="49" t="s">
        <v>2865</v>
      </c>
      <c r="E72" s="49" t="s">
        <v>77</v>
      </c>
      <c r="F72" s="50" t="n">
        <f aca="false">VLOOKUP(C72,'Top Redes'!A:D,4,0)</f>
        <v>406248.886758333</v>
      </c>
      <c r="G72" s="50" t="n">
        <f aca="false">IFERROR(VLOOKUP($A72,'319'!$B:$H,7,0),0)</f>
        <v>24860.61</v>
      </c>
    </row>
    <row r="73" customFormat="false" ht="14.4" hidden="false" customHeight="false" outlineLevel="0" collapsed="false">
      <c r="A73" s="48" t="n">
        <v>8931657000184</v>
      </c>
      <c r="B73" s="49" t="s">
        <v>2866</v>
      </c>
      <c r="C73" s="49" t="s">
        <v>33</v>
      </c>
      <c r="D73" s="49" t="s">
        <v>2867</v>
      </c>
      <c r="E73" s="49" t="s">
        <v>129</v>
      </c>
      <c r="F73" s="50" t="n">
        <f aca="false">VLOOKUP(C73,'Top Redes'!A:D,4,0)</f>
        <v>53172.7037</v>
      </c>
      <c r="G73" s="50" t="n">
        <f aca="false">IFERROR(VLOOKUP($A73,'319'!$B:$H,7,0),0)</f>
        <v>0</v>
      </c>
    </row>
    <row r="74" customFormat="false" ht="14.4" hidden="false" customHeight="false" outlineLevel="0" collapsed="false">
      <c r="A74" s="48" t="n">
        <v>8931657000265</v>
      </c>
      <c r="B74" s="49" t="s">
        <v>2866</v>
      </c>
      <c r="C74" s="49" t="s">
        <v>33</v>
      </c>
      <c r="D74" s="49" t="s">
        <v>2868</v>
      </c>
      <c r="E74" s="49" t="s">
        <v>129</v>
      </c>
      <c r="F74" s="50" t="n">
        <f aca="false">VLOOKUP(C74,'Top Redes'!A:D,4,0)</f>
        <v>53172.7037</v>
      </c>
      <c r="G74" s="50" t="n">
        <f aca="false">IFERROR(VLOOKUP($A74,'319'!$B:$H,7,0),0)</f>
        <v>0</v>
      </c>
    </row>
    <row r="75" customFormat="false" ht="14.4" hidden="false" customHeight="false" outlineLevel="0" collapsed="false">
      <c r="A75" s="48" t="n">
        <v>9473933000170</v>
      </c>
      <c r="B75" s="49" t="s">
        <v>476</v>
      </c>
      <c r="C75" s="49" t="s">
        <v>35</v>
      </c>
      <c r="D75" s="49" t="s">
        <v>2869</v>
      </c>
      <c r="E75" s="49" t="s">
        <v>478</v>
      </c>
      <c r="F75" s="50" t="n">
        <f aca="false">VLOOKUP(C75,'Top Redes'!A:D,4,0)</f>
        <v>79348.95708</v>
      </c>
      <c r="G75" s="50" t="n">
        <f aca="false">IFERROR(VLOOKUP($A75,'319'!$B:$H,7,0),0)</f>
        <v>14316.13</v>
      </c>
    </row>
    <row r="76" customFormat="false" ht="14.4" hidden="false" customHeight="false" outlineLevel="0" collapsed="false">
      <c r="A76" s="48" t="n">
        <v>9473933000251</v>
      </c>
      <c r="B76" s="49" t="s">
        <v>476</v>
      </c>
      <c r="C76" s="49" t="s">
        <v>35</v>
      </c>
      <c r="D76" s="49" t="s">
        <v>2870</v>
      </c>
      <c r="E76" s="49" t="s">
        <v>478</v>
      </c>
      <c r="F76" s="50" t="n">
        <f aca="false">VLOOKUP(C76,'Top Redes'!A:D,4,0)</f>
        <v>79348.95708</v>
      </c>
      <c r="G76" s="50" t="n">
        <f aca="false">IFERROR(VLOOKUP($A76,'319'!$B:$H,7,0),0)</f>
        <v>6462.39</v>
      </c>
    </row>
    <row r="77" customFormat="false" ht="14.4" hidden="false" customHeight="false" outlineLevel="0" collapsed="false">
      <c r="A77" s="48" t="n">
        <v>9473933000685</v>
      </c>
      <c r="B77" s="49" t="s">
        <v>476</v>
      </c>
      <c r="C77" s="49" t="s">
        <v>35</v>
      </c>
      <c r="D77" s="49" t="s">
        <v>2871</v>
      </c>
      <c r="E77" s="49" t="s">
        <v>478</v>
      </c>
      <c r="F77" s="50" t="n">
        <f aca="false">VLOOKUP(C77,'Top Redes'!A:D,4,0)</f>
        <v>79348.95708</v>
      </c>
      <c r="G77" s="50" t="n">
        <f aca="false">IFERROR(VLOOKUP($A77,'319'!$B:$H,7,0),0)</f>
        <v>2982.42</v>
      </c>
    </row>
    <row r="78" customFormat="false" ht="14.4" hidden="false" customHeight="false" outlineLevel="0" collapsed="false">
      <c r="A78" s="48" t="n">
        <v>9473933000847</v>
      </c>
      <c r="B78" s="49" t="s">
        <v>476</v>
      </c>
      <c r="C78" s="49" t="s">
        <v>35</v>
      </c>
      <c r="D78" s="49" t="s">
        <v>2872</v>
      </c>
      <c r="E78" s="49" t="s">
        <v>478</v>
      </c>
      <c r="F78" s="50" t="n">
        <f aca="false">VLOOKUP(C78,'Top Redes'!A:D,4,0)</f>
        <v>79348.95708</v>
      </c>
      <c r="G78" s="50" t="n">
        <f aca="false">IFERROR(VLOOKUP($A78,'319'!$B:$H,7,0),0)</f>
        <v>3478.62</v>
      </c>
    </row>
    <row r="79" customFormat="false" ht="14.4" hidden="false" customHeight="false" outlineLevel="0" collapsed="false">
      <c r="A79" s="48" t="n">
        <v>9473933000928</v>
      </c>
      <c r="B79" s="49" t="s">
        <v>476</v>
      </c>
      <c r="C79" s="49" t="s">
        <v>35</v>
      </c>
      <c r="D79" s="49" t="s">
        <v>2873</v>
      </c>
      <c r="E79" s="49" t="s">
        <v>478</v>
      </c>
      <c r="F79" s="50" t="n">
        <f aca="false">VLOOKUP(C79,'Top Redes'!A:D,4,0)</f>
        <v>79348.95708</v>
      </c>
      <c r="G79" s="50" t="n">
        <f aca="false">IFERROR(VLOOKUP($A79,'319'!$B:$H,7,0),0)</f>
        <v>37789.36</v>
      </c>
    </row>
    <row r="80" customFormat="false" ht="14.4" hidden="false" customHeight="false" outlineLevel="0" collapsed="false">
      <c r="A80" s="48" t="n">
        <v>9531413000177</v>
      </c>
      <c r="B80" s="49" t="s">
        <v>528</v>
      </c>
      <c r="C80" s="49" t="s">
        <v>24</v>
      </c>
      <c r="D80" s="49" t="s">
        <v>2874</v>
      </c>
      <c r="E80" s="49" t="s">
        <v>77</v>
      </c>
      <c r="F80" s="50" t="n">
        <f aca="false">VLOOKUP(C80,'Top Redes'!A:D,4,0)</f>
        <v>81473.54014</v>
      </c>
      <c r="G80" s="50" t="n">
        <f aca="false">IFERROR(VLOOKUP($A80,'319'!$B:$H,7,0),0)</f>
        <v>7765.3</v>
      </c>
    </row>
    <row r="81" customFormat="false" ht="14.4" hidden="false" customHeight="false" outlineLevel="0" collapsed="false">
      <c r="A81" s="48" t="n">
        <v>9531413000258</v>
      </c>
      <c r="B81" s="49" t="s">
        <v>528</v>
      </c>
      <c r="C81" s="49" t="s">
        <v>24</v>
      </c>
      <c r="D81" s="49" t="s">
        <v>2875</v>
      </c>
      <c r="E81" s="49" t="s">
        <v>77</v>
      </c>
      <c r="F81" s="50" t="n">
        <f aca="false">VLOOKUP(C81,'Top Redes'!A:D,4,0)</f>
        <v>81473.54014</v>
      </c>
      <c r="G81" s="50" t="n">
        <f aca="false">IFERROR(VLOOKUP($A81,'319'!$B:$H,7,0),0)</f>
        <v>5867.22</v>
      </c>
    </row>
    <row r="82" customFormat="false" ht="14.4" hidden="false" customHeight="false" outlineLevel="0" collapsed="false">
      <c r="A82" s="48" t="n">
        <v>9531413000339</v>
      </c>
      <c r="B82" s="49" t="s">
        <v>528</v>
      </c>
      <c r="C82" s="49" t="s">
        <v>24</v>
      </c>
      <c r="D82" s="49" t="s">
        <v>2876</v>
      </c>
      <c r="E82" s="49" t="s">
        <v>77</v>
      </c>
      <c r="F82" s="50" t="n">
        <f aca="false">VLOOKUP(C82,'Top Redes'!A:D,4,0)</f>
        <v>81473.54014</v>
      </c>
      <c r="G82" s="50" t="n">
        <f aca="false">IFERROR(VLOOKUP($A82,'319'!$B:$H,7,0),0)</f>
        <v>18011.18</v>
      </c>
    </row>
    <row r="83" customFormat="false" ht="14.4" hidden="false" customHeight="false" outlineLevel="0" collapsed="false">
      <c r="A83" s="48" t="n">
        <v>9531413000410</v>
      </c>
      <c r="B83" s="49" t="s">
        <v>528</v>
      </c>
      <c r="C83" s="49" t="s">
        <v>24</v>
      </c>
      <c r="D83" s="49" t="s">
        <v>2877</v>
      </c>
      <c r="E83" s="49" t="s">
        <v>77</v>
      </c>
      <c r="F83" s="50" t="n">
        <f aca="false">VLOOKUP(C83,'Top Redes'!A:D,4,0)</f>
        <v>81473.54014</v>
      </c>
      <c r="G83" s="50" t="n">
        <f aca="false">IFERROR(VLOOKUP($A83,'319'!$B:$H,7,0),0)</f>
        <v>2531.1</v>
      </c>
    </row>
    <row r="84" customFormat="false" ht="14.4" hidden="false" customHeight="false" outlineLevel="0" collapsed="false">
      <c r="A84" s="48" t="n">
        <v>9531413000509</v>
      </c>
      <c r="B84" s="49" t="s">
        <v>528</v>
      </c>
      <c r="C84" s="49" t="s">
        <v>24</v>
      </c>
      <c r="D84" s="49" t="s">
        <v>2878</v>
      </c>
      <c r="E84" s="49" t="s">
        <v>77</v>
      </c>
      <c r="F84" s="50" t="n">
        <f aca="false">VLOOKUP(C84,'Top Redes'!A:D,4,0)</f>
        <v>81473.54014</v>
      </c>
      <c r="G84" s="50" t="n">
        <f aca="false">IFERROR(VLOOKUP($A84,'319'!$B:$H,7,0),0)</f>
        <v>3148.38</v>
      </c>
    </row>
    <row r="85" customFormat="false" ht="14.4" hidden="false" customHeight="false" outlineLevel="0" collapsed="false">
      <c r="A85" s="48" t="n">
        <v>9531413000681</v>
      </c>
      <c r="B85" s="49" t="s">
        <v>528</v>
      </c>
      <c r="C85" s="49" t="s">
        <v>24</v>
      </c>
      <c r="D85" s="49" t="s">
        <v>2879</v>
      </c>
      <c r="E85" s="49" t="s">
        <v>77</v>
      </c>
      <c r="F85" s="50" t="n">
        <f aca="false">VLOOKUP(C85,'Top Redes'!A:D,4,0)</f>
        <v>81473.54014</v>
      </c>
      <c r="G85" s="50" t="n">
        <f aca="false">IFERROR(VLOOKUP($A85,'319'!$B:$H,7,0),0)</f>
        <v>932.05</v>
      </c>
    </row>
    <row r="86" customFormat="false" ht="14.4" hidden="false" customHeight="false" outlineLevel="0" collapsed="false">
      <c r="A86" s="48" t="n">
        <v>9531413000762</v>
      </c>
      <c r="B86" s="49" t="s">
        <v>528</v>
      </c>
      <c r="C86" s="49" t="s">
        <v>24</v>
      </c>
      <c r="D86" s="49" t="s">
        <v>2880</v>
      </c>
      <c r="E86" s="49" t="s">
        <v>77</v>
      </c>
      <c r="F86" s="50" t="n">
        <f aca="false">VLOOKUP(C86,'Top Redes'!A:D,4,0)</f>
        <v>81473.54014</v>
      </c>
      <c r="G86" s="50" t="n">
        <f aca="false">IFERROR(VLOOKUP($A86,'319'!$B:$H,7,0),0)</f>
        <v>12383.26</v>
      </c>
    </row>
    <row r="87" customFormat="false" ht="14.4" hidden="false" customHeight="false" outlineLevel="0" collapsed="false">
      <c r="A87" s="48" t="n">
        <v>9531413000843</v>
      </c>
      <c r="B87" s="49" t="s">
        <v>528</v>
      </c>
      <c r="C87" s="49" t="s">
        <v>24</v>
      </c>
      <c r="D87" s="49" t="s">
        <v>2880</v>
      </c>
      <c r="E87" s="49" t="s">
        <v>77</v>
      </c>
      <c r="F87" s="50" t="n">
        <f aca="false">VLOOKUP(C87,'Top Redes'!A:D,4,0)</f>
        <v>81473.54014</v>
      </c>
      <c r="G87" s="50" t="n">
        <f aca="false">IFERROR(VLOOKUP($A87,'319'!$B:$H,7,0),0)</f>
        <v>7108.63</v>
      </c>
    </row>
    <row r="88" customFormat="false" ht="14.4" hidden="false" customHeight="false" outlineLevel="0" collapsed="false">
      <c r="A88" s="48" t="n">
        <v>9531413001068</v>
      </c>
      <c r="B88" s="49" t="s">
        <v>528</v>
      </c>
      <c r="C88" s="49" t="s">
        <v>24</v>
      </c>
      <c r="D88" s="49" t="s">
        <v>2880</v>
      </c>
      <c r="E88" s="49" t="s">
        <v>154</v>
      </c>
      <c r="F88" s="50" t="n">
        <f aca="false">VLOOKUP(C88,'Top Redes'!A:D,4,0)</f>
        <v>81473.54014</v>
      </c>
      <c r="G88" s="50" t="n">
        <f aca="false">IFERROR(VLOOKUP($A88,'319'!$B:$H,7,0),0)</f>
        <v>14748.91</v>
      </c>
    </row>
    <row r="89" customFormat="false" ht="14.4" hidden="false" customHeight="false" outlineLevel="0" collapsed="false">
      <c r="A89" s="48" t="n">
        <v>9531413001149</v>
      </c>
      <c r="B89" s="49" t="s">
        <v>528</v>
      </c>
      <c r="C89" s="49" t="s">
        <v>24</v>
      </c>
      <c r="D89" s="49" t="s">
        <v>2881</v>
      </c>
      <c r="E89" s="49" t="s">
        <v>77</v>
      </c>
      <c r="F89" s="50" t="n">
        <f aca="false">VLOOKUP(C89,'Top Redes'!A:D,4,0)</f>
        <v>81473.54014</v>
      </c>
      <c r="G89" s="50" t="n">
        <f aca="false">IFERROR(VLOOKUP($A89,'319'!$B:$H,7,0),0)</f>
        <v>0</v>
      </c>
    </row>
    <row r="90" customFormat="false" ht="14.4" hidden="false" customHeight="false" outlineLevel="0" collapsed="false">
      <c r="A90" s="48" t="n">
        <v>9531413001220</v>
      </c>
      <c r="B90" s="49" t="s">
        <v>2882</v>
      </c>
      <c r="C90" s="49" t="s">
        <v>24</v>
      </c>
      <c r="D90" s="49" t="s">
        <v>2883</v>
      </c>
      <c r="E90" s="49" t="s">
        <v>77</v>
      </c>
      <c r="F90" s="50" t="n">
        <f aca="false">VLOOKUP(C90,'Top Redes'!A:D,4,0)</f>
        <v>81473.54014</v>
      </c>
      <c r="G90" s="50" t="n">
        <f aca="false">IFERROR(VLOOKUP($A90,'319'!$B:$H,7,0),0)</f>
        <v>6352.93</v>
      </c>
    </row>
    <row r="91" customFormat="false" ht="14.4" hidden="false" customHeight="false" outlineLevel="0" collapsed="false">
      <c r="A91" s="48" t="n">
        <v>9531413001300</v>
      </c>
      <c r="B91" s="49" t="s">
        <v>528</v>
      </c>
      <c r="C91" s="49" t="s">
        <v>24</v>
      </c>
      <c r="D91" s="49" t="s">
        <v>2884</v>
      </c>
      <c r="E91" s="49" t="s">
        <v>77</v>
      </c>
      <c r="F91" s="50" t="n">
        <f aca="false">VLOOKUP(C91,'Top Redes'!A:D,4,0)</f>
        <v>81473.54014</v>
      </c>
      <c r="G91" s="50" t="n">
        <f aca="false">IFERROR(VLOOKUP($A91,'319'!$B:$H,7,0),0)</f>
        <v>23499.8</v>
      </c>
    </row>
    <row r="92" customFormat="false" ht="14.4" hidden="false" customHeight="false" outlineLevel="0" collapsed="false">
      <c r="A92" s="48" t="n">
        <v>9531413001491</v>
      </c>
      <c r="B92" s="49" t="s">
        <v>528</v>
      </c>
      <c r="C92" s="49" t="s">
        <v>24</v>
      </c>
      <c r="D92" s="49" t="s">
        <v>2880</v>
      </c>
      <c r="E92" s="49" t="s">
        <v>77</v>
      </c>
      <c r="F92" s="50" t="n">
        <f aca="false">VLOOKUP(C92,'Top Redes'!A:D,4,0)</f>
        <v>81473.54014</v>
      </c>
      <c r="G92" s="50" t="n">
        <f aca="false">IFERROR(VLOOKUP($A92,'319'!$B:$H,7,0),0)</f>
        <v>12355.33</v>
      </c>
    </row>
    <row r="93" customFormat="false" ht="14.4" hidden="false" customHeight="false" outlineLevel="0" collapsed="false">
      <c r="A93" s="48" t="n">
        <v>10513998000181</v>
      </c>
      <c r="B93" s="49" t="s">
        <v>2885</v>
      </c>
      <c r="C93" s="49" t="s">
        <v>20</v>
      </c>
      <c r="D93" s="49" t="s">
        <v>2886</v>
      </c>
      <c r="E93" s="49" t="s">
        <v>77</v>
      </c>
      <c r="F93" s="50" t="n">
        <f aca="false">VLOOKUP(C93,'Top Redes'!A:D,4,0)</f>
        <v>406248.886758333</v>
      </c>
      <c r="G93" s="50" t="n">
        <f aca="false">IFERROR(VLOOKUP($A93,'319'!$B:$H,7,0),0)</f>
        <v>7039.28</v>
      </c>
    </row>
    <row r="94" customFormat="false" ht="14.4" hidden="false" customHeight="false" outlineLevel="0" collapsed="false">
      <c r="A94" s="48" t="n">
        <v>10513998000262</v>
      </c>
      <c r="B94" s="49" t="s">
        <v>2887</v>
      </c>
      <c r="C94" s="49" t="s">
        <v>20</v>
      </c>
      <c r="D94" s="49" t="s">
        <v>2888</v>
      </c>
      <c r="E94" s="49" t="s">
        <v>594</v>
      </c>
      <c r="F94" s="50" t="n">
        <f aca="false">VLOOKUP(C94,'Top Redes'!A:D,4,0)</f>
        <v>406248.886758333</v>
      </c>
      <c r="G94" s="50" t="n">
        <f aca="false">IFERROR(VLOOKUP($A94,'319'!$B:$H,7,0),0)</f>
        <v>15013.36</v>
      </c>
    </row>
    <row r="95" customFormat="false" ht="14.4" hidden="false" customHeight="false" outlineLevel="0" collapsed="false">
      <c r="A95" s="48" t="n">
        <v>10513998000343</v>
      </c>
      <c r="B95" s="49" t="s">
        <v>2889</v>
      </c>
      <c r="C95" s="49" t="s">
        <v>20</v>
      </c>
      <c r="D95" s="49" t="s">
        <v>2864</v>
      </c>
      <c r="E95" s="49" t="s">
        <v>594</v>
      </c>
      <c r="F95" s="50" t="n">
        <f aca="false">VLOOKUP(C95,'Top Redes'!A:D,4,0)</f>
        <v>406248.886758333</v>
      </c>
      <c r="G95" s="50" t="n">
        <f aca="false">IFERROR(VLOOKUP($A95,'319'!$B:$H,7,0),0)</f>
        <v>9885.15</v>
      </c>
    </row>
    <row r="96" customFormat="false" ht="14.4" hidden="false" customHeight="false" outlineLevel="0" collapsed="false">
      <c r="A96" s="48" t="n">
        <v>10513998000424</v>
      </c>
      <c r="B96" s="49" t="s">
        <v>2890</v>
      </c>
      <c r="C96" s="49" t="s">
        <v>20</v>
      </c>
      <c r="D96" s="49" t="s">
        <v>2864</v>
      </c>
      <c r="E96" s="49" t="s">
        <v>77</v>
      </c>
      <c r="F96" s="50" t="n">
        <f aca="false">VLOOKUP(C96,'Top Redes'!A:D,4,0)</f>
        <v>406248.886758333</v>
      </c>
      <c r="G96" s="50" t="n">
        <f aca="false">IFERROR(VLOOKUP($A96,'319'!$B:$H,7,0),0)</f>
        <v>7588.54</v>
      </c>
    </row>
    <row r="97" customFormat="false" ht="14.4" hidden="false" customHeight="false" outlineLevel="0" collapsed="false">
      <c r="A97" s="48" t="n">
        <v>10513998000505</v>
      </c>
      <c r="B97" s="49" t="s">
        <v>2891</v>
      </c>
      <c r="C97" s="49" t="s">
        <v>20</v>
      </c>
      <c r="D97" s="49" t="s">
        <v>2864</v>
      </c>
      <c r="E97" s="49" t="s">
        <v>77</v>
      </c>
      <c r="F97" s="50" t="n">
        <f aca="false">VLOOKUP(C97,'Top Redes'!A:D,4,0)</f>
        <v>406248.886758333</v>
      </c>
      <c r="G97" s="50" t="n">
        <f aca="false">IFERROR(VLOOKUP($A97,'319'!$B:$H,7,0),0)</f>
        <v>7570.65</v>
      </c>
    </row>
    <row r="98" customFormat="false" ht="14.4" hidden="false" customHeight="false" outlineLevel="0" collapsed="false">
      <c r="A98" s="48" t="n">
        <v>10513998000696</v>
      </c>
      <c r="B98" s="49" t="s">
        <v>2892</v>
      </c>
      <c r="C98" s="49" t="s">
        <v>20</v>
      </c>
      <c r="D98" s="49" t="s">
        <v>2864</v>
      </c>
      <c r="E98" s="49" t="s">
        <v>77</v>
      </c>
      <c r="F98" s="50" t="n">
        <f aca="false">VLOOKUP(C98,'Top Redes'!A:D,4,0)</f>
        <v>406248.886758333</v>
      </c>
      <c r="G98" s="50" t="n">
        <f aca="false">IFERROR(VLOOKUP($A98,'319'!$B:$H,7,0),0)</f>
        <v>10648.63</v>
      </c>
    </row>
    <row r="99" customFormat="false" ht="14.4" hidden="false" customHeight="false" outlineLevel="0" collapsed="false">
      <c r="A99" s="48" t="n">
        <v>10513998000777</v>
      </c>
      <c r="B99" s="49" t="s">
        <v>2893</v>
      </c>
      <c r="C99" s="49" t="s">
        <v>20</v>
      </c>
      <c r="D99" s="49" t="s">
        <v>2864</v>
      </c>
      <c r="E99" s="49" t="s">
        <v>448</v>
      </c>
      <c r="F99" s="50" t="n">
        <f aca="false">VLOOKUP(C99,'Top Redes'!A:D,4,0)</f>
        <v>406248.886758333</v>
      </c>
      <c r="G99" s="50" t="n">
        <f aca="false">IFERROR(VLOOKUP($A99,'319'!$B:$H,7,0),0)</f>
        <v>6840.96</v>
      </c>
    </row>
    <row r="100" customFormat="false" ht="14.4" hidden="false" customHeight="false" outlineLevel="0" collapsed="false">
      <c r="A100" s="48" t="n">
        <v>10513998000939</v>
      </c>
      <c r="B100" s="49" t="s">
        <v>2894</v>
      </c>
      <c r="C100" s="49" t="s">
        <v>20</v>
      </c>
      <c r="D100" s="49" t="s">
        <v>2864</v>
      </c>
      <c r="E100" s="49" t="s">
        <v>594</v>
      </c>
      <c r="F100" s="50" t="n">
        <f aca="false">VLOOKUP(C100,'Top Redes'!A:D,4,0)</f>
        <v>406248.886758333</v>
      </c>
      <c r="G100" s="50" t="n">
        <f aca="false">IFERROR(VLOOKUP($A100,'319'!$B:$H,7,0),0)</f>
        <v>7341.14</v>
      </c>
    </row>
    <row r="101" customFormat="false" ht="14.4" hidden="false" customHeight="false" outlineLevel="0" collapsed="false">
      <c r="A101" s="48" t="n">
        <v>10513998001072</v>
      </c>
      <c r="B101" s="49" t="s">
        <v>2895</v>
      </c>
      <c r="C101" s="49" t="s">
        <v>20</v>
      </c>
      <c r="D101" s="49" t="s">
        <v>2864</v>
      </c>
      <c r="E101" s="49" t="s">
        <v>107</v>
      </c>
      <c r="F101" s="50" t="n">
        <f aca="false">VLOOKUP(C101,'Top Redes'!A:D,4,0)</f>
        <v>406248.886758333</v>
      </c>
      <c r="G101" s="50" t="n">
        <f aca="false">IFERROR(VLOOKUP($A101,'319'!$B:$H,7,0),0)</f>
        <v>6834.75</v>
      </c>
    </row>
    <row r="102" customFormat="false" ht="14.4" hidden="false" customHeight="false" outlineLevel="0" collapsed="false">
      <c r="A102" s="48" t="n">
        <v>10513998001153</v>
      </c>
      <c r="B102" s="49" t="s">
        <v>2896</v>
      </c>
      <c r="C102" s="49" t="s">
        <v>20</v>
      </c>
      <c r="D102" s="49" t="s">
        <v>2897</v>
      </c>
      <c r="E102" s="49" t="s">
        <v>581</v>
      </c>
      <c r="F102" s="50" t="n">
        <f aca="false">VLOOKUP(C102,'Top Redes'!A:D,4,0)</f>
        <v>406248.886758333</v>
      </c>
      <c r="G102" s="50" t="n">
        <f aca="false">IFERROR(VLOOKUP($A102,'319'!$B:$H,7,0),0)</f>
        <v>17431.64</v>
      </c>
    </row>
    <row r="103" customFormat="false" ht="14.4" hidden="false" customHeight="false" outlineLevel="0" collapsed="false">
      <c r="A103" s="48" t="n">
        <v>10513998001234</v>
      </c>
      <c r="B103" s="49" t="s">
        <v>2898</v>
      </c>
      <c r="C103" s="49" t="s">
        <v>20</v>
      </c>
      <c r="D103" s="49" t="s">
        <v>2864</v>
      </c>
      <c r="E103" s="49" t="s">
        <v>604</v>
      </c>
      <c r="F103" s="50" t="n">
        <f aca="false">VLOOKUP(C103,'Top Redes'!A:D,4,0)</f>
        <v>406248.886758333</v>
      </c>
      <c r="G103" s="50" t="n">
        <f aca="false">IFERROR(VLOOKUP($A103,'319'!$B:$H,7,0),0)</f>
        <v>13515.72</v>
      </c>
    </row>
    <row r="104" customFormat="false" ht="14.4" hidden="false" customHeight="false" outlineLevel="0" collapsed="false">
      <c r="A104" s="48" t="n">
        <v>10513998001315</v>
      </c>
      <c r="B104" s="49" t="s">
        <v>2899</v>
      </c>
      <c r="C104" s="49" t="s">
        <v>20</v>
      </c>
      <c r="D104" s="49" t="s">
        <v>2900</v>
      </c>
      <c r="E104" s="49" t="s">
        <v>77</v>
      </c>
      <c r="F104" s="50" t="n">
        <f aca="false">VLOOKUP(C104,'Top Redes'!A:D,4,0)</f>
        <v>406248.886758333</v>
      </c>
      <c r="G104" s="50" t="n">
        <f aca="false">IFERROR(VLOOKUP($A104,'319'!$B:$H,7,0),0)</f>
        <v>8845.11</v>
      </c>
    </row>
    <row r="105" customFormat="false" ht="14.4" hidden="false" customHeight="false" outlineLevel="0" collapsed="false">
      <c r="A105" s="48" t="n">
        <v>10513998001404</v>
      </c>
      <c r="B105" s="49" t="s">
        <v>2901</v>
      </c>
      <c r="C105" s="49" t="s">
        <v>20</v>
      </c>
      <c r="D105" s="49" t="s">
        <v>2864</v>
      </c>
      <c r="E105" s="49" t="s">
        <v>107</v>
      </c>
      <c r="F105" s="50" t="n">
        <f aca="false">VLOOKUP(C105,'Top Redes'!A:D,4,0)</f>
        <v>406248.886758333</v>
      </c>
      <c r="G105" s="50" t="n">
        <f aca="false">IFERROR(VLOOKUP($A105,'319'!$B:$H,7,0),0)</f>
        <v>8079.43</v>
      </c>
    </row>
    <row r="106" customFormat="false" ht="14.4" hidden="false" customHeight="false" outlineLevel="0" collapsed="false">
      <c r="A106" s="48" t="n">
        <v>10513998001587</v>
      </c>
      <c r="B106" s="49" t="s">
        <v>2902</v>
      </c>
      <c r="C106" s="49" t="s">
        <v>20</v>
      </c>
      <c r="D106" s="49" t="s">
        <v>2864</v>
      </c>
      <c r="E106" s="49" t="s">
        <v>604</v>
      </c>
      <c r="F106" s="50" t="n">
        <f aca="false">VLOOKUP(C106,'Top Redes'!A:D,4,0)</f>
        <v>406248.886758333</v>
      </c>
      <c r="G106" s="50" t="n">
        <f aca="false">IFERROR(VLOOKUP($A106,'319'!$B:$H,7,0),0)</f>
        <v>8016.2</v>
      </c>
    </row>
    <row r="107" customFormat="false" ht="14.4" hidden="false" customHeight="false" outlineLevel="0" collapsed="false">
      <c r="A107" s="48" t="n">
        <v>10513998001668</v>
      </c>
      <c r="B107" s="49" t="s">
        <v>2903</v>
      </c>
      <c r="C107" s="49" t="s">
        <v>20</v>
      </c>
      <c r="D107" s="49" t="s">
        <v>2900</v>
      </c>
      <c r="E107" s="49" t="s">
        <v>107</v>
      </c>
      <c r="F107" s="50" t="n">
        <f aca="false">VLOOKUP(C107,'Top Redes'!A:D,4,0)</f>
        <v>406248.886758333</v>
      </c>
      <c r="G107" s="50" t="n">
        <f aca="false">IFERROR(VLOOKUP($A107,'319'!$B:$H,7,0),0)</f>
        <v>6349.62</v>
      </c>
    </row>
    <row r="108" customFormat="false" ht="14.4" hidden="false" customHeight="false" outlineLevel="0" collapsed="false">
      <c r="A108" s="48" t="n">
        <v>10513998001749</v>
      </c>
      <c r="B108" s="49" t="s">
        <v>2904</v>
      </c>
      <c r="C108" s="49" t="s">
        <v>20</v>
      </c>
      <c r="D108" s="49" t="s">
        <v>2905</v>
      </c>
      <c r="E108" s="49" t="s">
        <v>107</v>
      </c>
      <c r="F108" s="50" t="n">
        <f aca="false">VLOOKUP(C108,'Top Redes'!A:D,4,0)</f>
        <v>406248.886758333</v>
      </c>
      <c r="G108" s="50" t="n">
        <f aca="false">IFERROR(VLOOKUP($A108,'319'!$B:$H,7,0),0)</f>
        <v>6018.13</v>
      </c>
    </row>
    <row r="109" customFormat="false" ht="14.4" hidden="false" customHeight="false" outlineLevel="0" collapsed="false">
      <c r="A109" s="48" t="n">
        <v>10513998001820</v>
      </c>
      <c r="B109" s="49" t="s">
        <v>2906</v>
      </c>
      <c r="C109" s="49" t="s">
        <v>20</v>
      </c>
      <c r="D109" s="49" t="s">
        <v>2905</v>
      </c>
      <c r="E109" s="49" t="s">
        <v>107</v>
      </c>
      <c r="F109" s="50" t="n">
        <f aca="false">VLOOKUP(C109,'Top Redes'!A:D,4,0)</f>
        <v>406248.886758333</v>
      </c>
      <c r="G109" s="50" t="n">
        <f aca="false">IFERROR(VLOOKUP($A109,'319'!$B:$H,7,0),0)</f>
        <v>8614.16</v>
      </c>
    </row>
    <row r="110" customFormat="false" ht="14.4" hidden="false" customHeight="false" outlineLevel="0" collapsed="false">
      <c r="A110" s="48" t="n">
        <v>10513998001900</v>
      </c>
      <c r="B110" s="49" t="s">
        <v>2907</v>
      </c>
      <c r="C110" s="49" t="s">
        <v>20</v>
      </c>
      <c r="D110" s="49" t="s">
        <v>2864</v>
      </c>
      <c r="E110" s="49" t="s">
        <v>107</v>
      </c>
      <c r="F110" s="50" t="n">
        <f aca="false">VLOOKUP(C110,'Top Redes'!A:D,4,0)</f>
        <v>406248.886758333</v>
      </c>
      <c r="G110" s="50" t="n">
        <f aca="false">IFERROR(VLOOKUP($A110,'319'!$B:$H,7,0),0)</f>
        <v>8064.32</v>
      </c>
    </row>
    <row r="111" customFormat="false" ht="14.4" hidden="false" customHeight="false" outlineLevel="0" collapsed="false">
      <c r="A111" s="48" t="n">
        <v>10513998002044</v>
      </c>
      <c r="B111" s="49" t="s">
        <v>2908</v>
      </c>
      <c r="C111" s="49" t="s">
        <v>20</v>
      </c>
      <c r="D111" s="49" t="s">
        <v>2864</v>
      </c>
      <c r="E111" s="49" t="s">
        <v>604</v>
      </c>
      <c r="F111" s="50" t="n">
        <f aca="false">VLOOKUP(C111,'Top Redes'!A:D,4,0)</f>
        <v>406248.886758333</v>
      </c>
      <c r="G111" s="50" t="n">
        <f aca="false">IFERROR(VLOOKUP($A111,'319'!$B:$H,7,0),0)</f>
        <v>11020.83</v>
      </c>
    </row>
    <row r="112" customFormat="false" ht="14.4" hidden="false" customHeight="false" outlineLevel="0" collapsed="false">
      <c r="A112" s="48" t="n">
        <v>11311873000131</v>
      </c>
      <c r="B112" s="49" t="s">
        <v>734</v>
      </c>
      <c r="C112" s="49" t="s">
        <v>36</v>
      </c>
      <c r="D112" s="49" t="s">
        <v>2909</v>
      </c>
      <c r="E112" s="49" t="s">
        <v>336</v>
      </c>
      <c r="F112" s="50" t="n">
        <f aca="false">VLOOKUP(C112,'Top Redes'!A:D,4,0)</f>
        <v>29575.9985</v>
      </c>
      <c r="G112" s="50" t="n">
        <f aca="false">IFERROR(VLOOKUP($A112,'319'!$B:$H,7,0),0)</f>
        <v>3066.66</v>
      </c>
    </row>
    <row r="113" customFormat="false" ht="14.4" hidden="false" customHeight="false" outlineLevel="0" collapsed="false">
      <c r="A113" s="48" t="n">
        <v>11311873000212</v>
      </c>
      <c r="B113" s="49" t="s">
        <v>734</v>
      </c>
      <c r="C113" s="49" t="s">
        <v>36</v>
      </c>
      <c r="D113" s="49" t="s">
        <v>2910</v>
      </c>
      <c r="E113" s="49" t="s">
        <v>336</v>
      </c>
      <c r="F113" s="50" t="n">
        <f aca="false">VLOOKUP(C113,'Top Redes'!A:D,4,0)</f>
        <v>29575.9985</v>
      </c>
      <c r="G113" s="50" t="n">
        <f aca="false">IFERROR(VLOOKUP($A113,'319'!$B:$H,7,0),0)</f>
        <v>1977.64</v>
      </c>
    </row>
    <row r="114" customFormat="false" ht="14.4" hidden="false" customHeight="false" outlineLevel="0" collapsed="false">
      <c r="A114" s="48" t="n">
        <v>11311873000301</v>
      </c>
      <c r="B114" s="49" t="s">
        <v>2911</v>
      </c>
      <c r="C114" s="49" t="s">
        <v>36</v>
      </c>
      <c r="D114" s="49" t="s">
        <v>2912</v>
      </c>
      <c r="E114" s="49" t="s">
        <v>342</v>
      </c>
      <c r="F114" s="50" t="n">
        <f aca="false">VLOOKUP(C114,'Top Redes'!A:D,4,0)</f>
        <v>29575.9985</v>
      </c>
      <c r="G114" s="50" t="n">
        <f aca="false">IFERROR(VLOOKUP($A114,'319'!$B:$H,7,0),0)</f>
        <v>5218.58</v>
      </c>
    </row>
    <row r="115" customFormat="false" ht="14.4" hidden="false" customHeight="false" outlineLevel="0" collapsed="false">
      <c r="A115" s="48" t="n">
        <v>12075667000132</v>
      </c>
      <c r="B115" s="49" t="s">
        <v>2913</v>
      </c>
      <c r="C115" s="49" t="s">
        <v>20</v>
      </c>
      <c r="D115" s="49" t="s">
        <v>2914</v>
      </c>
      <c r="E115" s="49" t="s">
        <v>77</v>
      </c>
      <c r="F115" s="50" t="n">
        <f aca="false">VLOOKUP(C115,'Top Redes'!A:D,4,0)</f>
        <v>406248.886758333</v>
      </c>
      <c r="G115" s="50" t="n">
        <f aca="false">IFERROR(VLOOKUP($A115,'319'!$B:$H,7,0),0)</f>
        <v>6930.69</v>
      </c>
    </row>
    <row r="116" customFormat="false" ht="14.4" hidden="false" customHeight="false" outlineLevel="0" collapsed="false">
      <c r="A116" s="48" t="n">
        <v>12075667000213</v>
      </c>
      <c r="B116" s="49" t="s">
        <v>2915</v>
      </c>
      <c r="C116" s="49" t="s">
        <v>20</v>
      </c>
      <c r="D116" s="49" t="s">
        <v>2916</v>
      </c>
      <c r="E116" s="49" t="s">
        <v>77</v>
      </c>
      <c r="F116" s="50" t="n">
        <f aca="false">VLOOKUP(C116,'Top Redes'!A:D,4,0)</f>
        <v>406248.886758333</v>
      </c>
      <c r="G116" s="50" t="n">
        <f aca="false">IFERROR(VLOOKUP($A116,'319'!$B:$H,7,0),0)</f>
        <v>5744.51</v>
      </c>
    </row>
    <row r="117" customFormat="false" ht="14.4" hidden="false" customHeight="false" outlineLevel="0" collapsed="false">
      <c r="A117" s="48" t="n">
        <v>12075667000302</v>
      </c>
      <c r="B117" s="49" t="s">
        <v>2917</v>
      </c>
      <c r="C117" s="49" t="s">
        <v>20</v>
      </c>
      <c r="D117" s="49" t="s">
        <v>2918</v>
      </c>
      <c r="E117" s="49" t="s">
        <v>77</v>
      </c>
      <c r="F117" s="50" t="n">
        <f aca="false">VLOOKUP(C117,'Top Redes'!A:D,4,0)</f>
        <v>406248.886758333</v>
      </c>
      <c r="G117" s="50" t="n">
        <f aca="false">IFERROR(VLOOKUP($A117,'319'!$B:$H,7,0),0)</f>
        <v>9465.1</v>
      </c>
    </row>
    <row r="118" customFormat="false" ht="14.4" hidden="false" customHeight="false" outlineLevel="0" collapsed="false">
      <c r="A118" s="48" t="n">
        <v>12075667000485</v>
      </c>
      <c r="B118" s="49" t="s">
        <v>2919</v>
      </c>
      <c r="C118" s="49" t="s">
        <v>20</v>
      </c>
      <c r="D118" s="49" t="s">
        <v>2920</v>
      </c>
      <c r="E118" s="49" t="s">
        <v>77</v>
      </c>
      <c r="F118" s="50" t="n">
        <f aca="false">VLOOKUP(C118,'Top Redes'!A:D,4,0)</f>
        <v>406248.886758333</v>
      </c>
      <c r="G118" s="50" t="n">
        <f aca="false">IFERROR(VLOOKUP($A118,'319'!$B:$H,7,0),0)</f>
        <v>6486.87</v>
      </c>
    </row>
    <row r="119" customFormat="false" ht="14.4" hidden="false" customHeight="false" outlineLevel="0" collapsed="false">
      <c r="A119" s="48" t="n">
        <v>12075667000566</v>
      </c>
      <c r="B119" s="49" t="s">
        <v>2921</v>
      </c>
      <c r="C119" s="49" t="s">
        <v>20</v>
      </c>
      <c r="D119" s="49" t="s">
        <v>2864</v>
      </c>
      <c r="E119" s="49" t="s">
        <v>77</v>
      </c>
      <c r="F119" s="50" t="n">
        <f aca="false">VLOOKUP(C119,'Top Redes'!A:D,4,0)</f>
        <v>406248.886758333</v>
      </c>
      <c r="G119" s="50" t="n">
        <f aca="false">IFERROR(VLOOKUP($A119,'319'!$B:$H,7,0),0)</f>
        <v>9050.91</v>
      </c>
    </row>
    <row r="120" customFormat="false" ht="14.4" hidden="false" customHeight="false" outlineLevel="0" collapsed="false">
      <c r="A120" s="48" t="n">
        <v>12075667000647</v>
      </c>
      <c r="B120" s="49" t="s">
        <v>2922</v>
      </c>
      <c r="C120" s="49" t="s">
        <v>20</v>
      </c>
      <c r="D120" s="49" t="s">
        <v>2864</v>
      </c>
      <c r="E120" s="49" t="s">
        <v>77</v>
      </c>
      <c r="F120" s="50" t="n">
        <f aca="false">VLOOKUP(C120,'Top Redes'!A:D,4,0)</f>
        <v>406248.886758333</v>
      </c>
      <c r="G120" s="50" t="n">
        <f aca="false">IFERROR(VLOOKUP($A120,'319'!$B:$H,7,0),0)</f>
        <v>5471.92</v>
      </c>
    </row>
    <row r="121" customFormat="false" ht="14.4" hidden="false" customHeight="false" outlineLevel="0" collapsed="false">
      <c r="A121" s="48" t="n">
        <v>12075667000728</v>
      </c>
      <c r="B121" s="49" t="s">
        <v>2923</v>
      </c>
      <c r="C121" s="49" t="s">
        <v>20</v>
      </c>
      <c r="D121" s="49" t="s">
        <v>2864</v>
      </c>
      <c r="E121" s="49" t="s">
        <v>77</v>
      </c>
      <c r="F121" s="50" t="n">
        <f aca="false">VLOOKUP(C121,'Top Redes'!A:D,4,0)</f>
        <v>406248.886758333</v>
      </c>
      <c r="G121" s="50" t="n">
        <f aca="false">IFERROR(VLOOKUP($A121,'319'!$B:$H,7,0),0)</f>
        <v>8870.47</v>
      </c>
    </row>
    <row r="122" customFormat="false" ht="14.4" hidden="false" customHeight="false" outlineLevel="0" collapsed="false">
      <c r="A122" s="48" t="n">
        <v>12075667000809</v>
      </c>
      <c r="B122" s="49" t="s">
        <v>2924</v>
      </c>
      <c r="C122" s="49" t="s">
        <v>20</v>
      </c>
      <c r="D122" s="49" t="s">
        <v>2925</v>
      </c>
      <c r="E122" s="49" t="s">
        <v>77</v>
      </c>
      <c r="F122" s="50" t="n">
        <f aca="false">VLOOKUP(C122,'Top Redes'!A:D,4,0)</f>
        <v>406248.886758333</v>
      </c>
      <c r="G122" s="50" t="n">
        <f aca="false">IFERROR(VLOOKUP($A122,'319'!$B:$H,7,0),0)</f>
        <v>5560.78</v>
      </c>
    </row>
    <row r="123" customFormat="false" ht="14.4" hidden="false" customHeight="false" outlineLevel="0" collapsed="false">
      <c r="A123" s="48" t="n">
        <v>12075667000990</v>
      </c>
      <c r="B123" s="49" t="s">
        <v>2926</v>
      </c>
      <c r="C123" s="49" t="s">
        <v>20</v>
      </c>
      <c r="D123" s="49" t="s">
        <v>2927</v>
      </c>
      <c r="E123" s="49" t="s">
        <v>77</v>
      </c>
      <c r="F123" s="50" t="n">
        <f aca="false">VLOOKUP(C123,'Top Redes'!A:D,4,0)</f>
        <v>406248.886758333</v>
      </c>
      <c r="G123" s="50" t="n">
        <f aca="false">IFERROR(VLOOKUP($A123,'319'!$B:$H,7,0),0)</f>
        <v>2969.21</v>
      </c>
    </row>
    <row r="124" customFormat="false" ht="14.4" hidden="false" customHeight="false" outlineLevel="0" collapsed="false">
      <c r="A124" s="48" t="n">
        <v>12075667001023</v>
      </c>
      <c r="B124" s="49" t="s">
        <v>2928</v>
      </c>
      <c r="C124" s="49" t="s">
        <v>20</v>
      </c>
      <c r="D124" s="49" t="s">
        <v>2929</v>
      </c>
      <c r="E124" s="49" t="s">
        <v>77</v>
      </c>
      <c r="F124" s="50" t="n">
        <f aca="false">VLOOKUP(C124,'Top Redes'!A:D,4,0)</f>
        <v>406248.886758333</v>
      </c>
      <c r="G124" s="50" t="n">
        <f aca="false">IFERROR(VLOOKUP($A124,'319'!$B:$H,7,0),0)</f>
        <v>3733.49</v>
      </c>
    </row>
    <row r="125" customFormat="false" ht="14.4" hidden="false" customHeight="false" outlineLevel="0" collapsed="false">
      <c r="A125" s="48" t="n">
        <v>12075667001104</v>
      </c>
      <c r="B125" s="49" t="s">
        <v>2930</v>
      </c>
      <c r="C125" s="49" t="s">
        <v>20</v>
      </c>
      <c r="D125" s="49" t="s">
        <v>2931</v>
      </c>
      <c r="E125" s="49" t="s">
        <v>77</v>
      </c>
      <c r="F125" s="50" t="n">
        <f aca="false">VLOOKUP(C125,'Top Redes'!A:D,4,0)</f>
        <v>406248.886758333</v>
      </c>
      <c r="G125" s="50" t="n">
        <f aca="false">IFERROR(VLOOKUP($A125,'319'!$B:$H,7,0),0)</f>
        <v>0</v>
      </c>
    </row>
    <row r="126" customFormat="false" ht="14.4" hidden="false" customHeight="false" outlineLevel="0" collapsed="false">
      <c r="A126" s="48" t="n">
        <v>12075667001295</v>
      </c>
      <c r="B126" s="49" t="s">
        <v>2932</v>
      </c>
      <c r="C126" s="49" t="s">
        <v>20</v>
      </c>
      <c r="D126" s="49" t="s">
        <v>2933</v>
      </c>
      <c r="E126" s="49" t="s">
        <v>77</v>
      </c>
      <c r="F126" s="50" t="n">
        <f aca="false">VLOOKUP(C126,'Top Redes'!A:D,4,0)</f>
        <v>406248.886758333</v>
      </c>
      <c r="G126" s="50" t="n">
        <f aca="false">IFERROR(VLOOKUP($A126,'319'!$B:$H,7,0),0)</f>
        <v>6053.28</v>
      </c>
    </row>
    <row r="127" customFormat="false" ht="14.4" hidden="false" customHeight="false" outlineLevel="0" collapsed="false">
      <c r="A127" s="48" t="n">
        <v>12075667001376</v>
      </c>
      <c r="B127" s="49" t="s">
        <v>2934</v>
      </c>
      <c r="C127" s="49" t="s">
        <v>20</v>
      </c>
      <c r="D127" s="49" t="s">
        <v>2864</v>
      </c>
      <c r="E127" s="49" t="s">
        <v>77</v>
      </c>
      <c r="F127" s="50" t="n">
        <f aca="false">VLOOKUP(C127,'Top Redes'!A:D,4,0)</f>
        <v>406248.886758333</v>
      </c>
      <c r="G127" s="50" t="n">
        <f aca="false">IFERROR(VLOOKUP($A127,'319'!$B:$H,7,0),0)</f>
        <v>7411.74</v>
      </c>
    </row>
    <row r="128" customFormat="false" ht="14.4" hidden="false" customHeight="false" outlineLevel="0" collapsed="false">
      <c r="A128" s="48" t="n">
        <v>12075667001457</v>
      </c>
      <c r="B128" s="49" t="s">
        <v>2935</v>
      </c>
      <c r="C128" s="49" t="s">
        <v>20</v>
      </c>
      <c r="D128" s="49" t="s">
        <v>2864</v>
      </c>
      <c r="E128" s="49" t="s">
        <v>77</v>
      </c>
      <c r="F128" s="50" t="n">
        <f aca="false">VLOOKUP(C128,'Top Redes'!A:D,4,0)</f>
        <v>406248.886758333</v>
      </c>
      <c r="G128" s="50" t="n">
        <f aca="false">IFERROR(VLOOKUP($A128,'319'!$B:$H,7,0),0)</f>
        <v>6095.11</v>
      </c>
    </row>
    <row r="129" customFormat="false" ht="14.4" hidden="false" customHeight="false" outlineLevel="0" collapsed="false">
      <c r="A129" s="48" t="n">
        <v>12887219000133</v>
      </c>
      <c r="B129" s="49" t="s">
        <v>2936</v>
      </c>
      <c r="C129" s="49" t="s">
        <v>22</v>
      </c>
      <c r="D129" s="49" t="s">
        <v>2937</v>
      </c>
      <c r="E129" s="49" t="s">
        <v>89</v>
      </c>
      <c r="F129" s="50" t="n">
        <f aca="false">VLOOKUP(C129,'Top Redes'!A:D,4,0)</f>
        <v>335377.6607</v>
      </c>
      <c r="G129" s="50" t="n">
        <f aca="false">IFERROR(VLOOKUP($A129,'319'!$B:$H,7,0),0)</f>
        <v>100366.21</v>
      </c>
    </row>
    <row r="130" customFormat="false" ht="14.4" hidden="false" customHeight="false" outlineLevel="0" collapsed="false">
      <c r="A130" s="48" t="n">
        <v>12887219000214</v>
      </c>
      <c r="B130" s="49" t="s">
        <v>2938</v>
      </c>
      <c r="C130" s="49" t="s">
        <v>22</v>
      </c>
      <c r="D130" s="49" t="s">
        <v>2939</v>
      </c>
      <c r="E130" s="49" t="s">
        <v>89</v>
      </c>
      <c r="F130" s="50" t="n">
        <f aca="false">VLOOKUP(C130,'Top Redes'!A:D,4,0)</f>
        <v>335377.6607</v>
      </c>
      <c r="G130" s="50" t="n">
        <f aca="false">IFERROR(VLOOKUP($A130,'319'!$B:$H,7,0),0)</f>
        <v>66607.84</v>
      </c>
    </row>
    <row r="131" customFormat="false" ht="14.4" hidden="false" customHeight="false" outlineLevel="0" collapsed="false">
      <c r="A131" s="48" t="n">
        <v>12887219000303</v>
      </c>
      <c r="B131" s="49" t="s">
        <v>2940</v>
      </c>
      <c r="C131" s="49" t="s">
        <v>22</v>
      </c>
      <c r="D131" s="49" t="s">
        <v>2941</v>
      </c>
      <c r="E131" s="49" t="s">
        <v>89</v>
      </c>
      <c r="F131" s="50" t="n">
        <f aca="false">VLOOKUP(C131,'Top Redes'!A:D,4,0)</f>
        <v>335377.6607</v>
      </c>
      <c r="G131" s="50" t="n">
        <f aca="false">IFERROR(VLOOKUP($A131,'319'!$B:$H,7,0),0)</f>
        <v>26590.59</v>
      </c>
    </row>
    <row r="132" customFormat="false" ht="14.4" hidden="false" customHeight="false" outlineLevel="0" collapsed="false">
      <c r="A132" s="48" t="n">
        <v>12887219000567</v>
      </c>
      <c r="B132" s="49" t="s">
        <v>2942</v>
      </c>
      <c r="C132" s="49" t="s">
        <v>22</v>
      </c>
      <c r="D132" s="49" t="s">
        <v>2943</v>
      </c>
      <c r="E132" s="49" t="s">
        <v>89</v>
      </c>
      <c r="F132" s="50" t="n">
        <f aca="false">VLOOKUP(C132,'Top Redes'!A:D,4,0)</f>
        <v>335377.6607</v>
      </c>
      <c r="G132" s="50" t="n">
        <f aca="false">IFERROR(VLOOKUP($A132,'319'!$B:$H,7,0),0)</f>
        <v>40894.29</v>
      </c>
    </row>
    <row r="133" customFormat="false" ht="14.4" hidden="false" customHeight="false" outlineLevel="0" collapsed="false">
      <c r="A133" s="48" t="n">
        <v>18201846000155</v>
      </c>
      <c r="B133" s="49" t="s">
        <v>2944</v>
      </c>
      <c r="C133" s="49" t="s">
        <v>39</v>
      </c>
      <c r="D133" s="49" t="s">
        <v>2945</v>
      </c>
      <c r="E133" s="49" t="s">
        <v>448</v>
      </c>
      <c r="F133" s="50" t="n">
        <f aca="false">VLOOKUP(C133,'Top Redes'!A:D,4,0)</f>
        <v>56115.0835800001</v>
      </c>
      <c r="G133" s="50" t="n">
        <f aca="false">IFERROR(VLOOKUP($A133,'319'!$B:$H,7,0),0)</f>
        <v>29843.55</v>
      </c>
    </row>
    <row r="134" customFormat="false" ht="14.4" hidden="false" customHeight="false" outlineLevel="0" collapsed="false">
      <c r="A134" s="48" t="n">
        <v>18201846000406</v>
      </c>
      <c r="B134" s="49" t="s">
        <v>2944</v>
      </c>
      <c r="C134" s="49" t="s">
        <v>39</v>
      </c>
      <c r="D134" s="49" t="s">
        <v>2945</v>
      </c>
      <c r="E134" s="49" t="s">
        <v>336</v>
      </c>
      <c r="F134" s="50" t="n">
        <f aca="false">VLOOKUP(C134,'Top Redes'!A:D,4,0)</f>
        <v>56115.0835800001</v>
      </c>
      <c r="G134" s="50" t="n">
        <f aca="false">IFERROR(VLOOKUP($A134,'319'!$B:$H,7,0),0)</f>
        <v>0</v>
      </c>
    </row>
    <row r="135" customFormat="false" ht="14.4" hidden="false" customHeight="false" outlineLevel="0" collapsed="false">
      <c r="A135" s="48" t="n">
        <v>18201846000589</v>
      </c>
      <c r="B135" s="49" t="s">
        <v>2944</v>
      </c>
      <c r="C135" s="49" t="s">
        <v>39</v>
      </c>
      <c r="D135" s="49" t="s">
        <v>2946</v>
      </c>
      <c r="E135" s="49" t="s">
        <v>107</v>
      </c>
      <c r="F135" s="50" t="n">
        <f aca="false">VLOOKUP(C135,'Top Redes'!A:D,4,0)</f>
        <v>56115.0835800001</v>
      </c>
      <c r="G135" s="50" t="n">
        <f aca="false">IFERROR(VLOOKUP($A135,'319'!$B:$H,7,0),0)</f>
        <v>0</v>
      </c>
    </row>
    <row r="136" customFormat="false" ht="14.4" hidden="false" customHeight="false" outlineLevel="0" collapsed="false">
      <c r="A136" s="48" t="n">
        <v>18862844000107</v>
      </c>
      <c r="B136" s="49" t="s">
        <v>2947</v>
      </c>
      <c r="C136" s="49" t="s">
        <v>21</v>
      </c>
      <c r="D136" s="49" t="s">
        <v>2948</v>
      </c>
      <c r="E136" s="49" t="s">
        <v>139</v>
      </c>
      <c r="F136" s="50" t="n">
        <f aca="false">VLOOKUP(C136,'Top Redes'!A:D,4,0)</f>
        <v>132472.22554</v>
      </c>
      <c r="G136" s="50" t="n">
        <f aca="false">IFERROR(VLOOKUP($A136,'319'!$B:$H,7,0),0)</f>
        <v>61092.66</v>
      </c>
    </row>
    <row r="137" customFormat="false" ht="14.4" hidden="false" customHeight="false" outlineLevel="0" collapsed="false">
      <c r="A137" s="48" t="n">
        <v>18862844000379</v>
      </c>
      <c r="B137" s="49" t="s">
        <v>2949</v>
      </c>
      <c r="C137" s="49" t="s">
        <v>21</v>
      </c>
      <c r="D137" s="49" t="s">
        <v>2950</v>
      </c>
      <c r="E137" s="49" t="s">
        <v>139</v>
      </c>
      <c r="F137" s="50" t="n">
        <f aca="false">VLOOKUP(C137,'Top Redes'!A:D,4,0)</f>
        <v>132472.22554</v>
      </c>
      <c r="G137" s="50" t="n">
        <f aca="false">IFERROR(VLOOKUP($A137,'319'!$B:$H,7,0),0)</f>
        <v>15900.46</v>
      </c>
    </row>
    <row r="138" customFormat="false" ht="14.4" hidden="false" customHeight="false" outlineLevel="0" collapsed="false">
      <c r="A138" s="48" t="n">
        <v>20335148000194</v>
      </c>
      <c r="B138" s="49" t="s">
        <v>502</v>
      </c>
      <c r="C138" s="49" t="s">
        <v>23</v>
      </c>
      <c r="D138" s="49" t="s">
        <v>2951</v>
      </c>
      <c r="E138" s="49" t="s">
        <v>103</v>
      </c>
      <c r="F138" s="50" t="n">
        <f aca="false">VLOOKUP(C138,'Top Redes'!A:D,4,0)</f>
        <v>160890.05766</v>
      </c>
      <c r="G138" s="50" t="n">
        <f aca="false">IFERROR(VLOOKUP($A138,'319'!$B:$H,7,0),0)</f>
        <v>113356.7</v>
      </c>
    </row>
    <row r="139" customFormat="false" ht="14.4" hidden="false" customHeight="false" outlineLevel="0" collapsed="false">
      <c r="A139" s="48" t="n">
        <v>20335148000275</v>
      </c>
      <c r="B139" s="49" t="s">
        <v>502</v>
      </c>
      <c r="C139" s="49" t="s">
        <v>23</v>
      </c>
      <c r="D139" s="49" t="s">
        <v>2952</v>
      </c>
      <c r="E139" s="49" t="s">
        <v>103</v>
      </c>
      <c r="F139" s="50" t="n">
        <f aca="false">VLOOKUP(C139,'Top Redes'!A:D,4,0)</f>
        <v>160890.05766</v>
      </c>
      <c r="G139" s="50" t="n">
        <f aca="false">IFERROR(VLOOKUP($A139,'319'!$B:$H,7,0),0)</f>
        <v>105295.06</v>
      </c>
    </row>
    <row r="140" customFormat="false" ht="14.4" hidden="false" customHeight="false" outlineLevel="0" collapsed="false">
      <c r="A140" s="48" t="n">
        <v>20335148000356</v>
      </c>
      <c r="B140" s="49" t="s">
        <v>2953</v>
      </c>
      <c r="C140" s="49" t="s">
        <v>23</v>
      </c>
      <c r="D140" s="49" t="s">
        <v>2951</v>
      </c>
      <c r="E140" s="49" t="s">
        <v>103</v>
      </c>
      <c r="F140" s="50" t="n">
        <f aca="false">VLOOKUP(C140,'Top Redes'!A:D,4,0)</f>
        <v>160890.05766</v>
      </c>
      <c r="G140" s="50" t="n">
        <f aca="false">IFERROR(VLOOKUP($A140,'319'!$B:$H,7,0),0)</f>
        <v>0</v>
      </c>
    </row>
    <row r="141" customFormat="false" ht="14.4" hidden="false" customHeight="false" outlineLevel="0" collapsed="false">
      <c r="A141" s="48" t="n">
        <v>20335148000607</v>
      </c>
      <c r="B141" s="49" t="s">
        <v>502</v>
      </c>
      <c r="C141" s="49" t="s">
        <v>23</v>
      </c>
      <c r="D141" s="49" t="s">
        <v>2954</v>
      </c>
      <c r="E141" s="49" t="s">
        <v>103</v>
      </c>
      <c r="F141" s="50" t="n">
        <f aca="false">VLOOKUP(C141,'Top Redes'!A:D,4,0)</f>
        <v>160890.05766</v>
      </c>
      <c r="G141" s="50" t="n">
        <f aca="false">IFERROR(VLOOKUP($A141,'319'!$B:$H,7,0),0)</f>
        <v>-242.94</v>
      </c>
    </row>
    <row r="142" customFormat="false" ht="14.4" hidden="false" customHeight="false" outlineLevel="0" collapsed="false">
      <c r="A142" s="48" t="n">
        <v>20335148000780</v>
      </c>
      <c r="B142" s="49" t="s">
        <v>502</v>
      </c>
      <c r="C142" s="49" t="s">
        <v>23</v>
      </c>
      <c r="D142" s="49" t="s">
        <v>2955</v>
      </c>
      <c r="E142" s="49" t="s">
        <v>107</v>
      </c>
      <c r="F142" s="50" t="n">
        <f aca="false">VLOOKUP(C142,'Top Redes'!A:D,4,0)</f>
        <v>160890.05766</v>
      </c>
      <c r="G142" s="50" t="n">
        <f aca="false">IFERROR(VLOOKUP($A142,'319'!$B:$H,7,0),0)</f>
        <v>0</v>
      </c>
    </row>
    <row r="143" customFormat="false" ht="14.4" hidden="false" customHeight="false" outlineLevel="0" collapsed="false">
      <c r="A143" s="48" t="n">
        <v>27241594000189</v>
      </c>
      <c r="B143" s="49" t="s">
        <v>788</v>
      </c>
      <c r="C143" s="49" t="s">
        <v>36</v>
      </c>
      <c r="D143" s="49" t="s">
        <v>2956</v>
      </c>
      <c r="E143" s="49" t="s">
        <v>336</v>
      </c>
      <c r="F143" s="50" t="n">
        <f aca="false">VLOOKUP(C143,'Top Redes'!A:D,4,0)</f>
        <v>29575.9985</v>
      </c>
      <c r="G143" s="50" t="n">
        <f aca="false">IFERROR(VLOOKUP($A143,'319'!$B:$H,7,0),0)</f>
        <v>3019.8</v>
      </c>
    </row>
    <row r="144" customFormat="false" ht="14.4" hidden="false" customHeight="false" outlineLevel="0" collapsed="false">
      <c r="A144" s="48" t="n">
        <v>33168717000104</v>
      </c>
      <c r="B144" s="49" t="s">
        <v>2957</v>
      </c>
      <c r="C144" s="49" t="s">
        <v>32</v>
      </c>
      <c r="D144" s="49" t="s">
        <v>2958</v>
      </c>
      <c r="E144" s="49" t="s">
        <v>464</v>
      </c>
      <c r="F144" s="50" t="n">
        <f aca="false">VLOOKUP(C144,'Top Redes'!A:D,4,0)</f>
        <v>51183.55792</v>
      </c>
      <c r="G144" s="50" t="n">
        <f aca="false">IFERROR(VLOOKUP($A144,'319'!$B:$H,7,0),0)</f>
        <v>17908.15</v>
      </c>
    </row>
    <row r="145" customFormat="false" ht="14.4" hidden="false" customHeight="false" outlineLevel="0" collapsed="false">
      <c r="A145" s="48" t="n">
        <v>33168717000368</v>
      </c>
      <c r="B145" s="49" t="s">
        <v>2957</v>
      </c>
      <c r="C145" s="49" t="s">
        <v>32</v>
      </c>
      <c r="D145" s="49" t="s">
        <v>2959</v>
      </c>
      <c r="E145" s="49" t="s">
        <v>464</v>
      </c>
      <c r="F145" s="50" t="n">
        <f aca="false">VLOOKUP(C145,'Top Redes'!A:D,4,0)</f>
        <v>51183.55792</v>
      </c>
      <c r="G145" s="50" t="n">
        <f aca="false">IFERROR(VLOOKUP($A145,'319'!$B:$H,7,0),0)</f>
        <v>10038.28</v>
      </c>
    </row>
    <row r="146" customFormat="false" ht="14.4" hidden="false" customHeight="false" outlineLevel="0" collapsed="false">
      <c r="A146" s="48" t="n">
        <v>33168717000449</v>
      </c>
      <c r="B146" s="49" t="s">
        <v>2957</v>
      </c>
      <c r="C146" s="49" t="s">
        <v>32</v>
      </c>
      <c r="D146" s="49" t="s">
        <v>2960</v>
      </c>
      <c r="E146" s="49" t="s">
        <v>463</v>
      </c>
      <c r="F146" s="50" t="n">
        <f aca="false">VLOOKUP(C146,'Top Redes'!A:D,4,0)</f>
        <v>51183.55792</v>
      </c>
      <c r="G146" s="50" t="n">
        <f aca="false">IFERROR(VLOOKUP($A146,'319'!$B:$H,7,0),0)</f>
        <v>4981.28</v>
      </c>
    </row>
    <row r="147" customFormat="false" ht="14.4" hidden="false" customHeight="false" outlineLevel="0" collapsed="false">
      <c r="A147" s="48" t="n">
        <v>33168717000600</v>
      </c>
      <c r="B147" s="49" t="s">
        <v>2957</v>
      </c>
      <c r="C147" s="49" t="s">
        <v>32</v>
      </c>
      <c r="D147" s="49" t="s">
        <v>2961</v>
      </c>
      <c r="E147" s="49" t="s">
        <v>129</v>
      </c>
      <c r="F147" s="50" t="n">
        <f aca="false">VLOOKUP(C147,'Top Redes'!A:D,4,0)</f>
        <v>51183.55792</v>
      </c>
      <c r="G147" s="50" t="n">
        <f aca="false">IFERROR(VLOOKUP($A147,'319'!$B:$H,7,0),0)</f>
        <v>0</v>
      </c>
    </row>
    <row r="148" customFormat="false" ht="14.4" hidden="false" customHeight="false" outlineLevel="0" collapsed="false">
      <c r="A148" s="48" t="n">
        <v>33768854000171</v>
      </c>
      <c r="B148" s="49" t="s">
        <v>2962</v>
      </c>
      <c r="C148" s="49" t="s">
        <v>31</v>
      </c>
      <c r="D148" s="49" t="s">
        <v>2963</v>
      </c>
      <c r="E148" s="49" t="s">
        <v>89</v>
      </c>
      <c r="F148" s="50" t="n">
        <f aca="false">VLOOKUP(C148,'Top Redes'!A:D,4,0)</f>
        <v>48220.6903866667</v>
      </c>
      <c r="G148" s="50" t="n">
        <f aca="false">IFERROR(VLOOKUP($A148,'319'!$B:$H,7,0),0)</f>
        <v>12377.91</v>
      </c>
    </row>
    <row r="149" customFormat="false" ht="14.4" hidden="false" customHeight="false" outlineLevel="0" collapsed="false">
      <c r="A149" s="48" t="n">
        <v>33768854000252</v>
      </c>
      <c r="B149" s="49" t="s">
        <v>2964</v>
      </c>
      <c r="C149" s="49" t="s">
        <v>31</v>
      </c>
      <c r="D149" s="49" t="s">
        <v>2963</v>
      </c>
      <c r="E149" s="49" t="s">
        <v>89</v>
      </c>
      <c r="F149" s="50" t="n">
        <f aca="false">VLOOKUP(C149,'Top Redes'!A:D,4,0)</f>
        <v>48220.6903866667</v>
      </c>
      <c r="G149" s="50" t="n">
        <f aca="false">IFERROR(VLOOKUP($A149,'319'!$B:$H,7,0),0)</f>
        <v>-754.43</v>
      </c>
    </row>
    <row r="150" customFormat="false" ht="14.4" hidden="false" customHeight="false" outlineLevel="0" collapsed="false">
      <c r="A150" s="48" t="n">
        <v>33768854000414</v>
      </c>
      <c r="B150" s="49" t="s">
        <v>1840</v>
      </c>
      <c r="C150" s="49" t="s">
        <v>31</v>
      </c>
      <c r="D150" s="49" t="s">
        <v>1840</v>
      </c>
      <c r="E150" s="49" t="s">
        <v>89</v>
      </c>
      <c r="F150" s="50" t="n">
        <f aca="false">VLOOKUP(C150,'Top Redes'!A:D,4,0)</f>
        <v>48220.6903866667</v>
      </c>
      <c r="G150" s="50" t="n">
        <f aca="false">IFERROR(VLOOKUP($A150,'319'!$B:$H,7,0),0)</f>
        <v>-677.34</v>
      </c>
    </row>
    <row r="151" customFormat="false" ht="14.4" hidden="false" customHeight="false" outlineLevel="0" collapsed="false">
      <c r="A151" s="48" t="n">
        <v>35831943000140</v>
      </c>
      <c r="B151" s="49" t="s">
        <v>2965</v>
      </c>
      <c r="C151" s="49" t="s">
        <v>38</v>
      </c>
      <c r="D151" s="49" t="s">
        <v>2965</v>
      </c>
      <c r="E151" s="49" t="s">
        <v>77</v>
      </c>
      <c r="F151" s="50" t="n">
        <f aca="false">VLOOKUP(C151,'Top Redes'!A:D,4,0)</f>
        <v>64577.796525</v>
      </c>
      <c r="G151" s="50" t="n">
        <f aca="false">IFERROR(VLOOKUP($A151,'319'!$B:$H,7,0),0)</f>
        <v>12395.95</v>
      </c>
    </row>
    <row r="152" customFormat="false" ht="14.4" hidden="false" customHeight="false" outlineLevel="0" collapsed="false">
      <c r="A152" s="48" t="n">
        <v>35831943000221</v>
      </c>
      <c r="B152" s="49" t="s">
        <v>2965</v>
      </c>
      <c r="C152" s="49" t="s">
        <v>38</v>
      </c>
      <c r="D152" s="49" t="s">
        <v>108</v>
      </c>
      <c r="E152" s="49" t="s">
        <v>129</v>
      </c>
      <c r="F152" s="50" t="n">
        <f aca="false">VLOOKUP(C152,'Top Redes'!A:D,4,0)</f>
        <v>64577.796525</v>
      </c>
      <c r="G152" s="50" t="n">
        <f aca="false">IFERROR(VLOOKUP($A152,'319'!$B:$H,7,0),0)</f>
        <v>15944.57</v>
      </c>
    </row>
    <row r="153" customFormat="false" ht="14.4" hidden="false" customHeight="false" outlineLevel="0" collapsed="false">
      <c r="A153" s="48" t="n">
        <v>35831943000302</v>
      </c>
      <c r="B153" s="49" t="s">
        <v>2965</v>
      </c>
      <c r="C153" s="49" t="s">
        <v>38</v>
      </c>
      <c r="D153" s="49" t="s">
        <v>108</v>
      </c>
      <c r="E153" s="49" t="s">
        <v>77</v>
      </c>
      <c r="F153" s="50" t="n">
        <f aca="false">VLOOKUP(C153,'Top Redes'!A:D,4,0)</f>
        <v>64577.796525</v>
      </c>
      <c r="G153" s="50" t="n">
        <f aca="false">IFERROR(VLOOKUP($A153,'319'!$B:$H,7,0),0)</f>
        <v>13782.95</v>
      </c>
    </row>
    <row r="154" customFormat="false" ht="14.4" hidden="false" customHeight="false" outlineLevel="0" collapsed="false">
      <c r="A154" s="48" t="n">
        <v>35831943000493</v>
      </c>
      <c r="B154" s="49" t="s">
        <v>2965</v>
      </c>
      <c r="C154" s="49" t="s">
        <v>38</v>
      </c>
      <c r="D154" s="49" t="s">
        <v>108</v>
      </c>
      <c r="E154" s="49" t="s">
        <v>117</v>
      </c>
      <c r="F154" s="50" t="n">
        <f aca="false">VLOOKUP(C154,'Top Redes'!A:D,4,0)</f>
        <v>64577.796525</v>
      </c>
      <c r="G154" s="50" t="n">
        <f aca="false">IFERROR(VLOOKUP($A154,'319'!$B:$H,7,0),0)</f>
        <v>13736.94</v>
      </c>
    </row>
    <row r="155" customFormat="false" ht="14.4" hidden="false" customHeight="false" outlineLevel="0" collapsed="false">
      <c r="A155" s="48" t="n">
        <v>35831943000574</v>
      </c>
      <c r="B155" s="49" t="s">
        <v>2965</v>
      </c>
      <c r="C155" s="49" t="s">
        <v>38</v>
      </c>
      <c r="D155" s="49" t="s">
        <v>108</v>
      </c>
      <c r="E155" s="49" t="s">
        <v>77</v>
      </c>
      <c r="F155" s="50" t="n">
        <f aca="false">VLOOKUP(C155,'Top Redes'!A:D,4,0)</f>
        <v>64577.796525</v>
      </c>
      <c r="G155" s="50" t="n">
        <f aca="false">IFERROR(VLOOKUP($A155,'319'!$B:$H,7,0),0)</f>
        <v>11480.03</v>
      </c>
    </row>
    <row r="156" customFormat="false" ht="14.4" hidden="false" customHeight="false" outlineLevel="0" collapsed="false">
      <c r="A156" s="48" t="n">
        <v>35831943000655</v>
      </c>
      <c r="B156" s="49" t="s">
        <v>2965</v>
      </c>
      <c r="C156" s="49" t="s">
        <v>38</v>
      </c>
      <c r="D156" s="49" t="s">
        <v>108</v>
      </c>
      <c r="E156" s="49" t="s">
        <v>77</v>
      </c>
      <c r="F156" s="50" t="n">
        <f aca="false">VLOOKUP(C156,'Top Redes'!A:D,4,0)</f>
        <v>64577.796525</v>
      </c>
      <c r="G156" s="50" t="n">
        <f aca="false">IFERROR(VLOOKUP($A156,'319'!$B:$H,7,0),0)</f>
        <v>182.83</v>
      </c>
    </row>
    <row r="157" customFormat="false" ht="14.4" hidden="false" customHeight="false" outlineLevel="0" collapsed="false">
      <c r="A157" s="48" t="n">
        <v>35831943000736</v>
      </c>
      <c r="B157" s="49" t="s">
        <v>2965</v>
      </c>
      <c r="C157" s="49" t="s">
        <v>38</v>
      </c>
      <c r="D157" s="49" t="s">
        <v>108</v>
      </c>
      <c r="E157" s="49" t="s">
        <v>77</v>
      </c>
      <c r="F157" s="50" t="n">
        <f aca="false">VLOOKUP(C157,'Top Redes'!A:D,4,0)</f>
        <v>64577.796525</v>
      </c>
      <c r="G157" s="50" t="n">
        <f aca="false">IFERROR(VLOOKUP($A157,'319'!$B:$H,7,0),0)</f>
        <v>6604.26</v>
      </c>
    </row>
    <row r="158" customFormat="false" ht="14.4" hidden="false" customHeight="false" outlineLevel="0" collapsed="false">
      <c r="A158" s="48" t="n">
        <v>43437785000177</v>
      </c>
      <c r="B158" s="49" t="s">
        <v>523</v>
      </c>
      <c r="C158" s="49" t="s">
        <v>27</v>
      </c>
      <c r="D158" s="49" t="s">
        <v>2873</v>
      </c>
      <c r="E158" s="49" t="s">
        <v>127</v>
      </c>
      <c r="F158" s="50" t="n">
        <f aca="false">VLOOKUP(C158,'Top Redes'!A:D,4,0)</f>
        <v>52298.3323</v>
      </c>
      <c r="G158" s="50" t="n">
        <f aca="false">IFERROR(VLOOKUP($A158,'319'!$B:$H,7,0),0)</f>
        <v>54084.81</v>
      </c>
    </row>
    <row r="159" customFormat="false" ht="14.4" hidden="false" customHeight="false" outlineLevel="0" collapsed="false">
      <c r="A159" s="48" t="n">
        <v>46876542000123</v>
      </c>
      <c r="B159" s="49" t="s">
        <v>2966</v>
      </c>
      <c r="C159" s="49" t="s">
        <v>34</v>
      </c>
      <c r="D159" s="49" t="s">
        <v>2967</v>
      </c>
      <c r="E159" s="49" t="s">
        <v>139</v>
      </c>
      <c r="F159" s="50" t="n">
        <f aca="false">VLOOKUP(C159,'Top Redes'!A:D,4,0)</f>
        <v>27961.82062</v>
      </c>
      <c r="G159" s="50" t="n">
        <f aca="false">IFERROR(VLOOKUP($A159,'319'!$B:$H,7,0),0)</f>
        <v>19363.87</v>
      </c>
    </row>
    <row r="160" customFormat="false" ht="14.4" hidden="false" customHeight="false" outlineLevel="0" collapsed="false">
      <c r="A160" s="48" t="n">
        <v>46876542000204</v>
      </c>
      <c r="B160" s="49" t="s">
        <v>2966</v>
      </c>
      <c r="C160" s="49" t="s">
        <v>34</v>
      </c>
      <c r="D160" s="49" t="s">
        <v>2968</v>
      </c>
      <c r="E160" s="49" t="s">
        <v>680</v>
      </c>
      <c r="F160" s="50" t="n">
        <f aca="false">VLOOKUP(C160,'Top Redes'!A:D,4,0)</f>
        <v>27961.82062</v>
      </c>
      <c r="G160" s="50" t="n">
        <f aca="false">IFERROR(VLOOKUP($A160,'319'!$B:$H,7,0),0)</f>
        <v>7051.11</v>
      </c>
    </row>
  </sheetData>
  <autoFilter ref="A2:G160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983" activeCellId="0" sqref="G8983"/>
    </sheetView>
  </sheetViews>
  <sheetFormatPr defaultColWidth="9.109375" defaultRowHeight="14.4" customHeight="false" zeroHeight="false" outlineLevelRow="0" outlineLevelCol="0"/>
  <cols>
    <col collapsed="false" customWidth="true" hidden="false" outlineLevel="0" max="1" min="1" style="35" width="15.11"/>
    <col collapsed="false" customWidth="true" hidden="false" outlineLevel="0" max="2" min="2" style="34" width="45.44"/>
    <col collapsed="false" customWidth="true" hidden="false" outlineLevel="0" max="3" min="3" style="34" width="25.77"/>
    <col collapsed="false" customWidth="true" hidden="false" outlineLevel="0" max="4" min="4" style="34" width="33.11"/>
    <col collapsed="false" customWidth="true" hidden="false" outlineLevel="0" max="5" min="5" style="34" width="44"/>
    <col collapsed="false" customWidth="true" hidden="false" outlineLevel="0" max="6" min="6" style="34" width="11.22"/>
    <col collapsed="false" customWidth="true" hidden="false" outlineLevel="0" max="7" min="7" style="34" width="15"/>
    <col collapsed="false" customWidth="false" hidden="false" outlineLevel="0" max="16384" min="8" style="34" width="9.11"/>
  </cols>
  <sheetData>
    <row r="1" customFormat="false" ht="14.4" hidden="false" customHeight="false" outlineLevel="0" collapsed="false">
      <c r="A1" s="51" t="s">
        <v>43</v>
      </c>
      <c r="B1" s="52" t="s">
        <v>2770</v>
      </c>
      <c r="C1" s="52" t="s">
        <v>2773</v>
      </c>
      <c r="D1" s="52" t="s">
        <v>2771</v>
      </c>
      <c r="E1" s="30" t="s">
        <v>2772</v>
      </c>
      <c r="F1" s="52" t="s">
        <v>485</v>
      </c>
      <c r="G1" s="52" t="s">
        <v>2969</v>
      </c>
    </row>
    <row r="2" customFormat="false" ht="14.4" hidden="true" customHeight="false" outlineLevel="0" collapsed="false">
      <c r="A2" s="34" t="n">
        <v>1178113</v>
      </c>
      <c r="B2" s="34" t="s">
        <v>2970</v>
      </c>
      <c r="C2" s="34" t="s">
        <v>77</v>
      </c>
      <c r="E2" s="30" t="s">
        <v>2971</v>
      </c>
      <c r="F2" s="34" t="n">
        <f aca="false">IFERROR(VLOOKUP($A2,'319'!$B:$H,7,0),0)</f>
        <v>0</v>
      </c>
      <c r="G2" s="34" t="n">
        <f aca="false">SUMIFS('12.326ana'!$C:$C,'12.326ana'!$M:$M,redes!A2)</f>
        <v>0</v>
      </c>
    </row>
    <row r="3" customFormat="false" ht="14.4" hidden="true" customHeight="false" outlineLevel="0" collapsed="false">
      <c r="A3" s="34" t="n">
        <v>6498132</v>
      </c>
      <c r="B3" s="34" t="s">
        <v>2972</v>
      </c>
      <c r="C3" s="34" t="s">
        <v>77</v>
      </c>
      <c r="E3" s="30" t="s">
        <v>2973</v>
      </c>
      <c r="F3" s="34" t="n">
        <f aca="false">IFERROR(VLOOKUP($A3,'319'!$B:$H,7,0),0)</f>
        <v>0</v>
      </c>
      <c r="G3" s="34" t="n">
        <f aca="false">SUMIFS('12.326ana'!$C:$C,'12.326ana'!$M:$M,redes!A3)</f>
        <v>0</v>
      </c>
    </row>
    <row r="4" customFormat="false" ht="14.4" hidden="true" customHeight="false" outlineLevel="0" collapsed="false">
      <c r="A4" s="34" t="n">
        <v>8442843</v>
      </c>
      <c r="B4" s="34" t="s">
        <v>2974</v>
      </c>
      <c r="C4" s="34" t="s">
        <v>77</v>
      </c>
      <c r="E4" s="30" t="s">
        <v>2975</v>
      </c>
      <c r="F4" s="34" t="n">
        <f aca="false">IFERROR(VLOOKUP($A4,'319'!$B:$H,7,0),0)</f>
        <v>0</v>
      </c>
      <c r="G4" s="34" t="n">
        <f aca="false">SUMIFS('12.326ana'!$C:$C,'12.326ana'!$M:$M,redes!A4)</f>
        <v>0</v>
      </c>
    </row>
    <row r="5" customFormat="false" ht="14.4" hidden="true" customHeight="false" outlineLevel="0" collapsed="false">
      <c r="A5" s="34" t="n">
        <v>24921130</v>
      </c>
      <c r="B5" s="34" t="s">
        <v>2976</v>
      </c>
      <c r="C5" s="34" t="s">
        <v>139</v>
      </c>
      <c r="E5" s="30" t="s">
        <v>2977</v>
      </c>
      <c r="F5" s="34" t="n">
        <f aca="false">IFERROR(VLOOKUP($A5,'319'!$B:$H,7,0),0)</f>
        <v>0</v>
      </c>
      <c r="G5" s="34" t="n">
        <f aca="false">SUMIFS('12.326ana'!$C:$C,'12.326ana'!$M:$M,redes!A5)</f>
        <v>0</v>
      </c>
    </row>
    <row r="6" customFormat="false" ht="14.4" hidden="true" customHeight="false" outlineLevel="0" collapsed="false">
      <c r="A6" s="34" t="n">
        <v>29174163</v>
      </c>
      <c r="B6" s="34" t="s">
        <v>2978</v>
      </c>
      <c r="C6" s="34" t="s">
        <v>77</v>
      </c>
      <c r="E6" s="30" t="s">
        <v>2979</v>
      </c>
      <c r="F6" s="34" t="n">
        <f aca="false">IFERROR(VLOOKUP($A6,'319'!$B:$H,7,0),0)</f>
        <v>0</v>
      </c>
      <c r="G6" s="34" t="n">
        <f aca="false">SUMIFS('12.326ana'!$C:$C,'12.326ana'!$M:$M,redes!A6)</f>
        <v>0</v>
      </c>
    </row>
    <row r="7" customFormat="false" ht="14.4" hidden="true" customHeight="false" outlineLevel="0" collapsed="false">
      <c r="A7" s="34" t="n">
        <v>32893116</v>
      </c>
      <c r="B7" s="34" t="s">
        <v>2980</v>
      </c>
      <c r="C7" s="34" t="s">
        <v>77</v>
      </c>
      <c r="E7" s="30"/>
      <c r="F7" s="34" t="n">
        <f aca="false">IFERROR(VLOOKUP($A7,'319'!$B:$H,7,0),0)</f>
        <v>0</v>
      </c>
      <c r="G7" s="34" t="n">
        <f aca="false">SUMIFS('12.326ana'!$C:$C,'12.326ana'!$M:$M,redes!A7)</f>
        <v>0</v>
      </c>
    </row>
    <row r="8" customFormat="false" ht="14.4" hidden="true" customHeight="false" outlineLevel="0" collapsed="false">
      <c r="A8" s="34" t="n">
        <v>32926146</v>
      </c>
      <c r="B8" s="34" t="s">
        <v>2981</v>
      </c>
      <c r="C8" s="34" t="s">
        <v>475</v>
      </c>
      <c r="E8" s="30" t="s">
        <v>2982</v>
      </c>
      <c r="F8" s="34" t="n">
        <f aca="false">IFERROR(VLOOKUP($A8,'319'!$B:$H,7,0),0)</f>
        <v>0</v>
      </c>
      <c r="G8" s="34" t="n">
        <f aca="false">SUMIFS('12.326ana'!$C:$C,'12.326ana'!$M:$M,redes!A8)</f>
        <v>0</v>
      </c>
    </row>
    <row r="9" customFormat="false" ht="14.4" hidden="true" customHeight="false" outlineLevel="0" collapsed="false">
      <c r="A9" s="34" t="n">
        <v>33571120</v>
      </c>
      <c r="B9" s="34" t="s">
        <v>2983</v>
      </c>
      <c r="C9" s="34" t="s">
        <v>77</v>
      </c>
      <c r="E9" s="30" t="s">
        <v>2984</v>
      </c>
      <c r="F9" s="34" t="n">
        <f aca="false">IFERROR(VLOOKUP($A9,'319'!$B:$H,7,0),0)</f>
        <v>0</v>
      </c>
      <c r="G9" s="34" t="n">
        <f aca="false">SUMIFS('12.326ana'!$C:$C,'12.326ana'!$M:$M,redes!A9)</f>
        <v>0</v>
      </c>
    </row>
    <row r="10" customFormat="false" ht="14.4" hidden="true" customHeight="false" outlineLevel="0" collapsed="false">
      <c r="A10" s="34" t="n">
        <v>34263348</v>
      </c>
      <c r="B10" s="34" t="s">
        <v>2985</v>
      </c>
      <c r="C10" s="34" t="s">
        <v>77</v>
      </c>
      <c r="E10" s="30" t="s">
        <v>2986</v>
      </c>
      <c r="F10" s="34" t="n">
        <f aca="false">IFERROR(VLOOKUP($A10,'319'!$B:$H,7,0),0)</f>
        <v>0</v>
      </c>
      <c r="G10" s="34" t="n">
        <f aca="false">SUMIFS('12.326ana'!$C:$C,'12.326ana'!$M:$M,redes!A10)</f>
        <v>0</v>
      </c>
    </row>
    <row r="11" customFormat="false" ht="14.4" hidden="true" customHeight="false" outlineLevel="0" collapsed="false">
      <c r="A11" s="34" t="n">
        <v>37302396</v>
      </c>
      <c r="B11" s="34" t="s">
        <v>2987</v>
      </c>
      <c r="C11" s="34" t="s">
        <v>107</v>
      </c>
      <c r="E11" s="30" t="s">
        <v>2988</v>
      </c>
      <c r="F11" s="34" t="n">
        <f aca="false">IFERROR(VLOOKUP($A11,'319'!$B:$H,7,0),0)</f>
        <v>0</v>
      </c>
      <c r="G11" s="34" t="n">
        <f aca="false">SUMIFS('12.326ana'!$C:$C,'12.326ana'!$M:$M,redes!A11)</f>
        <v>0</v>
      </c>
    </row>
    <row r="12" customFormat="false" ht="14.4" hidden="true" customHeight="false" outlineLevel="0" collapsed="false">
      <c r="A12" s="34" t="n">
        <v>41223136</v>
      </c>
      <c r="B12" s="34" t="s">
        <v>2989</v>
      </c>
      <c r="C12" s="34" t="s">
        <v>1272</v>
      </c>
      <c r="E12" s="30" t="s">
        <v>2990</v>
      </c>
      <c r="F12" s="34" t="n">
        <f aca="false">IFERROR(VLOOKUP($A12,'319'!$B:$H,7,0),0)</f>
        <v>0</v>
      </c>
      <c r="G12" s="34" t="n">
        <f aca="false">SUMIFS('12.326ana'!$C:$C,'12.326ana'!$M:$M,redes!A12)</f>
        <v>0</v>
      </c>
    </row>
    <row r="13" customFormat="false" ht="14.4" hidden="true" customHeight="false" outlineLevel="0" collapsed="false">
      <c r="A13" s="34" t="n">
        <v>42116422</v>
      </c>
      <c r="B13" s="34" t="s">
        <v>2991</v>
      </c>
      <c r="C13" s="34" t="s">
        <v>77</v>
      </c>
      <c r="E13" s="30" t="s">
        <v>2992</v>
      </c>
      <c r="F13" s="34" t="n">
        <f aca="false">IFERROR(VLOOKUP($A13,'319'!$B:$H,7,0),0)</f>
        <v>0</v>
      </c>
      <c r="G13" s="34" t="n">
        <f aca="false">SUMIFS('12.326ana'!$C:$C,'12.326ana'!$M:$M,redes!A13)</f>
        <v>0</v>
      </c>
    </row>
    <row r="14" customFormat="false" ht="14.4" hidden="true" customHeight="false" outlineLevel="0" collapsed="false">
      <c r="A14" s="34" t="n">
        <v>48093513</v>
      </c>
      <c r="B14" s="34" t="s">
        <v>2993</v>
      </c>
      <c r="C14" s="34" t="s">
        <v>77</v>
      </c>
      <c r="E14" s="30" t="s">
        <v>2994</v>
      </c>
      <c r="F14" s="34" t="n">
        <f aca="false">IFERROR(VLOOKUP($A14,'319'!$B:$H,7,0),0)</f>
        <v>0</v>
      </c>
      <c r="G14" s="34" t="n">
        <f aca="false">SUMIFS('12.326ana'!$C:$C,'12.326ana'!$M:$M,redes!A14)</f>
        <v>0</v>
      </c>
    </row>
    <row r="15" customFormat="false" ht="14.4" hidden="true" customHeight="false" outlineLevel="0" collapsed="false">
      <c r="A15" s="34" t="n">
        <v>49871102</v>
      </c>
      <c r="B15" s="34" t="s">
        <v>2995</v>
      </c>
      <c r="C15" s="34" t="s">
        <v>77</v>
      </c>
      <c r="E15" s="30" t="s">
        <v>2996</v>
      </c>
      <c r="F15" s="34" t="n">
        <f aca="false">IFERROR(VLOOKUP($A15,'319'!$B:$H,7,0),0)</f>
        <v>0</v>
      </c>
      <c r="G15" s="34" t="n">
        <f aca="false">SUMIFS('12.326ana'!$C:$C,'12.326ana'!$M:$M,redes!A15)</f>
        <v>0</v>
      </c>
    </row>
    <row r="16" customFormat="false" ht="14.4" hidden="true" customHeight="false" outlineLevel="0" collapsed="false">
      <c r="A16" s="34" t="n">
        <v>62672118</v>
      </c>
      <c r="B16" s="34" t="s">
        <v>2997</v>
      </c>
      <c r="C16" s="34" t="s">
        <v>2998</v>
      </c>
      <c r="E16" s="30" t="s">
        <v>2999</v>
      </c>
      <c r="F16" s="34" t="n">
        <f aca="false">IFERROR(VLOOKUP($A16,'319'!$B:$H,7,0),0)</f>
        <v>0</v>
      </c>
      <c r="G16" s="34" t="n">
        <f aca="false">SUMIFS('12.326ana'!$C:$C,'12.326ana'!$M:$M,redes!A16)</f>
        <v>0</v>
      </c>
    </row>
    <row r="17" customFormat="false" ht="14.4" hidden="true" customHeight="false" outlineLevel="0" collapsed="false">
      <c r="A17" s="34" t="n">
        <v>63064111</v>
      </c>
      <c r="B17" s="34" t="s">
        <v>3000</v>
      </c>
      <c r="C17" s="34" t="s">
        <v>107</v>
      </c>
      <c r="E17" s="30" t="s">
        <v>3001</v>
      </c>
      <c r="F17" s="34" t="n">
        <f aca="false">IFERROR(VLOOKUP($A17,'319'!$B:$H,7,0),0)</f>
        <v>0</v>
      </c>
      <c r="G17" s="34" t="n">
        <f aca="false">SUMIFS('12.326ana'!$C:$C,'12.326ana'!$M:$M,redes!A17)</f>
        <v>0</v>
      </c>
    </row>
    <row r="18" customFormat="false" ht="14.4" hidden="true" customHeight="false" outlineLevel="0" collapsed="false">
      <c r="A18" s="34" t="n">
        <v>63354110</v>
      </c>
      <c r="B18" s="34" t="s">
        <v>3002</v>
      </c>
      <c r="C18" s="34" t="s">
        <v>77</v>
      </c>
      <c r="E18" s="30" t="s">
        <v>3003</v>
      </c>
      <c r="F18" s="34" t="n">
        <f aca="false">IFERROR(VLOOKUP($A18,'319'!$B:$H,7,0),0)</f>
        <v>0</v>
      </c>
      <c r="G18" s="34" t="n">
        <f aca="false">SUMIFS('12.326ana'!$C:$C,'12.326ana'!$M:$M,redes!A18)</f>
        <v>0</v>
      </c>
    </row>
    <row r="19" customFormat="false" ht="14.4" hidden="true" customHeight="false" outlineLevel="0" collapsed="false">
      <c r="A19" s="34" t="n">
        <v>63556170</v>
      </c>
      <c r="B19" s="34" t="s">
        <v>3004</v>
      </c>
      <c r="C19" s="34" t="s">
        <v>107</v>
      </c>
      <c r="E19" s="30" t="s">
        <v>3004</v>
      </c>
      <c r="F19" s="34" t="n">
        <f aca="false">IFERROR(VLOOKUP($A19,'319'!$B:$H,7,0),0)</f>
        <v>0</v>
      </c>
      <c r="G19" s="34" t="n">
        <f aca="false">SUMIFS('12.326ana'!$C:$C,'12.326ana'!$M:$M,redes!A19)</f>
        <v>0</v>
      </c>
    </row>
    <row r="20" customFormat="false" ht="14.4" hidden="true" customHeight="false" outlineLevel="0" collapsed="false">
      <c r="A20" s="34" t="n">
        <v>63651165</v>
      </c>
      <c r="B20" s="34" t="s">
        <v>3005</v>
      </c>
      <c r="C20" s="34" t="s">
        <v>77</v>
      </c>
      <c r="E20" s="30" t="s">
        <v>3006</v>
      </c>
      <c r="F20" s="34" t="n">
        <f aca="false">IFERROR(VLOOKUP($A20,'319'!$B:$H,7,0),0)</f>
        <v>0</v>
      </c>
      <c r="G20" s="34" t="n">
        <f aca="false">SUMIFS('12.326ana'!$C:$C,'12.326ana'!$M:$M,redes!A20)</f>
        <v>0</v>
      </c>
    </row>
    <row r="21" customFormat="false" ht="14.4" hidden="true" customHeight="false" outlineLevel="0" collapsed="false">
      <c r="A21" s="34" t="n">
        <v>64261158</v>
      </c>
      <c r="B21" s="34" t="s">
        <v>3007</v>
      </c>
      <c r="C21" s="34" t="s">
        <v>77</v>
      </c>
      <c r="E21" s="30" t="s">
        <v>3008</v>
      </c>
      <c r="F21" s="34" t="n">
        <f aca="false">IFERROR(VLOOKUP($A21,'319'!$B:$H,7,0),0)</f>
        <v>0</v>
      </c>
      <c r="G21" s="34" t="n">
        <f aca="false">SUMIFS('12.326ana'!$C:$C,'12.326ana'!$M:$M,redes!A21)</f>
        <v>0</v>
      </c>
    </row>
    <row r="22" customFormat="false" ht="14.4" hidden="true" customHeight="false" outlineLevel="0" collapsed="false">
      <c r="A22" s="34" t="n">
        <v>71488103</v>
      </c>
      <c r="B22" s="34" t="s">
        <v>3009</v>
      </c>
      <c r="C22" s="34" t="s">
        <v>107</v>
      </c>
      <c r="E22" s="30"/>
      <c r="F22" s="34" t="n">
        <f aca="false">IFERROR(VLOOKUP($A22,'319'!$B:$H,7,0),0)</f>
        <v>0</v>
      </c>
      <c r="G22" s="34" t="n">
        <f aca="false">SUMIFS('12.326ana'!$C:$C,'12.326ana'!$M:$M,redes!A22)</f>
        <v>0</v>
      </c>
    </row>
    <row r="23" customFormat="false" ht="14.4" hidden="true" customHeight="false" outlineLevel="0" collapsed="false">
      <c r="A23" s="34" t="n">
        <v>73799351</v>
      </c>
      <c r="B23" s="34" t="s">
        <v>3010</v>
      </c>
      <c r="C23" s="34" t="s">
        <v>77</v>
      </c>
      <c r="E23" s="30" t="s">
        <v>3011</v>
      </c>
      <c r="F23" s="34" t="n">
        <f aca="false">IFERROR(VLOOKUP($A23,'319'!$B:$H,7,0),0)</f>
        <v>0</v>
      </c>
      <c r="G23" s="34" t="n">
        <f aca="false">SUMIFS('12.326ana'!$C:$C,'12.326ana'!$M:$M,redes!A23)</f>
        <v>0</v>
      </c>
    </row>
    <row r="24" customFormat="false" ht="14.4" hidden="true" customHeight="false" outlineLevel="0" collapsed="false">
      <c r="A24" s="34" t="n">
        <v>77511174</v>
      </c>
      <c r="B24" s="34" t="s">
        <v>3012</v>
      </c>
      <c r="C24" s="34" t="s">
        <v>77</v>
      </c>
      <c r="E24" s="30" t="s">
        <v>3013</v>
      </c>
      <c r="F24" s="34" t="n">
        <f aca="false">IFERROR(VLOOKUP($A24,'319'!$B:$H,7,0),0)</f>
        <v>0</v>
      </c>
      <c r="G24" s="34" t="n">
        <f aca="false">SUMIFS('12.326ana'!$C:$C,'12.326ana'!$M:$M,redes!A24)</f>
        <v>0</v>
      </c>
    </row>
    <row r="25" customFormat="false" ht="14.4" hidden="true" customHeight="false" outlineLevel="0" collapsed="false">
      <c r="A25" s="34" t="n">
        <v>81935170</v>
      </c>
      <c r="B25" s="34" t="s">
        <v>3014</v>
      </c>
      <c r="C25" s="34" t="s">
        <v>77</v>
      </c>
      <c r="E25" s="30" t="s">
        <v>3015</v>
      </c>
      <c r="F25" s="34" t="n">
        <f aca="false">IFERROR(VLOOKUP($A25,'319'!$B:$H,7,0),0)</f>
        <v>0</v>
      </c>
      <c r="G25" s="34" t="n">
        <f aca="false">SUMIFS('12.326ana'!$C:$C,'12.326ana'!$M:$M,redes!A25)</f>
        <v>0</v>
      </c>
    </row>
    <row r="26" customFormat="false" ht="14.4" hidden="true" customHeight="false" outlineLevel="0" collapsed="false">
      <c r="A26" s="34" t="n">
        <v>82174164</v>
      </c>
      <c r="B26" s="34" t="s">
        <v>3016</v>
      </c>
      <c r="C26" s="34" t="s">
        <v>77</v>
      </c>
      <c r="E26" s="30" t="s">
        <v>3016</v>
      </c>
      <c r="F26" s="34" t="n">
        <f aca="false">IFERROR(VLOOKUP($A26,'319'!$B:$H,7,0),0)</f>
        <v>0</v>
      </c>
      <c r="G26" s="34" t="n">
        <f aca="false">SUMIFS('12.326ana'!$C:$C,'12.326ana'!$M:$M,redes!A26)</f>
        <v>0</v>
      </c>
    </row>
    <row r="27" customFormat="false" ht="14.4" hidden="true" customHeight="false" outlineLevel="0" collapsed="false">
      <c r="A27" s="34" t="n">
        <v>83890122</v>
      </c>
      <c r="B27" s="34" t="s">
        <v>3017</v>
      </c>
      <c r="C27" s="34" t="s">
        <v>309</v>
      </c>
      <c r="E27" s="30" t="s">
        <v>3018</v>
      </c>
      <c r="F27" s="34" t="n">
        <f aca="false">IFERROR(VLOOKUP($A27,'319'!$B:$H,7,0),0)</f>
        <v>0</v>
      </c>
      <c r="G27" s="34" t="n">
        <f aca="false">SUMIFS('12.326ana'!$C:$C,'12.326ana'!$M:$M,redes!A27)</f>
        <v>0</v>
      </c>
    </row>
    <row r="28" customFormat="false" ht="14.4" hidden="true" customHeight="false" outlineLevel="0" collapsed="false">
      <c r="A28" s="34" t="n">
        <v>90526155</v>
      </c>
      <c r="B28" s="34" t="s">
        <v>3019</v>
      </c>
      <c r="C28" s="34" t="s">
        <v>77</v>
      </c>
      <c r="E28" s="30"/>
      <c r="F28" s="34" t="n">
        <f aca="false">IFERROR(VLOOKUP($A28,'319'!$B:$H,7,0),0)</f>
        <v>0</v>
      </c>
      <c r="G28" s="34" t="n">
        <f aca="false">SUMIFS('12.326ana'!$C:$C,'12.326ana'!$M:$M,redes!A28)</f>
        <v>0</v>
      </c>
    </row>
    <row r="29" customFormat="false" ht="14.4" hidden="true" customHeight="false" outlineLevel="0" collapsed="false">
      <c r="A29" s="34" t="n">
        <v>92278140</v>
      </c>
      <c r="B29" s="34" t="s">
        <v>3020</v>
      </c>
      <c r="C29" s="34" t="s">
        <v>1272</v>
      </c>
      <c r="E29" s="30" t="s">
        <v>3021</v>
      </c>
      <c r="F29" s="34" t="n">
        <f aca="false">IFERROR(VLOOKUP($A29,'319'!$B:$H,7,0),0)</f>
        <v>0</v>
      </c>
      <c r="G29" s="34" t="n">
        <f aca="false">SUMIFS('12.326ana'!$C:$C,'12.326ana'!$M:$M,redes!A29)</f>
        <v>0</v>
      </c>
    </row>
    <row r="30" customFormat="false" ht="14.4" hidden="true" customHeight="false" outlineLevel="0" collapsed="false">
      <c r="A30" s="34" t="n">
        <v>93906188</v>
      </c>
      <c r="B30" s="34" t="s">
        <v>3022</v>
      </c>
      <c r="C30" s="34" t="s">
        <v>77</v>
      </c>
      <c r="E30" s="30" t="s">
        <v>3023</v>
      </c>
      <c r="F30" s="34" t="n">
        <f aca="false">IFERROR(VLOOKUP($A30,'319'!$B:$H,7,0),0)</f>
        <v>0</v>
      </c>
      <c r="G30" s="34" t="n">
        <f aca="false">SUMIFS('12.326ana'!$C:$C,'12.326ana'!$M:$M,redes!A30)</f>
        <v>0</v>
      </c>
    </row>
    <row r="31" customFormat="false" ht="14.4" hidden="true" customHeight="false" outlineLevel="0" collapsed="false">
      <c r="A31" s="34" t="n">
        <v>93981120</v>
      </c>
      <c r="B31" s="34" t="s">
        <v>3024</v>
      </c>
      <c r="C31" s="34" t="s">
        <v>139</v>
      </c>
      <c r="E31" s="30" t="s">
        <v>3024</v>
      </c>
      <c r="F31" s="34" t="n">
        <f aca="false">IFERROR(VLOOKUP($A31,'319'!$B:$H,7,0),0)</f>
        <v>0</v>
      </c>
      <c r="G31" s="34" t="n">
        <f aca="false">SUMIFS('12.326ana'!$C:$C,'12.326ana'!$M:$M,redes!A31)</f>
        <v>0</v>
      </c>
    </row>
    <row r="32" customFormat="false" ht="14.4" hidden="true" customHeight="false" outlineLevel="0" collapsed="false">
      <c r="A32" s="34" t="n">
        <v>94980101</v>
      </c>
      <c r="B32" s="34" t="s">
        <v>3025</v>
      </c>
      <c r="C32" s="34" t="s">
        <v>77</v>
      </c>
      <c r="E32" s="30" t="s">
        <v>3026</v>
      </c>
      <c r="F32" s="34" t="n">
        <f aca="false">IFERROR(VLOOKUP($A32,'319'!$B:$H,7,0),0)</f>
        <v>0</v>
      </c>
      <c r="G32" s="34" t="n">
        <f aca="false">SUMIFS('12.326ana'!$C:$C,'12.326ana'!$M:$M,redes!A32)</f>
        <v>0</v>
      </c>
    </row>
    <row r="33" customFormat="false" ht="14.4" hidden="true" customHeight="false" outlineLevel="0" collapsed="false">
      <c r="A33" s="34" t="n">
        <v>96680121</v>
      </c>
      <c r="B33" s="34" t="s">
        <v>3027</v>
      </c>
      <c r="C33" s="34" t="s">
        <v>77</v>
      </c>
      <c r="E33" s="30" t="s">
        <v>3028</v>
      </c>
      <c r="F33" s="34" t="n">
        <f aca="false">IFERROR(VLOOKUP($A33,'319'!$B:$H,7,0),0)</f>
        <v>0</v>
      </c>
      <c r="G33" s="34" t="n">
        <f aca="false">SUMIFS('12.326ana'!$C:$C,'12.326ana'!$M:$M,redes!A33)</f>
        <v>0</v>
      </c>
    </row>
    <row r="34" customFormat="false" ht="14.4" hidden="true" customHeight="false" outlineLevel="0" collapsed="false">
      <c r="A34" s="34" t="n">
        <v>97030120</v>
      </c>
      <c r="B34" s="34" t="s">
        <v>3029</v>
      </c>
      <c r="C34" s="34" t="s">
        <v>77</v>
      </c>
      <c r="E34" s="30" t="s">
        <v>3030</v>
      </c>
      <c r="F34" s="34" t="n">
        <f aca="false">IFERROR(VLOOKUP($A34,'319'!$B:$H,7,0),0)</f>
        <v>0</v>
      </c>
      <c r="G34" s="34" t="n">
        <f aca="false">SUMIFS('12.326ana'!$C:$C,'12.326ana'!$M:$M,redes!A34)</f>
        <v>0</v>
      </c>
    </row>
    <row r="35" customFormat="false" ht="14.4" hidden="true" customHeight="false" outlineLevel="0" collapsed="false">
      <c r="A35" s="34" t="n">
        <v>104112166</v>
      </c>
      <c r="B35" s="34" t="s">
        <v>3031</v>
      </c>
      <c r="C35" s="34" t="s">
        <v>107</v>
      </c>
      <c r="E35" s="30" t="s">
        <v>3032</v>
      </c>
      <c r="F35" s="34" t="n">
        <f aca="false">IFERROR(VLOOKUP($A35,'319'!$B:$H,7,0),0)</f>
        <v>0</v>
      </c>
      <c r="G35" s="34" t="n">
        <f aca="false">SUMIFS('12.326ana'!$C:$C,'12.326ana'!$M:$M,redes!A35)</f>
        <v>0</v>
      </c>
    </row>
    <row r="36" customFormat="false" ht="14.4" hidden="true" customHeight="false" outlineLevel="0" collapsed="false">
      <c r="A36" s="34" t="n">
        <v>108857654</v>
      </c>
      <c r="B36" s="34" t="s">
        <v>3033</v>
      </c>
      <c r="C36" s="34" t="s">
        <v>77</v>
      </c>
      <c r="E36" s="30" t="s">
        <v>3034</v>
      </c>
      <c r="F36" s="34" t="n">
        <f aca="false">IFERROR(VLOOKUP($A36,'319'!$B:$H,7,0),0)</f>
        <v>0</v>
      </c>
      <c r="G36" s="34" t="n">
        <f aca="false">SUMIFS('12.326ana'!$C:$C,'12.326ana'!$M:$M,redes!A36)</f>
        <v>0</v>
      </c>
    </row>
    <row r="37" customFormat="false" ht="14.4" hidden="true" customHeight="false" outlineLevel="0" collapsed="false">
      <c r="A37" s="34" t="n">
        <v>109531167</v>
      </c>
      <c r="B37" s="34" t="s">
        <v>3035</v>
      </c>
      <c r="C37" s="34" t="s">
        <v>77</v>
      </c>
      <c r="E37" s="30" t="s">
        <v>3036</v>
      </c>
      <c r="F37" s="34" t="n">
        <f aca="false">IFERROR(VLOOKUP($A37,'319'!$B:$H,7,0),0)</f>
        <v>0</v>
      </c>
      <c r="G37" s="34" t="n">
        <f aca="false">SUMIFS('12.326ana'!$C:$C,'12.326ana'!$M:$M,redes!A37)</f>
        <v>0</v>
      </c>
    </row>
    <row r="38" customFormat="false" ht="14.4" hidden="true" customHeight="false" outlineLevel="0" collapsed="false">
      <c r="A38" s="34" t="n">
        <v>109830156</v>
      </c>
      <c r="B38" s="34" t="s">
        <v>3037</v>
      </c>
      <c r="C38" s="34" t="s">
        <v>77</v>
      </c>
      <c r="E38" s="30" t="s">
        <v>3038</v>
      </c>
      <c r="F38" s="34" t="n">
        <f aca="false">IFERROR(VLOOKUP($A38,'319'!$B:$H,7,0),0)</f>
        <v>0</v>
      </c>
      <c r="G38" s="34" t="n">
        <f aca="false">SUMIFS('12.326ana'!$C:$C,'12.326ana'!$M:$M,redes!A38)</f>
        <v>0</v>
      </c>
    </row>
    <row r="39" customFormat="false" ht="14.4" hidden="true" customHeight="false" outlineLevel="0" collapsed="false">
      <c r="A39" s="34" t="n">
        <v>109917197</v>
      </c>
      <c r="B39" s="34" t="s">
        <v>3039</v>
      </c>
      <c r="C39" s="34" t="s">
        <v>197</v>
      </c>
      <c r="E39" s="30" t="s">
        <v>3040</v>
      </c>
      <c r="F39" s="34" t="n">
        <f aca="false">IFERROR(VLOOKUP($A39,'319'!$B:$H,7,0),0)</f>
        <v>0</v>
      </c>
      <c r="G39" s="34" t="n">
        <f aca="false">SUMIFS('12.326ana'!$C:$C,'12.326ana'!$M:$M,redes!A39)</f>
        <v>0</v>
      </c>
    </row>
    <row r="40" customFormat="false" ht="14.4" hidden="true" customHeight="false" outlineLevel="0" collapsed="false">
      <c r="A40" s="34" t="n">
        <v>120380161</v>
      </c>
      <c r="B40" s="34" t="s">
        <v>3041</v>
      </c>
      <c r="C40" s="34" t="s">
        <v>77</v>
      </c>
      <c r="E40" s="30" t="s">
        <v>3041</v>
      </c>
      <c r="F40" s="34" t="n">
        <f aca="false">IFERROR(VLOOKUP($A40,'319'!$B:$H,7,0),0)</f>
        <v>0</v>
      </c>
      <c r="G40" s="34" t="n">
        <f aca="false">SUMIFS('12.326ana'!$C:$C,'12.326ana'!$M:$M,redes!A40)</f>
        <v>0</v>
      </c>
    </row>
    <row r="41" customFormat="false" ht="14.4" hidden="true" customHeight="false" outlineLevel="0" collapsed="false">
      <c r="A41" s="34" t="n">
        <v>121050157</v>
      </c>
      <c r="B41" s="34" t="s">
        <v>3042</v>
      </c>
      <c r="C41" s="34" t="s">
        <v>107</v>
      </c>
      <c r="E41" s="30" t="s">
        <v>3043</v>
      </c>
      <c r="F41" s="34" t="n">
        <f aca="false">IFERROR(VLOOKUP($A41,'319'!$B:$H,7,0),0)</f>
        <v>0</v>
      </c>
      <c r="G41" s="34" t="n">
        <f aca="false">SUMIFS('12.326ana'!$C:$C,'12.326ana'!$M:$M,redes!A41)</f>
        <v>0</v>
      </c>
    </row>
    <row r="42" customFormat="false" ht="14.4" hidden="true" customHeight="false" outlineLevel="0" collapsed="false">
      <c r="A42" s="34" t="n">
        <v>121313182</v>
      </c>
      <c r="B42" s="34" t="s">
        <v>3044</v>
      </c>
      <c r="C42" s="34" t="s">
        <v>77</v>
      </c>
      <c r="E42" s="30" t="s">
        <v>3045</v>
      </c>
      <c r="F42" s="34" t="n">
        <f aca="false">IFERROR(VLOOKUP($A42,'319'!$B:$H,7,0),0)</f>
        <v>0</v>
      </c>
      <c r="G42" s="34" t="n">
        <f aca="false">SUMIFS('12.326ana'!$C:$C,'12.326ana'!$M:$M,redes!A42)</f>
        <v>0</v>
      </c>
    </row>
    <row r="43" customFormat="false" ht="14.4" hidden="true" customHeight="false" outlineLevel="0" collapsed="false">
      <c r="A43" s="34" t="n">
        <v>121434133</v>
      </c>
      <c r="B43" s="34" t="s">
        <v>3046</v>
      </c>
      <c r="C43" s="34" t="s">
        <v>77</v>
      </c>
      <c r="E43" s="30"/>
      <c r="F43" s="34" t="n">
        <f aca="false">IFERROR(VLOOKUP($A43,'319'!$B:$H,7,0),0)</f>
        <v>0</v>
      </c>
      <c r="G43" s="34" t="n">
        <f aca="false">SUMIFS('12.326ana'!$C:$C,'12.326ana'!$M:$M,redes!A43)</f>
        <v>0</v>
      </c>
    </row>
    <row r="44" customFormat="false" ht="14.4" hidden="true" customHeight="false" outlineLevel="0" collapsed="false">
      <c r="A44" s="34" t="n">
        <v>123147140</v>
      </c>
      <c r="B44" s="34" t="s">
        <v>3047</v>
      </c>
      <c r="C44" s="34" t="s">
        <v>77</v>
      </c>
      <c r="E44" s="30" t="s">
        <v>3048</v>
      </c>
      <c r="F44" s="34" t="n">
        <f aca="false">IFERROR(VLOOKUP($A44,'319'!$B:$H,7,0),0)</f>
        <v>0</v>
      </c>
      <c r="G44" s="34" t="n">
        <f aca="false">SUMIFS('12.326ana'!$C:$C,'12.326ana'!$M:$M,redes!A44)</f>
        <v>0</v>
      </c>
    </row>
    <row r="45" customFormat="false" ht="14.4" hidden="true" customHeight="false" outlineLevel="0" collapsed="false">
      <c r="A45" s="34" t="n">
        <v>124185100</v>
      </c>
      <c r="B45" s="34" t="s">
        <v>3049</v>
      </c>
      <c r="C45" s="34" t="s">
        <v>107</v>
      </c>
      <c r="E45" s="30" t="s">
        <v>3050</v>
      </c>
      <c r="F45" s="34" t="n">
        <f aca="false">IFERROR(VLOOKUP($A45,'319'!$B:$H,7,0),0)</f>
        <v>0</v>
      </c>
      <c r="G45" s="34" t="n">
        <f aca="false">SUMIFS('12.326ana'!$C:$C,'12.326ana'!$M:$M,redes!A45)</f>
        <v>0</v>
      </c>
    </row>
    <row r="46" customFormat="false" ht="14.4" hidden="true" customHeight="false" outlineLevel="0" collapsed="false">
      <c r="A46" s="34" t="n">
        <v>128209119</v>
      </c>
      <c r="B46" s="34" t="s">
        <v>3051</v>
      </c>
      <c r="C46" s="34" t="s">
        <v>594</v>
      </c>
      <c r="E46" s="30" t="s">
        <v>3052</v>
      </c>
      <c r="F46" s="34" t="n">
        <f aca="false">IFERROR(VLOOKUP($A46,'319'!$B:$H,7,0),0)</f>
        <v>0</v>
      </c>
      <c r="G46" s="34" t="n">
        <f aca="false">SUMIFS('12.326ana'!$C:$C,'12.326ana'!$M:$M,redes!A46)</f>
        <v>0</v>
      </c>
    </row>
    <row r="47" customFormat="false" ht="14.4" hidden="true" customHeight="false" outlineLevel="0" collapsed="false">
      <c r="A47" s="34" t="n">
        <v>128726105</v>
      </c>
      <c r="B47" s="34" t="s">
        <v>3053</v>
      </c>
      <c r="C47" s="34" t="s">
        <v>77</v>
      </c>
      <c r="E47" s="30" t="s">
        <v>3054</v>
      </c>
      <c r="F47" s="34" t="n">
        <f aca="false">IFERROR(VLOOKUP($A47,'319'!$B:$H,7,0),0)</f>
        <v>0</v>
      </c>
      <c r="G47" s="34" t="n">
        <f aca="false">SUMIFS('12.326ana'!$C:$C,'12.326ana'!$M:$M,redes!A47)</f>
        <v>0</v>
      </c>
    </row>
    <row r="48" customFormat="false" ht="14.4" hidden="true" customHeight="false" outlineLevel="0" collapsed="false">
      <c r="A48" s="34" t="n">
        <v>131450107</v>
      </c>
      <c r="B48" s="34" t="s">
        <v>3055</v>
      </c>
      <c r="C48" s="34" t="s">
        <v>77</v>
      </c>
      <c r="E48" s="30" t="s">
        <v>3056</v>
      </c>
      <c r="F48" s="34" t="n">
        <f aca="false">IFERROR(VLOOKUP($A48,'319'!$B:$H,7,0),0)</f>
        <v>0</v>
      </c>
      <c r="G48" s="34" t="n">
        <f aca="false">SUMIFS('12.326ana'!$C:$C,'12.326ana'!$M:$M,redes!A48)</f>
        <v>0</v>
      </c>
    </row>
    <row r="49" customFormat="false" ht="14.4" hidden="true" customHeight="false" outlineLevel="0" collapsed="false">
      <c r="A49" s="34" t="n">
        <v>132280132</v>
      </c>
      <c r="B49" s="34" t="s">
        <v>3057</v>
      </c>
      <c r="C49" s="34" t="s">
        <v>107</v>
      </c>
      <c r="E49" s="30" t="s">
        <v>3058</v>
      </c>
      <c r="F49" s="34" t="n">
        <f aca="false">IFERROR(VLOOKUP($A49,'319'!$B:$H,7,0),0)</f>
        <v>0</v>
      </c>
      <c r="G49" s="34" t="n">
        <f aca="false">SUMIFS('12.326ana'!$C:$C,'12.326ana'!$M:$M,redes!A49)</f>
        <v>0</v>
      </c>
    </row>
    <row r="50" customFormat="false" ht="14.4" hidden="true" customHeight="false" outlineLevel="0" collapsed="false">
      <c r="A50" s="34" t="n">
        <v>134729170</v>
      </c>
      <c r="B50" s="34" t="s">
        <v>3059</v>
      </c>
      <c r="C50" s="34" t="s">
        <v>3060</v>
      </c>
      <c r="E50" s="30" t="s">
        <v>3061</v>
      </c>
      <c r="F50" s="34" t="n">
        <f aca="false">IFERROR(VLOOKUP($A50,'319'!$B:$H,7,0),0)</f>
        <v>0</v>
      </c>
      <c r="G50" s="34" t="n">
        <f aca="false">SUMIFS('12.326ana'!$C:$C,'12.326ana'!$M:$M,redes!A50)</f>
        <v>0</v>
      </c>
    </row>
    <row r="51" customFormat="false" ht="14.4" hidden="true" customHeight="false" outlineLevel="0" collapsed="false">
      <c r="A51" s="34" t="n">
        <v>134749103</v>
      </c>
      <c r="B51" s="34" t="s">
        <v>3062</v>
      </c>
      <c r="C51" s="34" t="s">
        <v>77</v>
      </c>
      <c r="E51" s="30" t="s">
        <v>3063</v>
      </c>
      <c r="F51" s="34" t="n">
        <f aca="false">IFERROR(VLOOKUP($A51,'319'!$B:$H,7,0),0)</f>
        <v>0</v>
      </c>
      <c r="G51" s="34" t="n">
        <f aca="false">SUMIFS('12.326ana'!$C:$C,'12.326ana'!$M:$M,redes!A51)</f>
        <v>0</v>
      </c>
    </row>
    <row r="52" customFormat="false" ht="14.4" hidden="true" customHeight="false" outlineLevel="0" collapsed="false">
      <c r="A52" s="34" t="n">
        <v>134911130</v>
      </c>
      <c r="B52" s="34" t="s">
        <v>3064</v>
      </c>
      <c r="C52" s="34" t="s">
        <v>357</v>
      </c>
      <c r="E52" s="30" t="s">
        <v>3064</v>
      </c>
      <c r="F52" s="34" t="n">
        <f aca="false">IFERROR(VLOOKUP($A52,'319'!$B:$H,7,0),0)</f>
        <v>0</v>
      </c>
      <c r="G52" s="34" t="n">
        <f aca="false">SUMIFS('12.326ana'!$C:$C,'12.326ana'!$M:$M,redes!A52)</f>
        <v>0</v>
      </c>
    </row>
    <row r="53" customFormat="false" ht="14.4" hidden="true" customHeight="false" outlineLevel="0" collapsed="false">
      <c r="A53" s="34" t="n">
        <v>143275119</v>
      </c>
      <c r="B53" s="34" t="s">
        <v>3065</v>
      </c>
      <c r="C53" s="34" t="s">
        <v>77</v>
      </c>
      <c r="E53" s="30" t="s">
        <v>3066</v>
      </c>
      <c r="F53" s="34" t="n">
        <f aca="false">IFERROR(VLOOKUP($A53,'319'!$B:$H,7,0),0)</f>
        <v>0</v>
      </c>
      <c r="G53" s="34" t="n">
        <f aca="false">SUMIFS('12.326ana'!$C:$C,'12.326ana'!$M:$M,redes!A53)</f>
        <v>0</v>
      </c>
    </row>
    <row r="54" customFormat="false" ht="14.4" hidden="true" customHeight="false" outlineLevel="0" collapsed="false">
      <c r="A54" s="34" t="n">
        <v>143335111</v>
      </c>
      <c r="B54" s="34" t="s">
        <v>3067</v>
      </c>
      <c r="C54" s="34" t="s">
        <v>77</v>
      </c>
      <c r="E54" s="30" t="s">
        <v>3068</v>
      </c>
      <c r="F54" s="34" t="n">
        <f aca="false">IFERROR(VLOOKUP($A54,'319'!$B:$H,7,0),0)</f>
        <v>0</v>
      </c>
      <c r="G54" s="34" t="n">
        <f aca="false">SUMIFS('12.326ana'!$C:$C,'12.326ana'!$M:$M,redes!A54)</f>
        <v>0</v>
      </c>
    </row>
    <row r="55" customFormat="false" ht="14.4" hidden="true" customHeight="false" outlineLevel="0" collapsed="false">
      <c r="A55" s="34" t="n">
        <v>145252167</v>
      </c>
      <c r="B55" s="34" t="s">
        <v>3069</v>
      </c>
      <c r="C55" s="34" t="s">
        <v>77</v>
      </c>
      <c r="E55" s="30" t="s">
        <v>3070</v>
      </c>
      <c r="F55" s="34" t="n">
        <f aca="false">IFERROR(VLOOKUP($A55,'319'!$B:$H,7,0),0)</f>
        <v>0</v>
      </c>
      <c r="G55" s="34" t="n">
        <f aca="false">SUMIFS('12.326ana'!$C:$C,'12.326ana'!$M:$M,redes!A55)</f>
        <v>0</v>
      </c>
    </row>
    <row r="56" customFormat="false" ht="14.4" hidden="true" customHeight="false" outlineLevel="0" collapsed="false">
      <c r="A56" s="34" t="n">
        <v>146840127</v>
      </c>
      <c r="B56" s="34" t="s">
        <v>3071</v>
      </c>
      <c r="C56" s="34" t="s">
        <v>77</v>
      </c>
      <c r="E56" s="30" t="s">
        <v>3072</v>
      </c>
      <c r="F56" s="34" t="n">
        <f aca="false">IFERROR(VLOOKUP($A56,'319'!$B:$H,7,0),0)</f>
        <v>0</v>
      </c>
      <c r="G56" s="34" t="n">
        <f aca="false">SUMIFS('12.326ana'!$C:$C,'12.326ana'!$M:$M,redes!A56)</f>
        <v>0</v>
      </c>
    </row>
    <row r="57" customFormat="false" ht="14.4" hidden="true" customHeight="false" outlineLevel="0" collapsed="false">
      <c r="A57" s="34" t="n">
        <v>149660189</v>
      </c>
      <c r="B57" s="34" t="s">
        <v>3073</v>
      </c>
      <c r="C57" s="34" t="s">
        <v>77</v>
      </c>
      <c r="E57" s="30" t="s">
        <v>3074</v>
      </c>
      <c r="F57" s="34" t="n">
        <f aca="false">IFERROR(VLOOKUP($A57,'319'!$B:$H,7,0),0)</f>
        <v>0</v>
      </c>
      <c r="G57" s="34" t="n">
        <f aca="false">SUMIFS('12.326ana'!$C:$C,'12.326ana'!$M:$M,redes!A57)</f>
        <v>0</v>
      </c>
    </row>
    <row r="58" customFormat="false" ht="14.4" hidden="true" customHeight="false" outlineLevel="0" collapsed="false">
      <c r="A58" s="34" t="n">
        <v>155734199</v>
      </c>
      <c r="B58" s="34" t="s">
        <v>3075</v>
      </c>
      <c r="C58" s="34" t="s">
        <v>192</v>
      </c>
      <c r="E58" s="30" t="s">
        <v>3076</v>
      </c>
      <c r="F58" s="34" t="n">
        <f aca="false">IFERROR(VLOOKUP($A58,'319'!$B:$H,7,0),0)</f>
        <v>0</v>
      </c>
      <c r="G58" s="34" t="n">
        <f aca="false">SUMIFS('12.326ana'!$C:$C,'12.326ana'!$M:$M,redes!A58)</f>
        <v>0</v>
      </c>
    </row>
    <row r="59" customFormat="false" ht="14.4" hidden="true" customHeight="false" outlineLevel="0" collapsed="false">
      <c r="A59" s="34" t="n">
        <v>158624106</v>
      </c>
      <c r="B59" s="34" t="s">
        <v>3077</v>
      </c>
      <c r="C59" s="34" t="s">
        <v>77</v>
      </c>
      <c r="E59" s="30" t="s">
        <v>3078</v>
      </c>
      <c r="F59" s="34" t="n">
        <f aca="false">IFERROR(VLOOKUP($A59,'319'!$B:$H,7,0),0)</f>
        <v>0</v>
      </c>
      <c r="G59" s="34" t="n">
        <f aca="false">SUMIFS('12.326ana'!$C:$C,'12.326ana'!$M:$M,redes!A59)</f>
        <v>0</v>
      </c>
    </row>
    <row r="60" customFormat="false" ht="14.4" hidden="true" customHeight="false" outlineLevel="0" collapsed="false">
      <c r="A60" s="34" t="n">
        <v>163159106</v>
      </c>
      <c r="B60" s="34" t="s">
        <v>3079</v>
      </c>
      <c r="C60" s="34" t="s">
        <v>77</v>
      </c>
      <c r="E60" s="30" t="s">
        <v>3080</v>
      </c>
      <c r="F60" s="34" t="n">
        <f aca="false">IFERROR(VLOOKUP($A60,'319'!$B:$H,7,0),0)</f>
        <v>0</v>
      </c>
      <c r="G60" s="34" t="n">
        <f aca="false">SUMIFS('12.326ana'!$C:$C,'12.326ana'!$M:$M,redes!A60)</f>
        <v>0</v>
      </c>
    </row>
    <row r="61" customFormat="false" ht="14.4" hidden="true" customHeight="false" outlineLevel="0" collapsed="false">
      <c r="A61" s="34" t="n">
        <v>166807150</v>
      </c>
      <c r="B61" s="34" t="s">
        <v>3081</v>
      </c>
      <c r="C61" s="34" t="s">
        <v>77</v>
      </c>
      <c r="E61" s="30" t="s">
        <v>3082</v>
      </c>
      <c r="F61" s="34" t="n">
        <f aca="false">IFERROR(VLOOKUP($A61,'319'!$B:$H,7,0),0)</f>
        <v>0</v>
      </c>
      <c r="G61" s="34" t="n">
        <f aca="false">SUMIFS('12.326ana'!$C:$C,'12.326ana'!$M:$M,redes!A61)</f>
        <v>0</v>
      </c>
    </row>
    <row r="62" customFormat="false" ht="14.4" hidden="true" customHeight="false" outlineLevel="0" collapsed="false">
      <c r="A62" s="34" t="n">
        <v>168054108</v>
      </c>
      <c r="B62" s="34" t="s">
        <v>3083</v>
      </c>
      <c r="C62" s="34" t="s">
        <v>139</v>
      </c>
      <c r="E62" s="30" t="s">
        <v>3084</v>
      </c>
      <c r="F62" s="34" t="n">
        <f aca="false">IFERROR(VLOOKUP($A62,'319'!$B:$H,7,0),0)</f>
        <v>0</v>
      </c>
      <c r="G62" s="34" t="n">
        <f aca="false">SUMIFS('12.326ana'!$C:$C,'12.326ana'!$M:$M,redes!A62)</f>
        <v>0</v>
      </c>
    </row>
    <row r="63" customFormat="false" ht="14.4" hidden="true" customHeight="false" outlineLevel="0" collapsed="false">
      <c r="A63" s="34" t="n">
        <v>168713160</v>
      </c>
      <c r="B63" s="34" t="s">
        <v>3085</v>
      </c>
      <c r="C63" s="34" t="s">
        <v>309</v>
      </c>
      <c r="E63" s="30" t="s">
        <v>3086</v>
      </c>
      <c r="F63" s="34" t="n">
        <f aca="false">IFERROR(VLOOKUP($A63,'319'!$B:$H,7,0),0)</f>
        <v>0</v>
      </c>
      <c r="G63" s="34" t="n">
        <f aca="false">SUMIFS('12.326ana'!$C:$C,'12.326ana'!$M:$M,redes!A63)</f>
        <v>0</v>
      </c>
    </row>
    <row r="64" customFormat="false" ht="14.4" hidden="true" customHeight="false" outlineLevel="0" collapsed="false">
      <c r="A64" s="34" t="n">
        <v>170688194</v>
      </c>
      <c r="B64" s="34" t="s">
        <v>3087</v>
      </c>
      <c r="C64" s="34" t="s">
        <v>77</v>
      </c>
      <c r="E64" s="30" t="s">
        <v>3088</v>
      </c>
      <c r="F64" s="34" t="n">
        <f aca="false">IFERROR(VLOOKUP($A64,'319'!$B:$H,7,0),0)</f>
        <v>0</v>
      </c>
      <c r="G64" s="34" t="n">
        <f aca="false">SUMIFS('12.326ana'!$C:$C,'12.326ana'!$M:$M,redes!A64)</f>
        <v>0</v>
      </c>
    </row>
    <row r="65" customFormat="false" ht="14.4" hidden="true" customHeight="false" outlineLevel="0" collapsed="false">
      <c r="A65" s="34" t="n">
        <v>171914163</v>
      </c>
      <c r="B65" s="34" t="s">
        <v>3089</v>
      </c>
      <c r="C65" s="34" t="s">
        <v>103</v>
      </c>
      <c r="E65" s="30" t="s">
        <v>3090</v>
      </c>
      <c r="F65" s="34" t="n">
        <f aca="false">IFERROR(VLOOKUP($A65,'319'!$B:$H,7,0),0)</f>
        <v>0</v>
      </c>
      <c r="G65" s="34" t="n">
        <f aca="false">SUMIFS('12.326ana'!$C:$C,'12.326ana'!$M:$M,redes!A65)</f>
        <v>0</v>
      </c>
    </row>
    <row r="66" customFormat="false" ht="14.4" hidden="true" customHeight="false" outlineLevel="0" collapsed="false">
      <c r="A66" s="34" t="n">
        <v>177074124</v>
      </c>
      <c r="B66" s="34" t="s">
        <v>3091</v>
      </c>
      <c r="C66" s="34" t="s">
        <v>77</v>
      </c>
      <c r="E66" s="30" t="s">
        <v>3092</v>
      </c>
      <c r="F66" s="34" t="n">
        <f aca="false">IFERROR(VLOOKUP($A66,'319'!$B:$H,7,0),0)</f>
        <v>0</v>
      </c>
      <c r="G66" s="34" t="n">
        <f aca="false">SUMIFS('12.326ana'!$C:$C,'12.326ana'!$M:$M,redes!A66)</f>
        <v>0</v>
      </c>
    </row>
    <row r="67" customFormat="false" ht="14.4" hidden="true" customHeight="false" outlineLevel="0" collapsed="false">
      <c r="A67" s="34" t="n">
        <v>177790148</v>
      </c>
      <c r="B67" s="34" t="s">
        <v>3093</v>
      </c>
      <c r="C67" s="34" t="s">
        <v>473</v>
      </c>
      <c r="E67" s="30" t="s">
        <v>3094</v>
      </c>
      <c r="F67" s="34" t="n">
        <f aca="false">IFERROR(VLOOKUP($A67,'319'!$B:$H,7,0),0)</f>
        <v>0</v>
      </c>
      <c r="G67" s="34" t="n">
        <f aca="false">SUMIFS('12.326ana'!$C:$C,'12.326ana'!$M:$M,redes!A67)</f>
        <v>0</v>
      </c>
    </row>
    <row r="68" customFormat="false" ht="14.4" hidden="true" customHeight="false" outlineLevel="0" collapsed="false">
      <c r="A68" s="34" t="n">
        <v>179724185</v>
      </c>
      <c r="B68" s="34" t="s">
        <v>3095</v>
      </c>
      <c r="C68" s="34" t="s">
        <v>309</v>
      </c>
      <c r="E68" s="30" t="s">
        <v>3096</v>
      </c>
      <c r="F68" s="34" t="n">
        <f aca="false">IFERROR(VLOOKUP($A68,'319'!$B:$H,7,0),0)</f>
        <v>0</v>
      </c>
      <c r="G68" s="34" t="n">
        <f aca="false">SUMIFS('12.326ana'!$C:$C,'12.326ana'!$M:$M,redes!A68)</f>
        <v>0</v>
      </c>
    </row>
    <row r="69" customFormat="false" ht="14.4" hidden="true" customHeight="false" outlineLevel="0" collapsed="false">
      <c r="A69" s="34" t="n">
        <v>183513100</v>
      </c>
      <c r="B69" s="34" t="s">
        <v>3097</v>
      </c>
      <c r="C69" s="34" t="s">
        <v>77</v>
      </c>
      <c r="E69" s="30" t="s">
        <v>3098</v>
      </c>
      <c r="F69" s="34" t="n">
        <f aca="false">IFERROR(VLOOKUP($A69,'319'!$B:$H,7,0),0)</f>
        <v>0</v>
      </c>
      <c r="G69" s="34" t="n">
        <f aca="false">SUMIFS('12.326ana'!$C:$C,'12.326ana'!$M:$M,redes!A69)</f>
        <v>0</v>
      </c>
    </row>
    <row r="70" customFormat="false" ht="14.4" hidden="true" customHeight="false" outlineLevel="0" collapsed="false">
      <c r="A70" s="34" t="n">
        <v>185812180</v>
      </c>
      <c r="B70" s="34" t="s">
        <v>3099</v>
      </c>
      <c r="C70" s="34" t="s">
        <v>1054</v>
      </c>
      <c r="E70" s="30" t="s">
        <v>3100</v>
      </c>
      <c r="F70" s="34" t="n">
        <f aca="false">IFERROR(VLOOKUP($A70,'319'!$B:$H,7,0),0)</f>
        <v>0</v>
      </c>
      <c r="G70" s="34" t="n">
        <f aca="false">SUMIFS('12.326ana'!$C:$C,'12.326ana'!$M:$M,redes!A70)</f>
        <v>0</v>
      </c>
    </row>
    <row r="71" customFormat="false" ht="14.4" hidden="true" customHeight="false" outlineLevel="0" collapsed="false">
      <c r="A71" s="34" t="n">
        <v>187172170</v>
      </c>
      <c r="B71" s="34" t="s">
        <v>3101</v>
      </c>
      <c r="C71" s="34" t="s">
        <v>107</v>
      </c>
      <c r="E71" s="30" t="s">
        <v>3102</v>
      </c>
      <c r="F71" s="34" t="n">
        <f aca="false">IFERROR(VLOOKUP($A71,'319'!$B:$H,7,0),0)</f>
        <v>0</v>
      </c>
      <c r="G71" s="34" t="n">
        <f aca="false">SUMIFS('12.326ana'!$C:$C,'12.326ana'!$M:$M,redes!A71)</f>
        <v>0</v>
      </c>
    </row>
    <row r="72" customFormat="false" ht="14.4" hidden="true" customHeight="false" outlineLevel="0" collapsed="false">
      <c r="A72" s="34" t="n">
        <v>187613133</v>
      </c>
      <c r="B72" s="34" t="s">
        <v>3103</v>
      </c>
      <c r="C72" s="34" t="s">
        <v>77</v>
      </c>
      <c r="E72" s="30" t="s">
        <v>3104</v>
      </c>
      <c r="F72" s="34" t="n">
        <f aca="false">IFERROR(VLOOKUP($A72,'319'!$B:$H,7,0),0)</f>
        <v>0</v>
      </c>
      <c r="G72" s="34" t="n">
        <f aca="false">SUMIFS('12.326ana'!$C:$C,'12.326ana'!$M:$M,redes!A72)</f>
        <v>0</v>
      </c>
    </row>
    <row r="73" customFormat="false" ht="14.4" hidden="true" customHeight="false" outlineLevel="0" collapsed="false">
      <c r="A73" s="34" t="n">
        <v>199467161</v>
      </c>
      <c r="B73" s="34" t="s">
        <v>3105</v>
      </c>
      <c r="C73" s="34" t="s">
        <v>77</v>
      </c>
      <c r="E73" s="30" t="s">
        <v>3106</v>
      </c>
      <c r="F73" s="34" t="n">
        <f aca="false">IFERROR(VLOOKUP($A73,'319'!$B:$H,7,0),0)</f>
        <v>0</v>
      </c>
      <c r="G73" s="34" t="n">
        <f aca="false">SUMIFS('12.326ana'!$C:$C,'12.326ana'!$M:$M,redes!A73)</f>
        <v>0</v>
      </c>
    </row>
    <row r="74" customFormat="false" ht="14.4" hidden="true" customHeight="false" outlineLevel="0" collapsed="false">
      <c r="A74" s="34" t="n">
        <v>199661138</v>
      </c>
      <c r="B74" s="34" t="s">
        <v>3107</v>
      </c>
      <c r="C74" s="34" t="s">
        <v>213</v>
      </c>
      <c r="E74" s="30" t="s">
        <v>3108</v>
      </c>
      <c r="F74" s="34" t="n">
        <f aca="false">IFERROR(VLOOKUP($A74,'319'!$B:$H,7,0),0)</f>
        <v>0</v>
      </c>
      <c r="G74" s="34" t="n">
        <f aca="false">SUMIFS('12.326ana'!$C:$C,'12.326ana'!$M:$M,redes!A74)</f>
        <v>0</v>
      </c>
    </row>
    <row r="75" customFormat="false" ht="14.4" hidden="true" customHeight="false" outlineLevel="0" collapsed="false">
      <c r="A75" s="34" t="n">
        <v>203577701</v>
      </c>
      <c r="B75" s="34" t="s">
        <v>3109</v>
      </c>
      <c r="C75" s="34" t="s">
        <v>77</v>
      </c>
      <c r="E75" s="30" t="s">
        <v>3110</v>
      </c>
      <c r="F75" s="34" t="n">
        <f aca="false">IFERROR(VLOOKUP($A75,'319'!$B:$H,7,0),0)</f>
        <v>0</v>
      </c>
      <c r="G75" s="34" t="n">
        <f aca="false">SUMIFS('12.326ana'!$C:$C,'12.326ana'!$M:$M,redes!A75)</f>
        <v>0</v>
      </c>
    </row>
    <row r="76" customFormat="false" ht="14.4" hidden="true" customHeight="false" outlineLevel="0" collapsed="false">
      <c r="A76" s="34" t="n">
        <v>204388180</v>
      </c>
      <c r="B76" s="34" t="s">
        <v>3111</v>
      </c>
      <c r="C76" s="34" t="s">
        <v>77</v>
      </c>
      <c r="E76" s="30" t="s">
        <v>3112</v>
      </c>
      <c r="F76" s="34" t="n">
        <f aca="false">IFERROR(VLOOKUP($A76,'319'!$B:$H,7,0),0)</f>
        <v>0</v>
      </c>
      <c r="G76" s="34" t="n">
        <f aca="false">SUMIFS('12.326ana'!$C:$C,'12.326ana'!$M:$M,redes!A76)</f>
        <v>0</v>
      </c>
    </row>
    <row r="77" customFormat="false" ht="14.4" hidden="true" customHeight="false" outlineLevel="0" collapsed="false">
      <c r="A77" s="34" t="n">
        <v>206209185</v>
      </c>
      <c r="B77" s="34" t="s">
        <v>3113</v>
      </c>
      <c r="C77" s="34" t="s">
        <v>377</v>
      </c>
      <c r="E77" s="30"/>
      <c r="F77" s="34" t="n">
        <f aca="false">IFERROR(VLOOKUP($A77,'319'!$B:$H,7,0),0)</f>
        <v>0</v>
      </c>
      <c r="G77" s="34" t="n">
        <f aca="false">SUMIFS('12.326ana'!$C:$C,'12.326ana'!$M:$M,redes!A77)</f>
        <v>0</v>
      </c>
    </row>
    <row r="78" customFormat="false" ht="14.4" hidden="true" customHeight="false" outlineLevel="0" collapsed="false">
      <c r="A78" s="34" t="n">
        <v>214538109</v>
      </c>
      <c r="B78" s="34" t="s">
        <v>3114</v>
      </c>
      <c r="C78" s="34" t="s">
        <v>77</v>
      </c>
      <c r="E78" s="30" t="s">
        <v>3115</v>
      </c>
      <c r="F78" s="34" t="n">
        <f aca="false">IFERROR(VLOOKUP($A78,'319'!$B:$H,7,0),0)</f>
        <v>0</v>
      </c>
      <c r="G78" s="34" t="n">
        <f aca="false">SUMIFS('12.326ana'!$C:$C,'12.326ana'!$M:$M,redes!A78)</f>
        <v>0</v>
      </c>
    </row>
    <row r="79" customFormat="false" ht="14.4" hidden="true" customHeight="false" outlineLevel="0" collapsed="false">
      <c r="A79" s="34" t="n">
        <v>216219183</v>
      </c>
      <c r="B79" s="34" t="s">
        <v>3116</v>
      </c>
      <c r="C79" s="34" t="s">
        <v>631</v>
      </c>
      <c r="E79" s="30" t="s">
        <v>3117</v>
      </c>
      <c r="F79" s="34" t="n">
        <f aca="false">IFERROR(VLOOKUP($A79,'319'!$B:$H,7,0),0)</f>
        <v>0</v>
      </c>
      <c r="G79" s="34" t="n">
        <f aca="false">SUMIFS('12.326ana'!$C:$C,'12.326ana'!$M:$M,redes!A79)</f>
        <v>0</v>
      </c>
    </row>
    <row r="80" customFormat="false" ht="14.4" hidden="true" customHeight="false" outlineLevel="0" collapsed="false">
      <c r="A80" s="34" t="n">
        <v>218782187</v>
      </c>
      <c r="B80" s="34" t="s">
        <v>3118</v>
      </c>
      <c r="C80" s="34" t="s">
        <v>77</v>
      </c>
      <c r="E80" s="30"/>
      <c r="F80" s="34" t="n">
        <f aca="false">IFERROR(VLOOKUP($A80,'319'!$B:$H,7,0),0)</f>
        <v>0</v>
      </c>
      <c r="G80" s="34" t="n">
        <f aca="false">SUMIFS('12.326ana'!$C:$C,'12.326ana'!$M:$M,redes!A80)</f>
        <v>0</v>
      </c>
    </row>
    <row r="81" customFormat="false" ht="14.4" hidden="true" customHeight="false" outlineLevel="0" collapsed="false">
      <c r="A81" s="34" t="n">
        <v>232477116</v>
      </c>
      <c r="B81" s="34" t="s">
        <v>3119</v>
      </c>
      <c r="C81" s="34" t="s">
        <v>1680</v>
      </c>
      <c r="E81" s="30" t="s">
        <v>3120</v>
      </c>
      <c r="F81" s="34" t="n">
        <f aca="false">IFERROR(VLOOKUP($A81,'319'!$B:$H,7,0),0)</f>
        <v>0</v>
      </c>
      <c r="G81" s="34" t="n">
        <f aca="false">SUMIFS('12.326ana'!$C:$C,'12.326ana'!$M:$M,redes!A81)</f>
        <v>0</v>
      </c>
    </row>
    <row r="82" customFormat="false" ht="14.4" hidden="true" customHeight="false" outlineLevel="0" collapsed="false">
      <c r="A82" s="34" t="n">
        <v>236097881</v>
      </c>
      <c r="B82" s="34" t="s">
        <v>3121</v>
      </c>
      <c r="C82" s="34" t="s">
        <v>77</v>
      </c>
      <c r="E82" s="30" t="s">
        <v>3121</v>
      </c>
      <c r="F82" s="34" t="n">
        <f aca="false">IFERROR(VLOOKUP($A82,'319'!$B:$H,7,0),0)</f>
        <v>0</v>
      </c>
      <c r="G82" s="34" t="n">
        <f aca="false">SUMIFS('12.326ana'!$C:$C,'12.326ana'!$M:$M,redes!A82)</f>
        <v>0</v>
      </c>
    </row>
    <row r="83" customFormat="false" ht="14.4" hidden="true" customHeight="false" outlineLevel="0" collapsed="false">
      <c r="A83" s="34" t="n">
        <v>236413120</v>
      </c>
      <c r="B83" s="34" t="s">
        <v>3122</v>
      </c>
      <c r="C83" s="34" t="s">
        <v>2998</v>
      </c>
      <c r="E83" s="30" t="s">
        <v>3123</v>
      </c>
      <c r="F83" s="34" t="n">
        <f aca="false">IFERROR(VLOOKUP($A83,'319'!$B:$H,7,0),0)</f>
        <v>0</v>
      </c>
      <c r="G83" s="34" t="n">
        <f aca="false">SUMIFS('12.326ana'!$C:$C,'12.326ana'!$M:$M,redes!A83)</f>
        <v>0</v>
      </c>
    </row>
    <row r="84" customFormat="false" ht="14.4" hidden="true" customHeight="false" outlineLevel="0" collapsed="false">
      <c r="A84" s="34" t="n">
        <v>239462106</v>
      </c>
      <c r="B84" s="34" t="s">
        <v>3124</v>
      </c>
      <c r="C84" s="34" t="s">
        <v>77</v>
      </c>
      <c r="E84" s="30" t="s">
        <v>3125</v>
      </c>
      <c r="F84" s="34" t="n">
        <f aca="false">IFERROR(VLOOKUP($A84,'319'!$B:$H,7,0),0)</f>
        <v>0</v>
      </c>
      <c r="G84" s="34" t="n">
        <f aca="false">SUMIFS('12.326ana'!$C:$C,'12.326ana'!$M:$M,redes!A84)</f>
        <v>0</v>
      </c>
    </row>
    <row r="85" customFormat="false" ht="14.4" hidden="true" customHeight="false" outlineLevel="0" collapsed="false">
      <c r="A85" s="34" t="n">
        <v>241108179</v>
      </c>
      <c r="B85" s="34" t="s">
        <v>3126</v>
      </c>
      <c r="C85" s="34" t="s">
        <v>77</v>
      </c>
      <c r="E85" s="30" t="s">
        <v>3127</v>
      </c>
      <c r="F85" s="34" t="n">
        <f aca="false">IFERROR(VLOOKUP($A85,'319'!$B:$H,7,0),0)</f>
        <v>0</v>
      </c>
      <c r="G85" s="34" t="n">
        <f aca="false">SUMIFS('12.326ana'!$C:$C,'12.326ana'!$M:$M,redes!A85)</f>
        <v>0</v>
      </c>
    </row>
    <row r="86" customFormat="false" ht="14.4" hidden="true" customHeight="false" outlineLevel="0" collapsed="false">
      <c r="A86" s="34" t="n">
        <v>244629188</v>
      </c>
      <c r="B86" s="34" t="s">
        <v>3128</v>
      </c>
      <c r="C86" s="34" t="s">
        <v>1591</v>
      </c>
      <c r="E86" s="30" t="s">
        <v>3129</v>
      </c>
      <c r="F86" s="34" t="n">
        <f aca="false">IFERROR(VLOOKUP($A86,'319'!$B:$H,7,0),0)</f>
        <v>0</v>
      </c>
      <c r="G86" s="34" t="n">
        <f aca="false">SUMIFS('12.326ana'!$C:$C,'12.326ana'!$M:$M,redes!A86)</f>
        <v>0</v>
      </c>
    </row>
    <row r="87" customFormat="false" ht="14.4" hidden="true" customHeight="false" outlineLevel="0" collapsed="false">
      <c r="A87" s="34" t="n">
        <v>245048154</v>
      </c>
      <c r="B87" s="34" t="s">
        <v>3130</v>
      </c>
      <c r="C87" s="34" t="s">
        <v>77</v>
      </c>
      <c r="E87" s="30" t="s">
        <v>3131</v>
      </c>
      <c r="F87" s="34" t="n">
        <f aca="false">IFERROR(VLOOKUP($A87,'319'!$B:$H,7,0),0)</f>
        <v>0</v>
      </c>
      <c r="G87" s="34" t="n">
        <f aca="false">SUMIFS('12.326ana'!$C:$C,'12.326ana'!$M:$M,redes!A87)</f>
        <v>0</v>
      </c>
    </row>
    <row r="88" customFormat="false" ht="14.4" hidden="true" customHeight="false" outlineLevel="0" collapsed="false">
      <c r="A88" s="34" t="n">
        <v>249704170</v>
      </c>
      <c r="B88" s="34" t="s">
        <v>3132</v>
      </c>
      <c r="C88" s="34" t="s">
        <v>77</v>
      </c>
      <c r="E88" s="30" t="s">
        <v>3133</v>
      </c>
      <c r="F88" s="34" t="n">
        <f aca="false">IFERROR(VLOOKUP($A88,'319'!$B:$H,7,0),0)</f>
        <v>0</v>
      </c>
      <c r="G88" s="34" t="n">
        <f aca="false">SUMIFS('12.326ana'!$C:$C,'12.326ana'!$M:$M,redes!A88)</f>
        <v>0</v>
      </c>
    </row>
    <row r="89" customFormat="false" ht="14.4" hidden="true" customHeight="false" outlineLevel="0" collapsed="false">
      <c r="A89" s="34" t="n">
        <v>255535180</v>
      </c>
      <c r="B89" s="34" t="s">
        <v>3134</v>
      </c>
      <c r="C89" s="34" t="s">
        <v>77</v>
      </c>
      <c r="E89" s="30" t="s">
        <v>3135</v>
      </c>
      <c r="F89" s="34" t="n">
        <f aca="false">IFERROR(VLOOKUP($A89,'319'!$B:$H,7,0),0)</f>
        <v>0</v>
      </c>
      <c r="G89" s="34" t="n">
        <f aca="false">SUMIFS('12.326ana'!$C:$C,'12.326ana'!$M:$M,redes!A89)</f>
        <v>0</v>
      </c>
    </row>
    <row r="90" customFormat="false" ht="14.4" hidden="true" customHeight="false" outlineLevel="0" collapsed="false">
      <c r="A90" s="34" t="n">
        <v>258099119</v>
      </c>
      <c r="B90" s="34" t="s">
        <v>3136</v>
      </c>
      <c r="C90" s="34" t="s">
        <v>77</v>
      </c>
      <c r="E90" s="30" t="s">
        <v>3137</v>
      </c>
      <c r="F90" s="34" t="n">
        <f aca="false">IFERROR(VLOOKUP($A90,'319'!$B:$H,7,0),0)</f>
        <v>0</v>
      </c>
      <c r="G90" s="34" t="n">
        <f aca="false">SUMIFS('12.326ana'!$C:$C,'12.326ana'!$M:$M,redes!A90)</f>
        <v>0</v>
      </c>
    </row>
    <row r="91" customFormat="false" ht="14.4" hidden="true" customHeight="false" outlineLevel="0" collapsed="false">
      <c r="A91" s="34" t="n">
        <v>258420138</v>
      </c>
      <c r="B91" s="34" t="s">
        <v>3138</v>
      </c>
      <c r="C91" s="34" t="s">
        <v>77</v>
      </c>
      <c r="E91" s="30" t="s">
        <v>3139</v>
      </c>
      <c r="F91" s="34" t="n">
        <f aca="false">IFERROR(VLOOKUP($A91,'319'!$B:$H,7,0),0)</f>
        <v>0</v>
      </c>
      <c r="G91" s="34" t="n">
        <f aca="false">SUMIFS('12.326ana'!$C:$C,'12.326ana'!$M:$M,redes!A91)</f>
        <v>0</v>
      </c>
    </row>
    <row r="92" customFormat="false" ht="14.4" hidden="true" customHeight="false" outlineLevel="0" collapsed="false">
      <c r="A92" s="34" t="n">
        <v>259189154</v>
      </c>
      <c r="B92" s="34" t="s">
        <v>3140</v>
      </c>
      <c r="C92" s="34" t="s">
        <v>77</v>
      </c>
      <c r="E92" s="30" t="s">
        <v>3141</v>
      </c>
      <c r="F92" s="34" t="n">
        <f aca="false">IFERROR(VLOOKUP($A92,'319'!$B:$H,7,0),0)</f>
        <v>0</v>
      </c>
      <c r="G92" s="34" t="n">
        <f aca="false">SUMIFS('12.326ana'!$C:$C,'12.326ana'!$M:$M,redes!A92)</f>
        <v>0</v>
      </c>
    </row>
    <row r="93" customFormat="false" ht="14.4" hidden="true" customHeight="false" outlineLevel="0" collapsed="false">
      <c r="A93" s="34" t="n">
        <v>260798100</v>
      </c>
      <c r="B93" s="34" t="s">
        <v>3142</v>
      </c>
      <c r="C93" s="34" t="s">
        <v>77</v>
      </c>
      <c r="E93" s="30" t="s">
        <v>3143</v>
      </c>
      <c r="F93" s="34" t="n">
        <f aca="false">IFERROR(VLOOKUP($A93,'319'!$B:$H,7,0),0)</f>
        <v>0</v>
      </c>
      <c r="G93" s="34" t="n">
        <f aca="false">SUMIFS('12.326ana'!$C:$C,'12.326ana'!$M:$M,redes!A93)</f>
        <v>0</v>
      </c>
    </row>
    <row r="94" customFormat="false" ht="14.4" hidden="true" customHeight="false" outlineLevel="0" collapsed="false">
      <c r="A94" s="34" t="n">
        <v>265433118</v>
      </c>
      <c r="B94" s="34" t="s">
        <v>3144</v>
      </c>
      <c r="C94" s="34" t="s">
        <v>77</v>
      </c>
      <c r="E94" s="30" t="s">
        <v>3145</v>
      </c>
      <c r="F94" s="34" t="n">
        <f aca="false">IFERROR(VLOOKUP($A94,'319'!$B:$H,7,0),0)</f>
        <v>0</v>
      </c>
      <c r="G94" s="34" t="n">
        <f aca="false">SUMIFS('12.326ana'!$C:$C,'12.326ana'!$M:$M,redes!A94)</f>
        <v>0</v>
      </c>
    </row>
    <row r="95" customFormat="false" ht="14.4" hidden="true" customHeight="false" outlineLevel="0" collapsed="false">
      <c r="A95" s="34" t="n">
        <v>269848142</v>
      </c>
      <c r="B95" s="34" t="s">
        <v>3146</v>
      </c>
      <c r="C95" s="34" t="s">
        <v>89</v>
      </c>
      <c r="E95" s="30" t="s">
        <v>3147</v>
      </c>
      <c r="F95" s="34" t="n">
        <f aca="false">IFERROR(VLOOKUP($A95,'319'!$B:$H,7,0),0)</f>
        <v>0</v>
      </c>
      <c r="G95" s="34" t="n">
        <f aca="false">SUMIFS('12.326ana'!$C:$C,'12.326ana'!$M:$M,redes!A95)</f>
        <v>0</v>
      </c>
    </row>
    <row r="96" customFormat="false" ht="14.4" hidden="true" customHeight="false" outlineLevel="0" collapsed="false">
      <c r="A96" s="34" t="n">
        <v>280872160</v>
      </c>
      <c r="B96" s="34" t="s">
        <v>3148</v>
      </c>
      <c r="C96" s="34" t="s">
        <v>781</v>
      </c>
      <c r="E96" s="30"/>
      <c r="F96" s="34" t="n">
        <f aca="false">IFERROR(VLOOKUP($A96,'319'!$B:$H,7,0),0)</f>
        <v>0</v>
      </c>
      <c r="G96" s="34" t="n">
        <f aca="false">SUMIFS('12.326ana'!$C:$C,'12.326ana'!$M:$M,redes!A96)</f>
        <v>0</v>
      </c>
    </row>
    <row r="97" customFormat="false" ht="14.4" hidden="true" customHeight="false" outlineLevel="0" collapsed="false">
      <c r="A97" s="34" t="n">
        <v>288806174</v>
      </c>
      <c r="B97" s="34" t="s">
        <v>3149</v>
      </c>
      <c r="C97" s="34" t="s">
        <v>77</v>
      </c>
      <c r="E97" s="30" t="s">
        <v>3150</v>
      </c>
      <c r="F97" s="34" t="n">
        <f aca="false">IFERROR(VLOOKUP($A97,'319'!$B:$H,7,0),0)</f>
        <v>0</v>
      </c>
      <c r="G97" s="34" t="n">
        <f aca="false">SUMIFS('12.326ana'!$C:$C,'12.326ana'!$M:$M,redes!A97)</f>
        <v>0</v>
      </c>
    </row>
    <row r="98" customFormat="false" ht="14.4" hidden="true" customHeight="false" outlineLevel="0" collapsed="false">
      <c r="A98" s="34" t="n">
        <v>312003110</v>
      </c>
      <c r="B98" s="34" t="s">
        <v>3151</v>
      </c>
      <c r="C98" s="34" t="s">
        <v>77</v>
      </c>
      <c r="E98" s="30" t="s">
        <v>3152</v>
      </c>
      <c r="F98" s="34" t="n">
        <f aca="false">IFERROR(VLOOKUP($A98,'319'!$B:$H,7,0),0)</f>
        <v>0</v>
      </c>
      <c r="G98" s="34" t="n">
        <f aca="false">SUMIFS('12.326ana'!$C:$C,'12.326ana'!$M:$M,redes!A98)</f>
        <v>0</v>
      </c>
    </row>
    <row r="99" customFormat="false" ht="14.4" hidden="true" customHeight="false" outlineLevel="0" collapsed="false">
      <c r="A99" s="34" t="n">
        <v>313933146</v>
      </c>
      <c r="B99" s="34" t="s">
        <v>3153</v>
      </c>
      <c r="C99" s="34" t="s">
        <v>107</v>
      </c>
      <c r="E99" s="30" t="s">
        <v>3154</v>
      </c>
      <c r="F99" s="34" t="n">
        <f aca="false">IFERROR(VLOOKUP($A99,'319'!$B:$H,7,0),0)</f>
        <v>0</v>
      </c>
      <c r="G99" s="34" t="n">
        <f aca="false">SUMIFS('12.326ana'!$C:$C,'12.326ana'!$M:$M,redes!A99)</f>
        <v>0</v>
      </c>
    </row>
    <row r="100" customFormat="false" ht="14.4" hidden="true" customHeight="false" outlineLevel="0" collapsed="false">
      <c r="A100" s="34" t="n">
        <v>314727108</v>
      </c>
      <c r="B100" s="34" t="s">
        <v>3155</v>
      </c>
      <c r="C100" s="34" t="s">
        <v>77</v>
      </c>
      <c r="E100" s="30" t="s">
        <v>3156</v>
      </c>
      <c r="F100" s="34" t="n">
        <f aca="false">IFERROR(VLOOKUP($A100,'319'!$B:$H,7,0),0)</f>
        <v>0</v>
      </c>
      <c r="G100" s="34" t="n">
        <f aca="false">SUMIFS('12.326ana'!$C:$C,'12.326ana'!$M:$M,redes!A100)</f>
        <v>0</v>
      </c>
    </row>
    <row r="101" customFormat="false" ht="14.4" hidden="true" customHeight="false" outlineLevel="0" collapsed="false">
      <c r="A101" s="34" t="n">
        <v>314804110</v>
      </c>
      <c r="B101" s="34" t="s">
        <v>3157</v>
      </c>
      <c r="C101" s="34" t="s">
        <v>77</v>
      </c>
      <c r="E101" s="30" t="s">
        <v>3158</v>
      </c>
      <c r="F101" s="34" t="n">
        <f aca="false">IFERROR(VLOOKUP($A101,'319'!$B:$H,7,0),0)</f>
        <v>0</v>
      </c>
      <c r="G101" s="34" t="n">
        <f aca="false">SUMIFS('12.326ana'!$C:$C,'12.326ana'!$M:$M,redes!A101)</f>
        <v>0</v>
      </c>
    </row>
    <row r="102" customFormat="false" ht="14.4" hidden="true" customHeight="false" outlineLevel="0" collapsed="false">
      <c r="A102" s="34" t="n">
        <v>314866140</v>
      </c>
      <c r="B102" s="34" t="s">
        <v>3159</v>
      </c>
      <c r="C102" s="34" t="s">
        <v>967</v>
      </c>
      <c r="E102" s="30" t="s">
        <v>3160</v>
      </c>
      <c r="F102" s="34" t="n">
        <f aca="false">IFERROR(VLOOKUP($A102,'319'!$B:$H,7,0),0)</f>
        <v>0</v>
      </c>
      <c r="G102" s="34" t="n">
        <f aca="false">SUMIFS('12.326ana'!$C:$C,'12.326ana'!$M:$M,redes!A102)</f>
        <v>0</v>
      </c>
    </row>
    <row r="103" customFormat="false" ht="14.4" hidden="true" customHeight="false" outlineLevel="0" collapsed="false">
      <c r="A103" s="34" t="n">
        <v>315195800</v>
      </c>
      <c r="B103" s="34" t="s">
        <v>3161</v>
      </c>
      <c r="C103" s="34" t="s">
        <v>77</v>
      </c>
      <c r="E103" s="30" t="s">
        <v>3162</v>
      </c>
      <c r="F103" s="34" t="n">
        <f aca="false">IFERROR(VLOOKUP($A103,'319'!$B:$H,7,0),0)</f>
        <v>0</v>
      </c>
      <c r="G103" s="34" t="n">
        <f aca="false">SUMIFS('12.326ana'!$C:$C,'12.326ana'!$M:$M,redes!A103)</f>
        <v>0</v>
      </c>
    </row>
    <row r="104" customFormat="false" ht="14.4" hidden="true" customHeight="false" outlineLevel="0" collapsed="false">
      <c r="A104" s="34" t="n">
        <v>323295126</v>
      </c>
      <c r="B104" s="34" t="s">
        <v>3163</v>
      </c>
      <c r="C104" s="34" t="s">
        <v>77</v>
      </c>
      <c r="E104" s="30" t="s">
        <v>3164</v>
      </c>
      <c r="F104" s="34" t="n">
        <f aca="false">IFERROR(VLOOKUP($A104,'319'!$B:$H,7,0),0)</f>
        <v>0</v>
      </c>
      <c r="G104" s="34" t="n">
        <f aca="false">SUMIFS('12.326ana'!$C:$C,'12.326ana'!$M:$M,redes!A104)</f>
        <v>0</v>
      </c>
    </row>
    <row r="105" customFormat="false" ht="14.4" hidden="true" customHeight="false" outlineLevel="0" collapsed="false">
      <c r="A105" s="34" t="n">
        <v>328145181</v>
      </c>
      <c r="B105" s="34" t="s">
        <v>3165</v>
      </c>
      <c r="C105" s="34" t="s">
        <v>77</v>
      </c>
      <c r="E105" s="30" t="s">
        <v>3166</v>
      </c>
      <c r="F105" s="34" t="n">
        <f aca="false">IFERROR(VLOOKUP($A105,'319'!$B:$H,7,0),0)</f>
        <v>0</v>
      </c>
      <c r="G105" s="34" t="n">
        <f aca="false">SUMIFS('12.326ana'!$C:$C,'12.326ana'!$M:$M,redes!A105)</f>
        <v>0</v>
      </c>
    </row>
    <row r="106" customFormat="false" ht="14.4" hidden="true" customHeight="false" outlineLevel="0" collapsed="false">
      <c r="A106" s="34" t="n">
        <v>330780174</v>
      </c>
      <c r="B106" s="34" t="s">
        <v>3167</v>
      </c>
      <c r="C106" s="34" t="s">
        <v>77</v>
      </c>
      <c r="E106" s="30" t="s">
        <v>3168</v>
      </c>
      <c r="F106" s="34" t="n">
        <f aca="false">IFERROR(VLOOKUP($A106,'319'!$B:$H,7,0),0)</f>
        <v>0</v>
      </c>
      <c r="G106" s="34" t="n">
        <f aca="false">SUMIFS('12.326ana'!$C:$C,'12.326ana'!$M:$M,redes!A106)</f>
        <v>0</v>
      </c>
    </row>
    <row r="107" customFormat="false" ht="14.4" hidden="true" customHeight="false" outlineLevel="0" collapsed="false">
      <c r="A107" s="34" t="n">
        <v>337003114</v>
      </c>
      <c r="B107" s="34" t="s">
        <v>3169</v>
      </c>
      <c r="C107" s="34" t="s">
        <v>77</v>
      </c>
      <c r="E107" s="30" t="s">
        <v>3170</v>
      </c>
      <c r="F107" s="34" t="n">
        <f aca="false">IFERROR(VLOOKUP($A107,'319'!$B:$H,7,0),0)</f>
        <v>0</v>
      </c>
      <c r="G107" s="34" t="n">
        <f aca="false">SUMIFS('12.326ana'!$C:$C,'12.326ana'!$M:$M,redes!A107)</f>
        <v>0</v>
      </c>
    </row>
    <row r="108" customFormat="false" ht="14.4" hidden="true" customHeight="false" outlineLevel="0" collapsed="false">
      <c r="A108" s="34" t="n">
        <v>338546103</v>
      </c>
      <c r="B108" s="34" t="s">
        <v>3171</v>
      </c>
      <c r="C108" s="34" t="s">
        <v>77</v>
      </c>
      <c r="E108" s="30" t="s">
        <v>3172</v>
      </c>
      <c r="F108" s="34" t="n">
        <f aca="false">IFERROR(VLOOKUP($A108,'319'!$B:$H,7,0),0)</f>
        <v>0</v>
      </c>
      <c r="G108" s="34" t="n">
        <f aca="false">SUMIFS('12.326ana'!$C:$C,'12.326ana'!$M:$M,redes!A108)</f>
        <v>0</v>
      </c>
    </row>
    <row r="109" customFormat="false" ht="14.4" hidden="true" customHeight="false" outlineLevel="0" collapsed="false">
      <c r="A109" s="34" t="n">
        <v>338744177</v>
      </c>
      <c r="B109" s="34" t="s">
        <v>3173</v>
      </c>
      <c r="C109" s="34" t="s">
        <v>598</v>
      </c>
      <c r="E109" s="30" t="s">
        <v>3174</v>
      </c>
      <c r="F109" s="34" t="n">
        <f aca="false">IFERROR(VLOOKUP($A109,'319'!$B:$H,7,0),0)</f>
        <v>0</v>
      </c>
      <c r="G109" s="34" t="n">
        <f aca="false">SUMIFS('12.326ana'!$C:$C,'12.326ana'!$M:$M,redes!A109)</f>
        <v>0</v>
      </c>
    </row>
    <row r="110" customFormat="false" ht="14.4" hidden="true" customHeight="false" outlineLevel="0" collapsed="false">
      <c r="A110" s="34" t="n">
        <v>340457163</v>
      </c>
      <c r="B110" s="34" t="s">
        <v>3175</v>
      </c>
      <c r="C110" s="34" t="s">
        <v>1272</v>
      </c>
      <c r="E110" s="30" t="s">
        <v>3176</v>
      </c>
      <c r="F110" s="34" t="n">
        <f aca="false">IFERROR(VLOOKUP($A110,'319'!$B:$H,7,0),0)</f>
        <v>0</v>
      </c>
      <c r="G110" s="34" t="n">
        <f aca="false">SUMIFS('12.326ana'!$C:$C,'12.326ana'!$M:$M,redes!A110)</f>
        <v>0</v>
      </c>
    </row>
    <row r="111" customFormat="false" ht="14.4" hidden="true" customHeight="false" outlineLevel="0" collapsed="false">
      <c r="A111" s="34" t="n">
        <v>352444100</v>
      </c>
      <c r="B111" s="34" t="s">
        <v>3177</v>
      </c>
      <c r="C111" s="34" t="s">
        <v>77</v>
      </c>
      <c r="E111" s="30" t="s">
        <v>3178</v>
      </c>
      <c r="F111" s="34" t="n">
        <f aca="false">IFERROR(VLOOKUP($A111,'319'!$B:$H,7,0),0)</f>
        <v>0</v>
      </c>
      <c r="G111" s="34" t="n">
        <f aca="false">SUMIFS('12.326ana'!$C:$C,'12.326ana'!$M:$M,redes!A111)</f>
        <v>0</v>
      </c>
    </row>
    <row r="112" customFormat="false" ht="14.4" hidden="true" customHeight="false" outlineLevel="0" collapsed="false">
      <c r="A112" s="34" t="n">
        <v>361018185</v>
      </c>
      <c r="B112" s="34" t="s">
        <v>3179</v>
      </c>
      <c r="C112" s="34" t="s">
        <v>77</v>
      </c>
      <c r="E112" s="30" t="s">
        <v>3180</v>
      </c>
      <c r="F112" s="34" t="n">
        <f aca="false">IFERROR(VLOOKUP($A112,'319'!$B:$H,7,0),0)</f>
        <v>0</v>
      </c>
      <c r="G112" s="34" t="n">
        <f aca="false">SUMIFS('12.326ana'!$C:$C,'12.326ana'!$M:$M,redes!A112)</f>
        <v>0</v>
      </c>
    </row>
    <row r="113" customFormat="false" ht="14.4" hidden="true" customHeight="false" outlineLevel="0" collapsed="false">
      <c r="A113" s="34" t="n">
        <v>363633839</v>
      </c>
      <c r="B113" s="34" t="s">
        <v>3181</v>
      </c>
      <c r="C113" s="34" t="s">
        <v>336</v>
      </c>
      <c r="E113" s="30" t="s">
        <v>3182</v>
      </c>
      <c r="F113" s="34" t="n">
        <f aca="false">IFERROR(VLOOKUP($A113,'319'!$B:$H,7,0),0)</f>
        <v>0</v>
      </c>
      <c r="G113" s="34" t="n">
        <f aca="false">SUMIFS('12.326ana'!$C:$C,'12.326ana'!$M:$M,redes!A113)</f>
        <v>0</v>
      </c>
    </row>
    <row r="114" customFormat="false" ht="14.4" hidden="true" customHeight="false" outlineLevel="0" collapsed="false">
      <c r="A114" s="34" t="n">
        <v>368675190</v>
      </c>
      <c r="B114" s="34" t="s">
        <v>3183</v>
      </c>
      <c r="C114" s="34" t="s">
        <v>737</v>
      </c>
      <c r="E114" s="30" t="s">
        <v>3184</v>
      </c>
      <c r="F114" s="34" t="n">
        <f aca="false">IFERROR(VLOOKUP($A114,'319'!$B:$H,7,0),0)</f>
        <v>0</v>
      </c>
      <c r="G114" s="34" t="n">
        <f aca="false">SUMIFS('12.326ana'!$C:$C,'12.326ana'!$M:$M,redes!A114)</f>
        <v>0</v>
      </c>
    </row>
    <row r="115" customFormat="false" ht="14.4" hidden="true" customHeight="false" outlineLevel="0" collapsed="false">
      <c r="A115" s="34" t="n">
        <v>369574109</v>
      </c>
      <c r="B115" s="34" t="s">
        <v>3185</v>
      </c>
      <c r="C115" s="34" t="s">
        <v>77</v>
      </c>
      <c r="E115" s="30" t="s">
        <v>3186</v>
      </c>
      <c r="F115" s="34" t="n">
        <f aca="false">IFERROR(VLOOKUP($A115,'319'!$B:$H,7,0),0)</f>
        <v>0</v>
      </c>
      <c r="G115" s="34" t="n">
        <f aca="false">SUMIFS('12.326ana'!$C:$C,'12.326ana'!$M:$M,redes!A115)</f>
        <v>0</v>
      </c>
    </row>
    <row r="116" customFormat="false" ht="14.4" hidden="true" customHeight="false" outlineLevel="0" collapsed="false">
      <c r="A116" s="34" t="n">
        <v>370720130</v>
      </c>
      <c r="B116" s="34" t="s">
        <v>3187</v>
      </c>
      <c r="C116" s="34" t="s">
        <v>77</v>
      </c>
      <c r="E116" s="30" t="s">
        <v>3188</v>
      </c>
      <c r="F116" s="34" t="n">
        <f aca="false">IFERROR(VLOOKUP($A116,'319'!$B:$H,7,0),0)</f>
        <v>0</v>
      </c>
      <c r="G116" s="34" t="n">
        <f aca="false">SUMIFS('12.326ana'!$C:$C,'12.326ana'!$M:$M,redes!A116)</f>
        <v>0</v>
      </c>
    </row>
    <row r="117" customFormat="false" ht="14.4" hidden="true" customHeight="false" outlineLevel="0" collapsed="false">
      <c r="A117" s="34" t="n">
        <v>376464194</v>
      </c>
      <c r="B117" s="34" t="s">
        <v>3189</v>
      </c>
      <c r="C117" s="34" t="s">
        <v>77</v>
      </c>
      <c r="E117" s="30" t="s">
        <v>3190</v>
      </c>
      <c r="F117" s="34" t="n">
        <f aca="false">IFERROR(VLOOKUP($A117,'319'!$B:$H,7,0),0)</f>
        <v>0</v>
      </c>
      <c r="G117" s="34" t="n">
        <f aca="false">SUMIFS('12.326ana'!$C:$C,'12.326ana'!$M:$M,redes!A117)</f>
        <v>0</v>
      </c>
    </row>
    <row r="118" customFormat="false" ht="14.4" hidden="true" customHeight="false" outlineLevel="0" collapsed="false">
      <c r="A118" s="34" t="n">
        <v>384401139</v>
      </c>
      <c r="B118" s="34" t="s">
        <v>3191</v>
      </c>
      <c r="C118" s="34" t="s">
        <v>463</v>
      </c>
      <c r="E118" s="30" t="s">
        <v>3192</v>
      </c>
      <c r="F118" s="34" t="n">
        <f aca="false">IFERROR(VLOOKUP($A118,'319'!$B:$H,7,0),0)</f>
        <v>0</v>
      </c>
      <c r="G118" s="34" t="n">
        <f aca="false">SUMIFS('12.326ana'!$C:$C,'12.326ana'!$M:$M,redes!A118)</f>
        <v>0</v>
      </c>
    </row>
    <row r="119" customFormat="false" ht="14.4" hidden="true" customHeight="false" outlineLevel="0" collapsed="false">
      <c r="A119" s="34" t="n">
        <v>393852130</v>
      </c>
      <c r="B119" s="34" t="s">
        <v>3193</v>
      </c>
      <c r="C119" s="34" t="s">
        <v>77</v>
      </c>
      <c r="E119" s="30" t="s">
        <v>3194</v>
      </c>
      <c r="F119" s="34" t="n">
        <f aca="false">IFERROR(VLOOKUP($A119,'319'!$B:$H,7,0),0)</f>
        <v>0</v>
      </c>
      <c r="G119" s="34" t="n">
        <f aca="false">SUMIFS('12.326ana'!$C:$C,'12.326ana'!$M:$M,redes!A119)</f>
        <v>0</v>
      </c>
    </row>
    <row r="120" customFormat="false" ht="14.4" hidden="true" customHeight="false" outlineLevel="0" collapsed="false">
      <c r="A120" s="34" t="n">
        <v>400027135</v>
      </c>
      <c r="B120" s="34" t="s">
        <v>3195</v>
      </c>
      <c r="C120" s="34" t="s">
        <v>336</v>
      </c>
      <c r="E120" s="30"/>
      <c r="F120" s="34" t="n">
        <f aca="false">IFERROR(VLOOKUP($A120,'319'!$B:$H,7,0),0)</f>
        <v>0</v>
      </c>
      <c r="G120" s="34" t="n">
        <f aca="false">SUMIFS('12.326ana'!$C:$C,'12.326ana'!$M:$M,redes!A120)</f>
        <v>0</v>
      </c>
    </row>
    <row r="121" customFormat="false" ht="14.4" hidden="true" customHeight="false" outlineLevel="0" collapsed="false">
      <c r="A121" s="34" t="n">
        <v>407319107</v>
      </c>
      <c r="B121" s="34" t="s">
        <v>3196</v>
      </c>
      <c r="C121" s="34" t="s">
        <v>77</v>
      </c>
      <c r="E121" s="30"/>
      <c r="F121" s="34" t="n">
        <f aca="false">IFERROR(VLOOKUP($A121,'319'!$B:$H,7,0),0)</f>
        <v>0</v>
      </c>
      <c r="G121" s="34" t="n">
        <f aca="false">SUMIFS('12.326ana'!$C:$C,'12.326ana'!$M:$M,redes!A121)</f>
        <v>0</v>
      </c>
    </row>
    <row r="122" customFormat="false" ht="14.4" hidden="true" customHeight="false" outlineLevel="0" collapsed="false">
      <c r="A122" s="34" t="n">
        <v>413698157</v>
      </c>
      <c r="B122" s="34" t="s">
        <v>3197</v>
      </c>
      <c r="C122" s="34" t="s">
        <v>77</v>
      </c>
      <c r="E122" s="30" t="s">
        <v>3198</v>
      </c>
      <c r="F122" s="34" t="n">
        <f aca="false">IFERROR(VLOOKUP($A122,'319'!$B:$H,7,0),0)</f>
        <v>0</v>
      </c>
      <c r="G122" s="34" t="n">
        <f aca="false">SUMIFS('12.326ana'!$C:$C,'12.326ana'!$M:$M,redes!A122)</f>
        <v>0</v>
      </c>
    </row>
    <row r="123" customFormat="false" ht="14.4" hidden="true" customHeight="false" outlineLevel="0" collapsed="false">
      <c r="A123" s="34" t="n">
        <v>414620178</v>
      </c>
      <c r="B123" s="34" t="s">
        <v>3199</v>
      </c>
      <c r="C123" s="34" t="s">
        <v>77</v>
      </c>
      <c r="E123" s="30" t="s">
        <v>3200</v>
      </c>
      <c r="F123" s="34" t="n">
        <f aca="false">IFERROR(VLOOKUP($A123,'319'!$B:$H,7,0),0)</f>
        <v>0</v>
      </c>
      <c r="G123" s="34" t="n">
        <f aca="false">SUMIFS('12.326ana'!$C:$C,'12.326ana'!$M:$M,redes!A123)</f>
        <v>0</v>
      </c>
    </row>
    <row r="124" customFormat="false" ht="14.4" hidden="true" customHeight="false" outlineLevel="0" collapsed="false">
      <c r="A124" s="34" t="n">
        <v>415827132</v>
      </c>
      <c r="B124" s="34" t="s">
        <v>3201</v>
      </c>
      <c r="C124" s="34" t="s">
        <v>463</v>
      </c>
      <c r="E124" s="30" t="s">
        <v>3202</v>
      </c>
      <c r="F124" s="34" t="n">
        <f aca="false">IFERROR(VLOOKUP($A124,'319'!$B:$H,7,0),0)</f>
        <v>0</v>
      </c>
      <c r="G124" s="34" t="n">
        <f aca="false">SUMIFS('12.326ana'!$C:$C,'12.326ana'!$M:$M,redes!A124)</f>
        <v>0</v>
      </c>
    </row>
    <row r="125" customFormat="false" ht="14.4" hidden="true" customHeight="false" outlineLevel="0" collapsed="false">
      <c r="A125" s="34" t="n">
        <v>419119892</v>
      </c>
      <c r="B125" s="34" t="s">
        <v>3203</v>
      </c>
      <c r="C125" s="34" t="s">
        <v>77</v>
      </c>
      <c r="E125" s="30" t="s">
        <v>3204</v>
      </c>
      <c r="F125" s="34" t="n">
        <f aca="false">IFERROR(VLOOKUP($A125,'319'!$B:$H,7,0),0)</f>
        <v>0</v>
      </c>
      <c r="G125" s="34" t="n">
        <f aca="false">SUMIFS('12.326ana'!$C:$C,'12.326ana'!$M:$M,redes!A125)</f>
        <v>0</v>
      </c>
    </row>
    <row r="126" customFormat="false" ht="14.4" hidden="true" customHeight="false" outlineLevel="0" collapsed="false">
      <c r="A126" s="34" t="n">
        <v>419669884</v>
      </c>
      <c r="B126" s="34" t="s">
        <v>3205</v>
      </c>
      <c r="C126" s="34" t="s">
        <v>107</v>
      </c>
      <c r="E126" s="30" t="s">
        <v>3206</v>
      </c>
      <c r="F126" s="34" t="n">
        <f aca="false">IFERROR(VLOOKUP($A126,'319'!$B:$H,7,0),0)</f>
        <v>0</v>
      </c>
      <c r="G126" s="34" t="n">
        <f aca="false">SUMIFS('12.326ana'!$C:$C,'12.326ana'!$M:$M,redes!A126)</f>
        <v>0</v>
      </c>
    </row>
    <row r="127" customFormat="false" ht="14.4" hidden="true" customHeight="false" outlineLevel="0" collapsed="false">
      <c r="A127" s="34" t="n">
        <v>421768169</v>
      </c>
      <c r="B127" s="34" t="s">
        <v>3207</v>
      </c>
      <c r="C127" s="34" t="s">
        <v>129</v>
      </c>
      <c r="E127" s="30" t="s">
        <v>3208</v>
      </c>
      <c r="F127" s="34" t="n">
        <f aca="false">IFERROR(VLOOKUP($A127,'319'!$B:$H,7,0),0)</f>
        <v>0</v>
      </c>
      <c r="G127" s="34" t="n">
        <f aca="false">SUMIFS('12.326ana'!$C:$C,'12.326ana'!$M:$M,redes!A127)</f>
        <v>0</v>
      </c>
    </row>
    <row r="128" customFormat="false" ht="14.4" hidden="true" customHeight="false" outlineLevel="0" collapsed="false">
      <c r="A128" s="34" t="n">
        <v>421993103</v>
      </c>
      <c r="B128" s="34" t="s">
        <v>3209</v>
      </c>
      <c r="C128" s="34" t="s">
        <v>77</v>
      </c>
      <c r="E128" s="30"/>
      <c r="F128" s="34" t="n">
        <f aca="false">IFERROR(VLOOKUP($A128,'319'!$B:$H,7,0),0)</f>
        <v>0</v>
      </c>
      <c r="G128" s="34" t="n">
        <f aca="false">SUMIFS('12.326ana'!$C:$C,'12.326ana'!$M:$M,redes!A128)</f>
        <v>0</v>
      </c>
    </row>
    <row r="129" customFormat="false" ht="14.4" hidden="true" customHeight="false" outlineLevel="0" collapsed="false">
      <c r="A129" s="34" t="n">
        <v>431233179</v>
      </c>
      <c r="B129" s="34" t="s">
        <v>3210</v>
      </c>
      <c r="C129" s="34" t="s">
        <v>77</v>
      </c>
      <c r="E129" s="30" t="s">
        <v>3211</v>
      </c>
      <c r="F129" s="34" t="n">
        <f aca="false">IFERROR(VLOOKUP($A129,'319'!$B:$H,7,0),0)</f>
        <v>0</v>
      </c>
      <c r="G129" s="34" t="n">
        <f aca="false">SUMIFS('12.326ana'!$C:$C,'12.326ana'!$M:$M,redes!A129)</f>
        <v>0</v>
      </c>
    </row>
    <row r="130" customFormat="false" ht="14.4" hidden="true" customHeight="false" outlineLevel="0" collapsed="false">
      <c r="A130" s="34" t="n">
        <v>433733802</v>
      </c>
      <c r="B130" s="34" t="s">
        <v>3212</v>
      </c>
      <c r="C130" s="34" t="s">
        <v>107</v>
      </c>
      <c r="E130" s="30" t="s">
        <v>3213</v>
      </c>
      <c r="F130" s="34" t="n">
        <f aca="false">IFERROR(VLOOKUP($A130,'319'!$B:$H,7,0),0)</f>
        <v>0</v>
      </c>
      <c r="G130" s="34" t="n">
        <f aca="false">SUMIFS('12.326ana'!$C:$C,'12.326ana'!$M:$M,redes!A130)</f>
        <v>0</v>
      </c>
    </row>
    <row r="131" customFormat="false" ht="14.4" hidden="true" customHeight="false" outlineLevel="0" collapsed="false">
      <c r="A131" s="34" t="n">
        <v>436878143</v>
      </c>
      <c r="B131" s="34" t="s">
        <v>3214</v>
      </c>
      <c r="C131" s="34" t="s">
        <v>77</v>
      </c>
      <c r="E131" s="30" t="s">
        <v>3214</v>
      </c>
      <c r="F131" s="34" t="n">
        <f aca="false">IFERROR(VLOOKUP($A131,'319'!$B:$H,7,0),0)</f>
        <v>0</v>
      </c>
      <c r="G131" s="34" t="n">
        <f aca="false">SUMIFS('12.326ana'!$C:$C,'12.326ana'!$M:$M,redes!A131)</f>
        <v>0</v>
      </c>
    </row>
    <row r="132" customFormat="false" ht="14.4" hidden="true" customHeight="false" outlineLevel="0" collapsed="false">
      <c r="A132" s="34" t="n">
        <v>464345189</v>
      </c>
      <c r="B132" s="34" t="s">
        <v>3215</v>
      </c>
      <c r="C132" s="34" t="s">
        <v>77</v>
      </c>
      <c r="E132" s="30" t="s">
        <v>3216</v>
      </c>
      <c r="F132" s="34" t="n">
        <f aca="false">IFERROR(VLOOKUP($A132,'319'!$B:$H,7,0),0)</f>
        <v>0</v>
      </c>
      <c r="G132" s="34" t="n">
        <f aca="false">SUMIFS('12.326ana'!$C:$C,'12.326ana'!$M:$M,redes!A132)</f>
        <v>0</v>
      </c>
    </row>
    <row r="133" customFormat="false" ht="14.4" hidden="true" customHeight="false" outlineLevel="0" collapsed="false">
      <c r="A133" s="34" t="n">
        <v>466497199</v>
      </c>
      <c r="B133" s="34" t="s">
        <v>3217</v>
      </c>
      <c r="C133" s="34" t="s">
        <v>77</v>
      </c>
      <c r="E133" s="30" t="s">
        <v>3218</v>
      </c>
      <c r="F133" s="34" t="n">
        <f aca="false">IFERROR(VLOOKUP($A133,'319'!$B:$H,7,0),0)</f>
        <v>0</v>
      </c>
      <c r="G133" s="34" t="n">
        <f aca="false">SUMIFS('12.326ana'!$C:$C,'12.326ana'!$M:$M,redes!A133)</f>
        <v>0</v>
      </c>
    </row>
    <row r="134" customFormat="false" ht="14.4" hidden="true" customHeight="false" outlineLevel="0" collapsed="false">
      <c r="A134" s="34" t="n">
        <v>482849983</v>
      </c>
      <c r="B134" s="34" t="s">
        <v>3219</v>
      </c>
      <c r="C134" s="34" t="s">
        <v>881</v>
      </c>
      <c r="E134" s="30" t="s">
        <v>3220</v>
      </c>
      <c r="F134" s="34" t="n">
        <f aca="false">IFERROR(VLOOKUP($A134,'319'!$B:$H,7,0),0)</f>
        <v>0</v>
      </c>
      <c r="G134" s="34" t="n">
        <f aca="false">SUMIFS('12.326ana'!$C:$C,'12.326ana'!$M:$M,redes!A134)</f>
        <v>0</v>
      </c>
    </row>
    <row r="135" customFormat="false" ht="14.4" hidden="true" customHeight="false" outlineLevel="0" collapsed="false">
      <c r="A135" s="34" t="n">
        <v>485388170</v>
      </c>
      <c r="B135" s="34" t="s">
        <v>3221</v>
      </c>
      <c r="C135" s="34" t="s">
        <v>77</v>
      </c>
      <c r="E135" s="30" t="s">
        <v>3222</v>
      </c>
      <c r="F135" s="34" t="n">
        <f aca="false">IFERROR(VLOOKUP($A135,'319'!$B:$H,7,0),0)</f>
        <v>0</v>
      </c>
      <c r="G135" s="34" t="n">
        <f aca="false">SUMIFS('12.326ana'!$C:$C,'12.326ana'!$M:$M,redes!A135)</f>
        <v>0</v>
      </c>
    </row>
    <row r="136" customFormat="false" ht="14.4" hidden="true" customHeight="false" outlineLevel="0" collapsed="false">
      <c r="A136" s="34" t="n">
        <v>487782143</v>
      </c>
      <c r="B136" s="34" t="s">
        <v>3223</v>
      </c>
      <c r="C136" s="34" t="s">
        <v>842</v>
      </c>
      <c r="E136" s="30" t="s">
        <v>3224</v>
      </c>
      <c r="F136" s="34" t="n">
        <f aca="false">IFERROR(VLOOKUP($A136,'319'!$B:$H,7,0),0)</f>
        <v>0</v>
      </c>
      <c r="G136" s="34" t="n">
        <f aca="false">SUMIFS('12.326ana'!$C:$C,'12.326ana'!$M:$M,redes!A136)</f>
        <v>0</v>
      </c>
    </row>
    <row r="137" customFormat="false" ht="14.4" hidden="true" customHeight="false" outlineLevel="0" collapsed="false">
      <c r="A137" s="34" t="n">
        <v>492783128</v>
      </c>
      <c r="B137" s="34" t="s">
        <v>3225</v>
      </c>
      <c r="C137" s="34" t="s">
        <v>994</v>
      </c>
      <c r="E137" s="30" t="s">
        <v>3226</v>
      </c>
      <c r="F137" s="34" t="n">
        <f aca="false">IFERROR(VLOOKUP($A137,'319'!$B:$H,7,0),0)</f>
        <v>0</v>
      </c>
      <c r="G137" s="34" t="n">
        <f aca="false">SUMIFS('12.326ana'!$C:$C,'12.326ana'!$M:$M,redes!A137)</f>
        <v>0</v>
      </c>
    </row>
    <row r="138" customFormat="false" ht="14.4" hidden="true" customHeight="false" outlineLevel="0" collapsed="false">
      <c r="A138" s="34" t="n">
        <v>495563129</v>
      </c>
      <c r="B138" s="34" t="s">
        <v>3227</v>
      </c>
      <c r="C138" s="34" t="s">
        <v>77</v>
      </c>
      <c r="E138" s="30"/>
      <c r="F138" s="34" t="n">
        <f aca="false">IFERROR(VLOOKUP($A138,'319'!$B:$H,7,0),0)</f>
        <v>0</v>
      </c>
      <c r="G138" s="34" t="n">
        <f aca="false">SUMIFS('12.326ana'!$C:$C,'12.326ana'!$M:$M,redes!A138)</f>
        <v>0</v>
      </c>
    </row>
    <row r="139" customFormat="false" ht="14.4" hidden="true" customHeight="false" outlineLevel="0" collapsed="false">
      <c r="A139" s="34" t="n">
        <v>497894149</v>
      </c>
      <c r="B139" s="34" t="s">
        <v>3228</v>
      </c>
      <c r="C139" s="34" t="s">
        <v>77</v>
      </c>
      <c r="E139" s="30" t="s">
        <v>3229</v>
      </c>
      <c r="F139" s="34" t="n">
        <f aca="false">IFERROR(VLOOKUP($A139,'319'!$B:$H,7,0),0)</f>
        <v>0</v>
      </c>
      <c r="G139" s="34" t="n">
        <f aca="false">SUMIFS('12.326ana'!$C:$C,'12.326ana'!$M:$M,redes!A139)</f>
        <v>0</v>
      </c>
    </row>
    <row r="140" customFormat="false" ht="14.4" hidden="true" customHeight="false" outlineLevel="0" collapsed="false">
      <c r="A140" s="34" t="n">
        <v>498183840</v>
      </c>
      <c r="B140" s="34" t="s">
        <v>3230</v>
      </c>
      <c r="C140" s="34" t="s">
        <v>77</v>
      </c>
      <c r="E140" s="30"/>
      <c r="F140" s="34" t="n">
        <f aca="false">IFERROR(VLOOKUP($A140,'319'!$B:$H,7,0),0)</f>
        <v>0</v>
      </c>
      <c r="G140" s="34" t="n">
        <f aca="false">SUMIFS('12.326ana'!$C:$C,'12.326ana'!$M:$M,redes!A140)</f>
        <v>0</v>
      </c>
    </row>
    <row r="141" customFormat="false" ht="14.4" hidden="true" customHeight="false" outlineLevel="0" collapsed="false">
      <c r="A141" s="34" t="n">
        <v>500670102</v>
      </c>
      <c r="B141" s="34" t="s">
        <v>3231</v>
      </c>
      <c r="C141" s="34" t="s">
        <v>475</v>
      </c>
      <c r="E141" s="30" t="s">
        <v>3232</v>
      </c>
      <c r="F141" s="34" t="n">
        <f aca="false">IFERROR(VLOOKUP($A141,'319'!$B:$H,7,0),0)</f>
        <v>0</v>
      </c>
      <c r="G141" s="34" t="n">
        <f aca="false">SUMIFS('12.326ana'!$C:$C,'12.326ana'!$M:$M,redes!A141)</f>
        <v>0</v>
      </c>
    </row>
    <row r="142" customFormat="false" ht="14.4" hidden="true" customHeight="false" outlineLevel="0" collapsed="false">
      <c r="A142" s="34" t="n">
        <v>501245103</v>
      </c>
      <c r="B142" s="34" t="s">
        <v>3233</v>
      </c>
      <c r="C142" s="34" t="s">
        <v>107</v>
      </c>
      <c r="E142" s="30" t="s">
        <v>3233</v>
      </c>
      <c r="F142" s="34" t="n">
        <f aca="false">IFERROR(VLOOKUP($A142,'319'!$B:$H,7,0),0)</f>
        <v>0</v>
      </c>
      <c r="G142" s="34" t="n">
        <f aca="false">SUMIFS('12.326ana'!$C:$C,'12.326ana'!$M:$M,redes!A142)</f>
        <v>0</v>
      </c>
    </row>
    <row r="143" customFormat="false" ht="14.4" hidden="true" customHeight="false" outlineLevel="0" collapsed="false">
      <c r="A143" s="34" t="n">
        <v>508073154</v>
      </c>
      <c r="B143" s="34" t="s">
        <v>3234</v>
      </c>
      <c r="C143" s="34" t="s">
        <v>77</v>
      </c>
      <c r="E143" s="30" t="s">
        <v>3235</v>
      </c>
      <c r="F143" s="34" t="n">
        <f aca="false">IFERROR(VLOOKUP($A143,'319'!$B:$H,7,0),0)</f>
        <v>0</v>
      </c>
      <c r="G143" s="34" t="n">
        <f aca="false">SUMIFS('12.326ana'!$C:$C,'12.326ana'!$M:$M,redes!A143)</f>
        <v>0</v>
      </c>
    </row>
    <row r="144" customFormat="false" ht="14.4" hidden="true" customHeight="false" outlineLevel="0" collapsed="false">
      <c r="A144" s="34" t="n">
        <v>508704162</v>
      </c>
      <c r="B144" s="34" t="s">
        <v>3236</v>
      </c>
      <c r="C144" s="34" t="s">
        <v>77</v>
      </c>
      <c r="E144" s="30" t="s">
        <v>3236</v>
      </c>
      <c r="F144" s="34" t="n">
        <f aca="false">IFERROR(VLOOKUP($A144,'319'!$B:$H,7,0),0)</f>
        <v>0</v>
      </c>
      <c r="G144" s="34" t="n">
        <f aca="false">SUMIFS('12.326ana'!$C:$C,'12.326ana'!$M:$M,redes!A144)</f>
        <v>0</v>
      </c>
    </row>
    <row r="145" customFormat="false" ht="14.4" hidden="true" customHeight="false" outlineLevel="0" collapsed="false">
      <c r="A145" s="34" t="n">
        <v>508707188</v>
      </c>
      <c r="B145" s="34" t="s">
        <v>3237</v>
      </c>
      <c r="C145" s="34" t="s">
        <v>77</v>
      </c>
      <c r="E145" s="30" t="s">
        <v>3238</v>
      </c>
      <c r="F145" s="34" t="n">
        <f aca="false">IFERROR(VLOOKUP($A145,'319'!$B:$H,7,0),0)</f>
        <v>0</v>
      </c>
      <c r="G145" s="34" t="n">
        <f aca="false">SUMIFS('12.326ana'!$C:$C,'12.326ana'!$M:$M,redes!A145)</f>
        <v>0</v>
      </c>
    </row>
    <row r="146" customFormat="false" ht="14.4" hidden="true" customHeight="false" outlineLevel="0" collapsed="false">
      <c r="A146" s="34" t="n">
        <v>508893119</v>
      </c>
      <c r="B146" s="34" t="s">
        <v>3239</v>
      </c>
      <c r="C146" s="34" t="s">
        <v>464</v>
      </c>
      <c r="E146" s="30" t="s">
        <v>3240</v>
      </c>
      <c r="F146" s="34" t="n">
        <f aca="false">IFERROR(VLOOKUP($A146,'319'!$B:$H,7,0),0)</f>
        <v>0</v>
      </c>
      <c r="G146" s="34" t="n">
        <f aca="false">SUMIFS('12.326ana'!$C:$C,'12.326ana'!$M:$M,redes!A146)</f>
        <v>0</v>
      </c>
    </row>
    <row r="147" customFormat="false" ht="14.4" hidden="true" customHeight="false" outlineLevel="0" collapsed="false">
      <c r="A147" s="34" t="n">
        <v>508910145</v>
      </c>
      <c r="B147" s="34" t="s">
        <v>3241</v>
      </c>
      <c r="C147" s="34" t="s">
        <v>207</v>
      </c>
      <c r="E147" s="30"/>
      <c r="F147" s="34" t="n">
        <f aca="false">IFERROR(VLOOKUP($A147,'319'!$B:$H,7,0),0)</f>
        <v>0</v>
      </c>
      <c r="G147" s="34" t="n">
        <f aca="false">SUMIFS('12.326ana'!$C:$C,'12.326ana'!$M:$M,redes!A147)</f>
        <v>0</v>
      </c>
    </row>
    <row r="148" customFormat="false" ht="14.4" hidden="true" customHeight="false" outlineLevel="0" collapsed="false">
      <c r="A148" s="34" t="n">
        <v>512265100</v>
      </c>
      <c r="B148" s="34" t="s">
        <v>3242</v>
      </c>
      <c r="C148" s="34" t="s">
        <v>107</v>
      </c>
      <c r="E148" s="30" t="s">
        <v>3243</v>
      </c>
      <c r="F148" s="34" t="n">
        <f aca="false">IFERROR(VLOOKUP($A148,'319'!$B:$H,7,0),0)</f>
        <v>0</v>
      </c>
      <c r="G148" s="34" t="n">
        <f aca="false">SUMIFS('12.326ana'!$C:$C,'12.326ana'!$M:$M,redes!A148)</f>
        <v>0</v>
      </c>
    </row>
    <row r="149" customFormat="false" ht="14.4" hidden="true" customHeight="false" outlineLevel="0" collapsed="false">
      <c r="A149" s="34" t="n">
        <v>513693114</v>
      </c>
      <c r="B149" s="34" t="s">
        <v>3244</v>
      </c>
      <c r="C149" s="34" t="s">
        <v>737</v>
      </c>
      <c r="E149" s="30" t="s">
        <v>3245</v>
      </c>
      <c r="F149" s="34" t="n">
        <f aca="false">IFERROR(VLOOKUP($A149,'319'!$B:$H,7,0),0)</f>
        <v>0</v>
      </c>
      <c r="G149" s="34" t="n">
        <f aca="false">SUMIFS('12.326ana'!$C:$C,'12.326ana'!$M:$M,redes!A149)</f>
        <v>0</v>
      </c>
    </row>
    <row r="150" customFormat="false" ht="14.4" hidden="true" customHeight="false" outlineLevel="0" collapsed="false">
      <c r="A150" s="34" t="n">
        <v>525462171</v>
      </c>
      <c r="B150" s="34" t="s">
        <v>3246</v>
      </c>
      <c r="C150" s="34" t="s">
        <v>309</v>
      </c>
      <c r="E150" s="30" t="s">
        <v>3247</v>
      </c>
      <c r="F150" s="34" t="n">
        <f aca="false">IFERROR(VLOOKUP($A150,'319'!$B:$H,7,0),0)</f>
        <v>0</v>
      </c>
      <c r="G150" s="34" t="n">
        <f aca="false">SUMIFS('12.326ana'!$C:$C,'12.326ana'!$M:$M,redes!A150)</f>
        <v>0</v>
      </c>
    </row>
    <row r="151" customFormat="false" ht="14.4" hidden="true" customHeight="false" outlineLevel="0" collapsed="false">
      <c r="A151" s="34" t="n">
        <v>525878810</v>
      </c>
      <c r="B151" s="34" t="s">
        <v>3248</v>
      </c>
      <c r="C151" s="34" t="s">
        <v>77</v>
      </c>
      <c r="E151" s="30" t="s">
        <v>3249</v>
      </c>
      <c r="F151" s="34" t="n">
        <f aca="false">IFERROR(VLOOKUP($A151,'319'!$B:$H,7,0),0)</f>
        <v>0</v>
      </c>
      <c r="G151" s="34" t="n">
        <f aca="false">SUMIFS('12.326ana'!$C:$C,'12.326ana'!$M:$M,redes!A151)</f>
        <v>0</v>
      </c>
    </row>
    <row r="152" customFormat="false" ht="14.4" hidden="true" customHeight="false" outlineLevel="0" collapsed="false">
      <c r="A152" s="34" t="n">
        <v>535635141</v>
      </c>
      <c r="B152" s="34" t="s">
        <v>3250</v>
      </c>
      <c r="C152" s="34" t="s">
        <v>781</v>
      </c>
      <c r="E152" s="30" t="s">
        <v>3251</v>
      </c>
      <c r="F152" s="34" t="n">
        <f aca="false">IFERROR(VLOOKUP($A152,'319'!$B:$H,7,0),0)</f>
        <v>0</v>
      </c>
      <c r="G152" s="34" t="n">
        <f aca="false">SUMIFS('12.326ana'!$C:$C,'12.326ana'!$M:$M,redes!A152)</f>
        <v>0</v>
      </c>
    </row>
    <row r="153" customFormat="false" ht="14.4" hidden="true" customHeight="false" outlineLevel="0" collapsed="false">
      <c r="A153" s="34" t="n">
        <v>544925130</v>
      </c>
      <c r="B153" s="34" t="s">
        <v>3252</v>
      </c>
      <c r="C153" s="34" t="s">
        <v>77</v>
      </c>
      <c r="E153" s="30" t="s">
        <v>3253</v>
      </c>
      <c r="F153" s="34" t="n">
        <f aca="false">IFERROR(VLOOKUP($A153,'319'!$B:$H,7,0),0)</f>
        <v>0</v>
      </c>
      <c r="G153" s="34" t="n">
        <f aca="false">SUMIFS('12.326ana'!$C:$C,'12.326ana'!$M:$M,redes!A153)</f>
        <v>0</v>
      </c>
    </row>
    <row r="154" customFormat="false" ht="14.4" hidden="true" customHeight="false" outlineLevel="0" collapsed="false">
      <c r="A154" s="34" t="n">
        <v>554604108</v>
      </c>
      <c r="B154" s="34" t="s">
        <v>3254</v>
      </c>
      <c r="C154" s="34" t="s">
        <v>475</v>
      </c>
      <c r="E154" s="30" t="s">
        <v>3255</v>
      </c>
      <c r="F154" s="34" t="n">
        <f aca="false">IFERROR(VLOOKUP($A154,'319'!$B:$H,7,0),0)</f>
        <v>0</v>
      </c>
      <c r="G154" s="34" t="n">
        <f aca="false">SUMIFS('12.326ana'!$C:$C,'12.326ana'!$M:$M,redes!A154)</f>
        <v>0</v>
      </c>
    </row>
    <row r="155" customFormat="false" ht="14.4" hidden="true" customHeight="false" outlineLevel="0" collapsed="false">
      <c r="A155" s="34" t="n">
        <v>562908102</v>
      </c>
      <c r="B155" s="34" t="s">
        <v>3256</v>
      </c>
      <c r="C155" s="34" t="s">
        <v>77</v>
      </c>
      <c r="E155" s="30" t="s">
        <v>3257</v>
      </c>
      <c r="F155" s="34" t="n">
        <f aca="false">IFERROR(VLOOKUP($A155,'319'!$B:$H,7,0),0)</f>
        <v>0</v>
      </c>
      <c r="G155" s="34" t="n">
        <f aca="false">SUMIFS('12.326ana'!$C:$C,'12.326ana'!$M:$M,redes!A155)</f>
        <v>0</v>
      </c>
    </row>
    <row r="156" customFormat="false" ht="14.4" hidden="true" customHeight="false" outlineLevel="0" collapsed="false">
      <c r="A156" s="34" t="n">
        <v>563061138</v>
      </c>
      <c r="B156" s="34" t="s">
        <v>3258</v>
      </c>
      <c r="C156" s="34" t="s">
        <v>2998</v>
      </c>
      <c r="E156" s="30" t="s">
        <v>3259</v>
      </c>
      <c r="F156" s="34" t="n">
        <f aca="false">IFERROR(VLOOKUP($A156,'319'!$B:$H,7,0),0)</f>
        <v>0</v>
      </c>
      <c r="G156" s="34" t="n">
        <f aca="false">SUMIFS('12.326ana'!$C:$C,'12.326ana'!$M:$M,redes!A156)</f>
        <v>0</v>
      </c>
    </row>
    <row r="157" customFormat="false" ht="14.4" hidden="true" customHeight="false" outlineLevel="0" collapsed="false">
      <c r="A157" s="34" t="n">
        <v>568879813</v>
      </c>
      <c r="B157" s="34" t="s">
        <v>3260</v>
      </c>
      <c r="C157" s="34" t="s">
        <v>77</v>
      </c>
      <c r="E157" s="30"/>
      <c r="F157" s="34" t="n">
        <f aca="false">IFERROR(VLOOKUP($A157,'319'!$B:$H,7,0),0)</f>
        <v>0</v>
      </c>
      <c r="G157" s="34" t="n">
        <f aca="false">SUMIFS('12.326ana'!$C:$C,'12.326ana'!$M:$M,redes!A157)</f>
        <v>0</v>
      </c>
    </row>
    <row r="158" customFormat="false" ht="14.4" hidden="true" customHeight="false" outlineLevel="0" collapsed="false">
      <c r="A158" s="34" t="n">
        <v>570674140</v>
      </c>
      <c r="B158" s="34" t="s">
        <v>3261</v>
      </c>
      <c r="C158" s="34" t="s">
        <v>77</v>
      </c>
      <c r="E158" s="30" t="s">
        <v>3262</v>
      </c>
      <c r="F158" s="34" t="n">
        <f aca="false">IFERROR(VLOOKUP($A158,'319'!$B:$H,7,0),0)</f>
        <v>0</v>
      </c>
      <c r="G158" s="34" t="n">
        <f aca="false">SUMIFS('12.326ana'!$C:$C,'12.326ana'!$M:$M,redes!A158)</f>
        <v>0</v>
      </c>
    </row>
    <row r="159" customFormat="false" ht="14.4" hidden="true" customHeight="false" outlineLevel="0" collapsed="false">
      <c r="A159" s="34" t="n">
        <v>571873120</v>
      </c>
      <c r="B159" s="34" t="s">
        <v>3263</v>
      </c>
      <c r="C159" s="34" t="s">
        <v>464</v>
      </c>
      <c r="E159" s="30" t="s">
        <v>3264</v>
      </c>
      <c r="F159" s="34" t="n">
        <f aca="false">IFERROR(VLOOKUP($A159,'319'!$B:$H,7,0),0)</f>
        <v>0</v>
      </c>
      <c r="G159" s="34" t="n">
        <f aca="false">SUMIFS('12.326ana'!$C:$C,'12.326ana'!$M:$M,redes!A159)</f>
        <v>0</v>
      </c>
    </row>
    <row r="160" customFormat="false" ht="14.4" hidden="true" customHeight="false" outlineLevel="0" collapsed="false">
      <c r="A160" s="34" t="n">
        <v>577771108</v>
      </c>
      <c r="B160" s="34" t="s">
        <v>3265</v>
      </c>
      <c r="C160" s="34" t="s">
        <v>77</v>
      </c>
      <c r="E160" s="30" t="s">
        <v>2912</v>
      </c>
      <c r="F160" s="34" t="n">
        <f aca="false">IFERROR(VLOOKUP($A160,'319'!$B:$H,7,0),0)</f>
        <v>0</v>
      </c>
      <c r="G160" s="34" t="n">
        <f aca="false">SUMIFS('12.326ana'!$C:$C,'12.326ana'!$M:$M,redes!A160)</f>
        <v>0</v>
      </c>
    </row>
    <row r="161" customFormat="false" ht="14.4" hidden="true" customHeight="false" outlineLevel="0" collapsed="false">
      <c r="A161" s="34" t="n">
        <v>589797190</v>
      </c>
      <c r="B161" s="34" t="s">
        <v>3266</v>
      </c>
      <c r="C161" s="34" t="s">
        <v>737</v>
      </c>
      <c r="E161" s="30"/>
      <c r="F161" s="34" t="n">
        <f aca="false">IFERROR(VLOOKUP($A161,'319'!$B:$H,7,0),0)</f>
        <v>0</v>
      </c>
      <c r="G161" s="34" t="n">
        <f aca="false">SUMIFS('12.326ana'!$C:$C,'12.326ana'!$M:$M,redes!A161)</f>
        <v>0</v>
      </c>
    </row>
    <row r="162" customFormat="false" ht="14.4" hidden="true" customHeight="false" outlineLevel="0" collapsed="false">
      <c r="A162" s="34" t="n">
        <v>592573931</v>
      </c>
      <c r="B162" s="34" t="s">
        <v>3267</v>
      </c>
      <c r="C162" s="34" t="s">
        <v>77</v>
      </c>
      <c r="E162" s="30" t="s">
        <v>3268</v>
      </c>
      <c r="F162" s="34" t="n">
        <f aca="false">IFERROR(VLOOKUP($A162,'319'!$B:$H,7,0),0)</f>
        <v>0</v>
      </c>
      <c r="G162" s="34" t="n">
        <f aca="false">SUMIFS('12.326ana'!$C:$C,'12.326ana'!$M:$M,redes!A162)</f>
        <v>0</v>
      </c>
    </row>
    <row r="163" customFormat="false" ht="14.4" hidden="true" customHeight="false" outlineLevel="0" collapsed="false">
      <c r="A163" s="34" t="n">
        <v>592613151</v>
      </c>
      <c r="B163" s="34" t="s">
        <v>3269</v>
      </c>
      <c r="C163" s="34" t="s">
        <v>77</v>
      </c>
      <c r="E163" s="30" t="s">
        <v>3270</v>
      </c>
      <c r="F163" s="34" t="n">
        <f aca="false">IFERROR(VLOOKUP($A163,'319'!$B:$H,7,0),0)</f>
        <v>0</v>
      </c>
      <c r="G163" s="34" t="n">
        <f aca="false">SUMIFS('12.326ana'!$C:$C,'12.326ana'!$M:$M,redes!A163)</f>
        <v>0</v>
      </c>
    </row>
    <row r="164" customFormat="false" ht="14.4" hidden="true" customHeight="false" outlineLevel="0" collapsed="false">
      <c r="A164" s="34" t="n">
        <v>595197116</v>
      </c>
      <c r="B164" s="34" t="s">
        <v>3271</v>
      </c>
      <c r="C164" s="34" t="s">
        <v>77</v>
      </c>
      <c r="E164" s="30" t="s">
        <v>3271</v>
      </c>
      <c r="F164" s="34" t="n">
        <f aca="false">IFERROR(VLOOKUP($A164,'319'!$B:$H,7,0),0)</f>
        <v>0</v>
      </c>
      <c r="G164" s="34" t="n">
        <f aca="false">SUMIFS('12.326ana'!$C:$C,'12.326ana'!$M:$M,redes!A164)</f>
        <v>0</v>
      </c>
    </row>
    <row r="165" customFormat="false" ht="14.4" hidden="true" customHeight="false" outlineLevel="0" collapsed="false">
      <c r="A165" s="34" t="n">
        <v>595728170</v>
      </c>
      <c r="B165" s="34" t="s">
        <v>3272</v>
      </c>
      <c r="C165" s="34" t="s">
        <v>463</v>
      </c>
      <c r="E165" s="30" t="s">
        <v>3273</v>
      </c>
      <c r="F165" s="34" t="n">
        <f aca="false">IFERROR(VLOOKUP($A165,'319'!$B:$H,7,0),0)</f>
        <v>0</v>
      </c>
      <c r="G165" s="34" t="n">
        <f aca="false">SUMIFS('12.326ana'!$C:$C,'12.326ana'!$M:$M,redes!A165)</f>
        <v>0</v>
      </c>
    </row>
    <row r="166" customFormat="false" ht="14.4" hidden="true" customHeight="false" outlineLevel="0" collapsed="false">
      <c r="A166" s="34" t="n">
        <v>601170105</v>
      </c>
      <c r="B166" s="34" t="s">
        <v>3274</v>
      </c>
      <c r="C166" s="34" t="s">
        <v>197</v>
      </c>
      <c r="E166" s="30" t="s">
        <v>3275</v>
      </c>
      <c r="F166" s="34" t="n">
        <f aca="false">IFERROR(VLOOKUP($A166,'319'!$B:$H,7,0),0)</f>
        <v>0</v>
      </c>
      <c r="G166" s="34" t="n">
        <f aca="false">SUMIFS('12.326ana'!$C:$C,'12.326ana'!$M:$M,redes!A166)</f>
        <v>0</v>
      </c>
    </row>
    <row r="167" customFormat="false" ht="14.4" hidden="true" customHeight="false" outlineLevel="0" collapsed="false">
      <c r="A167" s="34" t="n">
        <v>601633130</v>
      </c>
      <c r="B167" s="34" t="s">
        <v>3276</v>
      </c>
      <c r="C167" s="34" t="s">
        <v>77</v>
      </c>
      <c r="E167" s="30"/>
      <c r="F167" s="34" t="n">
        <f aca="false">IFERROR(VLOOKUP($A167,'319'!$B:$H,7,0),0)</f>
        <v>0</v>
      </c>
      <c r="G167" s="34" t="n">
        <f aca="false">SUMIFS('12.326ana'!$C:$C,'12.326ana'!$M:$M,redes!A167)</f>
        <v>0</v>
      </c>
    </row>
    <row r="168" customFormat="false" ht="14.4" hidden="true" customHeight="false" outlineLevel="0" collapsed="false">
      <c r="A168" s="34" t="n">
        <v>605356106</v>
      </c>
      <c r="B168" s="34" t="s">
        <v>3277</v>
      </c>
      <c r="C168" s="34" t="s">
        <v>77</v>
      </c>
      <c r="E168" s="30" t="s">
        <v>3278</v>
      </c>
      <c r="F168" s="34" t="n">
        <f aca="false">IFERROR(VLOOKUP($A168,'319'!$B:$H,7,0),0)</f>
        <v>0</v>
      </c>
      <c r="G168" s="34" t="n">
        <f aca="false">SUMIFS('12.326ana'!$C:$C,'12.326ana'!$M:$M,redes!A168)</f>
        <v>0</v>
      </c>
    </row>
    <row r="169" customFormat="false" ht="14.4" hidden="true" customHeight="false" outlineLevel="0" collapsed="false">
      <c r="A169" s="34" t="n">
        <v>606282190</v>
      </c>
      <c r="B169" s="34" t="s">
        <v>3279</v>
      </c>
      <c r="C169" s="34" t="s">
        <v>351</v>
      </c>
      <c r="E169" s="30" t="s">
        <v>3280</v>
      </c>
      <c r="F169" s="34" t="n">
        <f aca="false">IFERROR(VLOOKUP($A169,'319'!$B:$H,7,0),0)</f>
        <v>0</v>
      </c>
      <c r="G169" s="34" t="n">
        <f aca="false">SUMIFS('12.326ana'!$C:$C,'12.326ana'!$M:$M,redes!A169)</f>
        <v>0</v>
      </c>
    </row>
    <row r="170" customFormat="false" ht="14.4" hidden="true" customHeight="false" outlineLevel="0" collapsed="false">
      <c r="A170" s="34" t="n">
        <v>607973986</v>
      </c>
      <c r="B170" s="34" t="s">
        <v>3281</v>
      </c>
      <c r="C170" s="34" t="s">
        <v>89</v>
      </c>
      <c r="E170" s="30" t="s">
        <v>3282</v>
      </c>
      <c r="F170" s="34" t="n">
        <f aca="false">IFERROR(VLOOKUP($A170,'319'!$B:$H,7,0),0)</f>
        <v>0</v>
      </c>
      <c r="G170" s="34" t="n">
        <f aca="false">SUMIFS('12.326ana'!$C:$C,'12.326ana'!$M:$M,redes!A170)</f>
        <v>0</v>
      </c>
    </row>
    <row r="171" customFormat="false" ht="14.4" hidden="true" customHeight="false" outlineLevel="0" collapsed="false">
      <c r="A171" s="34" t="n">
        <v>608490105</v>
      </c>
      <c r="B171" s="34" t="s">
        <v>3283</v>
      </c>
      <c r="C171" s="34" t="s">
        <v>309</v>
      </c>
      <c r="E171" s="30" t="s">
        <v>3284</v>
      </c>
      <c r="F171" s="34" t="n">
        <f aca="false">IFERROR(VLOOKUP($A171,'319'!$B:$H,7,0),0)</f>
        <v>0</v>
      </c>
      <c r="G171" s="34" t="n">
        <f aca="false">SUMIFS('12.326ana'!$C:$C,'12.326ana'!$M:$M,redes!A171)</f>
        <v>0</v>
      </c>
    </row>
    <row r="172" customFormat="false" ht="14.4" hidden="true" customHeight="false" outlineLevel="0" collapsed="false">
      <c r="A172" s="34" t="n">
        <v>613304187</v>
      </c>
      <c r="B172" s="34" t="s">
        <v>3285</v>
      </c>
      <c r="C172" s="34" t="s">
        <v>77</v>
      </c>
      <c r="E172" s="30" t="s">
        <v>828</v>
      </c>
      <c r="F172" s="34" t="n">
        <f aca="false">IFERROR(VLOOKUP($A172,'319'!$B:$H,7,0),0)</f>
        <v>0</v>
      </c>
      <c r="G172" s="34" t="n">
        <f aca="false">SUMIFS('12.326ana'!$C:$C,'12.326ana'!$M:$M,redes!A172)</f>
        <v>0</v>
      </c>
    </row>
    <row r="173" customFormat="false" ht="14.4" hidden="true" customHeight="false" outlineLevel="0" collapsed="false">
      <c r="A173" s="34" t="n">
        <v>613431103</v>
      </c>
      <c r="B173" s="34" t="s">
        <v>3286</v>
      </c>
      <c r="C173" s="34" t="s">
        <v>1591</v>
      </c>
      <c r="E173" s="30" t="s">
        <v>3287</v>
      </c>
      <c r="F173" s="34" t="n">
        <f aca="false">IFERROR(VLOOKUP($A173,'319'!$B:$H,7,0),0)</f>
        <v>0</v>
      </c>
      <c r="G173" s="34" t="n">
        <f aca="false">SUMIFS('12.326ana'!$C:$C,'12.326ana'!$M:$M,redes!A173)</f>
        <v>0</v>
      </c>
    </row>
    <row r="174" customFormat="false" ht="14.4" hidden="true" customHeight="false" outlineLevel="0" collapsed="false">
      <c r="A174" s="34" t="n">
        <v>620430133</v>
      </c>
      <c r="B174" s="34" t="s">
        <v>3288</v>
      </c>
      <c r="C174" s="34" t="s">
        <v>77</v>
      </c>
      <c r="E174" s="30" t="s">
        <v>3289</v>
      </c>
      <c r="F174" s="34" t="n">
        <f aca="false">IFERROR(VLOOKUP($A174,'319'!$B:$H,7,0),0)</f>
        <v>0</v>
      </c>
      <c r="G174" s="34" t="n">
        <f aca="false">SUMIFS('12.326ana'!$C:$C,'12.326ana'!$M:$M,redes!A174)</f>
        <v>0</v>
      </c>
    </row>
    <row r="175" customFormat="false" ht="14.4" hidden="true" customHeight="false" outlineLevel="0" collapsed="false">
      <c r="A175" s="34" t="n">
        <v>621429171</v>
      </c>
      <c r="B175" s="34" t="s">
        <v>3290</v>
      </c>
      <c r="C175" s="34" t="s">
        <v>107</v>
      </c>
      <c r="E175" s="30" t="s">
        <v>3291</v>
      </c>
      <c r="F175" s="34" t="n">
        <f aca="false">IFERROR(VLOOKUP($A175,'319'!$B:$H,7,0),0)</f>
        <v>0</v>
      </c>
      <c r="G175" s="34" t="n">
        <f aca="false">SUMIFS('12.326ana'!$C:$C,'12.326ana'!$M:$M,redes!A175)</f>
        <v>0</v>
      </c>
    </row>
    <row r="176" customFormat="false" ht="14.4" hidden="true" customHeight="false" outlineLevel="0" collapsed="false">
      <c r="A176" s="34" t="n">
        <v>632540850</v>
      </c>
      <c r="B176" s="34" t="s">
        <v>3292</v>
      </c>
      <c r="C176" s="34" t="s">
        <v>77</v>
      </c>
      <c r="E176" s="30" t="s">
        <v>3293</v>
      </c>
      <c r="F176" s="34" t="n">
        <f aca="false">IFERROR(VLOOKUP($A176,'319'!$B:$H,7,0),0)</f>
        <v>0</v>
      </c>
      <c r="G176" s="34" t="n">
        <f aca="false">SUMIFS('12.326ana'!$C:$C,'12.326ana'!$M:$M,redes!A176)</f>
        <v>0</v>
      </c>
    </row>
    <row r="177" customFormat="false" ht="14.4" hidden="true" customHeight="false" outlineLevel="0" collapsed="false">
      <c r="A177" s="34" t="n">
        <v>634244108</v>
      </c>
      <c r="B177" s="34" t="s">
        <v>3294</v>
      </c>
      <c r="C177" s="34" t="s">
        <v>77</v>
      </c>
      <c r="E177" s="30" t="s">
        <v>3295</v>
      </c>
      <c r="F177" s="34" t="n">
        <f aca="false">IFERROR(VLOOKUP($A177,'319'!$B:$H,7,0),0)</f>
        <v>0</v>
      </c>
      <c r="G177" s="34" t="n">
        <f aca="false">SUMIFS('12.326ana'!$C:$C,'12.326ana'!$M:$M,redes!A177)</f>
        <v>0</v>
      </c>
    </row>
    <row r="178" customFormat="false" ht="14.4" hidden="true" customHeight="false" outlineLevel="0" collapsed="false">
      <c r="A178" s="34" t="n">
        <v>634580124</v>
      </c>
      <c r="B178" s="34" t="s">
        <v>3296</v>
      </c>
      <c r="C178" s="34" t="s">
        <v>107</v>
      </c>
      <c r="E178" s="30" t="s">
        <v>3297</v>
      </c>
      <c r="F178" s="34" t="n">
        <f aca="false">IFERROR(VLOOKUP($A178,'319'!$B:$H,7,0),0)</f>
        <v>0</v>
      </c>
      <c r="G178" s="34" t="n">
        <f aca="false">SUMIFS('12.326ana'!$C:$C,'12.326ana'!$M:$M,redes!A178)</f>
        <v>0</v>
      </c>
    </row>
    <row r="179" customFormat="false" ht="14.4" hidden="true" customHeight="false" outlineLevel="0" collapsed="false">
      <c r="A179" s="34" t="n">
        <v>644236116</v>
      </c>
      <c r="B179" s="34" t="s">
        <v>3298</v>
      </c>
      <c r="C179" s="34" t="s">
        <v>77</v>
      </c>
      <c r="E179" s="30" t="s">
        <v>3162</v>
      </c>
      <c r="F179" s="34" t="n">
        <f aca="false">IFERROR(VLOOKUP($A179,'319'!$B:$H,7,0),0)</f>
        <v>0</v>
      </c>
      <c r="G179" s="34" t="n">
        <f aca="false">SUMIFS('12.326ana'!$C:$C,'12.326ana'!$M:$M,redes!A179)</f>
        <v>0</v>
      </c>
    </row>
    <row r="180" customFormat="false" ht="14.4" hidden="true" customHeight="false" outlineLevel="0" collapsed="false">
      <c r="A180" s="34" t="n">
        <v>644887133</v>
      </c>
      <c r="B180" s="34" t="s">
        <v>3299</v>
      </c>
      <c r="C180" s="34" t="s">
        <v>77</v>
      </c>
      <c r="E180" s="30" t="s">
        <v>3300</v>
      </c>
      <c r="F180" s="34" t="n">
        <f aca="false">IFERROR(VLOOKUP($A180,'319'!$B:$H,7,0),0)</f>
        <v>0</v>
      </c>
      <c r="G180" s="34" t="n">
        <f aca="false">SUMIFS('12.326ana'!$C:$C,'12.326ana'!$M:$M,redes!A180)</f>
        <v>0</v>
      </c>
    </row>
    <row r="181" customFormat="false" ht="14.4" hidden="true" customHeight="false" outlineLevel="0" collapsed="false">
      <c r="A181" s="34" t="n">
        <v>646507150</v>
      </c>
      <c r="B181" s="34" t="s">
        <v>3301</v>
      </c>
      <c r="C181" s="34" t="s">
        <v>464</v>
      </c>
      <c r="E181" s="30" t="s">
        <v>3302</v>
      </c>
      <c r="F181" s="34" t="n">
        <f aca="false">IFERROR(VLOOKUP($A181,'319'!$B:$H,7,0),0)</f>
        <v>0</v>
      </c>
      <c r="G181" s="34" t="n">
        <f aca="false">SUMIFS('12.326ana'!$C:$C,'12.326ana'!$M:$M,redes!A181)</f>
        <v>0</v>
      </c>
    </row>
    <row r="182" customFormat="false" ht="14.4" hidden="true" customHeight="false" outlineLevel="0" collapsed="false">
      <c r="A182" s="34" t="n">
        <v>650261950</v>
      </c>
      <c r="B182" s="34" t="s">
        <v>3303</v>
      </c>
      <c r="C182" s="34" t="s">
        <v>77</v>
      </c>
      <c r="E182" s="30" t="s">
        <v>3304</v>
      </c>
      <c r="F182" s="34" t="n">
        <f aca="false">IFERROR(VLOOKUP($A182,'319'!$B:$H,7,0),0)</f>
        <v>0</v>
      </c>
      <c r="G182" s="34" t="n">
        <f aca="false">SUMIFS('12.326ana'!$C:$C,'12.326ana'!$M:$M,redes!A182)</f>
        <v>0</v>
      </c>
    </row>
    <row r="183" customFormat="false" ht="14.4" hidden="true" customHeight="false" outlineLevel="0" collapsed="false">
      <c r="A183" s="34" t="n">
        <v>655689150</v>
      </c>
      <c r="B183" s="34" t="s">
        <v>3305</v>
      </c>
      <c r="C183" s="34" t="s">
        <v>139</v>
      </c>
      <c r="E183" s="30" t="s">
        <v>3306</v>
      </c>
      <c r="F183" s="34" t="n">
        <f aca="false">IFERROR(VLOOKUP($A183,'319'!$B:$H,7,0),0)</f>
        <v>0</v>
      </c>
      <c r="G183" s="34" t="n">
        <f aca="false">SUMIFS('12.326ana'!$C:$C,'12.326ana'!$M:$M,redes!A183)</f>
        <v>0</v>
      </c>
    </row>
    <row r="184" customFormat="false" ht="14.4" hidden="true" customHeight="false" outlineLevel="0" collapsed="false">
      <c r="A184" s="34" t="n">
        <v>661442721</v>
      </c>
      <c r="B184" s="34" t="s">
        <v>3307</v>
      </c>
      <c r="C184" s="34" t="s">
        <v>77</v>
      </c>
      <c r="E184" s="30" t="s">
        <v>3308</v>
      </c>
      <c r="F184" s="34" t="n">
        <f aca="false">IFERROR(VLOOKUP($A184,'319'!$B:$H,7,0),0)</f>
        <v>0</v>
      </c>
      <c r="G184" s="34" t="n">
        <f aca="false">SUMIFS('12.326ana'!$C:$C,'12.326ana'!$M:$M,redes!A184)</f>
        <v>0</v>
      </c>
    </row>
    <row r="185" customFormat="false" ht="14.4" hidden="true" customHeight="false" outlineLevel="0" collapsed="false">
      <c r="A185" s="34" t="n">
        <v>667282904</v>
      </c>
      <c r="B185" s="34" t="s">
        <v>3309</v>
      </c>
      <c r="C185" s="34" t="s">
        <v>89</v>
      </c>
      <c r="E185" s="30" t="s">
        <v>3310</v>
      </c>
      <c r="F185" s="34" t="n">
        <f aca="false">IFERROR(VLOOKUP($A185,'319'!$B:$H,7,0),0)</f>
        <v>0</v>
      </c>
      <c r="G185" s="34" t="n">
        <f aca="false">SUMIFS('12.326ana'!$C:$C,'12.326ana'!$M:$M,redes!A185)</f>
        <v>0</v>
      </c>
    </row>
    <row r="186" customFormat="false" ht="14.4" hidden="true" customHeight="false" outlineLevel="0" collapsed="false">
      <c r="A186" s="34" t="n">
        <v>667914137</v>
      </c>
      <c r="B186" s="34" t="s">
        <v>3311</v>
      </c>
      <c r="C186" s="34" t="s">
        <v>562</v>
      </c>
      <c r="E186" s="30" t="s">
        <v>3312</v>
      </c>
      <c r="F186" s="34" t="n">
        <f aca="false">IFERROR(VLOOKUP($A186,'319'!$B:$H,7,0),0)</f>
        <v>0</v>
      </c>
      <c r="G186" s="34" t="n">
        <f aca="false">SUMIFS('12.326ana'!$C:$C,'12.326ana'!$M:$M,redes!A186)</f>
        <v>0</v>
      </c>
    </row>
    <row r="187" customFormat="false" ht="14.4" hidden="true" customHeight="false" outlineLevel="0" collapsed="false">
      <c r="A187" s="34" t="n">
        <v>673639118</v>
      </c>
      <c r="B187" s="34" t="s">
        <v>3313</v>
      </c>
      <c r="C187" s="34" t="s">
        <v>464</v>
      </c>
      <c r="E187" s="30" t="s">
        <v>3314</v>
      </c>
      <c r="F187" s="34" t="n">
        <f aca="false">IFERROR(VLOOKUP($A187,'319'!$B:$H,7,0),0)</f>
        <v>0</v>
      </c>
      <c r="G187" s="34" t="n">
        <f aca="false">SUMIFS('12.326ana'!$C:$C,'12.326ana'!$M:$M,redes!A187)</f>
        <v>0</v>
      </c>
    </row>
    <row r="188" customFormat="false" ht="14.4" hidden="true" customHeight="false" outlineLevel="0" collapsed="false">
      <c r="A188" s="34" t="n">
        <v>677818106</v>
      </c>
      <c r="B188" s="34" t="s">
        <v>3315</v>
      </c>
      <c r="C188" s="34" t="s">
        <v>77</v>
      </c>
      <c r="E188" s="30" t="s">
        <v>3316</v>
      </c>
      <c r="F188" s="34" t="n">
        <f aca="false">IFERROR(VLOOKUP($A188,'319'!$B:$H,7,0),0)</f>
        <v>0</v>
      </c>
      <c r="G188" s="34" t="n">
        <f aca="false">SUMIFS('12.326ana'!$C:$C,'12.326ana'!$M:$M,redes!A188)</f>
        <v>0</v>
      </c>
    </row>
    <row r="189" customFormat="false" ht="14.4" hidden="true" customHeight="false" outlineLevel="0" collapsed="false">
      <c r="A189" s="34" t="n">
        <v>682926191</v>
      </c>
      <c r="B189" s="34" t="s">
        <v>3317</v>
      </c>
      <c r="C189" s="34" t="s">
        <v>77</v>
      </c>
      <c r="E189" s="30" t="s">
        <v>3318</v>
      </c>
      <c r="F189" s="34" t="n">
        <f aca="false">IFERROR(VLOOKUP($A189,'319'!$B:$H,7,0),0)</f>
        <v>0</v>
      </c>
      <c r="G189" s="34" t="n">
        <f aca="false">SUMIFS('12.326ana'!$C:$C,'12.326ana'!$M:$M,redes!A189)</f>
        <v>0</v>
      </c>
    </row>
    <row r="190" customFormat="false" ht="14.4" hidden="true" customHeight="false" outlineLevel="0" collapsed="false">
      <c r="A190" s="34" t="n">
        <v>690014139</v>
      </c>
      <c r="B190" s="34" t="s">
        <v>3319</v>
      </c>
      <c r="C190" s="34" t="s">
        <v>77</v>
      </c>
      <c r="E190" s="30" t="s">
        <v>3320</v>
      </c>
      <c r="F190" s="34" t="n">
        <f aca="false">IFERROR(VLOOKUP($A190,'319'!$B:$H,7,0),0)</f>
        <v>0</v>
      </c>
      <c r="G190" s="34" t="n">
        <f aca="false">SUMIFS('12.326ana'!$C:$C,'12.326ana'!$M:$M,redes!A190)</f>
        <v>0</v>
      </c>
    </row>
    <row r="191" customFormat="false" ht="14.4" hidden="true" customHeight="false" outlineLevel="0" collapsed="false">
      <c r="A191" s="34" t="n">
        <v>693625139</v>
      </c>
      <c r="B191" s="34" t="s">
        <v>3321</v>
      </c>
      <c r="C191" s="34" t="s">
        <v>336</v>
      </c>
      <c r="E191" s="30" t="s">
        <v>3322</v>
      </c>
      <c r="F191" s="34" t="n">
        <f aca="false">IFERROR(VLOOKUP($A191,'319'!$B:$H,7,0),0)</f>
        <v>0</v>
      </c>
      <c r="G191" s="34" t="n">
        <f aca="false">SUMIFS('12.326ana'!$C:$C,'12.326ana'!$M:$M,redes!A191)</f>
        <v>0</v>
      </c>
    </row>
    <row r="192" customFormat="false" ht="14.4" hidden="true" customHeight="false" outlineLevel="0" collapsed="false">
      <c r="A192" s="34" t="n">
        <v>705180174</v>
      </c>
      <c r="B192" s="34" t="s">
        <v>3323</v>
      </c>
      <c r="C192" s="34" t="s">
        <v>77</v>
      </c>
      <c r="D192" s="34" t="s">
        <v>3324</v>
      </c>
      <c r="E192" s="30" t="s">
        <v>3325</v>
      </c>
      <c r="F192" s="34" t="n">
        <f aca="false">IFERROR(VLOOKUP($A192,'319'!$B:$H,7,0),0)</f>
        <v>0</v>
      </c>
      <c r="G192" s="34" t="n">
        <f aca="false">SUMIFS('12.326ana'!$C:$C,'12.326ana'!$M:$M,redes!A192)</f>
        <v>0</v>
      </c>
    </row>
    <row r="193" customFormat="false" ht="14.4" hidden="true" customHeight="false" outlineLevel="0" collapsed="false">
      <c r="A193" s="34" t="n">
        <v>710073186</v>
      </c>
      <c r="B193" s="34" t="s">
        <v>3326</v>
      </c>
      <c r="C193" s="34" t="s">
        <v>77</v>
      </c>
      <c r="E193" s="30" t="s">
        <v>3327</v>
      </c>
      <c r="F193" s="34" t="n">
        <f aca="false">IFERROR(VLOOKUP($A193,'319'!$B:$H,7,0),0)</f>
        <v>0</v>
      </c>
      <c r="G193" s="34" t="n">
        <f aca="false">SUMIFS('12.326ana'!$C:$C,'12.326ana'!$M:$M,redes!A193)</f>
        <v>0</v>
      </c>
    </row>
    <row r="194" customFormat="false" ht="14.4" hidden="true" customHeight="false" outlineLevel="0" collapsed="false">
      <c r="A194" s="34" t="n">
        <v>718589114</v>
      </c>
      <c r="B194" s="34" t="s">
        <v>3328</v>
      </c>
      <c r="C194" s="34" t="s">
        <v>77</v>
      </c>
      <c r="E194" s="30" t="s">
        <v>3329</v>
      </c>
      <c r="F194" s="34" t="n">
        <f aca="false">IFERROR(VLOOKUP($A194,'319'!$B:$H,7,0),0)</f>
        <v>0</v>
      </c>
      <c r="G194" s="34" t="n">
        <f aca="false">SUMIFS('12.326ana'!$C:$C,'12.326ana'!$M:$M,redes!A194)</f>
        <v>0</v>
      </c>
    </row>
    <row r="195" customFormat="false" ht="14.4" hidden="true" customHeight="false" outlineLevel="0" collapsed="false">
      <c r="A195" s="34" t="n">
        <v>719915147</v>
      </c>
      <c r="B195" s="34" t="s">
        <v>3330</v>
      </c>
      <c r="C195" s="34" t="s">
        <v>154</v>
      </c>
      <c r="E195" s="30" t="s">
        <v>3331</v>
      </c>
      <c r="F195" s="34" t="n">
        <f aca="false">IFERROR(VLOOKUP($A195,'319'!$B:$H,7,0),0)</f>
        <v>0</v>
      </c>
      <c r="G195" s="34" t="n">
        <f aca="false">SUMIFS('12.326ana'!$C:$C,'12.326ana'!$M:$M,redes!A195)</f>
        <v>0</v>
      </c>
    </row>
    <row r="196" customFormat="false" ht="14.4" hidden="true" customHeight="false" outlineLevel="0" collapsed="false">
      <c r="A196" s="34" t="n">
        <v>720940109</v>
      </c>
      <c r="B196" s="34" t="s">
        <v>3332</v>
      </c>
      <c r="C196" s="34" t="s">
        <v>463</v>
      </c>
      <c r="E196" s="30" t="s">
        <v>3333</v>
      </c>
      <c r="F196" s="34" t="n">
        <f aca="false">IFERROR(VLOOKUP($A196,'319'!$B:$H,7,0),0)</f>
        <v>0</v>
      </c>
      <c r="G196" s="34" t="n">
        <f aca="false">SUMIFS('12.326ana'!$C:$C,'12.326ana'!$M:$M,redes!A196)</f>
        <v>0</v>
      </c>
    </row>
    <row r="197" customFormat="false" ht="14.4" hidden="true" customHeight="false" outlineLevel="0" collapsed="false">
      <c r="A197" s="34" t="n">
        <v>722577923</v>
      </c>
      <c r="B197" s="34" t="s">
        <v>3334</v>
      </c>
      <c r="C197" s="34" t="s">
        <v>77</v>
      </c>
      <c r="E197" s="30" t="s">
        <v>3335</v>
      </c>
      <c r="F197" s="34" t="n">
        <f aca="false">IFERROR(VLOOKUP($A197,'319'!$B:$H,7,0),0)</f>
        <v>0</v>
      </c>
      <c r="G197" s="34" t="n">
        <f aca="false">SUMIFS('12.326ana'!$C:$C,'12.326ana'!$M:$M,redes!A197)</f>
        <v>0</v>
      </c>
    </row>
    <row r="198" customFormat="false" ht="14.4" hidden="true" customHeight="false" outlineLevel="0" collapsed="false">
      <c r="A198" s="34" t="n">
        <v>723055920</v>
      </c>
      <c r="B198" s="34" t="s">
        <v>3336</v>
      </c>
      <c r="C198" s="34" t="s">
        <v>473</v>
      </c>
      <c r="E198" s="30" t="s">
        <v>3337</v>
      </c>
      <c r="F198" s="34" t="n">
        <f aca="false">IFERROR(VLOOKUP($A198,'319'!$B:$H,7,0),0)</f>
        <v>0</v>
      </c>
      <c r="G198" s="34" t="n">
        <f aca="false">SUMIFS('12.326ana'!$C:$C,'12.326ana'!$M:$M,redes!A198)</f>
        <v>0</v>
      </c>
    </row>
    <row r="199" customFormat="false" ht="14.4" hidden="true" customHeight="false" outlineLevel="0" collapsed="false">
      <c r="A199" s="34" t="n">
        <v>724302140</v>
      </c>
      <c r="B199" s="34" t="s">
        <v>3338</v>
      </c>
      <c r="C199" s="34" t="s">
        <v>77</v>
      </c>
      <c r="E199" s="30" t="s">
        <v>3339</v>
      </c>
      <c r="F199" s="34" t="n">
        <f aca="false">IFERROR(VLOOKUP($A199,'319'!$B:$H,7,0),0)</f>
        <v>0</v>
      </c>
      <c r="G199" s="34" t="n">
        <f aca="false">SUMIFS('12.326ana'!$C:$C,'12.326ana'!$M:$M,redes!A199)</f>
        <v>0</v>
      </c>
    </row>
    <row r="200" customFormat="false" ht="14.4" hidden="true" customHeight="false" outlineLevel="0" collapsed="false">
      <c r="A200" s="34" t="n">
        <v>727564110</v>
      </c>
      <c r="B200" s="34" t="s">
        <v>3340</v>
      </c>
      <c r="C200" s="34" t="s">
        <v>89</v>
      </c>
      <c r="E200" s="30" t="s">
        <v>3341</v>
      </c>
      <c r="F200" s="34" t="n">
        <f aca="false">IFERROR(VLOOKUP($A200,'319'!$B:$H,7,0),0)</f>
        <v>0</v>
      </c>
      <c r="G200" s="34" t="n">
        <f aca="false">SUMIFS('12.326ana'!$C:$C,'12.326ana'!$M:$M,redes!A200)</f>
        <v>0</v>
      </c>
    </row>
    <row r="201" customFormat="false" ht="14.4" hidden="true" customHeight="false" outlineLevel="0" collapsed="false">
      <c r="A201" s="34" t="n">
        <v>742151166</v>
      </c>
      <c r="B201" s="34" t="s">
        <v>3342</v>
      </c>
      <c r="C201" s="34" t="s">
        <v>737</v>
      </c>
      <c r="E201" s="30" t="s">
        <v>3343</v>
      </c>
      <c r="F201" s="34" t="n">
        <f aca="false">IFERROR(VLOOKUP($A201,'319'!$B:$H,7,0),0)</f>
        <v>0</v>
      </c>
      <c r="G201" s="34" t="n">
        <f aca="false">SUMIFS('12.326ana'!$C:$C,'12.326ana'!$M:$M,redes!A201)</f>
        <v>0</v>
      </c>
    </row>
    <row r="202" customFormat="false" ht="14.4" hidden="true" customHeight="false" outlineLevel="0" collapsed="false">
      <c r="A202" s="34" t="n">
        <v>743743113</v>
      </c>
      <c r="B202" s="34" t="s">
        <v>3344</v>
      </c>
      <c r="C202" s="34" t="s">
        <v>473</v>
      </c>
      <c r="E202" s="30" t="s">
        <v>3345</v>
      </c>
      <c r="F202" s="34" t="n">
        <f aca="false">IFERROR(VLOOKUP($A202,'319'!$B:$H,7,0),0)</f>
        <v>0</v>
      </c>
      <c r="G202" s="34" t="n">
        <f aca="false">SUMIFS('12.326ana'!$C:$C,'12.326ana'!$M:$M,redes!A202)</f>
        <v>0</v>
      </c>
    </row>
    <row r="203" customFormat="false" ht="14.4" hidden="true" customHeight="false" outlineLevel="0" collapsed="false">
      <c r="A203" s="34" t="n">
        <v>746045115</v>
      </c>
      <c r="B203" s="34" t="s">
        <v>3346</v>
      </c>
      <c r="C203" s="34" t="s">
        <v>103</v>
      </c>
      <c r="E203" s="30" t="s">
        <v>3347</v>
      </c>
      <c r="F203" s="34" t="n">
        <f aca="false">IFERROR(VLOOKUP($A203,'319'!$B:$H,7,0),0)</f>
        <v>0</v>
      </c>
      <c r="G203" s="34" t="n">
        <f aca="false">SUMIFS('12.326ana'!$C:$C,'12.326ana'!$M:$M,redes!A203)</f>
        <v>0</v>
      </c>
    </row>
    <row r="204" customFormat="false" ht="14.4" hidden="true" customHeight="false" outlineLevel="0" collapsed="false">
      <c r="A204" s="34" t="n">
        <v>750825197</v>
      </c>
      <c r="B204" s="34" t="s">
        <v>3348</v>
      </c>
      <c r="C204" s="34" t="s">
        <v>77</v>
      </c>
      <c r="E204" s="30" t="s">
        <v>3349</v>
      </c>
      <c r="F204" s="34" t="n">
        <f aca="false">IFERROR(VLOOKUP($A204,'319'!$B:$H,7,0),0)</f>
        <v>0</v>
      </c>
      <c r="G204" s="34" t="n">
        <f aca="false">SUMIFS('12.326ana'!$C:$C,'12.326ana'!$M:$M,redes!A204)</f>
        <v>0</v>
      </c>
    </row>
    <row r="205" customFormat="false" ht="14.4" hidden="true" customHeight="false" outlineLevel="0" collapsed="false">
      <c r="A205" s="34" t="n">
        <v>754604160</v>
      </c>
      <c r="B205" s="34" t="s">
        <v>3350</v>
      </c>
      <c r="C205" s="34" t="s">
        <v>117</v>
      </c>
      <c r="E205" s="30" t="s">
        <v>3351</v>
      </c>
      <c r="F205" s="34" t="n">
        <f aca="false">IFERROR(VLOOKUP($A205,'319'!$B:$H,7,0),0)</f>
        <v>0</v>
      </c>
      <c r="G205" s="34" t="n">
        <f aca="false">SUMIFS('12.326ana'!$C:$C,'12.326ana'!$M:$M,redes!A205)</f>
        <v>0</v>
      </c>
    </row>
    <row r="206" customFormat="false" ht="14.4" hidden="true" customHeight="false" outlineLevel="0" collapsed="false">
      <c r="A206" s="34" t="n">
        <v>759707162</v>
      </c>
      <c r="B206" s="34" t="s">
        <v>3352</v>
      </c>
      <c r="C206" s="34" t="s">
        <v>77</v>
      </c>
      <c r="E206" s="30" t="s">
        <v>3353</v>
      </c>
      <c r="F206" s="34" t="n">
        <f aca="false">IFERROR(VLOOKUP($A206,'319'!$B:$H,7,0),0)</f>
        <v>0</v>
      </c>
      <c r="G206" s="34" t="n">
        <f aca="false">SUMIFS('12.326ana'!$C:$C,'12.326ana'!$M:$M,redes!A206)</f>
        <v>0</v>
      </c>
    </row>
    <row r="207" customFormat="false" ht="14.4" hidden="true" customHeight="false" outlineLevel="0" collapsed="false">
      <c r="A207" s="34" t="n">
        <v>768774187</v>
      </c>
      <c r="B207" s="34" t="s">
        <v>3354</v>
      </c>
      <c r="C207" s="34" t="s">
        <v>77</v>
      </c>
      <c r="E207" s="30" t="s">
        <v>3355</v>
      </c>
      <c r="F207" s="34" t="n">
        <f aca="false">IFERROR(VLOOKUP($A207,'319'!$B:$H,7,0),0)</f>
        <v>0</v>
      </c>
      <c r="G207" s="34" t="n">
        <f aca="false">SUMIFS('12.326ana'!$C:$C,'12.326ana'!$M:$M,redes!A207)</f>
        <v>0</v>
      </c>
    </row>
    <row r="208" customFormat="false" ht="14.4" hidden="true" customHeight="false" outlineLevel="0" collapsed="false">
      <c r="A208" s="34" t="n">
        <v>772066140</v>
      </c>
      <c r="B208" s="34" t="s">
        <v>3356</v>
      </c>
      <c r="C208" s="34" t="s">
        <v>77</v>
      </c>
      <c r="E208" s="30" t="s">
        <v>3357</v>
      </c>
      <c r="F208" s="34" t="n">
        <f aca="false">IFERROR(VLOOKUP($A208,'319'!$B:$H,7,0),0)</f>
        <v>0</v>
      </c>
      <c r="G208" s="34" t="n">
        <f aca="false">SUMIFS('12.326ana'!$C:$C,'12.326ana'!$M:$M,redes!A208)</f>
        <v>0</v>
      </c>
    </row>
    <row r="209" customFormat="false" ht="14.4" hidden="true" customHeight="false" outlineLevel="0" collapsed="false">
      <c r="A209" s="34" t="n">
        <v>772072116</v>
      </c>
      <c r="B209" s="34" t="s">
        <v>3358</v>
      </c>
      <c r="C209" s="34" t="s">
        <v>129</v>
      </c>
      <c r="E209" s="30" t="s">
        <v>3359</v>
      </c>
      <c r="F209" s="34" t="n">
        <f aca="false">IFERROR(VLOOKUP($A209,'319'!$B:$H,7,0),0)</f>
        <v>0</v>
      </c>
      <c r="G209" s="34" t="n">
        <f aca="false">SUMIFS('12.326ana'!$C:$C,'12.326ana'!$M:$M,redes!A209)</f>
        <v>0</v>
      </c>
    </row>
    <row r="210" customFormat="false" ht="14.4" hidden="true" customHeight="false" outlineLevel="0" collapsed="false">
      <c r="A210" s="34" t="n">
        <v>772162107</v>
      </c>
      <c r="B210" s="34" t="s">
        <v>3360</v>
      </c>
      <c r="C210" s="34" t="s">
        <v>77</v>
      </c>
      <c r="E210" s="30" t="s">
        <v>3361</v>
      </c>
      <c r="F210" s="34" t="n">
        <f aca="false">IFERROR(VLOOKUP($A210,'319'!$B:$H,7,0),0)</f>
        <v>0</v>
      </c>
      <c r="G210" s="34" t="n">
        <f aca="false">SUMIFS('12.326ana'!$C:$C,'12.326ana'!$M:$M,redes!A210)</f>
        <v>0</v>
      </c>
    </row>
    <row r="211" customFormat="false" ht="14.4" hidden="true" customHeight="false" outlineLevel="0" collapsed="false">
      <c r="A211" s="34" t="n">
        <v>782872867</v>
      </c>
      <c r="B211" s="34" t="s">
        <v>3362</v>
      </c>
      <c r="C211" s="34" t="s">
        <v>77</v>
      </c>
      <c r="E211" s="30" t="s">
        <v>3363</v>
      </c>
      <c r="F211" s="34" t="n">
        <f aca="false">IFERROR(VLOOKUP($A211,'319'!$B:$H,7,0),0)</f>
        <v>0</v>
      </c>
      <c r="G211" s="34" t="n">
        <f aca="false">SUMIFS('12.326ana'!$C:$C,'12.326ana'!$M:$M,redes!A211)</f>
        <v>0</v>
      </c>
    </row>
    <row r="212" customFormat="false" ht="14.4" hidden="true" customHeight="false" outlineLevel="0" collapsed="false">
      <c r="A212" s="34" t="n">
        <v>783111100</v>
      </c>
      <c r="B212" s="34" t="s">
        <v>3364</v>
      </c>
      <c r="C212" s="34" t="s">
        <v>77</v>
      </c>
      <c r="E212" s="30"/>
      <c r="F212" s="34" t="n">
        <f aca="false">IFERROR(VLOOKUP($A212,'319'!$B:$H,7,0),0)</f>
        <v>0</v>
      </c>
      <c r="G212" s="34" t="n">
        <f aca="false">SUMIFS('12.326ana'!$C:$C,'12.326ana'!$M:$M,redes!A212)</f>
        <v>0</v>
      </c>
    </row>
    <row r="213" customFormat="false" ht="14.4" hidden="true" customHeight="false" outlineLevel="0" collapsed="false">
      <c r="A213" s="34" t="n">
        <v>784182167</v>
      </c>
      <c r="B213" s="34" t="s">
        <v>3365</v>
      </c>
      <c r="C213" s="34" t="s">
        <v>77</v>
      </c>
      <c r="E213" s="30" t="s">
        <v>2846</v>
      </c>
      <c r="F213" s="34" t="n">
        <f aca="false">IFERROR(VLOOKUP($A213,'319'!$B:$H,7,0),0)</f>
        <v>0</v>
      </c>
      <c r="G213" s="34" t="n">
        <f aca="false">SUMIFS('12.326ana'!$C:$C,'12.326ana'!$M:$M,redes!A213)</f>
        <v>0</v>
      </c>
    </row>
    <row r="214" customFormat="false" ht="14.4" hidden="true" customHeight="false" outlineLevel="0" collapsed="false">
      <c r="A214" s="34" t="n">
        <v>784459142</v>
      </c>
      <c r="B214" s="34" t="s">
        <v>3366</v>
      </c>
      <c r="C214" s="34" t="s">
        <v>77</v>
      </c>
      <c r="E214" s="30" t="s">
        <v>3367</v>
      </c>
      <c r="F214" s="34" t="n">
        <f aca="false">IFERROR(VLOOKUP($A214,'319'!$B:$H,7,0),0)</f>
        <v>0</v>
      </c>
      <c r="G214" s="34" t="n">
        <f aca="false">SUMIFS('12.326ana'!$C:$C,'12.326ana'!$M:$M,redes!A214)</f>
        <v>0</v>
      </c>
    </row>
    <row r="215" customFormat="false" ht="14.4" hidden="true" customHeight="false" outlineLevel="0" collapsed="false">
      <c r="A215" s="34" t="n">
        <v>784461120</v>
      </c>
      <c r="B215" s="34" t="s">
        <v>3368</v>
      </c>
      <c r="C215" s="34" t="s">
        <v>77</v>
      </c>
      <c r="E215" s="30" t="s">
        <v>3369</v>
      </c>
      <c r="F215" s="34" t="n">
        <f aca="false">IFERROR(VLOOKUP($A215,'319'!$B:$H,7,0),0)</f>
        <v>0</v>
      </c>
      <c r="G215" s="34" t="n">
        <f aca="false">SUMIFS('12.326ana'!$C:$C,'12.326ana'!$M:$M,redes!A215)</f>
        <v>0</v>
      </c>
    </row>
    <row r="216" customFormat="false" ht="14.4" hidden="true" customHeight="false" outlineLevel="0" collapsed="false">
      <c r="A216" s="34" t="n">
        <v>784545146</v>
      </c>
      <c r="B216" s="34" t="s">
        <v>3370</v>
      </c>
      <c r="C216" s="34" t="s">
        <v>77</v>
      </c>
      <c r="E216" s="30" t="s">
        <v>3222</v>
      </c>
      <c r="F216" s="34" t="n">
        <f aca="false">IFERROR(VLOOKUP($A216,'319'!$B:$H,7,0),0)</f>
        <v>0</v>
      </c>
      <c r="G216" s="34" t="n">
        <f aca="false">SUMIFS('12.326ana'!$C:$C,'12.326ana'!$M:$M,redes!A216)</f>
        <v>0</v>
      </c>
    </row>
    <row r="217" customFormat="false" ht="14.4" hidden="true" customHeight="false" outlineLevel="0" collapsed="false">
      <c r="A217" s="34" t="n">
        <v>788040197</v>
      </c>
      <c r="B217" s="34" t="s">
        <v>3371</v>
      </c>
      <c r="C217" s="34" t="s">
        <v>107</v>
      </c>
      <c r="E217" s="30" t="s">
        <v>3372</v>
      </c>
      <c r="F217" s="34" t="n">
        <f aca="false">IFERROR(VLOOKUP($A217,'319'!$B:$H,7,0),0)</f>
        <v>0</v>
      </c>
      <c r="G217" s="34" t="n">
        <f aca="false">SUMIFS('12.326ana'!$C:$C,'12.326ana'!$M:$M,redes!A217)</f>
        <v>0</v>
      </c>
    </row>
    <row r="218" customFormat="false" ht="14.4" hidden="true" customHeight="false" outlineLevel="0" collapsed="false">
      <c r="A218" s="34" t="n">
        <v>789849127</v>
      </c>
      <c r="B218" s="34" t="s">
        <v>3373</v>
      </c>
      <c r="C218" s="34" t="s">
        <v>77</v>
      </c>
      <c r="E218" s="30"/>
      <c r="F218" s="34" t="n">
        <f aca="false">IFERROR(VLOOKUP($A218,'319'!$B:$H,7,0),0)</f>
        <v>0</v>
      </c>
      <c r="G218" s="34" t="n">
        <f aca="false">SUMIFS('12.326ana'!$C:$C,'12.326ana'!$M:$M,redes!A218)</f>
        <v>0</v>
      </c>
    </row>
    <row r="219" customFormat="false" ht="14.4" hidden="true" customHeight="false" outlineLevel="0" collapsed="false">
      <c r="A219" s="34" t="n">
        <v>795673124</v>
      </c>
      <c r="B219" s="34" t="s">
        <v>3374</v>
      </c>
      <c r="C219" s="34" t="s">
        <v>107</v>
      </c>
      <c r="E219" s="30" t="s">
        <v>3375</v>
      </c>
      <c r="F219" s="34" t="n">
        <f aca="false">IFERROR(VLOOKUP($A219,'319'!$B:$H,7,0),0)</f>
        <v>0</v>
      </c>
      <c r="G219" s="34" t="n">
        <f aca="false">SUMIFS('12.326ana'!$C:$C,'12.326ana'!$M:$M,redes!A219)</f>
        <v>0</v>
      </c>
    </row>
    <row r="220" customFormat="false" ht="14.4" hidden="true" customHeight="false" outlineLevel="0" collapsed="false">
      <c r="A220" s="34" t="n">
        <v>797652116</v>
      </c>
      <c r="B220" s="34" t="s">
        <v>3376</v>
      </c>
      <c r="C220" s="34" t="s">
        <v>77</v>
      </c>
      <c r="E220" s="30" t="s">
        <v>3377</v>
      </c>
      <c r="F220" s="34" t="n">
        <f aca="false">IFERROR(VLOOKUP($A220,'319'!$B:$H,7,0),0)</f>
        <v>0</v>
      </c>
      <c r="G220" s="34" t="n">
        <f aca="false">SUMIFS('12.326ana'!$C:$C,'12.326ana'!$M:$M,redes!A220)</f>
        <v>0</v>
      </c>
    </row>
    <row r="221" customFormat="false" ht="14.4" hidden="true" customHeight="false" outlineLevel="0" collapsed="false">
      <c r="A221" s="34" t="n">
        <v>797713190</v>
      </c>
      <c r="B221" s="34" t="s">
        <v>3378</v>
      </c>
      <c r="C221" s="34" t="s">
        <v>77</v>
      </c>
      <c r="E221" s="30" t="s">
        <v>3379</v>
      </c>
      <c r="F221" s="34" t="n">
        <f aca="false">IFERROR(VLOOKUP($A221,'319'!$B:$H,7,0),0)</f>
        <v>0</v>
      </c>
      <c r="G221" s="34" t="n">
        <f aca="false">SUMIFS('12.326ana'!$C:$C,'12.326ana'!$M:$M,redes!A221)</f>
        <v>0</v>
      </c>
    </row>
    <row r="222" customFormat="false" ht="14.4" hidden="true" customHeight="false" outlineLevel="0" collapsed="false">
      <c r="A222" s="34" t="n">
        <v>802468187</v>
      </c>
      <c r="B222" s="34" t="s">
        <v>3380</v>
      </c>
      <c r="C222" s="34" t="s">
        <v>89</v>
      </c>
      <c r="E222" s="30" t="s">
        <v>3381</v>
      </c>
      <c r="F222" s="34" t="n">
        <f aca="false">IFERROR(VLOOKUP($A222,'319'!$B:$H,7,0),0)</f>
        <v>0</v>
      </c>
      <c r="G222" s="34" t="n">
        <f aca="false">SUMIFS('12.326ana'!$C:$C,'12.326ana'!$M:$M,redes!A222)</f>
        <v>0</v>
      </c>
    </row>
    <row r="223" customFormat="false" ht="14.4" hidden="true" customHeight="false" outlineLevel="0" collapsed="false">
      <c r="A223" s="34" t="n">
        <v>804689180</v>
      </c>
      <c r="B223" s="34" t="s">
        <v>3382</v>
      </c>
      <c r="C223" s="34" t="s">
        <v>197</v>
      </c>
      <c r="E223" s="30" t="s">
        <v>3383</v>
      </c>
      <c r="F223" s="34" t="n">
        <f aca="false">IFERROR(VLOOKUP($A223,'319'!$B:$H,7,0),0)</f>
        <v>0</v>
      </c>
      <c r="G223" s="34" t="n">
        <f aca="false">SUMIFS('12.326ana'!$C:$C,'12.326ana'!$M:$M,redes!A223)</f>
        <v>0</v>
      </c>
    </row>
    <row r="224" customFormat="false" ht="14.4" hidden="true" customHeight="false" outlineLevel="0" collapsed="false">
      <c r="A224" s="34" t="n">
        <v>807567191</v>
      </c>
      <c r="B224" s="34" t="s">
        <v>3384</v>
      </c>
      <c r="C224" s="34" t="s">
        <v>107</v>
      </c>
      <c r="E224" s="30" t="s">
        <v>3385</v>
      </c>
      <c r="F224" s="34" t="n">
        <f aca="false">IFERROR(VLOOKUP($A224,'319'!$B:$H,7,0),0)</f>
        <v>0</v>
      </c>
      <c r="G224" s="34" t="n">
        <f aca="false">SUMIFS('12.326ana'!$C:$C,'12.326ana'!$M:$M,redes!A224)</f>
        <v>0</v>
      </c>
    </row>
    <row r="225" customFormat="false" ht="14.4" hidden="true" customHeight="false" outlineLevel="0" collapsed="false">
      <c r="A225" s="34" t="n">
        <v>810938103</v>
      </c>
      <c r="B225" s="34" t="s">
        <v>3386</v>
      </c>
      <c r="C225" s="34" t="s">
        <v>77</v>
      </c>
      <c r="E225" s="30" t="s">
        <v>3387</v>
      </c>
      <c r="F225" s="34" t="n">
        <f aca="false">IFERROR(VLOOKUP($A225,'319'!$B:$H,7,0),0)</f>
        <v>0</v>
      </c>
      <c r="G225" s="34" t="n">
        <f aca="false">SUMIFS('12.326ana'!$C:$C,'12.326ana'!$M:$M,redes!A225)</f>
        <v>0</v>
      </c>
    </row>
    <row r="226" customFormat="false" ht="14.4" hidden="true" customHeight="false" outlineLevel="0" collapsed="false">
      <c r="A226" s="34" t="n">
        <v>818441151</v>
      </c>
      <c r="B226" s="34" t="s">
        <v>3388</v>
      </c>
      <c r="C226" s="34" t="s">
        <v>107</v>
      </c>
      <c r="E226" s="30" t="s">
        <v>3389</v>
      </c>
      <c r="F226" s="34" t="n">
        <f aca="false">IFERROR(VLOOKUP($A226,'319'!$B:$H,7,0),0)</f>
        <v>0</v>
      </c>
      <c r="G226" s="34" t="n">
        <f aca="false">SUMIFS('12.326ana'!$C:$C,'12.326ana'!$M:$M,redes!A226)</f>
        <v>0</v>
      </c>
    </row>
    <row r="227" customFormat="false" ht="14.4" hidden="true" customHeight="false" outlineLevel="0" collapsed="false">
      <c r="A227" s="34" t="n">
        <v>826550142</v>
      </c>
      <c r="B227" s="34" t="s">
        <v>3390</v>
      </c>
      <c r="C227" s="34" t="s">
        <v>77</v>
      </c>
      <c r="E227" s="30" t="s">
        <v>3391</v>
      </c>
      <c r="F227" s="34" t="n">
        <f aca="false">IFERROR(VLOOKUP($A227,'319'!$B:$H,7,0),0)</f>
        <v>0</v>
      </c>
      <c r="G227" s="34" t="n">
        <f aca="false">SUMIFS('12.326ana'!$C:$C,'12.326ana'!$M:$M,redes!A227)</f>
        <v>0</v>
      </c>
    </row>
    <row r="228" customFormat="false" ht="14.4" hidden="true" customHeight="false" outlineLevel="0" collapsed="false">
      <c r="A228" s="34" t="n">
        <v>827402163</v>
      </c>
      <c r="B228" s="34" t="s">
        <v>3392</v>
      </c>
      <c r="C228" s="34" t="s">
        <v>77</v>
      </c>
      <c r="E228" s="30" t="s">
        <v>3393</v>
      </c>
      <c r="F228" s="34" t="n">
        <f aca="false">IFERROR(VLOOKUP($A228,'319'!$B:$H,7,0),0)</f>
        <v>0</v>
      </c>
      <c r="G228" s="34" t="n">
        <f aca="false">SUMIFS('12.326ana'!$C:$C,'12.326ana'!$M:$M,redes!A228)</f>
        <v>0</v>
      </c>
    </row>
    <row r="229" customFormat="false" ht="14.4" hidden="true" customHeight="false" outlineLevel="0" collapsed="false">
      <c r="A229" s="34" t="n">
        <v>840872186</v>
      </c>
      <c r="B229" s="34" t="s">
        <v>3394</v>
      </c>
      <c r="C229" s="34" t="s">
        <v>77</v>
      </c>
      <c r="E229" s="30" t="s">
        <v>3395</v>
      </c>
      <c r="F229" s="34" t="n">
        <f aca="false">IFERROR(VLOOKUP($A229,'319'!$B:$H,7,0),0)</f>
        <v>0</v>
      </c>
      <c r="G229" s="34" t="n">
        <f aca="false">SUMIFS('12.326ana'!$C:$C,'12.326ana'!$M:$M,redes!A229)</f>
        <v>0</v>
      </c>
    </row>
    <row r="230" customFormat="false" ht="14.4" hidden="true" customHeight="false" outlineLevel="0" collapsed="false">
      <c r="A230" s="34" t="n">
        <v>862163170</v>
      </c>
      <c r="B230" s="34" t="s">
        <v>3396</v>
      </c>
      <c r="C230" s="34" t="s">
        <v>342</v>
      </c>
      <c r="E230" s="30" t="s">
        <v>3397</v>
      </c>
      <c r="F230" s="34" t="n">
        <f aca="false">IFERROR(VLOOKUP($A230,'319'!$B:$H,7,0),0)</f>
        <v>0</v>
      </c>
      <c r="G230" s="34" t="n">
        <f aca="false">SUMIFS('12.326ana'!$C:$C,'12.326ana'!$M:$M,redes!A230)</f>
        <v>0</v>
      </c>
    </row>
    <row r="231" customFormat="false" ht="14.4" hidden="true" customHeight="false" outlineLevel="0" collapsed="false">
      <c r="A231" s="34" t="n">
        <v>878689117</v>
      </c>
      <c r="B231" s="34" t="s">
        <v>3398</v>
      </c>
      <c r="C231" s="34" t="s">
        <v>77</v>
      </c>
      <c r="E231" s="30" t="s">
        <v>3399</v>
      </c>
      <c r="F231" s="34" t="n">
        <f aca="false">IFERROR(VLOOKUP($A231,'319'!$B:$H,7,0),0)</f>
        <v>0</v>
      </c>
      <c r="G231" s="34" t="n">
        <f aca="false">SUMIFS('12.326ana'!$C:$C,'12.326ana'!$M:$M,redes!A231)</f>
        <v>0</v>
      </c>
    </row>
    <row r="232" customFormat="false" ht="14.4" hidden="true" customHeight="false" outlineLevel="0" collapsed="false">
      <c r="A232" s="34" t="n">
        <v>886197104</v>
      </c>
      <c r="B232" s="34" t="s">
        <v>3400</v>
      </c>
      <c r="C232" s="34" t="s">
        <v>463</v>
      </c>
      <c r="E232" s="30" t="s">
        <v>3401</v>
      </c>
      <c r="F232" s="34" t="n">
        <f aca="false">IFERROR(VLOOKUP($A232,'319'!$B:$H,7,0),0)</f>
        <v>0</v>
      </c>
      <c r="G232" s="34" t="n">
        <f aca="false">SUMIFS('12.326ana'!$C:$C,'12.326ana'!$M:$M,redes!A232)</f>
        <v>0</v>
      </c>
    </row>
    <row r="233" customFormat="false" ht="14.4" hidden="true" customHeight="false" outlineLevel="0" collapsed="false">
      <c r="A233" s="34" t="n">
        <v>896663132</v>
      </c>
      <c r="B233" s="34" t="s">
        <v>3402</v>
      </c>
      <c r="C233" s="34" t="s">
        <v>107</v>
      </c>
      <c r="E233" s="30" t="s">
        <v>3403</v>
      </c>
      <c r="F233" s="34" t="n">
        <f aca="false">IFERROR(VLOOKUP($A233,'319'!$B:$H,7,0),0)</f>
        <v>0</v>
      </c>
      <c r="G233" s="34" t="n">
        <f aca="false">SUMIFS('12.326ana'!$C:$C,'12.326ana'!$M:$M,redes!A233)</f>
        <v>0</v>
      </c>
    </row>
    <row r="234" customFormat="false" ht="14.4" hidden="true" customHeight="false" outlineLevel="0" collapsed="false">
      <c r="A234" s="34" t="n">
        <v>898601100</v>
      </c>
      <c r="B234" s="34" t="s">
        <v>3404</v>
      </c>
      <c r="C234" s="34" t="s">
        <v>192</v>
      </c>
      <c r="E234" s="30" t="s">
        <v>3405</v>
      </c>
      <c r="F234" s="34" t="n">
        <f aca="false">IFERROR(VLOOKUP($A234,'319'!$B:$H,7,0),0)</f>
        <v>0</v>
      </c>
      <c r="G234" s="34" t="n">
        <f aca="false">SUMIFS('12.326ana'!$C:$C,'12.326ana'!$M:$M,redes!A234)</f>
        <v>0</v>
      </c>
    </row>
    <row r="235" customFormat="false" ht="14.4" hidden="true" customHeight="false" outlineLevel="0" collapsed="false">
      <c r="A235" s="34" t="n">
        <v>898814197</v>
      </c>
      <c r="B235" s="34" t="s">
        <v>3406</v>
      </c>
      <c r="C235" s="34" t="s">
        <v>737</v>
      </c>
      <c r="E235" s="30" t="s">
        <v>3407</v>
      </c>
      <c r="F235" s="34" t="n">
        <f aca="false">IFERROR(VLOOKUP($A235,'319'!$B:$H,7,0),0)</f>
        <v>0</v>
      </c>
      <c r="G235" s="34" t="n">
        <f aca="false">SUMIFS('12.326ana'!$C:$C,'12.326ana'!$M:$M,redes!A235)</f>
        <v>0</v>
      </c>
    </row>
    <row r="236" customFormat="false" ht="14.4" hidden="true" customHeight="false" outlineLevel="0" collapsed="false">
      <c r="A236" s="34" t="n">
        <v>905454197</v>
      </c>
      <c r="B236" s="34" t="s">
        <v>3408</v>
      </c>
      <c r="C236" s="34" t="s">
        <v>129</v>
      </c>
      <c r="E236" s="30" t="s">
        <v>3409</v>
      </c>
      <c r="F236" s="34" t="n">
        <f aca="false">IFERROR(VLOOKUP($A236,'319'!$B:$H,7,0),0)</f>
        <v>0</v>
      </c>
      <c r="G236" s="34" t="n">
        <f aca="false">SUMIFS('12.326ana'!$C:$C,'12.326ana'!$M:$M,redes!A236)</f>
        <v>0</v>
      </c>
    </row>
    <row r="237" customFormat="false" ht="14.4" hidden="true" customHeight="false" outlineLevel="0" collapsed="false">
      <c r="A237" s="34" t="n">
        <v>907629164</v>
      </c>
      <c r="B237" s="34" t="s">
        <v>3410</v>
      </c>
      <c r="C237" s="34" t="s">
        <v>127</v>
      </c>
      <c r="E237" s="30"/>
      <c r="F237" s="34" t="n">
        <f aca="false">IFERROR(VLOOKUP($A237,'319'!$B:$H,7,0),0)</f>
        <v>0</v>
      </c>
      <c r="G237" s="34" t="n">
        <f aca="false">SUMIFS('12.326ana'!$C:$C,'12.326ana'!$M:$M,redes!A237)</f>
        <v>0</v>
      </c>
    </row>
    <row r="238" customFormat="false" ht="14.4" hidden="true" customHeight="false" outlineLevel="0" collapsed="false">
      <c r="A238" s="34" t="n">
        <v>915031167</v>
      </c>
      <c r="B238" s="34" t="s">
        <v>3411</v>
      </c>
      <c r="C238" s="34" t="s">
        <v>2998</v>
      </c>
      <c r="E238" s="30" t="s">
        <v>3412</v>
      </c>
      <c r="F238" s="34" t="n">
        <f aca="false">IFERROR(VLOOKUP($A238,'319'!$B:$H,7,0),0)</f>
        <v>0</v>
      </c>
      <c r="G238" s="34" t="n">
        <f aca="false">SUMIFS('12.326ana'!$C:$C,'12.326ana'!$M:$M,redes!A238)</f>
        <v>0</v>
      </c>
    </row>
    <row r="239" customFormat="false" ht="14.4" hidden="true" customHeight="false" outlineLevel="0" collapsed="false">
      <c r="A239" s="34" t="n">
        <v>917482166</v>
      </c>
      <c r="B239" s="34" t="s">
        <v>3413</v>
      </c>
      <c r="C239" s="34" t="s">
        <v>77</v>
      </c>
      <c r="E239" s="30"/>
      <c r="F239" s="34" t="n">
        <f aca="false">IFERROR(VLOOKUP($A239,'319'!$B:$H,7,0),0)</f>
        <v>0</v>
      </c>
      <c r="G239" s="34" t="n">
        <f aca="false">SUMIFS('12.326ana'!$C:$C,'12.326ana'!$M:$M,redes!A239)</f>
        <v>0</v>
      </c>
    </row>
    <row r="240" customFormat="false" ht="14.4" hidden="true" customHeight="false" outlineLevel="0" collapsed="false">
      <c r="A240" s="34" t="n">
        <v>918980135</v>
      </c>
      <c r="B240" s="34" t="s">
        <v>3414</v>
      </c>
      <c r="C240" s="34" t="s">
        <v>197</v>
      </c>
      <c r="E240" s="30" t="s">
        <v>3415</v>
      </c>
      <c r="F240" s="34" t="n">
        <f aca="false">IFERROR(VLOOKUP($A240,'319'!$B:$H,7,0),0)</f>
        <v>0</v>
      </c>
      <c r="G240" s="34" t="n">
        <f aca="false">SUMIFS('12.326ana'!$C:$C,'12.326ana'!$M:$M,redes!A240)</f>
        <v>0</v>
      </c>
    </row>
    <row r="241" customFormat="false" ht="14.4" hidden="true" customHeight="false" outlineLevel="0" collapsed="false">
      <c r="A241" s="34" t="n">
        <v>924052155</v>
      </c>
      <c r="B241" s="34" t="s">
        <v>3416</v>
      </c>
      <c r="C241" s="34" t="s">
        <v>197</v>
      </c>
      <c r="E241" s="30" t="s">
        <v>3417</v>
      </c>
      <c r="F241" s="34" t="n">
        <f aca="false">IFERROR(VLOOKUP($A241,'319'!$B:$H,7,0),0)</f>
        <v>0</v>
      </c>
      <c r="G241" s="34" t="n">
        <f aca="false">SUMIFS('12.326ana'!$C:$C,'12.326ana'!$M:$M,redes!A241)</f>
        <v>0</v>
      </c>
    </row>
    <row r="242" customFormat="false" ht="14.4" hidden="true" customHeight="false" outlineLevel="0" collapsed="false">
      <c r="A242" s="34" t="n">
        <v>932413137</v>
      </c>
      <c r="B242" s="34" t="s">
        <v>3418</v>
      </c>
      <c r="C242" s="34" t="s">
        <v>967</v>
      </c>
      <c r="E242" s="30"/>
      <c r="F242" s="34" t="n">
        <f aca="false">IFERROR(VLOOKUP($A242,'319'!$B:$H,7,0),0)</f>
        <v>0</v>
      </c>
      <c r="G242" s="34" t="n">
        <f aca="false">SUMIFS('12.326ana'!$C:$C,'12.326ana'!$M:$M,redes!A242)</f>
        <v>0</v>
      </c>
    </row>
    <row r="243" customFormat="false" ht="14.4" hidden="true" customHeight="false" outlineLevel="0" collapsed="false">
      <c r="A243" s="34" t="n">
        <v>941098184</v>
      </c>
      <c r="B243" s="34" t="s">
        <v>3419</v>
      </c>
      <c r="C243" s="34" t="s">
        <v>77</v>
      </c>
      <c r="E243" s="30" t="s">
        <v>3419</v>
      </c>
      <c r="F243" s="34" t="n">
        <f aca="false">IFERROR(VLOOKUP($A243,'319'!$B:$H,7,0),0)</f>
        <v>0</v>
      </c>
      <c r="G243" s="34" t="n">
        <f aca="false">SUMIFS('12.326ana'!$C:$C,'12.326ana'!$M:$M,redes!A243)</f>
        <v>0</v>
      </c>
    </row>
    <row r="244" customFormat="false" ht="14.4" hidden="true" customHeight="false" outlineLevel="0" collapsed="false">
      <c r="A244" s="34" t="n">
        <v>952369820</v>
      </c>
      <c r="B244" s="34" t="s">
        <v>3420</v>
      </c>
      <c r="C244" s="34" t="s">
        <v>463</v>
      </c>
      <c r="E244" s="30" t="s">
        <v>3421</v>
      </c>
      <c r="F244" s="34" t="n">
        <f aca="false">IFERROR(VLOOKUP($A244,'319'!$B:$H,7,0),0)</f>
        <v>0</v>
      </c>
      <c r="G244" s="34" t="n">
        <f aca="false">SUMIFS('12.326ana'!$C:$C,'12.326ana'!$M:$M,redes!A244)</f>
        <v>0</v>
      </c>
    </row>
    <row r="245" customFormat="false" ht="14.4" hidden="true" customHeight="false" outlineLevel="0" collapsed="false">
      <c r="A245" s="34" t="n">
        <v>952698196</v>
      </c>
      <c r="B245" s="34" t="s">
        <v>3422</v>
      </c>
      <c r="C245" s="34" t="s">
        <v>77</v>
      </c>
      <c r="E245" s="30"/>
      <c r="F245" s="34" t="n">
        <f aca="false">IFERROR(VLOOKUP($A245,'319'!$B:$H,7,0),0)</f>
        <v>0</v>
      </c>
      <c r="G245" s="34" t="n">
        <f aca="false">SUMIFS('12.326ana'!$C:$C,'12.326ana'!$M:$M,redes!A245)</f>
        <v>0</v>
      </c>
    </row>
    <row r="246" customFormat="false" ht="14.4" hidden="true" customHeight="false" outlineLevel="0" collapsed="false">
      <c r="A246" s="34" t="n">
        <v>953800199</v>
      </c>
      <c r="B246" s="34" t="s">
        <v>3423</v>
      </c>
      <c r="C246" s="34" t="s">
        <v>598</v>
      </c>
      <c r="E246" s="30" t="s">
        <v>3424</v>
      </c>
      <c r="F246" s="34" t="n">
        <f aca="false">IFERROR(VLOOKUP($A246,'319'!$B:$H,7,0),0)</f>
        <v>0</v>
      </c>
      <c r="G246" s="34" t="n">
        <f aca="false">SUMIFS('12.326ana'!$C:$C,'12.326ana'!$M:$M,redes!A246)</f>
        <v>0</v>
      </c>
    </row>
    <row r="247" customFormat="false" ht="14.4" hidden="true" customHeight="false" outlineLevel="0" collapsed="false">
      <c r="A247" s="34" t="n">
        <v>955916135</v>
      </c>
      <c r="B247" s="34" t="s">
        <v>3425</v>
      </c>
      <c r="C247" s="34" t="s">
        <v>107</v>
      </c>
      <c r="E247" s="30" t="s">
        <v>3426</v>
      </c>
      <c r="F247" s="34" t="n">
        <f aca="false">IFERROR(VLOOKUP($A247,'319'!$B:$H,7,0),0)</f>
        <v>0</v>
      </c>
      <c r="G247" s="34" t="n">
        <f aca="false">SUMIFS('12.326ana'!$C:$C,'12.326ana'!$M:$M,redes!A247)</f>
        <v>0</v>
      </c>
    </row>
    <row r="248" customFormat="false" ht="14.4" hidden="true" customHeight="false" outlineLevel="0" collapsed="false">
      <c r="A248" s="34" t="n">
        <v>960221166</v>
      </c>
      <c r="B248" s="34" t="s">
        <v>3427</v>
      </c>
      <c r="C248" s="34" t="s">
        <v>107</v>
      </c>
      <c r="E248" s="30" t="s">
        <v>3428</v>
      </c>
      <c r="F248" s="34" t="n">
        <f aca="false">IFERROR(VLOOKUP($A248,'319'!$B:$H,7,0),0)</f>
        <v>0</v>
      </c>
      <c r="G248" s="34" t="n">
        <f aca="false">SUMIFS('12.326ana'!$C:$C,'12.326ana'!$M:$M,redes!A248)</f>
        <v>0</v>
      </c>
    </row>
    <row r="249" customFormat="false" ht="14.4" hidden="true" customHeight="false" outlineLevel="0" collapsed="false">
      <c r="A249" s="34" t="n">
        <v>960873155</v>
      </c>
      <c r="B249" s="34" t="s">
        <v>3429</v>
      </c>
      <c r="C249" s="34" t="s">
        <v>77</v>
      </c>
      <c r="E249" s="30" t="s">
        <v>3430</v>
      </c>
      <c r="F249" s="34" t="n">
        <f aca="false">IFERROR(VLOOKUP($A249,'319'!$B:$H,7,0),0)</f>
        <v>0</v>
      </c>
      <c r="G249" s="34" t="n">
        <f aca="false">SUMIFS('12.326ana'!$C:$C,'12.326ana'!$M:$M,redes!A249)</f>
        <v>0</v>
      </c>
    </row>
    <row r="250" customFormat="false" ht="14.4" hidden="true" customHeight="false" outlineLevel="0" collapsed="false">
      <c r="A250" s="34" t="n">
        <v>960891137</v>
      </c>
      <c r="B250" s="34" t="s">
        <v>3431</v>
      </c>
      <c r="C250" s="34" t="s">
        <v>107</v>
      </c>
      <c r="E250" s="30" t="s">
        <v>3432</v>
      </c>
      <c r="F250" s="34" t="n">
        <f aca="false">IFERROR(VLOOKUP($A250,'319'!$B:$H,7,0),0)</f>
        <v>0</v>
      </c>
      <c r="G250" s="34" t="n">
        <f aca="false">SUMIFS('12.326ana'!$C:$C,'12.326ana'!$M:$M,redes!A250)</f>
        <v>0</v>
      </c>
    </row>
    <row r="251" customFormat="false" ht="14.4" hidden="true" customHeight="false" outlineLevel="0" collapsed="false">
      <c r="A251" s="34" t="n">
        <v>965474135</v>
      </c>
      <c r="B251" s="34" t="s">
        <v>3433</v>
      </c>
      <c r="C251" s="34" t="s">
        <v>77</v>
      </c>
      <c r="E251" s="30" t="s">
        <v>3434</v>
      </c>
      <c r="F251" s="34" t="n">
        <f aca="false">IFERROR(VLOOKUP($A251,'319'!$B:$H,7,0),0)</f>
        <v>0</v>
      </c>
      <c r="G251" s="34" t="n">
        <f aca="false">SUMIFS('12.326ana'!$C:$C,'12.326ana'!$M:$M,redes!A251)</f>
        <v>0</v>
      </c>
    </row>
    <row r="252" customFormat="false" ht="14.4" hidden="true" customHeight="false" outlineLevel="0" collapsed="false">
      <c r="A252" s="34" t="n">
        <v>971827109</v>
      </c>
      <c r="B252" s="34" t="s">
        <v>3435</v>
      </c>
      <c r="C252" s="34" t="s">
        <v>77</v>
      </c>
      <c r="E252" s="30" t="s">
        <v>3436</v>
      </c>
      <c r="F252" s="34" t="n">
        <f aca="false">IFERROR(VLOOKUP($A252,'319'!$B:$H,7,0),0)</f>
        <v>0</v>
      </c>
      <c r="G252" s="34" t="n">
        <f aca="false">SUMIFS('12.326ana'!$C:$C,'12.326ana'!$M:$M,redes!A252)</f>
        <v>0</v>
      </c>
    </row>
    <row r="253" customFormat="false" ht="14.4" hidden="true" customHeight="false" outlineLevel="0" collapsed="false">
      <c r="A253" s="34" t="n">
        <v>980016126</v>
      </c>
      <c r="B253" s="34" t="s">
        <v>3437</v>
      </c>
      <c r="C253" s="34" t="s">
        <v>77</v>
      </c>
      <c r="E253" s="30" t="s">
        <v>3438</v>
      </c>
      <c r="F253" s="34" t="n">
        <f aca="false">IFERROR(VLOOKUP($A253,'319'!$B:$H,7,0),0)</f>
        <v>0</v>
      </c>
      <c r="G253" s="34" t="n">
        <f aca="false">SUMIFS('12.326ana'!$C:$C,'12.326ana'!$M:$M,redes!A253)</f>
        <v>0</v>
      </c>
    </row>
    <row r="254" customFormat="false" ht="14.4" hidden="true" customHeight="false" outlineLevel="0" collapsed="false">
      <c r="A254" s="34" t="n">
        <v>992059127</v>
      </c>
      <c r="B254" s="34" t="s">
        <v>3439</v>
      </c>
      <c r="C254" s="34" t="s">
        <v>103</v>
      </c>
      <c r="E254" s="30" t="s">
        <v>3440</v>
      </c>
      <c r="F254" s="34" t="n">
        <f aca="false">IFERROR(VLOOKUP($A254,'319'!$B:$H,7,0),0)</f>
        <v>0</v>
      </c>
      <c r="G254" s="34" t="n">
        <f aca="false">SUMIFS('12.326ana'!$C:$C,'12.326ana'!$M:$M,redes!A254)</f>
        <v>0</v>
      </c>
    </row>
    <row r="255" customFormat="false" ht="14.4" hidden="true" customHeight="false" outlineLevel="0" collapsed="false">
      <c r="A255" s="34" t="n">
        <v>997748109</v>
      </c>
      <c r="B255" s="34" t="s">
        <v>3441</v>
      </c>
      <c r="C255" s="34" t="s">
        <v>107</v>
      </c>
      <c r="E255" s="30" t="s">
        <v>3442</v>
      </c>
      <c r="F255" s="34" t="n">
        <f aca="false">IFERROR(VLOOKUP($A255,'319'!$B:$H,7,0),0)</f>
        <v>0</v>
      </c>
      <c r="G255" s="34" t="n">
        <f aca="false">SUMIFS('12.326ana'!$C:$C,'12.326ana'!$M:$M,redes!A255)</f>
        <v>0</v>
      </c>
    </row>
    <row r="256" customFormat="false" ht="14.4" hidden="true" customHeight="false" outlineLevel="0" collapsed="false">
      <c r="A256" s="34" t="n">
        <v>1003310176</v>
      </c>
      <c r="B256" s="34" t="s">
        <v>3443</v>
      </c>
      <c r="C256" s="34" t="s">
        <v>107</v>
      </c>
      <c r="E256" s="30" t="s">
        <v>3444</v>
      </c>
      <c r="F256" s="34" t="n">
        <f aca="false">IFERROR(VLOOKUP($A256,'319'!$B:$H,7,0),0)</f>
        <v>0</v>
      </c>
      <c r="G256" s="34" t="n">
        <f aca="false">SUMIFS('12.326ana'!$C:$C,'12.326ana'!$M:$M,redes!A256)</f>
        <v>0</v>
      </c>
    </row>
    <row r="257" customFormat="false" ht="14.4" hidden="true" customHeight="false" outlineLevel="0" collapsed="false">
      <c r="A257" s="34" t="n">
        <v>1006972161</v>
      </c>
      <c r="B257" s="34" t="s">
        <v>3445</v>
      </c>
      <c r="C257" s="34" t="s">
        <v>464</v>
      </c>
      <c r="E257" s="30" t="s">
        <v>3446</v>
      </c>
      <c r="F257" s="34" t="n">
        <f aca="false">IFERROR(VLOOKUP($A257,'319'!$B:$H,7,0),0)</f>
        <v>0</v>
      </c>
      <c r="G257" s="34" t="n">
        <f aca="false">SUMIFS('12.326ana'!$C:$C,'12.326ana'!$M:$M,redes!A257)</f>
        <v>0</v>
      </c>
    </row>
    <row r="258" customFormat="false" ht="14.4" hidden="true" customHeight="false" outlineLevel="0" collapsed="false">
      <c r="A258" s="34" t="n">
        <v>1014017106</v>
      </c>
      <c r="B258" s="34" t="s">
        <v>3447</v>
      </c>
      <c r="C258" s="34" t="s">
        <v>1680</v>
      </c>
      <c r="E258" s="30" t="s">
        <v>3448</v>
      </c>
      <c r="F258" s="34" t="n">
        <f aca="false">IFERROR(VLOOKUP($A258,'319'!$B:$H,7,0),0)</f>
        <v>0</v>
      </c>
      <c r="G258" s="34" t="n">
        <f aca="false">SUMIFS('12.326ana'!$C:$C,'12.326ana'!$M:$M,redes!A258)</f>
        <v>0</v>
      </c>
    </row>
    <row r="259" customFormat="false" ht="14.4" hidden="true" customHeight="false" outlineLevel="0" collapsed="false">
      <c r="A259" s="34" t="n">
        <v>1019195142</v>
      </c>
      <c r="B259" s="34" t="s">
        <v>3449</v>
      </c>
      <c r="C259" s="34" t="s">
        <v>342</v>
      </c>
      <c r="E259" s="30" t="s">
        <v>3450</v>
      </c>
      <c r="F259" s="34" t="n">
        <f aca="false">IFERROR(VLOOKUP($A259,'319'!$B:$H,7,0),0)</f>
        <v>0</v>
      </c>
      <c r="G259" s="34" t="n">
        <f aca="false">SUMIFS('12.326ana'!$C:$C,'12.326ana'!$M:$M,redes!A259)</f>
        <v>0</v>
      </c>
    </row>
    <row r="260" customFormat="false" ht="14.4" hidden="true" customHeight="false" outlineLevel="0" collapsed="false">
      <c r="A260" s="34" t="n">
        <v>1031701117</v>
      </c>
      <c r="B260" s="34" t="s">
        <v>3451</v>
      </c>
      <c r="C260" s="34" t="s">
        <v>77</v>
      </c>
      <c r="E260" s="30" t="s">
        <v>3452</v>
      </c>
      <c r="F260" s="34" t="n">
        <f aca="false">IFERROR(VLOOKUP($A260,'319'!$B:$H,7,0),0)</f>
        <v>0</v>
      </c>
      <c r="G260" s="34" t="n">
        <f aca="false">SUMIFS('12.326ana'!$C:$C,'12.326ana'!$M:$M,redes!A260)</f>
        <v>0</v>
      </c>
    </row>
    <row r="261" customFormat="false" ht="14.4" hidden="true" customHeight="false" outlineLevel="0" collapsed="false">
      <c r="A261" s="34" t="n">
        <v>1036970124</v>
      </c>
      <c r="B261" s="34" t="s">
        <v>3453</v>
      </c>
      <c r="C261" s="34" t="s">
        <v>77</v>
      </c>
      <c r="E261" s="30" t="s">
        <v>3454</v>
      </c>
      <c r="F261" s="34" t="n">
        <f aca="false">IFERROR(VLOOKUP($A261,'319'!$B:$H,7,0),0)</f>
        <v>0</v>
      </c>
      <c r="G261" s="34" t="n">
        <f aca="false">SUMIFS('12.326ana'!$C:$C,'12.326ana'!$M:$M,redes!A261)</f>
        <v>0</v>
      </c>
    </row>
    <row r="262" customFormat="false" ht="14.4" hidden="true" customHeight="false" outlineLevel="0" collapsed="false">
      <c r="A262" s="34" t="n">
        <v>1038562180</v>
      </c>
      <c r="B262" s="34" t="s">
        <v>3455</v>
      </c>
      <c r="C262" s="34" t="s">
        <v>117</v>
      </c>
      <c r="E262" s="30" t="s">
        <v>3456</v>
      </c>
      <c r="F262" s="34" t="n">
        <f aca="false">IFERROR(VLOOKUP($A262,'319'!$B:$H,7,0),0)</f>
        <v>0</v>
      </c>
      <c r="G262" s="34" t="n">
        <f aca="false">SUMIFS('12.326ana'!$C:$C,'12.326ana'!$M:$M,redes!A262)</f>
        <v>0</v>
      </c>
    </row>
    <row r="263" customFormat="false" ht="14.4" hidden="true" customHeight="false" outlineLevel="0" collapsed="false">
      <c r="A263" s="34" t="n">
        <v>1039396100</v>
      </c>
      <c r="B263" s="34" t="s">
        <v>3457</v>
      </c>
      <c r="C263" s="34" t="s">
        <v>77</v>
      </c>
      <c r="E263" s="30" t="s">
        <v>3458</v>
      </c>
      <c r="F263" s="34" t="n">
        <f aca="false">IFERROR(VLOOKUP($A263,'319'!$B:$H,7,0),0)</f>
        <v>0</v>
      </c>
      <c r="G263" s="34" t="n">
        <f aca="false">SUMIFS('12.326ana'!$C:$C,'12.326ana'!$M:$M,redes!A263)</f>
        <v>0</v>
      </c>
    </row>
    <row r="264" customFormat="false" ht="14.4" hidden="true" customHeight="false" outlineLevel="0" collapsed="false">
      <c r="A264" s="34" t="n">
        <v>1045816892</v>
      </c>
      <c r="B264" s="34" t="s">
        <v>3459</v>
      </c>
      <c r="C264" s="34" t="s">
        <v>77</v>
      </c>
      <c r="E264" s="30" t="s">
        <v>3460</v>
      </c>
      <c r="F264" s="34" t="n">
        <f aca="false">IFERROR(VLOOKUP($A264,'319'!$B:$H,7,0),0)</f>
        <v>0</v>
      </c>
      <c r="G264" s="34" t="n">
        <f aca="false">SUMIFS('12.326ana'!$C:$C,'12.326ana'!$M:$M,redes!A264)</f>
        <v>0</v>
      </c>
    </row>
    <row r="265" customFormat="false" ht="14.4" hidden="true" customHeight="false" outlineLevel="0" collapsed="false">
      <c r="A265" s="34" t="n">
        <v>1051262178</v>
      </c>
      <c r="B265" s="34" t="s">
        <v>3461</v>
      </c>
      <c r="C265" s="34" t="s">
        <v>77</v>
      </c>
      <c r="E265" s="30"/>
      <c r="F265" s="34" t="n">
        <f aca="false">IFERROR(VLOOKUP($A265,'319'!$B:$H,7,0),0)</f>
        <v>0</v>
      </c>
      <c r="G265" s="34" t="n">
        <f aca="false">SUMIFS('12.326ana'!$C:$C,'12.326ana'!$M:$M,redes!A265)</f>
        <v>0</v>
      </c>
    </row>
    <row r="266" customFormat="false" ht="14.4" hidden="true" customHeight="false" outlineLevel="0" collapsed="false">
      <c r="A266" s="34" t="n">
        <v>1051957150</v>
      </c>
      <c r="B266" s="34" t="s">
        <v>3462</v>
      </c>
      <c r="C266" s="34" t="s">
        <v>77</v>
      </c>
      <c r="E266" s="30" t="s">
        <v>3463</v>
      </c>
      <c r="F266" s="34" t="n">
        <f aca="false">IFERROR(VLOOKUP($A266,'319'!$B:$H,7,0),0)</f>
        <v>0</v>
      </c>
      <c r="G266" s="34" t="n">
        <f aca="false">SUMIFS('12.326ana'!$C:$C,'12.326ana'!$M:$M,redes!A266)</f>
        <v>0</v>
      </c>
    </row>
    <row r="267" customFormat="false" ht="14.4" hidden="true" customHeight="false" outlineLevel="0" collapsed="false">
      <c r="A267" s="34" t="n">
        <v>1057300179</v>
      </c>
      <c r="B267" s="34" t="s">
        <v>3464</v>
      </c>
      <c r="C267" s="34" t="s">
        <v>107</v>
      </c>
      <c r="E267" s="30" t="s">
        <v>3465</v>
      </c>
      <c r="F267" s="34" t="n">
        <f aca="false">IFERROR(VLOOKUP($A267,'319'!$B:$H,7,0),0)</f>
        <v>0</v>
      </c>
      <c r="G267" s="34" t="n">
        <f aca="false">SUMIFS('12.326ana'!$C:$C,'12.326ana'!$M:$M,redes!A267)</f>
        <v>0</v>
      </c>
    </row>
    <row r="268" customFormat="false" ht="14.4" hidden="true" customHeight="false" outlineLevel="0" collapsed="false">
      <c r="A268" s="34" t="n">
        <v>1068852194</v>
      </c>
      <c r="B268" s="34" t="s">
        <v>3466</v>
      </c>
      <c r="C268" s="34" t="s">
        <v>77</v>
      </c>
      <c r="E268" s="30" t="s">
        <v>3466</v>
      </c>
      <c r="F268" s="34" t="n">
        <f aca="false">IFERROR(VLOOKUP($A268,'319'!$B:$H,7,0),0)</f>
        <v>0</v>
      </c>
      <c r="G268" s="34" t="n">
        <f aca="false">SUMIFS('12.326ana'!$C:$C,'12.326ana'!$M:$M,redes!A268)</f>
        <v>0</v>
      </c>
    </row>
    <row r="269" customFormat="false" ht="14.4" hidden="true" customHeight="false" outlineLevel="0" collapsed="false">
      <c r="A269" s="34" t="n">
        <v>1077095899</v>
      </c>
      <c r="B269" s="34" t="s">
        <v>3467</v>
      </c>
      <c r="C269" s="34" t="s">
        <v>77</v>
      </c>
      <c r="E269" s="30" t="s">
        <v>3468</v>
      </c>
      <c r="F269" s="34" t="n">
        <f aca="false">IFERROR(VLOOKUP($A269,'319'!$B:$H,7,0),0)</f>
        <v>0</v>
      </c>
      <c r="G269" s="34" t="n">
        <f aca="false">SUMIFS('12.326ana'!$C:$C,'12.326ana'!$M:$M,redes!A269)</f>
        <v>0</v>
      </c>
    </row>
    <row r="270" customFormat="false" ht="14.4" hidden="true" customHeight="false" outlineLevel="0" collapsed="false">
      <c r="A270" s="34" t="n">
        <v>1078608130</v>
      </c>
      <c r="B270" s="34" t="s">
        <v>3469</v>
      </c>
      <c r="C270" s="34" t="s">
        <v>463</v>
      </c>
      <c r="E270" s="30" t="s">
        <v>3470</v>
      </c>
      <c r="F270" s="34" t="n">
        <f aca="false">IFERROR(VLOOKUP($A270,'319'!$B:$H,7,0),0)</f>
        <v>0</v>
      </c>
      <c r="G270" s="34" t="n">
        <f aca="false">SUMIFS('12.326ana'!$C:$C,'12.326ana'!$M:$M,redes!A270)</f>
        <v>0</v>
      </c>
    </row>
    <row r="271" customFormat="false" ht="14.4" hidden="true" customHeight="false" outlineLevel="0" collapsed="false">
      <c r="A271" s="34" t="n">
        <v>1079839151</v>
      </c>
      <c r="B271" s="34" t="s">
        <v>3471</v>
      </c>
      <c r="C271" s="34" t="s">
        <v>139</v>
      </c>
      <c r="E271" s="30" t="s">
        <v>3472</v>
      </c>
      <c r="F271" s="34" t="n">
        <f aca="false">IFERROR(VLOOKUP($A271,'319'!$B:$H,7,0),0)</f>
        <v>0</v>
      </c>
      <c r="G271" s="34" t="n">
        <f aca="false">SUMIFS('12.326ana'!$C:$C,'12.326ana'!$M:$M,redes!A271)</f>
        <v>0</v>
      </c>
    </row>
    <row r="272" customFormat="false" ht="14.4" hidden="true" customHeight="false" outlineLevel="0" collapsed="false">
      <c r="A272" s="34" t="n">
        <v>1083021133</v>
      </c>
      <c r="B272" s="34" t="s">
        <v>3473</v>
      </c>
      <c r="C272" s="34" t="s">
        <v>77</v>
      </c>
      <c r="E272" s="30" t="s">
        <v>3474</v>
      </c>
      <c r="F272" s="34" t="n">
        <f aca="false">IFERROR(VLOOKUP($A272,'319'!$B:$H,7,0),0)</f>
        <v>0</v>
      </c>
      <c r="G272" s="34" t="n">
        <f aca="false">SUMIFS('12.326ana'!$C:$C,'12.326ana'!$M:$M,redes!A272)</f>
        <v>0</v>
      </c>
    </row>
    <row r="273" customFormat="false" ht="14.4" hidden="true" customHeight="false" outlineLevel="0" collapsed="false">
      <c r="A273" s="34" t="n">
        <v>1089879148</v>
      </c>
      <c r="B273" s="34" t="s">
        <v>3475</v>
      </c>
      <c r="C273" s="34" t="s">
        <v>77</v>
      </c>
      <c r="E273" s="30" t="s">
        <v>3475</v>
      </c>
      <c r="F273" s="34" t="n">
        <f aca="false">IFERROR(VLOOKUP($A273,'319'!$B:$H,7,0),0)</f>
        <v>0</v>
      </c>
      <c r="G273" s="34" t="n">
        <f aca="false">SUMIFS('12.326ana'!$C:$C,'12.326ana'!$M:$M,redes!A273)</f>
        <v>0</v>
      </c>
    </row>
    <row r="274" customFormat="false" ht="14.4" hidden="true" customHeight="false" outlineLevel="0" collapsed="false">
      <c r="A274" s="34" t="n">
        <v>1101896124</v>
      </c>
      <c r="B274" s="34" t="s">
        <v>3476</v>
      </c>
      <c r="C274" s="34" t="s">
        <v>77</v>
      </c>
      <c r="E274" s="30" t="s">
        <v>3477</v>
      </c>
      <c r="F274" s="34" t="n">
        <f aca="false">IFERROR(VLOOKUP($A274,'319'!$B:$H,7,0),0)</f>
        <v>0</v>
      </c>
      <c r="G274" s="34" t="n">
        <f aca="false">SUMIFS('12.326ana'!$C:$C,'12.326ana'!$M:$M,redes!A274)</f>
        <v>0</v>
      </c>
    </row>
    <row r="275" customFormat="false" ht="14.4" hidden="true" customHeight="false" outlineLevel="0" collapsed="false">
      <c r="A275" s="34" t="n">
        <v>1103338102</v>
      </c>
      <c r="B275" s="34" t="s">
        <v>3478</v>
      </c>
      <c r="C275" s="34" t="s">
        <v>77</v>
      </c>
      <c r="E275" s="30" t="s">
        <v>3479</v>
      </c>
      <c r="F275" s="34" t="n">
        <f aca="false">IFERROR(VLOOKUP($A275,'319'!$B:$H,7,0),0)</f>
        <v>0</v>
      </c>
      <c r="G275" s="34" t="n">
        <f aca="false">SUMIFS('12.326ana'!$C:$C,'12.326ana'!$M:$M,redes!A275)</f>
        <v>0</v>
      </c>
    </row>
    <row r="276" customFormat="false" ht="14.4" hidden="true" customHeight="false" outlineLevel="0" collapsed="false">
      <c r="A276" s="34" t="n">
        <v>1114355100</v>
      </c>
      <c r="B276" s="34" t="s">
        <v>3480</v>
      </c>
      <c r="C276" s="34" t="s">
        <v>77</v>
      </c>
      <c r="E276" s="30" t="s">
        <v>3481</v>
      </c>
      <c r="F276" s="34" t="n">
        <f aca="false">IFERROR(VLOOKUP($A276,'319'!$B:$H,7,0),0)</f>
        <v>0</v>
      </c>
      <c r="G276" s="34" t="n">
        <f aca="false">SUMIFS('12.326ana'!$C:$C,'12.326ana'!$M:$M,redes!A276)</f>
        <v>0</v>
      </c>
    </row>
    <row r="277" customFormat="false" ht="14.4" hidden="true" customHeight="false" outlineLevel="0" collapsed="false">
      <c r="A277" s="34" t="n">
        <v>1115623176</v>
      </c>
      <c r="B277" s="34" t="s">
        <v>3482</v>
      </c>
      <c r="C277" s="34" t="s">
        <v>309</v>
      </c>
      <c r="E277" s="30" t="s">
        <v>3483</v>
      </c>
      <c r="F277" s="34" t="n">
        <f aca="false">IFERROR(VLOOKUP($A277,'319'!$B:$H,7,0),0)</f>
        <v>0</v>
      </c>
      <c r="G277" s="34" t="n">
        <f aca="false">SUMIFS('12.326ana'!$C:$C,'12.326ana'!$M:$M,redes!A277)</f>
        <v>0</v>
      </c>
    </row>
    <row r="278" customFormat="false" ht="14.4" hidden="true" customHeight="false" outlineLevel="0" collapsed="false">
      <c r="A278" s="34" t="n">
        <v>1118071158</v>
      </c>
      <c r="B278" s="34" t="s">
        <v>3484</v>
      </c>
      <c r="C278" s="34" t="s">
        <v>475</v>
      </c>
      <c r="E278" s="30" t="s">
        <v>3485</v>
      </c>
      <c r="F278" s="34" t="n">
        <f aca="false">IFERROR(VLOOKUP($A278,'319'!$B:$H,7,0),0)</f>
        <v>0</v>
      </c>
      <c r="G278" s="34" t="n">
        <f aca="false">SUMIFS('12.326ana'!$C:$C,'12.326ana'!$M:$M,redes!A278)</f>
        <v>0</v>
      </c>
    </row>
    <row r="279" customFormat="false" ht="14.4" hidden="true" customHeight="false" outlineLevel="0" collapsed="false">
      <c r="A279" s="34" t="n">
        <v>1125297808</v>
      </c>
      <c r="B279" s="34" t="s">
        <v>3486</v>
      </c>
      <c r="C279" s="34" t="s">
        <v>881</v>
      </c>
      <c r="E279" s="30" t="s">
        <v>3487</v>
      </c>
      <c r="F279" s="34" t="n">
        <f aca="false">IFERROR(VLOOKUP($A279,'319'!$B:$H,7,0),0)</f>
        <v>0</v>
      </c>
      <c r="G279" s="34" t="n">
        <f aca="false">SUMIFS('12.326ana'!$C:$C,'12.326ana'!$M:$M,redes!A279)</f>
        <v>0</v>
      </c>
    </row>
    <row r="280" customFormat="false" ht="14.4" hidden="true" customHeight="false" outlineLevel="0" collapsed="false">
      <c r="A280" s="34" t="n">
        <v>1129818101</v>
      </c>
      <c r="B280" s="34" t="s">
        <v>3488</v>
      </c>
      <c r="C280" s="34" t="s">
        <v>77</v>
      </c>
      <c r="E280" s="30"/>
      <c r="F280" s="34" t="n">
        <f aca="false">IFERROR(VLOOKUP($A280,'319'!$B:$H,7,0),0)</f>
        <v>0</v>
      </c>
      <c r="G280" s="34" t="n">
        <f aca="false">SUMIFS('12.326ana'!$C:$C,'12.326ana'!$M:$M,redes!A280)</f>
        <v>0</v>
      </c>
    </row>
    <row r="281" customFormat="false" ht="14.4" hidden="true" customHeight="false" outlineLevel="0" collapsed="false">
      <c r="A281" s="34" t="n">
        <v>1131594126</v>
      </c>
      <c r="B281" s="34" t="s">
        <v>3489</v>
      </c>
      <c r="C281" s="34" t="s">
        <v>103</v>
      </c>
      <c r="E281" s="30" t="s">
        <v>3490</v>
      </c>
      <c r="F281" s="34" t="n">
        <f aca="false">IFERROR(VLOOKUP($A281,'319'!$B:$H,7,0),0)</f>
        <v>0</v>
      </c>
      <c r="G281" s="34" t="n">
        <f aca="false">SUMIFS('12.326ana'!$C:$C,'12.326ana'!$M:$M,redes!A281)</f>
        <v>0</v>
      </c>
    </row>
    <row r="282" customFormat="false" ht="14.4" hidden="true" customHeight="false" outlineLevel="0" collapsed="false">
      <c r="A282" s="34" t="n">
        <v>1134240198</v>
      </c>
      <c r="B282" s="34" t="s">
        <v>3491</v>
      </c>
      <c r="C282" s="34" t="s">
        <v>107</v>
      </c>
      <c r="E282" s="30" t="s">
        <v>3492</v>
      </c>
      <c r="F282" s="34" t="n">
        <f aca="false">IFERROR(VLOOKUP($A282,'319'!$B:$H,7,0),0)</f>
        <v>0</v>
      </c>
      <c r="G282" s="34" t="n">
        <f aca="false">SUMIFS('12.326ana'!$C:$C,'12.326ana'!$M:$M,redes!A282)</f>
        <v>0</v>
      </c>
    </row>
    <row r="283" customFormat="false" ht="14.4" hidden="true" customHeight="false" outlineLevel="0" collapsed="false">
      <c r="A283" s="34" t="n">
        <v>1140307150</v>
      </c>
      <c r="B283" s="34" t="s">
        <v>3493</v>
      </c>
      <c r="C283" s="34" t="s">
        <v>389</v>
      </c>
      <c r="E283" s="30" t="s">
        <v>3494</v>
      </c>
      <c r="F283" s="34" t="n">
        <f aca="false">IFERROR(VLOOKUP($A283,'319'!$B:$H,7,0),0)</f>
        <v>0</v>
      </c>
      <c r="G283" s="34" t="n">
        <f aca="false">SUMIFS('12.326ana'!$C:$C,'12.326ana'!$M:$M,redes!A283)</f>
        <v>0</v>
      </c>
    </row>
    <row r="284" customFormat="false" ht="14.4" hidden="true" customHeight="false" outlineLevel="0" collapsed="false">
      <c r="A284" s="34" t="n">
        <v>1147488100</v>
      </c>
      <c r="B284" s="34" t="s">
        <v>3495</v>
      </c>
      <c r="C284" s="34" t="s">
        <v>77</v>
      </c>
      <c r="E284" s="30" t="s">
        <v>3496</v>
      </c>
      <c r="F284" s="34" t="n">
        <f aca="false">IFERROR(VLOOKUP($A284,'319'!$B:$H,7,0),0)</f>
        <v>0</v>
      </c>
      <c r="G284" s="34" t="n">
        <f aca="false">SUMIFS('12.326ana'!$C:$C,'12.326ana'!$M:$M,redes!A284)</f>
        <v>0</v>
      </c>
    </row>
    <row r="285" customFormat="false" ht="14.4" hidden="true" customHeight="false" outlineLevel="0" collapsed="false">
      <c r="A285" s="34" t="n">
        <v>1156531802</v>
      </c>
      <c r="B285" s="34" t="s">
        <v>3497</v>
      </c>
      <c r="C285" s="34" t="s">
        <v>2998</v>
      </c>
      <c r="E285" s="30" t="s">
        <v>3498</v>
      </c>
      <c r="F285" s="34" t="n">
        <f aca="false">IFERROR(VLOOKUP($A285,'319'!$B:$H,7,0),0)</f>
        <v>0</v>
      </c>
      <c r="G285" s="34" t="n">
        <f aca="false">SUMIFS('12.326ana'!$C:$C,'12.326ana'!$M:$M,redes!A285)</f>
        <v>0</v>
      </c>
    </row>
    <row r="286" customFormat="false" ht="14.4" hidden="true" customHeight="false" outlineLevel="0" collapsed="false">
      <c r="A286" s="34" t="n">
        <v>1157783147</v>
      </c>
      <c r="B286" s="34" t="s">
        <v>3499</v>
      </c>
      <c r="C286" s="34" t="s">
        <v>680</v>
      </c>
      <c r="E286" s="30" t="s">
        <v>3500</v>
      </c>
      <c r="F286" s="34" t="n">
        <f aca="false">IFERROR(VLOOKUP($A286,'319'!$B:$H,7,0),0)</f>
        <v>0</v>
      </c>
      <c r="G286" s="34" t="n">
        <f aca="false">SUMIFS('12.326ana'!$C:$C,'12.326ana'!$M:$M,redes!A286)</f>
        <v>0</v>
      </c>
    </row>
    <row r="287" customFormat="false" ht="14.4" hidden="true" customHeight="false" outlineLevel="0" collapsed="false">
      <c r="A287" s="34" t="n">
        <v>1161195190</v>
      </c>
      <c r="B287" s="34" t="s">
        <v>3501</v>
      </c>
      <c r="C287" s="34" t="s">
        <v>103</v>
      </c>
      <c r="E287" s="30" t="s">
        <v>3347</v>
      </c>
      <c r="F287" s="34" t="n">
        <f aca="false">IFERROR(VLOOKUP($A287,'319'!$B:$H,7,0),0)</f>
        <v>0</v>
      </c>
      <c r="G287" s="34" t="n">
        <f aca="false">SUMIFS('12.326ana'!$C:$C,'12.326ana'!$M:$M,redes!A287)</f>
        <v>0</v>
      </c>
    </row>
    <row r="288" customFormat="false" ht="14.4" hidden="true" customHeight="false" outlineLevel="0" collapsed="false">
      <c r="A288" s="34" t="n">
        <v>1162158107</v>
      </c>
      <c r="B288" s="34" t="s">
        <v>3502</v>
      </c>
      <c r="C288" s="34" t="s">
        <v>77</v>
      </c>
      <c r="E288" s="30" t="s">
        <v>3503</v>
      </c>
      <c r="F288" s="34" t="n">
        <f aca="false">IFERROR(VLOOKUP($A288,'319'!$B:$H,7,0),0)</f>
        <v>0</v>
      </c>
      <c r="G288" s="34" t="n">
        <f aca="false">SUMIFS('12.326ana'!$C:$C,'12.326ana'!$M:$M,redes!A288)</f>
        <v>0</v>
      </c>
    </row>
    <row r="289" customFormat="false" ht="14.4" hidden="true" customHeight="false" outlineLevel="0" collapsed="false">
      <c r="A289" s="34" t="n">
        <v>1162899107</v>
      </c>
      <c r="B289" s="34" t="s">
        <v>3504</v>
      </c>
      <c r="C289" s="34" t="s">
        <v>77</v>
      </c>
      <c r="E289" s="30" t="s">
        <v>3505</v>
      </c>
      <c r="F289" s="34" t="n">
        <f aca="false">IFERROR(VLOOKUP($A289,'319'!$B:$H,7,0),0)</f>
        <v>0</v>
      </c>
      <c r="G289" s="34" t="n">
        <f aca="false">SUMIFS('12.326ana'!$C:$C,'12.326ana'!$M:$M,redes!A289)</f>
        <v>0</v>
      </c>
    </row>
    <row r="290" customFormat="false" ht="14.4" hidden="true" customHeight="false" outlineLevel="0" collapsed="false">
      <c r="A290" s="34" t="n">
        <v>1162972122</v>
      </c>
      <c r="B290" s="34" t="s">
        <v>3506</v>
      </c>
      <c r="C290" s="34" t="s">
        <v>77</v>
      </c>
      <c r="E290" s="30" t="s">
        <v>3507</v>
      </c>
      <c r="F290" s="34" t="n">
        <f aca="false">IFERROR(VLOOKUP($A290,'319'!$B:$H,7,0),0)</f>
        <v>0</v>
      </c>
      <c r="G290" s="34" t="n">
        <f aca="false">SUMIFS('12.326ana'!$C:$C,'12.326ana'!$M:$M,redes!A290)</f>
        <v>0</v>
      </c>
    </row>
    <row r="291" customFormat="false" ht="14.4" hidden="true" customHeight="false" outlineLevel="0" collapsed="false">
      <c r="A291" s="34" t="n">
        <v>1166422119</v>
      </c>
      <c r="B291" s="34" t="s">
        <v>3508</v>
      </c>
      <c r="C291" s="34" t="s">
        <v>103</v>
      </c>
      <c r="E291" s="30" t="s">
        <v>3509</v>
      </c>
      <c r="F291" s="34" t="n">
        <f aca="false">IFERROR(VLOOKUP($A291,'319'!$B:$H,7,0),0)</f>
        <v>0</v>
      </c>
      <c r="G291" s="34" t="n">
        <f aca="false">SUMIFS('12.326ana'!$C:$C,'12.326ana'!$M:$M,redes!A291)</f>
        <v>0</v>
      </c>
    </row>
    <row r="292" customFormat="false" ht="14.4" hidden="true" customHeight="false" outlineLevel="0" collapsed="false">
      <c r="A292" s="34" t="n">
        <v>1172661162</v>
      </c>
      <c r="B292" s="34" t="s">
        <v>3510</v>
      </c>
      <c r="C292" s="34" t="s">
        <v>77</v>
      </c>
      <c r="E292" s="30" t="s">
        <v>3511</v>
      </c>
      <c r="F292" s="34" t="n">
        <f aca="false">IFERROR(VLOOKUP($A292,'319'!$B:$H,7,0),0)</f>
        <v>0</v>
      </c>
      <c r="G292" s="34" t="n">
        <f aca="false">SUMIFS('12.326ana'!$C:$C,'12.326ana'!$M:$M,redes!A292)</f>
        <v>0</v>
      </c>
    </row>
    <row r="293" customFormat="false" ht="14.4" hidden="true" customHeight="false" outlineLevel="0" collapsed="false">
      <c r="A293" s="34" t="n">
        <v>1179240162</v>
      </c>
      <c r="B293" s="34" t="s">
        <v>3512</v>
      </c>
      <c r="C293" s="34" t="s">
        <v>77</v>
      </c>
      <c r="E293" s="30" t="s">
        <v>3512</v>
      </c>
      <c r="F293" s="34" t="n">
        <f aca="false">IFERROR(VLOOKUP($A293,'319'!$B:$H,7,0),0)</f>
        <v>0</v>
      </c>
      <c r="G293" s="34" t="n">
        <f aca="false">SUMIFS('12.326ana'!$C:$C,'12.326ana'!$M:$M,redes!A293)</f>
        <v>0</v>
      </c>
    </row>
    <row r="294" customFormat="false" ht="14.4" hidden="true" customHeight="false" outlineLevel="0" collapsed="false">
      <c r="A294" s="34" t="n">
        <v>1183623135</v>
      </c>
      <c r="B294" s="34" t="s">
        <v>3513</v>
      </c>
      <c r="C294" s="34" t="s">
        <v>103</v>
      </c>
      <c r="E294" s="30" t="s">
        <v>3514</v>
      </c>
      <c r="F294" s="34" t="n">
        <f aca="false">IFERROR(VLOOKUP($A294,'319'!$B:$H,7,0),0)</f>
        <v>0</v>
      </c>
      <c r="G294" s="34" t="n">
        <f aca="false">SUMIFS('12.326ana'!$C:$C,'12.326ana'!$M:$M,redes!A294)</f>
        <v>0</v>
      </c>
    </row>
    <row r="295" customFormat="false" ht="14.4" hidden="true" customHeight="false" outlineLevel="0" collapsed="false">
      <c r="A295" s="34" t="n">
        <v>1183647158</v>
      </c>
      <c r="B295" s="34" t="s">
        <v>3515</v>
      </c>
      <c r="C295" s="34" t="s">
        <v>139</v>
      </c>
      <c r="E295" s="30" t="s">
        <v>3516</v>
      </c>
      <c r="F295" s="34" t="n">
        <f aca="false">IFERROR(VLOOKUP($A295,'319'!$B:$H,7,0),0)</f>
        <v>0</v>
      </c>
      <c r="G295" s="34" t="n">
        <f aca="false">SUMIFS('12.326ana'!$C:$C,'12.326ana'!$M:$M,redes!A295)</f>
        <v>0</v>
      </c>
    </row>
    <row r="296" customFormat="false" ht="14.4" hidden="true" customHeight="false" outlineLevel="0" collapsed="false">
      <c r="A296" s="34" t="n">
        <v>1191946193</v>
      </c>
      <c r="B296" s="34" t="s">
        <v>3517</v>
      </c>
      <c r="C296" s="34" t="s">
        <v>77</v>
      </c>
      <c r="E296" s="30" t="s">
        <v>3518</v>
      </c>
      <c r="F296" s="34" t="n">
        <f aca="false">IFERROR(VLOOKUP($A296,'319'!$B:$H,7,0),0)</f>
        <v>0</v>
      </c>
      <c r="G296" s="34" t="n">
        <f aca="false">SUMIFS('12.326ana'!$C:$C,'12.326ana'!$M:$M,redes!A296)</f>
        <v>0</v>
      </c>
    </row>
    <row r="297" customFormat="false" ht="14.4" hidden="true" customHeight="false" outlineLevel="0" collapsed="false">
      <c r="A297" s="34" t="n">
        <v>1195566182</v>
      </c>
      <c r="B297" s="34" t="s">
        <v>3519</v>
      </c>
      <c r="C297" s="34" t="s">
        <v>77</v>
      </c>
      <c r="E297" s="30" t="s">
        <v>3520</v>
      </c>
      <c r="F297" s="34" t="n">
        <f aca="false">IFERROR(VLOOKUP($A297,'319'!$B:$H,7,0),0)</f>
        <v>0</v>
      </c>
      <c r="G297" s="34" t="n">
        <f aca="false">SUMIFS('12.326ana'!$C:$C,'12.326ana'!$M:$M,redes!A297)</f>
        <v>0</v>
      </c>
    </row>
    <row r="298" customFormat="false" ht="14.4" hidden="true" customHeight="false" outlineLevel="0" collapsed="false">
      <c r="A298" s="34" t="n">
        <v>1210867125</v>
      </c>
      <c r="B298" s="34" t="s">
        <v>3521</v>
      </c>
      <c r="C298" s="34" t="s">
        <v>107</v>
      </c>
      <c r="E298" s="30"/>
      <c r="F298" s="34" t="n">
        <f aca="false">IFERROR(VLOOKUP($A298,'319'!$B:$H,7,0),0)</f>
        <v>0</v>
      </c>
      <c r="G298" s="34" t="n">
        <f aca="false">SUMIFS('12.326ana'!$C:$C,'12.326ana'!$M:$M,redes!A298)</f>
        <v>0</v>
      </c>
    </row>
    <row r="299" customFormat="false" ht="14.4" hidden="true" customHeight="false" outlineLevel="0" collapsed="false">
      <c r="A299" s="34" t="n">
        <v>1214214142</v>
      </c>
      <c r="B299" s="34" t="s">
        <v>3522</v>
      </c>
      <c r="C299" s="34" t="s">
        <v>117</v>
      </c>
      <c r="E299" s="30" t="s">
        <v>2910</v>
      </c>
      <c r="F299" s="34" t="n">
        <f aca="false">IFERROR(VLOOKUP($A299,'319'!$B:$H,7,0),0)</f>
        <v>0</v>
      </c>
      <c r="G299" s="34" t="n">
        <f aca="false">SUMIFS('12.326ana'!$C:$C,'12.326ana'!$M:$M,redes!A299)</f>
        <v>0</v>
      </c>
    </row>
    <row r="300" customFormat="false" ht="14.4" hidden="true" customHeight="false" outlineLevel="0" collapsed="false">
      <c r="A300" s="34" t="n">
        <v>1214796176</v>
      </c>
      <c r="B300" s="34" t="s">
        <v>3523</v>
      </c>
      <c r="C300" s="34" t="s">
        <v>713</v>
      </c>
      <c r="E300" s="30" t="s">
        <v>3524</v>
      </c>
      <c r="F300" s="34" t="n">
        <f aca="false">IFERROR(VLOOKUP($A300,'319'!$B:$H,7,0),0)</f>
        <v>0</v>
      </c>
      <c r="G300" s="34" t="n">
        <f aca="false">SUMIFS('12.326ana'!$C:$C,'12.326ana'!$M:$M,redes!A300)</f>
        <v>0</v>
      </c>
    </row>
    <row r="301" customFormat="false" ht="14.4" hidden="true" customHeight="false" outlineLevel="0" collapsed="false">
      <c r="A301" s="34" t="n">
        <v>1224567854</v>
      </c>
      <c r="B301" s="34" t="s">
        <v>3525</v>
      </c>
      <c r="C301" s="34" t="s">
        <v>77</v>
      </c>
      <c r="E301" s="30" t="s">
        <v>3526</v>
      </c>
      <c r="F301" s="34" t="n">
        <f aca="false">IFERROR(VLOOKUP($A301,'319'!$B:$H,7,0),0)</f>
        <v>0</v>
      </c>
      <c r="G301" s="34" t="n">
        <f aca="false">SUMIFS('12.326ana'!$C:$C,'12.326ana'!$M:$M,redes!A301)</f>
        <v>0</v>
      </c>
    </row>
    <row r="302" customFormat="false" ht="14.4" hidden="true" customHeight="false" outlineLevel="0" collapsed="false">
      <c r="A302" s="34" t="n">
        <v>1228301131</v>
      </c>
      <c r="B302" s="34" t="s">
        <v>3527</v>
      </c>
      <c r="C302" s="34" t="s">
        <v>77</v>
      </c>
      <c r="E302" s="30" t="s">
        <v>3528</v>
      </c>
      <c r="F302" s="34" t="n">
        <f aca="false">IFERROR(VLOOKUP($A302,'319'!$B:$H,7,0),0)</f>
        <v>0</v>
      </c>
      <c r="G302" s="34" t="n">
        <f aca="false">SUMIFS('12.326ana'!$C:$C,'12.326ana'!$M:$M,redes!A302)</f>
        <v>0</v>
      </c>
    </row>
    <row r="303" customFormat="false" ht="14.4" hidden="true" customHeight="false" outlineLevel="0" collapsed="false">
      <c r="A303" s="34" t="n">
        <v>1228705143</v>
      </c>
      <c r="B303" s="34" t="s">
        <v>3529</v>
      </c>
      <c r="C303" s="34" t="s">
        <v>77</v>
      </c>
      <c r="E303" s="30" t="s">
        <v>3530</v>
      </c>
      <c r="F303" s="34" t="n">
        <f aca="false">IFERROR(VLOOKUP($A303,'319'!$B:$H,7,0),0)</f>
        <v>0</v>
      </c>
      <c r="G303" s="34" t="n">
        <f aca="false">SUMIFS('12.326ana'!$C:$C,'12.326ana'!$M:$M,redes!A303)</f>
        <v>0</v>
      </c>
    </row>
    <row r="304" customFormat="false" ht="14.4" hidden="true" customHeight="false" outlineLevel="0" collapsed="false">
      <c r="A304" s="34" t="n">
        <v>1233725181</v>
      </c>
      <c r="B304" s="34" t="s">
        <v>3531</v>
      </c>
      <c r="C304" s="34" t="s">
        <v>77</v>
      </c>
      <c r="E304" s="30" t="s">
        <v>3532</v>
      </c>
      <c r="F304" s="34" t="n">
        <f aca="false">IFERROR(VLOOKUP($A304,'319'!$B:$H,7,0),0)</f>
        <v>0</v>
      </c>
      <c r="G304" s="34" t="n">
        <f aca="false">SUMIFS('12.326ana'!$C:$C,'12.326ana'!$M:$M,redes!A304)</f>
        <v>0</v>
      </c>
    </row>
    <row r="305" customFormat="false" ht="14.4" hidden="true" customHeight="false" outlineLevel="0" collapsed="false">
      <c r="A305" s="34" t="n">
        <v>1236498119</v>
      </c>
      <c r="B305" s="34" t="s">
        <v>3533</v>
      </c>
      <c r="C305" s="34" t="s">
        <v>107</v>
      </c>
      <c r="E305" s="30" t="s">
        <v>3534</v>
      </c>
      <c r="F305" s="34" t="n">
        <f aca="false">IFERROR(VLOOKUP($A305,'319'!$B:$H,7,0),0)</f>
        <v>0</v>
      </c>
      <c r="G305" s="34" t="n">
        <f aca="false">SUMIFS('12.326ana'!$C:$C,'12.326ana'!$M:$M,redes!A305)</f>
        <v>0</v>
      </c>
    </row>
    <row r="306" customFormat="false" ht="14.4" hidden="true" customHeight="false" outlineLevel="0" collapsed="false">
      <c r="A306" s="34" t="n">
        <v>1244843105</v>
      </c>
      <c r="B306" s="34" t="s">
        <v>3535</v>
      </c>
      <c r="C306" s="34" t="s">
        <v>77</v>
      </c>
      <c r="E306" s="30" t="s">
        <v>3536</v>
      </c>
      <c r="F306" s="34" t="n">
        <f aca="false">IFERROR(VLOOKUP($A306,'319'!$B:$H,7,0),0)</f>
        <v>0</v>
      </c>
      <c r="G306" s="34" t="n">
        <f aca="false">SUMIFS('12.326ana'!$C:$C,'12.326ana'!$M:$M,redes!A306)</f>
        <v>0</v>
      </c>
    </row>
    <row r="307" customFormat="false" ht="14.4" hidden="true" customHeight="false" outlineLevel="0" collapsed="false">
      <c r="A307" s="34" t="n">
        <v>1247870103</v>
      </c>
      <c r="B307" s="34" t="s">
        <v>3537</v>
      </c>
      <c r="C307" s="34" t="s">
        <v>77</v>
      </c>
      <c r="E307" s="30" t="s">
        <v>3538</v>
      </c>
      <c r="F307" s="34" t="n">
        <f aca="false">IFERROR(VLOOKUP($A307,'319'!$B:$H,7,0),0)</f>
        <v>0</v>
      </c>
      <c r="G307" s="34" t="n">
        <f aca="false">SUMIFS('12.326ana'!$C:$C,'12.326ana'!$M:$M,redes!A307)</f>
        <v>0</v>
      </c>
    </row>
    <row r="308" customFormat="false" ht="14.4" hidden="true" customHeight="false" outlineLevel="0" collapsed="false">
      <c r="A308" s="34" t="n">
        <v>1249944155</v>
      </c>
      <c r="B308" s="34" t="s">
        <v>3539</v>
      </c>
      <c r="C308" s="34" t="s">
        <v>77</v>
      </c>
      <c r="E308" s="30" t="s">
        <v>3540</v>
      </c>
      <c r="F308" s="34" t="n">
        <f aca="false">IFERROR(VLOOKUP($A308,'319'!$B:$H,7,0),0)</f>
        <v>0</v>
      </c>
      <c r="G308" s="34" t="n">
        <f aca="false">SUMIFS('12.326ana'!$C:$C,'12.326ana'!$M:$M,redes!A308)</f>
        <v>0</v>
      </c>
    </row>
    <row r="309" customFormat="false" ht="14.4" hidden="true" customHeight="false" outlineLevel="0" collapsed="false">
      <c r="A309" s="34" t="n">
        <v>1250160189</v>
      </c>
      <c r="B309" s="34" t="s">
        <v>3541</v>
      </c>
      <c r="C309" s="34" t="s">
        <v>192</v>
      </c>
      <c r="E309" s="30" t="s">
        <v>3542</v>
      </c>
      <c r="F309" s="34" t="n">
        <f aca="false">IFERROR(VLOOKUP($A309,'319'!$B:$H,7,0),0)</f>
        <v>0</v>
      </c>
      <c r="G309" s="34" t="n">
        <f aca="false">SUMIFS('12.326ana'!$C:$C,'12.326ana'!$M:$M,redes!A309)</f>
        <v>0</v>
      </c>
    </row>
    <row r="310" customFormat="false" ht="14.4" hidden="true" customHeight="false" outlineLevel="0" collapsed="false">
      <c r="A310" s="34" t="n">
        <v>1255596155</v>
      </c>
      <c r="B310" s="34" t="s">
        <v>3543</v>
      </c>
      <c r="C310" s="34" t="s">
        <v>107</v>
      </c>
      <c r="E310" s="30" t="s">
        <v>3544</v>
      </c>
      <c r="F310" s="34" t="n">
        <f aca="false">IFERROR(VLOOKUP($A310,'319'!$B:$H,7,0),0)</f>
        <v>0</v>
      </c>
      <c r="G310" s="34" t="n">
        <f aca="false">SUMIFS('12.326ana'!$C:$C,'12.326ana'!$M:$M,redes!A310)</f>
        <v>0</v>
      </c>
    </row>
    <row r="311" customFormat="false" ht="14.4" hidden="true" customHeight="false" outlineLevel="0" collapsed="false">
      <c r="A311" s="34" t="n">
        <v>1269069128</v>
      </c>
      <c r="B311" s="34" t="s">
        <v>3545</v>
      </c>
      <c r="C311" s="34" t="s">
        <v>957</v>
      </c>
      <c r="E311" s="30" t="s">
        <v>3546</v>
      </c>
      <c r="F311" s="34" t="n">
        <f aca="false">IFERROR(VLOOKUP($A311,'319'!$B:$H,7,0),0)</f>
        <v>0</v>
      </c>
      <c r="G311" s="34" t="n">
        <f aca="false">SUMIFS('12.326ana'!$C:$C,'12.326ana'!$M:$M,redes!A311)</f>
        <v>0</v>
      </c>
    </row>
    <row r="312" customFormat="false" ht="14.4" hidden="true" customHeight="false" outlineLevel="0" collapsed="false">
      <c r="A312" s="34" t="n">
        <v>1269098144</v>
      </c>
      <c r="B312" s="34" t="s">
        <v>3547</v>
      </c>
      <c r="C312" s="34" t="s">
        <v>107</v>
      </c>
      <c r="E312" s="30" t="s">
        <v>3548</v>
      </c>
      <c r="F312" s="34" t="n">
        <f aca="false">IFERROR(VLOOKUP($A312,'319'!$B:$H,7,0),0)</f>
        <v>0</v>
      </c>
      <c r="G312" s="34" t="n">
        <f aca="false">SUMIFS('12.326ana'!$C:$C,'12.326ana'!$M:$M,redes!A312)</f>
        <v>0</v>
      </c>
    </row>
    <row r="313" customFormat="false" ht="14.4" hidden="true" customHeight="false" outlineLevel="0" collapsed="false">
      <c r="A313" s="34" t="n">
        <v>1271553171</v>
      </c>
      <c r="B313" s="34" t="s">
        <v>3549</v>
      </c>
      <c r="C313" s="34" t="s">
        <v>77</v>
      </c>
      <c r="E313" s="30" t="s">
        <v>3550</v>
      </c>
      <c r="F313" s="34" t="n">
        <f aca="false">IFERROR(VLOOKUP($A313,'319'!$B:$H,7,0),0)</f>
        <v>0</v>
      </c>
      <c r="G313" s="34" t="n">
        <f aca="false">SUMIFS('12.326ana'!$C:$C,'12.326ana'!$M:$M,redes!A313)</f>
        <v>0</v>
      </c>
    </row>
    <row r="314" customFormat="false" ht="14.4" hidden="true" customHeight="false" outlineLevel="0" collapsed="false">
      <c r="A314" s="34" t="n">
        <v>1274451108</v>
      </c>
      <c r="B314" s="34" t="s">
        <v>3551</v>
      </c>
      <c r="C314" s="34" t="s">
        <v>77</v>
      </c>
      <c r="E314" s="30" t="s">
        <v>3552</v>
      </c>
      <c r="F314" s="34" t="n">
        <f aca="false">IFERROR(VLOOKUP($A314,'319'!$B:$H,7,0),0)</f>
        <v>0</v>
      </c>
      <c r="G314" s="34" t="n">
        <f aca="false">SUMIFS('12.326ana'!$C:$C,'12.326ana'!$M:$M,redes!A314)</f>
        <v>0</v>
      </c>
    </row>
    <row r="315" customFormat="false" ht="14.4" hidden="true" customHeight="false" outlineLevel="0" collapsed="false">
      <c r="A315" s="34" t="n">
        <v>1276981163</v>
      </c>
      <c r="B315" s="34" t="s">
        <v>3553</v>
      </c>
      <c r="C315" s="34" t="s">
        <v>77</v>
      </c>
      <c r="E315" s="30" t="s">
        <v>3554</v>
      </c>
      <c r="F315" s="34" t="n">
        <f aca="false">IFERROR(VLOOKUP($A315,'319'!$B:$H,7,0),0)</f>
        <v>0</v>
      </c>
      <c r="G315" s="34" t="n">
        <f aca="false">SUMIFS('12.326ana'!$C:$C,'12.326ana'!$M:$M,redes!A315)</f>
        <v>0</v>
      </c>
    </row>
    <row r="316" customFormat="false" ht="14.4" hidden="true" customHeight="false" outlineLevel="0" collapsed="false">
      <c r="A316" s="34" t="n">
        <v>1277067120</v>
      </c>
      <c r="B316" s="34" t="s">
        <v>3555</v>
      </c>
      <c r="C316" s="34" t="s">
        <v>107</v>
      </c>
      <c r="E316" s="30" t="s">
        <v>3556</v>
      </c>
      <c r="F316" s="34" t="n">
        <f aca="false">IFERROR(VLOOKUP($A316,'319'!$B:$H,7,0),0)</f>
        <v>0</v>
      </c>
      <c r="G316" s="34" t="n">
        <f aca="false">SUMIFS('12.326ana'!$C:$C,'12.326ana'!$M:$M,redes!A316)</f>
        <v>0</v>
      </c>
    </row>
    <row r="317" customFormat="false" ht="14.4" hidden="true" customHeight="false" outlineLevel="0" collapsed="false">
      <c r="A317" s="34" t="n">
        <v>1278548190</v>
      </c>
      <c r="B317" s="34" t="s">
        <v>3557</v>
      </c>
      <c r="C317" s="34" t="s">
        <v>77</v>
      </c>
      <c r="E317" s="30" t="s">
        <v>3558</v>
      </c>
      <c r="F317" s="34" t="n">
        <f aca="false">IFERROR(VLOOKUP($A317,'319'!$B:$H,7,0),0)</f>
        <v>0</v>
      </c>
      <c r="G317" s="34" t="n">
        <f aca="false">SUMIFS('12.326ana'!$C:$C,'12.326ana'!$M:$M,redes!A317)</f>
        <v>0</v>
      </c>
    </row>
    <row r="318" customFormat="false" ht="14.4" hidden="true" customHeight="false" outlineLevel="0" collapsed="false">
      <c r="A318" s="34" t="n">
        <v>1284757811</v>
      </c>
      <c r="B318" s="34" t="s">
        <v>3559</v>
      </c>
      <c r="C318" s="34" t="s">
        <v>77</v>
      </c>
      <c r="E318" s="30" t="s">
        <v>3560</v>
      </c>
      <c r="F318" s="34" t="n">
        <f aca="false">IFERROR(VLOOKUP($A318,'319'!$B:$H,7,0),0)</f>
        <v>0</v>
      </c>
      <c r="G318" s="34" t="n">
        <f aca="false">SUMIFS('12.326ana'!$C:$C,'12.326ana'!$M:$M,redes!A318)</f>
        <v>0</v>
      </c>
    </row>
    <row r="319" customFormat="false" ht="14.4" hidden="true" customHeight="false" outlineLevel="0" collapsed="false">
      <c r="A319" s="34" t="n">
        <v>1284998185</v>
      </c>
      <c r="B319" s="34" t="s">
        <v>3561</v>
      </c>
      <c r="C319" s="34" t="s">
        <v>77</v>
      </c>
      <c r="E319" s="30" t="s">
        <v>3562</v>
      </c>
      <c r="F319" s="34" t="n">
        <f aca="false">IFERROR(VLOOKUP($A319,'319'!$B:$H,7,0),0)</f>
        <v>0</v>
      </c>
      <c r="G319" s="34" t="n">
        <f aca="false">SUMIFS('12.326ana'!$C:$C,'12.326ana'!$M:$M,redes!A319)</f>
        <v>0</v>
      </c>
    </row>
    <row r="320" customFormat="false" ht="14.4" hidden="true" customHeight="false" outlineLevel="0" collapsed="false">
      <c r="A320" s="34" t="n">
        <v>1302600109</v>
      </c>
      <c r="B320" s="34" t="s">
        <v>3563</v>
      </c>
      <c r="C320" s="34" t="s">
        <v>336</v>
      </c>
      <c r="E320" s="30" t="s">
        <v>3564</v>
      </c>
      <c r="F320" s="34" t="n">
        <f aca="false">IFERROR(VLOOKUP($A320,'319'!$B:$H,7,0),0)</f>
        <v>0</v>
      </c>
      <c r="G320" s="34" t="n">
        <f aca="false">SUMIFS('12.326ana'!$C:$C,'12.326ana'!$M:$M,redes!A320)</f>
        <v>0</v>
      </c>
    </row>
    <row r="321" customFormat="false" ht="14.4" hidden="true" customHeight="false" outlineLevel="0" collapsed="false">
      <c r="A321" s="34" t="n">
        <v>1306943124</v>
      </c>
      <c r="B321" s="34" t="s">
        <v>3565</v>
      </c>
      <c r="C321" s="34" t="s">
        <v>77</v>
      </c>
      <c r="E321" s="30"/>
      <c r="F321" s="34" t="n">
        <f aca="false">IFERROR(VLOOKUP($A321,'319'!$B:$H,7,0),0)</f>
        <v>0</v>
      </c>
      <c r="G321" s="34" t="n">
        <f aca="false">SUMIFS('12.326ana'!$C:$C,'12.326ana'!$M:$M,redes!A321)</f>
        <v>0</v>
      </c>
    </row>
    <row r="322" customFormat="false" ht="14.4" hidden="true" customHeight="false" outlineLevel="0" collapsed="false">
      <c r="A322" s="34" t="n">
        <v>1308961103</v>
      </c>
      <c r="B322" s="34" t="s">
        <v>3566</v>
      </c>
      <c r="C322" s="34" t="s">
        <v>562</v>
      </c>
      <c r="E322" s="30" t="s">
        <v>3567</v>
      </c>
      <c r="F322" s="34" t="n">
        <f aca="false">IFERROR(VLOOKUP($A322,'319'!$B:$H,7,0),0)</f>
        <v>0</v>
      </c>
      <c r="G322" s="34" t="n">
        <f aca="false">SUMIFS('12.326ana'!$C:$C,'12.326ana'!$M:$M,redes!A322)</f>
        <v>0</v>
      </c>
    </row>
    <row r="323" customFormat="false" ht="14.4" hidden="true" customHeight="false" outlineLevel="0" collapsed="false">
      <c r="A323" s="34" t="n">
        <v>1310959196</v>
      </c>
      <c r="B323" s="34" t="s">
        <v>3568</v>
      </c>
      <c r="C323" s="34" t="s">
        <v>77</v>
      </c>
      <c r="E323" s="30" t="s">
        <v>3569</v>
      </c>
      <c r="F323" s="34" t="n">
        <f aca="false">IFERROR(VLOOKUP($A323,'319'!$B:$H,7,0),0)</f>
        <v>0</v>
      </c>
      <c r="G323" s="34" t="n">
        <f aca="false">SUMIFS('12.326ana'!$C:$C,'12.326ana'!$M:$M,redes!A323)</f>
        <v>0</v>
      </c>
    </row>
    <row r="324" customFormat="false" ht="14.4" hidden="true" customHeight="false" outlineLevel="0" collapsed="false">
      <c r="A324" s="34" t="n">
        <v>1312722177</v>
      </c>
      <c r="B324" s="34" t="s">
        <v>3570</v>
      </c>
      <c r="C324" s="34" t="s">
        <v>979</v>
      </c>
      <c r="E324" s="30" t="s">
        <v>3571</v>
      </c>
      <c r="F324" s="34" t="n">
        <f aca="false">IFERROR(VLOOKUP($A324,'319'!$B:$H,7,0),0)</f>
        <v>0</v>
      </c>
      <c r="G324" s="34" t="n">
        <f aca="false">SUMIFS('12.326ana'!$C:$C,'12.326ana'!$M:$M,redes!A324)</f>
        <v>0</v>
      </c>
    </row>
    <row r="325" customFormat="false" ht="14.4" hidden="true" customHeight="false" outlineLevel="0" collapsed="false">
      <c r="A325" s="34" t="n">
        <v>1312882883</v>
      </c>
      <c r="B325" s="34" t="s">
        <v>3572</v>
      </c>
      <c r="C325" s="34" t="s">
        <v>77</v>
      </c>
      <c r="E325" s="30" t="s">
        <v>3573</v>
      </c>
      <c r="F325" s="34" t="n">
        <f aca="false">IFERROR(VLOOKUP($A325,'319'!$B:$H,7,0),0)</f>
        <v>0</v>
      </c>
      <c r="G325" s="34" t="n">
        <f aca="false">SUMIFS('12.326ana'!$C:$C,'12.326ana'!$M:$M,redes!A325)</f>
        <v>0</v>
      </c>
    </row>
    <row r="326" customFormat="false" ht="14.4" hidden="true" customHeight="false" outlineLevel="0" collapsed="false">
      <c r="A326" s="34" t="n">
        <v>1313624101</v>
      </c>
      <c r="B326" s="34" t="s">
        <v>3574</v>
      </c>
      <c r="C326" s="34" t="s">
        <v>197</v>
      </c>
      <c r="E326" s="30" t="s">
        <v>3575</v>
      </c>
      <c r="F326" s="34" t="n">
        <f aca="false">IFERROR(VLOOKUP($A326,'319'!$B:$H,7,0),0)</f>
        <v>0</v>
      </c>
      <c r="G326" s="34" t="n">
        <f aca="false">SUMIFS('12.326ana'!$C:$C,'12.326ana'!$M:$M,redes!A326)</f>
        <v>0</v>
      </c>
    </row>
    <row r="327" customFormat="false" ht="14.4" hidden="true" customHeight="false" outlineLevel="0" collapsed="false">
      <c r="A327" s="34" t="n">
        <v>1318852196</v>
      </c>
      <c r="B327" s="34" t="s">
        <v>3576</v>
      </c>
      <c r="C327" s="34" t="s">
        <v>594</v>
      </c>
      <c r="E327" s="30" t="s">
        <v>3577</v>
      </c>
      <c r="F327" s="34" t="n">
        <f aca="false">IFERROR(VLOOKUP($A327,'319'!$B:$H,7,0),0)</f>
        <v>0</v>
      </c>
      <c r="G327" s="34" t="n">
        <f aca="false">SUMIFS('12.326ana'!$C:$C,'12.326ana'!$M:$M,redes!A327)</f>
        <v>0</v>
      </c>
    </row>
    <row r="328" customFormat="false" ht="14.4" hidden="true" customHeight="false" outlineLevel="0" collapsed="false">
      <c r="A328" s="34" t="n">
        <v>1318922151</v>
      </c>
      <c r="B328" s="34" t="s">
        <v>3578</v>
      </c>
      <c r="C328" s="34" t="s">
        <v>328</v>
      </c>
      <c r="E328" s="30" t="s">
        <v>3579</v>
      </c>
      <c r="F328" s="34" t="n">
        <f aca="false">IFERROR(VLOOKUP($A328,'319'!$B:$H,7,0),0)</f>
        <v>0</v>
      </c>
      <c r="G328" s="34" t="n">
        <f aca="false">SUMIFS('12.326ana'!$C:$C,'12.326ana'!$M:$M,redes!A328)</f>
        <v>0</v>
      </c>
    </row>
    <row r="329" customFormat="false" ht="14.4" hidden="true" customHeight="false" outlineLevel="0" collapsed="false">
      <c r="A329" s="34" t="n">
        <v>1319759190</v>
      </c>
      <c r="B329" s="34" t="s">
        <v>3580</v>
      </c>
      <c r="C329" s="34" t="s">
        <v>89</v>
      </c>
      <c r="E329" s="30" t="s">
        <v>3581</v>
      </c>
      <c r="F329" s="34" t="n">
        <f aca="false">IFERROR(VLOOKUP($A329,'319'!$B:$H,7,0),0)</f>
        <v>0</v>
      </c>
      <c r="G329" s="34" t="n">
        <f aca="false">SUMIFS('12.326ana'!$C:$C,'12.326ana'!$M:$M,redes!A329)</f>
        <v>0</v>
      </c>
    </row>
    <row r="330" customFormat="false" ht="14.4" hidden="true" customHeight="false" outlineLevel="0" collapsed="false">
      <c r="A330" s="34" t="n">
        <v>1323185127</v>
      </c>
      <c r="B330" s="34" t="s">
        <v>3582</v>
      </c>
      <c r="C330" s="34" t="s">
        <v>103</v>
      </c>
      <c r="E330" s="30" t="s">
        <v>3583</v>
      </c>
      <c r="F330" s="34" t="n">
        <f aca="false">IFERROR(VLOOKUP($A330,'319'!$B:$H,7,0),0)</f>
        <v>0</v>
      </c>
      <c r="G330" s="34" t="n">
        <f aca="false">SUMIFS('12.326ana'!$C:$C,'12.326ana'!$M:$M,redes!A330)</f>
        <v>0</v>
      </c>
    </row>
    <row r="331" customFormat="false" ht="14.4" hidden="true" customHeight="false" outlineLevel="0" collapsed="false">
      <c r="A331" s="34" t="n">
        <v>1325385719</v>
      </c>
      <c r="B331" s="34" t="s">
        <v>3584</v>
      </c>
      <c r="C331" s="34" t="s">
        <v>89</v>
      </c>
      <c r="E331" s="30" t="s">
        <v>3585</v>
      </c>
      <c r="F331" s="34" t="n">
        <f aca="false">IFERROR(VLOOKUP($A331,'319'!$B:$H,7,0),0)</f>
        <v>0</v>
      </c>
      <c r="G331" s="34" t="n">
        <f aca="false">SUMIFS('12.326ana'!$C:$C,'12.326ana'!$M:$M,redes!A331)</f>
        <v>0</v>
      </c>
    </row>
    <row r="332" customFormat="false" ht="14.4" hidden="true" customHeight="false" outlineLevel="0" collapsed="false">
      <c r="A332" s="34" t="n">
        <v>1337456195</v>
      </c>
      <c r="B332" s="34" t="s">
        <v>3586</v>
      </c>
      <c r="C332" s="34" t="s">
        <v>89</v>
      </c>
      <c r="E332" s="30" t="s">
        <v>3586</v>
      </c>
      <c r="F332" s="34" t="n">
        <f aca="false">IFERROR(VLOOKUP($A332,'319'!$B:$H,7,0),0)</f>
        <v>0</v>
      </c>
      <c r="G332" s="34" t="n">
        <f aca="false">SUMIFS('12.326ana'!$C:$C,'12.326ana'!$M:$M,redes!A332)</f>
        <v>0</v>
      </c>
    </row>
    <row r="333" customFormat="false" ht="14.4" hidden="true" customHeight="false" outlineLevel="0" collapsed="false">
      <c r="A333" s="34" t="n">
        <v>1346573140</v>
      </c>
      <c r="B333" s="34" t="s">
        <v>3587</v>
      </c>
      <c r="C333" s="34" t="s">
        <v>77</v>
      </c>
      <c r="E333" s="30" t="s">
        <v>3588</v>
      </c>
      <c r="F333" s="34" t="n">
        <f aca="false">IFERROR(VLOOKUP($A333,'319'!$B:$H,7,0),0)</f>
        <v>0</v>
      </c>
      <c r="G333" s="34" t="n">
        <f aca="false">SUMIFS('12.326ana'!$C:$C,'12.326ana'!$M:$M,redes!A333)</f>
        <v>0</v>
      </c>
    </row>
    <row r="334" customFormat="false" ht="14.4" hidden="true" customHeight="false" outlineLevel="0" collapsed="false">
      <c r="A334" s="34" t="n">
        <v>1346576165</v>
      </c>
      <c r="B334" s="34" t="s">
        <v>3589</v>
      </c>
      <c r="C334" s="34" t="s">
        <v>77</v>
      </c>
      <c r="E334" s="30" t="s">
        <v>3590</v>
      </c>
      <c r="F334" s="34" t="n">
        <f aca="false">IFERROR(VLOOKUP($A334,'319'!$B:$H,7,0),0)</f>
        <v>0</v>
      </c>
      <c r="G334" s="34" t="n">
        <f aca="false">SUMIFS('12.326ana'!$C:$C,'12.326ana'!$M:$M,redes!A334)</f>
        <v>0</v>
      </c>
    </row>
    <row r="335" customFormat="false" ht="14.4" hidden="true" customHeight="false" outlineLevel="0" collapsed="false">
      <c r="A335" s="34" t="n">
        <v>1347212175</v>
      </c>
      <c r="B335" s="34" t="s">
        <v>3591</v>
      </c>
      <c r="C335" s="34" t="s">
        <v>103</v>
      </c>
      <c r="E335" s="30" t="s">
        <v>3592</v>
      </c>
      <c r="F335" s="34" t="n">
        <f aca="false">IFERROR(VLOOKUP($A335,'319'!$B:$H,7,0),0)</f>
        <v>0</v>
      </c>
      <c r="G335" s="34" t="n">
        <f aca="false">SUMIFS('12.326ana'!$C:$C,'12.326ana'!$M:$M,redes!A335)</f>
        <v>0</v>
      </c>
    </row>
    <row r="336" customFormat="false" ht="14.4" hidden="true" customHeight="false" outlineLevel="0" collapsed="false">
      <c r="A336" s="34" t="n">
        <v>1352019183</v>
      </c>
      <c r="B336" s="34" t="s">
        <v>3593</v>
      </c>
      <c r="C336" s="34" t="s">
        <v>3594</v>
      </c>
      <c r="E336" s="30" t="s">
        <v>3194</v>
      </c>
      <c r="F336" s="34" t="n">
        <f aca="false">IFERROR(VLOOKUP($A336,'319'!$B:$H,7,0),0)</f>
        <v>0</v>
      </c>
      <c r="G336" s="34" t="n">
        <f aca="false">SUMIFS('12.326ana'!$C:$C,'12.326ana'!$M:$M,redes!A336)</f>
        <v>0</v>
      </c>
    </row>
    <row r="337" customFormat="false" ht="14.4" hidden="true" customHeight="false" outlineLevel="0" collapsed="false">
      <c r="A337" s="34" t="n">
        <v>1362298832</v>
      </c>
      <c r="B337" s="34" t="s">
        <v>3595</v>
      </c>
      <c r="C337" s="34" t="s">
        <v>77</v>
      </c>
      <c r="E337" s="30" t="s">
        <v>3596</v>
      </c>
      <c r="F337" s="34" t="n">
        <f aca="false">IFERROR(VLOOKUP($A337,'319'!$B:$H,7,0),0)</f>
        <v>0</v>
      </c>
      <c r="G337" s="34" t="n">
        <f aca="false">SUMIFS('12.326ana'!$C:$C,'12.326ana'!$M:$M,redes!A337)</f>
        <v>0</v>
      </c>
    </row>
    <row r="338" customFormat="false" ht="14.4" hidden="true" customHeight="false" outlineLevel="0" collapsed="false">
      <c r="A338" s="34" t="n">
        <v>1363200151</v>
      </c>
      <c r="B338" s="34" t="s">
        <v>3597</v>
      </c>
      <c r="C338" s="34" t="s">
        <v>139</v>
      </c>
      <c r="E338" s="30" t="s">
        <v>3598</v>
      </c>
      <c r="F338" s="34" t="n">
        <f aca="false">IFERROR(VLOOKUP($A338,'319'!$B:$H,7,0),0)</f>
        <v>0</v>
      </c>
      <c r="G338" s="34" t="n">
        <f aca="false">SUMIFS('12.326ana'!$C:$C,'12.326ana'!$M:$M,redes!A338)</f>
        <v>0</v>
      </c>
    </row>
    <row r="339" customFormat="false" ht="14.4" hidden="true" customHeight="false" outlineLevel="0" collapsed="false">
      <c r="A339" s="34" t="n">
        <v>1363277103</v>
      </c>
      <c r="B339" s="34" t="s">
        <v>3599</v>
      </c>
      <c r="C339" s="34" t="s">
        <v>77</v>
      </c>
      <c r="E339" s="30"/>
      <c r="F339" s="34" t="n">
        <f aca="false">IFERROR(VLOOKUP($A339,'319'!$B:$H,7,0),0)</f>
        <v>0</v>
      </c>
      <c r="G339" s="34" t="n">
        <f aca="false">SUMIFS('12.326ana'!$C:$C,'12.326ana'!$M:$M,redes!A339)</f>
        <v>0</v>
      </c>
    </row>
    <row r="340" customFormat="false" ht="14.4" hidden="true" customHeight="false" outlineLevel="0" collapsed="false">
      <c r="A340" s="34" t="n">
        <v>1373239131</v>
      </c>
      <c r="B340" s="34" t="s">
        <v>3600</v>
      </c>
      <c r="C340" s="34" t="s">
        <v>77</v>
      </c>
      <c r="E340" s="30" t="s">
        <v>3601</v>
      </c>
      <c r="F340" s="34" t="n">
        <f aca="false">IFERROR(VLOOKUP($A340,'319'!$B:$H,7,0),0)</f>
        <v>0</v>
      </c>
      <c r="G340" s="34" t="n">
        <f aca="false">SUMIFS('12.326ana'!$C:$C,'12.326ana'!$M:$M,redes!A340)</f>
        <v>0</v>
      </c>
    </row>
    <row r="341" customFormat="false" ht="14.4" hidden="true" customHeight="false" outlineLevel="0" collapsed="false">
      <c r="A341" s="34" t="n">
        <v>1379403197</v>
      </c>
      <c r="B341" s="34" t="s">
        <v>3602</v>
      </c>
      <c r="C341" s="34" t="s">
        <v>744</v>
      </c>
      <c r="E341" s="30"/>
      <c r="F341" s="34" t="n">
        <f aca="false">IFERROR(VLOOKUP($A341,'319'!$B:$H,7,0),0)</f>
        <v>0</v>
      </c>
      <c r="G341" s="34" t="n">
        <f aca="false">SUMIFS('12.326ana'!$C:$C,'12.326ana'!$M:$M,redes!A341)</f>
        <v>0</v>
      </c>
    </row>
    <row r="342" customFormat="false" ht="14.4" hidden="true" customHeight="false" outlineLevel="0" collapsed="false">
      <c r="A342" s="34" t="n">
        <v>1388422131</v>
      </c>
      <c r="B342" s="34" t="s">
        <v>3603</v>
      </c>
      <c r="C342" s="34" t="s">
        <v>77</v>
      </c>
      <c r="E342" s="30" t="s">
        <v>3604</v>
      </c>
      <c r="F342" s="34" t="n">
        <f aca="false">IFERROR(VLOOKUP($A342,'319'!$B:$H,7,0),0)</f>
        <v>0</v>
      </c>
      <c r="G342" s="34" t="n">
        <f aca="false">SUMIFS('12.326ana'!$C:$C,'12.326ana'!$M:$M,redes!A342)</f>
        <v>0</v>
      </c>
    </row>
    <row r="343" customFormat="false" ht="14.4" hidden="true" customHeight="false" outlineLevel="0" collapsed="false">
      <c r="A343" s="34" t="n">
        <v>1394567162</v>
      </c>
      <c r="B343" s="34" t="s">
        <v>3605</v>
      </c>
      <c r="C343" s="34" t="s">
        <v>475</v>
      </c>
      <c r="E343" s="30" t="s">
        <v>3606</v>
      </c>
      <c r="F343" s="34" t="n">
        <f aca="false">IFERROR(VLOOKUP($A343,'319'!$B:$H,7,0),0)</f>
        <v>0</v>
      </c>
      <c r="G343" s="34" t="n">
        <f aca="false">SUMIFS('12.326ana'!$C:$C,'12.326ana'!$M:$M,redes!A343)</f>
        <v>0</v>
      </c>
    </row>
    <row r="344" customFormat="false" ht="14.4" hidden="true" customHeight="false" outlineLevel="0" collapsed="false">
      <c r="A344" s="34" t="n">
        <v>1397020164</v>
      </c>
      <c r="B344" s="34" t="s">
        <v>3607</v>
      </c>
      <c r="C344" s="34" t="s">
        <v>77</v>
      </c>
      <c r="E344" s="30" t="s">
        <v>3608</v>
      </c>
      <c r="F344" s="34" t="n">
        <f aca="false">IFERROR(VLOOKUP($A344,'319'!$B:$H,7,0),0)</f>
        <v>0</v>
      </c>
      <c r="G344" s="34" t="n">
        <f aca="false">SUMIFS('12.326ana'!$C:$C,'12.326ana'!$M:$M,redes!A344)</f>
        <v>0</v>
      </c>
    </row>
    <row r="345" customFormat="false" ht="14.4" hidden="true" customHeight="false" outlineLevel="0" collapsed="false">
      <c r="A345" s="34" t="n">
        <v>1402435185</v>
      </c>
      <c r="B345" s="34" t="s">
        <v>3609</v>
      </c>
      <c r="C345" s="34" t="s">
        <v>77</v>
      </c>
      <c r="E345" s="30" t="s">
        <v>3610</v>
      </c>
      <c r="F345" s="34" t="n">
        <f aca="false">IFERROR(VLOOKUP($A345,'319'!$B:$H,7,0),0)</f>
        <v>0</v>
      </c>
      <c r="G345" s="34" t="n">
        <f aca="false">SUMIFS('12.326ana'!$C:$C,'12.326ana'!$M:$M,redes!A345)</f>
        <v>0</v>
      </c>
    </row>
    <row r="346" customFormat="false" ht="14.4" hidden="true" customHeight="false" outlineLevel="0" collapsed="false">
      <c r="A346" s="34" t="n">
        <v>1403725128</v>
      </c>
      <c r="B346" s="34" t="s">
        <v>3611</v>
      </c>
      <c r="C346" s="34" t="s">
        <v>463</v>
      </c>
      <c r="E346" s="30"/>
      <c r="F346" s="34" t="n">
        <f aca="false">IFERROR(VLOOKUP($A346,'319'!$B:$H,7,0),0)</f>
        <v>0</v>
      </c>
      <c r="G346" s="34" t="n">
        <f aca="false">SUMIFS('12.326ana'!$C:$C,'12.326ana'!$M:$M,redes!A346)</f>
        <v>0</v>
      </c>
    </row>
    <row r="347" customFormat="false" ht="14.4" hidden="true" customHeight="false" outlineLevel="0" collapsed="false">
      <c r="A347" s="34" t="n">
        <v>1413283128</v>
      </c>
      <c r="B347" s="34" t="s">
        <v>3612</v>
      </c>
      <c r="C347" s="34" t="s">
        <v>357</v>
      </c>
      <c r="E347" s="30" t="s">
        <v>3613</v>
      </c>
      <c r="F347" s="34" t="n">
        <f aca="false">IFERROR(VLOOKUP($A347,'319'!$B:$H,7,0),0)</f>
        <v>0</v>
      </c>
      <c r="G347" s="34" t="n">
        <f aca="false">SUMIFS('12.326ana'!$C:$C,'12.326ana'!$M:$M,redes!A347)</f>
        <v>0</v>
      </c>
    </row>
    <row r="348" customFormat="false" ht="14.4" hidden="true" customHeight="false" outlineLevel="0" collapsed="false">
      <c r="A348" s="34" t="n">
        <v>1422940128</v>
      </c>
      <c r="B348" s="34" t="s">
        <v>3614</v>
      </c>
      <c r="C348" s="34" t="s">
        <v>463</v>
      </c>
      <c r="E348" s="30" t="s">
        <v>3615</v>
      </c>
      <c r="F348" s="34" t="n">
        <f aca="false">IFERROR(VLOOKUP($A348,'319'!$B:$H,7,0),0)</f>
        <v>0</v>
      </c>
      <c r="G348" s="34" t="n">
        <f aca="false">SUMIFS('12.326ana'!$C:$C,'12.326ana'!$M:$M,redes!A348)</f>
        <v>0</v>
      </c>
    </row>
    <row r="349" customFormat="false" ht="14.4" hidden="true" customHeight="false" outlineLevel="0" collapsed="false">
      <c r="A349" s="34" t="n">
        <v>1433106159</v>
      </c>
      <c r="B349" s="34" t="s">
        <v>3616</v>
      </c>
      <c r="C349" s="34" t="s">
        <v>77</v>
      </c>
      <c r="E349" s="30" t="s">
        <v>3617</v>
      </c>
      <c r="F349" s="34" t="n">
        <f aca="false">IFERROR(VLOOKUP($A349,'319'!$B:$H,7,0),0)</f>
        <v>0</v>
      </c>
      <c r="G349" s="34" t="n">
        <f aca="false">SUMIFS('12.326ana'!$C:$C,'12.326ana'!$M:$M,redes!A349)</f>
        <v>0</v>
      </c>
    </row>
    <row r="350" customFormat="false" ht="14.4" hidden="true" customHeight="false" outlineLevel="0" collapsed="false">
      <c r="A350" s="34" t="n">
        <v>1438636148</v>
      </c>
      <c r="B350" s="34" t="s">
        <v>3618</v>
      </c>
      <c r="C350" s="34" t="s">
        <v>594</v>
      </c>
      <c r="E350" s="30" t="s">
        <v>3619</v>
      </c>
      <c r="F350" s="34" t="n">
        <f aca="false">IFERROR(VLOOKUP($A350,'319'!$B:$H,7,0),0)</f>
        <v>0</v>
      </c>
      <c r="G350" s="34" t="n">
        <f aca="false">SUMIFS('12.326ana'!$C:$C,'12.326ana'!$M:$M,redes!A350)</f>
        <v>0</v>
      </c>
    </row>
    <row r="351" customFormat="false" ht="14.4" hidden="true" customHeight="false" outlineLevel="0" collapsed="false">
      <c r="A351" s="34" t="n">
        <v>1438678819</v>
      </c>
      <c r="B351" s="34" t="s">
        <v>3620</v>
      </c>
      <c r="C351" s="34" t="s">
        <v>328</v>
      </c>
      <c r="E351" s="30" t="s">
        <v>3621</v>
      </c>
      <c r="F351" s="34" t="n">
        <f aca="false">IFERROR(VLOOKUP($A351,'319'!$B:$H,7,0),0)</f>
        <v>0</v>
      </c>
      <c r="G351" s="34" t="n">
        <f aca="false">SUMIFS('12.326ana'!$C:$C,'12.326ana'!$M:$M,redes!A351)</f>
        <v>0</v>
      </c>
    </row>
    <row r="352" customFormat="false" ht="14.4" hidden="true" customHeight="false" outlineLevel="0" collapsed="false">
      <c r="A352" s="34" t="n">
        <v>1439409102</v>
      </c>
      <c r="B352" s="34" t="s">
        <v>3622</v>
      </c>
      <c r="C352" s="34" t="s">
        <v>77</v>
      </c>
      <c r="E352" s="30"/>
      <c r="F352" s="34" t="n">
        <f aca="false">IFERROR(VLOOKUP($A352,'319'!$B:$H,7,0),0)</f>
        <v>0</v>
      </c>
      <c r="G352" s="34" t="n">
        <f aca="false">SUMIFS('12.326ana'!$C:$C,'12.326ana'!$M:$M,redes!A352)</f>
        <v>0</v>
      </c>
    </row>
    <row r="353" customFormat="false" ht="14.4" hidden="true" customHeight="false" outlineLevel="0" collapsed="false">
      <c r="A353" s="34" t="n">
        <v>1439585180</v>
      </c>
      <c r="B353" s="34" t="s">
        <v>3623</v>
      </c>
      <c r="C353" s="34" t="s">
        <v>77</v>
      </c>
      <c r="E353" s="30" t="s">
        <v>3624</v>
      </c>
      <c r="F353" s="34" t="n">
        <f aca="false">IFERROR(VLOOKUP($A353,'319'!$B:$H,7,0),0)</f>
        <v>0</v>
      </c>
      <c r="G353" s="34" t="n">
        <f aca="false">SUMIFS('12.326ana'!$C:$C,'12.326ana'!$M:$M,redes!A353)</f>
        <v>0</v>
      </c>
    </row>
    <row r="354" customFormat="false" ht="14.4" hidden="true" customHeight="false" outlineLevel="0" collapsed="false">
      <c r="A354" s="34" t="n">
        <v>1442515902</v>
      </c>
      <c r="B354" s="34" t="s">
        <v>3625</v>
      </c>
      <c r="C354" s="34" t="s">
        <v>77</v>
      </c>
      <c r="E354" s="30" t="s">
        <v>3626</v>
      </c>
      <c r="F354" s="34" t="n">
        <f aca="false">IFERROR(VLOOKUP($A354,'319'!$B:$H,7,0),0)</f>
        <v>0</v>
      </c>
      <c r="G354" s="34" t="n">
        <f aca="false">SUMIFS('12.326ana'!$C:$C,'12.326ana'!$M:$M,redes!A354)</f>
        <v>0</v>
      </c>
    </row>
    <row r="355" customFormat="false" ht="14.4" hidden="true" customHeight="false" outlineLevel="0" collapsed="false">
      <c r="A355" s="34" t="n">
        <v>1443993182</v>
      </c>
      <c r="B355" s="34" t="s">
        <v>3627</v>
      </c>
      <c r="C355" s="34" t="s">
        <v>77</v>
      </c>
      <c r="E355" s="30"/>
      <c r="F355" s="34" t="n">
        <f aca="false">IFERROR(VLOOKUP($A355,'319'!$B:$H,7,0),0)</f>
        <v>0</v>
      </c>
      <c r="G355" s="34" t="n">
        <f aca="false">SUMIFS('12.326ana'!$C:$C,'12.326ana'!$M:$M,redes!A355)</f>
        <v>0</v>
      </c>
    </row>
    <row r="356" customFormat="false" ht="14.4" hidden="true" customHeight="false" outlineLevel="0" collapsed="false">
      <c r="A356" s="34" t="n">
        <v>1448367182</v>
      </c>
      <c r="B356" s="34" t="s">
        <v>3628</v>
      </c>
      <c r="C356" s="34" t="s">
        <v>107</v>
      </c>
      <c r="E356" s="30" t="s">
        <v>3440</v>
      </c>
      <c r="F356" s="34" t="n">
        <f aca="false">IFERROR(VLOOKUP($A356,'319'!$B:$H,7,0),0)</f>
        <v>0</v>
      </c>
      <c r="G356" s="34" t="n">
        <f aca="false">SUMIFS('12.326ana'!$C:$C,'12.326ana'!$M:$M,redes!A356)</f>
        <v>0</v>
      </c>
    </row>
    <row r="357" customFormat="false" ht="14.4" hidden="true" customHeight="false" outlineLevel="0" collapsed="false">
      <c r="A357" s="34" t="n">
        <v>1454686154</v>
      </c>
      <c r="B357" s="34" t="s">
        <v>3629</v>
      </c>
      <c r="C357" s="34" t="s">
        <v>77</v>
      </c>
      <c r="E357" s="30" t="s">
        <v>3630</v>
      </c>
      <c r="F357" s="34" t="n">
        <f aca="false">IFERROR(VLOOKUP($A357,'319'!$B:$H,7,0),0)</f>
        <v>0</v>
      </c>
      <c r="G357" s="34" t="n">
        <f aca="false">SUMIFS('12.326ana'!$C:$C,'12.326ana'!$M:$M,redes!A357)</f>
        <v>0</v>
      </c>
    </row>
    <row r="358" customFormat="false" ht="14.4" hidden="true" customHeight="false" outlineLevel="0" collapsed="false">
      <c r="A358" s="34" t="n">
        <v>1456699121</v>
      </c>
      <c r="B358" s="34" t="s">
        <v>3631</v>
      </c>
      <c r="C358" s="34" t="s">
        <v>77</v>
      </c>
      <c r="E358" s="30" t="s">
        <v>3632</v>
      </c>
      <c r="F358" s="34" t="n">
        <f aca="false">IFERROR(VLOOKUP($A358,'319'!$B:$H,7,0),0)</f>
        <v>0</v>
      </c>
      <c r="G358" s="34" t="n">
        <f aca="false">SUMIFS('12.326ana'!$C:$C,'12.326ana'!$M:$M,redes!A358)</f>
        <v>0</v>
      </c>
    </row>
    <row r="359" customFormat="false" ht="14.4" hidden="true" customHeight="false" outlineLevel="0" collapsed="false">
      <c r="A359" s="34" t="n">
        <v>1471134156</v>
      </c>
      <c r="B359" s="34" t="s">
        <v>3633</v>
      </c>
      <c r="C359" s="34" t="s">
        <v>77</v>
      </c>
      <c r="E359" s="30" t="s">
        <v>3634</v>
      </c>
      <c r="F359" s="34" t="n">
        <f aca="false">IFERROR(VLOOKUP($A359,'319'!$B:$H,7,0),0)</f>
        <v>0</v>
      </c>
      <c r="G359" s="34" t="n">
        <f aca="false">SUMIFS('12.326ana'!$C:$C,'12.326ana'!$M:$M,redes!A359)</f>
        <v>0</v>
      </c>
    </row>
    <row r="360" customFormat="false" ht="14.4" hidden="true" customHeight="false" outlineLevel="0" collapsed="false">
      <c r="A360" s="34" t="n">
        <v>1475758189</v>
      </c>
      <c r="B360" s="34" t="s">
        <v>3635</v>
      </c>
      <c r="C360" s="34" t="s">
        <v>77</v>
      </c>
      <c r="E360" s="30" t="s">
        <v>3636</v>
      </c>
      <c r="F360" s="34" t="n">
        <f aca="false">IFERROR(VLOOKUP($A360,'319'!$B:$H,7,0),0)</f>
        <v>0</v>
      </c>
      <c r="G360" s="34" t="n">
        <f aca="false">SUMIFS('12.326ana'!$C:$C,'12.326ana'!$M:$M,redes!A360)</f>
        <v>0</v>
      </c>
    </row>
    <row r="361" customFormat="false" ht="14.4" hidden="true" customHeight="false" outlineLevel="0" collapsed="false">
      <c r="A361" s="34" t="n">
        <v>1482243180</v>
      </c>
      <c r="B361" s="34" t="s">
        <v>3637</v>
      </c>
      <c r="C361" s="34" t="s">
        <v>357</v>
      </c>
      <c r="E361" s="30" t="s">
        <v>3638</v>
      </c>
      <c r="F361" s="34" t="n">
        <f aca="false">IFERROR(VLOOKUP($A361,'319'!$B:$H,7,0),0)</f>
        <v>0</v>
      </c>
      <c r="G361" s="34" t="n">
        <f aca="false">SUMIFS('12.326ana'!$C:$C,'12.326ana'!$M:$M,redes!A361)</f>
        <v>0</v>
      </c>
    </row>
    <row r="362" customFormat="false" ht="14.4" hidden="true" customHeight="false" outlineLevel="0" collapsed="false">
      <c r="A362" s="34" t="n">
        <v>1486081169</v>
      </c>
      <c r="B362" s="34" t="s">
        <v>3639</v>
      </c>
      <c r="C362" s="34" t="s">
        <v>77</v>
      </c>
      <c r="E362" s="30" t="s">
        <v>3640</v>
      </c>
      <c r="F362" s="34" t="n">
        <f aca="false">IFERROR(VLOOKUP($A362,'319'!$B:$H,7,0),0)</f>
        <v>0</v>
      </c>
      <c r="G362" s="34" t="n">
        <f aca="false">SUMIFS('12.326ana'!$C:$C,'12.326ana'!$M:$M,redes!A362)</f>
        <v>0</v>
      </c>
    </row>
    <row r="363" customFormat="false" ht="14.4" hidden="true" customHeight="false" outlineLevel="0" collapsed="false">
      <c r="A363" s="34" t="n">
        <v>1488502196</v>
      </c>
      <c r="B363" s="34" t="s">
        <v>3641</v>
      </c>
      <c r="C363" s="34" t="s">
        <v>994</v>
      </c>
      <c r="E363" s="30" t="s">
        <v>3642</v>
      </c>
      <c r="F363" s="34" t="n">
        <f aca="false">IFERROR(VLOOKUP($A363,'319'!$B:$H,7,0),0)</f>
        <v>0</v>
      </c>
      <c r="G363" s="34" t="n">
        <f aca="false">SUMIFS('12.326ana'!$C:$C,'12.326ana'!$M:$M,redes!A363)</f>
        <v>0</v>
      </c>
    </row>
    <row r="364" customFormat="false" ht="14.4" hidden="true" customHeight="false" outlineLevel="0" collapsed="false">
      <c r="A364" s="34" t="n">
        <v>1490651160</v>
      </c>
      <c r="B364" s="34" t="s">
        <v>3643</v>
      </c>
      <c r="C364" s="34" t="s">
        <v>107</v>
      </c>
      <c r="E364" s="30" t="s">
        <v>3644</v>
      </c>
      <c r="F364" s="34" t="n">
        <f aca="false">IFERROR(VLOOKUP($A364,'319'!$B:$H,7,0),0)</f>
        <v>0</v>
      </c>
      <c r="G364" s="34" t="n">
        <f aca="false">SUMIFS('12.326ana'!$C:$C,'12.326ana'!$M:$M,redes!A364)</f>
        <v>0</v>
      </c>
    </row>
    <row r="365" customFormat="false" ht="14.4" hidden="true" customHeight="false" outlineLevel="0" collapsed="false">
      <c r="A365" s="34" t="n">
        <v>1495390101</v>
      </c>
      <c r="B365" s="34" t="s">
        <v>3645</v>
      </c>
      <c r="C365" s="34" t="s">
        <v>103</v>
      </c>
      <c r="E365" s="30" t="s">
        <v>3646</v>
      </c>
      <c r="F365" s="34" t="n">
        <f aca="false">IFERROR(VLOOKUP($A365,'319'!$B:$H,7,0),0)</f>
        <v>0</v>
      </c>
      <c r="G365" s="34" t="n">
        <f aca="false">SUMIFS('12.326ana'!$C:$C,'12.326ana'!$M:$M,redes!A365)</f>
        <v>0</v>
      </c>
    </row>
    <row r="366" customFormat="false" ht="14.4" hidden="true" customHeight="false" outlineLevel="0" collapsed="false">
      <c r="A366" s="34" t="n">
        <v>1495748782</v>
      </c>
      <c r="B366" s="34" t="s">
        <v>3647</v>
      </c>
      <c r="C366" s="34" t="s">
        <v>77</v>
      </c>
      <c r="E366" s="30" t="s">
        <v>3648</v>
      </c>
      <c r="F366" s="34" t="n">
        <f aca="false">IFERROR(VLOOKUP($A366,'319'!$B:$H,7,0),0)</f>
        <v>0</v>
      </c>
      <c r="G366" s="34" t="n">
        <f aca="false">SUMIFS('12.326ana'!$C:$C,'12.326ana'!$M:$M,redes!A366)</f>
        <v>0</v>
      </c>
    </row>
    <row r="367" customFormat="false" ht="14.4" hidden="true" customHeight="false" outlineLevel="0" collapsed="false">
      <c r="A367" s="34" t="n">
        <v>1496439180</v>
      </c>
      <c r="B367" s="34" t="s">
        <v>3649</v>
      </c>
      <c r="C367" s="34" t="s">
        <v>77</v>
      </c>
      <c r="E367" s="30" t="s">
        <v>3650</v>
      </c>
      <c r="F367" s="34" t="n">
        <f aca="false">IFERROR(VLOOKUP($A367,'319'!$B:$H,7,0),0)</f>
        <v>0</v>
      </c>
      <c r="G367" s="34" t="n">
        <f aca="false">SUMIFS('12.326ana'!$C:$C,'12.326ana'!$M:$M,redes!A367)</f>
        <v>0</v>
      </c>
    </row>
    <row r="368" customFormat="false" ht="14.4" hidden="true" customHeight="false" outlineLevel="0" collapsed="false">
      <c r="A368" s="34" t="n">
        <v>1498362109</v>
      </c>
      <c r="B368" s="34" t="s">
        <v>3651</v>
      </c>
      <c r="C368" s="34" t="s">
        <v>197</v>
      </c>
      <c r="E368" s="30" t="s">
        <v>3652</v>
      </c>
      <c r="F368" s="34" t="n">
        <f aca="false">IFERROR(VLOOKUP($A368,'319'!$B:$H,7,0),0)</f>
        <v>0</v>
      </c>
      <c r="G368" s="34" t="n">
        <f aca="false">SUMIFS('12.326ana'!$C:$C,'12.326ana'!$M:$M,redes!A368)</f>
        <v>0</v>
      </c>
    </row>
    <row r="369" customFormat="false" ht="14.4" hidden="true" customHeight="false" outlineLevel="0" collapsed="false">
      <c r="A369" s="34" t="n">
        <v>1499731108</v>
      </c>
      <c r="B369" s="34" t="s">
        <v>3653</v>
      </c>
      <c r="C369" s="34" t="s">
        <v>77</v>
      </c>
      <c r="E369" s="30" t="s">
        <v>3654</v>
      </c>
      <c r="F369" s="34" t="n">
        <f aca="false">IFERROR(VLOOKUP($A369,'319'!$B:$H,7,0),0)</f>
        <v>0</v>
      </c>
      <c r="G369" s="34" t="n">
        <f aca="false">SUMIFS('12.326ana'!$C:$C,'12.326ana'!$M:$M,redes!A369)</f>
        <v>0</v>
      </c>
    </row>
    <row r="370" customFormat="false" ht="14.4" hidden="true" customHeight="false" outlineLevel="0" collapsed="false">
      <c r="A370" s="34" t="n">
        <v>1520597843</v>
      </c>
      <c r="B370" s="34" t="s">
        <v>3655</v>
      </c>
      <c r="C370" s="34" t="s">
        <v>77</v>
      </c>
      <c r="E370" s="30" t="s">
        <v>3656</v>
      </c>
      <c r="F370" s="34" t="n">
        <f aca="false">IFERROR(VLOOKUP($A370,'319'!$B:$H,7,0),0)</f>
        <v>0</v>
      </c>
      <c r="G370" s="34" t="n">
        <f aca="false">SUMIFS('12.326ana'!$C:$C,'12.326ana'!$M:$M,redes!A370)</f>
        <v>0</v>
      </c>
    </row>
    <row r="371" customFormat="false" ht="14.4" hidden="true" customHeight="false" outlineLevel="0" collapsed="false">
      <c r="A371" s="34" t="n">
        <v>1533217173</v>
      </c>
      <c r="B371" s="34" t="s">
        <v>3657</v>
      </c>
      <c r="C371" s="34" t="s">
        <v>77</v>
      </c>
      <c r="E371" s="30" t="s">
        <v>3658</v>
      </c>
      <c r="F371" s="34" t="n">
        <f aca="false">IFERROR(VLOOKUP($A371,'319'!$B:$H,7,0),0)</f>
        <v>0</v>
      </c>
      <c r="G371" s="34" t="n">
        <f aca="false">SUMIFS('12.326ana'!$C:$C,'12.326ana'!$M:$M,redes!A371)</f>
        <v>0</v>
      </c>
    </row>
    <row r="372" customFormat="false" ht="14.4" hidden="true" customHeight="false" outlineLevel="0" collapsed="false">
      <c r="A372" s="34" t="n">
        <v>1533878315</v>
      </c>
      <c r="B372" s="34" t="s">
        <v>3659</v>
      </c>
      <c r="C372" s="34" t="s">
        <v>77</v>
      </c>
      <c r="E372" s="30" t="s">
        <v>3660</v>
      </c>
      <c r="F372" s="34" t="n">
        <f aca="false">IFERROR(VLOOKUP($A372,'319'!$B:$H,7,0),0)</f>
        <v>0</v>
      </c>
      <c r="G372" s="34" t="n">
        <f aca="false">SUMIFS('12.326ana'!$C:$C,'12.326ana'!$M:$M,redes!A372)</f>
        <v>0</v>
      </c>
    </row>
    <row r="373" customFormat="false" ht="14.4" hidden="true" customHeight="false" outlineLevel="0" collapsed="false">
      <c r="A373" s="34" t="n">
        <v>1537505882</v>
      </c>
      <c r="B373" s="34" t="s">
        <v>3661</v>
      </c>
      <c r="C373" s="34" t="s">
        <v>804</v>
      </c>
      <c r="E373" s="30" t="s">
        <v>3662</v>
      </c>
      <c r="F373" s="34" t="n">
        <f aca="false">IFERROR(VLOOKUP($A373,'319'!$B:$H,7,0),0)</f>
        <v>0</v>
      </c>
      <c r="G373" s="34" t="n">
        <f aca="false">SUMIFS('12.326ana'!$C:$C,'12.326ana'!$M:$M,redes!A373)</f>
        <v>0</v>
      </c>
    </row>
    <row r="374" customFormat="false" ht="14.4" hidden="true" customHeight="false" outlineLevel="0" collapsed="false">
      <c r="A374" s="34" t="n">
        <v>1539617912</v>
      </c>
      <c r="B374" s="34" t="s">
        <v>3663</v>
      </c>
      <c r="C374" s="34" t="s">
        <v>77</v>
      </c>
      <c r="E374" s="30" t="s">
        <v>3664</v>
      </c>
      <c r="F374" s="34" t="n">
        <f aca="false">IFERROR(VLOOKUP($A374,'319'!$B:$H,7,0),0)</f>
        <v>0</v>
      </c>
      <c r="G374" s="34" t="n">
        <f aca="false">SUMIFS('12.326ana'!$C:$C,'12.326ana'!$M:$M,redes!A374)</f>
        <v>0</v>
      </c>
    </row>
    <row r="375" customFormat="false" ht="14.4" hidden="true" customHeight="false" outlineLevel="0" collapsed="false">
      <c r="A375" s="34" t="n">
        <v>1554410193</v>
      </c>
      <c r="B375" s="34" t="s">
        <v>3665</v>
      </c>
      <c r="C375" s="34" t="s">
        <v>77</v>
      </c>
      <c r="E375" s="30" t="s">
        <v>3666</v>
      </c>
      <c r="F375" s="34" t="n">
        <f aca="false">IFERROR(VLOOKUP($A375,'319'!$B:$H,7,0),0)</f>
        <v>0</v>
      </c>
      <c r="G375" s="34" t="n">
        <f aca="false">SUMIFS('12.326ana'!$C:$C,'12.326ana'!$M:$M,redes!A375)</f>
        <v>0</v>
      </c>
    </row>
    <row r="376" customFormat="false" ht="14.4" hidden="true" customHeight="false" outlineLevel="0" collapsed="false">
      <c r="A376" s="34" t="n">
        <v>1554467110</v>
      </c>
      <c r="B376" s="34" t="s">
        <v>3667</v>
      </c>
      <c r="C376" s="34" t="s">
        <v>598</v>
      </c>
      <c r="E376" s="30" t="s">
        <v>3668</v>
      </c>
      <c r="F376" s="34" t="n">
        <f aca="false">IFERROR(VLOOKUP($A376,'319'!$B:$H,7,0),0)</f>
        <v>0</v>
      </c>
      <c r="G376" s="34" t="n">
        <f aca="false">SUMIFS('12.326ana'!$C:$C,'12.326ana'!$M:$M,redes!A376)</f>
        <v>0</v>
      </c>
    </row>
    <row r="377" customFormat="false" ht="14.4" hidden="true" customHeight="false" outlineLevel="0" collapsed="false">
      <c r="A377" s="34" t="n">
        <v>1559271167</v>
      </c>
      <c r="B377" s="34" t="s">
        <v>3669</v>
      </c>
      <c r="C377" s="34" t="s">
        <v>328</v>
      </c>
      <c r="E377" s="30" t="s">
        <v>3670</v>
      </c>
      <c r="F377" s="34" t="n">
        <f aca="false">IFERROR(VLOOKUP($A377,'319'!$B:$H,7,0),0)</f>
        <v>0</v>
      </c>
      <c r="G377" s="34" t="n">
        <f aca="false">SUMIFS('12.326ana'!$C:$C,'12.326ana'!$M:$M,redes!A377)</f>
        <v>0</v>
      </c>
    </row>
    <row r="378" customFormat="false" ht="14.4" hidden="true" customHeight="false" outlineLevel="0" collapsed="false">
      <c r="A378" s="34" t="n">
        <v>1562455150</v>
      </c>
      <c r="B378" s="34" t="s">
        <v>3671</v>
      </c>
      <c r="C378" s="34" t="s">
        <v>737</v>
      </c>
      <c r="E378" s="30" t="s">
        <v>3672</v>
      </c>
      <c r="F378" s="34" t="n">
        <f aca="false">IFERROR(VLOOKUP($A378,'319'!$B:$H,7,0),0)</f>
        <v>0</v>
      </c>
      <c r="G378" s="34" t="n">
        <f aca="false">SUMIFS('12.326ana'!$C:$C,'12.326ana'!$M:$M,redes!A378)</f>
        <v>0</v>
      </c>
    </row>
    <row r="379" customFormat="false" ht="14.4" hidden="true" customHeight="false" outlineLevel="0" collapsed="false">
      <c r="A379" s="34" t="n">
        <v>1563217180</v>
      </c>
      <c r="B379" s="34" t="s">
        <v>3673</v>
      </c>
      <c r="C379" s="34" t="s">
        <v>77</v>
      </c>
      <c r="E379" s="30" t="s">
        <v>3674</v>
      </c>
      <c r="F379" s="34" t="n">
        <f aca="false">IFERROR(VLOOKUP($A379,'319'!$B:$H,7,0),0)</f>
        <v>0</v>
      </c>
      <c r="G379" s="34" t="n">
        <f aca="false">SUMIFS('12.326ana'!$C:$C,'12.326ana'!$M:$M,redes!A379)</f>
        <v>0</v>
      </c>
    </row>
    <row r="380" customFormat="false" ht="14.4" hidden="true" customHeight="false" outlineLevel="0" collapsed="false">
      <c r="A380" s="34" t="n">
        <v>1563358832</v>
      </c>
      <c r="B380" s="34" t="s">
        <v>3675</v>
      </c>
      <c r="C380" s="34" t="s">
        <v>207</v>
      </c>
      <c r="E380" s="30" t="s">
        <v>3676</v>
      </c>
      <c r="F380" s="34" t="n">
        <f aca="false">IFERROR(VLOOKUP($A380,'319'!$B:$H,7,0),0)</f>
        <v>0</v>
      </c>
      <c r="G380" s="34" t="n">
        <f aca="false">SUMIFS('12.326ana'!$C:$C,'12.326ana'!$M:$M,redes!A380)</f>
        <v>0</v>
      </c>
    </row>
    <row r="381" customFormat="false" ht="14.4" hidden="true" customHeight="false" outlineLevel="0" collapsed="false">
      <c r="A381" s="34" t="n">
        <v>1564830179</v>
      </c>
      <c r="B381" s="34" t="s">
        <v>3677</v>
      </c>
      <c r="C381" s="34" t="s">
        <v>77</v>
      </c>
      <c r="E381" s="30" t="s">
        <v>3678</v>
      </c>
      <c r="F381" s="34" t="n">
        <f aca="false">IFERROR(VLOOKUP($A381,'319'!$B:$H,7,0),0)</f>
        <v>0</v>
      </c>
      <c r="G381" s="34" t="n">
        <f aca="false">SUMIFS('12.326ana'!$C:$C,'12.326ana'!$M:$M,redes!A381)</f>
        <v>0</v>
      </c>
    </row>
    <row r="382" customFormat="false" ht="14.4" hidden="true" customHeight="false" outlineLevel="0" collapsed="false">
      <c r="A382" s="34" t="n">
        <v>1567821111</v>
      </c>
      <c r="B382" s="34" t="s">
        <v>3679</v>
      </c>
      <c r="C382" s="34" t="s">
        <v>77</v>
      </c>
      <c r="E382" s="30" t="s">
        <v>3680</v>
      </c>
      <c r="F382" s="34" t="n">
        <f aca="false">IFERROR(VLOOKUP($A382,'319'!$B:$H,7,0),0)</f>
        <v>0</v>
      </c>
      <c r="G382" s="34" t="n">
        <f aca="false">SUMIFS('12.326ana'!$C:$C,'12.326ana'!$M:$M,redes!A382)</f>
        <v>0</v>
      </c>
    </row>
    <row r="383" customFormat="false" ht="14.4" hidden="true" customHeight="false" outlineLevel="0" collapsed="false">
      <c r="A383" s="34" t="n">
        <v>1571035958</v>
      </c>
      <c r="B383" s="34" t="s">
        <v>3681</v>
      </c>
      <c r="C383" s="34" t="s">
        <v>77</v>
      </c>
      <c r="E383" s="30"/>
      <c r="F383" s="34" t="n">
        <f aca="false">IFERROR(VLOOKUP($A383,'319'!$B:$H,7,0),0)</f>
        <v>0</v>
      </c>
      <c r="G383" s="34" t="n">
        <f aca="false">SUMIFS('12.326ana'!$C:$C,'12.326ana'!$M:$M,redes!A383)</f>
        <v>0</v>
      </c>
    </row>
    <row r="384" customFormat="false" ht="14.4" hidden="true" customHeight="false" outlineLevel="0" collapsed="false">
      <c r="A384" s="34" t="n">
        <v>1574059157</v>
      </c>
      <c r="B384" s="34" t="s">
        <v>3682</v>
      </c>
      <c r="C384" s="34" t="s">
        <v>77</v>
      </c>
      <c r="E384" s="30" t="s">
        <v>3683</v>
      </c>
      <c r="F384" s="34" t="n">
        <f aca="false">IFERROR(VLOOKUP($A384,'319'!$B:$H,7,0),0)</f>
        <v>0</v>
      </c>
      <c r="G384" s="34" t="n">
        <f aca="false">SUMIFS('12.326ana'!$C:$C,'12.326ana'!$M:$M,redes!A384)</f>
        <v>0</v>
      </c>
    </row>
    <row r="385" customFormat="false" ht="14.4" hidden="true" customHeight="false" outlineLevel="0" collapsed="false">
      <c r="A385" s="34" t="n">
        <v>1588374106</v>
      </c>
      <c r="B385" s="34" t="s">
        <v>3684</v>
      </c>
      <c r="C385" s="34" t="s">
        <v>475</v>
      </c>
      <c r="E385" s="30" t="s">
        <v>3685</v>
      </c>
      <c r="F385" s="34" t="n">
        <f aca="false">IFERROR(VLOOKUP($A385,'319'!$B:$H,7,0),0)</f>
        <v>0</v>
      </c>
      <c r="G385" s="34" t="n">
        <f aca="false">SUMIFS('12.326ana'!$C:$C,'12.326ana'!$M:$M,redes!A385)</f>
        <v>0</v>
      </c>
    </row>
    <row r="386" customFormat="false" ht="14.4" hidden="true" customHeight="false" outlineLevel="0" collapsed="false">
      <c r="A386" s="34" t="n">
        <v>1588509125</v>
      </c>
      <c r="B386" s="34" t="s">
        <v>3686</v>
      </c>
      <c r="C386" s="34" t="s">
        <v>107</v>
      </c>
      <c r="E386" s="30" t="s">
        <v>3314</v>
      </c>
      <c r="F386" s="34" t="n">
        <f aca="false">IFERROR(VLOOKUP($A386,'319'!$B:$H,7,0),0)</f>
        <v>0</v>
      </c>
      <c r="G386" s="34" t="n">
        <f aca="false">SUMIFS('12.326ana'!$C:$C,'12.326ana'!$M:$M,redes!A386)</f>
        <v>0</v>
      </c>
    </row>
    <row r="387" customFormat="false" ht="14.4" hidden="true" customHeight="false" outlineLevel="0" collapsed="false">
      <c r="A387" s="34" t="n">
        <v>1595910158</v>
      </c>
      <c r="B387" s="34" t="s">
        <v>3687</v>
      </c>
      <c r="C387" s="34" t="s">
        <v>77</v>
      </c>
      <c r="E387" s="30" t="s">
        <v>3688</v>
      </c>
      <c r="F387" s="34" t="n">
        <f aca="false">IFERROR(VLOOKUP($A387,'319'!$B:$H,7,0),0)</f>
        <v>0</v>
      </c>
      <c r="G387" s="34" t="n">
        <f aca="false">SUMIFS('12.326ana'!$C:$C,'12.326ana'!$M:$M,redes!A387)</f>
        <v>0</v>
      </c>
    </row>
    <row r="388" customFormat="false" ht="14.4" hidden="true" customHeight="false" outlineLevel="0" collapsed="false">
      <c r="A388" s="34" t="n">
        <v>1600672949</v>
      </c>
      <c r="B388" s="34" t="s">
        <v>3689</v>
      </c>
      <c r="C388" s="34" t="s">
        <v>357</v>
      </c>
      <c r="E388" s="30" t="s">
        <v>3690</v>
      </c>
      <c r="F388" s="34" t="n">
        <f aca="false">IFERROR(VLOOKUP($A388,'319'!$B:$H,7,0),0)</f>
        <v>0</v>
      </c>
      <c r="G388" s="34" t="n">
        <f aca="false">SUMIFS('12.326ana'!$C:$C,'12.326ana'!$M:$M,redes!A388)</f>
        <v>0</v>
      </c>
    </row>
    <row r="389" customFormat="false" ht="14.4" hidden="true" customHeight="false" outlineLevel="0" collapsed="false">
      <c r="A389" s="34" t="n">
        <v>1602991103</v>
      </c>
      <c r="B389" s="34" t="s">
        <v>3691</v>
      </c>
      <c r="C389" s="34" t="s">
        <v>77</v>
      </c>
      <c r="E389" s="30" t="s">
        <v>3692</v>
      </c>
      <c r="F389" s="34" t="n">
        <f aca="false">IFERROR(VLOOKUP($A389,'319'!$B:$H,7,0),0)</f>
        <v>0</v>
      </c>
      <c r="G389" s="34" t="n">
        <f aca="false">SUMIFS('12.326ana'!$C:$C,'12.326ana'!$M:$M,redes!A389)</f>
        <v>0</v>
      </c>
    </row>
    <row r="390" customFormat="false" ht="14.4" hidden="true" customHeight="false" outlineLevel="0" collapsed="false">
      <c r="A390" s="34" t="n">
        <v>1603822119</v>
      </c>
      <c r="B390" s="34" t="s">
        <v>3693</v>
      </c>
      <c r="C390" s="34" t="s">
        <v>77</v>
      </c>
      <c r="E390" s="30" t="s">
        <v>3694</v>
      </c>
      <c r="F390" s="34" t="n">
        <f aca="false">IFERROR(VLOOKUP($A390,'319'!$B:$H,7,0),0)</f>
        <v>0</v>
      </c>
      <c r="G390" s="34" t="n">
        <f aca="false">SUMIFS('12.326ana'!$C:$C,'12.326ana'!$M:$M,redes!A390)</f>
        <v>0</v>
      </c>
    </row>
    <row r="391" customFormat="false" ht="14.4" hidden="true" customHeight="false" outlineLevel="0" collapsed="false">
      <c r="A391" s="34" t="n">
        <v>1605582980</v>
      </c>
      <c r="B391" s="34" t="s">
        <v>3695</v>
      </c>
      <c r="C391" s="34" t="s">
        <v>77</v>
      </c>
      <c r="E391" s="30" t="s">
        <v>2986</v>
      </c>
      <c r="F391" s="34" t="n">
        <f aca="false">IFERROR(VLOOKUP($A391,'319'!$B:$H,7,0),0)</f>
        <v>0</v>
      </c>
      <c r="G391" s="34" t="n">
        <f aca="false">SUMIFS('12.326ana'!$C:$C,'12.326ana'!$M:$M,redes!A391)</f>
        <v>0</v>
      </c>
    </row>
    <row r="392" customFormat="false" ht="14.4" hidden="true" customHeight="false" outlineLevel="0" collapsed="false">
      <c r="A392" s="34" t="n">
        <v>1617033138</v>
      </c>
      <c r="B392" s="34" t="s">
        <v>3696</v>
      </c>
      <c r="C392" s="34" t="s">
        <v>77</v>
      </c>
      <c r="E392" s="30" t="s">
        <v>3697</v>
      </c>
      <c r="F392" s="34" t="n">
        <f aca="false">IFERROR(VLOOKUP($A392,'319'!$B:$H,7,0),0)</f>
        <v>0</v>
      </c>
      <c r="G392" s="34" t="n">
        <f aca="false">SUMIFS('12.326ana'!$C:$C,'12.326ana'!$M:$M,redes!A392)</f>
        <v>0</v>
      </c>
    </row>
    <row r="393" customFormat="false" ht="14.4" hidden="true" customHeight="false" outlineLevel="0" collapsed="false">
      <c r="A393" s="34" t="n">
        <v>1619513170</v>
      </c>
      <c r="B393" s="34" t="s">
        <v>3698</v>
      </c>
      <c r="C393" s="34" t="s">
        <v>77</v>
      </c>
      <c r="E393" s="30" t="s">
        <v>3699</v>
      </c>
      <c r="F393" s="34" t="n">
        <f aca="false">IFERROR(VLOOKUP($A393,'319'!$B:$H,7,0),0)</f>
        <v>0</v>
      </c>
      <c r="G393" s="34" t="n">
        <f aca="false">SUMIFS('12.326ana'!$C:$C,'12.326ana'!$M:$M,redes!A393)</f>
        <v>0</v>
      </c>
    </row>
    <row r="394" customFormat="false" ht="14.4" hidden="true" customHeight="false" outlineLevel="0" collapsed="false">
      <c r="A394" s="34" t="n">
        <v>1620820102</v>
      </c>
      <c r="B394" s="34" t="s">
        <v>3700</v>
      </c>
      <c r="C394" s="34" t="s">
        <v>77</v>
      </c>
      <c r="E394" s="30" t="s">
        <v>3701</v>
      </c>
      <c r="F394" s="34" t="n">
        <f aca="false">IFERROR(VLOOKUP($A394,'319'!$B:$H,7,0),0)</f>
        <v>0</v>
      </c>
      <c r="G394" s="34" t="n">
        <f aca="false">SUMIFS('12.326ana'!$C:$C,'12.326ana'!$M:$M,redes!A394)</f>
        <v>0</v>
      </c>
    </row>
    <row r="395" customFormat="false" ht="14.4" hidden="true" customHeight="false" outlineLevel="0" collapsed="false">
      <c r="A395" s="34" t="n">
        <v>1625401167</v>
      </c>
      <c r="B395" s="34" t="s">
        <v>3702</v>
      </c>
      <c r="C395" s="34" t="s">
        <v>77</v>
      </c>
      <c r="E395" s="30" t="s">
        <v>3703</v>
      </c>
      <c r="F395" s="34" t="n">
        <f aca="false">IFERROR(VLOOKUP($A395,'319'!$B:$H,7,0),0)</f>
        <v>0</v>
      </c>
      <c r="G395" s="34" t="n">
        <f aca="false">SUMIFS('12.326ana'!$C:$C,'12.326ana'!$M:$M,redes!A395)</f>
        <v>0</v>
      </c>
    </row>
    <row r="396" customFormat="false" ht="14.4" hidden="true" customHeight="false" outlineLevel="0" collapsed="false">
      <c r="A396" s="34" t="n">
        <v>1640812164</v>
      </c>
      <c r="B396" s="34" t="s">
        <v>3704</v>
      </c>
      <c r="C396" s="34" t="s">
        <v>89</v>
      </c>
      <c r="E396" s="30" t="s">
        <v>3705</v>
      </c>
      <c r="F396" s="34" t="n">
        <f aca="false">IFERROR(VLOOKUP($A396,'319'!$B:$H,7,0),0)</f>
        <v>0</v>
      </c>
      <c r="G396" s="34" t="n">
        <f aca="false">SUMIFS('12.326ana'!$C:$C,'12.326ana'!$M:$M,redes!A396)</f>
        <v>0</v>
      </c>
    </row>
    <row r="397" customFormat="false" ht="14.4" hidden="true" customHeight="false" outlineLevel="0" collapsed="false">
      <c r="A397" s="34" t="n">
        <v>1641173181</v>
      </c>
      <c r="B397" s="34" t="s">
        <v>3706</v>
      </c>
      <c r="C397" s="34" t="s">
        <v>77</v>
      </c>
      <c r="E397" s="30" t="s">
        <v>3706</v>
      </c>
      <c r="F397" s="34" t="n">
        <f aca="false">IFERROR(VLOOKUP($A397,'319'!$B:$H,7,0),0)</f>
        <v>0</v>
      </c>
      <c r="G397" s="34" t="n">
        <f aca="false">SUMIFS('12.326ana'!$C:$C,'12.326ana'!$M:$M,redes!A397)</f>
        <v>0</v>
      </c>
    </row>
    <row r="398" customFormat="false" ht="14.4" hidden="true" customHeight="false" outlineLevel="0" collapsed="false">
      <c r="A398" s="34" t="n">
        <v>1646390121</v>
      </c>
      <c r="B398" s="34" t="s">
        <v>3707</v>
      </c>
      <c r="C398" s="34" t="s">
        <v>77</v>
      </c>
      <c r="E398" s="30" t="s">
        <v>3708</v>
      </c>
      <c r="F398" s="34" t="n">
        <f aca="false">IFERROR(VLOOKUP($A398,'319'!$B:$H,7,0),0)</f>
        <v>0</v>
      </c>
      <c r="G398" s="34" t="n">
        <f aca="false">SUMIFS('12.326ana'!$C:$C,'12.326ana'!$M:$M,redes!A398)</f>
        <v>0</v>
      </c>
    </row>
    <row r="399" customFormat="false" ht="14.4" hidden="true" customHeight="false" outlineLevel="0" collapsed="false">
      <c r="A399" s="34" t="n">
        <v>1652904123</v>
      </c>
      <c r="B399" s="34" t="s">
        <v>3709</v>
      </c>
      <c r="C399" s="34" t="s">
        <v>77</v>
      </c>
      <c r="E399" s="30" t="s">
        <v>3710</v>
      </c>
      <c r="F399" s="34" t="n">
        <f aca="false">IFERROR(VLOOKUP($A399,'319'!$B:$H,7,0),0)</f>
        <v>0</v>
      </c>
      <c r="G399" s="34" t="n">
        <f aca="false">SUMIFS('12.326ana'!$C:$C,'12.326ana'!$M:$M,redes!A399)</f>
        <v>0</v>
      </c>
    </row>
    <row r="400" customFormat="false" ht="14.4" hidden="true" customHeight="false" outlineLevel="0" collapsed="false">
      <c r="A400" s="34" t="n">
        <v>1660970121</v>
      </c>
      <c r="B400" s="34" t="s">
        <v>3711</v>
      </c>
      <c r="C400" s="34" t="s">
        <v>77</v>
      </c>
      <c r="E400" s="30" t="s">
        <v>3712</v>
      </c>
      <c r="F400" s="34" t="n">
        <f aca="false">IFERROR(VLOOKUP($A400,'319'!$B:$H,7,0),0)</f>
        <v>0</v>
      </c>
      <c r="G400" s="34" t="n">
        <f aca="false">SUMIFS('12.326ana'!$C:$C,'12.326ana'!$M:$M,redes!A400)</f>
        <v>0</v>
      </c>
    </row>
    <row r="401" customFormat="false" ht="14.4" hidden="true" customHeight="false" outlineLevel="0" collapsed="false">
      <c r="A401" s="34" t="n">
        <v>1661090109</v>
      </c>
      <c r="B401" s="34" t="s">
        <v>3713</v>
      </c>
      <c r="C401" s="34" t="s">
        <v>89</v>
      </c>
      <c r="E401" s="30" t="s">
        <v>3714</v>
      </c>
      <c r="F401" s="34" t="n">
        <f aca="false">IFERROR(VLOOKUP($A401,'319'!$B:$H,7,0),0)</f>
        <v>0</v>
      </c>
      <c r="G401" s="34" t="n">
        <f aca="false">SUMIFS('12.326ana'!$C:$C,'12.326ana'!$M:$M,redes!A401)</f>
        <v>0</v>
      </c>
    </row>
    <row r="402" customFormat="false" ht="14.4" hidden="true" customHeight="false" outlineLevel="0" collapsed="false">
      <c r="A402" s="34" t="n">
        <v>1671667786</v>
      </c>
      <c r="B402" s="34" t="s">
        <v>3715</v>
      </c>
      <c r="C402" s="34" t="s">
        <v>77</v>
      </c>
      <c r="E402" s="30"/>
      <c r="F402" s="34" t="n">
        <f aca="false">IFERROR(VLOOKUP($A402,'319'!$B:$H,7,0),0)</f>
        <v>0</v>
      </c>
      <c r="G402" s="34" t="n">
        <f aca="false">SUMIFS('12.326ana'!$C:$C,'12.326ana'!$M:$M,redes!A402)</f>
        <v>0</v>
      </c>
    </row>
    <row r="403" customFormat="false" ht="14.4" hidden="true" customHeight="false" outlineLevel="0" collapsed="false">
      <c r="A403" s="34" t="n">
        <v>1695333101</v>
      </c>
      <c r="B403" s="34" t="s">
        <v>3716</v>
      </c>
      <c r="C403" s="34" t="s">
        <v>77</v>
      </c>
      <c r="E403" s="30" t="s">
        <v>3717</v>
      </c>
      <c r="F403" s="34" t="n">
        <f aca="false">IFERROR(VLOOKUP($A403,'319'!$B:$H,7,0),0)</f>
        <v>0</v>
      </c>
      <c r="G403" s="34" t="n">
        <f aca="false">SUMIFS('12.326ana'!$C:$C,'12.326ana'!$M:$M,redes!A403)</f>
        <v>0</v>
      </c>
    </row>
    <row r="404" customFormat="false" ht="14.4" hidden="true" customHeight="false" outlineLevel="0" collapsed="false">
      <c r="A404" s="34" t="n">
        <v>1707079110</v>
      </c>
      <c r="B404" s="34" t="s">
        <v>3718</v>
      </c>
      <c r="C404" s="34" t="s">
        <v>107</v>
      </c>
      <c r="E404" s="30" t="s">
        <v>3719</v>
      </c>
      <c r="F404" s="34" t="n">
        <f aca="false">IFERROR(VLOOKUP($A404,'319'!$B:$H,7,0),0)</f>
        <v>0</v>
      </c>
      <c r="G404" s="34" t="n">
        <f aca="false">SUMIFS('12.326ana'!$C:$C,'12.326ana'!$M:$M,redes!A404)</f>
        <v>0</v>
      </c>
    </row>
    <row r="405" customFormat="false" ht="14.4" hidden="true" customHeight="false" outlineLevel="0" collapsed="false">
      <c r="A405" s="34" t="n">
        <v>1710259116</v>
      </c>
      <c r="B405" s="34" t="s">
        <v>3720</v>
      </c>
      <c r="C405" s="34" t="s">
        <v>77</v>
      </c>
      <c r="E405" s="30" t="s">
        <v>3721</v>
      </c>
      <c r="F405" s="34" t="n">
        <f aca="false">IFERROR(VLOOKUP($A405,'319'!$B:$H,7,0),0)</f>
        <v>0</v>
      </c>
      <c r="G405" s="34" t="n">
        <f aca="false">SUMIFS('12.326ana'!$C:$C,'12.326ana'!$M:$M,redes!A405)</f>
        <v>0</v>
      </c>
    </row>
    <row r="406" customFormat="false" ht="14.4" hidden="true" customHeight="false" outlineLevel="0" collapsed="false">
      <c r="A406" s="34" t="n">
        <v>1721837159</v>
      </c>
      <c r="B406" s="34" t="s">
        <v>3722</v>
      </c>
      <c r="C406" s="34" t="s">
        <v>77</v>
      </c>
      <c r="E406" s="30" t="s">
        <v>3722</v>
      </c>
      <c r="F406" s="34" t="n">
        <f aca="false">IFERROR(VLOOKUP($A406,'319'!$B:$H,7,0),0)</f>
        <v>0</v>
      </c>
      <c r="G406" s="34" t="n">
        <f aca="false">SUMIFS('12.326ana'!$C:$C,'12.326ana'!$M:$M,redes!A406)</f>
        <v>0</v>
      </c>
    </row>
    <row r="407" customFormat="false" ht="14.4" hidden="true" customHeight="false" outlineLevel="0" collapsed="false">
      <c r="A407" s="34" t="n">
        <v>1721886109</v>
      </c>
      <c r="B407" s="34" t="s">
        <v>3723</v>
      </c>
      <c r="C407" s="34" t="s">
        <v>77</v>
      </c>
      <c r="E407" s="30" t="s">
        <v>3724</v>
      </c>
      <c r="F407" s="34" t="n">
        <f aca="false">IFERROR(VLOOKUP($A407,'319'!$B:$H,7,0),0)</f>
        <v>0</v>
      </c>
      <c r="G407" s="34" t="n">
        <f aca="false">SUMIFS('12.326ana'!$C:$C,'12.326ana'!$M:$M,redes!A407)</f>
        <v>0</v>
      </c>
    </row>
    <row r="408" customFormat="false" ht="14.4" hidden="true" customHeight="false" outlineLevel="0" collapsed="false">
      <c r="A408" s="34" t="n">
        <v>1728260124</v>
      </c>
      <c r="B408" s="34" t="s">
        <v>3725</v>
      </c>
      <c r="C408" s="34" t="s">
        <v>475</v>
      </c>
      <c r="E408" s="30" t="s">
        <v>3726</v>
      </c>
      <c r="F408" s="34" t="n">
        <f aca="false">IFERROR(VLOOKUP($A408,'319'!$B:$H,7,0),0)</f>
        <v>0</v>
      </c>
      <c r="G408" s="34" t="n">
        <f aca="false">SUMIFS('12.326ana'!$C:$C,'12.326ana'!$M:$M,redes!A408)</f>
        <v>0</v>
      </c>
    </row>
    <row r="409" customFormat="false" ht="14.4" hidden="true" customHeight="false" outlineLevel="0" collapsed="false">
      <c r="A409" s="34" t="n">
        <v>1741000190</v>
      </c>
      <c r="B409" s="34" t="s">
        <v>3727</v>
      </c>
      <c r="C409" s="34" t="s">
        <v>77</v>
      </c>
      <c r="E409" s="30" t="s">
        <v>3728</v>
      </c>
      <c r="F409" s="34" t="n">
        <f aca="false">IFERROR(VLOOKUP($A409,'319'!$B:$H,7,0),0)</f>
        <v>0</v>
      </c>
      <c r="G409" s="34" t="n">
        <f aca="false">SUMIFS('12.326ana'!$C:$C,'12.326ana'!$M:$M,redes!A409)</f>
        <v>0</v>
      </c>
    </row>
    <row r="410" customFormat="false" ht="14.4" hidden="true" customHeight="false" outlineLevel="0" collapsed="false">
      <c r="A410" s="34" t="n">
        <v>1743152108</v>
      </c>
      <c r="B410" s="34" t="s">
        <v>3729</v>
      </c>
      <c r="C410" s="34" t="s">
        <v>103</v>
      </c>
      <c r="E410" s="30" t="s">
        <v>3730</v>
      </c>
      <c r="F410" s="34" t="n">
        <f aca="false">IFERROR(VLOOKUP($A410,'319'!$B:$H,7,0),0)</f>
        <v>0</v>
      </c>
      <c r="G410" s="34" t="n">
        <f aca="false">SUMIFS('12.326ana'!$C:$C,'12.326ana'!$M:$M,redes!A410)</f>
        <v>0</v>
      </c>
    </row>
    <row r="411" customFormat="false" ht="14.4" hidden="true" customHeight="false" outlineLevel="0" collapsed="false">
      <c r="A411" s="34" t="n">
        <v>1752616103</v>
      </c>
      <c r="B411" s="34" t="s">
        <v>3731</v>
      </c>
      <c r="C411" s="34" t="s">
        <v>77</v>
      </c>
      <c r="E411" s="30" t="s">
        <v>3731</v>
      </c>
      <c r="F411" s="34" t="n">
        <f aca="false">IFERROR(VLOOKUP($A411,'319'!$B:$H,7,0),0)</f>
        <v>0</v>
      </c>
      <c r="G411" s="34" t="n">
        <f aca="false">SUMIFS('12.326ana'!$C:$C,'12.326ana'!$M:$M,redes!A411)</f>
        <v>0</v>
      </c>
    </row>
    <row r="412" customFormat="false" ht="14.4" hidden="true" customHeight="false" outlineLevel="0" collapsed="false">
      <c r="A412" s="34" t="n">
        <v>1752858107</v>
      </c>
      <c r="B412" s="34" t="s">
        <v>3732</v>
      </c>
      <c r="C412" s="34" t="s">
        <v>107</v>
      </c>
      <c r="E412" s="30" t="s">
        <v>3733</v>
      </c>
      <c r="F412" s="34" t="n">
        <f aca="false">IFERROR(VLOOKUP($A412,'319'!$B:$H,7,0),0)</f>
        <v>0</v>
      </c>
      <c r="G412" s="34" t="n">
        <f aca="false">SUMIFS('12.326ana'!$C:$C,'12.326ana'!$M:$M,redes!A412)</f>
        <v>0</v>
      </c>
    </row>
    <row r="413" customFormat="false" ht="14.4" hidden="true" customHeight="false" outlineLevel="0" collapsed="false">
      <c r="A413" s="34" t="n">
        <v>1759753882</v>
      </c>
      <c r="B413" s="34" t="s">
        <v>3734</v>
      </c>
      <c r="C413" s="34" t="s">
        <v>77</v>
      </c>
      <c r="E413" s="30"/>
      <c r="F413" s="34" t="n">
        <f aca="false">IFERROR(VLOOKUP($A413,'319'!$B:$H,7,0),0)</f>
        <v>0</v>
      </c>
      <c r="G413" s="34" t="n">
        <f aca="false">SUMIFS('12.326ana'!$C:$C,'12.326ana'!$M:$M,redes!A413)</f>
        <v>0</v>
      </c>
    </row>
    <row r="414" customFormat="false" ht="14.4" hidden="true" customHeight="false" outlineLevel="0" collapsed="false">
      <c r="A414" s="34" t="n">
        <v>1759759813</v>
      </c>
      <c r="B414" s="34" t="s">
        <v>3735</v>
      </c>
      <c r="C414" s="34" t="s">
        <v>464</v>
      </c>
      <c r="E414" s="30" t="s">
        <v>3736</v>
      </c>
      <c r="F414" s="34" t="n">
        <f aca="false">IFERROR(VLOOKUP($A414,'319'!$B:$H,7,0),0)</f>
        <v>0</v>
      </c>
      <c r="G414" s="34" t="n">
        <f aca="false">SUMIFS('12.326ana'!$C:$C,'12.326ana'!$M:$M,redes!A414)</f>
        <v>0</v>
      </c>
    </row>
    <row r="415" customFormat="false" ht="14.4" hidden="true" customHeight="false" outlineLevel="0" collapsed="false">
      <c r="A415" s="34" t="n">
        <v>1765253195</v>
      </c>
      <c r="B415" s="34" t="s">
        <v>3737</v>
      </c>
      <c r="C415" s="34" t="s">
        <v>77</v>
      </c>
      <c r="E415" s="30" t="s">
        <v>3738</v>
      </c>
      <c r="F415" s="34" t="n">
        <f aca="false">IFERROR(VLOOKUP($A415,'319'!$B:$H,7,0),0)</f>
        <v>0</v>
      </c>
      <c r="G415" s="34" t="n">
        <f aca="false">SUMIFS('12.326ana'!$C:$C,'12.326ana'!$M:$M,redes!A415)</f>
        <v>0</v>
      </c>
    </row>
    <row r="416" customFormat="false" ht="14.4" hidden="true" customHeight="false" outlineLevel="0" collapsed="false">
      <c r="A416" s="34" t="n">
        <v>1769449825</v>
      </c>
      <c r="B416" s="34" t="s">
        <v>3739</v>
      </c>
      <c r="C416" s="34" t="s">
        <v>77</v>
      </c>
      <c r="E416" s="30" t="s">
        <v>3740</v>
      </c>
      <c r="F416" s="34" t="n">
        <f aca="false">IFERROR(VLOOKUP($A416,'319'!$B:$H,7,0),0)</f>
        <v>0</v>
      </c>
      <c r="G416" s="34" t="n">
        <f aca="false">SUMIFS('12.326ana'!$C:$C,'12.326ana'!$M:$M,redes!A416)</f>
        <v>0</v>
      </c>
    </row>
    <row r="417" customFormat="false" ht="14.4" hidden="true" customHeight="false" outlineLevel="0" collapsed="false">
      <c r="A417" s="34" t="n">
        <v>1771648163</v>
      </c>
      <c r="B417" s="34" t="s">
        <v>3741</v>
      </c>
      <c r="C417" s="34" t="s">
        <v>77</v>
      </c>
      <c r="E417" s="30" t="s">
        <v>3742</v>
      </c>
      <c r="F417" s="34" t="n">
        <f aca="false">IFERROR(VLOOKUP($A417,'319'!$B:$H,7,0),0)</f>
        <v>0</v>
      </c>
      <c r="G417" s="34" t="n">
        <f aca="false">SUMIFS('12.326ana'!$C:$C,'12.326ana'!$M:$M,redes!A417)</f>
        <v>0</v>
      </c>
    </row>
    <row r="418" customFormat="false" ht="14.4" hidden="true" customHeight="false" outlineLevel="0" collapsed="false">
      <c r="A418" s="34" t="n">
        <v>1780020112</v>
      </c>
      <c r="B418" s="34" t="s">
        <v>3743</v>
      </c>
      <c r="C418" s="34" t="s">
        <v>77</v>
      </c>
      <c r="E418" s="30" t="s">
        <v>3744</v>
      </c>
      <c r="F418" s="34" t="n">
        <f aca="false">IFERROR(VLOOKUP($A418,'319'!$B:$H,7,0),0)</f>
        <v>0</v>
      </c>
      <c r="G418" s="34" t="n">
        <f aca="false">SUMIFS('12.326ana'!$C:$C,'12.326ana'!$M:$M,redes!A418)</f>
        <v>0</v>
      </c>
    </row>
    <row r="419" customFormat="false" ht="14.4" hidden="true" customHeight="false" outlineLevel="0" collapsed="false">
      <c r="A419" s="34" t="n">
        <v>1781044856</v>
      </c>
      <c r="B419" s="34" t="s">
        <v>3745</v>
      </c>
      <c r="C419" s="34" t="s">
        <v>77</v>
      </c>
      <c r="E419" s="30" t="s">
        <v>3746</v>
      </c>
      <c r="F419" s="34" t="n">
        <f aca="false">IFERROR(VLOOKUP($A419,'319'!$B:$H,7,0),0)</f>
        <v>0</v>
      </c>
      <c r="G419" s="34" t="n">
        <f aca="false">SUMIFS('12.326ana'!$C:$C,'12.326ana'!$M:$M,redes!A419)</f>
        <v>0</v>
      </c>
    </row>
    <row r="420" customFormat="false" ht="14.4" hidden="true" customHeight="false" outlineLevel="0" collapsed="false">
      <c r="A420" s="34" t="n">
        <v>1784657808</v>
      </c>
      <c r="B420" s="34" t="s">
        <v>3747</v>
      </c>
      <c r="C420" s="34" t="s">
        <v>77</v>
      </c>
      <c r="E420" s="30" t="s">
        <v>3748</v>
      </c>
      <c r="F420" s="34" t="n">
        <f aca="false">IFERROR(VLOOKUP($A420,'319'!$B:$H,7,0),0)</f>
        <v>0</v>
      </c>
      <c r="G420" s="34" t="n">
        <f aca="false">SUMIFS('12.326ana'!$C:$C,'12.326ana'!$M:$M,redes!A420)</f>
        <v>0</v>
      </c>
    </row>
    <row r="421" customFormat="false" ht="14.4" hidden="true" customHeight="false" outlineLevel="0" collapsed="false">
      <c r="A421" s="34" t="n">
        <v>1787657167</v>
      </c>
      <c r="B421" s="34" t="s">
        <v>3749</v>
      </c>
      <c r="C421" s="34" t="s">
        <v>77</v>
      </c>
      <c r="E421" s="30" t="s">
        <v>3750</v>
      </c>
      <c r="F421" s="34" t="n">
        <f aca="false">IFERROR(VLOOKUP($A421,'319'!$B:$H,7,0),0)</f>
        <v>0</v>
      </c>
      <c r="G421" s="34" t="n">
        <f aca="false">SUMIFS('12.326ana'!$C:$C,'12.326ana'!$M:$M,redes!A421)</f>
        <v>0</v>
      </c>
    </row>
    <row r="422" customFormat="false" ht="14.4" hidden="true" customHeight="false" outlineLevel="0" collapsed="false">
      <c r="A422" s="34" t="n">
        <v>1792622112</v>
      </c>
      <c r="B422" s="34" t="s">
        <v>3751</v>
      </c>
      <c r="C422" s="34" t="s">
        <v>77</v>
      </c>
      <c r="E422" s="30" t="s">
        <v>3752</v>
      </c>
      <c r="F422" s="34" t="n">
        <f aca="false">IFERROR(VLOOKUP($A422,'319'!$B:$H,7,0),0)</f>
        <v>0</v>
      </c>
      <c r="G422" s="34" t="n">
        <f aca="false">SUMIFS('12.326ana'!$C:$C,'12.326ana'!$M:$M,redes!A422)</f>
        <v>0</v>
      </c>
    </row>
    <row r="423" customFormat="false" ht="14.4" hidden="true" customHeight="false" outlineLevel="0" collapsed="false">
      <c r="A423" s="34" t="n">
        <v>1798414163</v>
      </c>
      <c r="B423" s="34" t="s">
        <v>3753</v>
      </c>
      <c r="C423" s="34" t="s">
        <v>77</v>
      </c>
      <c r="E423" s="30" t="s">
        <v>3754</v>
      </c>
      <c r="F423" s="34" t="n">
        <f aca="false">IFERROR(VLOOKUP($A423,'319'!$B:$H,7,0),0)</f>
        <v>0</v>
      </c>
      <c r="G423" s="34" t="n">
        <f aca="false">SUMIFS('12.326ana'!$C:$C,'12.326ana'!$M:$M,redes!A423)</f>
        <v>0</v>
      </c>
    </row>
    <row r="424" customFormat="false" ht="14.4" hidden="true" customHeight="false" outlineLevel="0" collapsed="false">
      <c r="A424" s="34" t="n">
        <v>1798777126</v>
      </c>
      <c r="B424" s="34" t="s">
        <v>3755</v>
      </c>
      <c r="C424" s="34" t="s">
        <v>77</v>
      </c>
      <c r="E424" s="30" t="s">
        <v>3756</v>
      </c>
      <c r="F424" s="34" t="n">
        <f aca="false">IFERROR(VLOOKUP($A424,'319'!$B:$H,7,0),0)</f>
        <v>0</v>
      </c>
      <c r="G424" s="34" t="n">
        <f aca="false">SUMIFS('12.326ana'!$C:$C,'12.326ana'!$M:$M,redes!A424)</f>
        <v>0</v>
      </c>
    </row>
    <row r="425" customFormat="false" ht="14.4" hidden="true" customHeight="false" outlineLevel="0" collapsed="false">
      <c r="A425" s="34" t="n">
        <v>1799795900</v>
      </c>
      <c r="B425" s="34" t="s">
        <v>3757</v>
      </c>
      <c r="C425" s="34" t="s">
        <v>77</v>
      </c>
      <c r="E425" s="30" t="s">
        <v>3758</v>
      </c>
      <c r="F425" s="34" t="n">
        <f aca="false">IFERROR(VLOOKUP($A425,'319'!$B:$H,7,0),0)</f>
        <v>0</v>
      </c>
      <c r="G425" s="34" t="n">
        <f aca="false">SUMIFS('12.326ana'!$C:$C,'12.326ana'!$M:$M,redes!A425)</f>
        <v>0</v>
      </c>
    </row>
    <row r="426" customFormat="false" ht="14.4" hidden="true" customHeight="false" outlineLevel="0" collapsed="false">
      <c r="A426" s="34" t="n">
        <v>1803496193</v>
      </c>
      <c r="B426" s="34" t="s">
        <v>3759</v>
      </c>
      <c r="C426" s="34" t="s">
        <v>77</v>
      </c>
      <c r="E426" s="30" t="s">
        <v>3666</v>
      </c>
      <c r="F426" s="34" t="n">
        <f aca="false">IFERROR(VLOOKUP($A426,'319'!$B:$H,7,0),0)</f>
        <v>0</v>
      </c>
      <c r="G426" s="34" t="n">
        <f aca="false">SUMIFS('12.326ana'!$C:$C,'12.326ana'!$M:$M,redes!A426)</f>
        <v>0</v>
      </c>
    </row>
    <row r="427" customFormat="false" ht="14.4" hidden="true" customHeight="false" outlineLevel="0" collapsed="false">
      <c r="A427" s="34" t="n">
        <v>1805728148</v>
      </c>
      <c r="B427" s="34" t="s">
        <v>3760</v>
      </c>
      <c r="C427" s="34" t="s">
        <v>139</v>
      </c>
      <c r="E427" s="30" t="s">
        <v>3761</v>
      </c>
      <c r="F427" s="34" t="n">
        <f aca="false">IFERROR(VLOOKUP($A427,'319'!$B:$H,7,0),0)</f>
        <v>0</v>
      </c>
      <c r="G427" s="34" t="n">
        <f aca="false">SUMIFS('12.326ana'!$C:$C,'12.326ana'!$M:$M,redes!A427)</f>
        <v>0</v>
      </c>
    </row>
    <row r="428" customFormat="false" ht="14.4" hidden="true" customHeight="false" outlineLevel="0" collapsed="false">
      <c r="A428" s="34" t="n">
        <v>1813103178</v>
      </c>
      <c r="B428" s="34" t="s">
        <v>3762</v>
      </c>
      <c r="C428" s="34" t="s">
        <v>475</v>
      </c>
      <c r="E428" s="30" t="s">
        <v>3763</v>
      </c>
      <c r="F428" s="34" t="n">
        <f aca="false">IFERROR(VLOOKUP($A428,'319'!$B:$H,7,0),0)</f>
        <v>0</v>
      </c>
      <c r="G428" s="34" t="n">
        <f aca="false">SUMIFS('12.326ana'!$C:$C,'12.326ana'!$M:$M,redes!A428)</f>
        <v>0</v>
      </c>
    </row>
    <row r="429" customFormat="false" ht="14.4" hidden="true" customHeight="false" outlineLevel="0" collapsed="false">
      <c r="A429" s="34" t="n">
        <v>1815737174</v>
      </c>
      <c r="B429" s="34" t="s">
        <v>3764</v>
      </c>
      <c r="C429" s="34" t="s">
        <v>77</v>
      </c>
      <c r="E429" s="30" t="s">
        <v>3765</v>
      </c>
      <c r="F429" s="34" t="n">
        <f aca="false">IFERROR(VLOOKUP($A429,'319'!$B:$H,7,0),0)</f>
        <v>0</v>
      </c>
      <c r="G429" s="34" t="n">
        <f aca="false">SUMIFS('12.326ana'!$C:$C,'12.326ana'!$M:$M,redes!A429)</f>
        <v>0</v>
      </c>
    </row>
    <row r="430" customFormat="false" ht="14.4" hidden="true" customHeight="false" outlineLevel="0" collapsed="false">
      <c r="A430" s="34" t="n">
        <v>1818612160</v>
      </c>
      <c r="B430" s="34" t="s">
        <v>3766</v>
      </c>
      <c r="C430" s="34" t="s">
        <v>77</v>
      </c>
      <c r="E430" s="30" t="s">
        <v>3767</v>
      </c>
      <c r="F430" s="34" t="n">
        <f aca="false">IFERROR(VLOOKUP($A430,'319'!$B:$H,7,0),0)</f>
        <v>0</v>
      </c>
      <c r="G430" s="34" t="n">
        <f aca="false">SUMIFS('12.326ana'!$C:$C,'12.326ana'!$M:$M,redes!A430)</f>
        <v>0</v>
      </c>
    </row>
    <row r="431" customFormat="false" ht="14.4" hidden="true" customHeight="false" outlineLevel="0" collapsed="false">
      <c r="A431" s="34" t="n">
        <v>1820757102</v>
      </c>
      <c r="B431" s="34" t="s">
        <v>3768</v>
      </c>
      <c r="C431" s="34" t="s">
        <v>77</v>
      </c>
      <c r="E431" s="30" t="s">
        <v>3768</v>
      </c>
      <c r="F431" s="34" t="n">
        <f aca="false">IFERROR(VLOOKUP($A431,'319'!$B:$H,7,0),0)</f>
        <v>0</v>
      </c>
      <c r="G431" s="34" t="n">
        <f aca="false">SUMIFS('12.326ana'!$C:$C,'12.326ana'!$M:$M,redes!A431)</f>
        <v>0</v>
      </c>
    </row>
    <row r="432" customFormat="false" ht="14.4" hidden="true" customHeight="false" outlineLevel="0" collapsed="false">
      <c r="A432" s="34" t="n">
        <v>1825262160</v>
      </c>
      <c r="B432" s="34" t="s">
        <v>3769</v>
      </c>
      <c r="C432" s="34" t="s">
        <v>117</v>
      </c>
      <c r="E432" s="30" t="s">
        <v>3770</v>
      </c>
      <c r="F432" s="34" t="n">
        <f aca="false">IFERROR(VLOOKUP($A432,'319'!$B:$H,7,0),0)</f>
        <v>0</v>
      </c>
      <c r="G432" s="34" t="n">
        <f aca="false">SUMIFS('12.326ana'!$C:$C,'12.326ana'!$M:$M,redes!A432)</f>
        <v>0</v>
      </c>
    </row>
    <row r="433" customFormat="false" ht="14.4" hidden="true" customHeight="false" outlineLevel="0" collapsed="false">
      <c r="A433" s="34" t="n">
        <v>1832302130</v>
      </c>
      <c r="B433" s="34" t="s">
        <v>3771</v>
      </c>
      <c r="C433" s="34" t="s">
        <v>77</v>
      </c>
      <c r="E433" s="30" t="s">
        <v>3772</v>
      </c>
      <c r="F433" s="34" t="n">
        <f aca="false">IFERROR(VLOOKUP($A433,'319'!$B:$H,7,0),0)</f>
        <v>0</v>
      </c>
      <c r="G433" s="34" t="n">
        <f aca="false">SUMIFS('12.326ana'!$C:$C,'12.326ana'!$M:$M,redes!A433)</f>
        <v>0</v>
      </c>
    </row>
    <row r="434" customFormat="false" ht="14.4" hidden="true" customHeight="false" outlineLevel="0" collapsed="false">
      <c r="A434" s="34" t="n">
        <v>1846254167</v>
      </c>
      <c r="B434" s="34" t="s">
        <v>3773</v>
      </c>
      <c r="C434" s="34" t="s">
        <v>463</v>
      </c>
      <c r="E434" s="30" t="s">
        <v>3774</v>
      </c>
      <c r="F434" s="34" t="n">
        <f aca="false">IFERROR(VLOOKUP($A434,'319'!$B:$H,7,0),0)</f>
        <v>0</v>
      </c>
      <c r="G434" s="34" t="n">
        <f aca="false">SUMIFS('12.326ana'!$C:$C,'12.326ana'!$M:$M,redes!A434)</f>
        <v>0</v>
      </c>
    </row>
    <row r="435" customFormat="false" ht="14.4" hidden="true" customHeight="false" outlineLevel="0" collapsed="false">
      <c r="A435" s="34" t="n">
        <v>1858829194</v>
      </c>
      <c r="B435" s="34" t="s">
        <v>3775</v>
      </c>
      <c r="C435" s="34" t="s">
        <v>77</v>
      </c>
      <c r="E435" s="30"/>
      <c r="F435" s="34" t="n">
        <f aca="false">IFERROR(VLOOKUP($A435,'319'!$B:$H,7,0),0)</f>
        <v>0</v>
      </c>
      <c r="G435" s="34" t="n">
        <f aca="false">SUMIFS('12.326ana'!$C:$C,'12.326ana'!$M:$M,redes!A435)</f>
        <v>0</v>
      </c>
    </row>
    <row r="436" customFormat="false" ht="14.4" hidden="true" customHeight="false" outlineLevel="0" collapsed="false">
      <c r="A436" s="34" t="n">
        <v>1865697184</v>
      </c>
      <c r="B436" s="34" t="s">
        <v>3776</v>
      </c>
      <c r="C436" s="34" t="s">
        <v>979</v>
      </c>
      <c r="E436" s="30" t="s">
        <v>3777</v>
      </c>
      <c r="F436" s="34" t="n">
        <f aca="false">IFERROR(VLOOKUP($A436,'319'!$B:$H,7,0),0)</f>
        <v>0</v>
      </c>
      <c r="G436" s="34" t="n">
        <f aca="false">SUMIFS('12.326ana'!$C:$C,'12.326ana'!$M:$M,redes!A436)</f>
        <v>0</v>
      </c>
    </row>
    <row r="437" customFormat="false" ht="14.4" hidden="true" customHeight="false" outlineLevel="0" collapsed="false">
      <c r="A437" s="34" t="n">
        <v>1865898163</v>
      </c>
      <c r="B437" s="34" t="s">
        <v>3778</v>
      </c>
      <c r="C437" s="34" t="s">
        <v>77</v>
      </c>
      <c r="E437" s="30" t="s">
        <v>3779</v>
      </c>
      <c r="F437" s="34" t="n">
        <f aca="false">IFERROR(VLOOKUP($A437,'319'!$B:$H,7,0),0)</f>
        <v>0</v>
      </c>
      <c r="G437" s="34" t="n">
        <f aca="false">SUMIFS('12.326ana'!$C:$C,'12.326ana'!$M:$M,redes!A437)</f>
        <v>0</v>
      </c>
    </row>
    <row r="438" customFormat="false" ht="14.4" hidden="true" customHeight="false" outlineLevel="0" collapsed="false">
      <c r="A438" s="34" t="n">
        <v>1867165910</v>
      </c>
      <c r="B438" s="34" t="s">
        <v>3780</v>
      </c>
      <c r="C438" s="34" t="s">
        <v>77</v>
      </c>
      <c r="E438" s="30" t="s">
        <v>3781</v>
      </c>
      <c r="F438" s="34" t="n">
        <f aca="false">IFERROR(VLOOKUP($A438,'319'!$B:$H,7,0),0)</f>
        <v>0</v>
      </c>
      <c r="G438" s="34" t="n">
        <f aca="false">SUMIFS('12.326ana'!$C:$C,'12.326ana'!$M:$M,redes!A438)</f>
        <v>0</v>
      </c>
    </row>
    <row r="439" customFormat="false" ht="14.4" hidden="true" customHeight="false" outlineLevel="0" collapsed="false">
      <c r="A439" s="34" t="n">
        <v>1872964133</v>
      </c>
      <c r="B439" s="34" t="s">
        <v>3782</v>
      </c>
      <c r="C439" s="34" t="s">
        <v>309</v>
      </c>
      <c r="E439" s="30" t="s">
        <v>3783</v>
      </c>
      <c r="F439" s="34" t="n">
        <f aca="false">IFERROR(VLOOKUP($A439,'319'!$B:$H,7,0),0)</f>
        <v>0</v>
      </c>
      <c r="G439" s="34" t="n">
        <f aca="false">SUMIFS('12.326ana'!$C:$C,'12.326ana'!$M:$M,redes!A439)</f>
        <v>0</v>
      </c>
    </row>
    <row r="440" customFormat="false" ht="14.4" hidden="true" customHeight="false" outlineLevel="0" collapsed="false">
      <c r="A440" s="34" t="n">
        <v>1875661190</v>
      </c>
      <c r="B440" s="34" t="s">
        <v>3784</v>
      </c>
      <c r="C440" s="34" t="s">
        <v>77</v>
      </c>
      <c r="E440" s="30" t="s">
        <v>3785</v>
      </c>
      <c r="F440" s="34" t="n">
        <f aca="false">IFERROR(VLOOKUP($A440,'319'!$B:$H,7,0),0)</f>
        <v>0</v>
      </c>
      <c r="G440" s="34" t="n">
        <f aca="false">SUMIFS('12.326ana'!$C:$C,'12.326ana'!$M:$M,redes!A440)</f>
        <v>0</v>
      </c>
    </row>
    <row r="441" customFormat="false" ht="14.4" hidden="true" customHeight="false" outlineLevel="0" collapsed="false">
      <c r="A441" s="34" t="n">
        <v>1876567112</v>
      </c>
      <c r="B441" s="34" t="s">
        <v>3786</v>
      </c>
      <c r="C441" s="34" t="s">
        <v>77</v>
      </c>
      <c r="E441" s="30" t="s">
        <v>3786</v>
      </c>
      <c r="F441" s="34" t="n">
        <f aca="false">IFERROR(VLOOKUP($A441,'319'!$B:$H,7,0),0)</f>
        <v>0</v>
      </c>
      <c r="G441" s="34" t="n">
        <f aca="false">SUMIFS('12.326ana'!$C:$C,'12.326ana'!$M:$M,redes!A441)</f>
        <v>0</v>
      </c>
    </row>
    <row r="442" customFormat="false" ht="14.4" hidden="true" customHeight="false" outlineLevel="0" collapsed="false">
      <c r="A442" s="34" t="n">
        <v>1883942144</v>
      </c>
      <c r="B442" s="34" t="s">
        <v>3787</v>
      </c>
      <c r="C442" s="34" t="s">
        <v>77</v>
      </c>
      <c r="E442" s="30" t="s">
        <v>3788</v>
      </c>
      <c r="F442" s="34" t="n">
        <f aca="false">IFERROR(VLOOKUP($A442,'319'!$B:$H,7,0),0)</f>
        <v>0</v>
      </c>
      <c r="G442" s="34" t="n">
        <f aca="false">SUMIFS('12.326ana'!$C:$C,'12.326ana'!$M:$M,redes!A442)</f>
        <v>0</v>
      </c>
    </row>
    <row r="443" customFormat="false" ht="14.4" hidden="true" customHeight="false" outlineLevel="0" collapsed="false">
      <c r="A443" s="34" t="n">
        <v>1896662188</v>
      </c>
      <c r="B443" s="34" t="s">
        <v>3789</v>
      </c>
      <c r="C443" s="34" t="s">
        <v>565</v>
      </c>
      <c r="E443" s="30" t="s">
        <v>3790</v>
      </c>
      <c r="F443" s="34" t="n">
        <f aca="false">IFERROR(VLOOKUP($A443,'319'!$B:$H,7,0),0)</f>
        <v>0</v>
      </c>
      <c r="G443" s="34" t="n">
        <f aca="false">SUMIFS('12.326ana'!$C:$C,'12.326ana'!$M:$M,redes!A443)</f>
        <v>0</v>
      </c>
    </row>
    <row r="444" customFormat="false" ht="14.4" hidden="true" customHeight="false" outlineLevel="0" collapsed="false">
      <c r="A444" s="34" t="n">
        <v>1907530215</v>
      </c>
      <c r="B444" s="34" t="s">
        <v>3791</v>
      </c>
      <c r="C444" s="34" t="s">
        <v>77</v>
      </c>
      <c r="E444" s="30" t="s">
        <v>3792</v>
      </c>
      <c r="F444" s="34" t="n">
        <f aca="false">IFERROR(VLOOKUP($A444,'319'!$B:$H,7,0),0)</f>
        <v>0</v>
      </c>
      <c r="G444" s="34" t="n">
        <f aca="false">SUMIFS('12.326ana'!$C:$C,'12.326ana'!$M:$M,redes!A444)</f>
        <v>0</v>
      </c>
    </row>
    <row r="445" customFormat="false" ht="14.4" hidden="true" customHeight="false" outlineLevel="0" collapsed="false">
      <c r="A445" s="34" t="n">
        <v>1911986171</v>
      </c>
      <c r="B445" s="34" t="s">
        <v>3793</v>
      </c>
      <c r="C445" s="34" t="s">
        <v>127</v>
      </c>
      <c r="E445" s="30" t="s">
        <v>3794</v>
      </c>
      <c r="F445" s="34" t="n">
        <f aca="false">IFERROR(VLOOKUP($A445,'319'!$B:$H,7,0),0)</f>
        <v>0</v>
      </c>
      <c r="G445" s="34" t="n">
        <f aca="false">SUMIFS('12.326ana'!$C:$C,'12.326ana'!$M:$M,redes!A445)</f>
        <v>0</v>
      </c>
    </row>
    <row r="446" customFormat="false" ht="14.4" hidden="true" customHeight="false" outlineLevel="0" collapsed="false">
      <c r="A446" s="34" t="n">
        <v>1974826198</v>
      </c>
      <c r="B446" s="34" t="s">
        <v>3795</v>
      </c>
      <c r="C446" s="34" t="s">
        <v>77</v>
      </c>
      <c r="E446" s="30" t="s">
        <v>3796</v>
      </c>
      <c r="F446" s="34" t="n">
        <f aca="false">IFERROR(VLOOKUP($A446,'319'!$B:$H,7,0),0)</f>
        <v>0</v>
      </c>
      <c r="G446" s="34" t="n">
        <f aca="false">SUMIFS('12.326ana'!$C:$C,'12.326ana'!$M:$M,redes!A446)</f>
        <v>0</v>
      </c>
    </row>
    <row r="447" customFormat="false" ht="14.4" hidden="true" customHeight="false" outlineLevel="0" collapsed="false">
      <c r="A447" s="34" t="n">
        <v>1978744951</v>
      </c>
      <c r="B447" s="34" t="s">
        <v>3797</v>
      </c>
      <c r="C447" s="34" t="s">
        <v>77</v>
      </c>
      <c r="E447" s="30" t="s">
        <v>3798</v>
      </c>
      <c r="F447" s="34" t="n">
        <f aca="false">IFERROR(VLOOKUP($A447,'319'!$B:$H,7,0),0)</f>
        <v>0</v>
      </c>
      <c r="G447" s="34" t="n">
        <f aca="false">SUMIFS('12.326ana'!$C:$C,'12.326ana'!$M:$M,redes!A447)</f>
        <v>0</v>
      </c>
    </row>
    <row r="448" customFormat="false" ht="14.4" hidden="true" customHeight="false" outlineLevel="0" collapsed="false">
      <c r="A448" s="34" t="n">
        <v>1987440137</v>
      </c>
      <c r="B448" s="34" t="s">
        <v>3799</v>
      </c>
      <c r="C448" s="34" t="s">
        <v>107</v>
      </c>
      <c r="E448" s="30" t="s">
        <v>3800</v>
      </c>
      <c r="F448" s="34" t="n">
        <f aca="false">IFERROR(VLOOKUP($A448,'319'!$B:$H,7,0),0)</f>
        <v>0</v>
      </c>
      <c r="G448" s="34" t="n">
        <f aca="false">SUMIFS('12.326ana'!$C:$C,'12.326ana'!$M:$M,redes!A448)</f>
        <v>0</v>
      </c>
    </row>
    <row r="449" customFormat="false" ht="14.4" hidden="true" customHeight="false" outlineLevel="0" collapsed="false">
      <c r="A449" s="34" t="n">
        <v>1987446178</v>
      </c>
      <c r="B449" s="34" t="s">
        <v>3801</v>
      </c>
      <c r="C449" s="34" t="s">
        <v>565</v>
      </c>
      <c r="E449" s="30" t="s">
        <v>3802</v>
      </c>
      <c r="F449" s="34" t="n">
        <f aca="false">IFERROR(VLOOKUP($A449,'319'!$B:$H,7,0),0)</f>
        <v>0</v>
      </c>
      <c r="G449" s="34" t="n">
        <f aca="false">SUMIFS('12.326ana'!$C:$C,'12.326ana'!$M:$M,redes!A449)</f>
        <v>0</v>
      </c>
    </row>
    <row r="450" customFormat="false" ht="14.4" hidden="true" customHeight="false" outlineLevel="0" collapsed="false">
      <c r="A450" s="34" t="n">
        <v>1991227175</v>
      </c>
      <c r="B450" s="34" t="s">
        <v>3803</v>
      </c>
      <c r="C450" s="34" t="s">
        <v>77</v>
      </c>
      <c r="E450" s="30" t="s">
        <v>3803</v>
      </c>
      <c r="F450" s="34" t="n">
        <f aca="false">IFERROR(VLOOKUP($A450,'319'!$B:$H,7,0),0)</f>
        <v>0</v>
      </c>
      <c r="G450" s="34" t="n">
        <f aca="false">SUMIFS('12.326ana'!$C:$C,'12.326ana'!$M:$M,redes!A450)</f>
        <v>0</v>
      </c>
    </row>
    <row r="451" customFormat="false" ht="14.4" hidden="true" customHeight="false" outlineLevel="0" collapsed="false">
      <c r="A451" s="34" t="n">
        <v>1993296999</v>
      </c>
      <c r="B451" s="34" t="s">
        <v>3804</v>
      </c>
      <c r="C451" s="34" t="s">
        <v>77</v>
      </c>
      <c r="E451" s="30" t="s">
        <v>3805</v>
      </c>
      <c r="F451" s="34" t="n">
        <f aca="false">IFERROR(VLOOKUP($A451,'319'!$B:$H,7,0),0)</f>
        <v>0</v>
      </c>
      <c r="G451" s="34" t="n">
        <f aca="false">SUMIFS('12.326ana'!$C:$C,'12.326ana'!$M:$M,redes!A451)</f>
        <v>0</v>
      </c>
    </row>
    <row r="452" customFormat="false" ht="14.4" hidden="true" customHeight="false" outlineLevel="0" collapsed="false">
      <c r="A452" s="34" t="n">
        <v>1993872140</v>
      </c>
      <c r="B452" s="34" t="s">
        <v>3806</v>
      </c>
      <c r="C452" s="34" t="s">
        <v>77</v>
      </c>
      <c r="E452" s="30" t="s">
        <v>3807</v>
      </c>
      <c r="F452" s="34" t="n">
        <f aca="false">IFERROR(VLOOKUP($A452,'319'!$B:$H,7,0),0)</f>
        <v>0</v>
      </c>
      <c r="G452" s="34" t="n">
        <f aca="false">SUMIFS('12.326ana'!$C:$C,'12.326ana'!$M:$M,redes!A452)</f>
        <v>0</v>
      </c>
    </row>
    <row r="453" customFormat="false" ht="14.4" hidden="true" customHeight="false" outlineLevel="0" collapsed="false">
      <c r="A453" s="34" t="n">
        <v>1994350148</v>
      </c>
      <c r="B453" s="34" t="s">
        <v>3808</v>
      </c>
      <c r="C453" s="34" t="s">
        <v>77</v>
      </c>
      <c r="E453" s="30" t="s">
        <v>3809</v>
      </c>
      <c r="F453" s="34" t="n">
        <f aca="false">IFERROR(VLOOKUP($A453,'319'!$B:$H,7,0),0)</f>
        <v>0</v>
      </c>
      <c r="G453" s="34" t="n">
        <f aca="false">SUMIFS('12.326ana'!$C:$C,'12.326ana'!$M:$M,redes!A453)</f>
        <v>0</v>
      </c>
    </row>
    <row r="454" customFormat="false" ht="14.4" hidden="true" customHeight="false" outlineLevel="0" collapsed="false">
      <c r="A454" s="34" t="n">
        <v>1994361182</v>
      </c>
      <c r="B454" s="34" t="s">
        <v>3810</v>
      </c>
      <c r="C454" s="34" t="s">
        <v>77</v>
      </c>
      <c r="E454" s="30" t="s">
        <v>3811</v>
      </c>
      <c r="F454" s="34" t="n">
        <f aca="false">IFERROR(VLOOKUP($A454,'319'!$B:$H,7,0),0)</f>
        <v>0</v>
      </c>
      <c r="G454" s="34" t="n">
        <f aca="false">SUMIFS('12.326ana'!$C:$C,'12.326ana'!$M:$M,redes!A454)</f>
        <v>0</v>
      </c>
    </row>
    <row r="455" customFormat="false" ht="14.4" hidden="true" customHeight="false" outlineLevel="0" collapsed="false">
      <c r="A455" s="34" t="n">
        <v>1994604182</v>
      </c>
      <c r="B455" s="34" t="s">
        <v>3812</v>
      </c>
      <c r="C455" s="34" t="s">
        <v>475</v>
      </c>
      <c r="E455" s="30" t="s">
        <v>3813</v>
      </c>
      <c r="F455" s="34" t="n">
        <f aca="false">IFERROR(VLOOKUP($A455,'319'!$B:$H,7,0),0)</f>
        <v>0</v>
      </c>
      <c r="G455" s="34" t="n">
        <f aca="false">SUMIFS('12.326ana'!$C:$C,'12.326ana'!$M:$M,redes!A455)</f>
        <v>0</v>
      </c>
    </row>
    <row r="456" customFormat="false" ht="14.4" hidden="true" customHeight="false" outlineLevel="0" collapsed="false">
      <c r="A456" s="34" t="n">
        <v>2029299146</v>
      </c>
      <c r="B456" s="34" t="s">
        <v>3814</v>
      </c>
      <c r="C456" s="34" t="s">
        <v>309</v>
      </c>
      <c r="E456" s="30" t="s">
        <v>3815</v>
      </c>
      <c r="F456" s="34" t="n">
        <f aca="false">IFERROR(VLOOKUP($A456,'319'!$B:$H,7,0),0)</f>
        <v>0</v>
      </c>
      <c r="G456" s="34" t="n">
        <f aca="false">SUMIFS('12.326ana'!$C:$C,'12.326ana'!$M:$M,redes!A456)</f>
        <v>0</v>
      </c>
    </row>
    <row r="457" customFormat="false" ht="14.4" hidden="true" customHeight="false" outlineLevel="0" collapsed="false">
      <c r="A457" s="34" t="n">
        <v>2035808189</v>
      </c>
      <c r="B457" s="34" t="s">
        <v>3816</v>
      </c>
      <c r="C457" s="34" t="s">
        <v>154</v>
      </c>
      <c r="E457" s="30" t="s">
        <v>3817</v>
      </c>
      <c r="F457" s="34" t="n">
        <f aca="false">IFERROR(VLOOKUP($A457,'319'!$B:$H,7,0),0)</f>
        <v>0</v>
      </c>
      <c r="G457" s="34" t="n">
        <f aca="false">SUMIFS('12.326ana'!$C:$C,'12.326ana'!$M:$M,redes!A457)</f>
        <v>0</v>
      </c>
    </row>
    <row r="458" customFormat="false" ht="14.4" hidden="true" customHeight="false" outlineLevel="0" collapsed="false">
      <c r="A458" s="34" t="n">
        <v>2039391150</v>
      </c>
      <c r="B458" s="34" t="s">
        <v>3818</v>
      </c>
      <c r="C458" s="34" t="s">
        <v>594</v>
      </c>
      <c r="E458" s="30" t="s">
        <v>3819</v>
      </c>
      <c r="F458" s="34" t="n">
        <f aca="false">IFERROR(VLOOKUP($A458,'319'!$B:$H,7,0),0)</f>
        <v>0</v>
      </c>
      <c r="G458" s="34" t="n">
        <f aca="false">SUMIFS('12.326ana'!$C:$C,'12.326ana'!$M:$M,redes!A458)</f>
        <v>0</v>
      </c>
    </row>
    <row r="459" customFormat="false" ht="14.4" hidden="true" customHeight="false" outlineLevel="0" collapsed="false">
      <c r="A459" s="34" t="n">
        <v>2043220225</v>
      </c>
      <c r="B459" s="34" t="s">
        <v>3820</v>
      </c>
      <c r="C459" s="34" t="s">
        <v>77</v>
      </c>
      <c r="E459" s="30" t="s">
        <v>3821</v>
      </c>
      <c r="F459" s="34" t="n">
        <f aca="false">IFERROR(VLOOKUP($A459,'319'!$B:$H,7,0),0)</f>
        <v>0</v>
      </c>
      <c r="G459" s="34" t="n">
        <f aca="false">SUMIFS('12.326ana'!$C:$C,'12.326ana'!$M:$M,redes!A459)</f>
        <v>0</v>
      </c>
    </row>
    <row r="460" customFormat="false" ht="14.4" hidden="true" customHeight="false" outlineLevel="0" collapsed="false">
      <c r="A460" s="34" t="n">
        <v>2045778100</v>
      </c>
      <c r="B460" s="34" t="s">
        <v>3822</v>
      </c>
      <c r="C460" s="34" t="s">
        <v>77</v>
      </c>
      <c r="E460" s="30" t="s">
        <v>3823</v>
      </c>
      <c r="F460" s="34" t="n">
        <f aca="false">IFERROR(VLOOKUP($A460,'319'!$B:$H,7,0),0)</f>
        <v>0</v>
      </c>
      <c r="G460" s="34" t="n">
        <f aca="false">SUMIFS('12.326ana'!$C:$C,'12.326ana'!$M:$M,redes!A460)</f>
        <v>0</v>
      </c>
    </row>
    <row r="461" customFormat="false" ht="14.4" hidden="true" customHeight="false" outlineLevel="0" collapsed="false">
      <c r="A461" s="34" t="n">
        <v>2046295196</v>
      </c>
      <c r="B461" s="34" t="s">
        <v>3824</v>
      </c>
      <c r="C461" s="34" t="s">
        <v>77</v>
      </c>
      <c r="E461" s="30" t="s">
        <v>3825</v>
      </c>
      <c r="F461" s="34" t="n">
        <f aca="false">IFERROR(VLOOKUP($A461,'319'!$B:$H,7,0),0)</f>
        <v>0</v>
      </c>
      <c r="G461" s="34" t="n">
        <f aca="false">SUMIFS('12.326ana'!$C:$C,'12.326ana'!$M:$M,redes!A461)</f>
        <v>0</v>
      </c>
    </row>
    <row r="462" customFormat="false" ht="14.4" hidden="true" customHeight="false" outlineLevel="0" collapsed="false">
      <c r="A462" s="34" t="n">
        <v>2049984170</v>
      </c>
      <c r="B462" s="34" t="s">
        <v>3826</v>
      </c>
      <c r="C462" s="34" t="s">
        <v>680</v>
      </c>
      <c r="E462" s="30" t="s">
        <v>3827</v>
      </c>
      <c r="F462" s="34" t="n">
        <f aca="false">IFERROR(VLOOKUP($A462,'319'!$B:$H,7,0),0)</f>
        <v>0</v>
      </c>
      <c r="G462" s="34" t="n">
        <f aca="false">SUMIFS('12.326ana'!$C:$C,'12.326ana'!$M:$M,redes!A462)</f>
        <v>0</v>
      </c>
    </row>
    <row r="463" customFormat="false" ht="14.4" hidden="true" customHeight="false" outlineLevel="0" collapsed="false">
      <c r="A463" s="34" t="n">
        <v>2065467185</v>
      </c>
      <c r="B463" s="34" t="s">
        <v>3828</v>
      </c>
      <c r="C463" s="34" t="s">
        <v>77</v>
      </c>
      <c r="E463" s="30" t="s">
        <v>3829</v>
      </c>
      <c r="F463" s="34" t="n">
        <f aca="false">IFERROR(VLOOKUP($A463,'319'!$B:$H,7,0),0)</f>
        <v>0</v>
      </c>
      <c r="G463" s="34" t="n">
        <f aca="false">SUMIFS('12.326ana'!$C:$C,'12.326ana'!$M:$M,redes!A463)</f>
        <v>0</v>
      </c>
    </row>
    <row r="464" customFormat="false" ht="14.4" hidden="true" customHeight="false" outlineLevel="0" collapsed="false">
      <c r="A464" s="34" t="n">
        <v>2075475130</v>
      </c>
      <c r="B464" s="34" t="s">
        <v>3830</v>
      </c>
      <c r="C464" s="34" t="s">
        <v>77</v>
      </c>
      <c r="E464" s="30" t="s">
        <v>3831</v>
      </c>
      <c r="F464" s="34" t="n">
        <f aca="false">IFERROR(VLOOKUP($A464,'319'!$B:$H,7,0),0)</f>
        <v>0</v>
      </c>
      <c r="G464" s="34" t="n">
        <f aca="false">SUMIFS('12.326ana'!$C:$C,'12.326ana'!$M:$M,redes!A464)</f>
        <v>0</v>
      </c>
    </row>
    <row r="465" customFormat="false" ht="14.4" hidden="true" customHeight="false" outlineLevel="0" collapsed="false">
      <c r="A465" s="34" t="n">
        <v>2079417851</v>
      </c>
      <c r="B465" s="34" t="s">
        <v>3832</v>
      </c>
      <c r="C465" s="34" t="s">
        <v>77</v>
      </c>
      <c r="E465" s="30" t="s">
        <v>3833</v>
      </c>
      <c r="F465" s="34" t="n">
        <f aca="false">IFERROR(VLOOKUP($A465,'319'!$B:$H,7,0),0)</f>
        <v>0</v>
      </c>
      <c r="G465" s="34" t="n">
        <f aca="false">SUMIFS('12.326ana'!$C:$C,'12.326ana'!$M:$M,redes!A465)</f>
        <v>0</v>
      </c>
    </row>
    <row r="466" customFormat="false" ht="14.4" hidden="true" customHeight="false" outlineLevel="0" collapsed="false">
      <c r="A466" s="34" t="n">
        <v>2089143150</v>
      </c>
      <c r="B466" s="34" t="s">
        <v>3834</v>
      </c>
      <c r="C466" s="34" t="s">
        <v>77</v>
      </c>
      <c r="E466" s="30" t="s">
        <v>3835</v>
      </c>
      <c r="F466" s="34" t="n">
        <f aca="false">IFERROR(VLOOKUP($A466,'319'!$B:$H,7,0),0)</f>
        <v>0</v>
      </c>
      <c r="G466" s="34" t="n">
        <f aca="false">SUMIFS('12.326ana'!$C:$C,'12.326ana'!$M:$M,redes!A466)</f>
        <v>0</v>
      </c>
    </row>
    <row r="467" customFormat="false" ht="14.4" hidden="true" customHeight="false" outlineLevel="0" collapsed="false">
      <c r="A467" s="34" t="n">
        <v>2095309952</v>
      </c>
      <c r="B467" s="34" t="s">
        <v>3836</v>
      </c>
      <c r="C467" s="34" t="s">
        <v>737</v>
      </c>
      <c r="E467" s="30" t="s">
        <v>3837</v>
      </c>
      <c r="F467" s="34" t="n">
        <f aca="false">IFERROR(VLOOKUP($A467,'319'!$B:$H,7,0),0)</f>
        <v>0</v>
      </c>
      <c r="G467" s="34" t="n">
        <f aca="false">SUMIFS('12.326ana'!$C:$C,'12.326ana'!$M:$M,redes!A467)</f>
        <v>0</v>
      </c>
    </row>
    <row r="468" customFormat="false" ht="14.4" hidden="true" customHeight="false" outlineLevel="0" collapsed="false">
      <c r="A468" s="34" t="n">
        <v>2099518181</v>
      </c>
      <c r="B468" s="34" t="s">
        <v>3838</v>
      </c>
      <c r="C468" s="34" t="s">
        <v>77</v>
      </c>
      <c r="E468" s="30" t="s">
        <v>3839</v>
      </c>
      <c r="F468" s="34" t="n">
        <f aca="false">IFERROR(VLOOKUP($A468,'319'!$B:$H,7,0),0)</f>
        <v>0</v>
      </c>
      <c r="G468" s="34" t="n">
        <f aca="false">SUMIFS('12.326ana'!$C:$C,'12.326ana'!$M:$M,redes!A468)</f>
        <v>0</v>
      </c>
    </row>
    <row r="469" customFormat="false" ht="14.4" hidden="true" customHeight="false" outlineLevel="0" collapsed="false">
      <c r="A469" s="34" t="n">
        <v>2103678141</v>
      </c>
      <c r="B469" s="34" t="s">
        <v>3840</v>
      </c>
      <c r="C469" s="34" t="s">
        <v>77</v>
      </c>
      <c r="E469" s="30" t="s">
        <v>3841</v>
      </c>
      <c r="F469" s="34" t="n">
        <f aca="false">IFERROR(VLOOKUP($A469,'319'!$B:$H,7,0),0)</f>
        <v>0</v>
      </c>
      <c r="G469" s="34" t="n">
        <f aca="false">SUMIFS('12.326ana'!$C:$C,'12.326ana'!$M:$M,redes!A469)</f>
        <v>0</v>
      </c>
    </row>
    <row r="470" customFormat="false" ht="14.4" hidden="true" customHeight="false" outlineLevel="0" collapsed="false">
      <c r="A470" s="34" t="n">
        <v>2107079927</v>
      </c>
      <c r="B470" s="34" t="s">
        <v>3842</v>
      </c>
      <c r="C470" s="34" t="s">
        <v>77</v>
      </c>
      <c r="E470" s="30" t="s">
        <v>3843</v>
      </c>
      <c r="F470" s="34" t="n">
        <f aca="false">IFERROR(VLOOKUP($A470,'319'!$B:$H,7,0),0)</f>
        <v>0</v>
      </c>
      <c r="G470" s="34" t="n">
        <f aca="false">SUMIFS('12.326ana'!$C:$C,'12.326ana'!$M:$M,redes!A470)</f>
        <v>0</v>
      </c>
    </row>
    <row r="471" customFormat="false" ht="14.4" hidden="true" customHeight="false" outlineLevel="0" collapsed="false">
      <c r="A471" s="34" t="n">
        <v>2122606185</v>
      </c>
      <c r="B471" s="34" t="s">
        <v>3844</v>
      </c>
      <c r="C471" s="34" t="s">
        <v>107</v>
      </c>
      <c r="E471" s="30" t="s">
        <v>3845</v>
      </c>
      <c r="F471" s="34" t="n">
        <f aca="false">IFERROR(VLOOKUP($A471,'319'!$B:$H,7,0),0)</f>
        <v>0</v>
      </c>
      <c r="G471" s="34" t="n">
        <f aca="false">SUMIFS('12.326ana'!$C:$C,'12.326ana'!$M:$M,redes!A471)</f>
        <v>0</v>
      </c>
    </row>
    <row r="472" customFormat="false" ht="14.4" hidden="true" customHeight="false" outlineLevel="0" collapsed="false">
      <c r="A472" s="34" t="n">
        <v>2127018940</v>
      </c>
      <c r="B472" s="34" t="s">
        <v>3846</v>
      </c>
      <c r="C472" s="34" t="s">
        <v>1591</v>
      </c>
      <c r="E472" s="30" t="s">
        <v>3847</v>
      </c>
      <c r="F472" s="34" t="n">
        <f aca="false">IFERROR(VLOOKUP($A472,'319'!$B:$H,7,0),0)</f>
        <v>0</v>
      </c>
      <c r="G472" s="34" t="n">
        <f aca="false">SUMIFS('12.326ana'!$C:$C,'12.326ana'!$M:$M,redes!A472)</f>
        <v>0</v>
      </c>
    </row>
    <row r="473" customFormat="false" ht="14.4" hidden="true" customHeight="false" outlineLevel="0" collapsed="false">
      <c r="A473" s="34" t="n">
        <v>2132796904</v>
      </c>
      <c r="B473" s="34" t="s">
        <v>3848</v>
      </c>
      <c r="C473" s="34" t="s">
        <v>107</v>
      </c>
      <c r="E473" s="30" t="s">
        <v>3849</v>
      </c>
      <c r="F473" s="34" t="n">
        <f aca="false">IFERROR(VLOOKUP($A473,'319'!$B:$H,7,0),0)</f>
        <v>0</v>
      </c>
      <c r="G473" s="34" t="n">
        <f aca="false">SUMIFS('12.326ana'!$C:$C,'12.326ana'!$M:$M,redes!A473)</f>
        <v>0</v>
      </c>
    </row>
    <row r="474" customFormat="false" ht="14.4" hidden="true" customHeight="false" outlineLevel="0" collapsed="false">
      <c r="A474" s="34" t="n">
        <v>2138390160</v>
      </c>
      <c r="B474" s="34" t="s">
        <v>3850</v>
      </c>
      <c r="C474" s="34" t="s">
        <v>107</v>
      </c>
      <c r="E474" s="30" t="s">
        <v>3851</v>
      </c>
      <c r="F474" s="34" t="n">
        <f aca="false">IFERROR(VLOOKUP($A474,'319'!$B:$H,7,0),0)</f>
        <v>0</v>
      </c>
      <c r="G474" s="34" t="n">
        <f aca="false">SUMIFS('12.326ana'!$C:$C,'12.326ana'!$M:$M,redes!A474)</f>
        <v>0</v>
      </c>
    </row>
    <row r="475" customFormat="false" ht="14.4" hidden="true" customHeight="false" outlineLevel="0" collapsed="false">
      <c r="A475" s="34" t="n">
        <v>2139872878</v>
      </c>
      <c r="B475" s="34" t="s">
        <v>3852</v>
      </c>
      <c r="C475" s="34" t="s">
        <v>328</v>
      </c>
      <c r="E475" s="30" t="s">
        <v>3853</v>
      </c>
      <c r="F475" s="34" t="n">
        <f aca="false">IFERROR(VLOOKUP($A475,'319'!$B:$H,7,0),0)</f>
        <v>0</v>
      </c>
      <c r="G475" s="34" t="n">
        <f aca="false">SUMIFS('12.326ana'!$C:$C,'12.326ana'!$M:$M,redes!A475)</f>
        <v>0</v>
      </c>
    </row>
    <row r="476" customFormat="false" ht="14.4" hidden="true" customHeight="false" outlineLevel="0" collapsed="false">
      <c r="A476" s="34" t="n">
        <v>2154148450</v>
      </c>
      <c r="B476" s="34" t="s">
        <v>3854</v>
      </c>
      <c r="C476" s="34" t="s">
        <v>1272</v>
      </c>
      <c r="E476" s="30" t="s">
        <v>3293</v>
      </c>
      <c r="F476" s="34" t="n">
        <f aca="false">IFERROR(VLOOKUP($A476,'319'!$B:$H,7,0),0)</f>
        <v>0</v>
      </c>
      <c r="G476" s="34" t="n">
        <f aca="false">SUMIFS('12.326ana'!$C:$C,'12.326ana'!$M:$M,redes!A476)</f>
        <v>0</v>
      </c>
    </row>
    <row r="477" customFormat="false" ht="14.4" hidden="true" customHeight="false" outlineLevel="0" collapsed="false">
      <c r="A477" s="34" t="n">
        <v>2155045182</v>
      </c>
      <c r="B477" s="34" t="s">
        <v>3855</v>
      </c>
      <c r="C477" s="34" t="s">
        <v>213</v>
      </c>
      <c r="E477" s="30" t="s">
        <v>3856</v>
      </c>
      <c r="F477" s="34" t="n">
        <f aca="false">IFERROR(VLOOKUP($A477,'319'!$B:$H,7,0),0)</f>
        <v>0</v>
      </c>
      <c r="G477" s="34" t="n">
        <f aca="false">SUMIFS('12.326ana'!$C:$C,'12.326ana'!$M:$M,redes!A477)</f>
        <v>0</v>
      </c>
    </row>
    <row r="478" customFormat="false" ht="14.4" hidden="true" customHeight="false" outlineLevel="0" collapsed="false">
      <c r="A478" s="34" t="n">
        <v>2157710957</v>
      </c>
      <c r="B478" s="34" t="s">
        <v>3857</v>
      </c>
      <c r="C478" s="34" t="s">
        <v>77</v>
      </c>
      <c r="E478" s="30"/>
      <c r="F478" s="34" t="n">
        <f aca="false">IFERROR(VLOOKUP($A478,'319'!$B:$H,7,0),0)</f>
        <v>0</v>
      </c>
      <c r="G478" s="34" t="n">
        <f aca="false">SUMIFS('12.326ana'!$C:$C,'12.326ana'!$M:$M,redes!A478)</f>
        <v>0</v>
      </c>
    </row>
    <row r="479" customFormat="false" ht="14.4" hidden="true" customHeight="false" outlineLevel="0" collapsed="false">
      <c r="A479" s="34" t="n">
        <v>2163801110</v>
      </c>
      <c r="B479" s="34" t="s">
        <v>3858</v>
      </c>
      <c r="C479" s="34" t="s">
        <v>77</v>
      </c>
      <c r="E479" s="30" t="s">
        <v>3859</v>
      </c>
      <c r="F479" s="34" t="n">
        <f aca="false">IFERROR(VLOOKUP($A479,'319'!$B:$H,7,0),0)</f>
        <v>0</v>
      </c>
      <c r="G479" s="34" t="n">
        <f aca="false">SUMIFS('12.326ana'!$C:$C,'12.326ana'!$M:$M,redes!A479)</f>
        <v>0</v>
      </c>
    </row>
    <row r="480" customFormat="false" ht="14.4" hidden="true" customHeight="false" outlineLevel="0" collapsed="false">
      <c r="A480" s="34" t="n">
        <v>2170123105</v>
      </c>
      <c r="B480" s="34" t="s">
        <v>3860</v>
      </c>
      <c r="C480" s="34" t="s">
        <v>77</v>
      </c>
      <c r="E480" s="30" t="s">
        <v>3861</v>
      </c>
      <c r="F480" s="34" t="n">
        <f aca="false">IFERROR(VLOOKUP($A480,'319'!$B:$H,7,0),0)</f>
        <v>0</v>
      </c>
      <c r="G480" s="34" t="n">
        <f aca="false">SUMIFS('12.326ana'!$C:$C,'12.326ana'!$M:$M,redes!A480)</f>
        <v>0</v>
      </c>
    </row>
    <row r="481" customFormat="false" ht="14.4" hidden="true" customHeight="false" outlineLevel="0" collapsed="false">
      <c r="A481" s="34" t="n">
        <v>2170785167</v>
      </c>
      <c r="B481" s="34" t="s">
        <v>3862</v>
      </c>
      <c r="C481" s="34" t="s">
        <v>77</v>
      </c>
      <c r="E481" s="30" t="s">
        <v>3863</v>
      </c>
      <c r="F481" s="34" t="n">
        <f aca="false">IFERROR(VLOOKUP($A481,'319'!$B:$H,7,0),0)</f>
        <v>0</v>
      </c>
      <c r="G481" s="34" t="n">
        <f aca="false">SUMIFS('12.326ana'!$C:$C,'12.326ana'!$M:$M,redes!A481)</f>
        <v>0</v>
      </c>
    </row>
    <row r="482" customFormat="false" ht="14.4" hidden="true" customHeight="false" outlineLevel="0" collapsed="false">
      <c r="A482" s="34" t="n">
        <v>2176235142</v>
      </c>
      <c r="B482" s="34" t="s">
        <v>3864</v>
      </c>
      <c r="C482" s="34" t="s">
        <v>77</v>
      </c>
      <c r="E482" s="30" t="s">
        <v>3864</v>
      </c>
      <c r="F482" s="34" t="n">
        <f aca="false">IFERROR(VLOOKUP($A482,'319'!$B:$H,7,0),0)</f>
        <v>0</v>
      </c>
      <c r="G482" s="34" t="n">
        <f aca="false">SUMIFS('12.326ana'!$C:$C,'12.326ana'!$M:$M,redes!A482)</f>
        <v>0</v>
      </c>
    </row>
    <row r="483" customFormat="false" ht="14.4" hidden="true" customHeight="false" outlineLevel="0" collapsed="false">
      <c r="A483" s="34" t="n">
        <v>2186266148</v>
      </c>
      <c r="B483" s="34" t="s">
        <v>3865</v>
      </c>
      <c r="C483" s="34" t="s">
        <v>77</v>
      </c>
      <c r="E483" s="30" t="s">
        <v>3866</v>
      </c>
      <c r="F483" s="34" t="n">
        <f aca="false">IFERROR(VLOOKUP($A483,'319'!$B:$H,7,0),0)</f>
        <v>0</v>
      </c>
      <c r="G483" s="34" t="n">
        <f aca="false">SUMIFS('12.326ana'!$C:$C,'12.326ana'!$M:$M,redes!A483)</f>
        <v>0</v>
      </c>
    </row>
    <row r="484" customFormat="false" ht="14.4" hidden="true" customHeight="false" outlineLevel="0" collapsed="false">
      <c r="A484" s="34" t="n">
        <v>2187526100</v>
      </c>
      <c r="B484" s="34" t="s">
        <v>3867</v>
      </c>
      <c r="C484" s="34" t="s">
        <v>77</v>
      </c>
      <c r="E484" s="30" t="s">
        <v>3868</v>
      </c>
      <c r="F484" s="34" t="n">
        <f aca="false">IFERROR(VLOOKUP($A484,'319'!$B:$H,7,0),0)</f>
        <v>0</v>
      </c>
      <c r="G484" s="34" t="n">
        <f aca="false">SUMIFS('12.326ana'!$C:$C,'12.326ana'!$M:$M,redes!A484)</f>
        <v>0</v>
      </c>
    </row>
    <row r="485" customFormat="false" ht="14.4" hidden="true" customHeight="false" outlineLevel="0" collapsed="false">
      <c r="A485" s="34" t="n">
        <v>2191278167</v>
      </c>
      <c r="B485" s="34" t="s">
        <v>3869</v>
      </c>
      <c r="C485" s="34" t="s">
        <v>89</v>
      </c>
      <c r="E485" s="30" t="s">
        <v>3870</v>
      </c>
      <c r="F485" s="34" t="n">
        <f aca="false">IFERROR(VLOOKUP($A485,'319'!$B:$H,7,0),0)</f>
        <v>0</v>
      </c>
      <c r="G485" s="34" t="n">
        <f aca="false">SUMIFS('12.326ana'!$C:$C,'12.326ana'!$M:$M,redes!A485)</f>
        <v>0</v>
      </c>
    </row>
    <row r="486" customFormat="false" ht="14.4" hidden="true" customHeight="false" outlineLevel="0" collapsed="false">
      <c r="A486" s="34" t="n">
        <v>2196072141</v>
      </c>
      <c r="B486" s="34" t="s">
        <v>3871</v>
      </c>
      <c r="C486" s="34" t="s">
        <v>77</v>
      </c>
      <c r="E486" s="30" t="s">
        <v>3872</v>
      </c>
      <c r="F486" s="34" t="n">
        <f aca="false">IFERROR(VLOOKUP($A486,'319'!$B:$H,7,0),0)</f>
        <v>0</v>
      </c>
      <c r="G486" s="34" t="n">
        <f aca="false">SUMIFS('12.326ana'!$C:$C,'12.326ana'!$M:$M,redes!A486)</f>
        <v>0</v>
      </c>
    </row>
    <row r="487" customFormat="false" ht="14.4" hidden="true" customHeight="false" outlineLevel="0" collapsed="false">
      <c r="A487" s="34" t="n">
        <v>2231411199</v>
      </c>
      <c r="B487" s="34" t="s">
        <v>3873</v>
      </c>
      <c r="C487" s="34" t="s">
        <v>77</v>
      </c>
      <c r="E487" s="30" t="s">
        <v>3874</v>
      </c>
      <c r="F487" s="34" t="n">
        <f aca="false">IFERROR(VLOOKUP($A487,'319'!$B:$H,7,0),0)</f>
        <v>0</v>
      </c>
      <c r="G487" s="34" t="n">
        <f aca="false">SUMIFS('12.326ana'!$C:$C,'12.326ana'!$M:$M,redes!A487)</f>
        <v>0</v>
      </c>
    </row>
    <row r="488" customFormat="false" ht="14.4" hidden="true" customHeight="false" outlineLevel="0" collapsed="false">
      <c r="A488" s="34" t="n">
        <v>2261950900</v>
      </c>
      <c r="B488" s="34" t="s">
        <v>3875</v>
      </c>
      <c r="C488" s="34" t="s">
        <v>77</v>
      </c>
      <c r="E488" s="30" t="s">
        <v>3876</v>
      </c>
      <c r="F488" s="34" t="n">
        <f aca="false">IFERROR(VLOOKUP($A488,'319'!$B:$H,7,0),0)</f>
        <v>0</v>
      </c>
      <c r="G488" s="34" t="n">
        <f aca="false">SUMIFS('12.326ana'!$C:$C,'12.326ana'!$M:$M,redes!A488)</f>
        <v>0</v>
      </c>
    </row>
    <row r="489" customFormat="false" ht="14.4" hidden="true" customHeight="false" outlineLevel="0" collapsed="false">
      <c r="A489" s="34" t="n">
        <v>2263742115</v>
      </c>
      <c r="B489" s="34" t="s">
        <v>3877</v>
      </c>
      <c r="C489" s="34" t="s">
        <v>77</v>
      </c>
      <c r="E489" s="30"/>
      <c r="F489" s="34" t="n">
        <f aca="false">IFERROR(VLOOKUP($A489,'319'!$B:$H,7,0),0)</f>
        <v>0</v>
      </c>
      <c r="G489" s="34" t="n">
        <f aca="false">SUMIFS('12.326ana'!$C:$C,'12.326ana'!$M:$M,redes!A489)</f>
        <v>0</v>
      </c>
    </row>
    <row r="490" customFormat="false" ht="14.4" hidden="true" customHeight="false" outlineLevel="0" collapsed="false">
      <c r="A490" s="34" t="n">
        <v>2282882156</v>
      </c>
      <c r="B490" s="34" t="s">
        <v>3878</v>
      </c>
      <c r="C490" s="34" t="s">
        <v>2998</v>
      </c>
      <c r="E490" s="30" t="s">
        <v>3879</v>
      </c>
      <c r="F490" s="34" t="n">
        <f aca="false">IFERROR(VLOOKUP($A490,'319'!$B:$H,7,0),0)</f>
        <v>0</v>
      </c>
      <c r="G490" s="34" t="n">
        <f aca="false">SUMIFS('12.326ana'!$C:$C,'12.326ana'!$M:$M,redes!A490)</f>
        <v>0</v>
      </c>
    </row>
    <row r="491" customFormat="false" ht="14.4" hidden="true" customHeight="false" outlineLevel="0" collapsed="false">
      <c r="A491" s="34" t="n">
        <v>2285221967</v>
      </c>
      <c r="B491" s="34" t="s">
        <v>3880</v>
      </c>
      <c r="C491" s="34" t="s">
        <v>77</v>
      </c>
      <c r="E491" s="30" t="s">
        <v>3881</v>
      </c>
      <c r="F491" s="34" t="n">
        <f aca="false">IFERROR(VLOOKUP($A491,'319'!$B:$H,7,0),0)</f>
        <v>0</v>
      </c>
      <c r="G491" s="34" t="n">
        <f aca="false">SUMIFS('12.326ana'!$C:$C,'12.326ana'!$M:$M,redes!A491)</f>
        <v>0</v>
      </c>
    </row>
    <row r="492" customFormat="false" ht="14.4" hidden="true" customHeight="false" outlineLevel="0" collapsed="false">
      <c r="A492" s="34" t="n">
        <v>2288953756</v>
      </c>
      <c r="B492" s="34" t="s">
        <v>3882</v>
      </c>
      <c r="C492" s="34" t="s">
        <v>77</v>
      </c>
      <c r="E492" s="30" t="s">
        <v>3883</v>
      </c>
      <c r="F492" s="34" t="n">
        <f aca="false">IFERROR(VLOOKUP($A492,'319'!$B:$H,7,0),0)</f>
        <v>0</v>
      </c>
      <c r="G492" s="34" t="n">
        <f aca="false">SUMIFS('12.326ana'!$C:$C,'12.326ana'!$M:$M,redes!A492)</f>
        <v>0</v>
      </c>
    </row>
    <row r="493" customFormat="false" ht="14.4" hidden="true" customHeight="false" outlineLevel="0" collapsed="false">
      <c r="A493" s="34" t="n">
        <v>2289406996</v>
      </c>
      <c r="B493" s="34" t="s">
        <v>3884</v>
      </c>
      <c r="C493" s="34" t="s">
        <v>77</v>
      </c>
      <c r="E493" s="30" t="s">
        <v>3885</v>
      </c>
      <c r="F493" s="34" t="n">
        <f aca="false">IFERROR(VLOOKUP($A493,'319'!$B:$H,7,0),0)</f>
        <v>0</v>
      </c>
      <c r="G493" s="34" t="n">
        <f aca="false">SUMIFS('12.326ana'!$C:$C,'12.326ana'!$M:$M,redes!A493)</f>
        <v>0</v>
      </c>
    </row>
    <row r="494" customFormat="false" ht="14.4" hidden="true" customHeight="false" outlineLevel="0" collapsed="false">
      <c r="A494" s="34" t="n">
        <v>2289563153</v>
      </c>
      <c r="B494" s="34" t="s">
        <v>3886</v>
      </c>
      <c r="C494" s="34" t="s">
        <v>377</v>
      </c>
      <c r="E494" s="30" t="s">
        <v>3887</v>
      </c>
      <c r="F494" s="34" t="n">
        <f aca="false">IFERROR(VLOOKUP($A494,'319'!$B:$H,7,0),0)</f>
        <v>0</v>
      </c>
      <c r="G494" s="34" t="n">
        <f aca="false">SUMIFS('12.326ana'!$C:$C,'12.326ana'!$M:$M,redes!A494)</f>
        <v>0</v>
      </c>
    </row>
    <row r="495" customFormat="false" ht="14.4" hidden="true" customHeight="false" outlineLevel="0" collapsed="false">
      <c r="A495" s="34" t="n">
        <v>2293243125</v>
      </c>
      <c r="B495" s="34" t="s">
        <v>3888</v>
      </c>
      <c r="C495" s="34" t="s">
        <v>77</v>
      </c>
      <c r="E495" s="30" t="s">
        <v>3601</v>
      </c>
      <c r="F495" s="34" t="n">
        <f aca="false">IFERROR(VLOOKUP($A495,'319'!$B:$H,7,0),0)</f>
        <v>0</v>
      </c>
      <c r="G495" s="34" t="n">
        <f aca="false">SUMIFS('12.326ana'!$C:$C,'12.326ana'!$M:$M,redes!A495)</f>
        <v>0</v>
      </c>
    </row>
    <row r="496" customFormat="false" ht="14.4" hidden="true" customHeight="false" outlineLevel="0" collapsed="false">
      <c r="A496" s="34" t="n">
        <v>2296425194</v>
      </c>
      <c r="B496" s="34" t="s">
        <v>3889</v>
      </c>
      <c r="C496" s="34" t="s">
        <v>77</v>
      </c>
      <c r="E496" s="30" t="s">
        <v>3890</v>
      </c>
      <c r="F496" s="34" t="n">
        <f aca="false">IFERROR(VLOOKUP($A496,'319'!$B:$H,7,0),0)</f>
        <v>0</v>
      </c>
      <c r="G496" s="34" t="n">
        <f aca="false">SUMIFS('12.326ana'!$C:$C,'12.326ana'!$M:$M,redes!A496)</f>
        <v>0</v>
      </c>
    </row>
    <row r="497" customFormat="false" ht="14.4" hidden="true" customHeight="false" outlineLevel="0" collapsed="false">
      <c r="A497" s="34" t="n">
        <v>2298121125</v>
      </c>
      <c r="B497" s="34" t="s">
        <v>3891</v>
      </c>
      <c r="C497" s="34" t="s">
        <v>89</v>
      </c>
      <c r="E497" s="30" t="s">
        <v>3892</v>
      </c>
      <c r="F497" s="34" t="n">
        <f aca="false">IFERROR(VLOOKUP($A497,'319'!$B:$H,7,0),0)</f>
        <v>0</v>
      </c>
      <c r="G497" s="34" t="n">
        <f aca="false">SUMIFS('12.326ana'!$C:$C,'12.326ana'!$M:$M,redes!A497)</f>
        <v>0</v>
      </c>
    </row>
    <row r="498" customFormat="false" ht="14.4" hidden="true" customHeight="false" outlineLevel="0" collapsed="false">
      <c r="A498" s="34" t="n">
        <v>2305082193</v>
      </c>
      <c r="B498" s="34" t="s">
        <v>3893</v>
      </c>
      <c r="C498" s="34" t="s">
        <v>77</v>
      </c>
      <c r="E498" s="30" t="s">
        <v>3894</v>
      </c>
      <c r="F498" s="34" t="n">
        <f aca="false">IFERROR(VLOOKUP($A498,'319'!$B:$H,7,0),0)</f>
        <v>0</v>
      </c>
      <c r="G498" s="34" t="n">
        <f aca="false">SUMIFS('12.326ana'!$C:$C,'12.326ana'!$M:$M,redes!A498)</f>
        <v>0</v>
      </c>
    </row>
    <row r="499" customFormat="false" ht="14.4" hidden="true" customHeight="false" outlineLevel="0" collapsed="false">
      <c r="A499" s="34" t="n">
        <v>2310244104</v>
      </c>
      <c r="B499" s="34" t="s">
        <v>3895</v>
      </c>
      <c r="C499" s="34" t="s">
        <v>464</v>
      </c>
      <c r="E499" s="30" t="s">
        <v>3896</v>
      </c>
      <c r="F499" s="34" t="n">
        <f aca="false">IFERROR(VLOOKUP($A499,'319'!$B:$H,7,0),0)</f>
        <v>0</v>
      </c>
      <c r="G499" s="34" t="n">
        <f aca="false">SUMIFS('12.326ana'!$C:$C,'12.326ana'!$M:$M,redes!A499)</f>
        <v>0</v>
      </c>
    </row>
    <row r="500" customFormat="false" ht="14.4" hidden="true" customHeight="false" outlineLevel="0" collapsed="false">
      <c r="A500" s="34" t="n">
        <v>2312549115</v>
      </c>
      <c r="B500" s="34" t="s">
        <v>3897</v>
      </c>
      <c r="C500" s="34" t="s">
        <v>77</v>
      </c>
      <c r="E500" s="30" t="s">
        <v>3898</v>
      </c>
      <c r="F500" s="34" t="n">
        <f aca="false">IFERROR(VLOOKUP($A500,'319'!$B:$H,7,0),0)</f>
        <v>0</v>
      </c>
      <c r="G500" s="34" t="n">
        <f aca="false">SUMIFS('12.326ana'!$C:$C,'12.326ana'!$M:$M,redes!A500)</f>
        <v>0</v>
      </c>
    </row>
    <row r="501" customFormat="false" ht="14.4" hidden="true" customHeight="false" outlineLevel="0" collapsed="false">
      <c r="A501" s="34" t="n">
        <v>2315653991</v>
      </c>
      <c r="B501" s="34" t="s">
        <v>3899</v>
      </c>
      <c r="C501" s="34" t="s">
        <v>107</v>
      </c>
      <c r="E501" s="30" t="s">
        <v>3900</v>
      </c>
      <c r="F501" s="34" t="n">
        <f aca="false">IFERROR(VLOOKUP($A501,'319'!$B:$H,7,0),0)</f>
        <v>0</v>
      </c>
      <c r="G501" s="34" t="n">
        <f aca="false">SUMIFS('12.326ana'!$C:$C,'12.326ana'!$M:$M,redes!A501)</f>
        <v>0</v>
      </c>
    </row>
    <row r="502" customFormat="false" ht="14.4" hidden="true" customHeight="false" outlineLevel="0" collapsed="false">
      <c r="A502" s="34" t="n">
        <v>2323436830</v>
      </c>
      <c r="B502" s="34" t="s">
        <v>3901</v>
      </c>
      <c r="C502" s="34" t="s">
        <v>77</v>
      </c>
      <c r="E502" s="30" t="s">
        <v>3902</v>
      </c>
      <c r="F502" s="34" t="n">
        <f aca="false">IFERROR(VLOOKUP($A502,'319'!$B:$H,7,0),0)</f>
        <v>0</v>
      </c>
      <c r="G502" s="34" t="n">
        <f aca="false">SUMIFS('12.326ana'!$C:$C,'12.326ana'!$M:$M,redes!A502)</f>
        <v>0</v>
      </c>
    </row>
    <row r="503" customFormat="false" ht="14.4" hidden="true" customHeight="false" outlineLevel="0" collapsed="false">
      <c r="A503" s="34" t="n">
        <v>2325132102</v>
      </c>
      <c r="B503" s="34" t="s">
        <v>3903</v>
      </c>
      <c r="C503" s="34" t="s">
        <v>77</v>
      </c>
      <c r="E503" s="30" t="s">
        <v>3903</v>
      </c>
      <c r="F503" s="34" t="n">
        <f aca="false">IFERROR(VLOOKUP($A503,'319'!$B:$H,7,0),0)</f>
        <v>0</v>
      </c>
      <c r="G503" s="34" t="n">
        <f aca="false">SUMIFS('12.326ana'!$C:$C,'12.326ana'!$M:$M,redes!A503)</f>
        <v>0</v>
      </c>
    </row>
    <row r="504" customFormat="false" ht="14.4" hidden="true" customHeight="false" outlineLevel="0" collapsed="false">
      <c r="A504" s="34" t="n">
        <v>2329792190</v>
      </c>
      <c r="B504" s="34" t="s">
        <v>3904</v>
      </c>
      <c r="C504" s="34" t="s">
        <v>77</v>
      </c>
      <c r="E504" s="30" t="s">
        <v>3904</v>
      </c>
      <c r="F504" s="34" t="n">
        <f aca="false">IFERROR(VLOOKUP($A504,'319'!$B:$H,7,0),0)</f>
        <v>0</v>
      </c>
      <c r="G504" s="34" t="n">
        <f aca="false">SUMIFS('12.326ana'!$C:$C,'12.326ana'!$M:$M,redes!A504)</f>
        <v>0</v>
      </c>
    </row>
    <row r="505" customFormat="false" ht="14.4" hidden="true" customHeight="false" outlineLevel="0" collapsed="false">
      <c r="A505" s="34" t="n">
        <v>2336170949</v>
      </c>
      <c r="B505" s="34" t="s">
        <v>3905</v>
      </c>
      <c r="C505" s="34" t="s">
        <v>342</v>
      </c>
      <c r="E505" s="30" t="s">
        <v>3906</v>
      </c>
      <c r="F505" s="34" t="n">
        <f aca="false">IFERROR(VLOOKUP($A505,'319'!$B:$H,7,0),0)</f>
        <v>0</v>
      </c>
      <c r="G505" s="34" t="n">
        <f aca="false">SUMIFS('12.326ana'!$C:$C,'12.326ana'!$M:$M,redes!A505)</f>
        <v>0</v>
      </c>
    </row>
    <row r="506" customFormat="false" ht="14.4" hidden="true" customHeight="false" outlineLevel="0" collapsed="false">
      <c r="A506" s="34" t="n">
        <v>2348570130</v>
      </c>
      <c r="B506" s="34" t="s">
        <v>3907</v>
      </c>
      <c r="C506" s="34" t="s">
        <v>77</v>
      </c>
      <c r="E506" s="30" t="s">
        <v>3907</v>
      </c>
      <c r="F506" s="34" t="n">
        <f aca="false">IFERROR(VLOOKUP($A506,'319'!$B:$H,7,0),0)</f>
        <v>0</v>
      </c>
      <c r="G506" s="34" t="n">
        <f aca="false">SUMIFS('12.326ana'!$C:$C,'12.326ana'!$M:$M,redes!A506)</f>
        <v>0</v>
      </c>
    </row>
    <row r="507" customFormat="false" ht="14.4" hidden="true" customHeight="false" outlineLevel="0" collapsed="false">
      <c r="A507" s="34" t="n">
        <v>2354538979</v>
      </c>
      <c r="B507" s="34" t="s">
        <v>3908</v>
      </c>
      <c r="C507" s="34" t="s">
        <v>77</v>
      </c>
      <c r="E507" s="30" t="s">
        <v>3909</v>
      </c>
      <c r="F507" s="34" t="n">
        <f aca="false">IFERROR(VLOOKUP($A507,'319'!$B:$H,7,0),0)</f>
        <v>0</v>
      </c>
      <c r="G507" s="34" t="n">
        <f aca="false">SUMIFS('12.326ana'!$C:$C,'12.326ana'!$M:$M,redes!A507)</f>
        <v>0</v>
      </c>
    </row>
    <row r="508" customFormat="false" ht="14.4" hidden="true" customHeight="false" outlineLevel="0" collapsed="false">
      <c r="A508" s="34" t="n">
        <v>2357877103</v>
      </c>
      <c r="B508" s="34" t="s">
        <v>3910</v>
      </c>
      <c r="C508" s="34" t="s">
        <v>77</v>
      </c>
      <c r="E508" s="30"/>
      <c r="F508" s="34" t="n">
        <f aca="false">IFERROR(VLOOKUP($A508,'319'!$B:$H,7,0),0)</f>
        <v>0</v>
      </c>
      <c r="G508" s="34" t="n">
        <f aca="false">SUMIFS('12.326ana'!$C:$C,'12.326ana'!$M:$M,redes!A508)</f>
        <v>0</v>
      </c>
    </row>
    <row r="509" customFormat="false" ht="14.4" hidden="true" customHeight="false" outlineLevel="0" collapsed="false">
      <c r="A509" s="34" t="n">
        <v>2362662179</v>
      </c>
      <c r="B509" s="34" t="s">
        <v>3911</v>
      </c>
      <c r="C509" s="34" t="s">
        <v>706</v>
      </c>
      <c r="E509" s="30" t="s">
        <v>3912</v>
      </c>
      <c r="F509" s="34" t="n">
        <f aca="false">IFERROR(VLOOKUP($A509,'319'!$B:$H,7,0),0)</f>
        <v>0</v>
      </c>
      <c r="G509" s="34" t="n">
        <f aca="false">SUMIFS('12.326ana'!$C:$C,'12.326ana'!$M:$M,redes!A509)</f>
        <v>0</v>
      </c>
    </row>
    <row r="510" customFormat="false" ht="14.4" hidden="true" customHeight="false" outlineLevel="0" collapsed="false">
      <c r="A510" s="34" t="n">
        <v>2365946801</v>
      </c>
      <c r="B510" s="34" t="s">
        <v>3913</v>
      </c>
      <c r="C510" s="34" t="s">
        <v>77</v>
      </c>
      <c r="E510" s="30" t="s">
        <v>3914</v>
      </c>
      <c r="F510" s="34" t="n">
        <f aca="false">IFERROR(VLOOKUP($A510,'319'!$B:$H,7,0),0)</f>
        <v>0</v>
      </c>
      <c r="G510" s="34" t="n">
        <f aca="false">SUMIFS('12.326ana'!$C:$C,'12.326ana'!$M:$M,redes!A510)</f>
        <v>0</v>
      </c>
    </row>
    <row r="511" customFormat="false" ht="14.4" hidden="true" customHeight="false" outlineLevel="0" collapsed="false">
      <c r="A511" s="34" t="n">
        <v>2366427158</v>
      </c>
      <c r="B511" s="34" t="s">
        <v>3915</v>
      </c>
      <c r="C511" s="34" t="s">
        <v>77</v>
      </c>
      <c r="E511" s="30" t="s">
        <v>3916</v>
      </c>
      <c r="F511" s="34" t="n">
        <f aca="false">IFERROR(VLOOKUP($A511,'319'!$B:$H,7,0),0)</f>
        <v>0</v>
      </c>
      <c r="G511" s="34" t="n">
        <f aca="false">SUMIFS('12.326ana'!$C:$C,'12.326ana'!$M:$M,redes!A511)</f>
        <v>0</v>
      </c>
    </row>
    <row r="512" customFormat="false" ht="14.4" hidden="true" customHeight="false" outlineLevel="0" collapsed="false">
      <c r="A512" s="34" t="n">
        <v>2369781106</v>
      </c>
      <c r="B512" s="34" t="s">
        <v>3917</v>
      </c>
      <c r="C512" s="34" t="s">
        <v>351</v>
      </c>
      <c r="E512" s="30" t="s">
        <v>3918</v>
      </c>
      <c r="F512" s="34" t="n">
        <f aca="false">IFERROR(VLOOKUP($A512,'319'!$B:$H,7,0),0)</f>
        <v>0</v>
      </c>
      <c r="G512" s="34" t="n">
        <f aca="false">SUMIFS('12.326ana'!$C:$C,'12.326ana'!$M:$M,redes!A512)</f>
        <v>0</v>
      </c>
    </row>
    <row r="513" customFormat="false" ht="14.4" hidden="true" customHeight="false" outlineLevel="0" collapsed="false">
      <c r="A513" s="34" t="n">
        <v>2373809869</v>
      </c>
      <c r="B513" s="34" t="s">
        <v>3919</v>
      </c>
      <c r="C513" s="34" t="s">
        <v>77</v>
      </c>
      <c r="E513" s="30"/>
      <c r="F513" s="34" t="n">
        <f aca="false">IFERROR(VLOOKUP($A513,'319'!$B:$H,7,0),0)</f>
        <v>0</v>
      </c>
      <c r="G513" s="34" t="n">
        <f aca="false">SUMIFS('12.326ana'!$C:$C,'12.326ana'!$M:$M,redes!A513)</f>
        <v>0</v>
      </c>
    </row>
    <row r="514" customFormat="false" ht="14.4" hidden="true" customHeight="false" outlineLevel="0" collapsed="false">
      <c r="A514" s="34" t="n">
        <v>2373890869</v>
      </c>
      <c r="B514" s="34" t="s">
        <v>3920</v>
      </c>
      <c r="C514" s="34" t="s">
        <v>77</v>
      </c>
      <c r="E514" s="30"/>
      <c r="F514" s="34" t="n">
        <f aca="false">IFERROR(VLOOKUP($A514,'319'!$B:$H,7,0),0)</f>
        <v>0</v>
      </c>
      <c r="G514" s="34" t="n">
        <f aca="false">SUMIFS('12.326ana'!$C:$C,'12.326ana'!$M:$M,redes!A514)</f>
        <v>0</v>
      </c>
    </row>
    <row r="515" customFormat="false" ht="14.4" hidden="true" customHeight="false" outlineLevel="0" collapsed="false">
      <c r="A515" s="34" t="n">
        <v>2374818128</v>
      </c>
      <c r="B515" s="34" t="s">
        <v>3921</v>
      </c>
      <c r="C515" s="34" t="s">
        <v>77</v>
      </c>
      <c r="E515" s="30" t="s">
        <v>3922</v>
      </c>
      <c r="F515" s="34" t="n">
        <f aca="false">IFERROR(VLOOKUP($A515,'319'!$B:$H,7,0),0)</f>
        <v>0</v>
      </c>
      <c r="G515" s="34" t="n">
        <f aca="false">SUMIFS('12.326ana'!$C:$C,'12.326ana'!$M:$M,redes!A515)</f>
        <v>0</v>
      </c>
    </row>
    <row r="516" customFormat="false" ht="14.4" hidden="true" customHeight="false" outlineLevel="0" collapsed="false">
      <c r="A516" s="34" t="n">
        <v>2375177100</v>
      </c>
      <c r="B516" s="34" t="s">
        <v>3923</v>
      </c>
      <c r="C516" s="34" t="s">
        <v>77</v>
      </c>
      <c r="E516" s="30" t="s">
        <v>3924</v>
      </c>
      <c r="F516" s="34" t="n">
        <f aca="false">IFERROR(VLOOKUP($A516,'319'!$B:$H,7,0),0)</f>
        <v>0</v>
      </c>
      <c r="G516" s="34" t="n">
        <f aca="false">SUMIFS('12.326ana'!$C:$C,'12.326ana'!$M:$M,redes!A516)</f>
        <v>0</v>
      </c>
    </row>
    <row r="517" customFormat="false" ht="14.4" hidden="true" customHeight="false" outlineLevel="0" collapsed="false">
      <c r="A517" s="34" t="n">
        <v>2377658881</v>
      </c>
      <c r="B517" s="34" t="s">
        <v>3925</v>
      </c>
      <c r="C517" s="34" t="s">
        <v>192</v>
      </c>
      <c r="E517" s="30" t="s">
        <v>3809</v>
      </c>
      <c r="F517" s="34" t="n">
        <f aca="false">IFERROR(VLOOKUP($A517,'319'!$B:$H,7,0),0)</f>
        <v>0</v>
      </c>
      <c r="G517" s="34" t="n">
        <f aca="false">SUMIFS('12.326ana'!$C:$C,'12.326ana'!$M:$M,redes!A517)</f>
        <v>0</v>
      </c>
    </row>
    <row r="518" customFormat="false" ht="14.4" hidden="true" customHeight="false" outlineLevel="0" collapsed="false">
      <c r="A518" s="34" t="n">
        <v>2379402132</v>
      </c>
      <c r="B518" s="34" t="s">
        <v>3926</v>
      </c>
      <c r="C518" s="34" t="s">
        <v>342</v>
      </c>
      <c r="E518" s="30" t="s">
        <v>3927</v>
      </c>
      <c r="F518" s="34" t="n">
        <f aca="false">IFERROR(VLOOKUP($A518,'319'!$B:$H,7,0),0)</f>
        <v>0</v>
      </c>
      <c r="G518" s="34" t="n">
        <f aca="false">SUMIFS('12.326ana'!$C:$C,'12.326ana'!$M:$M,redes!A518)</f>
        <v>0</v>
      </c>
    </row>
    <row r="519" customFormat="false" ht="14.4" hidden="true" customHeight="false" outlineLevel="0" collapsed="false">
      <c r="A519" s="34" t="n">
        <v>2379407100</v>
      </c>
      <c r="B519" s="34" t="s">
        <v>3928</v>
      </c>
      <c r="C519" s="34" t="s">
        <v>781</v>
      </c>
      <c r="E519" s="30" t="s">
        <v>3929</v>
      </c>
      <c r="F519" s="34" t="n">
        <f aca="false">IFERROR(VLOOKUP($A519,'319'!$B:$H,7,0),0)</f>
        <v>0</v>
      </c>
      <c r="G519" s="34" t="n">
        <f aca="false">SUMIFS('12.326ana'!$C:$C,'12.326ana'!$M:$M,redes!A519)</f>
        <v>0</v>
      </c>
    </row>
    <row r="520" customFormat="false" ht="14.4" hidden="true" customHeight="false" outlineLevel="0" collapsed="false">
      <c r="A520" s="34" t="n">
        <v>2381356169</v>
      </c>
      <c r="B520" s="34" t="s">
        <v>3930</v>
      </c>
      <c r="C520" s="34" t="s">
        <v>77</v>
      </c>
      <c r="E520" s="30" t="s">
        <v>3931</v>
      </c>
      <c r="F520" s="34" t="n">
        <f aca="false">IFERROR(VLOOKUP($A520,'319'!$B:$H,7,0),0)</f>
        <v>0</v>
      </c>
      <c r="G520" s="34" t="n">
        <f aca="false">SUMIFS('12.326ana'!$C:$C,'12.326ana'!$M:$M,redes!A520)</f>
        <v>0</v>
      </c>
    </row>
    <row r="521" customFormat="false" ht="14.4" hidden="true" customHeight="false" outlineLevel="0" collapsed="false">
      <c r="A521" s="34" t="n">
        <v>2389341101</v>
      </c>
      <c r="B521" s="34" t="s">
        <v>3932</v>
      </c>
      <c r="C521" s="34" t="s">
        <v>103</v>
      </c>
      <c r="E521" s="30" t="s">
        <v>3933</v>
      </c>
      <c r="F521" s="34" t="n">
        <f aca="false">IFERROR(VLOOKUP($A521,'319'!$B:$H,7,0),0)</f>
        <v>0</v>
      </c>
      <c r="G521" s="34" t="n">
        <f aca="false">SUMIFS('12.326ana'!$C:$C,'12.326ana'!$M:$M,redes!A521)</f>
        <v>0</v>
      </c>
    </row>
    <row r="522" customFormat="false" ht="14.4" hidden="true" customHeight="false" outlineLevel="0" collapsed="false">
      <c r="A522" s="34" t="n">
        <v>2397013991</v>
      </c>
      <c r="B522" s="34" t="s">
        <v>3934</v>
      </c>
      <c r="C522" s="34" t="s">
        <v>77</v>
      </c>
      <c r="E522" s="30" t="s">
        <v>3935</v>
      </c>
      <c r="F522" s="34" t="n">
        <f aca="false">IFERROR(VLOOKUP($A522,'319'!$B:$H,7,0),0)</f>
        <v>0</v>
      </c>
      <c r="G522" s="34" t="n">
        <f aca="false">SUMIFS('12.326ana'!$C:$C,'12.326ana'!$M:$M,redes!A522)</f>
        <v>0</v>
      </c>
    </row>
    <row r="523" customFormat="false" ht="14.4" hidden="true" customHeight="false" outlineLevel="0" collapsed="false">
      <c r="A523" s="34" t="n">
        <v>2402164905</v>
      </c>
      <c r="B523" s="34" t="s">
        <v>3936</v>
      </c>
      <c r="C523" s="34" t="s">
        <v>77</v>
      </c>
      <c r="E523" s="30" t="s">
        <v>3937</v>
      </c>
      <c r="F523" s="34" t="n">
        <f aca="false">IFERROR(VLOOKUP($A523,'319'!$B:$H,7,0),0)</f>
        <v>0</v>
      </c>
      <c r="G523" s="34" t="n">
        <f aca="false">SUMIFS('12.326ana'!$C:$C,'12.326ana'!$M:$M,redes!A523)</f>
        <v>0</v>
      </c>
    </row>
    <row r="524" customFormat="false" ht="14.4" hidden="true" customHeight="false" outlineLevel="0" collapsed="false">
      <c r="A524" s="34" t="n">
        <v>2412319146</v>
      </c>
      <c r="B524" s="34" t="s">
        <v>3938</v>
      </c>
      <c r="C524" s="34" t="s">
        <v>77</v>
      </c>
      <c r="E524" s="30" t="s">
        <v>3939</v>
      </c>
      <c r="F524" s="34" t="n">
        <f aca="false">IFERROR(VLOOKUP($A524,'319'!$B:$H,7,0),0)</f>
        <v>0</v>
      </c>
      <c r="G524" s="34" t="n">
        <f aca="false">SUMIFS('12.326ana'!$C:$C,'12.326ana'!$M:$M,redes!A524)</f>
        <v>0</v>
      </c>
    </row>
    <row r="525" customFormat="false" ht="14.4" hidden="true" customHeight="false" outlineLevel="0" collapsed="false">
      <c r="A525" s="34" t="n">
        <v>2418058131</v>
      </c>
      <c r="B525" s="34" t="s">
        <v>3940</v>
      </c>
      <c r="C525" s="34" t="s">
        <v>296</v>
      </c>
      <c r="E525" s="30" t="s">
        <v>3941</v>
      </c>
      <c r="F525" s="34" t="n">
        <f aca="false">IFERROR(VLOOKUP($A525,'319'!$B:$H,7,0),0)</f>
        <v>0</v>
      </c>
      <c r="G525" s="34" t="n">
        <f aca="false">SUMIFS('12.326ana'!$C:$C,'12.326ana'!$M:$M,redes!A525)</f>
        <v>0</v>
      </c>
    </row>
    <row r="526" customFormat="false" ht="14.4" hidden="true" customHeight="false" outlineLevel="0" collapsed="false">
      <c r="A526" s="34" t="n">
        <v>2432441184</v>
      </c>
      <c r="B526" s="34" t="s">
        <v>3942</v>
      </c>
      <c r="C526" s="34" t="s">
        <v>77</v>
      </c>
      <c r="E526" s="30" t="s">
        <v>3943</v>
      </c>
      <c r="F526" s="34" t="n">
        <f aca="false">IFERROR(VLOOKUP($A526,'319'!$B:$H,7,0),0)</f>
        <v>0</v>
      </c>
      <c r="G526" s="34" t="n">
        <f aca="false">SUMIFS('12.326ana'!$C:$C,'12.326ana'!$M:$M,redes!A526)</f>
        <v>0</v>
      </c>
    </row>
    <row r="527" customFormat="false" ht="14.4" hidden="true" customHeight="false" outlineLevel="0" collapsed="false">
      <c r="A527" s="34" t="n">
        <v>2438701161</v>
      </c>
      <c r="B527" s="34" t="s">
        <v>3944</v>
      </c>
      <c r="C527" s="34" t="s">
        <v>77</v>
      </c>
      <c r="E527" s="30" t="s">
        <v>3945</v>
      </c>
      <c r="F527" s="34" t="n">
        <f aca="false">IFERROR(VLOOKUP($A527,'319'!$B:$H,7,0),0)</f>
        <v>0</v>
      </c>
      <c r="G527" s="34" t="n">
        <f aca="false">SUMIFS('12.326ana'!$C:$C,'12.326ana'!$M:$M,redes!A527)</f>
        <v>0</v>
      </c>
    </row>
    <row r="528" customFormat="false" ht="14.4" hidden="true" customHeight="false" outlineLevel="0" collapsed="false">
      <c r="A528" s="34" t="n">
        <v>2447495153</v>
      </c>
      <c r="B528" s="34" t="s">
        <v>3946</v>
      </c>
      <c r="C528" s="34" t="s">
        <v>77</v>
      </c>
      <c r="E528" s="30" t="s">
        <v>3947</v>
      </c>
      <c r="F528" s="34" t="n">
        <f aca="false">IFERROR(VLOOKUP($A528,'319'!$B:$H,7,0),0)</f>
        <v>0</v>
      </c>
      <c r="G528" s="34" t="n">
        <f aca="false">SUMIFS('12.326ana'!$C:$C,'12.326ana'!$M:$M,redes!A528)</f>
        <v>0</v>
      </c>
    </row>
    <row r="529" customFormat="false" ht="14.4" hidden="true" customHeight="false" outlineLevel="0" collapsed="false">
      <c r="A529" s="34" t="n">
        <v>2453833103</v>
      </c>
      <c r="B529" s="34" t="s">
        <v>3948</v>
      </c>
      <c r="C529" s="34" t="s">
        <v>463</v>
      </c>
      <c r="E529" s="30" t="s">
        <v>3949</v>
      </c>
      <c r="F529" s="34" t="n">
        <f aca="false">IFERROR(VLOOKUP($A529,'319'!$B:$H,7,0),0)</f>
        <v>0</v>
      </c>
      <c r="G529" s="34" t="n">
        <f aca="false">SUMIFS('12.326ana'!$C:$C,'12.326ana'!$M:$M,redes!A529)</f>
        <v>0</v>
      </c>
    </row>
    <row r="530" customFormat="false" ht="14.4" hidden="true" customHeight="false" outlineLevel="0" collapsed="false">
      <c r="A530" s="34" t="n">
        <v>2470448905</v>
      </c>
      <c r="B530" s="34" t="s">
        <v>3950</v>
      </c>
      <c r="C530" s="34" t="s">
        <v>309</v>
      </c>
      <c r="E530" s="30" t="s">
        <v>3951</v>
      </c>
      <c r="F530" s="34" t="n">
        <f aca="false">IFERROR(VLOOKUP($A530,'319'!$B:$H,7,0),0)</f>
        <v>0</v>
      </c>
      <c r="G530" s="34" t="n">
        <f aca="false">SUMIFS('12.326ana'!$C:$C,'12.326ana'!$M:$M,redes!A530)</f>
        <v>0</v>
      </c>
    </row>
    <row r="531" customFormat="false" ht="14.4" hidden="true" customHeight="false" outlineLevel="0" collapsed="false">
      <c r="A531" s="34" t="n">
        <v>2477882104</v>
      </c>
      <c r="B531" s="34" t="s">
        <v>3952</v>
      </c>
      <c r="C531" s="34" t="s">
        <v>77</v>
      </c>
      <c r="E531" s="30" t="s">
        <v>3953</v>
      </c>
      <c r="F531" s="34" t="n">
        <f aca="false">IFERROR(VLOOKUP($A531,'319'!$B:$H,7,0),0)</f>
        <v>0</v>
      </c>
      <c r="G531" s="34" t="n">
        <f aca="false">SUMIFS('12.326ana'!$C:$C,'12.326ana'!$M:$M,redes!A531)</f>
        <v>0</v>
      </c>
    </row>
    <row r="532" customFormat="false" ht="14.4" hidden="true" customHeight="false" outlineLevel="0" collapsed="false">
      <c r="A532" s="34" t="n">
        <v>2478944197</v>
      </c>
      <c r="B532" s="34" t="s">
        <v>3954</v>
      </c>
      <c r="C532" s="34" t="s">
        <v>77</v>
      </c>
      <c r="E532" s="30" t="s">
        <v>3955</v>
      </c>
      <c r="F532" s="34" t="n">
        <f aca="false">IFERROR(VLOOKUP($A532,'319'!$B:$H,7,0),0)</f>
        <v>0</v>
      </c>
      <c r="G532" s="34" t="n">
        <f aca="false">SUMIFS('12.326ana'!$C:$C,'12.326ana'!$M:$M,redes!A532)</f>
        <v>0</v>
      </c>
    </row>
    <row r="533" customFormat="false" ht="14.4" hidden="true" customHeight="false" outlineLevel="0" collapsed="false">
      <c r="A533" s="34" t="n">
        <v>2480733971</v>
      </c>
      <c r="B533" s="34" t="s">
        <v>3956</v>
      </c>
      <c r="C533" s="34" t="s">
        <v>342</v>
      </c>
      <c r="E533" s="30" t="s">
        <v>3957</v>
      </c>
      <c r="F533" s="34" t="n">
        <f aca="false">IFERROR(VLOOKUP($A533,'319'!$B:$H,7,0),0)</f>
        <v>0</v>
      </c>
      <c r="G533" s="34" t="n">
        <f aca="false">SUMIFS('12.326ana'!$C:$C,'12.326ana'!$M:$M,redes!A533)</f>
        <v>0</v>
      </c>
    </row>
    <row r="534" customFormat="false" ht="14.4" hidden="true" customHeight="false" outlineLevel="0" collapsed="false">
      <c r="A534" s="34" t="n">
        <v>2480977412</v>
      </c>
      <c r="B534" s="34" t="s">
        <v>3958</v>
      </c>
      <c r="C534" s="34" t="s">
        <v>77</v>
      </c>
      <c r="E534" s="30" t="s">
        <v>3959</v>
      </c>
      <c r="F534" s="34" t="n">
        <f aca="false">IFERROR(VLOOKUP($A534,'319'!$B:$H,7,0),0)</f>
        <v>0</v>
      </c>
      <c r="G534" s="34" t="n">
        <f aca="false">SUMIFS('12.326ana'!$C:$C,'12.326ana'!$M:$M,redes!A534)</f>
        <v>0</v>
      </c>
    </row>
    <row r="535" customFormat="false" ht="14.4" hidden="true" customHeight="false" outlineLevel="0" collapsed="false">
      <c r="A535" s="34" t="n">
        <v>2482003130</v>
      </c>
      <c r="B535" s="34" t="s">
        <v>3960</v>
      </c>
      <c r="C535" s="34" t="s">
        <v>77</v>
      </c>
      <c r="E535" s="30" t="s">
        <v>3961</v>
      </c>
      <c r="F535" s="34" t="n">
        <f aca="false">IFERROR(VLOOKUP($A535,'319'!$B:$H,7,0),0)</f>
        <v>0</v>
      </c>
      <c r="G535" s="34" t="n">
        <f aca="false">SUMIFS('12.326ana'!$C:$C,'12.326ana'!$M:$M,redes!A535)</f>
        <v>0</v>
      </c>
    </row>
    <row r="536" customFormat="false" ht="14.4" hidden="true" customHeight="false" outlineLevel="0" collapsed="false">
      <c r="A536" s="34" t="n">
        <v>2483124135</v>
      </c>
      <c r="B536" s="34" t="s">
        <v>3962</v>
      </c>
      <c r="C536" s="34" t="s">
        <v>139</v>
      </c>
      <c r="E536" s="30" t="s">
        <v>3963</v>
      </c>
      <c r="F536" s="34" t="n">
        <f aca="false">IFERROR(VLOOKUP($A536,'319'!$B:$H,7,0),0)</f>
        <v>0</v>
      </c>
      <c r="G536" s="34" t="n">
        <f aca="false">SUMIFS('12.326ana'!$C:$C,'12.326ana'!$M:$M,redes!A536)</f>
        <v>0</v>
      </c>
    </row>
    <row r="537" customFormat="false" ht="14.4" hidden="true" customHeight="false" outlineLevel="0" collapsed="false">
      <c r="A537" s="34" t="n">
        <v>2486091220</v>
      </c>
      <c r="B537" s="34" t="s">
        <v>3964</v>
      </c>
      <c r="C537" s="34" t="s">
        <v>77</v>
      </c>
      <c r="E537" s="30" t="s">
        <v>3965</v>
      </c>
      <c r="F537" s="34" t="n">
        <f aca="false">IFERROR(VLOOKUP($A537,'319'!$B:$H,7,0),0)</f>
        <v>0</v>
      </c>
      <c r="G537" s="34" t="n">
        <f aca="false">SUMIFS('12.326ana'!$C:$C,'12.326ana'!$M:$M,redes!A537)</f>
        <v>0</v>
      </c>
    </row>
    <row r="538" customFormat="false" ht="14.4" hidden="true" customHeight="false" outlineLevel="0" collapsed="false">
      <c r="A538" s="34" t="n">
        <v>2494027187</v>
      </c>
      <c r="B538" s="34" t="s">
        <v>3966</v>
      </c>
      <c r="C538" s="34" t="s">
        <v>77</v>
      </c>
      <c r="E538" s="30"/>
      <c r="F538" s="34" t="n">
        <f aca="false">IFERROR(VLOOKUP($A538,'319'!$B:$H,7,0),0)</f>
        <v>0</v>
      </c>
      <c r="G538" s="34" t="n">
        <f aca="false">SUMIFS('12.326ana'!$C:$C,'12.326ana'!$M:$M,redes!A538)</f>
        <v>0</v>
      </c>
    </row>
    <row r="539" customFormat="false" ht="14.4" hidden="true" customHeight="false" outlineLevel="0" collapsed="false">
      <c r="A539" s="34" t="n">
        <v>2500773108</v>
      </c>
      <c r="B539" s="34" t="s">
        <v>3967</v>
      </c>
      <c r="C539" s="34" t="s">
        <v>842</v>
      </c>
      <c r="E539" s="30" t="s">
        <v>3968</v>
      </c>
      <c r="F539" s="34" t="n">
        <f aca="false">IFERROR(VLOOKUP($A539,'319'!$B:$H,7,0),0)</f>
        <v>0</v>
      </c>
      <c r="G539" s="34" t="n">
        <f aca="false">SUMIFS('12.326ana'!$C:$C,'12.326ana'!$M:$M,redes!A539)</f>
        <v>0</v>
      </c>
    </row>
    <row r="540" customFormat="false" ht="14.4" hidden="true" customHeight="false" outlineLevel="0" collapsed="false">
      <c r="A540" s="34" t="n">
        <v>2500961109</v>
      </c>
      <c r="B540" s="34" t="s">
        <v>3969</v>
      </c>
      <c r="C540" s="34" t="s">
        <v>1272</v>
      </c>
      <c r="E540" s="30" t="s">
        <v>3970</v>
      </c>
      <c r="F540" s="34" t="n">
        <f aca="false">IFERROR(VLOOKUP($A540,'319'!$B:$H,7,0),0)</f>
        <v>0</v>
      </c>
      <c r="G540" s="34" t="n">
        <f aca="false">SUMIFS('12.326ana'!$C:$C,'12.326ana'!$M:$M,redes!A540)</f>
        <v>0</v>
      </c>
    </row>
    <row r="541" customFormat="false" ht="14.4" hidden="true" customHeight="false" outlineLevel="0" collapsed="false">
      <c r="A541" s="34" t="n">
        <v>2501015991</v>
      </c>
      <c r="B541" s="34" t="s">
        <v>3971</v>
      </c>
      <c r="C541" s="34" t="s">
        <v>77</v>
      </c>
      <c r="E541" s="30" t="s">
        <v>3972</v>
      </c>
      <c r="F541" s="34" t="n">
        <f aca="false">IFERROR(VLOOKUP($A541,'319'!$B:$H,7,0),0)</f>
        <v>0</v>
      </c>
      <c r="G541" s="34" t="n">
        <f aca="false">SUMIFS('12.326ana'!$C:$C,'12.326ana'!$M:$M,redes!A541)</f>
        <v>0</v>
      </c>
    </row>
    <row r="542" customFormat="false" ht="14.4" hidden="true" customHeight="false" outlineLevel="0" collapsed="false">
      <c r="A542" s="34" t="n">
        <v>2502208149</v>
      </c>
      <c r="B542" s="34" t="s">
        <v>3973</v>
      </c>
      <c r="C542" s="34" t="s">
        <v>77</v>
      </c>
      <c r="E542" s="30" t="s">
        <v>3974</v>
      </c>
      <c r="F542" s="34" t="n">
        <f aca="false">IFERROR(VLOOKUP($A542,'319'!$B:$H,7,0),0)</f>
        <v>0</v>
      </c>
      <c r="G542" s="34" t="n">
        <f aca="false">SUMIFS('12.326ana'!$C:$C,'12.326ana'!$M:$M,redes!A542)</f>
        <v>0</v>
      </c>
    </row>
    <row r="543" customFormat="false" ht="14.4" hidden="true" customHeight="false" outlineLevel="0" collapsed="false">
      <c r="A543" s="34" t="n">
        <v>2512015114</v>
      </c>
      <c r="B543" s="34" t="s">
        <v>3975</v>
      </c>
      <c r="C543" s="34" t="s">
        <v>77</v>
      </c>
      <c r="E543" s="30" t="s">
        <v>3976</v>
      </c>
      <c r="F543" s="34" t="n">
        <f aca="false">IFERROR(VLOOKUP($A543,'319'!$B:$H,7,0),0)</f>
        <v>0</v>
      </c>
      <c r="G543" s="34" t="n">
        <f aca="false">SUMIFS('12.326ana'!$C:$C,'12.326ana'!$M:$M,redes!A543)</f>
        <v>0</v>
      </c>
    </row>
    <row r="544" customFormat="false" ht="14.4" hidden="true" customHeight="false" outlineLevel="0" collapsed="false">
      <c r="A544" s="34" t="n">
        <v>2516447159</v>
      </c>
      <c r="B544" s="34" t="s">
        <v>3977</v>
      </c>
      <c r="C544" s="34" t="s">
        <v>342</v>
      </c>
      <c r="E544" s="30" t="s">
        <v>3978</v>
      </c>
      <c r="F544" s="34" t="n">
        <f aca="false">IFERROR(VLOOKUP($A544,'319'!$B:$H,7,0),0)</f>
        <v>0</v>
      </c>
      <c r="G544" s="34" t="n">
        <f aca="false">SUMIFS('12.326ana'!$C:$C,'12.326ana'!$M:$M,redes!A544)</f>
        <v>0</v>
      </c>
    </row>
    <row r="545" customFormat="false" ht="14.4" hidden="true" customHeight="false" outlineLevel="0" collapsed="false">
      <c r="A545" s="34" t="n">
        <v>2521387169</v>
      </c>
      <c r="B545" s="34" t="s">
        <v>3979</v>
      </c>
      <c r="C545" s="34" t="s">
        <v>77</v>
      </c>
      <c r="E545" s="30" t="s">
        <v>3979</v>
      </c>
      <c r="F545" s="34" t="n">
        <f aca="false">IFERROR(VLOOKUP($A545,'319'!$B:$H,7,0),0)</f>
        <v>0</v>
      </c>
      <c r="G545" s="34" t="n">
        <f aca="false">SUMIFS('12.326ana'!$C:$C,'12.326ana'!$M:$M,redes!A545)</f>
        <v>0</v>
      </c>
    </row>
    <row r="546" customFormat="false" ht="14.4" hidden="true" customHeight="false" outlineLevel="0" collapsed="false">
      <c r="A546" s="34" t="n">
        <v>2525301102</v>
      </c>
      <c r="B546" s="34" t="s">
        <v>3980</v>
      </c>
      <c r="C546" s="34" t="s">
        <v>357</v>
      </c>
      <c r="E546" s="30" t="s">
        <v>3981</v>
      </c>
      <c r="F546" s="34" t="n">
        <f aca="false">IFERROR(VLOOKUP($A546,'319'!$B:$H,7,0),0)</f>
        <v>0</v>
      </c>
      <c r="G546" s="34" t="n">
        <f aca="false">SUMIFS('12.326ana'!$C:$C,'12.326ana'!$M:$M,redes!A546)</f>
        <v>0</v>
      </c>
    </row>
    <row r="547" customFormat="false" ht="14.4" hidden="true" customHeight="false" outlineLevel="0" collapsed="false">
      <c r="A547" s="34" t="n">
        <v>2528750102</v>
      </c>
      <c r="B547" s="34" t="s">
        <v>3982</v>
      </c>
      <c r="C547" s="34" t="s">
        <v>463</v>
      </c>
      <c r="E547" s="30" t="s">
        <v>3983</v>
      </c>
      <c r="F547" s="34" t="n">
        <f aca="false">IFERROR(VLOOKUP($A547,'319'!$B:$H,7,0),0)</f>
        <v>0</v>
      </c>
      <c r="G547" s="34" t="n">
        <f aca="false">SUMIFS('12.326ana'!$C:$C,'12.326ana'!$M:$M,redes!A547)</f>
        <v>0</v>
      </c>
    </row>
    <row r="548" customFormat="false" ht="14.4" hidden="true" customHeight="false" outlineLevel="0" collapsed="false">
      <c r="A548" s="34" t="n">
        <v>2544095121</v>
      </c>
      <c r="B548" s="34" t="s">
        <v>3984</v>
      </c>
      <c r="C548" s="34" t="s">
        <v>77</v>
      </c>
      <c r="E548" s="30" t="s">
        <v>3985</v>
      </c>
      <c r="F548" s="34" t="n">
        <f aca="false">IFERROR(VLOOKUP($A548,'319'!$B:$H,7,0),0)</f>
        <v>0</v>
      </c>
      <c r="G548" s="34" t="n">
        <f aca="false">SUMIFS('12.326ana'!$C:$C,'12.326ana'!$M:$M,redes!A548)</f>
        <v>0</v>
      </c>
    </row>
    <row r="549" customFormat="false" ht="14.4" hidden="true" customHeight="false" outlineLevel="0" collapsed="false">
      <c r="A549" s="34" t="n">
        <v>2548670147</v>
      </c>
      <c r="B549" s="34" t="s">
        <v>3986</v>
      </c>
      <c r="C549" s="34" t="s">
        <v>192</v>
      </c>
      <c r="E549" s="30" t="s">
        <v>3987</v>
      </c>
      <c r="F549" s="34" t="n">
        <f aca="false">IFERROR(VLOOKUP($A549,'319'!$B:$H,7,0),0)</f>
        <v>0</v>
      </c>
      <c r="G549" s="34" t="n">
        <f aca="false">SUMIFS('12.326ana'!$C:$C,'12.326ana'!$M:$M,redes!A549)</f>
        <v>0</v>
      </c>
    </row>
    <row r="550" customFormat="false" ht="14.4" hidden="true" customHeight="false" outlineLevel="0" collapsed="false">
      <c r="A550" s="34" t="n">
        <v>2556943181</v>
      </c>
      <c r="B550" s="34" t="s">
        <v>3988</v>
      </c>
      <c r="C550" s="34" t="s">
        <v>77</v>
      </c>
      <c r="E550" s="30" t="s">
        <v>3922</v>
      </c>
      <c r="F550" s="34" t="n">
        <f aca="false">IFERROR(VLOOKUP($A550,'319'!$B:$H,7,0),0)</f>
        <v>0</v>
      </c>
      <c r="G550" s="34" t="n">
        <f aca="false">SUMIFS('12.326ana'!$C:$C,'12.326ana'!$M:$M,redes!A550)</f>
        <v>0</v>
      </c>
    </row>
    <row r="551" customFormat="false" ht="14.4" hidden="true" customHeight="false" outlineLevel="0" collapsed="false">
      <c r="A551" s="34" t="n">
        <v>2557001996</v>
      </c>
      <c r="B551" s="34" t="s">
        <v>3989</v>
      </c>
      <c r="C551" s="34" t="s">
        <v>77</v>
      </c>
      <c r="E551" s="30"/>
      <c r="F551" s="34" t="n">
        <f aca="false">IFERROR(VLOOKUP($A551,'319'!$B:$H,7,0),0)</f>
        <v>0</v>
      </c>
      <c r="G551" s="34" t="n">
        <f aca="false">SUMIFS('12.326ana'!$C:$C,'12.326ana'!$M:$M,redes!A551)</f>
        <v>0</v>
      </c>
    </row>
    <row r="552" customFormat="false" ht="14.4" hidden="true" customHeight="false" outlineLevel="0" collapsed="false">
      <c r="A552" s="34" t="n">
        <v>2560528169</v>
      </c>
      <c r="B552" s="34" t="s">
        <v>3990</v>
      </c>
      <c r="C552" s="34" t="s">
        <v>192</v>
      </c>
      <c r="E552" s="30" t="s">
        <v>3990</v>
      </c>
      <c r="F552" s="34" t="n">
        <f aca="false">IFERROR(VLOOKUP($A552,'319'!$B:$H,7,0),0)</f>
        <v>0</v>
      </c>
      <c r="G552" s="34" t="n">
        <f aca="false">SUMIFS('12.326ana'!$C:$C,'12.326ana'!$M:$M,redes!A552)</f>
        <v>0</v>
      </c>
    </row>
    <row r="553" customFormat="false" ht="14.4" hidden="true" customHeight="false" outlineLevel="0" collapsed="false">
      <c r="A553" s="34" t="n">
        <v>2561628400</v>
      </c>
      <c r="B553" s="34" t="s">
        <v>3991</v>
      </c>
      <c r="C553" s="34" t="s">
        <v>139</v>
      </c>
      <c r="E553" s="30" t="s">
        <v>3992</v>
      </c>
      <c r="F553" s="34" t="n">
        <f aca="false">IFERROR(VLOOKUP($A553,'319'!$B:$H,7,0),0)</f>
        <v>0</v>
      </c>
      <c r="G553" s="34" t="n">
        <f aca="false">SUMIFS('12.326ana'!$C:$C,'12.326ana'!$M:$M,redes!A553)</f>
        <v>0</v>
      </c>
    </row>
    <row r="554" customFormat="false" ht="14.4" hidden="true" customHeight="false" outlineLevel="0" collapsed="false">
      <c r="A554" s="34" t="n">
        <v>2569488950</v>
      </c>
      <c r="B554" s="34" t="s">
        <v>3993</v>
      </c>
      <c r="C554" s="34" t="s">
        <v>107</v>
      </c>
      <c r="E554" s="30" t="s">
        <v>3994</v>
      </c>
      <c r="F554" s="34" t="n">
        <f aca="false">IFERROR(VLOOKUP($A554,'319'!$B:$H,7,0),0)</f>
        <v>0</v>
      </c>
      <c r="G554" s="34" t="n">
        <f aca="false">SUMIFS('12.326ana'!$C:$C,'12.326ana'!$M:$M,redes!A554)</f>
        <v>0</v>
      </c>
    </row>
    <row r="555" customFormat="false" ht="14.4" hidden="true" customHeight="false" outlineLevel="0" collapsed="false">
      <c r="A555" s="34" t="n">
        <v>2574987101</v>
      </c>
      <c r="B555" s="34" t="s">
        <v>3995</v>
      </c>
      <c r="C555" s="34" t="s">
        <v>77</v>
      </c>
      <c r="E555" s="30" t="s">
        <v>3996</v>
      </c>
      <c r="F555" s="34" t="n">
        <f aca="false">IFERROR(VLOOKUP($A555,'319'!$B:$H,7,0),0)</f>
        <v>0</v>
      </c>
      <c r="G555" s="34" t="n">
        <f aca="false">SUMIFS('12.326ana'!$C:$C,'12.326ana'!$M:$M,redes!A555)</f>
        <v>0</v>
      </c>
    </row>
    <row r="556" customFormat="false" ht="14.4" hidden="true" customHeight="false" outlineLevel="0" collapsed="false">
      <c r="A556" s="34" t="n">
        <v>2575984130</v>
      </c>
      <c r="B556" s="34" t="s">
        <v>3997</v>
      </c>
      <c r="C556" s="34" t="s">
        <v>77</v>
      </c>
      <c r="E556" s="30" t="s">
        <v>3998</v>
      </c>
      <c r="F556" s="34" t="n">
        <f aca="false">IFERROR(VLOOKUP($A556,'319'!$B:$H,7,0),0)</f>
        <v>0</v>
      </c>
      <c r="G556" s="34" t="n">
        <f aca="false">SUMIFS('12.326ana'!$C:$C,'12.326ana'!$M:$M,redes!A556)</f>
        <v>0</v>
      </c>
    </row>
    <row r="557" customFormat="false" ht="14.4" hidden="true" customHeight="false" outlineLevel="0" collapsed="false">
      <c r="A557" s="34" t="n">
        <v>2581103175</v>
      </c>
      <c r="B557" s="34" t="s">
        <v>3999</v>
      </c>
      <c r="C557" s="34" t="s">
        <v>77</v>
      </c>
      <c r="E557" s="30" t="s">
        <v>4000</v>
      </c>
      <c r="F557" s="34" t="n">
        <f aca="false">IFERROR(VLOOKUP($A557,'319'!$B:$H,7,0),0)</f>
        <v>0</v>
      </c>
      <c r="G557" s="34" t="n">
        <f aca="false">SUMIFS('12.326ana'!$C:$C,'12.326ana'!$M:$M,redes!A557)</f>
        <v>0</v>
      </c>
    </row>
    <row r="558" customFormat="false" ht="14.4" hidden="true" customHeight="false" outlineLevel="0" collapsed="false">
      <c r="A558" s="34" t="n">
        <v>2583323873</v>
      </c>
      <c r="B558" s="34" t="s">
        <v>4001</v>
      </c>
      <c r="C558" s="34" t="s">
        <v>478</v>
      </c>
      <c r="E558" s="30" t="s">
        <v>4002</v>
      </c>
      <c r="F558" s="34" t="n">
        <f aca="false">IFERROR(VLOOKUP($A558,'319'!$B:$H,7,0),0)</f>
        <v>0</v>
      </c>
      <c r="G558" s="34" t="n">
        <f aca="false">SUMIFS('12.326ana'!$C:$C,'12.326ana'!$M:$M,redes!A558)</f>
        <v>0</v>
      </c>
    </row>
    <row r="559" customFormat="false" ht="14.4" hidden="true" customHeight="false" outlineLevel="0" collapsed="false">
      <c r="A559" s="34" t="n">
        <v>2583778951</v>
      </c>
      <c r="B559" s="34" t="s">
        <v>4003</v>
      </c>
      <c r="C559" s="34" t="s">
        <v>89</v>
      </c>
      <c r="E559" s="30" t="s">
        <v>4004</v>
      </c>
      <c r="F559" s="34" t="n">
        <f aca="false">IFERROR(VLOOKUP($A559,'319'!$B:$H,7,0),0)</f>
        <v>0</v>
      </c>
      <c r="G559" s="34" t="n">
        <f aca="false">SUMIFS('12.326ana'!$C:$C,'12.326ana'!$M:$M,redes!A559)</f>
        <v>0</v>
      </c>
    </row>
    <row r="560" customFormat="false" ht="14.4" hidden="true" customHeight="false" outlineLevel="0" collapsed="false">
      <c r="A560" s="34" t="n">
        <v>2587679109</v>
      </c>
      <c r="B560" s="34" t="s">
        <v>4005</v>
      </c>
      <c r="C560" s="34" t="s">
        <v>107</v>
      </c>
      <c r="E560" s="30" t="s">
        <v>4006</v>
      </c>
      <c r="F560" s="34" t="n">
        <f aca="false">IFERROR(VLOOKUP($A560,'319'!$B:$H,7,0),0)</f>
        <v>0</v>
      </c>
      <c r="G560" s="34" t="n">
        <f aca="false">SUMIFS('12.326ana'!$C:$C,'12.326ana'!$M:$M,redes!A560)</f>
        <v>0</v>
      </c>
    </row>
    <row r="561" customFormat="false" ht="14.4" hidden="true" customHeight="false" outlineLevel="0" collapsed="false">
      <c r="A561" s="34" t="n">
        <v>2589821107</v>
      </c>
      <c r="B561" s="34" t="s">
        <v>4007</v>
      </c>
      <c r="C561" s="34" t="s">
        <v>77</v>
      </c>
      <c r="E561" s="30" t="s">
        <v>4007</v>
      </c>
      <c r="F561" s="34" t="n">
        <f aca="false">IFERROR(VLOOKUP($A561,'319'!$B:$H,7,0),0)</f>
        <v>0</v>
      </c>
      <c r="G561" s="34" t="n">
        <f aca="false">SUMIFS('12.326ana'!$C:$C,'12.326ana'!$M:$M,redes!A561)</f>
        <v>0</v>
      </c>
    </row>
    <row r="562" customFormat="false" ht="14.4" hidden="true" customHeight="false" outlineLevel="0" collapsed="false">
      <c r="A562" s="34" t="n">
        <v>2590122110</v>
      </c>
      <c r="B562" s="34" t="s">
        <v>4008</v>
      </c>
      <c r="C562" s="34" t="s">
        <v>77</v>
      </c>
      <c r="E562" s="30"/>
      <c r="F562" s="34" t="n">
        <f aca="false">IFERROR(VLOOKUP($A562,'319'!$B:$H,7,0),0)</f>
        <v>0</v>
      </c>
      <c r="G562" s="34" t="n">
        <f aca="false">SUMIFS('12.326ana'!$C:$C,'12.326ana'!$M:$M,redes!A562)</f>
        <v>0</v>
      </c>
    </row>
    <row r="563" customFormat="false" ht="14.4" hidden="true" customHeight="false" outlineLevel="0" collapsed="false">
      <c r="A563" s="34" t="n">
        <v>2602097160</v>
      </c>
      <c r="B563" s="34" t="s">
        <v>4009</v>
      </c>
      <c r="C563" s="34" t="s">
        <v>309</v>
      </c>
      <c r="E563" s="30" t="s">
        <v>4010</v>
      </c>
      <c r="F563" s="34" t="n">
        <f aca="false">IFERROR(VLOOKUP($A563,'319'!$B:$H,7,0),0)</f>
        <v>0</v>
      </c>
      <c r="G563" s="34" t="n">
        <f aca="false">SUMIFS('12.326ana'!$C:$C,'12.326ana'!$M:$M,redes!A563)</f>
        <v>0</v>
      </c>
    </row>
    <row r="564" customFormat="false" ht="14.4" hidden="true" customHeight="false" outlineLevel="0" collapsed="false">
      <c r="A564" s="34" t="n">
        <v>2607822114</v>
      </c>
      <c r="B564" s="34" t="s">
        <v>4011</v>
      </c>
      <c r="C564" s="34" t="s">
        <v>463</v>
      </c>
      <c r="E564" s="30"/>
      <c r="F564" s="34" t="n">
        <f aca="false">IFERROR(VLOOKUP($A564,'319'!$B:$H,7,0),0)</f>
        <v>0</v>
      </c>
      <c r="G564" s="34" t="n">
        <f aca="false">SUMIFS('12.326ana'!$C:$C,'12.326ana'!$M:$M,redes!A564)</f>
        <v>0</v>
      </c>
    </row>
    <row r="565" customFormat="false" ht="14.4" hidden="true" customHeight="false" outlineLevel="0" collapsed="false">
      <c r="A565" s="34" t="n">
        <v>2608139159</v>
      </c>
      <c r="B565" s="34" t="s">
        <v>4012</v>
      </c>
      <c r="C565" s="34" t="s">
        <v>77</v>
      </c>
      <c r="E565" s="30" t="s">
        <v>4012</v>
      </c>
      <c r="F565" s="34" t="n">
        <f aca="false">IFERROR(VLOOKUP($A565,'319'!$B:$H,7,0),0)</f>
        <v>0</v>
      </c>
      <c r="G565" s="34" t="n">
        <f aca="false">SUMIFS('12.326ana'!$C:$C,'12.326ana'!$M:$M,redes!A565)</f>
        <v>0</v>
      </c>
    </row>
    <row r="566" customFormat="false" ht="14.4" hidden="true" customHeight="false" outlineLevel="0" collapsed="false">
      <c r="A566" s="34" t="n">
        <v>2630417190</v>
      </c>
      <c r="B566" s="34" t="s">
        <v>4013</v>
      </c>
      <c r="C566" s="34" t="s">
        <v>77</v>
      </c>
      <c r="E566" s="30" t="s">
        <v>4014</v>
      </c>
      <c r="F566" s="34" t="n">
        <f aca="false">IFERROR(VLOOKUP($A566,'319'!$B:$H,7,0),0)</f>
        <v>0</v>
      </c>
      <c r="G566" s="34" t="n">
        <f aca="false">SUMIFS('12.326ana'!$C:$C,'12.326ana'!$M:$M,redes!A566)</f>
        <v>0</v>
      </c>
    </row>
    <row r="567" customFormat="false" ht="14.4" hidden="true" customHeight="false" outlineLevel="0" collapsed="false">
      <c r="A567" s="34" t="n">
        <v>2636812113</v>
      </c>
      <c r="B567" s="34" t="s">
        <v>4015</v>
      </c>
      <c r="C567" s="34" t="s">
        <v>89</v>
      </c>
      <c r="E567" s="30" t="s">
        <v>4016</v>
      </c>
      <c r="F567" s="34" t="n">
        <f aca="false">IFERROR(VLOOKUP($A567,'319'!$B:$H,7,0),0)</f>
        <v>0</v>
      </c>
      <c r="G567" s="34" t="n">
        <f aca="false">SUMIFS('12.326ana'!$C:$C,'12.326ana'!$M:$M,redes!A567)</f>
        <v>0</v>
      </c>
    </row>
    <row r="568" customFormat="false" ht="14.4" hidden="true" customHeight="false" outlineLevel="0" collapsed="false">
      <c r="A568" s="34" t="n">
        <v>2643526104</v>
      </c>
      <c r="B568" s="34" t="s">
        <v>4017</v>
      </c>
      <c r="C568" s="34" t="s">
        <v>77</v>
      </c>
      <c r="E568" s="30" t="s">
        <v>4018</v>
      </c>
      <c r="F568" s="34" t="n">
        <f aca="false">IFERROR(VLOOKUP($A568,'319'!$B:$H,7,0),0)</f>
        <v>0</v>
      </c>
      <c r="G568" s="34" t="n">
        <f aca="false">SUMIFS('12.326ana'!$C:$C,'12.326ana'!$M:$M,redes!A568)</f>
        <v>0</v>
      </c>
    </row>
    <row r="569" customFormat="false" ht="14.4" hidden="true" customHeight="false" outlineLevel="0" collapsed="false">
      <c r="A569" s="34" t="n">
        <v>2648614850</v>
      </c>
      <c r="B569" s="34" t="s">
        <v>4019</v>
      </c>
      <c r="C569" s="34" t="s">
        <v>77</v>
      </c>
      <c r="E569" s="30" t="s">
        <v>4020</v>
      </c>
      <c r="F569" s="34" t="n">
        <f aca="false">IFERROR(VLOOKUP($A569,'319'!$B:$H,7,0),0)</f>
        <v>0</v>
      </c>
      <c r="G569" s="34" t="n">
        <f aca="false">SUMIFS('12.326ana'!$C:$C,'12.326ana'!$M:$M,redes!A569)</f>
        <v>0</v>
      </c>
    </row>
    <row r="570" customFormat="false" ht="14.4" hidden="true" customHeight="false" outlineLevel="0" collapsed="false">
      <c r="A570" s="34" t="n">
        <v>2666987000</v>
      </c>
      <c r="B570" s="34" t="s">
        <v>4021</v>
      </c>
      <c r="C570" s="34" t="s">
        <v>77</v>
      </c>
      <c r="E570" s="30"/>
      <c r="F570" s="34" t="n">
        <f aca="false">IFERROR(VLOOKUP($A570,'319'!$B:$H,7,0),0)</f>
        <v>0</v>
      </c>
      <c r="G570" s="34" t="n">
        <f aca="false">SUMIFS('12.326ana'!$C:$C,'12.326ana'!$M:$M,redes!A570)</f>
        <v>0</v>
      </c>
    </row>
    <row r="571" customFormat="false" ht="14.4" hidden="true" customHeight="false" outlineLevel="0" collapsed="false">
      <c r="A571" s="34" t="n">
        <v>2668801184</v>
      </c>
      <c r="B571" s="34" t="s">
        <v>4022</v>
      </c>
      <c r="C571" s="34" t="s">
        <v>77</v>
      </c>
      <c r="E571" s="30" t="s">
        <v>3831</v>
      </c>
      <c r="F571" s="34" t="n">
        <f aca="false">IFERROR(VLOOKUP($A571,'319'!$B:$H,7,0),0)</f>
        <v>0</v>
      </c>
      <c r="G571" s="34" t="n">
        <f aca="false">SUMIFS('12.326ana'!$C:$C,'12.326ana'!$M:$M,redes!A571)</f>
        <v>0</v>
      </c>
    </row>
    <row r="572" customFormat="false" ht="14.4" hidden="true" customHeight="false" outlineLevel="0" collapsed="false">
      <c r="A572" s="34" t="n">
        <v>2672869103</v>
      </c>
      <c r="B572" s="34" t="s">
        <v>4023</v>
      </c>
      <c r="C572" s="34" t="s">
        <v>77</v>
      </c>
      <c r="E572" s="30" t="s">
        <v>3796</v>
      </c>
      <c r="F572" s="34" t="n">
        <f aca="false">IFERROR(VLOOKUP($A572,'319'!$B:$H,7,0),0)</f>
        <v>0</v>
      </c>
      <c r="G572" s="34" t="n">
        <f aca="false">SUMIFS('12.326ana'!$C:$C,'12.326ana'!$M:$M,redes!A572)</f>
        <v>0</v>
      </c>
    </row>
    <row r="573" customFormat="false" ht="14.4" hidden="true" customHeight="false" outlineLevel="0" collapsed="false">
      <c r="A573" s="34" t="n">
        <v>2673145150</v>
      </c>
      <c r="B573" s="34" t="s">
        <v>4024</v>
      </c>
      <c r="C573" s="34" t="s">
        <v>77</v>
      </c>
      <c r="E573" s="30" t="s">
        <v>3045</v>
      </c>
      <c r="F573" s="34" t="n">
        <f aca="false">IFERROR(VLOOKUP($A573,'319'!$B:$H,7,0),0)</f>
        <v>0</v>
      </c>
      <c r="G573" s="34" t="n">
        <f aca="false">SUMIFS('12.326ana'!$C:$C,'12.326ana'!$M:$M,redes!A573)</f>
        <v>0</v>
      </c>
    </row>
    <row r="574" customFormat="false" ht="14.4" hidden="true" customHeight="false" outlineLevel="0" collapsed="false">
      <c r="A574" s="34" t="n">
        <v>2681812178</v>
      </c>
      <c r="B574" s="34" t="s">
        <v>4025</v>
      </c>
      <c r="C574" s="34" t="s">
        <v>77</v>
      </c>
      <c r="E574" s="30" t="s">
        <v>4026</v>
      </c>
      <c r="F574" s="34" t="n">
        <f aca="false">IFERROR(VLOOKUP($A574,'319'!$B:$H,7,0),0)</f>
        <v>0</v>
      </c>
      <c r="G574" s="34" t="n">
        <f aca="false">SUMIFS('12.326ana'!$C:$C,'12.326ana'!$M:$M,redes!A574)</f>
        <v>0</v>
      </c>
    </row>
    <row r="575" customFormat="false" ht="14.4" hidden="true" customHeight="false" outlineLevel="0" collapsed="false">
      <c r="A575" s="34" t="n">
        <v>2699648949</v>
      </c>
      <c r="B575" s="34" t="s">
        <v>4027</v>
      </c>
      <c r="C575" s="34" t="s">
        <v>744</v>
      </c>
      <c r="E575" s="30" t="s">
        <v>4028</v>
      </c>
      <c r="F575" s="34" t="n">
        <f aca="false">IFERROR(VLOOKUP($A575,'319'!$B:$H,7,0),0)</f>
        <v>0</v>
      </c>
      <c r="G575" s="34" t="n">
        <f aca="false">SUMIFS('12.326ana'!$C:$C,'12.326ana'!$M:$M,redes!A575)</f>
        <v>0</v>
      </c>
    </row>
    <row r="576" customFormat="false" ht="14.4" hidden="true" customHeight="false" outlineLevel="0" collapsed="false">
      <c r="A576" s="34" t="n">
        <v>2713954193</v>
      </c>
      <c r="B576" s="34" t="s">
        <v>4029</v>
      </c>
      <c r="C576" s="34" t="s">
        <v>77</v>
      </c>
      <c r="E576" s="30" t="s">
        <v>4030</v>
      </c>
      <c r="F576" s="34" t="n">
        <f aca="false">IFERROR(VLOOKUP($A576,'319'!$B:$H,7,0),0)</f>
        <v>0</v>
      </c>
      <c r="G576" s="34" t="n">
        <f aca="false">SUMIFS('12.326ana'!$C:$C,'12.326ana'!$M:$M,redes!A576)</f>
        <v>0</v>
      </c>
    </row>
    <row r="577" customFormat="false" ht="14.4" hidden="true" customHeight="false" outlineLevel="0" collapsed="false">
      <c r="A577" s="34" t="n">
        <v>2716097100</v>
      </c>
      <c r="B577" s="34" t="s">
        <v>4031</v>
      </c>
      <c r="C577" s="34" t="s">
        <v>77</v>
      </c>
      <c r="E577" s="30" t="s">
        <v>4032</v>
      </c>
      <c r="F577" s="34" t="n">
        <f aca="false">IFERROR(VLOOKUP($A577,'319'!$B:$H,7,0),0)</f>
        <v>0</v>
      </c>
      <c r="G577" s="34" t="n">
        <f aca="false">SUMIFS('12.326ana'!$C:$C,'12.326ana'!$M:$M,redes!A577)</f>
        <v>0</v>
      </c>
    </row>
    <row r="578" customFormat="false" ht="14.4" hidden="true" customHeight="false" outlineLevel="0" collapsed="false">
      <c r="A578" s="34" t="n">
        <v>2723055108</v>
      </c>
      <c r="B578" s="34" t="s">
        <v>4033</v>
      </c>
      <c r="C578" s="34" t="s">
        <v>737</v>
      </c>
      <c r="E578" s="30" t="s">
        <v>4034</v>
      </c>
      <c r="F578" s="34" t="n">
        <f aca="false">IFERROR(VLOOKUP($A578,'319'!$B:$H,7,0),0)</f>
        <v>0</v>
      </c>
      <c r="G578" s="34" t="n">
        <f aca="false">SUMIFS('12.326ana'!$C:$C,'12.326ana'!$M:$M,redes!A578)</f>
        <v>0</v>
      </c>
    </row>
    <row r="579" customFormat="false" ht="14.4" hidden="true" customHeight="false" outlineLevel="0" collapsed="false">
      <c r="A579" s="34" t="n">
        <v>2723160831</v>
      </c>
      <c r="B579" s="34" t="s">
        <v>4035</v>
      </c>
      <c r="C579" s="34" t="s">
        <v>77</v>
      </c>
      <c r="E579" s="30" t="s">
        <v>4036</v>
      </c>
      <c r="F579" s="34" t="n">
        <f aca="false">IFERROR(VLOOKUP($A579,'319'!$B:$H,7,0),0)</f>
        <v>0</v>
      </c>
      <c r="G579" s="34" t="n">
        <f aca="false">SUMIFS('12.326ana'!$C:$C,'12.326ana'!$M:$M,redes!A579)</f>
        <v>0</v>
      </c>
    </row>
    <row r="580" customFormat="false" ht="14.4" hidden="true" customHeight="false" outlineLevel="0" collapsed="false">
      <c r="A580" s="34" t="n">
        <v>2724626168</v>
      </c>
      <c r="B580" s="34" t="s">
        <v>4037</v>
      </c>
      <c r="C580" s="34" t="s">
        <v>77</v>
      </c>
      <c r="E580" s="30"/>
      <c r="F580" s="34" t="n">
        <f aca="false">IFERROR(VLOOKUP($A580,'319'!$B:$H,7,0),0)</f>
        <v>0</v>
      </c>
      <c r="G580" s="34" t="n">
        <f aca="false">SUMIFS('12.326ana'!$C:$C,'12.326ana'!$M:$M,redes!A580)</f>
        <v>0</v>
      </c>
    </row>
    <row r="581" customFormat="false" ht="14.4" hidden="true" customHeight="false" outlineLevel="0" collapsed="false">
      <c r="A581" s="34" t="n">
        <v>2727698194</v>
      </c>
      <c r="B581" s="34" t="s">
        <v>4038</v>
      </c>
      <c r="C581" s="34" t="s">
        <v>139</v>
      </c>
      <c r="E581" s="30" t="s">
        <v>3206</v>
      </c>
      <c r="F581" s="34" t="n">
        <f aca="false">IFERROR(VLOOKUP($A581,'319'!$B:$H,7,0),0)</f>
        <v>0</v>
      </c>
      <c r="G581" s="34" t="n">
        <f aca="false">SUMIFS('12.326ana'!$C:$C,'12.326ana'!$M:$M,redes!A581)</f>
        <v>0</v>
      </c>
    </row>
    <row r="582" customFormat="false" ht="14.4" hidden="true" customHeight="false" outlineLevel="0" collapsed="false">
      <c r="A582" s="34" t="n">
        <v>2728782865</v>
      </c>
      <c r="B582" s="34" t="s">
        <v>4039</v>
      </c>
      <c r="C582" s="34" t="s">
        <v>192</v>
      </c>
      <c r="E582" s="30" t="s">
        <v>4040</v>
      </c>
      <c r="F582" s="34" t="n">
        <f aca="false">IFERROR(VLOOKUP($A582,'319'!$B:$H,7,0),0)</f>
        <v>0</v>
      </c>
      <c r="G582" s="34" t="n">
        <f aca="false">SUMIFS('12.326ana'!$C:$C,'12.326ana'!$M:$M,redes!A582)</f>
        <v>0</v>
      </c>
    </row>
    <row r="583" customFormat="false" ht="14.4" hidden="true" customHeight="false" outlineLevel="0" collapsed="false">
      <c r="A583" s="34" t="n">
        <v>2736533186</v>
      </c>
      <c r="B583" s="34" t="s">
        <v>4041</v>
      </c>
      <c r="C583" s="34" t="s">
        <v>77</v>
      </c>
      <c r="E583" s="30" t="s">
        <v>4042</v>
      </c>
      <c r="F583" s="34" t="n">
        <f aca="false">IFERROR(VLOOKUP($A583,'319'!$B:$H,7,0),0)</f>
        <v>0</v>
      </c>
      <c r="G583" s="34" t="n">
        <f aca="false">SUMIFS('12.326ana'!$C:$C,'12.326ana'!$M:$M,redes!A583)</f>
        <v>0</v>
      </c>
    </row>
    <row r="584" customFormat="false" ht="14.4" hidden="true" customHeight="false" outlineLevel="0" collapsed="false">
      <c r="A584" s="34" t="n">
        <v>2736918134</v>
      </c>
      <c r="B584" s="34" t="s">
        <v>4043</v>
      </c>
      <c r="C584" s="34" t="s">
        <v>478</v>
      </c>
      <c r="E584" s="30" t="s">
        <v>4044</v>
      </c>
      <c r="F584" s="34" t="n">
        <f aca="false">IFERROR(VLOOKUP($A584,'319'!$B:$H,7,0),0)</f>
        <v>0</v>
      </c>
      <c r="G584" s="34" t="n">
        <f aca="false">SUMIFS('12.326ana'!$C:$C,'12.326ana'!$M:$M,redes!A584)</f>
        <v>0</v>
      </c>
    </row>
    <row r="585" customFormat="false" ht="14.4" hidden="true" customHeight="false" outlineLevel="0" collapsed="false">
      <c r="A585" s="34" t="n">
        <v>2741890463</v>
      </c>
      <c r="B585" s="34" t="s">
        <v>4045</v>
      </c>
      <c r="C585" s="34" t="s">
        <v>478</v>
      </c>
      <c r="E585" s="30"/>
      <c r="F585" s="34" t="n">
        <f aca="false">IFERROR(VLOOKUP($A585,'319'!$B:$H,7,0),0)</f>
        <v>0</v>
      </c>
      <c r="G585" s="34" t="n">
        <f aca="false">SUMIFS('12.326ana'!$C:$C,'12.326ana'!$M:$M,redes!A585)</f>
        <v>0</v>
      </c>
    </row>
    <row r="586" customFormat="false" ht="14.4" hidden="true" customHeight="false" outlineLevel="0" collapsed="false">
      <c r="A586" s="34" t="n">
        <v>2749666112</v>
      </c>
      <c r="B586" s="34" t="s">
        <v>4046</v>
      </c>
      <c r="C586" s="34" t="s">
        <v>107</v>
      </c>
      <c r="E586" s="30" t="s">
        <v>4047</v>
      </c>
      <c r="F586" s="34" t="n">
        <f aca="false">IFERROR(VLOOKUP($A586,'319'!$B:$H,7,0),0)</f>
        <v>0</v>
      </c>
      <c r="G586" s="34" t="n">
        <f aca="false">SUMIFS('12.326ana'!$C:$C,'12.326ana'!$M:$M,redes!A586)</f>
        <v>0</v>
      </c>
    </row>
    <row r="587" customFormat="false" ht="14.4" hidden="true" customHeight="false" outlineLevel="0" collapsed="false">
      <c r="A587" s="34" t="n">
        <v>2753451141</v>
      </c>
      <c r="B587" s="34" t="s">
        <v>4048</v>
      </c>
      <c r="C587" s="34" t="s">
        <v>77</v>
      </c>
      <c r="E587" s="30" t="s">
        <v>4049</v>
      </c>
      <c r="F587" s="34" t="n">
        <f aca="false">IFERROR(VLOOKUP($A587,'319'!$B:$H,7,0),0)</f>
        <v>0</v>
      </c>
      <c r="G587" s="34" t="n">
        <f aca="false">SUMIFS('12.326ana'!$C:$C,'12.326ana'!$M:$M,redes!A587)</f>
        <v>0</v>
      </c>
    </row>
    <row r="588" customFormat="false" ht="14.4" hidden="true" customHeight="false" outlineLevel="0" collapsed="false">
      <c r="A588" s="34" t="n">
        <v>2753686106</v>
      </c>
      <c r="B588" s="34" t="s">
        <v>4050</v>
      </c>
      <c r="C588" s="34" t="s">
        <v>77</v>
      </c>
      <c r="E588" s="30" t="s">
        <v>4051</v>
      </c>
      <c r="F588" s="34" t="n">
        <f aca="false">IFERROR(VLOOKUP($A588,'319'!$B:$H,7,0),0)</f>
        <v>0</v>
      </c>
      <c r="G588" s="34" t="n">
        <f aca="false">SUMIFS('12.326ana'!$C:$C,'12.326ana'!$M:$M,redes!A588)</f>
        <v>0</v>
      </c>
    </row>
    <row r="589" customFormat="false" ht="14.4" hidden="true" customHeight="false" outlineLevel="0" collapsed="false">
      <c r="A589" s="34" t="n">
        <v>2754852182</v>
      </c>
      <c r="B589" s="34" t="s">
        <v>4052</v>
      </c>
      <c r="C589" s="34" t="s">
        <v>77</v>
      </c>
      <c r="E589" s="30" t="s">
        <v>4052</v>
      </c>
      <c r="F589" s="34" t="n">
        <f aca="false">IFERROR(VLOOKUP($A589,'319'!$B:$H,7,0),0)</f>
        <v>0</v>
      </c>
      <c r="G589" s="34" t="n">
        <f aca="false">SUMIFS('12.326ana'!$C:$C,'12.326ana'!$M:$M,redes!A589)</f>
        <v>0</v>
      </c>
    </row>
    <row r="590" customFormat="false" ht="14.4" hidden="true" customHeight="false" outlineLevel="0" collapsed="false">
      <c r="A590" s="34" t="n">
        <v>2773423178</v>
      </c>
      <c r="B590" s="34" t="s">
        <v>4053</v>
      </c>
      <c r="C590" s="34" t="s">
        <v>77</v>
      </c>
      <c r="E590" s="30" t="s">
        <v>4054</v>
      </c>
      <c r="F590" s="34" t="n">
        <f aca="false">IFERROR(VLOOKUP($A590,'319'!$B:$H,7,0),0)</f>
        <v>0</v>
      </c>
      <c r="G590" s="34" t="n">
        <f aca="false">SUMIFS('12.326ana'!$C:$C,'12.326ana'!$M:$M,redes!A590)</f>
        <v>0</v>
      </c>
    </row>
    <row r="591" customFormat="false" ht="14.4" hidden="true" customHeight="false" outlineLevel="0" collapsed="false">
      <c r="A591" s="34" t="n">
        <v>2774745152</v>
      </c>
      <c r="B591" s="34" t="s">
        <v>4055</v>
      </c>
      <c r="C591" s="34" t="s">
        <v>77</v>
      </c>
      <c r="E591" s="30" t="s">
        <v>4056</v>
      </c>
      <c r="F591" s="34" t="n">
        <f aca="false">IFERROR(VLOOKUP($A591,'319'!$B:$H,7,0),0)</f>
        <v>0</v>
      </c>
      <c r="G591" s="34" t="n">
        <f aca="false">SUMIFS('12.326ana'!$C:$C,'12.326ana'!$M:$M,redes!A591)</f>
        <v>0</v>
      </c>
    </row>
    <row r="592" customFormat="false" ht="14.4" hidden="true" customHeight="false" outlineLevel="0" collapsed="false">
      <c r="A592" s="34" t="n">
        <v>2792376180</v>
      </c>
      <c r="B592" s="34" t="s">
        <v>4057</v>
      </c>
      <c r="C592" s="34" t="s">
        <v>77</v>
      </c>
      <c r="E592" s="30" t="s">
        <v>4058</v>
      </c>
      <c r="F592" s="34" t="n">
        <f aca="false">IFERROR(VLOOKUP($A592,'319'!$B:$H,7,0),0)</f>
        <v>0</v>
      </c>
      <c r="G592" s="34" t="n">
        <f aca="false">SUMIFS('12.326ana'!$C:$C,'12.326ana'!$M:$M,redes!A592)</f>
        <v>0</v>
      </c>
    </row>
    <row r="593" customFormat="false" ht="14.4" hidden="true" customHeight="false" outlineLevel="0" collapsed="false">
      <c r="A593" s="34" t="n">
        <v>2796586138</v>
      </c>
      <c r="B593" s="34" t="s">
        <v>4059</v>
      </c>
      <c r="C593" s="34" t="s">
        <v>77</v>
      </c>
      <c r="E593" s="30" t="s">
        <v>3496</v>
      </c>
      <c r="F593" s="34" t="n">
        <f aca="false">IFERROR(VLOOKUP($A593,'319'!$B:$H,7,0),0)</f>
        <v>0</v>
      </c>
      <c r="G593" s="34" t="n">
        <f aca="false">SUMIFS('12.326ana'!$C:$C,'12.326ana'!$M:$M,redes!A593)</f>
        <v>0</v>
      </c>
    </row>
    <row r="594" customFormat="false" ht="14.4" hidden="true" customHeight="false" outlineLevel="0" collapsed="false">
      <c r="A594" s="34" t="n">
        <v>2796790177</v>
      </c>
      <c r="B594" s="34" t="s">
        <v>1629</v>
      </c>
      <c r="C594" s="34" t="s">
        <v>77</v>
      </c>
      <c r="E594" s="30" t="s">
        <v>1629</v>
      </c>
      <c r="F594" s="34" t="n">
        <f aca="false">IFERROR(VLOOKUP($A594,'319'!$B:$H,7,0),0)</f>
        <v>0</v>
      </c>
      <c r="G594" s="34" t="n">
        <f aca="false">SUMIFS('12.326ana'!$C:$C,'12.326ana'!$M:$M,redes!A594)</f>
        <v>0</v>
      </c>
    </row>
    <row r="595" customFormat="false" ht="14.4" hidden="true" customHeight="false" outlineLevel="0" collapsed="false">
      <c r="A595" s="34" t="n">
        <v>2798153107</v>
      </c>
      <c r="B595" s="34" t="s">
        <v>4060</v>
      </c>
      <c r="C595" s="34" t="s">
        <v>77</v>
      </c>
      <c r="E595" s="30" t="s">
        <v>4061</v>
      </c>
      <c r="F595" s="34" t="n">
        <f aca="false">IFERROR(VLOOKUP($A595,'319'!$B:$H,7,0),0)</f>
        <v>0</v>
      </c>
      <c r="G595" s="34" t="n">
        <f aca="false">SUMIFS('12.326ana'!$C:$C,'12.326ana'!$M:$M,redes!A595)</f>
        <v>0</v>
      </c>
    </row>
    <row r="596" customFormat="false" ht="14.4" hidden="true" customHeight="false" outlineLevel="0" collapsed="false">
      <c r="A596" s="34" t="n">
        <v>2813415162</v>
      </c>
      <c r="B596" s="34" t="s">
        <v>4062</v>
      </c>
      <c r="C596" s="34" t="s">
        <v>77</v>
      </c>
      <c r="E596" s="30" t="s">
        <v>4063</v>
      </c>
      <c r="F596" s="34" t="n">
        <f aca="false">IFERROR(VLOOKUP($A596,'319'!$B:$H,7,0),0)</f>
        <v>0</v>
      </c>
      <c r="G596" s="34" t="n">
        <f aca="false">SUMIFS('12.326ana'!$C:$C,'12.326ana'!$M:$M,redes!A596)</f>
        <v>0</v>
      </c>
    </row>
    <row r="597" customFormat="false" ht="14.4" hidden="true" customHeight="false" outlineLevel="0" collapsed="false">
      <c r="A597" s="34" t="n">
        <v>2814501100</v>
      </c>
      <c r="B597" s="34" t="s">
        <v>4064</v>
      </c>
      <c r="C597" s="34" t="s">
        <v>77</v>
      </c>
      <c r="E597" s="30" t="s">
        <v>4065</v>
      </c>
      <c r="F597" s="34" t="n">
        <f aca="false">IFERROR(VLOOKUP($A597,'319'!$B:$H,7,0),0)</f>
        <v>0</v>
      </c>
      <c r="G597" s="34" t="n">
        <f aca="false">SUMIFS('12.326ana'!$C:$C,'12.326ana'!$M:$M,redes!A597)</f>
        <v>0</v>
      </c>
    </row>
    <row r="598" customFormat="false" ht="14.4" hidden="true" customHeight="false" outlineLevel="0" collapsed="false">
      <c r="A598" s="34" t="n">
        <v>2822118108</v>
      </c>
      <c r="B598" s="34" t="s">
        <v>4066</v>
      </c>
      <c r="C598" s="34" t="s">
        <v>77</v>
      </c>
      <c r="E598" s="30" t="s">
        <v>4067</v>
      </c>
      <c r="F598" s="34" t="n">
        <f aca="false">IFERROR(VLOOKUP($A598,'319'!$B:$H,7,0),0)</f>
        <v>0</v>
      </c>
      <c r="G598" s="34" t="n">
        <f aca="false">SUMIFS('12.326ana'!$C:$C,'12.326ana'!$M:$M,redes!A598)</f>
        <v>0</v>
      </c>
    </row>
    <row r="599" customFormat="false" ht="14.4" hidden="true" customHeight="false" outlineLevel="0" collapsed="false">
      <c r="A599" s="34" t="n">
        <v>2822195102</v>
      </c>
      <c r="B599" s="34" t="s">
        <v>4068</v>
      </c>
      <c r="C599" s="34" t="s">
        <v>77</v>
      </c>
      <c r="E599" s="30" t="s">
        <v>4069</v>
      </c>
      <c r="F599" s="34" t="n">
        <f aca="false">IFERROR(VLOOKUP($A599,'319'!$B:$H,7,0),0)</f>
        <v>0</v>
      </c>
      <c r="G599" s="34" t="n">
        <f aca="false">SUMIFS('12.326ana'!$C:$C,'12.326ana'!$M:$M,redes!A599)</f>
        <v>0</v>
      </c>
    </row>
    <row r="600" customFormat="false" ht="14.4" hidden="true" customHeight="false" outlineLevel="0" collapsed="false">
      <c r="A600" s="34" t="n">
        <v>2839080176</v>
      </c>
      <c r="B600" s="34" t="s">
        <v>4070</v>
      </c>
      <c r="C600" s="34" t="s">
        <v>77</v>
      </c>
      <c r="E600" s="30" t="s">
        <v>4071</v>
      </c>
      <c r="F600" s="34" t="n">
        <f aca="false">IFERROR(VLOOKUP($A600,'319'!$B:$H,7,0),0)</f>
        <v>0</v>
      </c>
      <c r="G600" s="34" t="n">
        <f aca="false">SUMIFS('12.326ana'!$C:$C,'12.326ana'!$M:$M,redes!A600)</f>
        <v>0</v>
      </c>
    </row>
    <row r="601" customFormat="false" ht="14.4" hidden="true" customHeight="false" outlineLevel="0" collapsed="false">
      <c r="A601" s="34" t="n">
        <v>2840230780</v>
      </c>
      <c r="B601" s="34" t="s">
        <v>4072</v>
      </c>
      <c r="C601" s="34" t="s">
        <v>77</v>
      </c>
      <c r="E601" s="30" t="s">
        <v>4073</v>
      </c>
      <c r="F601" s="34" t="n">
        <f aca="false">IFERROR(VLOOKUP($A601,'319'!$B:$H,7,0),0)</f>
        <v>0</v>
      </c>
      <c r="G601" s="34" t="n">
        <f aca="false">SUMIFS('12.326ana'!$C:$C,'12.326ana'!$M:$M,redes!A601)</f>
        <v>0</v>
      </c>
    </row>
    <row r="602" customFormat="false" ht="14.4" hidden="true" customHeight="false" outlineLevel="0" collapsed="false">
      <c r="A602" s="34" t="n">
        <v>2844000924</v>
      </c>
      <c r="B602" s="34" t="s">
        <v>4074</v>
      </c>
      <c r="C602" s="34" t="s">
        <v>377</v>
      </c>
      <c r="E602" s="30" t="s">
        <v>4075</v>
      </c>
      <c r="F602" s="34" t="n">
        <f aca="false">IFERROR(VLOOKUP($A602,'319'!$B:$H,7,0),0)</f>
        <v>0</v>
      </c>
      <c r="G602" s="34" t="n">
        <f aca="false">SUMIFS('12.326ana'!$C:$C,'12.326ana'!$M:$M,redes!A602)</f>
        <v>0</v>
      </c>
    </row>
    <row r="603" customFormat="false" ht="14.4" hidden="true" customHeight="false" outlineLevel="0" collapsed="false">
      <c r="A603" s="34" t="n">
        <v>2846550158</v>
      </c>
      <c r="B603" s="34" t="s">
        <v>4076</v>
      </c>
      <c r="C603" s="34" t="s">
        <v>77</v>
      </c>
      <c r="E603" s="30" t="s">
        <v>4077</v>
      </c>
      <c r="F603" s="34" t="n">
        <f aca="false">IFERROR(VLOOKUP($A603,'319'!$B:$H,7,0),0)</f>
        <v>0</v>
      </c>
      <c r="G603" s="34" t="n">
        <f aca="false">SUMIFS('12.326ana'!$C:$C,'12.326ana'!$M:$M,redes!A603)</f>
        <v>0</v>
      </c>
    </row>
    <row r="604" customFormat="false" ht="14.4" hidden="true" customHeight="false" outlineLevel="0" collapsed="false">
      <c r="A604" s="34" t="n">
        <v>2847574115</v>
      </c>
      <c r="B604" s="34" t="s">
        <v>4078</v>
      </c>
      <c r="C604" s="34" t="s">
        <v>107</v>
      </c>
      <c r="E604" s="30" t="s">
        <v>4079</v>
      </c>
      <c r="F604" s="34" t="n">
        <f aca="false">IFERROR(VLOOKUP($A604,'319'!$B:$H,7,0),0)</f>
        <v>0</v>
      </c>
      <c r="G604" s="34" t="n">
        <f aca="false">SUMIFS('12.326ana'!$C:$C,'12.326ana'!$M:$M,redes!A604)</f>
        <v>0</v>
      </c>
    </row>
    <row r="605" customFormat="false" ht="14.4" hidden="true" customHeight="false" outlineLevel="0" collapsed="false">
      <c r="A605" s="34" t="n">
        <v>2848481153</v>
      </c>
      <c r="B605" s="34" t="s">
        <v>4080</v>
      </c>
      <c r="C605" s="34" t="s">
        <v>77</v>
      </c>
      <c r="E605" s="30" t="s">
        <v>4081</v>
      </c>
      <c r="F605" s="34" t="n">
        <f aca="false">IFERROR(VLOOKUP($A605,'319'!$B:$H,7,0),0)</f>
        <v>0</v>
      </c>
      <c r="G605" s="34" t="n">
        <f aca="false">SUMIFS('12.326ana'!$C:$C,'12.326ana'!$M:$M,redes!A605)</f>
        <v>0</v>
      </c>
    </row>
    <row r="606" customFormat="false" ht="14.4" hidden="true" customHeight="false" outlineLevel="0" collapsed="false">
      <c r="A606" s="34" t="n">
        <v>2859341129</v>
      </c>
      <c r="B606" s="34" t="s">
        <v>4082</v>
      </c>
      <c r="C606" s="34" t="s">
        <v>89</v>
      </c>
      <c r="E606" s="30" t="s">
        <v>4083</v>
      </c>
      <c r="F606" s="34" t="n">
        <f aca="false">IFERROR(VLOOKUP($A606,'319'!$B:$H,7,0),0)</f>
        <v>0</v>
      </c>
      <c r="G606" s="34" t="n">
        <f aca="false">SUMIFS('12.326ana'!$C:$C,'12.326ana'!$M:$M,redes!A606)</f>
        <v>0</v>
      </c>
    </row>
    <row r="607" customFormat="false" ht="14.4" hidden="true" customHeight="false" outlineLevel="0" collapsed="false">
      <c r="A607" s="34" t="n">
        <v>2861971118</v>
      </c>
      <c r="B607" s="34" t="s">
        <v>4084</v>
      </c>
      <c r="C607" s="34" t="s">
        <v>77</v>
      </c>
      <c r="E607" s="30" t="s">
        <v>4085</v>
      </c>
      <c r="F607" s="34" t="n">
        <f aca="false">IFERROR(VLOOKUP($A607,'319'!$B:$H,7,0),0)</f>
        <v>0</v>
      </c>
      <c r="G607" s="34" t="n">
        <f aca="false">SUMIFS('12.326ana'!$C:$C,'12.326ana'!$M:$M,redes!A607)</f>
        <v>0</v>
      </c>
    </row>
    <row r="608" customFormat="false" ht="14.4" hidden="true" customHeight="false" outlineLevel="0" collapsed="false">
      <c r="A608" s="34" t="n">
        <v>2864387123</v>
      </c>
      <c r="B608" s="34" t="s">
        <v>4086</v>
      </c>
      <c r="C608" s="34" t="s">
        <v>77</v>
      </c>
      <c r="E608" s="30" t="s">
        <v>4087</v>
      </c>
      <c r="F608" s="34" t="n">
        <f aca="false">IFERROR(VLOOKUP($A608,'319'!$B:$H,7,0),0)</f>
        <v>0</v>
      </c>
      <c r="G608" s="34" t="n">
        <f aca="false">SUMIFS('12.326ana'!$C:$C,'12.326ana'!$M:$M,redes!A608)</f>
        <v>0</v>
      </c>
    </row>
    <row r="609" customFormat="false" ht="14.4" hidden="true" customHeight="false" outlineLevel="0" collapsed="false">
      <c r="A609" s="34" t="n">
        <v>2869246170</v>
      </c>
      <c r="B609" s="34" t="s">
        <v>4088</v>
      </c>
      <c r="C609" s="34" t="s">
        <v>377</v>
      </c>
      <c r="E609" s="30" t="s">
        <v>4089</v>
      </c>
      <c r="F609" s="34" t="n">
        <f aca="false">IFERROR(VLOOKUP($A609,'319'!$B:$H,7,0),0)</f>
        <v>0</v>
      </c>
      <c r="G609" s="34" t="n">
        <f aca="false">SUMIFS('12.326ana'!$C:$C,'12.326ana'!$M:$M,redes!A609)</f>
        <v>0</v>
      </c>
    </row>
    <row r="610" customFormat="false" ht="14.4" hidden="true" customHeight="false" outlineLevel="0" collapsed="false">
      <c r="A610" s="34" t="n">
        <v>2871654182</v>
      </c>
      <c r="B610" s="34" t="s">
        <v>4090</v>
      </c>
      <c r="C610" s="34" t="s">
        <v>103</v>
      </c>
      <c r="E610" s="30" t="s">
        <v>4091</v>
      </c>
      <c r="F610" s="34" t="n">
        <f aca="false">IFERROR(VLOOKUP($A610,'319'!$B:$H,7,0),0)</f>
        <v>0</v>
      </c>
      <c r="G610" s="34" t="n">
        <f aca="false">SUMIFS('12.326ana'!$C:$C,'12.326ana'!$M:$M,redes!A610)</f>
        <v>0</v>
      </c>
    </row>
    <row r="611" customFormat="false" ht="14.4" hidden="true" customHeight="false" outlineLevel="0" collapsed="false">
      <c r="A611" s="34" t="n">
        <v>2884605100</v>
      </c>
      <c r="B611" s="34" t="s">
        <v>4092</v>
      </c>
      <c r="C611" s="34" t="s">
        <v>77</v>
      </c>
      <c r="E611" s="30" t="s">
        <v>4093</v>
      </c>
      <c r="F611" s="34" t="n">
        <f aca="false">IFERROR(VLOOKUP($A611,'319'!$B:$H,7,0),0)</f>
        <v>0</v>
      </c>
      <c r="G611" s="34" t="n">
        <f aca="false">SUMIFS('12.326ana'!$C:$C,'12.326ana'!$M:$M,redes!A611)</f>
        <v>0</v>
      </c>
    </row>
    <row r="612" customFormat="false" ht="14.4" hidden="true" customHeight="false" outlineLevel="0" collapsed="false">
      <c r="A612" s="34" t="n">
        <v>2885701978</v>
      </c>
      <c r="B612" s="34" t="s">
        <v>4094</v>
      </c>
      <c r="C612" s="34" t="s">
        <v>478</v>
      </c>
      <c r="E612" s="30" t="s">
        <v>4095</v>
      </c>
      <c r="F612" s="34" t="n">
        <f aca="false">IFERROR(VLOOKUP($A612,'319'!$B:$H,7,0),0)</f>
        <v>0</v>
      </c>
      <c r="G612" s="34" t="n">
        <f aca="false">SUMIFS('12.326ana'!$C:$C,'12.326ana'!$M:$M,redes!A612)</f>
        <v>0</v>
      </c>
    </row>
    <row r="613" customFormat="false" ht="14.4" hidden="true" customHeight="false" outlineLevel="0" collapsed="false">
      <c r="A613" s="34" t="n">
        <v>2887220861</v>
      </c>
      <c r="B613" s="34" t="s">
        <v>4096</v>
      </c>
      <c r="C613" s="34" t="s">
        <v>77</v>
      </c>
      <c r="E613" s="30" t="s">
        <v>4096</v>
      </c>
      <c r="F613" s="34" t="n">
        <f aca="false">IFERROR(VLOOKUP($A613,'319'!$B:$H,7,0),0)</f>
        <v>0</v>
      </c>
      <c r="G613" s="34" t="n">
        <f aca="false">SUMIFS('12.326ana'!$C:$C,'12.326ana'!$M:$M,redes!A613)</f>
        <v>0</v>
      </c>
    </row>
    <row r="614" customFormat="false" ht="14.4" hidden="true" customHeight="false" outlineLevel="0" collapsed="false">
      <c r="A614" s="34" t="n">
        <v>2889512983</v>
      </c>
      <c r="B614" s="34" t="s">
        <v>4097</v>
      </c>
      <c r="C614" s="34" t="s">
        <v>77</v>
      </c>
      <c r="E614" s="30" t="s">
        <v>4098</v>
      </c>
      <c r="F614" s="34" t="n">
        <f aca="false">IFERROR(VLOOKUP($A614,'319'!$B:$H,7,0),0)</f>
        <v>0</v>
      </c>
      <c r="G614" s="34" t="n">
        <f aca="false">SUMIFS('12.326ana'!$C:$C,'12.326ana'!$M:$M,redes!A614)</f>
        <v>0</v>
      </c>
    </row>
    <row r="615" customFormat="false" ht="14.4" hidden="true" customHeight="false" outlineLevel="0" collapsed="false">
      <c r="A615" s="34" t="n">
        <v>2890831175</v>
      </c>
      <c r="B615" s="34" t="s">
        <v>4099</v>
      </c>
      <c r="C615" s="34" t="s">
        <v>77</v>
      </c>
      <c r="E615" s="30" t="s">
        <v>4100</v>
      </c>
      <c r="F615" s="34" t="n">
        <f aca="false">IFERROR(VLOOKUP($A615,'319'!$B:$H,7,0),0)</f>
        <v>0</v>
      </c>
      <c r="G615" s="34" t="n">
        <f aca="false">SUMIFS('12.326ana'!$C:$C,'12.326ana'!$M:$M,redes!A615)</f>
        <v>0</v>
      </c>
    </row>
    <row r="616" customFormat="false" ht="14.4" hidden="true" customHeight="false" outlineLevel="0" collapsed="false">
      <c r="A616" s="34" t="n">
        <v>2896748911</v>
      </c>
      <c r="B616" s="34" t="s">
        <v>4101</v>
      </c>
      <c r="C616" s="34" t="s">
        <v>4102</v>
      </c>
      <c r="E616" s="30" t="s">
        <v>4101</v>
      </c>
      <c r="F616" s="34" t="n">
        <f aca="false">IFERROR(VLOOKUP($A616,'319'!$B:$H,7,0),0)</f>
        <v>0</v>
      </c>
      <c r="G616" s="34" t="n">
        <f aca="false">SUMIFS('12.326ana'!$C:$C,'12.326ana'!$M:$M,redes!A616)</f>
        <v>0</v>
      </c>
    </row>
    <row r="617" customFormat="false" ht="14.4" hidden="true" customHeight="false" outlineLevel="0" collapsed="false">
      <c r="A617" s="34" t="n">
        <v>2898879177</v>
      </c>
      <c r="B617" s="34" t="s">
        <v>4103</v>
      </c>
      <c r="C617" s="34" t="s">
        <v>77</v>
      </c>
      <c r="E617" s="30" t="s">
        <v>4104</v>
      </c>
      <c r="F617" s="34" t="n">
        <f aca="false">IFERROR(VLOOKUP($A617,'319'!$B:$H,7,0),0)</f>
        <v>0</v>
      </c>
      <c r="G617" s="34" t="n">
        <f aca="false">SUMIFS('12.326ana'!$C:$C,'12.326ana'!$M:$M,redes!A617)</f>
        <v>0</v>
      </c>
    </row>
    <row r="618" customFormat="false" ht="14.4" hidden="true" customHeight="false" outlineLevel="0" collapsed="false">
      <c r="A618" s="34" t="n">
        <v>2909326101</v>
      </c>
      <c r="B618" s="34" t="s">
        <v>4105</v>
      </c>
      <c r="C618" s="34" t="s">
        <v>781</v>
      </c>
      <c r="E618" s="30" t="s">
        <v>4106</v>
      </c>
      <c r="F618" s="34" t="n">
        <f aca="false">IFERROR(VLOOKUP($A618,'319'!$B:$H,7,0),0)</f>
        <v>0</v>
      </c>
      <c r="G618" s="34" t="n">
        <f aca="false">SUMIFS('12.326ana'!$C:$C,'12.326ana'!$M:$M,redes!A618)</f>
        <v>0</v>
      </c>
    </row>
    <row r="619" customFormat="false" ht="14.4" hidden="true" customHeight="false" outlineLevel="0" collapsed="false">
      <c r="A619" s="34" t="n">
        <v>2918629189</v>
      </c>
      <c r="B619" s="34" t="s">
        <v>4107</v>
      </c>
      <c r="C619" s="34" t="s">
        <v>77</v>
      </c>
      <c r="E619" s="30"/>
      <c r="F619" s="34" t="n">
        <f aca="false">IFERROR(VLOOKUP($A619,'319'!$B:$H,7,0),0)</f>
        <v>0</v>
      </c>
      <c r="G619" s="34" t="n">
        <f aca="false">SUMIFS('12.326ana'!$C:$C,'12.326ana'!$M:$M,redes!A619)</f>
        <v>0</v>
      </c>
    </row>
    <row r="620" customFormat="false" ht="14.4" hidden="true" customHeight="false" outlineLevel="0" collapsed="false">
      <c r="A620" s="34" t="n">
        <v>2929486899</v>
      </c>
      <c r="B620" s="34" t="s">
        <v>4108</v>
      </c>
      <c r="C620" s="34" t="s">
        <v>77</v>
      </c>
      <c r="E620" s="30" t="s">
        <v>4010</v>
      </c>
      <c r="F620" s="34" t="n">
        <f aca="false">IFERROR(VLOOKUP($A620,'319'!$B:$H,7,0),0)</f>
        <v>0</v>
      </c>
      <c r="G620" s="34" t="n">
        <f aca="false">SUMIFS('12.326ana'!$C:$C,'12.326ana'!$M:$M,redes!A620)</f>
        <v>0</v>
      </c>
    </row>
    <row r="621" customFormat="false" ht="14.4" hidden="true" customHeight="false" outlineLevel="0" collapsed="false">
      <c r="A621" s="34" t="n">
        <v>2932939106</v>
      </c>
      <c r="B621" s="34" t="s">
        <v>4109</v>
      </c>
      <c r="C621" s="34" t="s">
        <v>77</v>
      </c>
      <c r="E621" s="30" t="s">
        <v>4110</v>
      </c>
      <c r="F621" s="34" t="n">
        <f aca="false">IFERROR(VLOOKUP($A621,'319'!$B:$H,7,0),0)</f>
        <v>0</v>
      </c>
      <c r="G621" s="34" t="n">
        <f aca="false">SUMIFS('12.326ana'!$C:$C,'12.326ana'!$M:$M,redes!A621)</f>
        <v>0</v>
      </c>
    </row>
    <row r="622" customFormat="false" ht="14.4" hidden="true" customHeight="false" outlineLevel="0" collapsed="false">
      <c r="A622" s="34" t="n">
        <v>2935889100</v>
      </c>
      <c r="B622" s="34" t="s">
        <v>4111</v>
      </c>
      <c r="C622" s="34" t="s">
        <v>77</v>
      </c>
      <c r="E622" s="30" t="s">
        <v>4111</v>
      </c>
      <c r="F622" s="34" t="n">
        <f aca="false">IFERROR(VLOOKUP($A622,'319'!$B:$H,7,0),0)</f>
        <v>0</v>
      </c>
      <c r="G622" s="34" t="n">
        <f aca="false">SUMIFS('12.326ana'!$C:$C,'12.326ana'!$M:$M,redes!A622)</f>
        <v>0</v>
      </c>
    </row>
    <row r="623" customFormat="false" ht="14.4" hidden="true" customHeight="false" outlineLevel="0" collapsed="false">
      <c r="A623" s="34" t="n">
        <v>2939847940</v>
      </c>
      <c r="B623" s="34" t="s">
        <v>4112</v>
      </c>
      <c r="C623" s="34" t="s">
        <v>309</v>
      </c>
      <c r="E623" s="30" t="s">
        <v>4113</v>
      </c>
      <c r="F623" s="34" t="n">
        <f aca="false">IFERROR(VLOOKUP($A623,'319'!$B:$H,7,0),0)</f>
        <v>0</v>
      </c>
      <c r="G623" s="34" t="n">
        <f aca="false">SUMIFS('12.326ana'!$C:$C,'12.326ana'!$M:$M,redes!A623)</f>
        <v>0</v>
      </c>
    </row>
    <row r="624" customFormat="false" ht="14.4" hidden="true" customHeight="false" outlineLevel="0" collapsed="false">
      <c r="A624" s="34" t="n">
        <v>2942989165</v>
      </c>
      <c r="B624" s="34" t="s">
        <v>4114</v>
      </c>
      <c r="C624" s="34" t="s">
        <v>781</v>
      </c>
      <c r="E624" s="30" t="s">
        <v>4115</v>
      </c>
      <c r="F624" s="34" t="n">
        <f aca="false">IFERROR(VLOOKUP($A624,'319'!$B:$H,7,0),0)</f>
        <v>0</v>
      </c>
      <c r="G624" s="34" t="n">
        <f aca="false">SUMIFS('12.326ana'!$C:$C,'12.326ana'!$M:$M,redes!A624)</f>
        <v>0</v>
      </c>
    </row>
    <row r="625" customFormat="false" ht="14.4" hidden="true" customHeight="false" outlineLevel="0" collapsed="false">
      <c r="A625" s="34" t="n">
        <v>2943540854</v>
      </c>
      <c r="B625" s="34" t="s">
        <v>4116</v>
      </c>
      <c r="C625" s="34" t="s">
        <v>89</v>
      </c>
      <c r="E625" s="30" t="s">
        <v>4117</v>
      </c>
      <c r="F625" s="34" t="n">
        <f aca="false">IFERROR(VLOOKUP($A625,'319'!$B:$H,7,0),0)</f>
        <v>0</v>
      </c>
      <c r="G625" s="34" t="n">
        <f aca="false">SUMIFS('12.326ana'!$C:$C,'12.326ana'!$M:$M,redes!A625)</f>
        <v>0</v>
      </c>
    </row>
    <row r="626" customFormat="false" ht="14.4" hidden="true" customHeight="false" outlineLevel="0" collapsed="false">
      <c r="A626" s="34" t="n">
        <v>2949416144</v>
      </c>
      <c r="B626" s="34" t="s">
        <v>4118</v>
      </c>
      <c r="C626" s="34" t="s">
        <v>77</v>
      </c>
      <c r="E626" s="30" t="s">
        <v>4118</v>
      </c>
      <c r="F626" s="34" t="n">
        <f aca="false">IFERROR(VLOOKUP($A626,'319'!$B:$H,7,0),0)</f>
        <v>0</v>
      </c>
      <c r="G626" s="34" t="n">
        <f aca="false">SUMIFS('12.326ana'!$C:$C,'12.326ana'!$M:$M,redes!A626)</f>
        <v>0</v>
      </c>
    </row>
    <row r="627" customFormat="false" ht="14.4" hidden="true" customHeight="false" outlineLevel="0" collapsed="false">
      <c r="A627" s="34" t="n">
        <v>2949421148</v>
      </c>
      <c r="B627" s="34" t="s">
        <v>4119</v>
      </c>
      <c r="C627" s="34" t="s">
        <v>77</v>
      </c>
      <c r="E627" s="30"/>
      <c r="F627" s="34" t="n">
        <f aca="false">IFERROR(VLOOKUP($A627,'319'!$B:$H,7,0),0)</f>
        <v>0</v>
      </c>
      <c r="G627" s="34" t="n">
        <f aca="false">SUMIFS('12.326ana'!$C:$C,'12.326ana'!$M:$M,redes!A627)</f>
        <v>0</v>
      </c>
    </row>
    <row r="628" customFormat="false" ht="14.4" hidden="true" customHeight="false" outlineLevel="0" collapsed="false">
      <c r="A628" s="34" t="n">
        <v>2953794131</v>
      </c>
      <c r="B628" s="34" t="s">
        <v>4120</v>
      </c>
      <c r="C628" s="34" t="s">
        <v>107</v>
      </c>
      <c r="E628" s="30" t="s">
        <v>4121</v>
      </c>
      <c r="F628" s="34" t="n">
        <f aca="false">IFERROR(VLOOKUP($A628,'319'!$B:$H,7,0),0)</f>
        <v>0</v>
      </c>
      <c r="G628" s="34" t="n">
        <f aca="false">SUMIFS('12.326ana'!$C:$C,'12.326ana'!$M:$M,redes!A628)</f>
        <v>0</v>
      </c>
    </row>
    <row r="629" customFormat="false" ht="14.4" hidden="true" customHeight="false" outlineLevel="0" collapsed="false">
      <c r="A629" s="34" t="n">
        <v>2957013150</v>
      </c>
      <c r="B629" s="34" t="s">
        <v>4122</v>
      </c>
      <c r="C629" s="34" t="s">
        <v>77</v>
      </c>
      <c r="E629" s="30" t="s">
        <v>4123</v>
      </c>
      <c r="F629" s="34" t="n">
        <f aca="false">IFERROR(VLOOKUP($A629,'319'!$B:$H,7,0),0)</f>
        <v>0</v>
      </c>
      <c r="G629" s="34" t="n">
        <f aca="false">SUMIFS('12.326ana'!$C:$C,'12.326ana'!$M:$M,redes!A629)</f>
        <v>0</v>
      </c>
    </row>
    <row r="630" customFormat="false" ht="14.4" hidden="true" customHeight="false" outlineLevel="0" collapsed="false">
      <c r="A630" s="34" t="n">
        <v>2959352190</v>
      </c>
      <c r="B630" s="34" t="s">
        <v>4124</v>
      </c>
      <c r="C630" s="34" t="s">
        <v>77</v>
      </c>
      <c r="E630" s="30" t="s">
        <v>4125</v>
      </c>
      <c r="F630" s="34" t="n">
        <f aca="false">IFERROR(VLOOKUP($A630,'319'!$B:$H,7,0),0)</f>
        <v>0</v>
      </c>
      <c r="G630" s="34" t="n">
        <f aca="false">SUMIFS('12.326ana'!$C:$C,'12.326ana'!$M:$M,redes!A630)</f>
        <v>0</v>
      </c>
    </row>
    <row r="631" customFormat="false" ht="14.4" hidden="true" customHeight="false" outlineLevel="0" collapsed="false">
      <c r="A631" s="34" t="n">
        <v>2968622153</v>
      </c>
      <c r="B631" s="34" t="s">
        <v>4126</v>
      </c>
      <c r="C631" s="34" t="s">
        <v>565</v>
      </c>
      <c r="E631" s="30" t="s">
        <v>4127</v>
      </c>
      <c r="F631" s="34" t="n">
        <f aca="false">IFERROR(VLOOKUP($A631,'319'!$B:$H,7,0),0)</f>
        <v>0</v>
      </c>
      <c r="G631" s="34" t="n">
        <f aca="false">SUMIFS('12.326ana'!$C:$C,'12.326ana'!$M:$M,redes!A631)</f>
        <v>0</v>
      </c>
    </row>
    <row r="632" customFormat="false" ht="14.4" hidden="true" customHeight="false" outlineLevel="0" collapsed="false">
      <c r="A632" s="34" t="n">
        <v>2977168168</v>
      </c>
      <c r="B632" s="34" t="s">
        <v>4128</v>
      </c>
      <c r="C632" s="34" t="s">
        <v>77</v>
      </c>
      <c r="E632" s="30" t="s">
        <v>4129</v>
      </c>
      <c r="F632" s="34" t="n">
        <f aca="false">IFERROR(VLOOKUP($A632,'319'!$B:$H,7,0),0)</f>
        <v>0</v>
      </c>
      <c r="G632" s="34" t="n">
        <f aca="false">SUMIFS('12.326ana'!$C:$C,'12.326ana'!$M:$M,redes!A632)</f>
        <v>0</v>
      </c>
    </row>
    <row r="633" customFormat="false" ht="14.4" hidden="true" customHeight="false" outlineLevel="0" collapsed="false">
      <c r="A633" s="34" t="n">
        <v>2977749136</v>
      </c>
      <c r="B633" s="34" t="s">
        <v>4130</v>
      </c>
      <c r="C633" s="34" t="s">
        <v>77</v>
      </c>
      <c r="E633" s="30" t="s">
        <v>4131</v>
      </c>
      <c r="F633" s="34" t="n">
        <f aca="false">IFERROR(VLOOKUP($A633,'319'!$B:$H,7,0),0)</f>
        <v>0</v>
      </c>
      <c r="G633" s="34" t="n">
        <f aca="false">SUMIFS('12.326ana'!$C:$C,'12.326ana'!$M:$M,redes!A633)</f>
        <v>0</v>
      </c>
    </row>
    <row r="634" customFormat="false" ht="14.4" hidden="true" customHeight="false" outlineLevel="0" collapsed="false">
      <c r="A634" s="34" t="n">
        <v>2977750142</v>
      </c>
      <c r="B634" s="34" t="s">
        <v>4132</v>
      </c>
      <c r="C634" s="34" t="s">
        <v>77</v>
      </c>
      <c r="E634" s="30" t="s">
        <v>4133</v>
      </c>
      <c r="F634" s="34" t="n">
        <f aca="false">IFERROR(VLOOKUP($A634,'319'!$B:$H,7,0),0)</f>
        <v>0</v>
      </c>
      <c r="G634" s="34" t="n">
        <f aca="false">SUMIFS('12.326ana'!$C:$C,'12.326ana'!$M:$M,redes!A634)</f>
        <v>0</v>
      </c>
    </row>
    <row r="635" customFormat="false" ht="14.4" hidden="true" customHeight="false" outlineLevel="0" collapsed="false">
      <c r="A635" s="34" t="n">
        <v>2984776100</v>
      </c>
      <c r="B635" s="34" t="s">
        <v>4134</v>
      </c>
      <c r="C635" s="34" t="s">
        <v>77</v>
      </c>
      <c r="E635" s="30" t="s">
        <v>4135</v>
      </c>
      <c r="F635" s="34" t="n">
        <f aca="false">IFERROR(VLOOKUP($A635,'319'!$B:$H,7,0),0)</f>
        <v>0</v>
      </c>
      <c r="G635" s="34" t="n">
        <f aca="false">SUMIFS('12.326ana'!$C:$C,'12.326ana'!$M:$M,redes!A635)</f>
        <v>0</v>
      </c>
    </row>
    <row r="636" customFormat="false" ht="14.4" hidden="true" customHeight="false" outlineLevel="0" collapsed="false">
      <c r="A636" s="34" t="n">
        <v>3003766180</v>
      </c>
      <c r="B636" s="34" t="s">
        <v>4136</v>
      </c>
      <c r="C636" s="34" t="s">
        <v>77</v>
      </c>
      <c r="E636" s="30" t="s">
        <v>4137</v>
      </c>
      <c r="F636" s="34" t="n">
        <f aca="false">IFERROR(VLOOKUP($A636,'319'!$B:$H,7,0),0)</f>
        <v>0</v>
      </c>
      <c r="G636" s="34" t="n">
        <f aca="false">SUMIFS('12.326ana'!$C:$C,'12.326ana'!$M:$M,redes!A636)</f>
        <v>0</v>
      </c>
    </row>
    <row r="637" customFormat="false" ht="14.4" hidden="true" customHeight="false" outlineLevel="0" collapsed="false">
      <c r="A637" s="34" t="n">
        <v>3013472120</v>
      </c>
      <c r="B637" s="34" t="s">
        <v>4138</v>
      </c>
      <c r="C637" s="34" t="s">
        <v>4139</v>
      </c>
      <c r="E637" s="30" t="s">
        <v>4140</v>
      </c>
      <c r="F637" s="34" t="n">
        <f aca="false">IFERROR(VLOOKUP($A637,'319'!$B:$H,7,0),0)</f>
        <v>0</v>
      </c>
      <c r="G637" s="34" t="n">
        <f aca="false">SUMIFS('12.326ana'!$C:$C,'12.326ana'!$M:$M,redes!A637)</f>
        <v>0</v>
      </c>
    </row>
    <row r="638" customFormat="false" ht="14.4" hidden="true" customHeight="false" outlineLevel="0" collapsed="false">
      <c r="A638" s="34" t="n">
        <v>3044898404</v>
      </c>
      <c r="B638" s="34" t="s">
        <v>4141</v>
      </c>
      <c r="C638" s="34" t="s">
        <v>89</v>
      </c>
      <c r="E638" s="30" t="s">
        <v>4142</v>
      </c>
      <c r="F638" s="34" t="n">
        <f aca="false">IFERROR(VLOOKUP($A638,'319'!$B:$H,7,0),0)</f>
        <v>0</v>
      </c>
      <c r="G638" s="34" t="n">
        <f aca="false">SUMIFS('12.326ana'!$C:$C,'12.326ana'!$M:$M,redes!A638)</f>
        <v>0</v>
      </c>
    </row>
    <row r="639" customFormat="false" ht="14.4" hidden="true" customHeight="false" outlineLevel="0" collapsed="false">
      <c r="A639" s="34" t="n">
        <v>3059108170</v>
      </c>
      <c r="B639" s="34" t="s">
        <v>4143</v>
      </c>
      <c r="C639" s="34" t="s">
        <v>192</v>
      </c>
      <c r="E639" s="30" t="s">
        <v>4144</v>
      </c>
      <c r="F639" s="34" t="n">
        <f aca="false">IFERROR(VLOOKUP($A639,'319'!$B:$H,7,0),0)</f>
        <v>0</v>
      </c>
      <c r="G639" s="34" t="n">
        <f aca="false">SUMIFS('12.326ana'!$C:$C,'12.326ana'!$M:$M,redes!A639)</f>
        <v>0</v>
      </c>
    </row>
    <row r="640" customFormat="false" ht="14.4" hidden="true" customHeight="false" outlineLevel="0" collapsed="false">
      <c r="A640" s="34" t="n">
        <v>3059316104</v>
      </c>
      <c r="B640" s="34" t="s">
        <v>4145</v>
      </c>
      <c r="C640" s="34" t="s">
        <v>107</v>
      </c>
      <c r="E640" s="30" t="s">
        <v>4146</v>
      </c>
      <c r="F640" s="34" t="n">
        <f aca="false">IFERROR(VLOOKUP($A640,'319'!$B:$H,7,0),0)</f>
        <v>0</v>
      </c>
      <c r="G640" s="34" t="n">
        <f aca="false">SUMIFS('12.326ana'!$C:$C,'12.326ana'!$M:$M,redes!A640)</f>
        <v>0</v>
      </c>
    </row>
    <row r="641" customFormat="false" ht="14.4" hidden="true" customHeight="false" outlineLevel="0" collapsed="false">
      <c r="A641" s="34" t="n">
        <v>3080538420</v>
      </c>
      <c r="B641" s="34" t="s">
        <v>4147</v>
      </c>
      <c r="C641" s="34" t="s">
        <v>77</v>
      </c>
      <c r="E641" s="30" t="s">
        <v>4148</v>
      </c>
      <c r="F641" s="34" t="n">
        <f aca="false">IFERROR(VLOOKUP($A641,'319'!$B:$H,7,0),0)</f>
        <v>0</v>
      </c>
      <c r="G641" s="34" t="n">
        <f aca="false">SUMIFS('12.326ana'!$C:$C,'12.326ana'!$M:$M,redes!A641)</f>
        <v>0</v>
      </c>
    </row>
    <row r="642" customFormat="false" ht="14.4" hidden="true" customHeight="false" outlineLevel="0" collapsed="false">
      <c r="A642" s="34" t="n">
        <v>3085074104</v>
      </c>
      <c r="B642" s="34" t="s">
        <v>4149</v>
      </c>
      <c r="C642" s="34" t="s">
        <v>77</v>
      </c>
      <c r="E642" s="30"/>
      <c r="F642" s="34" t="n">
        <f aca="false">IFERROR(VLOOKUP($A642,'319'!$B:$H,7,0),0)</f>
        <v>0</v>
      </c>
      <c r="G642" s="34" t="n">
        <f aca="false">SUMIFS('12.326ana'!$C:$C,'12.326ana'!$M:$M,redes!A642)</f>
        <v>0</v>
      </c>
    </row>
    <row r="643" customFormat="false" ht="14.4" hidden="true" customHeight="false" outlineLevel="0" collapsed="false">
      <c r="A643" s="34" t="n">
        <v>3085476164</v>
      </c>
      <c r="B643" s="34" t="s">
        <v>4150</v>
      </c>
      <c r="C643" s="34" t="s">
        <v>77</v>
      </c>
      <c r="E643" s="30"/>
      <c r="F643" s="34" t="n">
        <f aca="false">IFERROR(VLOOKUP($A643,'319'!$B:$H,7,0),0)</f>
        <v>0</v>
      </c>
      <c r="G643" s="34" t="n">
        <f aca="false">SUMIFS('12.326ana'!$C:$C,'12.326ana'!$M:$M,redes!A643)</f>
        <v>0</v>
      </c>
    </row>
    <row r="644" customFormat="false" ht="14.4" hidden="true" customHeight="false" outlineLevel="0" collapsed="false">
      <c r="A644" s="34" t="n">
        <v>3090420112</v>
      </c>
      <c r="B644" s="34" t="s">
        <v>4151</v>
      </c>
      <c r="C644" s="34" t="s">
        <v>478</v>
      </c>
      <c r="E644" s="30" t="s">
        <v>4152</v>
      </c>
      <c r="F644" s="34" t="n">
        <f aca="false">IFERROR(VLOOKUP($A644,'319'!$B:$H,7,0),0)</f>
        <v>0</v>
      </c>
      <c r="G644" s="34" t="n">
        <f aca="false">SUMIFS('12.326ana'!$C:$C,'12.326ana'!$M:$M,redes!A644)</f>
        <v>0</v>
      </c>
    </row>
    <row r="645" customFormat="false" ht="14.4" hidden="true" customHeight="false" outlineLevel="0" collapsed="false">
      <c r="A645" s="34" t="n">
        <v>3108717197</v>
      </c>
      <c r="B645" s="34" t="s">
        <v>4153</v>
      </c>
      <c r="C645" s="34" t="s">
        <v>77</v>
      </c>
      <c r="E645" s="30" t="s">
        <v>4154</v>
      </c>
      <c r="F645" s="34" t="n">
        <f aca="false">IFERROR(VLOOKUP($A645,'319'!$B:$H,7,0),0)</f>
        <v>0</v>
      </c>
      <c r="G645" s="34" t="n">
        <f aca="false">SUMIFS('12.326ana'!$C:$C,'12.326ana'!$M:$M,redes!A645)</f>
        <v>0</v>
      </c>
    </row>
    <row r="646" customFormat="false" ht="14.4" hidden="true" customHeight="false" outlineLevel="0" collapsed="false">
      <c r="A646" s="34" t="n">
        <v>3137406900</v>
      </c>
      <c r="B646" s="34" t="s">
        <v>4155</v>
      </c>
      <c r="C646" s="34" t="s">
        <v>4156</v>
      </c>
      <c r="E646" s="30" t="s">
        <v>4157</v>
      </c>
      <c r="F646" s="34" t="n">
        <f aca="false">IFERROR(VLOOKUP($A646,'319'!$B:$H,7,0),0)</f>
        <v>0</v>
      </c>
      <c r="G646" s="34" t="n">
        <f aca="false">SUMIFS('12.326ana'!$C:$C,'12.326ana'!$M:$M,redes!A646)</f>
        <v>0</v>
      </c>
    </row>
    <row r="647" customFormat="false" ht="14.4" hidden="true" customHeight="false" outlineLevel="0" collapsed="false">
      <c r="A647" s="34" t="n">
        <v>3146080109</v>
      </c>
      <c r="B647" s="34" t="s">
        <v>4158</v>
      </c>
      <c r="C647" s="34" t="s">
        <v>77</v>
      </c>
      <c r="E647" s="30" t="s">
        <v>4158</v>
      </c>
      <c r="F647" s="34" t="n">
        <f aca="false">IFERROR(VLOOKUP($A647,'319'!$B:$H,7,0),0)</f>
        <v>0</v>
      </c>
      <c r="G647" s="34" t="n">
        <f aca="false">SUMIFS('12.326ana'!$C:$C,'12.326ana'!$M:$M,redes!A647)</f>
        <v>0</v>
      </c>
    </row>
    <row r="648" customFormat="false" ht="14.4" hidden="true" customHeight="false" outlineLevel="0" collapsed="false">
      <c r="A648" s="34" t="n">
        <v>3151427154</v>
      </c>
      <c r="B648" s="34" t="s">
        <v>4159</v>
      </c>
      <c r="C648" s="34" t="s">
        <v>77</v>
      </c>
      <c r="E648" s="30"/>
      <c r="F648" s="34" t="n">
        <f aca="false">IFERROR(VLOOKUP($A648,'319'!$B:$H,7,0),0)</f>
        <v>0</v>
      </c>
      <c r="G648" s="34" t="n">
        <f aca="false">SUMIFS('12.326ana'!$C:$C,'12.326ana'!$M:$M,redes!A648)</f>
        <v>0</v>
      </c>
    </row>
    <row r="649" customFormat="false" ht="14.4" hidden="true" customHeight="false" outlineLevel="0" collapsed="false">
      <c r="A649" s="34" t="n">
        <v>3152123140</v>
      </c>
      <c r="B649" s="34" t="s">
        <v>4160</v>
      </c>
      <c r="C649" s="34" t="s">
        <v>129</v>
      </c>
      <c r="E649" s="30" t="s">
        <v>4161</v>
      </c>
      <c r="F649" s="34" t="n">
        <f aca="false">IFERROR(VLOOKUP($A649,'319'!$B:$H,7,0),0)</f>
        <v>0</v>
      </c>
      <c r="G649" s="34" t="n">
        <f aca="false">SUMIFS('12.326ana'!$C:$C,'12.326ana'!$M:$M,redes!A649)</f>
        <v>0</v>
      </c>
    </row>
    <row r="650" customFormat="false" ht="14.4" hidden="true" customHeight="false" outlineLevel="0" collapsed="false">
      <c r="A650" s="34" t="n">
        <v>3166373861</v>
      </c>
      <c r="B650" s="34" t="s">
        <v>4162</v>
      </c>
      <c r="C650" s="34" t="s">
        <v>77</v>
      </c>
      <c r="E650" s="30" t="s">
        <v>4163</v>
      </c>
      <c r="F650" s="34" t="n">
        <f aca="false">IFERROR(VLOOKUP($A650,'319'!$B:$H,7,0),0)</f>
        <v>0</v>
      </c>
      <c r="G650" s="34" t="n">
        <f aca="false">SUMIFS('12.326ana'!$C:$C,'12.326ana'!$M:$M,redes!A650)</f>
        <v>0</v>
      </c>
    </row>
    <row r="651" customFormat="false" ht="14.4" hidden="true" customHeight="false" outlineLevel="0" collapsed="false">
      <c r="A651" s="34" t="n">
        <v>3166377182</v>
      </c>
      <c r="B651" s="34" t="s">
        <v>4164</v>
      </c>
      <c r="C651" s="34" t="s">
        <v>77</v>
      </c>
      <c r="E651" s="30" t="s">
        <v>3699</v>
      </c>
      <c r="F651" s="34" t="n">
        <f aca="false">IFERROR(VLOOKUP($A651,'319'!$B:$H,7,0),0)</f>
        <v>0</v>
      </c>
      <c r="G651" s="34" t="n">
        <f aca="false">SUMIFS('12.326ana'!$C:$C,'12.326ana'!$M:$M,redes!A651)</f>
        <v>0</v>
      </c>
    </row>
    <row r="652" customFormat="false" ht="14.4" hidden="true" customHeight="false" outlineLevel="0" collapsed="false">
      <c r="A652" s="34" t="n">
        <v>3168657107</v>
      </c>
      <c r="B652" s="34" t="s">
        <v>4165</v>
      </c>
      <c r="C652" s="34" t="s">
        <v>77</v>
      </c>
      <c r="E652" s="30"/>
      <c r="F652" s="34" t="n">
        <f aca="false">IFERROR(VLOOKUP($A652,'319'!$B:$H,7,0),0)</f>
        <v>0</v>
      </c>
      <c r="G652" s="34" t="n">
        <f aca="false">SUMIFS('12.326ana'!$C:$C,'12.326ana'!$M:$M,redes!A652)</f>
        <v>0</v>
      </c>
    </row>
    <row r="653" customFormat="false" ht="14.4" hidden="true" customHeight="false" outlineLevel="0" collapsed="false">
      <c r="A653" s="34" t="n">
        <v>3172121844</v>
      </c>
      <c r="B653" s="34" t="s">
        <v>4166</v>
      </c>
      <c r="C653" s="34" t="s">
        <v>77</v>
      </c>
      <c r="E653" s="30" t="s">
        <v>4167</v>
      </c>
      <c r="F653" s="34" t="n">
        <f aca="false">IFERROR(VLOOKUP($A653,'319'!$B:$H,7,0),0)</f>
        <v>0</v>
      </c>
      <c r="G653" s="34" t="n">
        <f aca="false">SUMIFS('12.326ana'!$C:$C,'12.326ana'!$M:$M,redes!A653)</f>
        <v>0</v>
      </c>
    </row>
    <row r="654" customFormat="false" ht="14.4" hidden="true" customHeight="false" outlineLevel="0" collapsed="false">
      <c r="A654" s="34" t="n">
        <v>3179871199</v>
      </c>
      <c r="B654" s="34" t="s">
        <v>4168</v>
      </c>
      <c r="C654" s="34" t="s">
        <v>77</v>
      </c>
      <c r="E654" s="30" t="s">
        <v>4169</v>
      </c>
      <c r="F654" s="34" t="n">
        <f aca="false">IFERROR(VLOOKUP($A654,'319'!$B:$H,7,0),0)</f>
        <v>0</v>
      </c>
      <c r="G654" s="34" t="n">
        <f aca="false">SUMIFS('12.326ana'!$C:$C,'12.326ana'!$M:$M,redes!A654)</f>
        <v>0</v>
      </c>
    </row>
    <row r="655" customFormat="false" ht="14.4" hidden="true" customHeight="false" outlineLevel="0" collapsed="false">
      <c r="A655" s="34" t="n">
        <v>3180045183</v>
      </c>
      <c r="B655" s="34" t="s">
        <v>4170</v>
      </c>
      <c r="C655" s="34" t="s">
        <v>197</v>
      </c>
      <c r="E655" s="30" t="s">
        <v>4171</v>
      </c>
      <c r="F655" s="34" t="n">
        <f aca="false">IFERROR(VLOOKUP($A655,'319'!$B:$H,7,0),0)</f>
        <v>0</v>
      </c>
      <c r="G655" s="34" t="n">
        <f aca="false">SUMIFS('12.326ana'!$C:$C,'12.326ana'!$M:$M,redes!A655)</f>
        <v>0</v>
      </c>
    </row>
    <row r="656" customFormat="false" ht="14.4" hidden="true" customHeight="false" outlineLevel="0" collapsed="false">
      <c r="A656" s="34" t="n">
        <v>3192937858</v>
      </c>
      <c r="B656" s="34" t="s">
        <v>4172</v>
      </c>
      <c r="C656" s="34" t="s">
        <v>77</v>
      </c>
      <c r="E656" s="30" t="s">
        <v>4173</v>
      </c>
      <c r="F656" s="34" t="n">
        <f aca="false">IFERROR(VLOOKUP($A656,'319'!$B:$H,7,0),0)</f>
        <v>0</v>
      </c>
      <c r="G656" s="34" t="n">
        <f aca="false">SUMIFS('12.326ana'!$C:$C,'12.326ana'!$M:$M,redes!A656)</f>
        <v>0</v>
      </c>
    </row>
    <row r="657" customFormat="false" ht="14.4" hidden="true" customHeight="false" outlineLevel="0" collapsed="false">
      <c r="A657" s="34" t="n">
        <v>3193673129</v>
      </c>
      <c r="B657" s="34" t="s">
        <v>4174</v>
      </c>
      <c r="C657" s="34" t="s">
        <v>77</v>
      </c>
      <c r="E657" s="30" t="s">
        <v>4174</v>
      </c>
      <c r="F657" s="34" t="n">
        <f aca="false">IFERROR(VLOOKUP($A657,'319'!$B:$H,7,0),0)</f>
        <v>0</v>
      </c>
      <c r="G657" s="34" t="n">
        <f aca="false">SUMIFS('12.326ana'!$C:$C,'12.326ana'!$M:$M,redes!A657)</f>
        <v>0</v>
      </c>
    </row>
    <row r="658" customFormat="false" ht="14.4" hidden="true" customHeight="false" outlineLevel="0" collapsed="false">
      <c r="A658" s="34" t="n">
        <v>3205798163</v>
      </c>
      <c r="B658" s="34" t="s">
        <v>4175</v>
      </c>
      <c r="C658" s="34" t="s">
        <v>77</v>
      </c>
      <c r="E658" s="30" t="s">
        <v>4176</v>
      </c>
      <c r="F658" s="34" t="n">
        <f aca="false">IFERROR(VLOOKUP($A658,'319'!$B:$H,7,0),0)</f>
        <v>0</v>
      </c>
      <c r="G658" s="34" t="n">
        <f aca="false">SUMIFS('12.326ana'!$C:$C,'12.326ana'!$M:$M,redes!A658)</f>
        <v>0</v>
      </c>
    </row>
    <row r="659" customFormat="false" ht="14.4" hidden="true" customHeight="false" outlineLevel="0" collapsed="false">
      <c r="A659" s="34" t="n">
        <v>3216708179</v>
      </c>
      <c r="B659" s="34" t="s">
        <v>4177</v>
      </c>
      <c r="C659" s="34" t="s">
        <v>77</v>
      </c>
      <c r="E659" s="30" t="s">
        <v>3809</v>
      </c>
      <c r="F659" s="34" t="n">
        <f aca="false">IFERROR(VLOOKUP($A659,'319'!$B:$H,7,0),0)</f>
        <v>0</v>
      </c>
      <c r="G659" s="34" t="n">
        <f aca="false">SUMIFS('12.326ana'!$C:$C,'12.326ana'!$M:$M,redes!A659)</f>
        <v>0</v>
      </c>
    </row>
    <row r="660" customFormat="false" ht="14.4" hidden="true" customHeight="false" outlineLevel="0" collapsed="false">
      <c r="A660" s="34" t="n">
        <v>3220177182</v>
      </c>
      <c r="B660" s="34" t="s">
        <v>4178</v>
      </c>
      <c r="C660" s="34" t="s">
        <v>77</v>
      </c>
      <c r="E660" s="30" t="s">
        <v>4178</v>
      </c>
      <c r="F660" s="34" t="n">
        <f aca="false">IFERROR(VLOOKUP($A660,'319'!$B:$H,7,0),0)</f>
        <v>0</v>
      </c>
      <c r="G660" s="34" t="n">
        <f aca="false">SUMIFS('12.326ana'!$C:$C,'12.326ana'!$M:$M,redes!A660)</f>
        <v>0</v>
      </c>
    </row>
    <row r="661" customFormat="false" ht="14.4" hidden="true" customHeight="false" outlineLevel="0" collapsed="false">
      <c r="A661" s="34" t="n">
        <v>3227481197</v>
      </c>
      <c r="B661" s="34" t="s">
        <v>4179</v>
      </c>
      <c r="C661" s="34" t="s">
        <v>77</v>
      </c>
      <c r="E661" s="30" t="s">
        <v>3222</v>
      </c>
      <c r="F661" s="34" t="n">
        <f aca="false">IFERROR(VLOOKUP($A661,'319'!$B:$H,7,0),0)</f>
        <v>0</v>
      </c>
      <c r="G661" s="34" t="n">
        <f aca="false">SUMIFS('12.326ana'!$C:$C,'12.326ana'!$M:$M,redes!A661)</f>
        <v>0</v>
      </c>
    </row>
    <row r="662" customFormat="false" ht="14.4" hidden="true" customHeight="false" outlineLevel="0" collapsed="false">
      <c r="A662" s="34" t="n">
        <v>3231761190</v>
      </c>
      <c r="B662" s="34" t="s">
        <v>4180</v>
      </c>
      <c r="C662" s="34" t="s">
        <v>154</v>
      </c>
      <c r="E662" s="30" t="s">
        <v>4181</v>
      </c>
      <c r="F662" s="34" t="n">
        <f aca="false">IFERROR(VLOOKUP($A662,'319'!$B:$H,7,0),0)</f>
        <v>0</v>
      </c>
      <c r="G662" s="34" t="n">
        <f aca="false">SUMIFS('12.326ana'!$C:$C,'12.326ana'!$M:$M,redes!A662)</f>
        <v>0</v>
      </c>
    </row>
    <row r="663" customFormat="false" ht="14.4" hidden="true" customHeight="false" outlineLevel="0" collapsed="false">
      <c r="A663" s="34" t="n">
        <v>3239891875</v>
      </c>
      <c r="B663" s="34" t="s">
        <v>4182</v>
      </c>
      <c r="C663" s="34" t="s">
        <v>77</v>
      </c>
      <c r="E663" s="30" t="s">
        <v>4183</v>
      </c>
      <c r="F663" s="34" t="n">
        <f aca="false">IFERROR(VLOOKUP($A663,'319'!$B:$H,7,0),0)</f>
        <v>0</v>
      </c>
      <c r="G663" s="34" t="n">
        <f aca="false">SUMIFS('12.326ana'!$C:$C,'12.326ana'!$M:$M,redes!A663)</f>
        <v>0</v>
      </c>
    </row>
    <row r="664" customFormat="false" ht="14.4" hidden="true" customHeight="false" outlineLevel="0" collapsed="false">
      <c r="A664" s="34" t="n">
        <v>3253716953</v>
      </c>
      <c r="B664" s="34" t="s">
        <v>4184</v>
      </c>
      <c r="C664" s="34" t="s">
        <v>107</v>
      </c>
      <c r="E664" s="30" t="s">
        <v>4185</v>
      </c>
      <c r="F664" s="34" t="n">
        <f aca="false">IFERROR(VLOOKUP($A664,'319'!$B:$H,7,0),0)</f>
        <v>0</v>
      </c>
      <c r="G664" s="34" t="n">
        <f aca="false">SUMIFS('12.326ana'!$C:$C,'12.326ana'!$M:$M,redes!A664)</f>
        <v>0</v>
      </c>
    </row>
    <row r="665" customFormat="false" ht="14.4" hidden="true" customHeight="false" outlineLevel="0" collapsed="false">
      <c r="A665" s="34" t="n">
        <v>3263158880</v>
      </c>
      <c r="B665" s="34" t="s">
        <v>4186</v>
      </c>
      <c r="C665" s="34" t="s">
        <v>129</v>
      </c>
      <c r="E665" s="30" t="s">
        <v>4187</v>
      </c>
      <c r="F665" s="34" t="n">
        <f aca="false">IFERROR(VLOOKUP($A665,'319'!$B:$H,7,0),0)</f>
        <v>0</v>
      </c>
      <c r="G665" s="34" t="n">
        <f aca="false">SUMIFS('12.326ana'!$C:$C,'12.326ana'!$M:$M,redes!A665)</f>
        <v>0</v>
      </c>
    </row>
    <row r="666" customFormat="false" ht="14.4" hidden="true" customHeight="false" outlineLevel="0" collapsed="false">
      <c r="A666" s="34" t="n">
        <v>3271362190</v>
      </c>
      <c r="B666" s="34" t="s">
        <v>4188</v>
      </c>
      <c r="C666" s="34" t="s">
        <v>77</v>
      </c>
      <c r="E666" s="30" t="s">
        <v>4189</v>
      </c>
      <c r="F666" s="34" t="n">
        <f aca="false">IFERROR(VLOOKUP($A666,'319'!$B:$H,7,0),0)</f>
        <v>0</v>
      </c>
      <c r="G666" s="34" t="n">
        <f aca="false">SUMIFS('12.326ana'!$C:$C,'12.326ana'!$M:$M,redes!A666)</f>
        <v>0</v>
      </c>
    </row>
    <row r="667" customFormat="false" ht="14.4" hidden="true" customHeight="false" outlineLevel="0" collapsed="false">
      <c r="A667" s="34" t="n">
        <v>3290958116</v>
      </c>
      <c r="B667" s="34" t="s">
        <v>4190</v>
      </c>
      <c r="C667" s="34" t="s">
        <v>89</v>
      </c>
      <c r="E667" s="30" t="s">
        <v>4191</v>
      </c>
      <c r="F667" s="34" t="n">
        <f aca="false">IFERROR(VLOOKUP($A667,'319'!$B:$H,7,0),0)</f>
        <v>0</v>
      </c>
      <c r="G667" s="34" t="n">
        <f aca="false">SUMIFS('12.326ana'!$C:$C,'12.326ana'!$M:$M,redes!A667)</f>
        <v>0</v>
      </c>
    </row>
    <row r="668" customFormat="false" ht="14.4" hidden="true" customHeight="false" outlineLevel="0" collapsed="false">
      <c r="A668" s="34" t="n">
        <v>3314552181</v>
      </c>
      <c r="B668" s="34" t="s">
        <v>4192</v>
      </c>
      <c r="C668" s="34" t="s">
        <v>764</v>
      </c>
      <c r="E668" s="30" t="s">
        <v>4193</v>
      </c>
      <c r="F668" s="34" t="n">
        <f aca="false">IFERROR(VLOOKUP($A668,'319'!$B:$H,7,0),0)</f>
        <v>0</v>
      </c>
      <c r="G668" s="34" t="n">
        <f aca="false">SUMIFS('12.326ana'!$C:$C,'12.326ana'!$M:$M,redes!A668)</f>
        <v>0</v>
      </c>
    </row>
    <row r="669" customFormat="false" ht="14.4" hidden="true" customHeight="false" outlineLevel="0" collapsed="false">
      <c r="A669" s="34" t="n">
        <v>3317719184</v>
      </c>
      <c r="B669" s="34" t="s">
        <v>4194</v>
      </c>
      <c r="C669" s="34" t="s">
        <v>139</v>
      </c>
      <c r="E669" s="30" t="s">
        <v>4195</v>
      </c>
      <c r="F669" s="34" t="n">
        <f aca="false">IFERROR(VLOOKUP($A669,'319'!$B:$H,7,0),0)</f>
        <v>0</v>
      </c>
      <c r="G669" s="34" t="n">
        <f aca="false">SUMIFS('12.326ana'!$C:$C,'12.326ana'!$M:$M,redes!A669)</f>
        <v>0</v>
      </c>
    </row>
    <row r="670" customFormat="false" ht="14.4" hidden="true" customHeight="false" outlineLevel="0" collapsed="false">
      <c r="A670" s="34" t="n">
        <v>3323593871</v>
      </c>
      <c r="B670" s="34" t="s">
        <v>4196</v>
      </c>
      <c r="C670" s="34" t="s">
        <v>478</v>
      </c>
      <c r="E670" s="30" t="s">
        <v>4197</v>
      </c>
      <c r="F670" s="34" t="n">
        <f aca="false">IFERROR(VLOOKUP($A670,'319'!$B:$H,7,0),0)</f>
        <v>0</v>
      </c>
      <c r="G670" s="34" t="n">
        <f aca="false">SUMIFS('12.326ana'!$C:$C,'12.326ana'!$M:$M,redes!A670)</f>
        <v>0</v>
      </c>
    </row>
    <row r="671" customFormat="false" ht="14.4" hidden="true" customHeight="false" outlineLevel="0" collapsed="false">
      <c r="A671" s="34" t="n">
        <v>3324586100</v>
      </c>
      <c r="B671" s="34" t="s">
        <v>4198</v>
      </c>
      <c r="C671" s="34" t="s">
        <v>77</v>
      </c>
      <c r="E671" s="30" t="s">
        <v>4199</v>
      </c>
      <c r="F671" s="34" t="n">
        <f aca="false">IFERROR(VLOOKUP($A671,'319'!$B:$H,7,0),0)</f>
        <v>0</v>
      </c>
      <c r="G671" s="34" t="n">
        <f aca="false">SUMIFS('12.326ana'!$C:$C,'12.326ana'!$M:$M,redes!A671)</f>
        <v>0</v>
      </c>
    </row>
    <row r="672" customFormat="false" ht="14.4" hidden="true" customHeight="false" outlineLevel="0" collapsed="false">
      <c r="A672" s="34" t="n">
        <v>3325149197</v>
      </c>
      <c r="B672" s="34" t="s">
        <v>4200</v>
      </c>
      <c r="C672" s="34" t="s">
        <v>336</v>
      </c>
      <c r="E672" s="30" t="s">
        <v>4201</v>
      </c>
      <c r="F672" s="34" t="n">
        <f aca="false">IFERROR(VLOOKUP($A672,'319'!$B:$H,7,0),0)</f>
        <v>0</v>
      </c>
      <c r="G672" s="34" t="n">
        <f aca="false">SUMIFS('12.326ana'!$C:$C,'12.326ana'!$M:$M,redes!A672)</f>
        <v>0</v>
      </c>
    </row>
    <row r="673" customFormat="false" ht="14.4" hidden="true" customHeight="false" outlineLevel="0" collapsed="false">
      <c r="A673" s="34" t="n">
        <v>3331110957</v>
      </c>
      <c r="B673" s="34" t="s">
        <v>4202</v>
      </c>
      <c r="C673" s="34" t="s">
        <v>107</v>
      </c>
      <c r="E673" s="30" t="s">
        <v>4203</v>
      </c>
      <c r="F673" s="34" t="n">
        <f aca="false">IFERROR(VLOOKUP($A673,'319'!$B:$H,7,0),0)</f>
        <v>0</v>
      </c>
      <c r="G673" s="34" t="n">
        <f aca="false">SUMIFS('12.326ana'!$C:$C,'12.326ana'!$M:$M,redes!A673)</f>
        <v>0</v>
      </c>
    </row>
    <row r="674" customFormat="false" ht="14.4" hidden="true" customHeight="false" outlineLevel="0" collapsed="false">
      <c r="A674" s="34" t="n">
        <v>3338535120</v>
      </c>
      <c r="B674" s="34" t="s">
        <v>4204</v>
      </c>
      <c r="C674" s="34" t="s">
        <v>77</v>
      </c>
      <c r="E674" s="30" t="s">
        <v>4205</v>
      </c>
      <c r="F674" s="34" t="n">
        <f aca="false">IFERROR(VLOOKUP($A674,'319'!$B:$H,7,0),0)</f>
        <v>0</v>
      </c>
      <c r="G674" s="34" t="n">
        <f aca="false">SUMIFS('12.326ana'!$C:$C,'12.326ana'!$M:$M,redes!A674)</f>
        <v>0</v>
      </c>
    </row>
    <row r="675" customFormat="false" ht="14.4" hidden="true" customHeight="false" outlineLevel="0" collapsed="false">
      <c r="A675" s="34" t="n">
        <v>3338693117</v>
      </c>
      <c r="B675" s="34" t="s">
        <v>4206</v>
      </c>
      <c r="C675" s="34" t="s">
        <v>764</v>
      </c>
      <c r="E675" s="30" t="s">
        <v>4207</v>
      </c>
      <c r="F675" s="34" t="n">
        <f aca="false">IFERROR(VLOOKUP($A675,'319'!$B:$H,7,0),0)</f>
        <v>0</v>
      </c>
      <c r="G675" s="34" t="n">
        <f aca="false">SUMIFS('12.326ana'!$C:$C,'12.326ana'!$M:$M,redes!A675)</f>
        <v>0</v>
      </c>
    </row>
    <row r="676" customFormat="false" ht="14.4" hidden="true" customHeight="false" outlineLevel="0" collapsed="false">
      <c r="A676" s="34" t="n">
        <v>3344713116</v>
      </c>
      <c r="B676" s="34" t="s">
        <v>4208</v>
      </c>
      <c r="C676" s="34" t="s">
        <v>77</v>
      </c>
      <c r="E676" s="30" t="s">
        <v>4209</v>
      </c>
      <c r="F676" s="34" t="n">
        <f aca="false">IFERROR(VLOOKUP($A676,'319'!$B:$H,7,0),0)</f>
        <v>0</v>
      </c>
      <c r="G676" s="34" t="n">
        <f aca="false">SUMIFS('12.326ana'!$C:$C,'12.326ana'!$M:$M,redes!A676)</f>
        <v>0</v>
      </c>
    </row>
    <row r="677" customFormat="false" ht="14.4" hidden="true" customHeight="false" outlineLevel="0" collapsed="false">
      <c r="A677" s="34" t="n">
        <v>3369395150</v>
      </c>
      <c r="B677" s="34" t="s">
        <v>4210</v>
      </c>
      <c r="C677" s="34" t="s">
        <v>77</v>
      </c>
      <c r="E677" s="30" t="s">
        <v>4210</v>
      </c>
      <c r="F677" s="34" t="n">
        <f aca="false">IFERROR(VLOOKUP($A677,'319'!$B:$H,7,0),0)</f>
        <v>0</v>
      </c>
      <c r="G677" s="34" t="n">
        <f aca="false">SUMIFS('12.326ana'!$C:$C,'12.326ana'!$M:$M,redes!A677)</f>
        <v>0</v>
      </c>
    </row>
    <row r="678" customFormat="false" ht="14.4" hidden="true" customHeight="false" outlineLevel="0" collapsed="false">
      <c r="A678" s="34" t="n">
        <v>3377802932</v>
      </c>
      <c r="B678" s="34" t="s">
        <v>4211</v>
      </c>
      <c r="C678" s="34" t="s">
        <v>103</v>
      </c>
      <c r="E678" s="30" t="s">
        <v>4212</v>
      </c>
      <c r="F678" s="34" t="n">
        <f aca="false">IFERROR(VLOOKUP($A678,'319'!$B:$H,7,0),0)</f>
        <v>0</v>
      </c>
      <c r="G678" s="34" t="n">
        <f aca="false">SUMIFS('12.326ana'!$C:$C,'12.326ana'!$M:$M,redes!A678)</f>
        <v>0</v>
      </c>
    </row>
    <row r="679" customFormat="false" ht="14.4" hidden="true" customHeight="false" outlineLevel="0" collapsed="false">
      <c r="A679" s="34" t="n">
        <v>3385198151</v>
      </c>
      <c r="B679" s="34" t="s">
        <v>4213</v>
      </c>
      <c r="C679" s="34" t="s">
        <v>107</v>
      </c>
      <c r="E679" s="30" t="s">
        <v>4214</v>
      </c>
      <c r="F679" s="34" t="n">
        <f aca="false">IFERROR(VLOOKUP($A679,'319'!$B:$H,7,0),0)</f>
        <v>0</v>
      </c>
      <c r="G679" s="34" t="n">
        <f aca="false">SUMIFS('12.326ana'!$C:$C,'12.326ana'!$M:$M,redes!A679)</f>
        <v>0</v>
      </c>
    </row>
    <row r="680" customFormat="false" ht="14.4" hidden="true" customHeight="false" outlineLevel="0" collapsed="false">
      <c r="A680" s="34" t="n">
        <v>3390544178</v>
      </c>
      <c r="B680" s="34" t="s">
        <v>4215</v>
      </c>
      <c r="C680" s="34" t="s">
        <v>1680</v>
      </c>
      <c r="E680" s="30" t="s">
        <v>4216</v>
      </c>
      <c r="F680" s="34" t="n">
        <f aca="false">IFERROR(VLOOKUP($A680,'319'!$B:$H,7,0),0)</f>
        <v>0</v>
      </c>
      <c r="G680" s="34" t="n">
        <f aca="false">SUMIFS('12.326ana'!$C:$C,'12.326ana'!$M:$M,redes!A680)</f>
        <v>0</v>
      </c>
    </row>
    <row r="681" customFormat="false" ht="14.4" hidden="true" customHeight="false" outlineLevel="0" collapsed="false">
      <c r="A681" s="34" t="n">
        <v>3394428164</v>
      </c>
      <c r="B681" s="34" t="s">
        <v>4217</v>
      </c>
      <c r="C681" s="34" t="s">
        <v>77</v>
      </c>
      <c r="E681" s="30" t="s">
        <v>4218</v>
      </c>
      <c r="F681" s="34" t="n">
        <f aca="false">IFERROR(VLOOKUP($A681,'319'!$B:$H,7,0),0)</f>
        <v>0</v>
      </c>
      <c r="G681" s="34" t="n">
        <f aca="false">SUMIFS('12.326ana'!$C:$C,'12.326ana'!$M:$M,redes!A681)</f>
        <v>0</v>
      </c>
    </row>
    <row r="682" customFormat="false" ht="14.4" hidden="true" customHeight="false" outlineLevel="0" collapsed="false">
      <c r="A682" s="34" t="n">
        <v>3395769100</v>
      </c>
      <c r="B682" s="34" t="s">
        <v>4219</v>
      </c>
      <c r="C682" s="34" t="s">
        <v>197</v>
      </c>
      <c r="E682" s="30" t="s">
        <v>4220</v>
      </c>
      <c r="F682" s="34" t="n">
        <f aca="false">IFERROR(VLOOKUP($A682,'319'!$B:$H,7,0),0)</f>
        <v>0</v>
      </c>
      <c r="G682" s="34" t="n">
        <f aca="false">SUMIFS('12.326ana'!$C:$C,'12.326ana'!$M:$M,redes!A682)</f>
        <v>0</v>
      </c>
    </row>
    <row r="683" customFormat="false" ht="14.4" hidden="true" customHeight="false" outlineLevel="0" collapsed="false">
      <c r="A683" s="34" t="n">
        <v>3399456131</v>
      </c>
      <c r="B683" s="34" t="s">
        <v>1340</v>
      </c>
      <c r="C683" s="34" t="s">
        <v>309</v>
      </c>
      <c r="E683" s="30" t="s">
        <v>4221</v>
      </c>
      <c r="F683" s="34" t="n">
        <f aca="false">IFERROR(VLOOKUP($A683,'319'!$B:$H,7,0),0)</f>
        <v>0</v>
      </c>
      <c r="G683" s="34" t="n">
        <f aca="false">SUMIFS('12.326ana'!$C:$C,'12.326ana'!$M:$M,redes!A683)</f>
        <v>0</v>
      </c>
    </row>
    <row r="684" customFormat="false" ht="14.4" hidden="true" customHeight="false" outlineLevel="0" collapsed="false">
      <c r="A684" s="34" t="n">
        <v>3401416898</v>
      </c>
      <c r="B684" s="34" t="s">
        <v>4222</v>
      </c>
      <c r="C684" s="34" t="s">
        <v>336</v>
      </c>
      <c r="E684" s="30" t="s">
        <v>4223</v>
      </c>
      <c r="F684" s="34" t="n">
        <f aca="false">IFERROR(VLOOKUP($A684,'319'!$B:$H,7,0),0)</f>
        <v>0</v>
      </c>
      <c r="G684" s="34" t="n">
        <f aca="false">SUMIFS('12.326ana'!$C:$C,'12.326ana'!$M:$M,redes!A684)</f>
        <v>0</v>
      </c>
    </row>
    <row r="685" customFormat="false" ht="14.4" hidden="true" customHeight="false" outlineLevel="0" collapsed="false">
      <c r="A685" s="34" t="n">
        <v>3406555187</v>
      </c>
      <c r="B685" s="34" t="s">
        <v>4224</v>
      </c>
      <c r="C685" s="34" t="s">
        <v>296</v>
      </c>
      <c r="E685" s="30" t="s">
        <v>3505</v>
      </c>
      <c r="F685" s="34" t="n">
        <f aca="false">IFERROR(VLOOKUP($A685,'319'!$B:$H,7,0),0)</f>
        <v>0</v>
      </c>
      <c r="G685" s="34" t="n">
        <f aca="false">SUMIFS('12.326ana'!$C:$C,'12.326ana'!$M:$M,redes!A685)</f>
        <v>0</v>
      </c>
    </row>
    <row r="686" customFormat="false" ht="14.4" hidden="true" customHeight="false" outlineLevel="0" collapsed="false">
      <c r="A686" s="34" t="n">
        <v>3423207000</v>
      </c>
      <c r="B686" s="34" t="s">
        <v>4225</v>
      </c>
      <c r="C686" s="34" t="s">
        <v>77</v>
      </c>
      <c r="E686" s="30"/>
      <c r="F686" s="34" t="n">
        <f aca="false">IFERROR(VLOOKUP($A686,'319'!$B:$H,7,0),0)</f>
        <v>0</v>
      </c>
      <c r="G686" s="34" t="n">
        <f aca="false">SUMIFS('12.326ana'!$C:$C,'12.326ana'!$M:$M,redes!A686)</f>
        <v>0</v>
      </c>
    </row>
    <row r="687" customFormat="false" ht="14.4" hidden="true" customHeight="false" outlineLevel="0" collapsed="false">
      <c r="A687" s="34" t="n">
        <v>3426337835</v>
      </c>
      <c r="B687" s="34" t="s">
        <v>2985</v>
      </c>
      <c r="C687" s="34" t="s">
        <v>77</v>
      </c>
      <c r="E687" s="30" t="s">
        <v>2986</v>
      </c>
      <c r="F687" s="34" t="n">
        <f aca="false">IFERROR(VLOOKUP($A687,'319'!$B:$H,7,0),0)</f>
        <v>0</v>
      </c>
      <c r="G687" s="34" t="n">
        <f aca="false">SUMIFS('12.326ana'!$C:$C,'12.326ana'!$M:$M,redes!A687)</f>
        <v>0</v>
      </c>
    </row>
    <row r="688" customFormat="false" ht="14.4" hidden="true" customHeight="false" outlineLevel="0" collapsed="false">
      <c r="A688" s="34" t="n">
        <v>3450768859</v>
      </c>
      <c r="B688" s="34" t="s">
        <v>4226</v>
      </c>
      <c r="C688" s="34" t="s">
        <v>89</v>
      </c>
      <c r="E688" s="30" t="s">
        <v>4227</v>
      </c>
      <c r="F688" s="34" t="n">
        <f aca="false">IFERROR(VLOOKUP($A688,'319'!$B:$H,7,0),0)</f>
        <v>0</v>
      </c>
      <c r="G688" s="34" t="n">
        <f aca="false">SUMIFS('12.326ana'!$C:$C,'12.326ana'!$M:$M,redes!A688)</f>
        <v>0</v>
      </c>
    </row>
    <row r="689" customFormat="false" ht="14.4" hidden="true" customHeight="false" outlineLevel="0" collapsed="false">
      <c r="A689" s="34" t="n">
        <v>3451767155</v>
      </c>
      <c r="B689" s="34" t="s">
        <v>4228</v>
      </c>
      <c r="C689" s="34" t="s">
        <v>107</v>
      </c>
      <c r="E689" s="30" t="s">
        <v>4229</v>
      </c>
      <c r="F689" s="34" t="n">
        <f aca="false">IFERROR(VLOOKUP($A689,'319'!$B:$H,7,0),0)</f>
        <v>0</v>
      </c>
      <c r="G689" s="34" t="n">
        <f aca="false">SUMIFS('12.326ana'!$C:$C,'12.326ana'!$M:$M,redes!A689)</f>
        <v>0</v>
      </c>
    </row>
    <row r="690" customFormat="false" ht="14.4" hidden="true" customHeight="false" outlineLevel="0" collapsed="false">
      <c r="A690" s="34" t="n">
        <v>3459697903</v>
      </c>
      <c r="B690" s="34" t="s">
        <v>4230</v>
      </c>
      <c r="C690" s="34" t="s">
        <v>881</v>
      </c>
      <c r="E690" s="30" t="s">
        <v>4231</v>
      </c>
      <c r="F690" s="34" t="n">
        <f aca="false">IFERROR(VLOOKUP($A690,'319'!$B:$H,7,0),0)</f>
        <v>0</v>
      </c>
      <c r="G690" s="34" t="n">
        <f aca="false">SUMIFS('12.326ana'!$C:$C,'12.326ana'!$M:$M,redes!A690)</f>
        <v>0</v>
      </c>
    </row>
    <row r="691" customFormat="false" ht="14.4" hidden="true" customHeight="false" outlineLevel="0" collapsed="false">
      <c r="A691" s="34" t="n">
        <v>3463681897</v>
      </c>
      <c r="B691" s="34" t="s">
        <v>4232</v>
      </c>
      <c r="C691" s="34" t="s">
        <v>117</v>
      </c>
      <c r="E691" s="30" t="s">
        <v>4233</v>
      </c>
      <c r="F691" s="34" t="n">
        <f aca="false">IFERROR(VLOOKUP($A691,'319'!$B:$H,7,0),0)</f>
        <v>0</v>
      </c>
      <c r="G691" s="34" t="n">
        <f aca="false">SUMIFS('12.326ana'!$C:$C,'12.326ana'!$M:$M,redes!A691)</f>
        <v>0</v>
      </c>
    </row>
    <row r="692" customFormat="false" ht="14.4" hidden="true" customHeight="false" outlineLevel="0" collapsed="false">
      <c r="A692" s="34" t="n">
        <v>3467632157</v>
      </c>
      <c r="B692" s="34" t="s">
        <v>4234</v>
      </c>
      <c r="C692" s="34" t="s">
        <v>77</v>
      </c>
      <c r="E692" s="30" t="s">
        <v>4235</v>
      </c>
      <c r="F692" s="34" t="n">
        <f aca="false">IFERROR(VLOOKUP($A692,'319'!$B:$H,7,0),0)</f>
        <v>0</v>
      </c>
      <c r="G692" s="34" t="n">
        <f aca="false">SUMIFS('12.326ana'!$C:$C,'12.326ana'!$M:$M,redes!A692)</f>
        <v>0</v>
      </c>
    </row>
    <row r="693" customFormat="false" ht="14.4" hidden="true" customHeight="false" outlineLevel="0" collapsed="false">
      <c r="A693" s="34" t="n">
        <v>3473926957</v>
      </c>
      <c r="B693" s="34" t="s">
        <v>4236</v>
      </c>
      <c r="C693" s="34" t="s">
        <v>77</v>
      </c>
      <c r="E693" s="30" t="s">
        <v>4237</v>
      </c>
      <c r="F693" s="34" t="n">
        <f aca="false">IFERROR(VLOOKUP($A693,'319'!$B:$H,7,0),0)</f>
        <v>0</v>
      </c>
      <c r="G693" s="34" t="n">
        <f aca="false">SUMIFS('12.326ana'!$C:$C,'12.326ana'!$M:$M,redes!A693)</f>
        <v>0</v>
      </c>
    </row>
    <row r="694" customFormat="false" ht="14.4" hidden="true" customHeight="false" outlineLevel="0" collapsed="false">
      <c r="A694" s="34" t="n">
        <v>3473962163</v>
      </c>
      <c r="B694" s="34" t="s">
        <v>4238</v>
      </c>
      <c r="C694" s="34" t="s">
        <v>77</v>
      </c>
      <c r="E694" s="30" t="s">
        <v>4238</v>
      </c>
      <c r="F694" s="34" t="n">
        <f aca="false">IFERROR(VLOOKUP($A694,'319'!$B:$H,7,0),0)</f>
        <v>0</v>
      </c>
      <c r="G694" s="34" t="n">
        <f aca="false">SUMIFS('12.326ana'!$C:$C,'12.326ana'!$M:$M,redes!A694)</f>
        <v>0</v>
      </c>
    </row>
    <row r="695" customFormat="false" ht="14.4" hidden="true" customHeight="false" outlineLevel="0" collapsed="false">
      <c r="A695" s="34" t="n">
        <v>3495871160</v>
      </c>
      <c r="B695" s="34" t="s">
        <v>4239</v>
      </c>
      <c r="C695" s="34" t="s">
        <v>77</v>
      </c>
      <c r="E695" s="30" t="s">
        <v>3045</v>
      </c>
      <c r="F695" s="34" t="n">
        <f aca="false">IFERROR(VLOOKUP($A695,'319'!$B:$H,7,0),0)</f>
        <v>0</v>
      </c>
      <c r="G695" s="34" t="n">
        <f aca="false">SUMIFS('12.326ana'!$C:$C,'12.326ana'!$M:$M,redes!A695)</f>
        <v>0</v>
      </c>
    </row>
    <row r="696" customFormat="false" ht="14.4" hidden="true" customHeight="false" outlineLevel="0" collapsed="false">
      <c r="A696" s="34" t="n">
        <v>3498528122</v>
      </c>
      <c r="B696" s="34" t="s">
        <v>4240</v>
      </c>
      <c r="C696" s="34" t="s">
        <v>77</v>
      </c>
      <c r="E696" s="30"/>
      <c r="F696" s="34" t="n">
        <f aca="false">IFERROR(VLOOKUP($A696,'319'!$B:$H,7,0),0)</f>
        <v>0</v>
      </c>
      <c r="G696" s="34" t="n">
        <f aca="false">SUMIFS('12.326ana'!$C:$C,'12.326ana'!$M:$M,redes!A696)</f>
        <v>0</v>
      </c>
    </row>
    <row r="697" customFormat="false" ht="14.4" hidden="true" customHeight="false" outlineLevel="0" collapsed="false">
      <c r="A697" s="34" t="n">
        <v>3499926148</v>
      </c>
      <c r="B697" s="34" t="s">
        <v>4241</v>
      </c>
      <c r="C697" s="34" t="s">
        <v>565</v>
      </c>
      <c r="E697" s="30" t="s">
        <v>4242</v>
      </c>
      <c r="F697" s="34" t="n">
        <f aca="false">IFERROR(VLOOKUP($A697,'319'!$B:$H,7,0),0)</f>
        <v>0</v>
      </c>
      <c r="G697" s="34" t="n">
        <f aca="false">SUMIFS('12.326ana'!$C:$C,'12.326ana'!$M:$M,redes!A697)</f>
        <v>0</v>
      </c>
    </row>
    <row r="698" customFormat="false" ht="14.4" hidden="true" customHeight="false" outlineLevel="0" collapsed="false">
      <c r="A698" s="34" t="n">
        <v>3525800118</v>
      </c>
      <c r="B698" s="34" t="s">
        <v>4243</v>
      </c>
      <c r="C698" s="34" t="s">
        <v>77</v>
      </c>
      <c r="E698" s="30" t="s">
        <v>4244</v>
      </c>
      <c r="F698" s="34" t="n">
        <f aca="false">IFERROR(VLOOKUP($A698,'319'!$B:$H,7,0),0)</f>
        <v>0</v>
      </c>
      <c r="G698" s="34" t="n">
        <f aca="false">SUMIFS('12.326ana'!$C:$C,'12.326ana'!$M:$M,redes!A698)</f>
        <v>0</v>
      </c>
    </row>
    <row r="699" customFormat="false" ht="14.4" hidden="true" customHeight="false" outlineLevel="0" collapsed="false">
      <c r="A699" s="34" t="n">
        <v>3535910927</v>
      </c>
      <c r="B699" s="34" t="s">
        <v>4245</v>
      </c>
      <c r="C699" s="34" t="s">
        <v>107</v>
      </c>
      <c r="E699" s="30" t="s">
        <v>4246</v>
      </c>
      <c r="F699" s="34" t="n">
        <f aca="false">IFERROR(VLOOKUP($A699,'319'!$B:$H,7,0),0)</f>
        <v>0</v>
      </c>
      <c r="G699" s="34" t="n">
        <f aca="false">SUMIFS('12.326ana'!$C:$C,'12.326ana'!$M:$M,redes!A699)</f>
        <v>0</v>
      </c>
    </row>
    <row r="700" customFormat="false" ht="14.4" hidden="true" customHeight="false" outlineLevel="0" collapsed="false">
      <c r="A700" s="34" t="n">
        <v>3538977100</v>
      </c>
      <c r="B700" s="34" t="s">
        <v>4247</v>
      </c>
      <c r="C700" s="34" t="s">
        <v>1795</v>
      </c>
      <c r="E700" s="30" t="s">
        <v>4247</v>
      </c>
      <c r="F700" s="34" t="n">
        <f aca="false">IFERROR(VLOOKUP($A700,'319'!$B:$H,7,0),0)</f>
        <v>0</v>
      </c>
      <c r="G700" s="34" t="n">
        <f aca="false">SUMIFS('12.326ana'!$C:$C,'12.326ana'!$M:$M,redes!A700)</f>
        <v>0</v>
      </c>
    </row>
    <row r="701" customFormat="false" ht="14.4" hidden="true" customHeight="false" outlineLevel="0" collapsed="false">
      <c r="A701" s="34" t="n">
        <v>3551068925</v>
      </c>
      <c r="B701" s="34" t="s">
        <v>4248</v>
      </c>
      <c r="C701" s="34" t="s">
        <v>77</v>
      </c>
      <c r="E701" s="30" t="s">
        <v>4249</v>
      </c>
      <c r="F701" s="34" t="n">
        <f aca="false">IFERROR(VLOOKUP($A701,'319'!$B:$H,7,0),0)</f>
        <v>0</v>
      </c>
      <c r="G701" s="34" t="n">
        <f aca="false">SUMIFS('12.326ana'!$C:$C,'12.326ana'!$M:$M,redes!A701)</f>
        <v>0</v>
      </c>
    </row>
    <row r="702" customFormat="false" ht="14.4" hidden="true" customHeight="false" outlineLevel="0" collapsed="false">
      <c r="A702" s="34" t="n">
        <v>3569621138</v>
      </c>
      <c r="B702" s="34" t="s">
        <v>4250</v>
      </c>
      <c r="C702" s="34" t="s">
        <v>77</v>
      </c>
      <c r="E702" s="30" t="s">
        <v>4251</v>
      </c>
      <c r="F702" s="34" t="n">
        <f aca="false">IFERROR(VLOOKUP($A702,'319'!$B:$H,7,0),0)</f>
        <v>0</v>
      </c>
      <c r="G702" s="34" t="n">
        <f aca="false">SUMIFS('12.326ana'!$C:$C,'12.326ana'!$M:$M,redes!A702)</f>
        <v>0</v>
      </c>
    </row>
    <row r="703" customFormat="false" ht="14.4" hidden="true" customHeight="false" outlineLevel="0" collapsed="false">
      <c r="A703" s="34" t="n">
        <v>3595786165</v>
      </c>
      <c r="B703" s="34" t="s">
        <v>4252</v>
      </c>
      <c r="C703" s="34" t="s">
        <v>192</v>
      </c>
      <c r="E703" s="30" t="s">
        <v>4253</v>
      </c>
      <c r="F703" s="34" t="n">
        <f aca="false">IFERROR(VLOOKUP($A703,'319'!$B:$H,7,0),0)</f>
        <v>0</v>
      </c>
      <c r="G703" s="34" t="n">
        <f aca="false">SUMIFS('12.326ana'!$C:$C,'12.326ana'!$M:$M,redes!A703)</f>
        <v>0</v>
      </c>
    </row>
    <row r="704" customFormat="false" ht="14.4" hidden="true" customHeight="false" outlineLevel="0" collapsed="false">
      <c r="A704" s="34" t="n">
        <v>3598339186</v>
      </c>
      <c r="B704" s="34" t="s">
        <v>4254</v>
      </c>
      <c r="C704" s="34" t="s">
        <v>77</v>
      </c>
      <c r="E704" s="30" t="s">
        <v>4255</v>
      </c>
      <c r="F704" s="34" t="n">
        <f aca="false">IFERROR(VLOOKUP($A704,'319'!$B:$H,7,0),0)</f>
        <v>0</v>
      </c>
      <c r="G704" s="34" t="n">
        <f aca="false">SUMIFS('12.326ana'!$C:$C,'12.326ana'!$M:$M,redes!A704)</f>
        <v>0</v>
      </c>
    </row>
    <row r="705" customFormat="false" ht="14.4" hidden="true" customHeight="false" outlineLevel="0" collapsed="false">
      <c r="A705" s="34" t="n">
        <v>3615812468</v>
      </c>
      <c r="B705" s="34" t="s">
        <v>4256</v>
      </c>
      <c r="C705" s="34" t="s">
        <v>77</v>
      </c>
      <c r="E705" s="30" t="s">
        <v>3750</v>
      </c>
      <c r="F705" s="34" t="n">
        <f aca="false">IFERROR(VLOOKUP($A705,'319'!$B:$H,7,0),0)</f>
        <v>0</v>
      </c>
      <c r="G705" s="34" t="n">
        <f aca="false">SUMIFS('12.326ana'!$C:$C,'12.326ana'!$M:$M,redes!A705)</f>
        <v>0</v>
      </c>
    </row>
    <row r="706" customFormat="false" ht="14.4" hidden="true" customHeight="false" outlineLevel="0" collapsed="false">
      <c r="A706" s="34" t="n">
        <v>3658190850</v>
      </c>
      <c r="B706" s="34" t="s">
        <v>4257</v>
      </c>
      <c r="C706" s="34" t="s">
        <v>77</v>
      </c>
      <c r="E706" s="30" t="s">
        <v>4258</v>
      </c>
      <c r="F706" s="34" t="n">
        <f aca="false">IFERROR(VLOOKUP($A706,'319'!$B:$H,7,0),0)</f>
        <v>0</v>
      </c>
      <c r="G706" s="34" t="n">
        <f aca="false">SUMIFS('12.326ana'!$C:$C,'12.326ana'!$M:$M,redes!A706)</f>
        <v>0</v>
      </c>
    </row>
    <row r="707" customFormat="false" ht="14.4" hidden="true" customHeight="false" outlineLevel="0" collapsed="false">
      <c r="A707" s="34" t="n">
        <v>3662559161</v>
      </c>
      <c r="B707" s="34" t="s">
        <v>4259</v>
      </c>
      <c r="C707" s="34" t="s">
        <v>77</v>
      </c>
      <c r="E707" s="30"/>
      <c r="F707" s="34" t="n">
        <f aca="false">IFERROR(VLOOKUP($A707,'319'!$B:$H,7,0),0)</f>
        <v>0</v>
      </c>
      <c r="G707" s="34" t="n">
        <f aca="false">SUMIFS('12.326ana'!$C:$C,'12.326ana'!$M:$M,redes!A707)</f>
        <v>0</v>
      </c>
    </row>
    <row r="708" customFormat="false" ht="14.4" hidden="true" customHeight="false" outlineLevel="0" collapsed="false">
      <c r="A708" s="34" t="n">
        <v>3673514806</v>
      </c>
      <c r="B708" s="34" t="s">
        <v>4260</v>
      </c>
      <c r="C708" s="34" t="s">
        <v>4261</v>
      </c>
      <c r="E708" s="30" t="s">
        <v>4262</v>
      </c>
      <c r="F708" s="34" t="n">
        <f aca="false">IFERROR(VLOOKUP($A708,'319'!$B:$H,7,0),0)</f>
        <v>0</v>
      </c>
      <c r="G708" s="34" t="n">
        <f aca="false">SUMIFS('12.326ana'!$C:$C,'12.326ana'!$M:$M,redes!A708)</f>
        <v>0</v>
      </c>
    </row>
    <row r="709" customFormat="false" ht="14.4" hidden="true" customHeight="false" outlineLevel="0" collapsed="false">
      <c r="A709" s="34" t="n">
        <v>3680293100</v>
      </c>
      <c r="B709" s="34" t="s">
        <v>4263</v>
      </c>
      <c r="C709" s="34" t="s">
        <v>154</v>
      </c>
      <c r="E709" s="30" t="s">
        <v>4264</v>
      </c>
      <c r="F709" s="34" t="n">
        <f aca="false">IFERROR(VLOOKUP($A709,'319'!$B:$H,7,0),0)</f>
        <v>0</v>
      </c>
      <c r="G709" s="34" t="n">
        <f aca="false">SUMIFS('12.326ana'!$C:$C,'12.326ana'!$M:$M,redes!A709)</f>
        <v>0</v>
      </c>
    </row>
    <row r="710" customFormat="false" ht="14.4" hidden="true" customHeight="false" outlineLevel="0" collapsed="false">
      <c r="A710" s="34" t="n">
        <v>3697749145</v>
      </c>
      <c r="B710" s="34" t="s">
        <v>4265</v>
      </c>
      <c r="C710" s="34" t="s">
        <v>107</v>
      </c>
      <c r="E710" s="30" t="s">
        <v>3664</v>
      </c>
      <c r="F710" s="34" t="n">
        <f aca="false">IFERROR(VLOOKUP($A710,'319'!$B:$H,7,0),0)</f>
        <v>0</v>
      </c>
      <c r="G710" s="34" t="n">
        <f aca="false">SUMIFS('12.326ana'!$C:$C,'12.326ana'!$M:$M,redes!A710)</f>
        <v>0</v>
      </c>
    </row>
    <row r="711" customFormat="false" ht="14.4" hidden="true" customHeight="false" outlineLevel="0" collapsed="false">
      <c r="A711" s="34" t="n">
        <v>3699622142</v>
      </c>
      <c r="B711" s="34" t="s">
        <v>4266</v>
      </c>
      <c r="C711" s="34" t="s">
        <v>77</v>
      </c>
      <c r="E711" s="30" t="s">
        <v>4267</v>
      </c>
      <c r="F711" s="34" t="n">
        <f aca="false">IFERROR(VLOOKUP($A711,'319'!$B:$H,7,0),0)</f>
        <v>0</v>
      </c>
      <c r="G711" s="34" t="n">
        <f aca="false">SUMIFS('12.326ana'!$C:$C,'12.326ana'!$M:$M,redes!A711)</f>
        <v>0</v>
      </c>
    </row>
    <row r="712" customFormat="false" ht="14.4" hidden="true" customHeight="false" outlineLevel="0" collapsed="false">
      <c r="A712" s="34" t="n">
        <v>3712957181</v>
      </c>
      <c r="B712" s="34" t="s">
        <v>4268</v>
      </c>
      <c r="C712" s="34" t="s">
        <v>77</v>
      </c>
      <c r="E712" s="30" t="s">
        <v>4269</v>
      </c>
      <c r="F712" s="34" t="n">
        <f aca="false">IFERROR(VLOOKUP($A712,'319'!$B:$H,7,0),0)</f>
        <v>0</v>
      </c>
      <c r="G712" s="34" t="n">
        <f aca="false">SUMIFS('12.326ana'!$C:$C,'12.326ana'!$M:$M,redes!A712)</f>
        <v>0</v>
      </c>
    </row>
    <row r="713" customFormat="false" ht="14.4" hidden="true" customHeight="false" outlineLevel="0" collapsed="false">
      <c r="A713" s="34" t="n">
        <v>3718422123</v>
      </c>
      <c r="B713" s="34" t="s">
        <v>4270</v>
      </c>
      <c r="C713" s="34" t="s">
        <v>107</v>
      </c>
      <c r="E713" s="30" t="s">
        <v>4271</v>
      </c>
      <c r="F713" s="34" t="n">
        <f aca="false">IFERROR(VLOOKUP($A713,'319'!$B:$H,7,0),0)</f>
        <v>0</v>
      </c>
      <c r="G713" s="34" t="n">
        <f aca="false">SUMIFS('12.326ana'!$C:$C,'12.326ana'!$M:$M,redes!A713)</f>
        <v>0</v>
      </c>
    </row>
    <row r="714" customFormat="false" ht="14.4" hidden="true" customHeight="false" outlineLevel="0" collapsed="false">
      <c r="A714" s="34" t="n">
        <v>3741185159</v>
      </c>
      <c r="B714" s="34" t="s">
        <v>4272</v>
      </c>
      <c r="C714" s="34" t="s">
        <v>77</v>
      </c>
      <c r="E714" s="30" t="s">
        <v>4273</v>
      </c>
      <c r="F714" s="34" t="n">
        <f aca="false">IFERROR(VLOOKUP($A714,'319'!$B:$H,7,0),0)</f>
        <v>0</v>
      </c>
      <c r="G714" s="34" t="n">
        <f aca="false">SUMIFS('12.326ana'!$C:$C,'12.326ana'!$M:$M,redes!A714)</f>
        <v>0</v>
      </c>
    </row>
    <row r="715" customFormat="false" ht="14.4" hidden="true" customHeight="false" outlineLevel="0" collapsed="false">
      <c r="A715" s="34" t="n">
        <v>3745529162</v>
      </c>
      <c r="B715" s="34" t="s">
        <v>4274</v>
      </c>
      <c r="C715" s="34" t="s">
        <v>103</v>
      </c>
      <c r="E715" s="30" t="s">
        <v>3337</v>
      </c>
      <c r="F715" s="34" t="n">
        <f aca="false">IFERROR(VLOOKUP($A715,'319'!$B:$H,7,0),0)</f>
        <v>0</v>
      </c>
      <c r="G715" s="34" t="n">
        <f aca="false">SUMIFS('12.326ana'!$C:$C,'12.326ana'!$M:$M,redes!A715)</f>
        <v>0</v>
      </c>
    </row>
    <row r="716" customFormat="false" ht="14.4" hidden="true" customHeight="false" outlineLevel="0" collapsed="false">
      <c r="A716" s="34" t="n">
        <v>3756356884</v>
      </c>
      <c r="B716" s="34" t="s">
        <v>4275</v>
      </c>
      <c r="C716" s="34" t="s">
        <v>77</v>
      </c>
      <c r="E716" s="30" t="s">
        <v>4276</v>
      </c>
      <c r="F716" s="34" t="n">
        <f aca="false">IFERROR(VLOOKUP($A716,'319'!$B:$H,7,0),0)</f>
        <v>0</v>
      </c>
      <c r="G716" s="34" t="n">
        <f aca="false">SUMIFS('12.326ana'!$C:$C,'12.326ana'!$M:$M,redes!A716)</f>
        <v>0</v>
      </c>
    </row>
    <row r="717" customFormat="false" ht="14.4" hidden="true" customHeight="false" outlineLevel="0" collapsed="false">
      <c r="A717" s="34" t="n">
        <v>3771835127</v>
      </c>
      <c r="B717" s="34" t="s">
        <v>4277</v>
      </c>
      <c r="C717" s="34" t="s">
        <v>77</v>
      </c>
      <c r="E717" s="30" t="s">
        <v>3666</v>
      </c>
      <c r="F717" s="34" t="n">
        <f aca="false">IFERROR(VLOOKUP($A717,'319'!$B:$H,7,0),0)</f>
        <v>0</v>
      </c>
      <c r="G717" s="34" t="n">
        <f aca="false">SUMIFS('12.326ana'!$C:$C,'12.326ana'!$M:$M,redes!A717)</f>
        <v>0</v>
      </c>
    </row>
    <row r="718" customFormat="false" ht="14.4" hidden="true" customHeight="false" outlineLevel="0" collapsed="false">
      <c r="A718" s="34" t="n">
        <v>3772464840</v>
      </c>
      <c r="B718" s="34" t="s">
        <v>4278</v>
      </c>
      <c r="C718" s="34" t="s">
        <v>77</v>
      </c>
      <c r="E718" s="30" t="s">
        <v>4279</v>
      </c>
      <c r="F718" s="34" t="n">
        <f aca="false">IFERROR(VLOOKUP($A718,'319'!$B:$H,7,0),0)</f>
        <v>0</v>
      </c>
      <c r="G718" s="34" t="n">
        <f aca="false">SUMIFS('12.326ana'!$C:$C,'12.326ana'!$M:$M,redes!A718)</f>
        <v>0</v>
      </c>
    </row>
    <row r="719" customFormat="false" ht="14.4" hidden="true" customHeight="false" outlineLevel="0" collapsed="false">
      <c r="A719" s="34" t="n">
        <v>3773739150</v>
      </c>
      <c r="B719" s="34" t="s">
        <v>4280</v>
      </c>
      <c r="C719" s="34" t="s">
        <v>107</v>
      </c>
      <c r="E719" s="30" t="s">
        <v>4281</v>
      </c>
      <c r="F719" s="34" t="n">
        <f aca="false">IFERROR(VLOOKUP($A719,'319'!$B:$H,7,0),0)</f>
        <v>0</v>
      </c>
      <c r="G719" s="34" t="n">
        <f aca="false">SUMIFS('12.326ana'!$C:$C,'12.326ana'!$M:$M,redes!A719)</f>
        <v>0</v>
      </c>
    </row>
    <row r="720" customFormat="false" ht="14.4" hidden="true" customHeight="false" outlineLevel="0" collapsed="false">
      <c r="A720" s="34" t="n">
        <v>3783835151</v>
      </c>
      <c r="B720" s="34" t="s">
        <v>4282</v>
      </c>
      <c r="C720" s="34" t="s">
        <v>77</v>
      </c>
      <c r="E720" s="30" t="s">
        <v>3617</v>
      </c>
      <c r="F720" s="34" t="n">
        <f aca="false">IFERROR(VLOOKUP($A720,'319'!$B:$H,7,0),0)</f>
        <v>0</v>
      </c>
      <c r="G720" s="34" t="n">
        <f aca="false">SUMIFS('12.326ana'!$C:$C,'12.326ana'!$M:$M,redes!A720)</f>
        <v>0</v>
      </c>
    </row>
    <row r="721" customFormat="false" ht="14.4" hidden="true" customHeight="false" outlineLevel="0" collapsed="false">
      <c r="A721" s="34" t="n">
        <v>3788005904</v>
      </c>
      <c r="B721" s="34" t="s">
        <v>4283</v>
      </c>
      <c r="C721" s="34" t="s">
        <v>342</v>
      </c>
      <c r="E721" s="30" t="s">
        <v>4284</v>
      </c>
      <c r="F721" s="34" t="n">
        <f aca="false">IFERROR(VLOOKUP($A721,'319'!$B:$H,7,0),0)</f>
        <v>0</v>
      </c>
      <c r="G721" s="34" t="n">
        <f aca="false">SUMIFS('12.326ana'!$C:$C,'12.326ana'!$M:$M,redes!A721)</f>
        <v>0</v>
      </c>
    </row>
    <row r="722" customFormat="false" ht="14.4" hidden="true" customHeight="false" outlineLevel="0" collapsed="false">
      <c r="A722" s="34" t="n">
        <v>3789494119</v>
      </c>
      <c r="B722" s="34" t="s">
        <v>4285</v>
      </c>
      <c r="C722" s="34" t="s">
        <v>77</v>
      </c>
      <c r="E722" s="30" t="s">
        <v>3112</v>
      </c>
      <c r="F722" s="34" t="n">
        <f aca="false">IFERROR(VLOOKUP($A722,'319'!$B:$H,7,0),0)</f>
        <v>0</v>
      </c>
      <c r="G722" s="34" t="n">
        <f aca="false">SUMIFS('12.326ana'!$C:$C,'12.326ana'!$M:$M,redes!A722)</f>
        <v>0</v>
      </c>
    </row>
    <row r="723" customFormat="false" ht="14.4" hidden="true" customHeight="false" outlineLevel="0" collapsed="false">
      <c r="A723" s="34" t="n">
        <v>3808403160</v>
      </c>
      <c r="B723" s="34" t="s">
        <v>4286</v>
      </c>
      <c r="C723" s="34" t="s">
        <v>77</v>
      </c>
      <c r="E723" s="30" t="s">
        <v>4287</v>
      </c>
      <c r="F723" s="34" t="n">
        <f aca="false">IFERROR(VLOOKUP($A723,'319'!$B:$H,7,0),0)</f>
        <v>0</v>
      </c>
      <c r="G723" s="34" t="n">
        <f aca="false">SUMIFS('12.326ana'!$C:$C,'12.326ana'!$M:$M,redes!A723)</f>
        <v>0</v>
      </c>
    </row>
    <row r="724" customFormat="false" ht="14.4" hidden="true" customHeight="false" outlineLevel="0" collapsed="false">
      <c r="A724" s="34" t="n">
        <v>3821540966</v>
      </c>
      <c r="B724" s="34" t="s">
        <v>4288</v>
      </c>
      <c r="C724" s="34" t="s">
        <v>881</v>
      </c>
      <c r="E724" s="30" t="s">
        <v>4289</v>
      </c>
      <c r="F724" s="34" t="n">
        <f aca="false">IFERROR(VLOOKUP($A724,'319'!$B:$H,7,0),0)</f>
        <v>0</v>
      </c>
      <c r="G724" s="34" t="n">
        <f aca="false">SUMIFS('12.326ana'!$C:$C,'12.326ana'!$M:$M,redes!A724)</f>
        <v>0</v>
      </c>
    </row>
    <row r="725" customFormat="false" ht="14.4" hidden="true" customHeight="false" outlineLevel="0" collapsed="false">
      <c r="A725" s="34" t="n">
        <v>3846413186</v>
      </c>
      <c r="B725" s="34" t="s">
        <v>4290</v>
      </c>
      <c r="C725" s="34" t="s">
        <v>1272</v>
      </c>
      <c r="E725" s="30" t="s">
        <v>4291</v>
      </c>
      <c r="F725" s="34" t="n">
        <f aca="false">IFERROR(VLOOKUP($A725,'319'!$B:$H,7,0),0)</f>
        <v>0</v>
      </c>
      <c r="G725" s="34" t="n">
        <f aca="false">SUMIFS('12.326ana'!$C:$C,'12.326ana'!$M:$M,redes!A725)</f>
        <v>0</v>
      </c>
    </row>
    <row r="726" customFormat="false" ht="14.4" hidden="true" customHeight="false" outlineLevel="0" collapsed="false">
      <c r="A726" s="34" t="n">
        <v>3848181100</v>
      </c>
      <c r="B726" s="34" t="s">
        <v>4292</v>
      </c>
      <c r="C726" s="34" t="s">
        <v>77</v>
      </c>
      <c r="E726" s="30" t="s">
        <v>4293</v>
      </c>
      <c r="F726" s="34" t="n">
        <f aca="false">IFERROR(VLOOKUP($A726,'319'!$B:$H,7,0),0)</f>
        <v>0</v>
      </c>
      <c r="G726" s="34" t="n">
        <f aca="false">SUMIFS('12.326ana'!$C:$C,'12.326ana'!$M:$M,redes!A726)</f>
        <v>0</v>
      </c>
    </row>
    <row r="727" customFormat="false" ht="14.4" hidden="true" customHeight="false" outlineLevel="0" collapsed="false">
      <c r="A727" s="34" t="n">
        <v>3849961168</v>
      </c>
      <c r="B727" s="34" t="s">
        <v>4294</v>
      </c>
      <c r="C727" s="34" t="s">
        <v>562</v>
      </c>
      <c r="E727" s="30" t="s">
        <v>4295</v>
      </c>
      <c r="F727" s="34" t="n">
        <f aca="false">IFERROR(VLOOKUP($A727,'319'!$B:$H,7,0),0)</f>
        <v>0</v>
      </c>
      <c r="G727" s="34" t="n">
        <f aca="false">SUMIFS('12.326ana'!$C:$C,'12.326ana'!$M:$M,redes!A727)</f>
        <v>0</v>
      </c>
    </row>
    <row r="728" customFormat="false" ht="14.4" hidden="true" customHeight="false" outlineLevel="0" collapsed="false">
      <c r="A728" s="34" t="n">
        <v>3852047102</v>
      </c>
      <c r="B728" s="34" t="s">
        <v>4296</v>
      </c>
      <c r="C728" s="34" t="s">
        <v>342</v>
      </c>
      <c r="E728" s="30" t="s">
        <v>4297</v>
      </c>
      <c r="F728" s="34" t="n">
        <f aca="false">IFERROR(VLOOKUP($A728,'319'!$B:$H,7,0),0)</f>
        <v>0</v>
      </c>
      <c r="G728" s="34" t="n">
        <f aca="false">SUMIFS('12.326ana'!$C:$C,'12.326ana'!$M:$M,redes!A728)</f>
        <v>0</v>
      </c>
    </row>
    <row r="729" customFormat="false" ht="14.4" hidden="true" customHeight="false" outlineLevel="0" collapsed="false">
      <c r="A729" s="34" t="n">
        <v>3854828926</v>
      </c>
      <c r="B729" s="34" t="s">
        <v>4298</v>
      </c>
      <c r="C729" s="34" t="s">
        <v>107</v>
      </c>
      <c r="E729" s="30" t="s">
        <v>4299</v>
      </c>
      <c r="F729" s="34" t="n">
        <f aca="false">IFERROR(VLOOKUP($A729,'319'!$B:$H,7,0),0)</f>
        <v>0</v>
      </c>
      <c r="G729" s="34" t="n">
        <f aca="false">SUMIFS('12.326ana'!$C:$C,'12.326ana'!$M:$M,redes!A729)</f>
        <v>0</v>
      </c>
    </row>
    <row r="730" customFormat="false" ht="14.4" hidden="true" customHeight="false" outlineLevel="0" collapsed="false">
      <c r="A730" s="34" t="n">
        <v>3854896174</v>
      </c>
      <c r="B730" s="34" t="s">
        <v>4300</v>
      </c>
      <c r="C730" s="34" t="s">
        <v>89</v>
      </c>
      <c r="E730" s="30" t="s">
        <v>4301</v>
      </c>
      <c r="F730" s="34" t="n">
        <f aca="false">IFERROR(VLOOKUP($A730,'319'!$B:$H,7,0),0)</f>
        <v>0</v>
      </c>
      <c r="G730" s="34" t="n">
        <f aca="false">SUMIFS('12.326ana'!$C:$C,'12.326ana'!$M:$M,redes!A730)</f>
        <v>0</v>
      </c>
    </row>
    <row r="731" customFormat="false" ht="14.4" hidden="true" customHeight="false" outlineLevel="0" collapsed="false">
      <c r="A731" s="34" t="n">
        <v>3873808170</v>
      </c>
      <c r="B731" s="34" t="s">
        <v>4302</v>
      </c>
      <c r="C731" s="34" t="s">
        <v>77</v>
      </c>
      <c r="E731" s="30" t="s">
        <v>4303</v>
      </c>
      <c r="F731" s="34" t="n">
        <f aca="false">IFERROR(VLOOKUP($A731,'319'!$B:$H,7,0),0)</f>
        <v>0</v>
      </c>
      <c r="G731" s="34" t="n">
        <f aca="false">SUMIFS('12.326ana'!$C:$C,'12.326ana'!$M:$M,redes!A731)</f>
        <v>0</v>
      </c>
    </row>
    <row r="732" customFormat="false" ht="14.4" hidden="true" customHeight="false" outlineLevel="0" collapsed="false">
      <c r="A732" s="34" t="n">
        <v>3899991133</v>
      </c>
      <c r="B732" s="34" t="s">
        <v>4304</v>
      </c>
      <c r="C732" s="34" t="s">
        <v>781</v>
      </c>
      <c r="E732" s="30" t="s">
        <v>4305</v>
      </c>
      <c r="F732" s="34" t="n">
        <f aca="false">IFERROR(VLOOKUP($A732,'319'!$B:$H,7,0),0)</f>
        <v>0</v>
      </c>
      <c r="G732" s="34" t="n">
        <f aca="false">SUMIFS('12.326ana'!$C:$C,'12.326ana'!$M:$M,redes!A732)</f>
        <v>0</v>
      </c>
    </row>
    <row r="733" customFormat="false" ht="14.4" hidden="true" customHeight="false" outlineLevel="0" collapsed="false">
      <c r="A733" s="34" t="n">
        <v>3909243185</v>
      </c>
      <c r="B733" s="34" t="s">
        <v>4306</v>
      </c>
      <c r="C733" s="34" t="s">
        <v>77</v>
      </c>
      <c r="E733" s="30" t="s">
        <v>4307</v>
      </c>
      <c r="F733" s="34" t="n">
        <f aca="false">IFERROR(VLOOKUP($A733,'319'!$B:$H,7,0),0)</f>
        <v>0</v>
      </c>
      <c r="G733" s="34" t="n">
        <f aca="false">SUMIFS('12.326ana'!$C:$C,'12.326ana'!$M:$M,redes!A733)</f>
        <v>0</v>
      </c>
    </row>
    <row r="734" customFormat="false" ht="14.4" hidden="true" customHeight="false" outlineLevel="0" collapsed="false">
      <c r="A734" s="34" t="n">
        <v>3910010946</v>
      </c>
      <c r="B734" s="34" t="s">
        <v>4308</v>
      </c>
      <c r="C734" s="34" t="s">
        <v>77</v>
      </c>
      <c r="E734" s="30" t="s">
        <v>4309</v>
      </c>
      <c r="F734" s="34" t="n">
        <f aca="false">IFERROR(VLOOKUP($A734,'319'!$B:$H,7,0),0)</f>
        <v>0</v>
      </c>
      <c r="G734" s="34" t="n">
        <f aca="false">SUMIFS('12.326ana'!$C:$C,'12.326ana'!$M:$M,redes!A734)</f>
        <v>0</v>
      </c>
    </row>
    <row r="735" customFormat="false" ht="14.4" hidden="true" customHeight="false" outlineLevel="0" collapsed="false">
      <c r="A735" s="34" t="n">
        <v>3913957189</v>
      </c>
      <c r="B735" s="34" t="s">
        <v>4310</v>
      </c>
      <c r="C735" s="34" t="s">
        <v>77</v>
      </c>
      <c r="E735" s="30" t="s">
        <v>4311</v>
      </c>
      <c r="F735" s="34" t="n">
        <f aca="false">IFERROR(VLOOKUP($A735,'319'!$B:$H,7,0),0)</f>
        <v>0</v>
      </c>
      <c r="G735" s="34" t="n">
        <f aca="false">SUMIFS('12.326ana'!$C:$C,'12.326ana'!$M:$M,redes!A735)</f>
        <v>0</v>
      </c>
    </row>
    <row r="736" customFormat="false" ht="14.4" hidden="true" customHeight="false" outlineLevel="0" collapsed="false">
      <c r="A736" s="34" t="n">
        <v>3942830159</v>
      </c>
      <c r="B736" s="34" t="s">
        <v>4312</v>
      </c>
      <c r="C736" s="34" t="s">
        <v>89</v>
      </c>
      <c r="E736" s="30" t="s">
        <v>4313</v>
      </c>
      <c r="F736" s="34" t="n">
        <f aca="false">IFERROR(VLOOKUP($A736,'319'!$B:$H,7,0),0)</f>
        <v>0</v>
      </c>
      <c r="G736" s="34" t="n">
        <f aca="false">SUMIFS('12.326ana'!$C:$C,'12.326ana'!$M:$M,redes!A736)</f>
        <v>0</v>
      </c>
    </row>
    <row r="737" customFormat="false" ht="14.4" hidden="true" customHeight="false" outlineLevel="0" collapsed="false">
      <c r="A737" s="34" t="n">
        <v>3944915135</v>
      </c>
      <c r="B737" s="34" t="s">
        <v>4314</v>
      </c>
      <c r="C737" s="34" t="s">
        <v>77</v>
      </c>
      <c r="E737" s="30" t="s">
        <v>4315</v>
      </c>
      <c r="F737" s="34" t="n">
        <f aca="false">IFERROR(VLOOKUP($A737,'319'!$B:$H,7,0),0)</f>
        <v>0</v>
      </c>
      <c r="G737" s="34" t="n">
        <f aca="false">SUMIFS('12.326ana'!$C:$C,'12.326ana'!$M:$M,redes!A737)</f>
        <v>0</v>
      </c>
    </row>
    <row r="738" customFormat="false" ht="14.4" hidden="true" customHeight="false" outlineLevel="0" collapsed="false">
      <c r="A738" s="34" t="n">
        <v>3945884870</v>
      </c>
      <c r="B738" s="34" t="s">
        <v>4316</v>
      </c>
      <c r="C738" s="34" t="s">
        <v>77</v>
      </c>
      <c r="E738" s="30" t="s">
        <v>4317</v>
      </c>
      <c r="F738" s="34" t="n">
        <f aca="false">IFERROR(VLOOKUP($A738,'319'!$B:$H,7,0),0)</f>
        <v>0</v>
      </c>
      <c r="G738" s="34" t="n">
        <f aca="false">SUMIFS('12.326ana'!$C:$C,'12.326ana'!$M:$M,redes!A738)</f>
        <v>0</v>
      </c>
    </row>
    <row r="739" customFormat="false" ht="14.4" hidden="true" customHeight="false" outlineLevel="0" collapsed="false">
      <c r="A739" s="34" t="n">
        <v>3953172158</v>
      </c>
      <c r="B739" s="34" t="s">
        <v>4318</v>
      </c>
      <c r="C739" s="34" t="s">
        <v>77</v>
      </c>
      <c r="E739" s="30" t="s">
        <v>4071</v>
      </c>
      <c r="F739" s="34" t="n">
        <f aca="false">IFERROR(VLOOKUP($A739,'319'!$B:$H,7,0),0)</f>
        <v>0</v>
      </c>
      <c r="G739" s="34" t="n">
        <f aca="false">SUMIFS('12.326ana'!$C:$C,'12.326ana'!$M:$M,redes!A739)</f>
        <v>0</v>
      </c>
    </row>
    <row r="740" customFormat="false" ht="14.4" hidden="true" customHeight="false" outlineLevel="0" collapsed="false">
      <c r="A740" s="34" t="n">
        <v>3961011869</v>
      </c>
      <c r="B740" s="34" t="s">
        <v>4319</v>
      </c>
      <c r="C740" s="34" t="s">
        <v>309</v>
      </c>
      <c r="E740" s="30" t="s">
        <v>4320</v>
      </c>
      <c r="F740" s="34" t="n">
        <f aca="false">IFERROR(VLOOKUP($A740,'319'!$B:$H,7,0),0)</f>
        <v>0</v>
      </c>
      <c r="G740" s="34" t="n">
        <f aca="false">SUMIFS('12.326ana'!$C:$C,'12.326ana'!$M:$M,redes!A740)</f>
        <v>0</v>
      </c>
    </row>
    <row r="741" customFormat="false" ht="14.4" hidden="true" customHeight="false" outlineLevel="0" collapsed="false">
      <c r="A741" s="34" t="n">
        <v>3965525107</v>
      </c>
      <c r="B741" s="34" t="s">
        <v>4321</v>
      </c>
      <c r="C741" s="34" t="s">
        <v>77</v>
      </c>
      <c r="E741" s="30" t="s">
        <v>4322</v>
      </c>
      <c r="F741" s="34" t="n">
        <f aca="false">IFERROR(VLOOKUP($A741,'319'!$B:$H,7,0),0)</f>
        <v>0</v>
      </c>
      <c r="G741" s="34" t="n">
        <f aca="false">SUMIFS('12.326ana'!$C:$C,'12.326ana'!$M:$M,redes!A741)</f>
        <v>0</v>
      </c>
    </row>
    <row r="742" customFormat="false" ht="14.4" hidden="true" customHeight="false" outlineLevel="0" collapsed="false">
      <c r="A742" s="34" t="n">
        <v>3967422976</v>
      </c>
      <c r="B742" s="34" t="s">
        <v>4323</v>
      </c>
      <c r="C742" s="34" t="s">
        <v>351</v>
      </c>
      <c r="E742" s="30" t="s">
        <v>4324</v>
      </c>
      <c r="F742" s="34" t="n">
        <f aca="false">IFERROR(VLOOKUP($A742,'319'!$B:$H,7,0),0)</f>
        <v>0</v>
      </c>
      <c r="G742" s="34" t="n">
        <f aca="false">SUMIFS('12.326ana'!$C:$C,'12.326ana'!$M:$M,redes!A742)</f>
        <v>0</v>
      </c>
    </row>
    <row r="743" customFormat="false" ht="14.4" hidden="true" customHeight="false" outlineLevel="0" collapsed="false">
      <c r="A743" s="34" t="n">
        <v>3975538970</v>
      </c>
      <c r="B743" s="34" t="s">
        <v>4325</v>
      </c>
      <c r="C743" s="34" t="s">
        <v>107</v>
      </c>
      <c r="E743" s="30" t="s">
        <v>4326</v>
      </c>
      <c r="F743" s="34" t="n">
        <f aca="false">IFERROR(VLOOKUP($A743,'319'!$B:$H,7,0),0)</f>
        <v>0</v>
      </c>
      <c r="G743" s="34" t="n">
        <f aca="false">SUMIFS('12.326ana'!$C:$C,'12.326ana'!$M:$M,redes!A743)</f>
        <v>0</v>
      </c>
    </row>
    <row r="744" customFormat="false" ht="14.4" hidden="true" customHeight="false" outlineLevel="0" collapsed="false">
      <c r="A744" s="34" t="n">
        <v>4018470126</v>
      </c>
      <c r="B744" s="34" t="s">
        <v>4327</v>
      </c>
      <c r="C744" s="34" t="s">
        <v>107</v>
      </c>
      <c r="E744" s="30" t="s">
        <v>4328</v>
      </c>
      <c r="F744" s="34" t="n">
        <f aca="false">IFERROR(VLOOKUP($A744,'319'!$B:$H,7,0),0)</f>
        <v>0</v>
      </c>
      <c r="G744" s="34" t="n">
        <f aca="false">SUMIFS('12.326ana'!$C:$C,'12.326ana'!$M:$M,redes!A744)</f>
        <v>0</v>
      </c>
    </row>
    <row r="745" customFormat="false" ht="14.4" hidden="true" customHeight="false" outlineLevel="0" collapsed="false">
      <c r="A745" s="34" t="n">
        <v>4023529125</v>
      </c>
      <c r="B745" s="34" t="s">
        <v>4329</v>
      </c>
      <c r="C745" s="34" t="s">
        <v>77</v>
      </c>
      <c r="E745" s="30" t="s">
        <v>4329</v>
      </c>
      <c r="F745" s="34" t="n">
        <f aca="false">IFERROR(VLOOKUP($A745,'319'!$B:$H,7,0),0)</f>
        <v>0</v>
      </c>
      <c r="G745" s="34" t="n">
        <f aca="false">SUMIFS('12.326ana'!$C:$C,'12.326ana'!$M:$M,redes!A745)</f>
        <v>0</v>
      </c>
    </row>
    <row r="746" customFormat="false" ht="14.4" hidden="true" customHeight="false" outlineLevel="0" collapsed="false">
      <c r="A746" s="34" t="n">
        <v>4023567132</v>
      </c>
      <c r="B746" s="34" t="s">
        <v>4330</v>
      </c>
      <c r="C746" s="34" t="s">
        <v>77</v>
      </c>
      <c r="E746" s="30" t="s">
        <v>4330</v>
      </c>
      <c r="F746" s="34" t="n">
        <f aca="false">IFERROR(VLOOKUP($A746,'319'!$B:$H,7,0),0)</f>
        <v>0</v>
      </c>
      <c r="G746" s="34" t="n">
        <f aca="false">SUMIFS('12.326ana'!$C:$C,'12.326ana'!$M:$M,redes!A746)</f>
        <v>0</v>
      </c>
    </row>
    <row r="747" customFormat="false" ht="14.4" hidden="true" customHeight="false" outlineLevel="0" collapsed="false">
      <c r="A747" s="34" t="n">
        <v>4032459150</v>
      </c>
      <c r="B747" s="34" t="s">
        <v>4331</v>
      </c>
      <c r="C747" s="34" t="s">
        <v>77</v>
      </c>
      <c r="E747" s="30" t="s">
        <v>4332</v>
      </c>
      <c r="F747" s="34" t="n">
        <f aca="false">IFERROR(VLOOKUP($A747,'319'!$B:$H,7,0),0)</f>
        <v>0</v>
      </c>
      <c r="G747" s="34" t="n">
        <f aca="false">SUMIFS('12.326ana'!$C:$C,'12.326ana'!$M:$M,redes!A747)</f>
        <v>0</v>
      </c>
    </row>
    <row r="748" customFormat="false" ht="14.4" hidden="true" customHeight="false" outlineLevel="0" collapsed="false">
      <c r="A748" s="34" t="n">
        <v>4051726134</v>
      </c>
      <c r="B748" s="34" t="s">
        <v>4333</v>
      </c>
      <c r="C748" s="34" t="s">
        <v>139</v>
      </c>
      <c r="E748" s="30" t="s">
        <v>4334</v>
      </c>
      <c r="F748" s="34" t="n">
        <f aca="false">IFERROR(VLOOKUP($A748,'319'!$B:$H,7,0),0)</f>
        <v>0</v>
      </c>
      <c r="G748" s="34" t="n">
        <f aca="false">SUMIFS('12.326ana'!$C:$C,'12.326ana'!$M:$M,redes!A748)</f>
        <v>0</v>
      </c>
    </row>
    <row r="749" customFormat="false" ht="14.4" hidden="true" customHeight="false" outlineLevel="0" collapsed="false">
      <c r="A749" s="34" t="n">
        <v>4053059151</v>
      </c>
      <c r="B749" s="34" t="s">
        <v>4335</v>
      </c>
      <c r="C749" s="34" t="s">
        <v>77</v>
      </c>
      <c r="E749" s="30" t="s">
        <v>4335</v>
      </c>
      <c r="F749" s="34" t="n">
        <f aca="false">IFERROR(VLOOKUP($A749,'319'!$B:$H,7,0),0)</f>
        <v>0</v>
      </c>
      <c r="G749" s="34" t="n">
        <f aca="false">SUMIFS('12.326ana'!$C:$C,'12.326ana'!$M:$M,redes!A749)</f>
        <v>0</v>
      </c>
    </row>
    <row r="750" customFormat="false" ht="14.4" hidden="true" customHeight="false" outlineLevel="0" collapsed="false">
      <c r="A750" s="34" t="n">
        <v>4100125135</v>
      </c>
      <c r="B750" s="34" t="s">
        <v>4336</v>
      </c>
      <c r="C750" s="34" t="s">
        <v>77</v>
      </c>
      <c r="E750" s="30" t="s">
        <v>4336</v>
      </c>
      <c r="F750" s="34" t="n">
        <f aca="false">IFERROR(VLOOKUP($A750,'319'!$B:$H,7,0),0)</f>
        <v>0</v>
      </c>
      <c r="G750" s="34" t="n">
        <f aca="false">SUMIFS('12.326ana'!$C:$C,'12.326ana'!$M:$M,redes!A750)</f>
        <v>0</v>
      </c>
    </row>
    <row r="751" customFormat="false" ht="14.4" hidden="true" customHeight="false" outlineLevel="0" collapsed="false">
      <c r="A751" s="34" t="n">
        <v>4103106115</v>
      </c>
      <c r="B751" s="34" t="s">
        <v>4337</v>
      </c>
      <c r="C751" s="34" t="s">
        <v>129</v>
      </c>
      <c r="E751" s="30" t="s">
        <v>4338</v>
      </c>
      <c r="F751" s="34" t="n">
        <f aca="false">IFERROR(VLOOKUP($A751,'319'!$B:$H,7,0),0)</f>
        <v>0</v>
      </c>
      <c r="G751" s="34" t="n">
        <f aca="false">SUMIFS('12.326ana'!$C:$C,'12.326ana'!$M:$M,redes!A751)</f>
        <v>0</v>
      </c>
    </row>
    <row r="752" customFormat="false" ht="14.4" hidden="true" customHeight="false" outlineLevel="0" collapsed="false">
      <c r="A752" s="34" t="n">
        <v>4104915866</v>
      </c>
      <c r="B752" s="34" t="s">
        <v>4339</v>
      </c>
      <c r="C752" s="34" t="s">
        <v>77</v>
      </c>
      <c r="E752" s="30"/>
      <c r="F752" s="34" t="n">
        <f aca="false">IFERROR(VLOOKUP($A752,'319'!$B:$H,7,0),0)</f>
        <v>0</v>
      </c>
      <c r="G752" s="34" t="n">
        <f aca="false">SUMIFS('12.326ana'!$C:$C,'12.326ana'!$M:$M,redes!A752)</f>
        <v>0</v>
      </c>
    </row>
    <row r="753" customFormat="false" ht="14.4" hidden="true" customHeight="false" outlineLevel="0" collapsed="false">
      <c r="A753" s="34" t="n">
        <v>4106176874</v>
      </c>
      <c r="B753" s="34" t="s">
        <v>4340</v>
      </c>
      <c r="C753" s="34" t="s">
        <v>77</v>
      </c>
      <c r="E753" s="30" t="s">
        <v>4341</v>
      </c>
      <c r="F753" s="34" t="n">
        <f aca="false">IFERROR(VLOOKUP($A753,'319'!$B:$H,7,0),0)</f>
        <v>0</v>
      </c>
      <c r="G753" s="34" t="n">
        <f aca="false">SUMIFS('12.326ana'!$C:$C,'12.326ana'!$M:$M,redes!A753)</f>
        <v>0</v>
      </c>
    </row>
    <row r="754" customFormat="false" ht="14.4" hidden="true" customHeight="false" outlineLevel="0" collapsed="false">
      <c r="A754" s="34" t="n">
        <v>4115913126</v>
      </c>
      <c r="B754" s="34" t="s">
        <v>4342</v>
      </c>
      <c r="C754" s="34" t="s">
        <v>842</v>
      </c>
      <c r="E754" s="30" t="s">
        <v>4343</v>
      </c>
      <c r="F754" s="34" t="n">
        <f aca="false">IFERROR(VLOOKUP($A754,'319'!$B:$H,7,0),0)</f>
        <v>0</v>
      </c>
      <c r="G754" s="34" t="n">
        <f aca="false">SUMIFS('12.326ana'!$C:$C,'12.326ana'!$M:$M,redes!A754)</f>
        <v>0</v>
      </c>
    </row>
    <row r="755" customFormat="false" ht="14.4" hidden="true" customHeight="false" outlineLevel="0" collapsed="false">
      <c r="A755" s="34" t="n">
        <v>4166458108</v>
      </c>
      <c r="B755" s="34" t="s">
        <v>4344</v>
      </c>
      <c r="C755" s="34" t="s">
        <v>207</v>
      </c>
      <c r="E755" s="30" t="s">
        <v>4345</v>
      </c>
      <c r="F755" s="34" t="n">
        <f aca="false">IFERROR(VLOOKUP($A755,'319'!$B:$H,7,0),0)</f>
        <v>0</v>
      </c>
      <c r="G755" s="34" t="n">
        <f aca="false">SUMIFS('12.326ana'!$C:$C,'12.326ana'!$M:$M,redes!A755)</f>
        <v>0</v>
      </c>
    </row>
    <row r="756" customFormat="false" ht="14.4" hidden="true" customHeight="false" outlineLevel="0" collapsed="false">
      <c r="A756" s="34" t="n">
        <v>4179300893</v>
      </c>
      <c r="B756" s="34" t="s">
        <v>4346</v>
      </c>
      <c r="C756" s="34" t="s">
        <v>77</v>
      </c>
      <c r="E756" s="30" t="s">
        <v>4347</v>
      </c>
      <c r="F756" s="34" t="n">
        <f aca="false">IFERROR(VLOOKUP($A756,'319'!$B:$H,7,0),0)</f>
        <v>0</v>
      </c>
      <c r="G756" s="34" t="n">
        <f aca="false">SUMIFS('12.326ana'!$C:$C,'12.326ana'!$M:$M,redes!A756)</f>
        <v>0</v>
      </c>
    </row>
    <row r="757" customFormat="false" ht="14.4" hidden="true" customHeight="false" outlineLevel="0" collapsed="false">
      <c r="A757" s="34" t="n">
        <v>4185229100</v>
      </c>
      <c r="B757" s="34" t="s">
        <v>4348</v>
      </c>
      <c r="C757" s="34" t="s">
        <v>107</v>
      </c>
      <c r="E757" s="30" t="s">
        <v>4349</v>
      </c>
      <c r="F757" s="34" t="n">
        <f aca="false">IFERROR(VLOOKUP($A757,'319'!$B:$H,7,0),0)</f>
        <v>0</v>
      </c>
      <c r="G757" s="34" t="n">
        <f aca="false">SUMIFS('12.326ana'!$C:$C,'12.326ana'!$M:$M,redes!A757)</f>
        <v>0</v>
      </c>
    </row>
    <row r="758" customFormat="false" ht="14.4" hidden="true" customHeight="false" outlineLevel="0" collapsed="false">
      <c r="A758" s="34" t="n">
        <v>4185756143</v>
      </c>
      <c r="B758" s="34" t="s">
        <v>4350</v>
      </c>
      <c r="C758" s="34" t="s">
        <v>89</v>
      </c>
      <c r="E758" s="30" t="s">
        <v>4131</v>
      </c>
      <c r="F758" s="34" t="n">
        <f aca="false">IFERROR(VLOOKUP($A758,'319'!$B:$H,7,0),0)</f>
        <v>0</v>
      </c>
      <c r="G758" s="34" t="n">
        <f aca="false">SUMIFS('12.326ana'!$C:$C,'12.326ana'!$M:$M,redes!A758)</f>
        <v>0</v>
      </c>
    </row>
    <row r="759" customFormat="false" ht="14.4" hidden="true" customHeight="false" outlineLevel="0" collapsed="false">
      <c r="A759" s="34" t="n">
        <v>4188569158</v>
      </c>
      <c r="B759" s="34" t="s">
        <v>4351</v>
      </c>
      <c r="C759" s="34" t="s">
        <v>77</v>
      </c>
      <c r="E759" s="30" t="s">
        <v>4352</v>
      </c>
      <c r="F759" s="34" t="n">
        <f aca="false">IFERROR(VLOOKUP($A759,'319'!$B:$H,7,0),0)</f>
        <v>0</v>
      </c>
      <c r="G759" s="34" t="n">
        <f aca="false">SUMIFS('12.326ana'!$C:$C,'12.326ana'!$M:$M,redes!A759)</f>
        <v>0</v>
      </c>
    </row>
    <row r="760" customFormat="false" ht="14.4" hidden="true" customHeight="false" outlineLevel="0" collapsed="false">
      <c r="A760" s="34" t="n">
        <v>4194210174</v>
      </c>
      <c r="B760" s="34" t="s">
        <v>4353</v>
      </c>
      <c r="C760" s="34" t="s">
        <v>103</v>
      </c>
      <c r="E760" s="30" t="s">
        <v>4354</v>
      </c>
      <c r="F760" s="34" t="n">
        <f aca="false">IFERROR(VLOOKUP($A760,'319'!$B:$H,7,0),0)</f>
        <v>0</v>
      </c>
      <c r="G760" s="34" t="n">
        <f aca="false">SUMIFS('12.326ana'!$C:$C,'12.326ana'!$M:$M,redes!A760)</f>
        <v>0</v>
      </c>
    </row>
    <row r="761" customFormat="false" ht="14.4" hidden="true" customHeight="false" outlineLevel="0" collapsed="false">
      <c r="A761" s="34" t="n">
        <v>4196441130</v>
      </c>
      <c r="B761" s="34" t="s">
        <v>4355</v>
      </c>
      <c r="C761" s="34" t="s">
        <v>77</v>
      </c>
      <c r="E761" s="30" t="s">
        <v>4356</v>
      </c>
      <c r="F761" s="34" t="n">
        <f aca="false">IFERROR(VLOOKUP($A761,'319'!$B:$H,7,0),0)</f>
        <v>0</v>
      </c>
      <c r="G761" s="34" t="n">
        <f aca="false">SUMIFS('12.326ana'!$C:$C,'12.326ana'!$M:$M,redes!A761)</f>
        <v>0</v>
      </c>
    </row>
    <row r="762" customFormat="false" ht="14.4" hidden="true" customHeight="false" outlineLevel="0" collapsed="false">
      <c r="A762" s="34" t="n">
        <v>4197646909</v>
      </c>
      <c r="B762" s="34" t="s">
        <v>4357</v>
      </c>
      <c r="C762" s="34" t="s">
        <v>77</v>
      </c>
      <c r="E762" s="30" t="s">
        <v>4358</v>
      </c>
      <c r="F762" s="34" t="n">
        <f aca="false">IFERROR(VLOOKUP($A762,'319'!$B:$H,7,0),0)</f>
        <v>0</v>
      </c>
      <c r="G762" s="34" t="n">
        <f aca="false">SUMIFS('12.326ana'!$C:$C,'12.326ana'!$M:$M,redes!A762)</f>
        <v>0</v>
      </c>
    </row>
    <row r="763" customFormat="false" ht="14.4" hidden="true" customHeight="false" outlineLevel="0" collapsed="false">
      <c r="A763" s="34" t="n">
        <v>4206052158</v>
      </c>
      <c r="B763" s="34" t="s">
        <v>4359</v>
      </c>
      <c r="C763" s="34" t="s">
        <v>737</v>
      </c>
      <c r="E763" s="30" t="s">
        <v>4360</v>
      </c>
      <c r="F763" s="34" t="n">
        <f aca="false">IFERROR(VLOOKUP($A763,'319'!$B:$H,7,0),0)</f>
        <v>0</v>
      </c>
      <c r="G763" s="34" t="n">
        <f aca="false">SUMIFS('12.326ana'!$C:$C,'12.326ana'!$M:$M,redes!A763)</f>
        <v>0</v>
      </c>
    </row>
    <row r="764" customFormat="false" ht="14.4" hidden="true" customHeight="false" outlineLevel="0" collapsed="false">
      <c r="A764" s="34" t="n">
        <v>4228434150</v>
      </c>
      <c r="B764" s="34" t="s">
        <v>4361</v>
      </c>
      <c r="C764" s="34" t="s">
        <v>89</v>
      </c>
      <c r="E764" s="30" t="s">
        <v>4362</v>
      </c>
      <c r="F764" s="34" t="n">
        <f aca="false">IFERROR(VLOOKUP($A764,'319'!$B:$H,7,0),0)</f>
        <v>0</v>
      </c>
      <c r="G764" s="34" t="n">
        <f aca="false">SUMIFS('12.326ana'!$C:$C,'12.326ana'!$M:$M,redes!A764)</f>
        <v>0</v>
      </c>
    </row>
    <row r="765" customFormat="false" ht="14.4" hidden="true" customHeight="false" outlineLevel="0" collapsed="false">
      <c r="A765" s="34" t="n">
        <v>4228535186</v>
      </c>
      <c r="B765" s="34" t="s">
        <v>4363</v>
      </c>
      <c r="C765" s="34" t="s">
        <v>89</v>
      </c>
      <c r="E765" s="30" t="s">
        <v>4364</v>
      </c>
      <c r="F765" s="34" t="n">
        <f aca="false">IFERROR(VLOOKUP($A765,'319'!$B:$H,7,0),0)</f>
        <v>0</v>
      </c>
      <c r="G765" s="34" t="n">
        <f aca="false">SUMIFS('12.326ana'!$C:$C,'12.326ana'!$M:$M,redes!A765)</f>
        <v>0</v>
      </c>
    </row>
    <row r="766" customFormat="false" ht="14.4" hidden="true" customHeight="false" outlineLevel="0" collapsed="false">
      <c r="A766" s="34" t="n">
        <v>4237160181</v>
      </c>
      <c r="B766" s="34" t="s">
        <v>4365</v>
      </c>
      <c r="C766" s="34" t="s">
        <v>77</v>
      </c>
      <c r="E766" s="30" t="s">
        <v>4365</v>
      </c>
      <c r="F766" s="34" t="n">
        <f aca="false">IFERROR(VLOOKUP($A766,'319'!$B:$H,7,0),0)</f>
        <v>0</v>
      </c>
      <c r="G766" s="34" t="n">
        <f aca="false">SUMIFS('12.326ana'!$C:$C,'12.326ana'!$M:$M,redes!A766)</f>
        <v>0</v>
      </c>
    </row>
    <row r="767" customFormat="false" ht="14.4" hidden="true" customHeight="false" outlineLevel="0" collapsed="false">
      <c r="A767" s="34" t="n">
        <v>4259441195</v>
      </c>
      <c r="B767" s="34" t="s">
        <v>4366</v>
      </c>
      <c r="C767" s="34" t="s">
        <v>117</v>
      </c>
      <c r="E767" s="30" t="s">
        <v>4367</v>
      </c>
      <c r="F767" s="34" t="n">
        <f aca="false">IFERROR(VLOOKUP($A767,'319'!$B:$H,7,0),0)</f>
        <v>0</v>
      </c>
      <c r="G767" s="34" t="n">
        <f aca="false">SUMIFS('12.326ana'!$C:$C,'12.326ana'!$M:$M,redes!A767)</f>
        <v>0</v>
      </c>
    </row>
    <row r="768" customFormat="false" ht="14.4" hidden="true" customHeight="false" outlineLevel="0" collapsed="false">
      <c r="A768" s="34" t="n">
        <v>4270681934</v>
      </c>
      <c r="B768" s="34" t="s">
        <v>4368</v>
      </c>
      <c r="C768" s="34" t="s">
        <v>103</v>
      </c>
      <c r="E768" s="30" t="s">
        <v>4369</v>
      </c>
      <c r="F768" s="34" t="n">
        <f aca="false">IFERROR(VLOOKUP($A768,'319'!$B:$H,7,0),0)</f>
        <v>0</v>
      </c>
      <c r="G768" s="34" t="n">
        <f aca="false">SUMIFS('12.326ana'!$C:$C,'12.326ana'!$M:$M,redes!A768)</f>
        <v>0</v>
      </c>
    </row>
    <row r="769" customFormat="false" ht="14.4" hidden="true" customHeight="false" outlineLevel="0" collapsed="false">
      <c r="A769" s="34" t="n">
        <v>4271567850</v>
      </c>
      <c r="B769" s="34" t="s">
        <v>4370</v>
      </c>
      <c r="C769" s="34" t="s">
        <v>328</v>
      </c>
      <c r="E769" s="30" t="s">
        <v>4371</v>
      </c>
      <c r="F769" s="34" t="n">
        <f aca="false">IFERROR(VLOOKUP($A769,'319'!$B:$H,7,0),0)</f>
        <v>0</v>
      </c>
      <c r="G769" s="34" t="n">
        <f aca="false">SUMIFS('12.326ana'!$C:$C,'12.326ana'!$M:$M,redes!A769)</f>
        <v>0</v>
      </c>
    </row>
    <row r="770" customFormat="false" ht="14.4" hidden="true" customHeight="false" outlineLevel="0" collapsed="false">
      <c r="A770" s="34" t="n">
        <v>4284869167</v>
      </c>
      <c r="B770" s="34" t="s">
        <v>4372</v>
      </c>
      <c r="C770" s="34" t="s">
        <v>77</v>
      </c>
      <c r="E770" s="30" t="s">
        <v>4373</v>
      </c>
      <c r="F770" s="34" t="n">
        <f aca="false">IFERROR(VLOOKUP($A770,'319'!$B:$H,7,0),0)</f>
        <v>0</v>
      </c>
      <c r="G770" s="34" t="n">
        <f aca="false">SUMIFS('12.326ana'!$C:$C,'12.326ana'!$M:$M,redes!A770)</f>
        <v>0</v>
      </c>
    </row>
    <row r="771" customFormat="false" ht="14.4" hidden="true" customHeight="false" outlineLevel="0" collapsed="false">
      <c r="A771" s="34" t="n">
        <v>4301682929</v>
      </c>
      <c r="B771" s="34" t="s">
        <v>4374</v>
      </c>
      <c r="C771" s="34" t="s">
        <v>77</v>
      </c>
      <c r="E771" s="30" t="s">
        <v>4375</v>
      </c>
      <c r="F771" s="34" t="n">
        <f aca="false">IFERROR(VLOOKUP($A771,'319'!$B:$H,7,0),0)</f>
        <v>0</v>
      </c>
      <c r="G771" s="34" t="n">
        <f aca="false">SUMIFS('12.326ana'!$C:$C,'12.326ana'!$M:$M,redes!A771)</f>
        <v>0</v>
      </c>
    </row>
    <row r="772" customFormat="false" ht="14.4" hidden="true" customHeight="false" outlineLevel="0" collapsed="false">
      <c r="A772" s="34" t="n">
        <v>4320748131</v>
      </c>
      <c r="B772" s="34" t="s">
        <v>4376</v>
      </c>
      <c r="C772" s="34" t="s">
        <v>77</v>
      </c>
      <c r="E772" s="30" t="s">
        <v>4377</v>
      </c>
      <c r="F772" s="34" t="n">
        <f aca="false">IFERROR(VLOOKUP($A772,'319'!$B:$H,7,0),0)</f>
        <v>0</v>
      </c>
      <c r="G772" s="34" t="n">
        <f aca="false">SUMIFS('12.326ana'!$C:$C,'12.326ana'!$M:$M,redes!A772)</f>
        <v>0</v>
      </c>
    </row>
    <row r="773" customFormat="false" ht="14.4" hidden="true" customHeight="false" outlineLevel="0" collapsed="false">
      <c r="A773" s="34" t="n">
        <v>4328798111</v>
      </c>
      <c r="B773" s="34" t="s">
        <v>4378</v>
      </c>
      <c r="C773" s="34" t="s">
        <v>77</v>
      </c>
      <c r="E773" s="30" t="s">
        <v>4379</v>
      </c>
      <c r="F773" s="34" t="n">
        <f aca="false">IFERROR(VLOOKUP($A773,'319'!$B:$H,7,0),0)</f>
        <v>0</v>
      </c>
      <c r="G773" s="34" t="n">
        <f aca="false">SUMIFS('12.326ana'!$C:$C,'12.326ana'!$M:$M,redes!A773)</f>
        <v>0</v>
      </c>
    </row>
    <row r="774" customFormat="false" ht="14.4" hidden="true" customHeight="false" outlineLevel="0" collapsed="false">
      <c r="A774" s="34" t="n">
        <v>4331144100</v>
      </c>
      <c r="B774" s="34" t="s">
        <v>4380</v>
      </c>
      <c r="C774" s="34" t="s">
        <v>357</v>
      </c>
      <c r="E774" s="30" t="s">
        <v>4381</v>
      </c>
      <c r="F774" s="34" t="n">
        <f aca="false">IFERROR(VLOOKUP($A774,'319'!$B:$H,7,0),0)</f>
        <v>0</v>
      </c>
      <c r="G774" s="34" t="n">
        <f aca="false">SUMIFS('12.326ana'!$C:$C,'12.326ana'!$M:$M,redes!A774)</f>
        <v>0</v>
      </c>
    </row>
    <row r="775" customFormat="false" ht="14.4" hidden="true" customHeight="false" outlineLevel="0" collapsed="false">
      <c r="A775" s="34" t="n">
        <v>4331374106</v>
      </c>
      <c r="B775" s="34" t="s">
        <v>4382</v>
      </c>
      <c r="C775" s="34" t="s">
        <v>213</v>
      </c>
      <c r="E775" s="30" t="s">
        <v>4383</v>
      </c>
      <c r="F775" s="34" t="n">
        <f aca="false">IFERROR(VLOOKUP($A775,'319'!$B:$H,7,0),0)</f>
        <v>0</v>
      </c>
      <c r="G775" s="34" t="n">
        <f aca="false">SUMIFS('12.326ana'!$C:$C,'12.326ana'!$M:$M,redes!A775)</f>
        <v>0</v>
      </c>
    </row>
    <row r="776" customFormat="false" ht="14.4" hidden="true" customHeight="false" outlineLevel="0" collapsed="false">
      <c r="A776" s="34" t="n">
        <v>4337516249</v>
      </c>
      <c r="B776" s="34" t="s">
        <v>4384</v>
      </c>
      <c r="C776" s="34" t="s">
        <v>77</v>
      </c>
      <c r="E776" s="30" t="s">
        <v>4385</v>
      </c>
      <c r="F776" s="34" t="n">
        <f aca="false">IFERROR(VLOOKUP($A776,'319'!$B:$H,7,0),0)</f>
        <v>0</v>
      </c>
      <c r="G776" s="34" t="n">
        <f aca="false">SUMIFS('12.326ana'!$C:$C,'12.326ana'!$M:$M,redes!A776)</f>
        <v>0</v>
      </c>
    </row>
    <row r="777" customFormat="false" ht="14.4" hidden="true" customHeight="false" outlineLevel="0" collapsed="false">
      <c r="A777" s="34" t="n">
        <v>4346869998</v>
      </c>
      <c r="B777" s="34" t="s">
        <v>4386</v>
      </c>
      <c r="C777" s="34" t="s">
        <v>103</v>
      </c>
      <c r="E777" s="30" t="s">
        <v>4387</v>
      </c>
      <c r="F777" s="34" t="n">
        <f aca="false">IFERROR(VLOOKUP($A777,'319'!$B:$H,7,0),0)</f>
        <v>0</v>
      </c>
      <c r="G777" s="34" t="n">
        <f aca="false">SUMIFS('12.326ana'!$C:$C,'12.326ana'!$M:$M,redes!A777)</f>
        <v>0</v>
      </c>
    </row>
    <row r="778" customFormat="false" ht="14.4" hidden="true" customHeight="false" outlineLevel="0" collapsed="false">
      <c r="A778" s="34" t="n">
        <v>4361112177</v>
      </c>
      <c r="B778" s="34" t="s">
        <v>4388</v>
      </c>
      <c r="C778" s="34" t="s">
        <v>77</v>
      </c>
      <c r="E778" s="30" t="s">
        <v>4388</v>
      </c>
      <c r="F778" s="34" t="n">
        <f aca="false">IFERROR(VLOOKUP($A778,'319'!$B:$H,7,0),0)</f>
        <v>0</v>
      </c>
      <c r="G778" s="34" t="n">
        <f aca="false">SUMIFS('12.326ana'!$C:$C,'12.326ana'!$M:$M,redes!A778)</f>
        <v>0</v>
      </c>
    </row>
    <row r="779" customFormat="false" ht="14.4" hidden="true" customHeight="false" outlineLevel="0" collapsed="false">
      <c r="A779" s="34" t="n">
        <v>4394146879</v>
      </c>
      <c r="B779" s="34" t="s">
        <v>4389</v>
      </c>
      <c r="C779" s="34" t="s">
        <v>680</v>
      </c>
      <c r="E779" s="30" t="s">
        <v>4390</v>
      </c>
      <c r="F779" s="34" t="n">
        <f aca="false">IFERROR(VLOOKUP($A779,'319'!$B:$H,7,0),0)</f>
        <v>0</v>
      </c>
      <c r="G779" s="34" t="n">
        <f aca="false">SUMIFS('12.326ana'!$C:$C,'12.326ana'!$M:$M,redes!A779)</f>
        <v>0</v>
      </c>
    </row>
    <row r="780" customFormat="false" ht="14.4" hidden="true" customHeight="false" outlineLevel="0" collapsed="false">
      <c r="A780" s="34" t="n">
        <v>4398980130</v>
      </c>
      <c r="B780" s="34" t="s">
        <v>4391</v>
      </c>
      <c r="C780" s="34" t="s">
        <v>89</v>
      </c>
      <c r="E780" s="30" t="s">
        <v>3894</v>
      </c>
      <c r="F780" s="34" t="n">
        <f aca="false">IFERROR(VLOOKUP($A780,'319'!$B:$H,7,0),0)</f>
        <v>0</v>
      </c>
      <c r="G780" s="34" t="n">
        <f aca="false">SUMIFS('12.326ana'!$C:$C,'12.326ana'!$M:$M,redes!A780)</f>
        <v>0</v>
      </c>
    </row>
    <row r="781" customFormat="false" ht="14.4" hidden="true" customHeight="false" outlineLevel="0" collapsed="false">
      <c r="A781" s="34" t="n">
        <v>4406684174</v>
      </c>
      <c r="B781" s="34" t="s">
        <v>4392</v>
      </c>
      <c r="C781" s="34" t="s">
        <v>77</v>
      </c>
      <c r="E781" s="30" t="s">
        <v>4392</v>
      </c>
      <c r="F781" s="34" t="n">
        <f aca="false">IFERROR(VLOOKUP($A781,'319'!$B:$H,7,0),0)</f>
        <v>0</v>
      </c>
      <c r="G781" s="34" t="n">
        <f aca="false">SUMIFS('12.326ana'!$C:$C,'12.326ana'!$M:$M,redes!A781)</f>
        <v>0</v>
      </c>
    </row>
    <row r="782" customFormat="false" ht="14.4" hidden="true" customHeight="false" outlineLevel="0" collapsed="false">
      <c r="A782" s="34" t="n">
        <v>4425177185</v>
      </c>
      <c r="B782" s="34" t="s">
        <v>4393</v>
      </c>
      <c r="C782" s="34" t="s">
        <v>77</v>
      </c>
      <c r="E782" s="30" t="s">
        <v>4394</v>
      </c>
      <c r="F782" s="34" t="n">
        <f aca="false">IFERROR(VLOOKUP($A782,'319'!$B:$H,7,0),0)</f>
        <v>0</v>
      </c>
      <c r="G782" s="34" t="n">
        <f aca="false">SUMIFS('12.326ana'!$C:$C,'12.326ana'!$M:$M,redes!A782)</f>
        <v>0</v>
      </c>
    </row>
    <row r="783" customFormat="false" ht="14.4" hidden="true" customHeight="false" outlineLevel="0" collapsed="false">
      <c r="A783" s="34" t="n">
        <v>4427927190</v>
      </c>
      <c r="B783" s="34" t="s">
        <v>4395</v>
      </c>
      <c r="C783" s="34" t="s">
        <v>77</v>
      </c>
      <c r="E783" s="30" t="s">
        <v>4395</v>
      </c>
      <c r="F783" s="34" t="n">
        <f aca="false">IFERROR(VLOOKUP($A783,'319'!$B:$H,7,0),0)</f>
        <v>0</v>
      </c>
      <c r="G783" s="34" t="n">
        <f aca="false">SUMIFS('12.326ana'!$C:$C,'12.326ana'!$M:$M,redes!A783)</f>
        <v>0</v>
      </c>
    </row>
    <row r="784" customFormat="false" ht="14.4" hidden="true" customHeight="false" outlineLevel="0" collapsed="false">
      <c r="A784" s="34" t="n">
        <v>4433351920</v>
      </c>
      <c r="B784" s="34" t="s">
        <v>4396</v>
      </c>
      <c r="C784" s="34" t="s">
        <v>107</v>
      </c>
      <c r="E784" s="30" t="s">
        <v>4397</v>
      </c>
      <c r="F784" s="34" t="n">
        <f aca="false">IFERROR(VLOOKUP($A784,'319'!$B:$H,7,0),0)</f>
        <v>0</v>
      </c>
      <c r="G784" s="34" t="n">
        <f aca="false">SUMIFS('12.326ana'!$C:$C,'12.326ana'!$M:$M,redes!A784)</f>
        <v>0</v>
      </c>
    </row>
    <row r="785" customFormat="false" ht="14.4" hidden="true" customHeight="false" outlineLevel="0" collapsed="false">
      <c r="A785" s="34" t="n">
        <v>4438780993</v>
      </c>
      <c r="B785" s="34" t="s">
        <v>4398</v>
      </c>
      <c r="C785" s="34" t="s">
        <v>77</v>
      </c>
      <c r="E785" s="30" t="s">
        <v>4399</v>
      </c>
      <c r="F785" s="34" t="n">
        <f aca="false">IFERROR(VLOOKUP($A785,'319'!$B:$H,7,0),0)</f>
        <v>0</v>
      </c>
      <c r="G785" s="34" t="n">
        <f aca="false">SUMIFS('12.326ana'!$C:$C,'12.326ana'!$M:$M,redes!A785)</f>
        <v>0</v>
      </c>
    </row>
    <row r="786" customFormat="false" ht="14.4" hidden="true" customHeight="false" outlineLevel="0" collapsed="false">
      <c r="A786" s="34" t="n">
        <v>4449709160</v>
      </c>
      <c r="B786" s="34" t="s">
        <v>4400</v>
      </c>
      <c r="C786" s="34" t="s">
        <v>129</v>
      </c>
      <c r="E786" s="30" t="s">
        <v>4401</v>
      </c>
      <c r="F786" s="34" t="n">
        <f aca="false">IFERROR(VLOOKUP($A786,'319'!$B:$H,7,0),0)</f>
        <v>0</v>
      </c>
      <c r="G786" s="34" t="n">
        <f aca="false">SUMIFS('12.326ana'!$C:$C,'12.326ana'!$M:$M,redes!A786)</f>
        <v>0</v>
      </c>
    </row>
    <row r="787" customFormat="false" ht="14.4" hidden="true" customHeight="false" outlineLevel="0" collapsed="false">
      <c r="A787" s="34" t="n">
        <v>4454319111</v>
      </c>
      <c r="B787" s="34" t="s">
        <v>4402</v>
      </c>
      <c r="C787" s="34" t="s">
        <v>77</v>
      </c>
      <c r="E787" s="30" t="s">
        <v>4402</v>
      </c>
      <c r="F787" s="34" t="n">
        <f aca="false">IFERROR(VLOOKUP($A787,'319'!$B:$H,7,0),0)</f>
        <v>0</v>
      </c>
      <c r="G787" s="34" t="n">
        <f aca="false">SUMIFS('12.326ana'!$C:$C,'12.326ana'!$M:$M,redes!A787)</f>
        <v>0</v>
      </c>
    </row>
    <row r="788" customFormat="false" ht="14.4" hidden="true" customHeight="false" outlineLevel="0" collapsed="false">
      <c r="A788" s="34" t="n">
        <v>4473725138</v>
      </c>
      <c r="B788" s="34" t="s">
        <v>4403</v>
      </c>
      <c r="C788" s="34" t="s">
        <v>77</v>
      </c>
      <c r="E788" s="30" t="s">
        <v>4404</v>
      </c>
      <c r="F788" s="34" t="n">
        <f aca="false">IFERROR(VLOOKUP($A788,'319'!$B:$H,7,0),0)</f>
        <v>0</v>
      </c>
      <c r="G788" s="34" t="n">
        <f aca="false">SUMIFS('12.326ana'!$C:$C,'12.326ana'!$M:$M,redes!A788)</f>
        <v>0</v>
      </c>
    </row>
    <row r="789" customFormat="false" ht="14.4" hidden="true" customHeight="false" outlineLevel="0" collapsed="false">
      <c r="A789" s="34" t="n">
        <v>4484760100</v>
      </c>
      <c r="B789" s="34" t="s">
        <v>4405</v>
      </c>
      <c r="C789" s="34" t="s">
        <v>77</v>
      </c>
      <c r="E789" s="30" t="s">
        <v>4406</v>
      </c>
      <c r="F789" s="34" t="n">
        <f aca="false">IFERROR(VLOOKUP($A789,'319'!$B:$H,7,0),0)</f>
        <v>0</v>
      </c>
      <c r="G789" s="34" t="n">
        <f aca="false">SUMIFS('12.326ana'!$C:$C,'12.326ana'!$M:$M,redes!A789)</f>
        <v>0</v>
      </c>
    </row>
    <row r="790" customFormat="false" ht="14.4" hidden="true" customHeight="false" outlineLevel="0" collapsed="false">
      <c r="A790" s="34" t="n">
        <v>4485517993</v>
      </c>
      <c r="B790" s="34" t="s">
        <v>4407</v>
      </c>
      <c r="C790" s="34" t="s">
        <v>77</v>
      </c>
      <c r="E790" s="30" t="s">
        <v>4408</v>
      </c>
      <c r="F790" s="34" t="n">
        <f aca="false">IFERROR(VLOOKUP($A790,'319'!$B:$H,7,0),0)</f>
        <v>0</v>
      </c>
      <c r="G790" s="34" t="n">
        <f aca="false">SUMIFS('12.326ana'!$C:$C,'12.326ana'!$M:$M,redes!A790)</f>
        <v>0</v>
      </c>
    </row>
    <row r="791" customFormat="false" ht="14.4" hidden="true" customHeight="false" outlineLevel="0" collapsed="false">
      <c r="A791" s="34" t="n">
        <v>4515890174</v>
      </c>
      <c r="B791" s="34" t="s">
        <v>4409</v>
      </c>
      <c r="C791" s="34" t="s">
        <v>77</v>
      </c>
      <c r="E791" s="30"/>
      <c r="F791" s="34" t="n">
        <f aca="false">IFERROR(VLOOKUP($A791,'319'!$B:$H,7,0),0)</f>
        <v>0</v>
      </c>
      <c r="G791" s="34" t="n">
        <f aca="false">SUMIFS('12.326ana'!$C:$C,'12.326ana'!$M:$M,redes!A791)</f>
        <v>0</v>
      </c>
    </row>
    <row r="792" customFormat="false" ht="14.4" hidden="true" customHeight="false" outlineLevel="0" collapsed="false">
      <c r="A792" s="34" t="n">
        <v>4517695115</v>
      </c>
      <c r="B792" s="34" t="s">
        <v>4410</v>
      </c>
      <c r="C792" s="34" t="s">
        <v>77</v>
      </c>
      <c r="E792" s="30" t="s">
        <v>4411</v>
      </c>
      <c r="F792" s="34" t="n">
        <f aca="false">IFERROR(VLOOKUP($A792,'319'!$B:$H,7,0),0)</f>
        <v>0</v>
      </c>
      <c r="G792" s="34" t="n">
        <f aca="false">SUMIFS('12.326ana'!$C:$C,'12.326ana'!$M:$M,redes!A792)</f>
        <v>0</v>
      </c>
    </row>
    <row r="793" customFormat="false" ht="14.4" hidden="true" customHeight="false" outlineLevel="0" collapsed="false">
      <c r="A793" s="34" t="n">
        <v>4534212100</v>
      </c>
      <c r="B793" s="34" t="s">
        <v>4412</v>
      </c>
      <c r="C793" s="34" t="s">
        <v>77</v>
      </c>
      <c r="E793" s="30"/>
      <c r="F793" s="34" t="n">
        <f aca="false">IFERROR(VLOOKUP($A793,'319'!$B:$H,7,0),0)</f>
        <v>0</v>
      </c>
      <c r="G793" s="34" t="n">
        <f aca="false">SUMIFS('12.326ana'!$C:$C,'12.326ana'!$M:$M,redes!A793)</f>
        <v>0</v>
      </c>
    </row>
    <row r="794" customFormat="false" ht="14.4" hidden="true" customHeight="false" outlineLevel="0" collapsed="false">
      <c r="A794" s="34" t="n">
        <v>4535090106</v>
      </c>
      <c r="B794" s="34" t="s">
        <v>4413</v>
      </c>
      <c r="C794" s="34" t="s">
        <v>77</v>
      </c>
      <c r="E794" s="30" t="s">
        <v>4414</v>
      </c>
      <c r="F794" s="34" t="n">
        <f aca="false">IFERROR(VLOOKUP($A794,'319'!$B:$H,7,0),0)</f>
        <v>0</v>
      </c>
      <c r="G794" s="34" t="n">
        <f aca="false">SUMIFS('12.326ana'!$C:$C,'12.326ana'!$M:$M,redes!A794)</f>
        <v>0</v>
      </c>
    </row>
    <row r="795" customFormat="false" ht="14.4" hidden="true" customHeight="false" outlineLevel="0" collapsed="false">
      <c r="A795" s="34" t="n">
        <v>4554450104</v>
      </c>
      <c r="B795" s="34" t="s">
        <v>4415</v>
      </c>
      <c r="C795" s="34" t="s">
        <v>77</v>
      </c>
      <c r="E795" s="30" t="s">
        <v>4416</v>
      </c>
      <c r="F795" s="34" t="n">
        <f aca="false">IFERROR(VLOOKUP($A795,'319'!$B:$H,7,0),0)</f>
        <v>0</v>
      </c>
      <c r="G795" s="34" t="n">
        <f aca="false">SUMIFS('12.326ana'!$C:$C,'12.326ana'!$M:$M,redes!A795)</f>
        <v>0</v>
      </c>
    </row>
    <row r="796" customFormat="false" ht="14.4" hidden="true" customHeight="false" outlineLevel="0" collapsed="false">
      <c r="A796" s="34" t="n">
        <v>4556327156</v>
      </c>
      <c r="B796" s="34" t="s">
        <v>4417</v>
      </c>
      <c r="C796" s="34" t="s">
        <v>4418</v>
      </c>
      <c r="E796" s="30" t="s">
        <v>4419</v>
      </c>
      <c r="F796" s="34" t="n">
        <f aca="false">IFERROR(VLOOKUP($A796,'319'!$B:$H,7,0),0)</f>
        <v>0</v>
      </c>
      <c r="G796" s="34" t="n">
        <f aca="false">SUMIFS('12.326ana'!$C:$C,'12.326ana'!$M:$M,redes!A796)</f>
        <v>0</v>
      </c>
    </row>
    <row r="797" customFormat="false" ht="14.4" hidden="true" customHeight="false" outlineLevel="0" collapsed="false">
      <c r="A797" s="34" t="n">
        <v>4556885167</v>
      </c>
      <c r="B797" s="34" t="s">
        <v>4420</v>
      </c>
      <c r="C797" s="34" t="s">
        <v>77</v>
      </c>
      <c r="E797" s="30" t="s">
        <v>4421</v>
      </c>
      <c r="F797" s="34" t="n">
        <f aca="false">IFERROR(VLOOKUP($A797,'319'!$B:$H,7,0),0)</f>
        <v>0</v>
      </c>
      <c r="G797" s="34" t="n">
        <f aca="false">SUMIFS('12.326ana'!$C:$C,'12.326ana'!$M:$M,redes!A797)</f>
        <v>0</v>
      </c>
    </row>
    <row r="798" customFormat="false" ht="14.4" hidden="true" customHeight="false" outlineLevel="0" collapsed="false">
      <c r="A798" s="34" t="n">
        <v>4564095803</v>
      </c>
      <c r="B798" s="34" t="s">
        <v>4422</v>
      </c>
      <c r="C798" s="34" t="s">
        <v>89</v>
      </c>
      <c r="E798" s="30" t="s">
        <v>4423</v>
      </c>
      <c r="F798" s="34" t="n">
        <f aca="false">IFERROR(VLOOKUP($A798,'319'!$B:$H,7,0),0)</f>
        <v>0</v>
      </c>
      <c r="G798" s="34" t="n">
        <f aca="false">SUMIFS('12.326ana'!$C:$C,'12.326ana'!$M:$M,redes!A798)</f>
        <v>0</v>
      </c>
    </row>
    <row r="799" customFormat="false" ht="14.4" hidden="true" customHeight="false" outlineLevel="0" collapsed="false">
      <c r="A799" s="34" t="n">
        <v>4572257183</v>
      </c>
      <c r="B799" s="34" t="s">
        <v>4424</v>
      </c>
      <c r="C799" s="34" t="s">
        <v>77</v>
      </c>
      <c r="E799" s="30" t="s">
        <v>4425</v>
      </c>
      <c r="F799" s="34" t="n">
        <f aca="false">IFERROR(VLOOKUP($A799,'319'!$B:$H,7,0),0)</f>
        <v>0</v>
      </c>
      <c r="G799" s="34" t="n">
        <f aca="false">SUMIFS('12.326ana'!$C:$C,'12.326ana'!$M:$M,redes!A799)</f>
        <v>0</v>
      </c>
    </row>
    <row r="800" customFormat="false" ht="14.4" hidden="true" customHeight="false" outlineLevel="0" collapsed="false">
      <c r="A800" s="34" t="n">
        <v>4610919176</v>
      </c>
      <c r="B800" s="34" t="s">
        <v>4426</v>
      </c>
      <c r="C800" s="34" t="s">
        <v>103</v>
      </c>
      <c r="E800" s="30" t="s">
        <v>4427</v>
      </c>
      <c r="F800" s="34" t="n">
        <f aca="false">IFERROR(VLOOKUP($A800,'319'!$B:$H,7,0),0)</f>
        <v>0</v>
      </c>
      <c r="G800" s="34" t="n">
        <f aca="false">SUMIFS('12.326ana'!$C:$C,'12.326ana'!$M:$M,redes!A800)</f>
        <v>0</v>
      </c>
    </row>
    <row r="801" customFormat="false" ht="14.4" hidden="true" customHeight="false" outlineLevel="0" collapsed="false">
      <c r="A801" s="34" t="n">
        <v>4619104116</v>
      </c>
      <c r="B801" s="34" t="s">
        <v>4428</v>
      </c>
      <c r="C801" s="34" t="s">
        <v>107</v>
      </c>
      <c r="E801" s="30" t="s">
        <v>4429</v>
      </c>
      <c r="F801" s="34" t="n">
        <f aca="false">IFERROR(VLOOKUP($A801,'319'!$B:$H,7,0),0)</f>
        <v>0</v>
      </c>
      <c r="G801" s="34" t="n">
        <f aca="false">SUMIFS('12.326ana'!$C:$C,'12.326ana'!$M:$M,redes!A801)</f>
        <v>0</v>
      </c>
    </row>
    <row r="802" customFormat="false" ht="14.4" hidden="true" customHeight="false" outlineLevel="0" collapsed="false">
      <c r="A802" s="34" t="n">
        <v>4619504130</v>
      </c>
      <c r="B802" s="34" t="s">
        <v>4430</v>
      </c>
      <c r="C802" s="34" t="s">
        <v>598</v>
      </c>
      <c r="E802" s="30" t="s">
        <v>4431</v>
      </c>
      <c r="F802" s="34" t="n">
        <f aca="false">IFERROR(VLOOKUP($A802,'319'!$B:$H,7,0),0)</f>
        <v>0</v>
      </c>
      <c r="G802" s="34" t="n">
        <f aca="false">SUMIFS('12.326ana'!$C:$C,'12.326ana'!$M:$M,redes!A802)</f>
        <v>0</v>
      </c>
    </row>
    <row r="803" customFormat="false" ht="14.4" hidden="true" customHeight="false" outlineLevel="0" collapsed="false">
      <c r="A803" s="34" t="n">
        <v>4679062118</v>
      </c>
      <c r="B803" s="34" t="s">
        <v>4432</v>
      </c>
      <c r="C803" s="34" t="s">
        <v>77</v>
      </c>
      <c r="E803" s="30" t="s">
        <v>4433</v>
      </c>
      <c r="F803" s="34" t="n">
        <f aca="false">IFERROR(VLOOKUP($A803,'319'!$B:$H,7,0),0)</f>
        <v>0</v>
      </c>
      <c r="G803" s="34" t="n">
        <f aca="false">SUMIFS('12.326ana'!$C:$C,'12.326ana'!$M:$M,redes!A803)</f>
        <v>0</v>
      </c>
    </row>
    <row r="804" customFormat="false" ht="14.4" hidden="true" customHeight="false" outlineLevel="0" collapsed="false">
      <c r="A804" s="34" t="n">
        <v>4679762870</v>
      </c>
      <c r="B804" s="34" t="s">
        <v>4434</v>
      </c>
      <c r="C804" s="34" t="s">
        <v>77</v>
      </c>
      <c r="E804" s="30" t="s">
        <v>4435</v>
      </c>
      <c r="F804" s="34" t="n">
        <f aca="false">IFERROR(VLOOKUP($A804,'319'!$B:$H,7,0),0)</f>
        <v>0</v>
      </c>
      <c r="G804" s="34" t="n">
        <f aca="false">SUMIFS('12.326ana'!$C:$C,'12.326ana'!$M:$M,redes!A804)</f>
        <v>0</v>
      </c>
    </row>
    <row r="805" customFormat="false" ht="14.4" hidden="true" customHeight="false" outlineLevel="0" collapsed="false">
      <c r="A805" s="34" t="n">
        <v>4688008163</v>
      </c>
      <c r="B805" s="34" t="s">
        <v>4436</v>
      </c>
      <c r="C805" s="34" t="s">
        <v>77</v>
      </c>
      <c r="E805" s="30" t="s">
        <v>4437</v>
      </c>
      <c r="F805" s="34" t="n">
        <f aca="false">IFERROR(VLOOKUP($A805,'319'!$B:$H,7,0),0)</f>
        <v>0</v>
      </c>
      <c r="G805" s="34" t="n">
        <f aca="false">SUMIFS('12.326ana'!$C:$C,'12.326ana'!$M:$M,redes!A805)</f>
        <v>0</v>
      </c>
    </row>
    <row r="806" customFormat="false" ht="14.4" hidden="true" customHeight="false" outlineLevel="0" collapsed="false">
      <c r="A806" s="34" t="n">
        <v>4701388157</v>
      </c>
      <c r="B806" s="34" t="s">
        <v>4438</v>
      </c>
      <c r="C806" s="34" t="s">
        <v>77</v>
      </c>
      <c r="E806" s="30" t="s">
        <v>2912</v>
      </c>
      <c r="F806" s="34" t="n">
        <f aca="false">IFERROR(VLOOKUP($A806,'319'!$B:$H,7,0),0)</f>
        <v>0</v>
      </c>
      <c r="G806" s="34" t="n">
        <f aca="false">SUMIFS('12.326ana'!$C:$C,'12.326ana'!$M:$M,redes!A806)</f>
        <v>0</v>
      </c>
    </row>
    <row r="807" customFormat="false" ht="14.4" hidden="true" customHeight="false" outlineLevel="0" collapsed="false">
      <c r="A807" s="34" t="n">
        <v>4733221100</v>
      </c>
      <c r="B807" s="34" t="s">
        <v>4439</v>
      </c>
      <c r="C807" s="34" t="s">
        <v>77</v>
      </c>
      <c r="E807" s="30" t="s">
        <v>4439</v>
      </c>
      <c r="F807" s="34" t="n">
        <f aca="false">IFERROR(VLOOKUP($A807,'319'!$B:$H,7,0),0)</f>
        <v>0</v>
      </c>
      <c r="G807" s="34" t="n">
        <f aca="false">SUMIFS('12.326ana'!$C:$C,'12.326ana'!$M:$M,redes!A807)</f>
        <v>0</v>
      </c>
    </row>
    <row r="808" customFormat="false" ht="14.4" hidden="true" customHeight="false" outlineLevel="0" collapsed="false">
      <c r="A808" s="34" t="n">
        <v>4778334116</v>
      </c>
      <c r="B808" s="34" t="s">
        <v>4440</v>
      </c>
      <c r="C808" s="34" t="s">
        <v>107</v>
      </c>
      <c r="E808" s="30" t="s">
        <v>4441</v>
      </c>
      <c r="F808" s="34" t="n">
        <f aca="false">IFERROR(VLOOKUP($A808,'319'!$B:$H,7,0),0)</f>
        <v>0</v>
      </c>
      <c r="G808" s="34" t="n">
        <f aca="false">SUMIFS('12.326ana'!$C:$C,'12.326ana'!$M:$M,redes!A808)</f>
        <v>0</v>
      </c>
    </row>
    <row r="809" customFormat="false" ht="14.4" hidden="true" customHeight="false" outlineLevel="0" collapsed="false">
      <c r="A809" s="34" t="n">
        <v>4783538123</v>
      </c>
      <c r="B809" s="34" t="s">
        <v>4442</v>
      </c>
      <c r="C809" s="34" t="s">
        <v>77</v>
      </c>
      <c r="E809" s="30" t="s">
        <v>4443</v>
      </c>
      <c r="F809" s="34" t="n">
        <f aca="false">IFERROR(VLOOKUP($A809,'319'!$B:$H,7,0),0)</f>
        <v>0</v>
      </c>
      <c r="G809" s="34" t="n">
        <f aca="false">SUMIFS('12.326ana'!$C:$C,'12.326ana'!$M:$M,redes!A809)</f>
        <v>0</v>
      </c>
    </row>
    <row r="810" customFormat="false" ht="14.4" hidden="true" customHeight="false" outlineLevel="0" collapsed="false">
      <c r="A810" s="34" t="n">
        <v>4792514959</v>
      </c>
      <c r="B810" s="34" t="s">
        <v>4444</v>
      </c>
      <c r="C810" s="34" t="s">
        <v>103</v>
      </c>
      <c r="E810" s="30" t="s">
        <v>4445</v>
      </c>
      <c r="F810" s="34" t="n">
        <f aca="false">IFERROR(VLOOKUP($A810,'319'!$B:$H,7,0),0)</f>
        <v>0</v>
      </c>
      <c r="G810" s="34" t="n">
        <f aca="false">SUMIFS('12.326ana'!$C:$C,'12.326ana'!$M:$M,redes!A810)</f>
        <v>0</v>
      </c>
    </row>
    <row r="811" customFormat="false" ht="14.4" hidden="true" customHeight="false" outlineLevel="0" collapsed="false">
      <c r="A811" s="34" t="n">
        <v>4811615115</v>
      </c>
      <c r="B811" s="34" t="s">
        <v>4446</v>
      </c>
      <c r="C811" s="34" t="s">
        <v>77</v>
      </c>
      <c r="E811" s="30" t="s">
        <v>4447</v>
      </c>
      <c r="F811" s="34" t="n">
        <f aca="false">IFERROR(VLOOKUP($A811,'319'!$B:$H,7,0),0)</f>
        <v>0</v>
      </c>
      <c r="G811" s="34" t="n">
        <f aca="false">SUMIFS('12.326ana'!$C:$C,'12.326ana'!$M:$M,redes!A811)</f>
        <v>0</v>
      </c>
    </row>
    <row r="812" customFormat="false" ht="14.4" hidden="true" customHeight="false" outlineLevel="0" collapsed="false">
      <c r="A812" s="34" t="n">
        <v>4814312172</v>
      </c>
      <c r="B812" s="34" t="s">
        <v>4448</v>
      </c>
      <c r="C812" s="34" t="s">
        <v>107</v>
      </c>
      <c r="E812" s="30" t="s">
        <v>4449</v>
      </c>
      <c r="F812" s="34" t="n">
        <f aca="false">IFERROR(VLOOKUP($A812,'319'!$B:$H,7,0),0)</f>
        <v>0</v>
      </c>
      <c r="G812" s="34" t="n">
        <f aca="false">SUMIFS('12.326ana'!$C:$C,'12.326ana'!$M:$M,redes!A812)</f>
        <v>0</v>
      </c>
    </row>
    <row r="813" customFormat="false" ht="14.4" hidden="true" customHeight="false" outlineLevel="0" collapsed="false">
      <c r="A813" s="34" t="n">
        <v>4815643814</v>
      </c>
      <c r="B813" s="34" t="s">
        <v>4450</v>
      </c>
      <c r="C813" s="34" t="s">
        <v>77</v>
      </c>
      <c r="E813" s="30" t="s">
        <v>4451</v>
      </c>
      <c r="F813" s="34" t="n">
        <f aca="false">IFERROR(VLOOKUP($A813,'319'!$B:$H,7,0),0)</f>
        <v>0</v>
      </c>
      <c r="G813" s="34" t="n">
        <f aca="false">SUMIFS('12.326ana'!$C:$C,'12.326ana'!$M:$M,redes!A813)</f>
        <v>0</v>
      </c>
    </row>
    <row r="814" customFormat="false" ht="14.4" hidden="true" customHeight="false" outlineLevel="0" collapsed="false">
      <c r="A814" s="34" t="n">
        <v>4817737115</v>
      </c>
      <c r="B814" s="34" t="s">
        <v>4452</v>
      </c>
      <c r="C814" s="34" t="s">
        <v>848</v>
      </c>
      <c r="E814" s="30" t="s">
        <v>4453</v>
      </c>
      <c r="F814" s="34" t="n">
        <f aca="false">IFERROR(VLOOKUP($A814,'319'!$B:$H,7,0),0)</f>
        <v>0</v>
      </c>
      <c r="G814" s="34" t="n">
        <f aca="false">SUMIFS('12.326ana'!$C:$C,'12.326ana'!$M:$M,redes!A814)</f>
        <v>0</v>
      </c>
    </row>
    <row r="815" customFormat="false" ht="14.4" hidden="true" customHeight="false" outlineLevel="0" collapsed="false">
      <c r="A815" s="34" t="n">
        <v>4844726153</v>
      </c>
      <c r="B815" s="34" t="s">
        <v>4454</v>
      </c>
      <c r="C815" s="34" t="s">
        <v>77</v>
      </c>
      <c r="E815" s="30" t="s">
        <v>3206</v>
      </c>
      <c r="F815" s="34" t="n">
        <f aca="false">IFERROR(VLOOKUP($A815,'319'!$B:$H,7,0),0)</f>
        <v>0</v>
      </c>
      <c r="G815" s="34" t="n">
        <f aca="false">SUMIFS('12.326ana'!$C:$C,'12.326ana'!$M:$M,redes!A815)</f>
        <v>0</v>
      </c>
    </row>
    <row r="816" customFormat="false" ht="14.4" hidden="true" customHeight="false" outlineLevel="0" collapsed="false">
      <c r="A816" s="34" t="n">
        <v>4859091116</v>
      </c>
      <c r="B816" s="34" t="s">
        <v>4455</v>
      </c>
      <c r="C816" s="34" t="s">
        <v>77</v>
      </c>
      <c r="E816" s="30" t="s">
        <v>4456</v>
      </c>
      <c r="F816" s="34" t="n">
        <f aca="false">IFERROR(VLOOKUP($A816,'319'!$B:$H,7,0),0)</f>
        <v>0</v>
      </c>
      <c r="G816" s="34" t="n">
        <f aca="false">SUMIFS('12.326ana'!$C:$C,'12.326ana'!$M:$M,redes!A816)</f>
        <v>0</v>
      </c>
    </row>
    <row r="817" customFormat="false" ht="14.4" hidden="true" customHeight="false" outlineLevel="0" collapsed="false">
      <c r="A817" s="34" t="n">
        <v>4862850902</v>
      </c>
      <c r="B817" s="34" t="s">
        <v>4457</v>
      </c>
      <c r="C817" s="34" t="s">
        <v>77</v>
      </c>
      <c r="E817" s="30" t="s">
        <v>4458</v>
      </c>
      <c r="F817" s="34" t="n">
        <f aca="false">IFERROR(VLOOKUP($A817,'319'!$B:$H,7,0),0)</f>
        <v>0</v>
      </c>
      <c r="G817" s="34" t="n">
        <f aca="false">SUMIFS('12.326ana'!$C:$C,'12.326ana'!$M:$M,redes!A817)</f>
        <v>0</v>
      </c>
    </row>
    <row r="818" customFormat="false" ht="14.4" hidden="true" customHeight="false" outlineLevel="0" collapsed="false">
      <c r="A818" s="34" t="n">
        <v>4870098199</v>
      </c>
      <c r="B818" s="34" t="s">
        <v>4459</v>
      </c>
      <c r="C818" s="34" t="s">
        <v>77</v>
      </c>
      <c r="E818" s="30" t="s">
        <v>3066</v>
      </c>
      <c r="F818" s="34" t="n">
        <f aca="false">IFERROR(VLOOKUP($A818,'319'!$B:$H,7,0),0)</f>
        <v>0</v>
      </c>
      <c r="G818" s="34" t="n">
        <f aca="false">SUMIFS('12.326ana'!$C:$C,'12.326ana'!$M:$M,redes!A818)</f>
        <v>0</v>
      </c>
    </row>
    <row r="819" customFormat="false" ht="14.4" hidden="true" customHeight="false" outlineLevel="0" collapsed="false">
      <c r="A819" s="34" t="n">
        <v>4872935179</v>
      </c>
      <c r="B819" s="34" t="s">
        <v>4460</v>
      </c>
      <c r="C819" s="34" t="s">
        <v>77</v>
      </c>
      <c r="E819" s="30" t="s">
        <v>4460</v>
      </c>
      <c r="F819" s="34" t="n">
        <f aca="false">IFERROR(VLOOKUP($A819,'319'!$B:$H,7,0),0)</f>
        <v>0</v>
      </c>
      <c r="G819" s="34" t="n">
        <f aca="false">SUMIFS('12.326ana'!$C:$C,'12.326ana'!$M:$M,redes!A819)</f>
        <v>0</v>
      </c>
    </row>
    <row r="820" customFormat="false" ht="14.4" hidden="true" customHeight="false" outlineLevel="0" collapsed="false">
      <c r="A820" s="34" t="n">
        <v>4877430164</v>
      </c>
      <c r="B820" s="34" t="s">
        <v>4461</v>
      </c>
      <c r="C820" s="34" t="s">
        <v>4462</v>
      </c>
      <c r="E820" s="30"/>
      <c r="F820" s="34" t="n">
        <f aca="false">IFERROR(VLOOKUP($A820,'319'!$B:$H,7,0),0)</f>
        <v>0</v>
      </c>
      <c r="G820" s="34" t="n">
        <f aca="false">SUMIFS('12.326ana'!$C:$C,'12.326ana'!$M:$M,redes!A820)</f>
        <v>0</v>
      </c>
    </row>
    <row r="821" customFormat="false" ht="14.4" hidden="true" customHeight="false" outlineLevel="0" collapsed="false">
      <c r="A821" s="34" t="n">
        <v>4883940403</v>
      </c>
      <c r="B821" s="34" t="s">
        <v>4463</v>
      </c>
      <c r="C821" s="34" t="s">
        <v>77</v>
      </c>
      <c r="E821" s="30" t="s">
        <v>4464</v>
      </c>
      <c r="F821" s="34" t="n">
        <f aca="false">IFERROR(VLOOKUP($A821,'319'!$B:$H,7,0),0)</f>
        <v>0</v>
      </c>
      <c r="G821" s="34" t="n">
        <f aca="false">SUMIFS('12.326ana'!$C:$C,'12.326ana'!$M:$M,redes!A821)</f>
        <v>0</v>
      </c>
    </row>
    <row r="822" customFormat="false" ht="14.4" hidden="true" customHeight="false" outlineLevel="0" collapsed="false">
      <c r="A822" s="34" t="n">
        <v>4893492187</v>
      </c>
      <c r="B822" s="34" t="s">
        <v>4465</v>
      </c>
      <c r="C822" s="34" t="s">
        <v>77</v>
      </c>
      <c r="E822" s="30" t="s">
        <v>4466</v>
      </c>
      <c r="F822" s="34" t="n">
        <f aca="false">IFERROR(VLOOKUP($A822,'319'!$B:$H,7,0),0)</f>
        <v>0</v>
      </c>
      <c r="G822" s="34" t="n">
        <f aca="false">SUMIFS('12.326ana'!$C:$C,'12.326ana'!$M:$M,redes!A822)</f>
        <v>0</v>
      </c>
    </row>
    <row r="823" customFormat="false" ht="14.4" hidden="true" customHeight="false" outlineLevel="0" collapsed="false">
      <c r="A823" s="34" t="n">
        <v>4916374118</v>
      </c>
      <c r="B823" s="34" t="s">
        <v>4467</v>
      </c>
      <c r="C823" s="34" t="s">
        <v>77</v>
      </c>
      <c r="E823" s="30" t="s">
        <v>4468</v>
      </c>
      <c r="F823" s="34" t="n">
        <f aca="false">IFERROR(VLOOKUP($A823,'319'!$B:$H,7,0),0)</f>
        <v>0</v>
      </c>
      <c r="G823" s="34" t="n">
        <f aca="false">SUMIFS('12.326ana'!$C:$C,'12.326ana'!$M:$M,redes!A823)</f>
        <v>0</v>
      </c>
    </row>
    <row r="824" customFormat="false" ht="14.4" hidden="true" customHeight="false" outlineLevel="0" collapsed="false">
      <c r="A824" s="34" t="n">
        <v>4923637145</v>
      </c>
      <c r="B824" s="34" t="s">
        <v>4469</v>
      </c>
      <c r="C824" s="34" t="s">
        <v>77</v>
      </c>
      <c r="E824" s="30" t="s">
        <v>4469</v>
      </c>
      <c r="F824" s="34" t="n">
        <f aca="false">IFERROR(VLOOKUP($A824,'319'!$B:$H,7,0),0)</f>
        <v>0</v>
      </c>
      <c r="G824" s="34" t="n">
        <f aca="false">SUMIFS('12.326ana'!$C:$C,'12.326ana'!$M:$M,redes!A824)</f>
        <v>0</v>
      </c>
    </row>
    <row r="825" customFormat="false" ht="14.4" hidden="true" customHeight="false" outlineLevel="0" collapsed="false">
      <c r="A825" s="34" t="n">
        <v>4927327876</v>
      </c>
      <c r="B825" s="34" t="s">
        <v>4470</v>
      </c>
      <c r="C825" s="34" t="s">
        <v>77</v>
      </c>
      <c r="E825" s="30"/>
      <c r="F825" s="34" t="n">
        <f aca="false">IFERROR(VLOOKUP($A825,'319'!$B:$H,7,0),0)</f>
        <v>0</v>
      </c>
      <c r="G825" s="34" t="n">
        <f aca="false">SUMIFS('12.326ana'!$C:$C,'12.326ana'!$M:$M,redes!A825)</f>
        <v>0</v>
      </c>
    </row>
    <row r="826" customFormat="false" ht="14.4" hidden="true" customHeight="false" outlineLevel="0" collapsed="false">
      <c r="A826" s="34" t="n">
        <v>4929413192</v>
      </c>
      <c r="B826" s="34" t="s">
        <v>4471</v>
      </c>
      <c r="C826" s="34" t="s">
        <v>77</v>
      </c>
      <c r="E826" s="30"/>
      <c r="F826" s="34" t="n">
        <f aca="false">IFERROR(VLOOKUP($A826,'319'!$B:$H,7,0),0)</f>
        <v>0</v>
      </c>
      <c r="G826" s="34" t="n">
        <f aca="false">SUMIFS('12.326ana'!$C:$C,'12.326ana'!$M:$M,redes!A826)</f>
        <v>0</v>
      </c>
    </row>
    <row r="827" customFormat="false" ht="14.4" hidden="true" customHeight="false" outlineLevel="0" collapsed="false">
      <c r="A827" s="34" t="n">
        <v>4958782869</v>
      </c>
      <c r="B827" s="34" t="s">
        <v>4472</v>
      </c>
      <c r="C827" s="34" t="s">
        <v>342</v>
      </c>
      <c r="E827" s="30" t="s">
        <v>4473</v>
      </c>
      <c r="F827" s="34" t="n">
        <f aca="false">IFERROR(VLOOKUP($A827,'319'!$B:$H,7,0),0)</f>
        <v>0</v>
      </c>
      <c r="G827" s="34" t="n">
        <f aca="false">SUMIFS('12.326ana'!$C:$C,'12.326ana'!$M:$M,redes!A827)</f>
        <v>0</v>
      </c>
    </row>
    <row r="828" customFormat="false" ht="14.4" hidden="true" customHeight="false" outlineLevel="0" collapsed="false">
      <c r="A828" s="34" t="n">
        <v>4976076970</v>
      </c>
      <c r="B828" s="34" t="s">
        <v>4474</v>
      </c>
      <c r="C828" s="34" t="s">
        <v>594</v>
      </c>
      <c r="E828" s="30" t="s">
        <v>4475</v>
      </c>
      <c r="F828" s="34" t="n">
        <f aca="false">IFERROR(VLOOKUP($A828,'319'!$B:$H,7,0),0)</f>
        <v>0</v>
      </c>
      <c r="G828" s="34" t="n">
        <f aca="false">SUMIFS('12.326ana'!$C:$C,'12.326ana'!$M:$M,redes!A828)</f>
        <v>0</v>
      </c>
    </row>
    <row r="829" customFormat="false" ht="14.4" hidden="true" customHeight="false" outlineLevel="0" collapsed="false">
      <c r="A829" s="34" t="n">
        <v>4982585130</v>
      </c>
      <c r="B829" s="34" t="s">
        <v>4476</v>
      </c>
      <c r="C829" s="34" t="s">
        <v>77</v>
      </c>
      <c r="E829" s="30" t="s">
        <v>4477</v>
      </c>
      <c r="F829" s="34" t="n">
        <f aca="false">IFERROR(VLOOKUP($A829,'319'!$B:$H,7,0),0)</f>
        <v>0</v>
      </c>
      <c r="G829" s="34" t="n">
        <f aca="false">SUMIFS('12.326ana'!$C:$C,'12.326ana'!$M:$M,redes!A829)</f>
        <v>0</v>
      </c>
    </row>
    <row r="830" customFormat="false" ht="14.4" hidden="true" customHeight="false" outlineLevel="0" collapsed="false">
      <c r="A830" s="34" t="n">
        <v>4986925156</v>
      </c>
      <c r="B830" s="34" t="s">
        <v>4478</v>
      </c>
      <c r="C830" s="34" t="s">
        <v>77</v>
      </c>
      <c r="E830" s="30" t="s">
        <v>4479</v>
      </c>
      <c r="F830" s="34" t="n">
        <f aca="false">IFERROR(VLOOKUP($A830,'319'!$B:$H,7,0),0)</f>
        <v>0</v>
      </c>
      <c r="G830" s="34" t="n">
        <f aca="false">SUMIFS('12.326ana'!$C:$C,'12.326ana'!$M:$M,redes!A830)</f>
        <v>0</v>
      </c>
    </row>
    <row r="831" customFormat="false" ht="14.4" hidden="true" customHeight="false" outlineLevel="0" collapsed="false">
      <c r="A831" s="34" t="n">
        <v>5015248946</v>
      </c>
      <c r="B831" s="34" t="s">
        <v>4480</v>
      </c>
      <c r="C831" s="34" t="s">
        <v>309</v>
      </c>
      <c r="E831" s="30" t="s">
        <v>4481</v>
      </c>
      <c r="F831" s="34" t="n">
        <f aca="false">IFERROR(VLOOKUP($A831,'319'!$B:$H,7,0),0)</f>
        <v>0</v>
      </c>
      <c r="G831" s="34" t="n">
        <f aca="false">SUMIFS('12.326ana'!$C:$C,'12.326ana'!$M:$M,redes!A831)</f>
        <v>0</v>
      </c>
    </row>
    <row r="832" customFormat="false" ht="14.4" hidden="true" customHeight="false" outlineLevel="0" collapsed="false">
      <c r="A832" s="34" t="n">
        <v>5016570370</v>
      </c>
      <c r="B832" s="34" t="s">
        <v>4482</v>
      </c>
      <c r="C832" s="34" t="s">
        <v>77</v>
      </c>
      <c r="E832" s="30" t="s">
        <v>4483</v>
      </c>
      <c r="F832" s="34" t="n">
        <f aca="false">IFERROR(VLOOKUP($A832,'319'!$B:$H,7,0),0)</f>
        <v>0</v>
      </c>
      <c r="G832" s="34" t="n">
        <f aca="false">SUMIFS('12.326ana'!$C:$C,'12.326ana'!$M:$M,redes!A832)</f>
        <v>0</v>
      </c>
    </row>
    <row r="833" customFormat="false" ht="14.4" hidden="true" customHeight="false" outlineLevel="0" collapsed="false">
      <c r="A833" s="34" t="n">
        <v>5025878810</v>
      </c>
      <c r="B833" s="34" t="s">
        <v>4484</v>
      </c>
      <c r="C833" s="34" t="s">
        <v>77</v>
      </c>
      <c r="E833" s="30" t="s">
        <v>4485</v>
      </c>
      <c r="F833" s="34" t="n">
        <f aca="false">IFERROR(VLOOKUP($A833,'319'!$B:$H,7,0),0)</f>
        <v>0</v>
      </c>
      <c r="G833" s="34" t="n">
        <f aca="false">SUMIFS('12.326ana'!$C:$C,'12.326ana'!$M:$M,redes!A833)</f>
        <v>0</v>
      </c>
    </row>
    <row r="834" customFormat="false" ht="14.4" hidden="true" customHeight="false" outlineLevel="0" collapsed="false">
      <c r="A834" s="34" t="n">
        <v>5042650164</v>
      </c>
      <c r="B834" s="34" t="s">
        <v>4486</v>
      </c>
      <c r="C834" s="34" t="s">
        <v>77</v>
      </c>
      <c r="E834" s="30" t="s">
        <v>4487</v>
      </c>
      <c r="F834" s="34" t="n">
        <f aca="false">IFERROR(VLOOKUP($A834,'319'!$B:$H,7,0),0)</f>
        <v>0</v>
      </c>
      <c r="G834" s="34" t="n">
        <f aca="false">SUMIFS('12.326ana'!$C:$C,'12.326ana'!$M:$M,redes!A834)</f>
        <v>0</v>
      </c>
    </row>
    <row r="835" customFormat="false" ht="14.4" hidden="true" customHeight="false" outlineLevel="0" collapsed="false">
      <c r="A835" s="34" t="n">
        <v>5067903120</v>
      </c>
      <c r="B835" s="34" t="s">
        <v>4488</v>
      </c>
      <c r="C835" s="34" t="s">
        <v>107</v>
      </c>
      <c r="E835" s="30" t="s">
        <v>3922</v>
      </c>
      <c r="F835" s="34" t="n">
        <f aca="false">IFERROR(VLOOKUP($A835,'319'!$B:$H,7,0),0)</f>
        <v>0</v>
      </c>
      <c r="G835" s="34" t="n">
        <f aca="false">SUMIFS('12.326ana'!$C:$C,'12.326ana'!$M:$M,redes!A835)</f>
        <v>0</v>
      </c>
    </row>
    <row r="836" customFormat="false" ht="14.4" hidden="true" customHeight="false" outlineLevel="0" collapsed="false">
      <c r="A836" s="34" t="n">
        <v>5068978930</v>
      </c>
      <c r="B836" s="34" t="s">
        <v>4489</v>
      </c>
      <c r="C836" s="34" t="s">
        <v>764</v>
      </c>
      <c r="E836" s="30" t="s">
        <v>4490</v>
      </c>
      <c r="F836" s="34" t="n">
        <f aca="false">IFERROR(VLOOKUP($A836,'319'!$B:$H,7,0),0)</f>
        <v>0</v>
      </c>
      <c r="G836" s="34" t="n">
        <f aca="false">SUMIFS('12.326ana'!$C:$C,'12.326ana'!$M:$M,redes!A836)</f>
        <v>0</v>
      </c>
    </row>
    <row r="837" customFormat="false" ht="14.4" hidden="true" customHeight="false" outlineLevel="0" collapsed="false">
      <c r="A837" s="34" t="n">
        <v>5075555896</v>
      </c>
      <c r="B837" s="34" t="s">
        <v>4491</v>
      </c>
      <c r="C837" s="34" t="s">
        <v>77</v>
      </c>
      <c r="E837" s="30" t="s">
        <v>4492</v>
      </c>
      <c r="F837" s="34" t="n">
        <f aca="false">IFERROR(VLOOKUP($A837,'319'!$B:$H,7,0),0)</f>
        <v>0</v>
      </c>
      <c r="G837" s="34" t="n">
        <f aca="false">SUMIFS('12.326ana'!$C:$C,'12.326ana'!$M:$M,redes!A837)</f>
        <v>0</v>
      </c>
    </row>
    <row r="838" customFormat="false" ht="14.4" hidden="true" customHeight="false" outlineLevel="0" collapsed="false">
      <c r="A838" s="34" t="n">
        <v>5097657187</v>
      </c>
      <c r="B838" s="34" t="s">
        <v>4493</v>
      </c>
      <c r="C838" s="34" t="s">
        <v>77</v>
      </c>
      <c r="E838" s="30" t="s">
        <v>3632</v>
      </c>
      <c r="F838" s="34" t="n">
        <f aca="false">IFERROR(VLOOKUP($A838,'319'!$B:$H,7,0),0)</f>
        <v>0</v>
      </c>
      <c r="G838" s="34" t="n">
        <f aca="false">SUMIFS('12.326ana'!$C:$C,'12.326ana'!$M:$M,redes!A838)</f>
        <v>0</v>
      </c>
    </row>
    <row r="839" customFormat="false" ht="14.4" hidden="true" customHeight="false" outlineLevel="0" collapsed="false">
      <c r="A839" s="34" t="n">
        <v>5099278159</v>
      </c>
      <c r="B839" s="34" t="s">
        <v>4494</v>
      </c>
      <c r="C839" s="34" t="s">
        <v>77</v>
      </c>
      <c r="E839" s="30" t="s">
        <v>4495</v>
      </c>
      <c r="F839" s="34" t="n">
        <f aca="false">IFERROR(VLOOKUP($A839,'319'!$B:$H,7,0),0)</f>
        <v>0</v>
      </c>
      <c r="G839" s="34" t="n">
        <f aca="false">SUMIFS('12.326ana'!$C:$C,'12.326ana'!$M:$M,redes!A839)</f>
        <v>0</v>
      </c>
    </row>
    <row r="840" customFormat="false" ht="14.4" hidden="true" customHeight="false" outlineLevel="0" collapsed="false">
      <c r="A840" s="34" t="n">
        <v>5101312983</v>
      </c>
      <c r="B840" s="34" t="s">
        <v>4496</v>
      </c>
      <c r="C840" s="34" t="s">
        <v>77</v>
      </c>
      <c r="E840" s="30" t="s">
        <v>4497</v>
      </c>
      <c r="F840" s="34" t="n">
        <f aca="false">IFERROR(VLOOKUP($A840,'319'!$B:$H,7,0),0)</f>
        <v>0</v>
      </c>
      <c r="G840" s="34" t="n">
        <f aca="false">SUMIFS('12.326ana'!$C:$C,'12.326ana'!$M:$M,redes!A840)</f>
        <v>0</v>
      </c>
    </row>
    <row r="841" customFormat="false" ht="14.4" hidden="true" customHeight="false" outlineLevel="0" collapsed="false">
      <c r="A841" s="34" t="n">
        <v>5110418020</v>
      </c>
      <c r="B841" s="34" t="s">
        <v>4498</v>
      </c>
      <c r="C841" s="34" t="s">
        <v>77</v>
      </c>
      <c r="E841" s="30" t="s">
        <v>4499</v>
      </c>
      <c r="F841" s="34" t="n">
        <f aca="false">IFERROR(VLOOKUP($A841,'319'!$B:$H,7,0),0)</f>
        <v>0</v>
      </c>
      <c r="G841" s="34" t="n">
        <f aca="false">SUMIFS('12.326ana'!$C:$C,'12.326ana'!$M:$M,redes!A841)</f>
        <v>0</v>
      </c>
    </row>
    <row r="842" customFormat="false" ht="14.4" hidden="true" customHeight="false" outlineLevel="0" collapsed="false">
      <c r="A842" s="34" t="n">
        <v>5130392108</v>
      </c>
      <c r="B842" s="34" t="s">
        <v>4500</v>
      </c>
      <c r="C842" s="34" t="s">
        <v>1602</v>
      </c>
      <c r="E842" s="30"/>
      <c r="F842" s="34" t="n">
        <f aca="false">IFERROR(VLOOKUP($A842,'319'!$B:$H,7,0),0)</f>
        <v>0</v>
      </c>
      <c r="G842" s="34" t="n">
        <f aca="false">SUMIFS('12.326ana'!$C:$C,'12.326ana'!$M:$M,redes!A842)</f>
        <v>0</v>
      </c>
    </row>
    <row r="843" customFormat="false" ht="14.4" hidden="true" customHeight="false" outlineLevel="0" collapsed="false">
      <c r="A843" s="34" t="n">
        <v>5140129191</v>
      </c>
      <c r="B843" s="34" t="s">
        <v>4501</v>
      </c>
      <c r="C843" s="34" t="s">
        <v>77</v>
      </c>
      <c r="E843" s="30" t="s">
        <v>4502</v>
      </c>
      <c r="F843" s="34" t="n">
        <f aca="false">IFERROR(VLOOKUP($A843,'319'!$B:$H,7,0),0)</f>
        <v>0</v>
      </c>
      <c r="G843" s="34" t="n">
        <f aca="false">SUMIFS('12.326ana'!$C:$C,'12.326ana'!$M:$M,redes!A843)</f>
        <v>0</v>
      </c>
    </row>
    <row r="844" customFormat="false" ht="14.4" hidden="true" customHeight="false" outlineLevel="0" collapsed="false">
      <c r="A844" s="34" t="n">
        <v>5141451100</v>
      </c>
      <c r="B844" s="34" t="s">
        <v>4503</v>
      </c>
      <c r="C844" s="34" t="s">
        <v>77</v>
      </c>
      <c r="E844" s="30" t="s">
        <v>4504</v>
      </c>
      <c r="F844" s="34" t="n">
        <f aca="false">IFERROR(VLOOKUP($A844,'319'!$B:$H,7,0),0)</f>
        <v>0</v>
      </c>
      <c r="G844" s="34" t="n">
        <f aca="false">SUMIFS('12.326ana'!$C:$C,'12.326ana'!$M:$M,redes!A844)</f>
        <v>0</v>
      </c>
    </row>
    <row r="845" customFormat="false" ht="14.4" hidden="true" customHeight="false" outlineLevel="0" collapsed="false">
      <c r="A845" s="34" t="n">
        <v>5146461104</v>
      </c>
      <c r="B845" s="34" t="s">
        <v>4505</v>
      </c>
      <c r="C845" s="34" t="s">
        <v>77</v>
      </c>
      <c r="E845" s="30" t="s">
        <v>4506</v>
      </c>
      <c r="F845" s="34" t="n">
        <f aca="false">IFERROR(VLOOKUP($A845,'319'!$B:$H,7,0),0)</f>
        <v>0</v>
      </c>
      <c r="G845" s="34" t="n">
        <f aca="false">SUMIFS('12.326ana'!$C:$C,'12.326ana'!$M:$M,redes!A845)</f>
        <v>0</v>
      </c>
    </row>
    <row r="846" customFormat="false" ht="14.4" hidden="true" customHeight="false" outlineLevel="0" collapsed="false">
      <c r="A846" s="34" t="n">
        <v>5151740172</v>
      </c>
      <c r="B846" s="34" t="s">
        <v>4507</v>
      </c>
      <c r="C846" s="34" t="s">
        <v>77</v>
      </c>
      <c r="E846" s="30" t="s">
        <v>3084</v>
      </c>
      <c r="F846" s="34" t="n">
        <f aca="false">IFERROR(VLOOKUP($A846,'319'!$B:$H,7,0),0)</f>
        <v>0</v>
      </c>
      <c r="G846" s="34" t="n">
        <f aca="false">SUMIFS('12.326ana'!$C:$C,'12.326ana'!$M:$M,redes!A846)</f>
        <v>0</v>
      </c>
    </row>
    <row r="847" customFormat="false" ht="14.4" hidden="true" customHeight="false" outlineLevel="0" collapsed="false">
      <c r="A847" s="34" t="n">
        <v>5155487153</v>
      </c>
      <c r="B847" s="34" t="s">
        <v>4508</v>
      </c>
      <c r="C847" s="34" t="s">
        <v>77</v>
      </c>
      <c r="E847" s="30" t="s">
        <v>4509</v>
      </c>
      <c r="F847" s="34" t="n">
        <f aca="false">IFERROR(VLOOKUP($A847,'319'!$B:$H,7,0),0)</f>
        <v>0</v>
      </c>
      <c r="G847" s="34" t="n">
        <f aca="false">SUMIFS('12.326ana'!$C:$C,'12.326ana'!$M:$M,redes!A847)</f>
        <v>0</v>
      </c>
    </row>
    <row r="848" customFormat="false" ht="14.4" hidden="true" customHeight="false" outlineLevel="0" collapsed="false">
      <c r="A848" s="34" t="n">
        <v>5159157697</v>
      </c>
      <c r="B848" s="34" t="s">
        <v>4510</v>
      </c>
      <c r="C848" s="34" t="s">
        <v>594</v>
      </c>
      <c r="E848" s="30" t="s">
        <v>4511</v>
      </c>
      <c r="F848" s="34" t="n">
        <f aca="false">IFERROR(VLOOKUP($A848,'319'!$B:$H,7,0),0)</f>
        <v>0</v>
      </c>
      <c r="G848" s="34" t="n">
        <f aca="false">SUMIFS('12.326ana'!$C:$C,'12.326ana'!$M:$M,redes!A848)</f>
        <v>0</v>
      </c>
    </row>
    <row r="849" customFormat="false" ht="14.4" hidden="true" customHeight="false" outlineLevel="0" collapsed="false">
      <c r="A849" s="34" t="n">
        <v>5179063175</v>
      </c>
      <c r="B849" s="34" t="s">
        <v>4512</v>
      </c>
      <c r="C849" s="34" t="s">
        <v>77</v>
      </c>
      <c r="E849" s="30" t="s">
        <v>4513</v>
      </c>
      <c r="F849" s="34" t="n">
        <f aca="false">IFERROR(VLOOKUP($A849,'319'!$B:$H,7,0),0)</f>
        <v>0</v>
      </c>
      <c r="G849" s="34" t="n">
        <f aca="false">SUMIFS('12.326ana'!$C:$C,'12.326ana'!$M:$M,redes!A849)</f>
        <v>0</v>
      </c>
    </row>
    <row r="850" customFormat="false" ht="14.4" hidden="true" customHeight="false" outlineLevel="0" collapsed="false">
      <c r="A850" s="34" t="n">
        <v>5226188803</v>
      </c>
      <c r="B850" s="34" t="s">
        <v>4514</v>
      </c>
      <c r="C850" s="34" t="s">
        <v>77</v>
      </c>
      <c r="E850" s="30" t="s">
        <v>4515</v>
      </c>
      <c r="F850" s="34" t="n">
        <f aca="false">IFERROR(VLOOKUP($A850,'319'!$B:$H,7,0),0)</f>
        <v>0</v>
      </c>
      <c r="G850" s="34" t="n">
        <f aca="false">SUMIFS('12.326ana'!$C:$C,'12.326ana'!$M:$M,redes!A850)</f>
        <v>0</v>
      </c>
    </row>
    <row r="851" customFormat="false" ht="14.4" hidden="true" customHeight="false" outlineLevel="0" collapsed="false">
      <c r="A851" s="34" t="n">
        <v>5285799910</v>
      </c>
      <c r="B851" s="34" t="s">
        <v>4516</v>
      </c>
      <c r="C851" s="34" t="s">
        <v>1591</v>
      </c>
      <c r="E851" s="30" t="s">
        <v>4517</v>
      </c>
      <c r="F851" s="34" t="n">
        <f aca="false">IFERROR(VLOOKUP($A851,'319'!$B:$H,7,0),0)</f>
        <v>0</v>
      </c>
      <c r="G851" s="34" t="n">
        <f aca="false">SUMIFS('12.326ana'!$C:$C,'12.326ana'!$M:$M,redes!A851)</f>
        <v>0</v>
      </c>
    </row>
    <row r="852" customFormat="false" ht="14.4" hidden="true" customHeight="false" outlineLevel="0" collapsed="false">
      <c r="A852" s="34" t="n">
        <v>5286480802</v>
      </c>
      <c r="B852" s="34" t="s">
        <v>4518</v>
      </c>
      <c r="C852" s="34" t="s">
        <v>77</v>
      </c>
      <c r="E852" s="30" t="s">
        <v>4519</v>
      </c>
      <c r="F852" s="34" t="n">
        <f aca="false">IFERROR(VLOOKUP($A852,'319'!$B:$H,7,0),0)</f>
        <v>0</v>
      </c>
      <c r="G852" s="34" t="n">
        <f aca="false">SUMIFS('12.326ana'!$C:$C,'12.326ana'!$M:$M,redes!A852)</f>
        <v>0</v>
      </c>
    </row>
    <row r="853" customFormat="false" ht="14.4" hidden="true" customHeight="false" outlineLevel="0" collapsed="false">
      <c r="A853" s="34" t="n">
        <v>5292856142</v>
      </c>
      <c r="B853" s="34" t="s">
        <v>4520</v>
      </c>
      <c r="C853" s="34" t="s">
        <v>197</v>
      </c>
      <c r="E853" s="30" t="s">
        <v>4521</v>
      </c>
      <c r="F853" s="34" t="n">
        <f aca="false">IFERROR(VLOOKUP($A853,'319'!$B:$H,7,0),0)</f>
        <v>0</v>
      </c>
      <c r="G853" s="34" t="n">
        <f aca="false">SUMIFS('12.326ana'!$C:$C,'12.326ana'!$M:$M,redes!A853)</f>
        <v>0</v>
      </c>
    </row>
    <row r="854" customFormat="false" ht="14.4" hidden="true" customHeight="false" outlineLevel="0" collapsed="false">
      <c r="A854" s="34" t="n">
        <v>5298481981</v>
      </c>
      <c r="B854" s="34" t="s">
        <v>4522</v>
      </c>
      <c r="C854" s="34" t="s">
        <v>309</v>
      </c>
      <c r="E854" s="30" t="s">
        <v>4523</v>
      </c>
      <c r="F854" s="34" t="n">
        <f aca="false">IFERROR(VLOOKUP($A854,'319'!$B:$H,7,0),0)</f>
        <v>0</v>
      </c>
      <c r="G854" s="34" t="n">
        <f aca="false">SUMIFS('12.326ana'!$C:$C,'12.326ana'!$M:$M,redes!A854)</f>
        <v>0</v>
      </c>
    </row>
    <row r="855" customFormat="false" ht="14.4" hidden="true" customHeight="false" outlineLevel="0" collapsed="false">
      <c r="A855" s="34" t="n">
        <v>5301588176</v>
      </c>
      <c r="B855" s="34" t="s">
        <v>4524</v>
      </c>
      <c r="C855" s="34" t="s">
        <v>107</v>
      </c>
      <c r="E855" s="30" t="s">
        <v>4525</v>
      </c>
      <c r="F855" s="34" t="n">
        <f aca="false">IFERROR(VLOOKUP($A855,'319'!$B:$H,7,0),0)</f>
        <v>0</v>
      </c>
      <c r="G855" s="34" t="n">
        <f aca="false">SUMIFS('12.326ana'!$C:$C,'12.326ana'!$M:$M,redes!A855)</f>
        <v>0</v>
      </c>
    </row>
    <row r="856" customFormat="false" ht="14.4" hidden="true" customHeight="false" outlineLevel="0" collapsed="false">
      <c r="A856" s="34" t="n">
        <v>5301607146</v>
      </c>
      <c r="B856" s="34" t="s">
        <v>4526</v>
      </c>
      <c r="C856" s="34" t="s">
        <v>77</v>
      </c>
      <c r="E856" s="30" t="s">
        <v>4527</v>
      </c>
      <c r="F856" s="34" t="n">
        <f aca="false">IFERROR(VLOOKUP($A856,'319'!$B:$H,7,0),0)</f>
        <v>0</v>
      </c>
      <c r="G856" s="34" t="n">
        <f aca="false">SUMIFS('12.326ana'!$C:$C,'12.326ana'!$M:$M,redes!A856)</f>
        <v>0</v>
      </c>
    </row>
    <row r="857" customFormat="false" ht="14.4" hidden="true" customHeight="false" outlineLevel="0" collapsed="false">
      <c r="A857" s="34" t="n">
        <v>5307564120</v>
      </c>
      <c r="B857" s="34" t="s">
        <v>4528</v>
      </c>
      <c r="C857" s="34" t="s">
        <v>473</v>
      </c>
      <c r="E857" s="30" t="s">
        <v>4529</v>
      </c>
      <c r="F857" s="34" t="n">
        <f aca="false">IFERROR(VLOOKUP($A857,'319'!$B:$H,7,0),0)</f>
        <v>0</v>
      </c>
      <c r="G857" s="34" t="n">
        <f aca="false">SUMIFS('12.326ana'!$C:$C,'12.326ana'!$M:$M,redes!A857)</f>
        <v>0</v>
      </c>
    </row>
    <row r="858" customFormat="false" ht="14.4" hidden="true" customHeight="false" outlineLevel="0" collapsed="false">
      <c r="A858" s="34" t="n">
        <v>5312840181</v>
      </c>
      <c r="B858" s="34" t="s">
        <v>4530</v>
      </c>
      <c r="C858" s="34" t="s">
        <v>77</v>
      </c>
      <c r="E858" s="30" t="s">
        <v>4531</v>
      </c>
      <c r="F858" s="34" t="n">
        <f aca="false">IFERROR(VLOOKUP($A858,'319'!$B:$H,7,0),0)</f>
        <v>0</v>
      </c>
      <c r="G858" s="34" t="n">
        <f aca="false">SUMIFS('12.326ana'!$C:$C,'12.326ana'!$M:$M,redes!A858)</f>
        <v>0</v>
      </c>
    </row>
    <row r="859" customFormat="false" ht="14.4" hidden="true" customHeight="false" outlineLevel="0" collapsed="false">
      <c r="A859" s="34" t="n">
        <v>5315906906</v>
      </c>
      <c r="B859" s="34" t="s">
        <v>4532</v>
      </c>
      <c r="C859" s="34" t="s">
        <v>77</v>
      </c>
      <c r="E859" s="30" t="s">
        <v>4533</v>
      </c>
      <c r="F859" s="34" t="n">
        <f aca="false">IFERROR(VLOOKUP($A859,'319'!$B:$H,7,0),0)</f>
        <v>0</v>
      </c>
      <c r="G859" s="34" t="n">
        <f aca="false">SUMIFS('12.326ana'!$C:$C,'12.326ana'!$M:$M,redes!A859)</f>
        <v>0</v>
      </c>
    </row>
    <row r="860" customFormat="false" ht="14.4" hidden="true" customHeight="false" outlineLevel="0" collapsed="false">
      <c r="A860" s="34" t="n">
        <v>5366753171</v>
      </c>
      <c r="B860" s="34" t="s">
        <v>4534</v>
      </c>
      <c r="C860" s="34" t="s">
        <v>77</v>
      </c>
      <c r="E860" s="30" t="s">
        <v>4534</v>
      </c>
      <c r="F860" s="34" t="n">
        <f aca="false">IFERROR(VLOOKUP($A860,'319'!$B:$H,7,0),0)</f>
        <v>0</v>
      </c>
      <c r="G860" s="34" t="n">
        <f aca="false">SUMIFS('12.326ana'!$C:$C,'12.326ana'!$M:$M,redes!A860)</f>
        <v>0</v>
      </c>
    </row>
    <row r="861" customFormat="false" ht="14.4" hidden="true" customHeight="false" outlineLevel="0" collapsed="false">
      <c r="A861" s="34" t="n">
        <v>5392035132</v>
      </c>
      <c r="B861" s="34" t="s">
        <v>4535</v>
      </c>
      <c r="C861" s="34" t="s">
        <v>77</v>
      </c>
      <c r="E861" s="30" t="s">
        <v>4535</v>
      </c>
      <c r="F861" s="34" t="n">
        <f aca="false">IFERROR(VLOOKUP($A861,'319'!$B:$H,7,0),0)</f>
        <v>0</v>
      </c>
      <c r="G861" s="34" t="n">
        <f aca="false">SUMIFS('12.326ana'!$C:$C,'12.326ana'!$M:$M,redes!A861)</f>
        <v>0</v>
      </c>
    </row>
    <row r="862" customFormat="false" ht="14.4" hidden="true" customHeight="false" outlineLevel="0" collapsed="false">
      <c r="A862" s="34" t="n">
        <v>5395701176</v>
      </c>
      <c r="B862" s="34" t="s">
        <v>4536</v>
      </c>
      <c r="C862" s="34" t="s">
        <v>377</v>
      </c>
      <c r="E862" s="30" t="s">
        <v>4537</v>
      </c>
      <c r="F862" s="34" t="n">
        <f aca="false">IFERROR(VLOOKUP($A862,'319'!$B:$H,7,0),0)</f>
        <v>0</v>
      </c>
      <c r="G862" s="34" t="n">
        <f aca="false">SUMIFS('12.326ana'!$C:$C,'12.326ana'!$M:$M,redes!A862)</f>
        <v>0</v>
      </c>
    </row>
    <row r="863" customFormat="false" ht="14.4" hidden="true" customHeight="false" outlineLevel="0" collapsed="false">
      <c r="A863" s="34" t="n">
        <v>5404974109</v>
      </c>
      <c r="B863" s="34" t="s">
        <v>4538</v>
      </c>
      <c r="C863" s="34" t="s">
        <v>77</v>
      </c>
      <c r="E863" s="30" t="s">
        <v>4538</v>
      </c>
      <c r="F863" s="34" t="n">
        <f aca="false">IFERROR(VLOOKUP($A863,'319'!$B:$H,7,0),0)</f>
        <v>0</v>
      </c>
      <c r="G863" s="34" t="n">
        <f aca="false">SUMIFS('12.326ana'!$C:$C,'12.326ana'!$M:$M,redes!A863)</f>
        <v>0</v>
      </c>
    </row>
    <row r="864" customFormat="false" ht="14.4" hidden="true" customHeight="false" outlineLevel="0" collapsed="false">
      <c r="A864" s="34" t="n">
        <v>5409313143</v>
      </c>
      <c r="B864" s="34" t="s">
        <v>1170</v>
      </c>
      <c r="C864" s="34" t="s">
        <v>89</v>
      </c>
      <c r="E864" s="30" t="s">
        <v>3066</v>
      </c>
      <c r="F864" s="34" t="n">
        <f aca="false">IFERROR(VLOOKUP($A864,'319'!$B:$H,7,0),0)</f>
        <v>0</v>
      </c>
      <c r="G864" s="34" t="n">
        <f aca="false">SUMIFS('12.326ana'!$C:$C,'12.326ana'!$M:$M,redes!A864)</f>
        <v>0</v>
      </c>
    </row>
    <row r="865" customFormat="false" ht="14.4" hidden="true" customHeight="false" outlineLevel="0" collapsed="false">
      <c r="A865" s="34" t="n">
        <v>5424182747</v>
      </c>
      <c r="B865" s="34" t="s">
        <v>4539</v>
      </c>
      <c r="C865" s="34" t="s">
        <v>77</v>
      </c>
      <c r="E865" s="30" t="s">
        <v>4540</v>
      </c>
      <c r="F865" s="34" t="n">
        <f aca="false">IFERROR(VLOOKUP($A865,'319'!$B:$H,7,0),0)</f>
        <v>0</v>
      </c>
      <c r="G865" s="34" t="n">
        <f aca="false">SUMIFS('12.326ana'!$C:$C,'12.326ana'!$M:$M,redes!A865)</f>
        <v>0</v>
      </c>
    </row>
    <row r="866" customFormat="false" ht="14.4" hidden="true" customHeight="false" outlineLevel="0" collapsed="false">
      <c r="A866" s="34" t="n">
        <v>5434086120</v>
      </c>
      <c r="B866" s="34" t="s">
        <v>4541</v>
      </c>
      <c r="C866" s="34" t="s">
        <v>77</v>
      </c>
      <c r="E866" s="30" t="s">
        <v>4541</v>
      </c>
      <c r="F866" s="34" t="n">
        <f aca="false">IFERROR(VLOOKUP($A866,'319'!$B:$H,7,0),0)</f>
        <v>0</v>
      </c>
      <c r="G866" s="34" t="n">
        <f aca="false">SUMIFS('12.326ana'!$C:$C,'12.326ana'!$M:$M,redes!A866)</f>
        <v>0</v>
      </c>
    </row>
    <row r="867" customFormat="false" ht="14.4" hidden="true" customHeight="false" outlineLevel="0" collapsed="false">
      <c r="A867" s="34" t="n">
        <v>5438697841</v>
      </c>
      <c r="B867" s="34" t="s">
        <v>4542</v>
      </c>
      <c r="C867" s="34" t="s">
        <v>77</v>
      </c>
      <c r="E867" s="30" t="s">
        <v>4543</v>
      </c>
      <c r="F867" s="34" t="n">
        <f aca="false">IFERROR(VLOOKUP($A867,'319'!$B:$H,7,0),0)</f>
        <v>0</v>
      </c>
      <c r="G867" s="34" t="n">
        <f aca="false">SUMIFS('12.326ana'!$C:$C,'12.326ana'!$M:$M,redes!A867)</f>
        <v>0</v>
      </c>
    </row>
    <row r="868" customFormat="false" ht="14.4" hidden="true" customHeight="false" outlineLevel="0" collapsed="false">
      <c r="A868" s="34" t="n">
        <v>5443093169</v>
      </c>
      <c r="B868" s="34" t="s">
        <v>4544</v>
      </c>
      <c r="C868" s="34" t="s">
        <v>77</v>
      </c>
      <c r="E868" s="30" t="s">
        <v>4544</v>
      </c>
      <c r="F868" s="34" t="n">
        <f aca="false">IFERROR(VLOOKUP($A868,'319'!$B:$H,7,0),0)</f>
        <v>0</v>
      </c>
      <c r="G868" s="34" t="n">
        <f aca="false">SUMIFS('12.326ana'!$C:$C,'12.326ana'!$M:$M,redes!A868)</f>
        <v>0</v>
      </c>
    </row>
    <row r="869" customFormat="false" ht="14.4" hidden="true" customHeight="false" outlineLevel="0" collapsed="false">
      <c r="A869" s="34" t="n">
        <v>5448741100</v>
      </c>
      <c r="B869" s="34" t="s">
        <v>4545</v>
      </c>
      <c r="C869" s="34" t="s">
        <v>77</v>
      </c>
      <c r="E869" s="30"/>
      <c r="F869" s="34" t="n">
        <f aca="false">IFERROR(VLOOKUP($A869,'319'!$B:$H,7,0),0)</f>
        <v>0</v>
      </c>
      <c r="G869" s="34" t="n">
        <f aca="false">SUMIFS('12.326ana'!$C:$C,'12.326ana'!$M:$M,redes!A869)</f>
        <v>0</v>
      </c>
    </row>
    <row r="870" customFormat="false" ht="14.4" hidden="true" customHeight="false" outlineLevel="0" collapsed="false">
      <c r="A870" s="34" t="n">
        <v>5471000187</v>
      </c>
      <c r="B870" s="34" t="s">
        <v>4546</v>
      </c>
      <c r="C870" s="34" t="s">
        <v>107</v>
      </c>
      <c r="E870" s="30" t="s">
        <v>4547</v>
      </c>
      <c r="F870" s="34" t="n">
        <f aca="false">IFERROR(VLOOKUP($A870,'319'!$B:$H,7,0),0)</f>
        <v>0</v>
      </c>
      <c r="G870" s="34" t="n">
        <f aca="false">SUMIFS('12.326ana'!$C:$C,'12.326ana'!$M:$M,redes!A870)</f>
        <v>0</v>
      </c>
    </row>
    <row r="871" customFormat="false" ht="14.4" hidden="true" customHeight="false" outlineLevel="0" collapsed="false">
      <c r="A871" s="34" t="n">
        <v>5477699116</v>
      </c>
      <c r="B871" s="34" t="s">
        <v>4548</v>
      </c>
      <c r="C871" s="34" t="s">
        <v>77</v>
      </c>
      <c r="E871" s="30" t="s">
        <v>4262</v>
      </c>
      <c r="F871" s="34" t="n">
        <f aca="false">IFERROR(VLOOKUP($A871,'319'!$B:$H,7,0),0)</f>
        <v>0</v>
      </c>
      <c r="G871" s="34" t="n">
        <f aca="false">SUMIFS('12.326ana'!$C:$C,'12.326ana'!$M:$M,redes!A871)</f>
        <v>0</v>
      </c>
    </row>
    <row r="872" customFormat="false" ht="14.4" hidden="true" customHeight="false" outlineLevel="0" collapsed="false">
      <c r="A872" s="34" t="n">
        <v>5480086987</v>
      </c>
      <c r="B872" s="34" t="s">
        <v>4549</v>
      </c>
      <c r="C872" s="34" t="s">
        <v>77</v>
      </c>
      <c r="E872" s="30" t="s">
        <v>4550</v>
      </c>
      <c r="F872" s="34" t="n">
        <f aca="false">IFERROR(VLOOKUP($A872,'319'!$B:$H,7,0),0)</f>
        <v>0</v>
      </c>
      <c r="G872" s="34" t="n">
        <f aca="false">SUMIFS('12.326ana'!$C:$C,'12.326ana'!$M:$M,redes!A872)</f>
        <v>0</v>
      </c>
    </row>
    <row r="873" customFormat="false" ht="14.4" hidden="true" customHeight="false" outlineLevel="0" collapsed="false">
      <c r="A873" s="34" t="n">
        <v>5490620927</v>
      </c>
      <c r="B873" s="34" t="s">
        <v>4551</v>
      </c>
      <c r="C873" s="34" t="s">
        <v>107</v>
      </c>
      <c r="E873" s="30" t="s">
        <v>4552</v>
      </c>
      <c r="F873" s="34" t="n">
        <f aca="false">IFERROR(VLOOKUP($A873,'319'!$B:$H,7,0),0)</f>
        <v>0</v>
      </c>
      <c r="G873" s="34" t="n">
        <f aca="false">SUMIFS('12.326ana'!$C:$C,'12.326ana'!$M:$M,redes!A873)</f>
        <v>0</v>
      </c>
    </row>
    <row r="874" customFormat="false" ht="14.4" hidden="true" customHeight="false" outlineLevel="0" collapsed="false">
      <c r="A874" s="34" t="n">
        <v>5583195053</v>
      </c>
      <c r="B874" s="34" t="s">
        <v>4553</v>
      </c>
      <c r="C874" s="34" t="s">
        <v>107</v>
      </c>
      <c r="E874" s="30" t="s">
        <v>4554</v>
      </c>
      <c r="F874" s="34" t="n">
        <f aca="false">IFERROR(VLOOKUP($A874,'319'!$B:$H,7,0),0)</f>
        <v>0</v>
      </c>
      <c r="G874" s="34" t="n">
        <f aca="false">SUMIFS('12.326ana'!$C:$C,'12.326ana'!$M:$M,redes!A874)</f>
        <v>0</v>
      </c>
    </row>
    <row r="875" customFormat="false" ht="14.4" hidden="true" customHeight="false" outlineLevel="0" collapsed="false">
      <c r="A875" s="34" t="n">
        <v>5586380072</v>
      </c>
      <c r="B875" s="34" t="s">
        <v>4555</v>
      </c>
      <c r="C875" s="34" t="s">
        <v>77</v>
      </c>
      <c r="E875" s="30" t="s">
        <v>4556</v>
      </c>
      <c r="F875" s="34" t="n">
        <f aca="false">IFERROR(VLOOKUP($A875,'319'!$B:$H,7,0),0)</f>
        <v>0</v>
      </c>
      <c r="G875" s="34" t="n">
        <f aca="false">SUMIFS('12.326ana'!$C:$C,'12.326ana'!$M:$M,redes!A875)</f>
        <v>0</v>
      </c>
    </row>
    <row r="876" customFormat="false" ht="14.4" hidden="true" customHeight="false" outlineLevel="0" collapsed="false">
      <c r="A876" s="34" t="n">
        <v>5628663883</v>
      </c>
      <c r="B876" s="34" t="s">
        <v>4557</v>
      </c>
      <c r="C876" s="34" t="s">
        <v>77</v>
      </c>
      <c r="E876" s="30" t="s">
        <v>4558</v>
      </c>
      <c r="F876" s="34" t="n">
        <f aca="false">IFERROR(VLOOKUP($A876,'319'!$B:$H,7,0),0)</f>
        <v>0</v>
      </c>
      <c r="G876" s="34" t="n">
        <f aca="false">SUMIFS('12.326ana'!$C:$C,'12.326ana'!$M:$M,redes!A876)</f>
        <v>0</v>
      </c>
    </row>
    <row r="877" customFormat="false" ht="14.4" hidden="true" customHeight="false" outlineLevel="0" collapsed="false">
      <c r="A877" s="34" t="n">
        <v>5691068857</v>
      </c>
      <c r="B877" s="34" t="s">
        <v>4559</v>
      </c>
      <c r="C877" s="34" t="s">
        <v>464</v>
      </c>
      <c r="E877" s="30" t="s">
        <v>4560</v>
      </c>
      <c r="F877" s="34" t="n">
        <f aca="false">IFERROR(VLOOKUP($A877,'319'!$B:$H,7,0),0)</f>
        <v>0</v>
      </c>
      <c r="G877" s="34" t="n">
        <f aca="false">SUMIFS('12.326ana'!$C:$C,'12.326ana'!$M:$M,redes!A877)</f>
        <v>0</v>
      </c>
    </row>
    <row r="878" customFormat="false" ht="14.4" hidden="true" customHeight="false" outlineLevel="0" collapsed="false">
      <c r="A878" s="34" t="n">
        <v>5788237130</v>
      </c>
      <c r="B878" s="34" t="s">
        <v>4561</v>
      </c>
      <c r="C878" s="34" t="s">
        <v>77</v>
      </c>
      <c r="E878" s="30"/>
      <c r="F878" s="34" t="n">
        <f aca="false">IFERROR(VLOOKUP($A878,'319'!$B:$H,7,0),0)</f>
        <v>0</v>
      </c>
      <c r="G878" s="34" t="n">
        <f aca="false">SUMIFS('12.326ana'!$C:$C,'12.326ana'!$M:$M,redes!A878)</f>
        <v>0</v>
      </c>
    </row>
    <row r="879" customFormat="false" ht="14.4" hidden="true" customHeight="false" outlineLevel="0" collapsed="false">
      <c r="A879" s="34" t="n">
        <v>5819086198</v>
      </c>
      <c r="B879" s="34" t="s">
        <v>4562</v>
      </c>
      <c r="C879" s="34" t="s">
        <v>77</v>
      </c>
      <c r="E879" s="30" t="s">
        <v>4563</v>
      </c>
      <c r="F879" s="34" t="n">
        <f aca="false">IFERROR(VLOOKUP($A879,'319'!$B:$H,7,0),0)</f>
        <v>0</v>
      </c>
      <c r="G879" s="34" t="n">
        <f aca="false">SUMIFS('12.326ana'!$C:$C,'12.326ana'!$M:$M,redes!A879)</f>
        <v>0</v>
      </c>
    </row>
    <row r="880" customFormat="false" ht="14.4" hidden="true" customHeight="false" outlineLevel="0" collapsed="false">
      <c r="A880" s="34" t="n">
        <v>5828711822</v>
      </c>
      <c r="B880" s="34" t="s">
        <v>4564</v>
      </c>
      <c r="C880" s="34" t="s">
        <v>77</v>
      </c>
      <c r="E880" s="30" t="s">
        <v>4565</v>
      </c>
      <c r="F880" s="34" t="n">
        <f aca="false">IFERROR(VLOOKUP($A880,'319'!$B:$H,7,0),0)</f>
        <v>0</v>
      </c>
      <c r="G880" s="34" t="n">
        <f aca="false">SUMIFS('12.326ana'!$C:$C,'12.326ana'!$M:$M,redes!A880)</f>
        <v>0</v>
      </c>
    </row>
    <row r="881" customFormat="false" ht="14.4" hidden="true" customHeight="false" outlineLevel="0" collapsed="false">
      <c r="A881" s="34" t="n">
        <v>5830343819</v>
      </c>
      <c r="B881" s="34" t="s">
        <v>4566</v>
      </c>
      <c r="C881" s="34" t="s">
        <v>213</v>
      </c>
      <c r="E881" s="30" t="s">
        <v>4567</v>
      </c>
      <c r="F881" s="34" t="n">
        <f aca="false">IFERROR(VLOOKUP($A881,'319'!$B:$H,7,0),0)</f>
        <v>0</v>
      </c>
      <c r="G881" s="34" t="n">
        <f aca="false">SUMIFS('12.326ana'!$C:$C,'12.326ana'!$M:$M,redes!A881)</f>
        <v>0</v>
      </c>
    </row>
    <row r="882" customFormat="false" ht="14.4" hidden="true" customHeight="false" outlineLevel="0" collapsed="false">
      <c r="A882" s="34" t="n">
        <v>5833828864</v>
      </c>
      <c r="B882" s="34" t="s">
        <v>4568</v>
      </c>
      <c r="C882" s="34" t="s">
        <v>1272</v>
      </c>
      <c r="E882" s="30" t="s">
        <v>4569</v>
      </c>
      <c r="F882" s="34" t="n">
        <f aca="false">IFERROR(VLOOKUP($A882,'319'!$B:$H,7,0),0)</f>
        <v>0</v>
      </c>
      <c r="G882" s="34" t="n">
        <f aca="false">SUMIFS('12.326ana'!$C:$C,'12.326ana'!$M:$M,redes!A882)</f>
        <v>0</v>
      </c>
    </row>
    <row r="883" customFormat="false" ht="14.4" hidden="true" customHeight="false" outlineLevel="0" collapsed="false">
      <c r="A883" s="34" t="n">
        <v>5836897875</v>
      </c>
      <c r="B883" s="34" t="s">
        <v>4570</v>
      </c>
      <c r="C883" s="34" t="s">
        <v>77</v>
      </c>
      <c r="E883" s="30" t="s">
        <v>4571</v>
      </c>
      <c r="F883" s="34" t="n">
        <f aca="false">IFERROR(VLOOKUP($A883,'319'!$B:$H,7,0),0)</f>
        <v>0</v>
      </c>
      <c r="G883" s="34" t="n">
        <f aca="false">SUMIFS('12.326ana'!$C:$C,'12.326ana'!$M:$M,redes!A883)</f>
        <v>0</v>
      </c>
    </row>
    <row r="884" customFormat="false" ht="14.4" hidden="true" customHeight="false" outlineLevel="0" collapsed="false">
      <c r="A884" s="34" t="n">
        <v>5837821163</v>
      </c>
      <c r="B884" s="34" t="s">
        <v>4572</v>
      </c>
      <c r="C884" s="34" t="s">
        <v>77</v>
      </c>
      <c r="E884" s="30" t="s">
        <v>4573</v>
      </c>
      <c r="F884" s="34" t="n">
        <f aca="false">IFERROR(VLOOKUP($A884,'319'!$B:$H,7,0),0)</f>
        <v>0</v>
      </c>
      <c r="G884" s="34" t="n">
        <f aca="false">SUMIFS('12.326ana'!$C:$C,'12.326ana'!$M:$M,redes!A884)</f>
        <v>0</v>
      </c>
    </row>
    <row r="885" customFormat="false" ht="14.4" hidden="true" customHeight="false" outlineLevel="0" collapsed="false">
      <c r="A885" s="34" t="n">
        <v>5872513950</v>
      </c>
      <c r="B885" s="34" t="s">
        <v>4574</v>
      </c>
      <c r="C885" s="34" t="s">
        <v>309</v>
      </c>
      <c r="E885" s="30" t="s">
        <v>4575</v>
      </c>
      <c r="F885" s="34" t="n">
        <f aca="false">IFERROR(VLOOKUP($A885,'319'!$B:$H,7,0),0)</f>
        <v>0</v>
      </c>
      <c r="G885" s="34" t="n">
        <f aca="false">SUMIFS('12.326ana'!$C:$C,'12.326ana'!$M:$M,redes!A885)</f>
        <v>0</v>
      </c>
    </row>
    <row r="886" customFormat="false" ht="14.4" hidden="true" customHeight="false" outlineLevel="0" collapsed="false">
      <c r="A886" s="34" t="n">
        <v>5886435808</v>
      </c>
      <c r="B886" s="34" t="s">
        <v>4576</v>
      </c>
      <c r="C886" s="34" t="s">
        <v>107</v>
      </c>
      <c r="E886" s="30" t="s">
        <v>4577</v>
      </c>
      <c r="F886" s="34" t="n">
        <f aca="false">IFERROR(VLOOKUP($A886,'319'!$B:$H,7,0),0)</f>
        <v>0</v>
      </c>
      <c r="G886" s="34" t="n">
        <f aca="false">SUMIFS('12.326ana'!$C:$C,'12.326ana'!$M:$M,redes!A886)</f>
        <v>0</v>
      </c>
    </row>
    <row r="887" customFormat="false" ht="14.4" hidden="true" customHeight="false" outlineLevel="0" collapsed="false">
      <c r="A887" s="34" t="n">
        <v>5916337108</v>
      </c>
      <c r="B887" s="34" t="s">
        <v>4578</v>
      </c>
      <c r="C887" s="34" t="s">
        <v>77</v>
      </c>
      <c r="E887" s="30" t="s">
        <v>4579</v>
      </c>
      <c r="F887" s="34" t="n">
        <f aca="false">IFERROR(VLOOKUP($A887,'319'!$B:$H,7,0),0)</f>
        <v>0</v>
      </c>
      <c r="G887" s="34" t="n">
        <f aca="false">SUMIFS('12.326ana'!$C:$C,'12.326ana'!$M:$M,redes!A887)</f>
        <v>0</v>
      </c>
    </row>
    <row r="888" customFormat="false" ht="14.4" hidden="true" customHeight="false" outlineLevel="0" collapsed="false">
      <c r="A888" s="34" t="n">
        <v>5926705894</v>
      </c>
      <c r="B888" s="34" t="s">
        <v>4580</v>
      </c>
      <c r="C888" s="34" t="s">
        <v>464</v>
      </c>
      <c r="E888" s="30" t="s">
        <v>4581</v>
      </c>
      <c r="F888" s="34" t="n">
        <f aca="false">IFERROR(VLOOKUP($A888,'319'!$B:$H,7,0),0)</f>
        <v>0</v>
      </c>
      <c r="G888" s="34" t="n">
        <f aca="false">SUMIFS('12.326ana'!$C:$C,'12.326ana'!$M:$M,redes!A888)</f>
        <v>0</v>
      </c>
    </row>
    <row r="889" customFormat="false" ht="14.4" hidden="true" customHeight="false" outlineLevel="0" collapsed="false">
      <c r="A889" s="34" t="n">
        <v>5942325111</v>
      </c>
      <c r="B889" s="34" t="s">
        <v>4582</v>
      </c>
      <c r="C889" s="34" t="s">
        <v>77</v>
      </c>
      <c r="E889" s="30" t="s">
        <v>4583</v>
      </c>
      <c r="F889" s="34" t="n">
        <f aca="false">IFERROR(VLOOKUP($A889,'319'!$B:$H,7,0),0)</f>
        <v>0</v>
      </c>
      <c r="G889" s="34" t="n">
        <f aca="false">SUMIFS('12.326ana'!$C:$C,'12.326ana'!$M:$M,redes!A889)</f>
        <v>0</v>
      </c>
    </row>
    <row r="890" customFormat="false" ht="14.4" hidden="true" customHeight="false" outlineLevel="0" collapsed="false">
      <c r="A890" s="34" t="n">
        <v>6021399889</v>
      </c>
      <c r="B890" s="34" t="s">
        <v>4584</v>
      </c>
      <c r="C890" s="34" t="s">
        <v>77</v>
      </c>
      <c r="E890" s="30" t="s">
        <v>4585</v>
      </c>
      <c r="F890" s="34" t="n">
        <f aca="false">IFERROR(VLOOKUP($A890,'319'!$B:$H,7,0),0)</f>
        <v>0</v>
      </c>
      <c r="G890" s="34" t="n">
        <f aca="false">SUMIFS('12.326ana'!$C:$C,'12.326ana'!$M:$M,redes!A890)</f>
        <v>0</v>
      </c>
    </row>
    <row r="891" customFormat="false" ht="14.4" hidden="true" customHeight="false" outlineLevel="0" collapsed="false">
      <c r="A891" s="34" t="n">
        <v>6127691192</v>
      </c>
      <c r="B891" s="34" t="s">
        <v>4586</v>
      </c>
      <c r="C891" s="34" t="s">
        <v>77</v>
      </c>
      <c r="E891" s="30" t="s">
        <v>4586</v>
      </c>
      <c r="F891" s="34" t="n">
        <f aca="false">IFERROR(VLOOKUP($A891,'319'!$B:$H,7,0),0)</f>
        <v>0</v>
      </c>
      <c r="G891" s="34" t="n">
        <f aca="false">SUMIFS('12.326ana'!$C:$C,'12.326ana'!$M:$M,redes!A891)</f>
        <v>0</v>
      </c>
    </row>
    <row r="892" customFormat="false" ht="14.4" hidden="true" customHeight="false" outlineLevel="0" collapsed="false">
      <c r="A892" s="34" t="n">
        <v>6162376850</v>
      </c>
      <c r="B892" s="34" t="s">
        <v>4587</v>
      </c>
      <c r="C892" s="34" t="s">
        <v>77</v>
      </c>
      <c r="E892" s="30" t="s">
        <v>4588</v>
      </c>
      <c r="F892" s="34" t="n">
        <f aca="false">IFERROR(VLOOKUP($A892,'319'!$B:$H,7,0),0)</f>
        <v>0</v>
      </c>
      <c r="G892" s="34" t="n">
        <f aca="false">SUMIFS('12.326ana'!$C:$C,'12.326ana'!$M:$M,redes!A892)</f>
        <v>0</v>
      </c>
    </row>
    <row r="893" customFormat="false" ht="14.4" hidden="true" customHeight="false" outlineLevel="0" collapsed="false">
      <c r="A893" s="34" t="n">
        <v>6165508120</v>
      </c>
      <c r="B893" s="34" t="s">
        <v>4589</v>
      </c>
      <c r="C893" s="34" t="s">
        <v>565</v>
      </c>
      <c r="E893" s="30" t="s">
        <v>4590</v>
      </c>
      <c r="F893" s="34" t="n">
        <f aca="false">IFERROR(VLOOKUP($A893,'319'!$B:$H,7,0),0)</f>
        <v>0</v>
      </c>
      <c r="G893" s="34" t="n">
        <f aca="false">SUMIFS('12.326ana'!$C:$C,'12.326ana'!$M:$M,redes!A893)</f>
        <v>0</v>
      </c>
    </row>
    <row r="894" customFormat="false" ht="14.4" hidden="true" customHeight="false" outlineLevel="0" collapsed="false">
      <c r="A894" s="34" t="n">
        <v>6171152811</v>
      </c>
      <c r="B894" s="34" t="s">
        <v>4591</v>
      </c>
      <c r="C894" s="34" t="s">
        <v>77</v>
      </c>
      <c r="E894" s="30" t="s">
        <v>4592</v>
      </c>
      <c r="F894" s="34" t="n">
        <f aca="false">IFERROR(VLOOKUP($A894,'319'!$B:$H,7,0),0)</f>
        <v>0</v>
      </c>
      <c r="G894" s="34" t="n">
        <f aca="false">SUMIFS('12.326ana'!$C:$C,'12.326ana'!$M:$M,redes!A894)</f>
        <v>0</v>
      </c>
    </row>
    <row r="895" customFormat="false" ht="14.4" hidden="true" customHeight="false" outlineLevel="0" collapsed="false">
      <c r="A895" s="34" t="n">
        <v>6183649864</v>
      </c>
      <c r="B895" s="34" t="s">
        <v>4593</v>
      </c>
      <c r="C895" s="34" t="s">
        <v>77</v>
      </c>
      <c r="E895" s="30" t="s">
        <v>4594</v>
      </c>
      <c r="F895" s="34" t="n">
        <f aca="false">IFERROR(VLOOKUP($A895,'319'!$B:$H,7,0),0)</f>
        <v>0</v>
      </c>
      <c r="G895" s="34" t="n">
        <f aca="false">SUMIFS('12.326ana'!$C:$C,'12.326ana'!$M:$M,redes!A895)</f>
        <v>0</v>
      </c>
    </row>
    <row r="896" customFormat="false" ht="14.4" hidden="true" customHeight="false" outlineLevel="0" collapsed="false">
      <c r="A896" s="34" t="n">
        <v>6205100134</v>
      </c>
      <c r="B896" s="34" t="s">
        <v>4595</v>
      </c>
      <c r="C896" s="34" t="s">
        <v>463</v>
      </c>
      <c r="E896" s="30" t="s">
        <v>3297</v>
      </c>
      <c r="F896" s="34" t="n">
        <f aca="false">IFERROR(VLOOKUP($A896,'319'!$B:$H,7,0),0)</f>
        <v>0</v>
      </c>
      <c r="G896" s="34" t="n">
        <f aca="false">SUMIFS('12.326ana'!$C:$C,'12.326ana'!$M:$M,redes!A896)</f>
        <v>0</v>
      </c>
    </row>
    <row r="897" customFormat="false" ht="14.4" hidden="true" customHeight="false" outlineLevel="0" collapsed="false">
      <c r="A897" s="34" t="n">
        <v>6205433885</v>
      </c>
      <c r="B897" s="34" t="s">
        <v>4596</v>
      </c>
      <c r="C897" s="34" t="s">
        <v>77</v>
      </c>
      <c r="E897" s="30" t="s">
        <v>4387</v>
      </c>
      <c r="F897" s="34" t="n">
        <f aca="false">IFERROR(VLOOKUP($A897,'319'!$B:$H,7,0),0)</f>
        <v>0</v>
      </c>
      <c r="G897" s="34" t="n">
        <f aca="false">SUMIFS('12.326ana'!$C:$C,'12.326ana'!$M:$M,redes!A897)</f>
        <v>0</v>
      </c>
    </row>
    <row r="898" customFormat="false" ht="14.4" hidden="true" customHeight="false" outlineLevel="0" collapsed="false">
      <c r="A898" s="34" t="n">
        <v>6209751806</v>
      </c>
      <c r="B898" s="34" t="s">
        <v>4597</v>
      </c>
      <c r="C898" s="34" t="s">
        <v>77</v>
      </c>
      <c r="E898" s="30" t="s">
        <v>4598</v>
      </c>
      <c r="F898" s="34" t="n">
        <f aca="false">IFERROR(VLOOKUP($A898,'319'!$B:$H,7,0),0)</f>
        <v>0</v>
      </c>
      <c r="G898" s="34" t="n">
        <f aca="false">SUMIFS('12.326ana'!$C:$C,'12.326ana'!$M:$M,redes!A898)</f>
        <v>0</v>
      </c>
    </row>
    <row r="899" customFormat="false" ht="14.4" hidden="true" customHeight="false" outlineLevel="0" collapsed="false">
      <c r="A899" s="34" t="n">
        <v>6222706134</v>
      </c>
      <c r="B899" s="34" t="s">
        <v>4599</v>
      </c>
      <c r="C899" s="34" t="s">
        <v>77</v>
      </c>
      <c r="E899" s="30" t="s">
        <v>4600</v>
      </c>
      <c r="F899" s="34" t="n">
        <f aca="false">IFERROR(VLOOKUP($A899,'319'!$B:$H,7,0),0)</f>
        <v>0</v>
      </c>
      <c r="G899" s="34" t="n">
        <f aca="false">SUMIFS('12.326ana'!$C:$C,'12.326ana'!$M:$M,redes!A899)</f>
        <v>0</v>
      </c>
    </row>
    <row r="900" customFormat="false" ht="14.4" hidden="true" customHeight="false" outlineLevel="0" collapsed="false">
      <c r="A900" s="34" t="n">
        <v>6234441866</v>
      </c>
      <c r="B900" s="34" t="s">
        <v>4601</v>
      </c>
      <c r="C900" s="34" t="s">
        <v>631</v>
      </c>
      <c r="E900" s="30" t="s">
        <v>4602</v>
      </c>
      <c r="F900" s="34" t="n">
        <f aca="false">IFERROR(VLOOKUP($A900,'319'!$B:$H,7,0),0)</f>
        <v>0</v>
      </c>
      <c r="G900" s="34" t="n">
        <f aca="false">SUMIFS('12.326ana'!$C:$C,'12.326ana'!$M:$M,redes!A900)</f>
        <v>0</v>
      </c>
    </row>
    <row r="901" customFormat="false" ht="14.4" hidden="true" customHeight="false" outlineLevel="0" collapsed="false">
      <c r="A901" s="34" t="n">
        <v>6237355120</v>
      </c>
      <c r="B901" s="34" t="s">
        <v>4603</v>
      </c>
      <c r="C901" s="34" t="s">
        <v>77</v>
      </c>
      <c r="E901" s="30" t="s">
        <v>4604</v>
      </c>
      <c r="F901" s="34" t="n">
        <f aca="false">IFERROR(VLOOKUP($A901,'319'!$B:$H,7,0),0)</f>
        <v>0</v>
      </c>
      <c r="G901" s="34" t="n">
        <f aca="false">SUMIFS('12.326ana'!$C:$C,'12.326ana'!$M:$M,redes!A901)</f>
        <v>0</v>
      </c>
    </row>
    <row r="902" customFormat="false" ht="14.4" hidden="true" customHeight="false" outlineLevel="0" collapsed="false">
      <c r="A902" s="34" t="n">
        <v>6237959149</v>
      </c>
      <c r="B902" s="34" t="s">
        <v>4605</v>
      </c>
      <c r="C902" s="34" t="s">
        <v>463</v>
      </c>
      <c r="E902" s="30" t="s">
        <v>3247</v>
      </c>
      <c r="F902" s="34" t="n">
        <f aca="false">IFERROR(VLOOKUP($A902,'319'!$B:$H,7,0),0)</f>
        <v>0</v>
      </c>
      <c r="G902" s="34" t="n">
        <f aca="false">SUMIFS('12.326ana'!$C:$C,'12.326ana'!$M:$M,redes!A902)</f>
        <v>0</v>
      </c>
    </row>
    <row r="903" customFormat="false" ht="14.4" hidden="true" customHeight="false" outlineLevel="0" collapsed="false">
      <c r="A903" s="34" t="n">
        <v>6249179917</v>
      </c>
      <c r="B903" s="34" t="s">
        <v>4606</v>
      </c>
      <c r="C903" s="34" t="s">
        <v>77</v>
      </c>
      <c r="E903" s="30" t="s">
        <v>4607</v>
      </c>
      <c r="F903" s="34" t="n">
        <f aca="false">IFERROR(VLOOKUP($A903,'319'!$B:$H,7,0),0)</f>
        <v>0</v>
      </c>
      <c r="G903" s="34" t="n">
        <f aca="false">SUMIFS('12.326ana'!$C:$C,'12.326ana'!$M:$M,redes!A903)</f>
        <v>0</v>
      </c>
    </row>
    <row r="904" customFormat="false" ht="14.4" hidden="true" customHeight="false" outlineLevel="0" collapsed="false">
      <c r="A904" s="34" t="n">
        <v>6254012987</v>
      </c>
      <c r="B904" s="34" t="s">
        <v>4608</v>
      </c>
      <c r="C904" s="34" t="s">
        <v>103</v>
      </c>
      <c r="E904" s="30" t="s">
        <v>4609</v>
      </c>
      <c r="F904" s="34" t="n">
        <f aca="false">IFERROR(VLOOKUP($A904,'319'!$B:$H,7,0),0)</f>
        <v>0</v>
      </c>
      <c r="G904" s="34" t="n">
        <f aca="false">SUMIFS('12.326ana'!$C:$C,'12.326ana'!$M:$M,redes!A904)</f>
        <v>0</v>
      </c>
    </row>
    <row r="905" customFormat="false" ht="14.4" hidden="true" customHeight="false" outlineLevel="0" collapsed="false">
      <c r="A905" s="34" t="n">
        <v>6263361808</v>
      </c>
      <c r="B905" s="34" t="s">
        <v>4610</v>
      </c>
      <c r="C905" s="34" t="s">
        <v>77</v>
      </c>
      <c r="E905" s="30"/>
      <c r="F905" s="34" t="n">
        <f aca="false">IFERROR(VLOOKUP($A905,'319'!$B:$H,7,0),0)</f>
        <v>0</v>
      </c>
      <c r="G905" s="34" t="n">
        <f aca="false">SUMIFS('12.326ana'!$C:$C,'12.326ana'!$M:$M,redes!A905)</f>
        <v>0</v>
      </c>
    </row>
    <row r="906" customFormat="false" ht="14.4" hidden="true" customHeight="false" outlineLevel="0" collapsed="false">
      <c r="A906" s="34" t="n">
        <v>6281252837</v>
      </c>
      <c r="B906" s="34" t="s">
        <v>4611</v>
      </c>
      <c r="C906" s="34" t="s">
        <v>1591</v>
      </c>
      <c r="E906" s="30" t="s">
        <v>4612</v>
      </c>
      <c r="F906" s="34" t="n">
        <f aca="false">IFERROR(VLOOKUP($A906,'319'!$B:$H,7,0),0)</f>
        <v>0</v>
      </c>
      <c r="G906" s="34" t="n">
        <f aca="false">SUMIFS('12.326ana'!$C:$C,'12.326ana'!$M:$M,redes!A906)</f>
        <v>0</v>
      </c>
    </row>
    <row r="907" customFormat="false" ht="14.4" hidden="true" customHeight="false" outlineLevel="0" collapsed="false">
      <c r="A907" s="34" t="n">
        <v>6328008104</v>
      </c>
      <c r="B907" s="34" t="s">
        <v>4613</v>
      </c>
      <c r="C907" s="34" t="s">
        <v>77</v>
      </c>
      <c r="E907" s="30" t="s">
        <v>4614</v>
      </c>
      <c r="F907" s="34" t="n">
        <f aca="false">IFERROR(VLOOKUP($A907,'319'!$B:$H,7,0),0)</f>
        <v>0</v>
      </c>
      <c r="G907" s="34" t="n">
        <f aca="false">SUMIFS('12.326ana'!$C:$C,'12.326ana'!$M:$M,redes!A907)</f>
        <v>0</v>
      </c>
    </row>
    <row r="908" customFormat="false" ht="14.4" hidden="true" customHeight="false" outlineLevel="0" collapsed="false">
      <c r="A908" s="34" t="n">
        <v>6329160104</v>
      </c>
      <c r="B908" s="34" t="s">
        <v>4615</v>
      </c>
      <c r="C908" s="34" t="s">
        <v>107</v>
      </c>
      <c r="E908" s="30" t="s">
        <v>4616</v>
      </c>
      <c r="F908" s="34" t="n">
        <f aca="false">IFERROR(VLOOKUP($A908,'319'!$B:$H,7,0),0)</f>
        <v>0</v>
      </c>
      <c r="G908" s="34" t="n">
        <f aca="false">SUMIFS('12.326ana'!$C:$C,'12.326ana'!$M:$M,redes!A908)</f>
        <v>0</v>
      </c>
    </row>
    <row r="909" customFormat="false" ht="14.4" hidden="true" customHeight="false" outlineLevel="0" collapsed="false">
      <c r="A909" s="34" t="n">
        <v>6359034158</v>
      </c>
      <c r="B909" s="34" t="s">
        <v>4617</v>
      </c>
      <c r="C909" s="34" t="s">
        <v>473</v>
      </c>
      <c r="E909" s="30" t="s">
        <v>4618</v>
      </c>
      <c r="F909" s="34" t="n">
        <f aca="false">IFERROR(VLOOKUP($A909,'319'!$B:$H,7,0),0)</f>
        <v>0</v>
      </c>
      <c r="G909" s="34" t="n">
        <f aca="false">SUMIFS('12.326ana'!$C:$C,'12.326ana'!$M:$M,redes!A909)</f>
        <v>0</v>
      </c>
    </row>
    <row r="910" customFormat="false" ht="14.4" hidden="true" customHeight="false" outlineLevel="0" collapsed="false">
      <c r="A910" s="34" t="n">
        <v>6395172182</v>
      </c>
      <c r="B910" s="34" t="s">
        <v>4619</v>
      </c>
      <c r="C910" s="34" t="s">
        <v>77</v>
      </c>
      <c r="E910" s="30" t="s">
        <v>4620</v>
      </c>
      <c r="F910" s="34" t="n">
        <f aca="false">IFERROR(VLOOKUP($A910,'319'!$B:$H,7,0),0)</f>
        <v>0</v>
      </c>
      <c r="G910" s="34" t="n">
        <f aca="false">SUMIFS('12.326ana'!$C:$C,'12.326ana'!$M:$M,redes!A910)</f>
        <v>0</v>
      </c>
    </row>
    <row r="911" customFormat="false" ht="14.4" hidden="true" customHeight="false" outlineLevel="0" collapsed="false">
      <c r="A911" s="34" t="n">
        <v>6416057905</v>
      </c>
      <c r="B911" s="34" t="s">
        <v>4621</v>
      </c>
      <c r="C911" s="34" t="s">
        <v>77</v>
      </c>
      <c r="E911" s="30" t="s">
        <v>4622</v>
      </c>
      <c r="F911" s="34" t="n">
        <f aca="false">IFERROR(VLOOKUP($A911,'319'!$B:$H,7,0),0)</f>
        <v>0</v>
      </c>
      <c r="G911" s="34" t="n">
        <f aca="false">SUMIFS('12.326ana'!$C:$C,'12.326ana'!$M:$M,redes!A911)</f>
        <v>0</v>
      </c>
    </row>
    <row r="912" customFormat="false" ht="14.4" hidden="true" customHeight="false" outlineLevel="0" collapsed="false">
      <c r="A912" s="34" t="n">
        <v>6431272838</v>
      </c>
      <c r="B912" s="34" t="s">
        <v>4623</v>
      </c>
      <c r="C912" s="34" t="s">
        <v>377</v>
      </c>
      <c r="E912" s="30" t="s">
        <v>4624</v>
      </c>
      <c r="F912" s="34" t="n">
        <f aca="false">IFERROR(VLOOKUP($A912,'319'!$B:$H,7,0),0)</f>
        <v>0</v>
      </c>
      <c r="G912" s="34" t="n">
        <f aca="false">SUMIFS('12.326ana'!$C:$C,'12.326ana'!$M:$M,redes!A912)</f>
        <v>0</v>
      </c>
    </row>
    <row r="913" customFormat="false" ht="14.4" hidden="true" customHeight="false" outlineLevel="0" collapsed="false">
      <c r="A913" s="34" t="n">
        <v>6485260110</v>
      </c>
      <c r="B913" s="34" t="s">
        <v>4625</v>
      </c>
      <c r="C913" s="34" t="s">
        <v>357</v>
      </c>
      <c r="E913" s="30" t="s">
        <v>4626</v>
      </c>
      <c r="F913" s="34" t="n">
        <f aca="false">IFERROR(VLOOKUP($A913,'319'!$B:$H,7,0),0)</f>
        <v>0</v>
      </c>
      <c r="G913" s="34" t="n">
        <f aca="false">SUMIFS('12.326ana'!$C:$C,'12.326ana'!$M:$M,redes!A913)</f>
        <v>0</v>
      </c>
    </row>
    <row r="914" customFormat="false" ht="14.4" hidden="true" customHeight="false" outlineLevel="0" collapsed="false">
      <c r="A914" s="34" t="n">
        <v>6486380144</v>
      </c>
      <c r="B914" s="34" t="s">
        <v>4627</v>
      </c>
      <c r="C914" s="34" t="s">
        <v>77</v>
      </c>
      <c r="E914" s="30" t="s">
        <v>4628</v>
      </c>
      <c r="F914" s="34" t="n">
        <f aca="false">IFERROR(VLOOKUP($A914,'319'!$B:$H,7,0),0)</f>
        <v>0</v>
      </c>
      <c r="G914" s="34" t="n">
        <f aca="false">SUMIFS('12.326ana'!$C:$C,'12.326ana'!$M:$M,redes!A914)</f>
        <v>0</v>
      </c>
    </row>
    <row r="915" customFormat="false" ht="14.4" hidden="true" customHeight="false" outlineLevel="0" collapsed="false">
      <c r="A915" s="34" t="n">
        <v>6502977928</v>
      </c>
      <c r="B915" s="34" t="s">
        <v>4629</v>
      </c>
      <c r="C915" s="34" t="s">
        <v>77</v>
      </c>
      <c r="E915" s="30" t="s">
        <v>4630</v>
      </c>
      <c r="F915" s="34" t="n">
        <f aca="false">IFERROR(VLOOKUP($A915,'319'!$B:$H,7,0),0)</f>
        <v>0</v>
      </c>
      <c r="G915" s="34" t="n">
        <f aca="false">SUMIFS('12.326ana'!$C:$C,'12.326ana'!$M:$M,redes!A915)</f>
        <v>0</v>
      </c>
    </row>
    <row r="916" customFormat="false" ht="14.4" hidden="true" customHeight="false" outlineLevel="0" collapsed="false">
      <c r="A916" s="34" t="n">
        <v>6521148656</v>
      </c>
      <c r="B916" s="34" t="s">
        <v>4631</v>
      </c>
      <c r="C916" s="34" t="s">
        <v>103</v>
      </c>
      <c r="E916" s="30" t="s">
        <v>4632</v>
      </c>
      <c r="F916" s="34" t="n">
        <f aca="false">IFERROR(VLOOKUP($A916,'319'!$B:$H,7,0),0)</f>
        <v>0</v>
      </c>
      <c r="G916" s="34" t="n">
        <f aca="false">SUMIFS('12.326ana'!$C:$C,'12.326ana'!$M:$M,redes!A916)</f>
        <v>0</v>
      </c>
    </row>
    <row r="917" customFormat="false" ht="14.4" hidden="true" customHeight="false" outlineLevel="0" collapsed="false">
      <c r="A917" s="34" t="n">
        <v>6539734972</v>
      </c>
      <c r="B917" s="34" t="s">
        <v>4633</v>
      </c>
      <c r="C917" s="34" t="s">
        <v>77</v>
      </c>
      <c r="E917" s="30" t="s">
        <v>4634</v>
      </c>
      <c r="F917" s="34" t="n">
        <f aca="false">IFERROR(VLOOKUP($A917,'319'!$B:$H,7,0),0)</f>
        <v>0</v>
      </c>
      <c r="G917" s="34" t="n">
        <f aca="false">SUMIFS('12.326ana'!$C:$C,'12.326ana'!$M:$M,redes!A917)</f>
        <v>0</v>
      </c>
    </row>
    <row r="918" customFormat="false" ht="14.4" hidden="true" customHeight="false" outlineLevel="0" collapsed="false">
      <c r="A918" s="34" t="n">
        <v>6543707100</v>
      </c>
      <c r="B918" s="34" t="s">
        <v>4635</v>
      </c>
      <c r="C918" s="34" t="s">
        <v>979</v>
      </c>
      <c r="E918" s="30" t="s">
        <v>4636</v>
      </c>
      <c r="F918" s="34" t="n">
        <f aca="false">IFERROR(VLOOKUP($A918,'319'!$B:$H,7,0),0)</f>
        <v>0</v>
      </c>
      <c r="G918" s="34" t="n">
        <f aca="false">SUMIFS('12.326ana'!$C:$C,'12.326ana'!$M:$M,redes!A918)</f>
        <v>0</v>
      </c>
    </row>
    <row r="919" customFormat="false" ht="14.4" hidden="true" customHeight="false" outlineLevel="0" collapsed="false">
      <c r="A919" s="34" t="n">
        <v>6554663800</v>
      </c>
      <c r="B919" s="34" t="s">
        <v>4637</v>
      </c>
      <c r="C919" s="34" t="s">
        <v>77</v>
      </c>
      <c r="D919" s="34" t="s">
        <v>3324</v>
      </c>
      <c r="E919" s="30" t="s">
        <v>4638</v>
      </c>
      <c r="F919" s="34" t="n">
        <f aca="false">IFERROR(VLOOKUP($A919,'319'!$B:$H,7,0),0)</f>
        <v>0</v>
      </c>
      <c r="G919" s="34" t="n">
        <f aca="false">SUMIFS('12.326ana'!$C:$C,'12.326ana'!$M:$M,redes!A919)</f>
        <v>0</v>
      </c>
    </row>
    <row r="920" customFormat="false" ht="14.4" hidden="true" customHeight="false" outlineLevel="0" collapsed="false">
      <c r="A920" s="34" t="n">
        <v>6559499170</v>
      </c>
      <c r="B920" s="34" t="s">
        <v>4639</v>
      </c>
      <c r="C920" s="34" t="s">
        <v>77</v>
      </c>
      <c r="E920" s="30" t="s">
        <v>4639</v>
      </c>
      <c r="F920" s="34" t="n">
        <f aca="false">IFERROR(VLOOKUP($A920,'319'!$B:$H,7,0),0)</f>
        <v>0</v>
      </c>
      <c r="G920" s="34" t="n">
        <f aca="false">SUMIFS('12.326ana'!$C:$C,'12.326ana'!$M:$M,redes!A920)</f>
        <v>0</v>
      </c>
    </row>
    <row r="921" customFormat="false" ht="14.4" hidden="true" customHeight="false" outlineLevel="0" collapsed="false">
      <c r="A921" s="34" t="n">
        <v>6607679889</v>
      </c>
      <c r="B921" s="34" t="s">
        <v>4640</v>
      </c>
      <c r="C921" s="34" t="s">
        <v>77</v>
      </c>
      <c r="E921" s="30" t="s">
        <v>4640</v>
      </c>
      <c r="F921" s="34" t="n">
        <f aca="false">IFERROR(VLOOKUP($A921,'319'!$B:$H,7,0),0)</f>
        <v>0</v>
      </c>
      <c r="G921" s="34" t="n">
        <f aca="false">SUMIFS('12.326ana'!$C:$C,'12.326ana'!$M:$M,redes!A921)</f>
        <v>0</v>
      </c>
    </row>
    <row r="922" customFormat="false" ht="14.4" hidden="true" customHeight="false" outlineLevel="0" collapsed="false">
      <c r="A922" s="34" t="n">
        <v>6628682188</v>
      </c>
      <c r="B922" s="34" t="s">
        <v>4641</v>
      </c>
      <c r="C922" s="34" t="s">
        <v>77</v>
      </c>
      <c r="E922" s="30" t="s">
        <v>4641</v>
      </c>
      <c r="F922" s="34" t="n">
        <f aca="false">IFERROR(VLOOKUP($A922,'319'!$B:$H,7,0),0)</f>
        <v>0</v>
      </c>
      <c r="G922" s="34" t="n">
        <f aca="false">SUMIFS('12.326ana'!$C:$C,'12.326ana'!$M:$M,redes!A922)</f>
        <v>0</v>
      </c>
    </row>
    <row r="923" customFormat="false" ht="14.4" hidden="true" customHeight="false" outlineLevel="0" collapsed="false">
      <c r="A923" s="34" t="n">
        <v>6677748669</v>
      </c>
      <c r="B923" s="34" t="s">
        <v>4642</v>
      </c>
      <c r="C923" s="34" t="s">
        <v>77</v>
      </c>
      <c r="E923" s="30"/>
      <c r="F923" s="34" t="n">
        <f aca="false">IFERROR(VLOOKUP($A923,'319'!$B:$H,7,0),0)</f>
        <v>0</v>
      </c>
      <c r="G923" s="34" t="n">
        <f aca="false">SUMIFS('12.326ana'!$C:$C,'12.326ana'!$M:$M,redes!A923)</f>
        <v>0</v>
      </c>
    </row>
    <row r="924" customFormat="false" ht="14.4" hidden="true" customHeight="false" outlineLevel="0" collapsed="false">
      <c r="A924" s="34" t="n">
        <v>6712990858</v>
      </c>
      <c r="B924" s="34" t="s">
        <v>4643</v>
      </c>
      <c r="C924" s="34" t="s">
        <v>357</v>
      </c>
      <c r="E924" s="30" t="s">
        <v>4644</v>
      </c>
      <c r="F924" s="34" t="n">
        <f aca="false">IFERROR(VLOOKUP($A924,'319'!$B:$H,7,0),0)</f>
        <v>0</v>
      </c>
      <c r="G924" s="34" t="n">
        <f aca="false">SUMIFS('12.326ana'!$C:$C,'12.326ana'!$M:$M,redes!A924)</f>
        <v>0</v>
      </c>
    </row>
    <row r="925" customFormat="false" ht="14.4" hidden="true" customHeight="false" outlineLevel="0" collapsed="false">
      <c r="A925" s="34" t="n">
        <v>6737752160</v>
      </c>
      <c r="B925" s="34" t="s">
        <v>4645</v>
      </c>
      <c r="C925" s="34" t="s">
        <v>77</v>
      </c>
      <c r="E925" s="30" t="s">
        <v>4646</v>
      </c>
      <c r="F925" s="34" t="n">
        <f aca="false">IFERROR(VLOOKUP($A925,'319'!$B:$H,7,0),0)</f>
        <v>0</v>
      </c>
      <c r="G925" s="34" t="n">
        <f aca="false">SUMIFS('12.326ana'!$C:$C,'12.326ana'!$M:$M,redes!A925)</f>
        <v>0</v>
      </c>
    </row>
    <row r="926" customFormat="false" ht="14.4" hidden="true" customHeight="false" outlineLevel="0" collapsed="false">
      <c r="A926" s="34" t="n">
        <v>6775707169</v>
      </c>
      <c r="B926" s="34" t="s">
        <v>4647</v>
      </c>
      <c r="C926" s="34" t="s">
        <v>89</v>
      </c>
      <c r="E926" s="30"/>
      <c r="F926" s="34" t="n">
        <f aca="false">IFERROR(VLOOKUP($A926,'319'!$B:$H,7,0),0)</f>
        <v>0</v>
      </c>
      <c r="G926" s="34" t="n">
        <f aca="false">SUMIFS('12.326ana'!$C:$C,'12.326ana'!$M:$M,redes!A926)</f>
        <v>0</v>
      </c>
    </row>
    <row r="927" customFormat="false" ht="14.4" hidden="true" customHeight="false" outlineLevel="0" collapsed="false">
      <c r="A927" s="34" t="n">
        <v>6795935949</v>
      </c>
      <c r="B927" s="34" t="s">
        <v>4648</v>
      </c>
      <c r="C927" s="34" t="s">
        <v>77</v>
      </c>
      <c r="E927" s="30" t="s">
        <v>4649</v>
      </c>
      <c r="F927" s="34" t="n">
        <f aca="false">IFERROR(VLOOKUP($A927,'319'!$B:$H,7,0),0)</f>
        <v>0</v>
      </c>
      <c r="G927" s="34" t="n">
        <f aca="false">SUMIFS('12.326ana'!$C:$C,'12.326ana'!$M:$M,redes!A927)</f>
        <v>0</v>
      </c>
    </row>
    <row r="928" customFormat="false" ht="14.4" hidden="true" customHeight="false" outlineLevel="0" collapsed="false">
      <c r="A928" s="34" t="n">
        <v>6811167220</v>
      </c>
      <c r="B928" s="34" t="s">
        <v>4650</v>
      </c>
      <c r="C928" s="34" t="s">
        <v>77</v>
      </c>
      <c r="E928" s="30" t="s">
        <v>4651</v>
      </c>
      <c r="F928" s="34" t="n">
        <f aca="false">IFERROR(VLOOKUP($A928,'319'!$B:$H,7,0),0)</f>
        <v>0</v>
      </c>
      <c r="G928" s="34" t="n">
        <f aca="false">SUMIFS('12.326ana'!$C:$C,'12.326ana'!$M:$M,redes!A928)</f>
        <v>0</v>
      </c>
    </row>
    <row r="929" customFormat="false" ht="14.4" hidden="true" customHeight="false" outlineLevel="0" collapsed="false">
      <c r="A929" s="34" t="n">
        <v>6849130110</v>
      </c>
      <c r="B929" s="34" t="s">
        <v>4652</v>
      </c>
      <c r="C929" s="34" t="s">
        <v>77</v>
      </c>
      <c r="E929" s="30" t="s">
        <v>4653</v>
      </c>
      <c r="F929" s="34" t="n">
        <f aca="false">IFERROR(VLOOKUP($A929,'319'!$B:$H,7,0),0)</f>
        <v>0</v>
      </c>
      <c r="G929" s="34" t="n">
        <f aca="false">SUMIFS('12.326ana'!$C:$C,'12.326ana'!$M:$M,redes!A929)</f>
        <v>0</v>
      </c>
    </row>
    <row r="930" customFormat="false" ht="14.4" hidden="true" customHeight="false" outlineLevel="0" collapsed="false">
      <c r="A930" s="34" t="n">
        <v>6894890803</v>
      </c>
      <c r="B930" s="34" t="s">
        <v>4654</v>
      </c>
      <c r="C930" s="34" t="s">
        <v>77</v>
      </c>
      <c r="E930" s="30" t="s">
        <v>4655</v>
      </c>
      <c r="F930" s="34" t="n">
        <f aca="false">IFERROR(VLOOKUP($A930,'319'!$B:$H,7,0),0)</f>
        <v>0</v>
      </c>
      <c r="G930" s="34" t="n">
        <f aca="false">SUMIFS('12.326ana'!$C:$C,'12.326ana'!$M:$M,redes!A930)</f>
        <v>0</v>
      </c>
    </row>
    <row r="931" customFormat="false" ht="14.4" hidden="true" customHeight="false" outlineLevel="0" collapsed="false">
      <c r="A931" s="34" t="n">
        <v>6898967193</v>
      </c>
      <c r="B931" s="34" t="s">
        <v>4656</v>
      </c>
      <c r="C931" s="34" t="s">
        <v>77</v>
      </c>
      <c r="E931" s="30" t="s">
        <v>4499</v>
      </c>
      <c r="F931" s="34" t="n">
        <f aca="false">IFERROR(VLOOKUP($A931,'319'!$B:$H,7,0),0)</f>
        <v>0</v>
      </c>
      <c r="G931" s="34" t="n">
        <f aca="false">SUMIFS('12.326ana'!$C:$C,'12.326ana'!$M:$M,redes!A931)</f>
        <v>0</v>
      </c>
    </row>
    <row r="932" customFormat="false" ht="14.4" hidden="true" customHeight="false" outlineLevel="0" collapsed="false">
      <c r="A932" s="34" t="n">
        <v>6934276809</v>
      </c>
      <c r="B932" s="34" t="s">
        <v>4657</v>
      </c>
      <c r="C932" s="34" t="s">
        <v>77</v>
      </c>
      <c r="E932" s="30" t="s">
        <v>4658</v>
      </c>
      <c r="F932" s="34" t="n">
        <f aca="false">IFERROR(VLOOKUP($A932,'319'!$B:$H,7,0),0)</f>
        <v>0</v>
      </c>
      <c r="G932" s="34" t="n">
        <f aca="false">SUMIFS('12.326ana'!$C:$C,'12.326ana'!$M:$M,redes!A932)</f>
        <v>0</v>
      </c>
    </row>
    <row r="933" customFormat="false" ht="14.4" hidden="true" customHeight="false" outlineLevel="0" collapsed="false">
      <c r="A933" s="34" t="n">
        <v>6967097830</v>
      </c>
      <c r="B933" s="34" t="s">
        <v>4659</v>
      </c>
      <c r="C933" s="34" t="s">
        <v>89</v>
      </c>
      <c r="E933" s="30" t="s">
        <v>4660</v>
      </c>
      <c r="F933" s="34" t="n">
        <f aca="false">IFERROR(VLOOKUP($A933,'319'!$B:$H,7,0),0)</f>
        <v>0</v>
      </c>
      <c r="G933" s="34" t="n">
        <f aca="false">SUMIFS('12.326ana'!$C:$C,'12.326ana'!$M:$M,redes!A933)</f>
        <v>0</v>
      </c>
    </row>
    <row r="934" customFormat="false" ht="14.4" hidden="true" customHeight="false" outlineLevel="0" collapsed="false">
      <c r="A934" s="34" t="n">
        <v>6971680855</v>
      </c>
      <c r="B934" s="34" t="s">
        <v>4661</v>
      </c>
      <c r="C934" s="34" t="s">
        <v>77</v>
      </c>
      <c r="E934" s="30" t="s">
        <v>4662</v>
      </c>
      <c r="F934" s="34" t="n">
        <f aca="false">IFERROR(VLOOKUP($A934,'319'!$B:$H,7,0),0)</f>
        <v>0</v>
      </c>
      <c r="G934" s="34" t="n">
        <f aca="false">SUMIFS('12.326ana'!$C:$C,'12.326ana'!$M:$M,redes!A934)</f>
        <v>0</v>
      </c>
    </row>
    <row r="935" customFormat="false" ht="14.4" hidden="true" customHeight="false" outlineLevel="0" collapsed="false">
      <c r="A935" s="34" t="n">
        <v>6975585172</v>
      </c>
      <c r="B935" s="34" t="s">
        <v>4663</v>
      </c>
      <c r="C935" s="34" t="s">
        <v>336</v>
      </c>
      <c r="E935" s="30" t="s">
        <v>4664</v>
      </c>
      <c r="F935" s="34" t="n">
        <f aca="false">IFERROR(VLOOKUP($A935,'319'!$B:$H,7,0),0)</f>
        <v>0</v>
      </c>
      <c r="G935" s="34" t="n">
        <f aca="false">SUMIFS('12.326ana'!$C:$C,'12.326ana'!$M:$M,redes!A935)</f>
        <v>0</v>
      </c>
    </row>
    <row r="936" customFormat="false" ht="14.4" hidden="true" customHeight="false" outlineLevel="0" collapsed="false">
      <c r="A936" s="34" t="n">
        <v>6977804149</v>
      </c>
      <c r="B936" s="34" t="s">
        <v>4665</v>
      </c>
      <c r="C936" s="34" t="s">
        <v>77</v>
      </c>
      <c r="E936" s="30" t="s">
        <v>4665</v>
      </c>
      <c r="F936" s="34" t="n">
        <f aca="false">IFERROR(VLOOKUP($A936,'319'!$B:$H,7,0),0)</f>
        <v>0</v>
      </c>
      <c r="G936" s="34" t="n">
        <f aca="false">SUMIFS('12.326ana'!$C:$C,'12.326ana'!$M:$M,redes!A936)</f>
        <v>0</v>
      </c>
    </row>
    <row r="937" customFormat="false" ht="14.4" hidden="true" customHeight="false" outlineLevel="0" collapsed="false">
      <c r="A937" s="34" t="n">
        <v>6978827134</v>
      </c>
      <c r="B937" s="34" t="s">
        <v>4666</v>
      </c>
      <c r="C937" s="34" t="s">
        <v>594</v>
      </c>
      <c r="E937" s="30" t="s">
        <v>4006</v>
      </c>
      <c r="F937" s="34" t="n">
        <f aca="false">IFERROR(VLOOKUP($A937,'319'!$B:$H,7,0),0)</f>
        <v>0</v>
      </c>
      <c r="G937" s="34" t="n">
        <f aca="false">SUMIFS('12.326ana'!$C:$C,'12.326ana'!$M:$M,redes!A937)</f>
        <v>0</v>
      </c>
    </row>
    <row r="938" customFormat="false" ht="14.4" hidden="true" customHeight="false" outlineLevel="0" collapsed="false">
      <c r="A938" s="34" t="n">
        <v>6981712172</v>
      </c>
      <c r="B938" s="34" t="s">
        <v>4667</v>
      </c>
      <c r="C938" s="34" t="s">
        <v>77</v>
      </c>
      <c r="E938" s="30" t="s">
        <v>4668</v>
      </c>
      <c r="F938" s="34" t="n">
        <f aca="false">IFERROR(VLOOKUP($A938,'319'!$B:$H,7,0),0)</f>
        <v>0</v>
      </c>
      <c r="G938" s="34" t="n">
        <f aca="false">SUMIFS('12.326ana'!$C:$C,'12.326ana'!$M:$M,redes!A938)</f>
        <v>0</v>
      </c>
    </row>
    <row r="939" customFormat="false" ht="14.4" hidden="true" customHeight="false" outlineLevel="0" collapsed="false">
      <c r="A939" s="34" t="n">
        <v>6984681120</v>
      </c>
      <c r="B939" s="34" t="s">
        <v>4669</v>
      </c>
      <c r="C939" s="34" t="s">
        <v>197</v>
      </c>
      <c r="E939" s="30" t="s">
        <v>4670</v>
      </c>
      <c r="F939" s="34" t="n">
        <f aca="false">IFERROR(VLOOKUP($A939,'319'!$B:$H,7,0),0)</f>
        <v>0</v>
      </c>
      <c r="G939" s="34" t="n">
        <f aca="false">SUMIFS('12.326ana'!$C:$C,'12.326ana'!$M:$M,redes!A939)</f>
        <v>0</v>
      </c>
    </row>
    <row r="940" customFormat="false" ht="14.4" hidden="true" customHeight="false" outlineLevel="0" collapsed="false">
      <c r="A940" s="34" t="n">
        <v>6985182844</v>
      </c>
      <c r="B940" s="34" t="s">
        <v>4671</v>
      </c>
      <c r="C940" s="34" t="s">
        <v>192</v>
      </c>
      <c r="E940" s="30" t="s">
        <v>4672</v>
      </c>
      <c r="F940" s="34" t="n">
        <f aca="false">IFERROR(VLOOKUP($A940,'319'!$B:$H,7,0),0)</f>
        <v>0</v>
      </c>
      <c r="G940" s="34" t="n">
        <f aca="false">SUMIFS('12.326ana'!$C:$C,'12.326ana'!$M:$M,redes!A940)</f>
        <v>0</v>
      </c>
    </row>
    <row r="941" customFormat="false" ht="14.4" hidden="true" customHeight="false" outlineLevel="0" collapsed="false">
      <c r="A941" s="34" t="n">
        <v>6986080115</v>
      </c>
      <c r="B941" s="34" t="s">
        <v>4673</v>
      </c>
      <c r="C941" s="34" t="s">
        <v>197</v>
      </c>
      <c r="E941" s="30" t="s">
        <v>4674</v>
      </c>
      <c r="F941" s="34" t="n">
        <f aca="false">IFERROR(VLOOKUP($A941,'319'!$B:$H,7,0),0)</f>
        <v>0</v>
      </c>
      <c r="G941" s="34" t="n">
        <f aca="false">SUMIFS('12.326ana'!$C:$C,'12.326ana'!$M:$M,redes!A941)</f>
        <v>0</v>
      </c>
    </row>
    <row r="942" customFormat="false" ht="14.4" hidden="true" customHeight="false" outlineLevel="0" collapsed="false">
      <c r="A942" s="34" t="n">
        <v>6986870191</v>
      </c>
      <c r="B942" s="34" t="s">
        <v>4675</v>
      </c>
      <c r="C942" s="34" t="s">
        <v>192</v>
      </c>
      <c r="E942" s="30" t="s">
        <v>4676</v>
      </c>
      <c r="F942" s="34" t="n">
        <f aca="false">IFERROR(VLOOKUP($A942,'319'!$B:$H,7,0),0)</f>
        <v>0</v>
      </c>
      <c r="G942" s="34" t="n">
        <f aca="false">SUMIFS('12.326ana'!$C:$C,'12.326ana'!$M:$M,redes!A942)</f>
        <v>0</v>
      </c>
    </row>
    <row r="943" customFormat="false" ht="14.4" hidden="true" customHeight="false" outlineLevel="0" collapsed="false">
      <c r="A943" s="34" t="n">
        <v>7000774134</v>
      </c>
      <c r="B943" s="34" t="s">
        <v>4677</v>
      </c>
      <c r="C943" s="34" t="s">
        <v>77</v>
      </c>
      <c r="E943" s="30" t="s">
        <v>4678</v>
      </c>
      <c r="F943" s="34" t="n">
        <f aca="false">IFERROR(VLOOKUP($A943,'319'!$B:$H,7,0),0)</f>
        <v>0</v>
      </c>
      <c r="G943" s="34" t="n">
        <f aca="false">SUMIFS('12.326ana'!$C:$C,'12.326ana'!$M:$M,redes!A943)</f>
        <v>0</v>
      </c>
    </row>
    <row r="944" customFormat="false" ht="14.4" hidden="true" customHeight="false" outlineLevel="0" collapsed="false">
      <c r="A944" s="34" t="n">
        <v>7027010178</v>
      </c>
      <c r="B944" s="34" t="s">
        <v>4679</v>
      </c>
      <c r="C944" s="34" t="s">
        <v>737</v>
      </c>
      <c r="E944" s="30" t="s">
        <v>4680</v>
      </c>
      <c r="F944" s="34" t="n">
        <f aca="false">IFERROR(VLOOKUP($A944,'319'!$B:$H,7,0),0)</f>
        <v>0</v>
      </c>
      <c r="G944" s="34" t="n">
        <f aca="false">SUMIFS('12.326ana'!$C:$C,'12.326ana'!$M:$M,redes!A944)</f>
        <v>0</v>
      </c>
    </row>
    <row r="945" customFormat="false" ht="14.4" hidden="true" customHeight="false" outlineLevel="0" collapsed="false">
      <c r="A945" s="34" t="n">
        <v>7040369168</v>
      </c>
      <c r="B945" s="34" t="s">
        <v>4681</v>
      </c>
      <c r="C945" s="34" t="s">
        <v>77</v>
      </c>
      <c r="E945" s="30" t="s">
        <v>3976</v>
      </c>
      <c r="F945" s="34" t="n">
        <f aca="false">IFERROR(VLOOKUP($A945,'319'!$B:$H,7,0),0)</f>
        <v>0</v>
      </c>
      <c r="G945" s="34" t="n">
        <f aca="false">SUMIFS('12.326ana'!$C:$C,'12.326ana'!$M:$M,redes!A945)</f>
        <v>0</v>
      </c>
    </row>
    <row r="946" customFormat="false" ht="14.4" hidden="true" customHeight="false" outlineLevel="0" collapsed="false">
      <c r="A946" s="34" t="n">
        <v>7043956811</v>
      </c>
      <c r="B946" s="34" t="s">
        <v>4682</v>
      </c>
      <c r="C946" s="34" t="s">
        <v>77</v>
      </c>
      <c r="E946" s="30" t="s">
        <v>4683</v>
      </c>
      <c r="F946" s="34" t="n">
        <f aca="false">IFERROR(VLOOKUP($A946,'319'!$B:$H,7,0),0)</f>
        <v>0</v>
      </c>
      <c r="G946" s="34" t="n">
        <f aca="false">SUMIFS('12.326ana'!$C:$C,'12.326ana'!$M:$M,redes!A946)</f>
        <v>0</v>
      </c>
    </row>
    <row r="947" customFormat="false" ht="14.4" hidden="true" customHeight="false" outlineLevel="0" collapsed="false">
      <c r="A947" s="34" t="n">
        <v>7044968104</v>
      </c>
      <c r="B947" s="34" t="s">
        <v>4684</v>
      </c>
      <c r="C947" s="34" t="s">
        <v>77</v>
      </c>
      <c r="E947" s="30" t="s">
        <v>4685</v>
      </c>
      <c r="F947" s="34" t="n">
        <f aca="false">IFERROR(VLOOKUP($A947,'319'!$B:$H,7,0),0)</f>
        <v>0</v>
      </c>
      <c r="G947" s="34" t="n">
        <f aca="false">SUMIFS('12.326ana'!$C:$C,'12.326ana'!$M:$M,redes!A947)</f>
        <v>0</v>
      </c>
    </row>
    <row r="948" customFormat="false" ht="14.4" hidden="true" customHeight="false" outlineLevel="0" collapsed="false">
      <c r="A948" s="34" t="n">
        <v>7053789187</v>
      </c>
      <c r="B948" s="34" t="s">
        <v>4686</v>
      </c>
      <c r="C948" s="34" t="s">
        <v>77</v>
      </c>
      <c r="E948" s="30" t="s">
        <v>4687</v>
      </c>
      <c r="F948" s="34" t="n">
        <f aca="false">IFERROR(VLOOKUP($A948,'319'!$B:$H,7,0),0)</f>
        <v>0</v>
      </c>
      <c r="G948" s="34" t="n">
        <f aca="false">SUMIFS('12.326ana'!$C:$C,'12.326ana'!$M:$M,redes!A948)</f>
        <v>0</v>
      </c>
    </row>
    <row r="949" customFormat="false" ht="14.4" hidden="true" customHeight="false" outlineLevel="0" collapsed="false">
      <c r="A949" s="34" t="n">
        <v>7056753191</v>
      </c>
      <c r="B949" s="34" t="s">
        <v>4688</v>
      </c>
      <c r="C949" s="34" t="s">
        <v>77</v>
      </c>
      <c r="E949" s="30" t="s">
        <v>4689</v>
      </c>
      <c r="F949" s="34" t="n">
        <f aca="false">IFERROR(VLOOKUP($A949,'319'!$B:$H,7,0),0)</f>
        <v>0</v>
      </c>
      <c r="G949" s="34" t="n">
        <f aca="false">SUMIFS('12.326ana'!$C:$C,'12.326ana'!$M:$M,redes!A949)</f>
        <v>0</v>
      </c>
    </row>
    <row r="950" customFormat="false" ht="14.4" hidden="true" customHeight="false" outlineLevel="0" collapsed="false">
      <c r="A950" s="34" t="n">
        <v>7073253746</v>
      </c>
      <c r="B950" s="34" t="s">
        <v>4690</v>
      </c>
      <c r="C950" s="34" t="s">
        <v>103</v>
      </c>
      <c r="E950" s="30" t="s">
        <v>4691</v>
      </c>
      <c r="F950" s="34" t="n">
        <f aca="false">IFERROR(VLOOKUP($A950,'319'!$B:$H,7,0),0)</f>
        <v>0</v>
      </c>
      <c r="G950" s="34" t="n">
        <f aca="false">SUMIFS('12.326ana'!$C:$C,'12.326ana'!$M:$M,redes!A950)</f>
        <v>0</v>
      </c>
    </row>
    <row r="951" customFormat="false" ht="14.4" hidden="true" customHeight="false" outlineLevel="0" collapsed="false">
      <c r="A951" s="34" t="n">
        <v>7088312816</v>
      </c>
      <c r="B951" s="34" t="s">
        <v>4692</v>
      </c>
      <c r="C951" s="34" t="s">
        <v>103</v>
      </c>
      <c r="E951" s="30" t="s">
        <v>4693</v>
      </c>
      <c r="F951" s="34" t="n">
        <f aca="false">IFERROR(VLOOKUP($A951,'319'!$B:$H,7,0),0)</f>
        <v>0</v>
      </c>
      <c r="G951" s="34" t="n">
        <f aca="false">SUMIFS('12.326ana'!$C:$C,'12.326ana'!$M:$M,redes!A951)</f>
        <v>0</v>
      </c>
    </row>
    <row r="952" customFormat="false" ht="14.4" hidden="true" customHeight="false" outlineLevel="0" collapsed="false">
      <c r="A952" s="34" t="n">
        <v>7165546820</v>
      </c>
      <c r="B952" s="34" t="s">
        <v>4694</v>
      </c>
      <c r="C952" s="34" t="s">
        <v>77</v>
      </c>
      <c r="E952" s="30" t="s">
        <v>4695</v>
      </c>
      <c r="F952" s="34" t="n">
        <f aca="false">IFERROR(VLOOKUP($A952,'319'!$B:$H,7,0),0)</f>
        <v>0</v>
      </c>
      <c r="G952" s="34" t="n">
        <f aca="false">SUMIFS('12.326ana'!$C:$C,'12.326ana'!$M:$M,redes!A952)</f>
        <v>0</v>
      </c>
    </row>
    <row r="953" customFormat="false" ht="14.4" hidden="true" customHeight="false" outlineLevel="0" collapsed="false">
      <c r="A953" s="34" t="n">
        <v>7198868134</v>
      </c>
      <c r="B953" s="34" t="s">
        <v>4696</v>
      </c>
      <c r="C953" s="34" t="s">
        <v>77</v>
      </c>
      <c r="E953" s="30" t="s">
        <v>4697</v>
      </c>
      <c r="F953" s="34" t="n">
        <f aca="false">IFERROR(VLOOKUP($A953,'319'!$B:$H,7,0),0)</f>
        <v>0</v>
      </c>
      <c r="G953" s="34" t="n">
        <f aca="false">SUMIFS('12.326ana'!$C:$C,'12.326ana'!$M:$M,redes!A953)</f>
        <v>0</v>
      </c>
    </row>
    <row r="954" customFormat="false" ht="14.4" hidden="true" customHeight="false" outlineLevel="0" collapsed="false">
      <c r="A954" s="34" t="n">
        <v>7199139349</v>
      </c>
      <c r="B954" s="34" t="s">
        <v>4698</v>
      </c>
      <c r="C954" s="34" t="s">
        <v>77</v>
      </c>
      <c r="E954" s="30"/>
      <c r="F954" s="34" t="n">
        <f aca="false">IFERROR(VLOOKUP($A954,'319'!$B:$H,7,0),0)</f>
        <v>0</v>
      </c>
      <c r="G954" s="34" t="n">
        <f aca="false">SUMIFS('12.326ana'!$C:$C,'12.326ana'!$M:$M,redes!A954)</f>
        <v>0</v>
      </c>
    </row>
    <row r="955" customFormat="false" ht="14.4" hidden="true" customHeight="false" outlineLevel="0" collapsed="false">
      <c r="A955" s="34" t="n">
        <v>7203608115</v>
      </c>
      <c r="B955" s="34" t="s">
        <v>4699</v>
      </c>
      <c r="C955" s="34" t="s">
        <v>594</v>
      </c>
      <c r="E955" s="30" t="s">
        <v>4700</v>
      </c>
      <c r="F955" s="34" t="n">
        <f aca="false">IFERROR(VLOOKUP($A955,'319'!$B:$H,7,0),0)</f>
        <v>0</v>
      </c>
      <c r="G955" s="34" t="n">
        <f aca="false">SUMIFS('12.326ana'!$C:$C,'12.326ana'!$M:$M,redes!A955)</f>
        <v>0</v>
      </c>
    </row>
    <row r="956" customFormat="false" ht="14.4" hidden="true" customHeight="false" outlineLevel="0" collapsed="false">
      <c r="A956" s="34" t="n">
        <v>7302202737</v>
      </c>
      <c r="B956" s="34" t="s">
        <v>4701</v>
      </c>
      <c r="C956" s="34" t="s">
        <v>962</v>
      </c>
      <c r="E956" s="30" t="s">
        <v>4702</v>
      </c>
      <c r="F956" s="34" t="n">
        <f aca="false">IFERROR(VLOOKUP($A956,'319'!$B:$H,7,0),0)</f>
        <v>0</v>
      </c>
      <c r="G956" s="34" t="n">
        <f aca="false">SUMIFS('12.326ana'!$C:$C,'12.326ana'!$M:$M,redes!A956)</f>
        <v>0</v>
      </c>
    </row>
    <row r="957" customFormat="false" ht="14.4" hidden="true" customHeight="false" outlineLevel="0" collapsed="false">
      <c r="A957" s="34" t="n">
        <v>7328287756</v>
      </c>
      <c r="B957" s="34" t="s">
        <v>4703</v>
      </c>
      <c r="C957" s="34" t="s">
        <v>77</v>
      </c>
      <c r="E957" s="30" t="s">
        <v>4703</v>
      </c>
      <c r="F957" s="34" t="n">
        <f aca="false">IFERROR(VLOOKUP($A957,'319'!$B:$H,7,0),0)</f>
        <v>0</v>
      </c>
      <c r="G957" s="34" t="n">
        <f aca="false">SUMIFS('12.326ana'!$C:$C,'12.326ana'!$M:$M,redes!A957)</f>
        <v>0</v>
      </c>
    </row>
    <row r="958" customFormat="false" ht="14.4" hidden="true" customHeight="false" outlineLevel="0" collapsed="false">
      <c r="A958" s="34" t="n">
        <v>7356250187</v>
      </c>
      <c r="B958" s="34" t="s">
        <v>4704</v>
      </c>
      <c r="C958" s="34" t="s">
        <v>77</v>
      </c>
      <c r="E958" s="30" t="s">
        <v>3066</v>
      </c>
      <c r="F958" s="34" t="n">
        <f aca="false">IFERROR(VLOOKUP($A958,'319'!$B:$H,7,0),0)</f>
        <v>0</v>
      </c>
      <c r="G958" s="34" t="n">
        <f aca="false">SUMIFS('12.326ana'!$C:$C,'12.326ana'!$M:$M,redes!A958)</f>
        <v>0</v>
      </c>
    </row>
    <row r="959" customFormat="false" ht="14.4" hidden="true" customHeight="false" outlineLevel="0" collapsed="false">
      <c r="A959" s="34" t="n">
        <v>7356480182</v>
      </c>
      <c r="B959" s="34" t="s">
        <v>4705</v>
      </c>
      <c r="C959" s="34" t="s">
        <v>77</v>
      </c>
      <c r="E959" s="30" t="s">
        <v>4706</v>
      </c>
      <c r="F959" s="34" t="n">
        <f aca="false">IFERROR(VLOOKUP($A959,'319'!$B:$H,7,0),0)</f>
        <v>0</v>
      </c>
      <c r="G959" s="34" t="n">
        <f aca="false">SUMIFS('12.326ana'!$C:$C,'12.326ana'!$M:$M,redes!A959)</f>
        <v>0</v>
      </c>
    </row>
    <row r="960" customFormat="false" ht="14.4" hidden="true" customHeight="false" outlineLevel="0" collapsed="false">
      <c r="A960" s="34" t="n">
        <v>7356722100</v>
      </c>
      <c r="B960" s="34" t="s">
        <v>4707</v>
      </c>
      <c r="C960" s="34" t="s">
        <v>77</v>
      </c>
      <c r="E960" s="30" t="s">
        <v>4708</v>
      </c>
      <c r="F960" s="34" t="n">
        <f aca="false">IFERROR(VLOOKUP($A960,'319'!$B:$H,7,0),0)</f>
        <v>0</v>
      </c>
      <c r="G960" s="34" t="n">
        <f aca="false">SUMIFS('12.326ana'!$C:$C,'12.326ana'!$M:$M,redes!A960)</f>
        <v>0</v>
      </c>
    </row>
    <row r="961" customFormat="false" ht="14.4" hidden="true" customHeight="false" outlineLevel="0" collapsed="false">
      <c r="A961" s="34" t="n">
        <v>7357850153</v>
      </c>
      <c r="B961" s="34" t="s">
        <v>4709</v>
      </c>
      <c r="C961" s="34" t="s">
        <v>77</v>
      </c>
      <c r="E961" s="30" t="s">
        <v>4709</v>
      </c>
      <c r="F961" s="34" t="n">
        <f aca="false">IFERROR(VLOOKUP($A961,'319'!$B:$H,7,0),0)</f>
        <v>0</v>
      </c>
      <c r="G961" s="34" t="n">
        <f aca="false">SUMIFS('12.326ana'!$C:$C,'12.326ana'!$M:$M,redes!A961)</f>
        <v>0</v>
      </c>
    </row>
    <row r="962" customFormat="false" ht="14.4" hidden="true" customHeight="false" outlineLevel="0" collapsed="false">
      <c r="A962" s="34" t="n">
        <v>7361882153</v>
      </c>
      <c r="B962" s="34" t="s">
        <v>4710</v>
      </c>
      <c r="C962" s="34" t="s">
        <v>77</v>
      </c>
      <c r="E962" s="30" t="s">
        <v>4711</v>
      </c>
      <c r="F962" s="34" t="n">
        <f aca="false">IFERROR(VLOOKUP($A962,'319'!$B:$H,7,0),0)</f>
        <v>0</v>
      </c>
      <c r="G962" s="34" t="n">
        <f aca="false">SUMIFS('12.326ana'!$C:$C,'12.326ana'!$M:$M,redes!A962)</f>
        <v>0</v>
      </c>
    </row>
    <row r="963" customFormat="false" ht="14.4" hidden="true" customHeight="false" outlineLevel="0" collapsed="false">
      <c r="A963" s="34" t="n">
        <v>7365675187</v>
      </c>
      <c r="B963" s="34" t="s">
        <v>4712</v>
      </c>
      <c r="C963" s="34" t="s">
        <v>77</v>
      </c>
      <c r="E963" s="30" t="s">
        <v>4713</v>
      </c>
      <c r="F963" s="34" t="n">
        <f aca="false">IFERROR(VLOOKUP($A963,'319'!$B:$H,7,0),0)</f>
        <v>0</v>
      </c>
      <c r="G963" s="34" t="n">
        <f aca="false">SUMIFS('12.326ana'!$C:$C,'12.326ana'!$M:$M,redes!A963)</f>
        <v>0</v>
      </c>
    </row>
    <row r="964" customFormat="false" ht="14.4" hidden="true" customHeight="false" outlineLevel="0" collapsed="false">
      <c r="A964" s="34" t="n">
        <v>7366370100</v>
      </c>
      <c r="B964" s="34" t="s">
        <v>4714</v>
      </c>
      <c r="C964" s="34" t="s">
        <v>77</v>
      </c>
      <c r="E964" s="30" t="s">
        <v>4715</v>
      </c>
      <c r="F964" s="34" t="n">
        <f aca="false">IFERROR(VLOOKUP($A964,'319'!$B:$H,7,0),0)</f>
        <v>0</v>
      </c>
      <c r="G964" s="34" t="n">
        <f aca="false">SUMIFS('12.326ana'!$C:$C,'12.326ana'!$M:$M,redes!A964)</f>
        <v>0</v>
      </c>
    </row>
    <row r="965" customFormat="false" ht="14.4" hidden="true" customHeight="false" outlineLevel="0" collapsed="false">
      <c r="A965" s="34" t="n">
        <v>7367076620</v>
      </c>
      <c r="B965" s="34" t="s">
        <v>4716</v>
      </c>
      <c r="C965" s="34" t="s">
        <v>77</v>
      </c>
      <c r="E965" s="30" t="s">
        <v>4716</v>
      </c>
      <c r="F965" s="34" t="n">
        <f aca="false">IFERROR(VLOOKUP($A965,'319'!$B:$H,7,0),0)</f>
        <v>0</v>
      </c>
      <c r="G965" s="34" t="n">
        <f aca="false">SUMIFS('12.326ana'!$C:$C,'12.326ana'!$M:$M,redes!A965)</f>
        <v>0</v>
      </c>
    </row>
    <row r="966" customFormat="false" ht="14.4" hidden="true" customHeight="false" outlineLevel="0" collapsed="false">
      <c r="A966" s="34" t="n">
        <v>7367317172</v>
      </c>
      <c r="B966" s="34" t="s">
        <v>4717</v>
      </c>
      <c r="C966" s="34" t="s">
        <v>77</v>
      </c>
      <c r="E966" s="30" t="s">
        <v>4718</v>
      </c>
      <c r="F966" s="34" t="n">
        <f aca="false">IFERROR(VLOOKUP($A966,'319'!$B:$H,7,0),0)</f>
        <v>0</v>
      </c>
      <c r="G966" s="34" t="n">
        <f aca="false">SUMIFS('12.326ana'!$C:$C,'12.326ana'!$M:$M,redes!A966)</f>
        <v>0</v>
      </c>
    </row>
    <row r="967" customFormat="false" ht="14.4" hidden="true" customHeight="false" outlineLevel="0" collapsed="false">
      <c r="A967" s="34" t="n">
        <v>7369522172</v>
      </c>
      <c r="B967" s="34" t="s">
        <v>4719</v>
      </c>
      <c r="C967" s="34" t="s">
        <v>77</v>
      </c>
      <c r="E967" s="30" t="s">
        <v>4720</v>
      </c>
      <c r="F967" s="34" t="n">
        <f aca="false">IFERROR(VLOOKUP($A967,'319'!$B:$H,7,0),0)</f>
        <v>0</v>
      </c>
      <c r="G967" s="34" t="n">
        <f aca="false">SUMIFS('12.326ana'!$C:$C,'12.326ana'!$M:$M,redes!A967)</f>
        <v>0</v>
      </c>
    </row>
    <row r="968" customFormat="false" ht="14.4" hidden="true" customHeight="false" outlineLevel="0" collapsed="false">
      <c r="A968" s="34" t="n">
        <v>7388066845</v>
      </c>
      <c r="B968" s="34" t="s">
        <v>4721</v>
      </c>
      <c r="C968" s="34" t="s">
        <v>464</v>
      </c>
      <c r="E968" s="30" t="s">
        <v>4722</v>
      </c>
      <c r="F968" s="34" t="n">
        <f aca="false">IFERROR(VLOOKUP($A968,'319'!$B:$H,7,0),0)</f>
        <v>0</v>
      </c>
      <c r="G968" s="34" t="n">
        <f aca="false">SUMIFS('12.326ana'!$C:$C,'12.326ana'!$M:$M,redes!A968)</f>
        <v>0</v>
      </c>
    </row>
    <row r="969" customFormat="false" ht="14.4" hidden="true" customHeight="false" outlineLevel="0" collapsed="false">
      <c r="A969" s="34" t="n">
        <v>7388250182</v>
      </c>
      <c r="B969" s="34" t="s">
        <v>4723</v>
      </c>
      <c r="C969" s="34" t="s">
        <v>77</v>
      </c>
      <c r="E969" s="30" t="s">
        <v>4724</v>
      </c>
      <c r="F969" s="34" t="n">
        <f aca="false">IFERROR(VLOOKUP($A969,'319'!$B:$H,7,0),0)</f>
        <v>0</v>
      </c>
      <c r="G969" s="34" t="n">
        <f aca="false">SUMIFS('12.326ana'!$C:$C,'12.326ana'!$M:$M,redes!A969)</f>
        <v>0</v>
      </c>
    </row>
    <row r="970" customFormat="false" ht="14.4" hidden="true" customHeight="false" outlineLevel="0" collapsed="false">
      <c r="A970" s="34" t="n">
        <v>7398212100</v>
      </c>
      <c r="B970" s="34" t="s">
        <v>4725</v>
      </c>
      <c r="C970" s="34" t="s">
        <v>77</v>
      </c>
      <c r="E970" s="30" t="s">
        <v>4726</v>
      </c>
      <c r="F970" s="34" t="n">
        <f aca="false">IFERROR(VLOOKUP($A970,'319'!$B:$H,7,0),0)</f>
        <v>0</v>
      </c>
      <c r="G970" s="34" t="n">
        <f aca="false">SUMIFS('12.326ana'!$C:$C,'12.326ana'!$M:$M,redes!A970)</f>
        <v>0</v>
      </c>
    </row>
    <row r="971" customFormat="false" ht="14.4" hidden="true" customHeight="false" outlineLevel="0" collapsed="false">
      <c r="A971" s="34" t="n">
        <v>7399944172</v>
      </c>
      <c r="B971" s="34" t="s">
        <v>4727</v>
      </c>
      <c r="C971" s="34" t="s">
        <v>77</v>
      </c>
      <c r="E971" s="30"/>
      <c r="F971" s="34" t="n">
        <f aca="false">IFERROR(VLOOKUP($A971,'319'!$B:$H,7,0),0)</f>
        <v>0</v>
      </c>
      <c r="G971" s="34" t="n">
        <f aca="false">SUMIFS('12.326ana'!$C:$C,'12.326ana'!$M:$M,redes!A971)</f>
        <v>0</v>
      </c>
    </row>
    <row r="972" customFormat="false" ht="14.4" hidden="true" customHeight="false" outlineLevel="0" collapsed="false">
      <c r="A972" s="34" t="n">
        <v>7404662915</v>
      </c>
      <c r="B972" s="34" t="s">
        <v>4728</v>
      </c>
      <c r="C972" s="34" t="s">
        <v>77</v>
      </c>
      <c r="E972" s="30" t="s">
        <v>4729</v>
      </c>
      <c r="F972" s="34" t="n">
        <f aca="false">IFERROR(VLOOKUP($A972,'319'!$B:$H,7,0),0)</f>
        <v>0</v>
      </c>
      <c r="G972" s="34" t="n">
        <f aca="false">SUMIFS('12.326ana'!$C:$C,'12.326ana'!$M:$M,redes!A972)</f>
        <v>0</v>
      </c>
    </row>
    <row r="973" customFormat="false" ht="14.4" hidden="true" customHeight="false" outlineLevel="0" collapsed="false">
      <c r="A973" s="34" t="n">
        <v>7404735149</v>
      </c>
      <c r="B973" s="34" t="s">
        <v>4730</v>
      </c>
      <c r="C973" s="34" t="s">
        <v>77</v>
      </c>
      <c r="E973" s="30" t="s">
        <v>4731</v>
      </c>
      <c r="F973" s="34" t="n">
        <f aca="false">IFERROR(VLOOKUP($A973,'319'!$B:$H,7,0),0)</f>
        <v>0</v>
      </c>
      <c r="G973" s="34" t="n">
        <f aca="false">SUMIFS('12.326ana'!$C:$C,'12.326ana'!$M:$M,redes!A973)</f>
        <v>0</v>
      </c>
    </row>
    <row r="974" customFormat="false" ht="14.4" hidden="true" customHeight="false" outlineLevel="0" collapsed="false">
      <c r="A974" s="34" t="n">
        <v>7407017115</v>
      </c>
      <c r="B974" s="34" t="s">
        <v>4732</v>
      </c>
      <c r="C974" s="34" t="s">
        <v>77</v>
      </c>
      <c r="E974" s="30"/>
      <c r="F974" s="34" t="n">
        <f aca="false">IFERROR(VLOOKUP($A974,'319'!$B:$H,7,0),0)</f>
        <v>0</v>
      </c>
      <c r="G974" s="34" t="n">
        <f aca="false">SUMIFS('12.326ana'!$C:$C,'12.326ana'!$M:$M,redes!A974)</f>
        <v>0</v>
      </c>
    </row>
    <row r="975" customFormat="false" ht="14.4" hidden="true" customHeight="false" outlineLevel="0" collapsed="false">
      <c r="A975" s="34" t="n">
        <v>7421568425</v>
      </c>
      <c r="B975" s="34" t="s">
        <v>4733</v>
      </c>
      <c r="C975" s="34" t="s">
        <v>77</v>
      </c>
      <c r="E975" s="30" t="s">
        <v>4734</v>
      </c>
      <c r="F975" s="34" t="n">
        <f aca="false">IFERROR(VLOOKUP($A975,'319'!$B:$H,7,0),0)</f>
        <v>0</v>
      </c>
      <c r="G975" s="34" t="n">
        <f aca="false">SUMIFS('12.326ana'!$C:$C,'12.326ana'!$M:$M,redes!A975)</f>
        <v>0</v>
      </c>
    </row>
    <row r="976" customFormat="false" ht="14.4" hidden="true" customHeight="false" outlineLevel="0" collapsed="false">
      <c r="A976" s="34" t="n">
        <v>7438558843</v>
      </c>
      <c r="B976" s="34" t="s">
        <v>4735</v>
      </c>
      <c r="C976" s="34" t="s">
        <v>107</v>
      </c>
      <c r="E976" s="30" t="s">
        <v>4736</v>
      </c>
      <c r="F976" s="34" t="n">
        <f aca="false">IFERROR(VLOOKUP($A976,'319'!$B:$H,7,0),0)</f>
        <v>0</v>
      </c>
      <c r="G976" s="34" t="n">
        <f aca="false">SUMIFS('12.326ana'!$C:$C,'12.326ana'!$M:$M,redes!A976)</f>
        <v>0</v>
      </c>
    </row>
    <row r="977" customFormat="false" ht="14.4" hidden="true" customHeight="false" outlineLevel="0" collapsed="false">
      <c r="A977" s="34" t="n">
        <v>7447960837</v>
      </c>
      <c r="B977" s="34" t="s">
        <v>4737</v>
      </c>
      <c r="C977" s="34" t="s">
        <v>77</v>
      </c>
      <c r="E977" s="30"/>
      <c r="F977" s="34" t="n">
        <f aca="false">IFERROR(VLOOKUP($A977,'319'!$B:$H,7,0),0)</f>
        <v>0</v>
      </c>
      <c r="G977" s="34" t="n">
        <f aca="false">SUMIFS('12.326ana'!$C:$C,'12.326ana'!$M:$M,redes!A977)</f>
        <v>0</v>
      </c>
    </row>
    <row r="978" customFormat="false" ht="14.4" hidden="true" customHeight="false" outlineLevel="0" collapsed="false">
      <c r="A978" s="34" t="n">
        <v>7489200130</v>
      </c>
      <c r="B978" s="34" t="s">
        <v>4738</v>
      </c>
      <c r="C978" s="34" t="s">
        <v>77</v>
      </c>
      <c r="E978" s="30" t="s">
        <v>4739</v>
      </c>
      <c r="F978" s="34" t="n">
        <f aca="false">IFERROR(VLOOKUP($A978,'319'!$B:$H,7,0),0)</f>
        <v>0</v>
      </c>
      <c r="G978" s="34" t="n">
        <f aca="false">SUMIFS('12.326ana'!$C:$C,'12.326ana'!$M:$M,redes!A978)</f>
        <v>0</v>
      </c>
    </row>
    <row r="979" customFormat="false" ht="14.4" hidden="true" customHeight="false" outlineLevel="0" collapsed="false">
      <c r="A979" s="34" t="n">
        <v>7508280806</v>
      </c>
      <c r="B979" s="34" t="s">
        <v>4740</v>
      </c>
      <c r="C979" s="34" t="s">
        <v>804</v>
      </c>
      <c r="E979" s="30" t="s">
        <v>4741</v>
      </c>
      <c r="F979" s="34" t="n">
        <f aca="false">IFERROR(VLOOKUP($A979,'319'!$B:$H,7,0),0)</f>
        <v>0</v>
      </c>
      <c r="G979" s="34" t="n">
        <f aca="false">SUMIFS('12.326ana'!$C:$C,'12.326ana'!$M:$M,redes!A979)</f>
        <v>0</v>
      </c>
    </row>
    <row r="980" customFormat="false" ht="14.4" hidden="true" customHeight="false" outlineLevel="0" collapsed="false">
      <c r="A980" s="34" t="n">
        <v>7591368826</v>
      </c>
      <c r="B980" s="34" t="s">
        <v>4742</v>
      </c>
      <c r="C980" s="34" t="s">
        <v>77</v>
      </c>
      <c r="E980" s="30" t="s">
        <v>4743</v>
      </c>
      <c r="F980" s="34" t="n">
        <f aca="false">IFERROR(VLOOKUP($A980,'319'!$B:$H,7,0),0)</f>
        <v>0</v>
      </c>
      <c r="G980" s="34" t="n">
        <f aca="false">SUMIFS('12.326ana'!$C:$C,'12.326ana'!$M:$M,redes!A980)</f>
        <v>0</v>
      </c>
    </row>
    <row r="981" customFormat="false" ht="14.4" hidden="true" customHeight="false" outlineLevel="0" collapsed="false">
      <c r="A981" s="34" t="n">
        <v>7599653406</v>
      </c>
      <c r="B981" s="34" t="s">
        <v>4744</v>
      </c>
      <c r="C981" s="34" t="s">
        <v>192</v>
      </c>
      <c r="E981" s="30" t="s">
        <v>4745</v>
      </c>
      <c r="F981" s="34" t="n">
        <f aca="false">IFERROR(VLOOKUP($A981,'319'!$B:$H,7,0),0)</f>
        <v>0</v>
      </c>
      <c r="G981" s="34" t="n">
        <f aca="false">SUMIFS('12.326ana'!$C:$C,'12.326ana'!$M:$M,redes!A981)</f>
        <v>0</v>
      </c>
    </row>
    <row r="982" customFormat="false" ht="14.4" hidden="true" customHeight="false" outlineLevel="0" collapsed="false">
      <c r="A982" s="34" t="n">
        <v>7603666759</v>
      </c>
      <c r="B982" s="34" t="s">
        <v>4746</v>
      </c>
      <c r="C982" s="34" t="s">
        <v>77</v>
      </c>
      <c r="E982" s="30" t="s">
        <v>4747</v>
      </c>
      <c r="F982" s="34" t="n">
        <f aca="false">IFERROR(VLOOKUP($A982,'319'!$B:$H,7,0),0)</f>
        <v>0</v>
      </c>
      <c r="G982" s="34" t="n">
        <f aca="false">SUMIFS('12.326ana'!$C:$C,'12.326ana'!$M:$M,redes!A982)</f>
        <v>0</v>
      </c>
    </row>
    <row r="983" customFormat="false" ht="14.4" hidden="true" customHeight="false" outlineLevel="0" collapsed="false">
      <c r="A983" s="34" t="n">
        <v>7655222762</v>
      </c>
      <c r="B983" s="34" t="s">
        <v>4748</v>
      </c>
      <c r="C983" s="34" t="s">
        <v>680</v>
      </c>
      <c r="E983" s="30" t="s">
        <v>4749</v>
      </c>
      <c r="F983" s="34" t="n">
        <f aca="false">IFERROR(VLOOKUP($A983,'319'!$B:$H,7,0),0)</f>
        <v>0</v>
      </c>
      <c r="G983" s="34" t="n">
        <f aca="false">SUMIFS('12.326ana'!$C:$C,'12.326ana'!$M:$M,redes!A983)</f>
        <v>0</v>
      </c>
    </row>
    <row r="984" customFormat="false" ht="14.4" hidden="true" customHeight="false" outlineLevel="0" collapsed="false">
      <c r="A984" s="34" t="n">
        <v>7670950145</v>
      </c>
      <c r="B984" s="34" t="s">
        <v>4750</v>
      </c>
      <c r="C984" s="34" t="s">
        <v>154</v>
      </c>
      <c r="E984" s="30" t="s">
        <v>4751</v>
      </c>
      <c r="F984" s="34" t="n">
        <f aca="false">IFERROR(VLOOKUP($A984,'319'!$B:$H,7,0),0)</f>
        <v>0</v>
      </c>
      <c r="G984" s="34" t="n">
        <f aca="false">SUMIFS('12.326ana'!$C:$C,'12.326ana'!$M:$M,redes!A984)</f>
        <v>0</v>
      </c>
    </row>
    <row r="985" customFormat="false" ht="14.4" hidden="true" customHeight="false" outlineLevel="0" collapsed="false">
      <c r="A985" s="34" t="n">
        <v>7682465638</v>
      </c>
      <c r="B985" s="34" t="s">
        <v>4752</v>
      </c>
      <c r="C985" s="34" t="s">
        <v>77</v>
      </c>
      <c r="E985" s="30" t="s">
        <v>4753</v>
      </c>
      <c r="F985" s="34" t="n">
        <f aca="false">IFERROR(VLOOKUP($A985,'319'!$B:$H,7,0),0)</f>
        <v>0</v>
      </c>
      <c r="G985" s="34" t="n">
        <f aca="false">SUMIFS('12.326ana'!$C:$C,'12.326ana'!$M:$M,redes!A985)</f>
        <v>0</v>
      </c>
    </row>
    <row r="986" customFormat="false" ht="14.4" hidden="true" customHeight="false" outlineLevel="0" collapsed="false">
      <c r="A986" s="34" t="n">
        <v>7778816830</v>
      </c>
      <c r="B986" s="34" t="s">
        <v>4754</v>
      </c>
      <c r="C986" s="34" t="s">
        <v>77</v>
      </c>
      <c r="E986" s="30" t="s">
        <v>4754</v>
      </c>
      <c r="F986" s="34" t="n">
        <f aca="false">IFERROR(VLOOKUP($A986,'319'!$B:$H,7,0),0)</f>
        <v>0</v>
      </c>
      <c r="G986" s="34" t="n">
        <f aca="false">SUMIFS('12.326ana'!$C:$C,'12.326ana'!$M:$M,redes!A986)</f>
        <v>0</v>
      </c>
    </row>
    <row r="987" customFormat="false" ht="14.4" hidden="true" customHeight="false" outlineLevel="0" collapsed="false">
      <c r="A987" s="34" t="n">
        <v>7798164200</v>
      </c>
      <c r="B987" s="34" t="s">
        <v>4755</v>
      </c>
      <c r="C987" s="34" t="s">
        <v>357</v>
      </c>
      <c r="E987" s="30" t="s">
        <v>4756</v>
      </c>
      <c r="F987" s="34" t="n">
        <f aca="false">IFERROR(VLOOKUP($A987,'319'!$B:$H,7,0),0)</f>
        <v>0</v>
      </c>
      <c r="G987" s="34" t="n">
        <f aca="false">SUMIFS('12.326ana'!$C:$C,'12.326ana'!$M:$M,redes!A987)</f>
        <v>0</v>
      </c>
    </row>
    <row r="988" customFormat="false" ht="14.4" hidden="true" customHeight="false" outlineLevel="0" collapsed="false">
      <c r="A988" s="34" t="n">
        <v>7798610197</v>
      </c>
      <c r="B988" s="34" t="s">
        <v>4757</v>
      </c>
      <c r="C988" s="34" t="s">
        <v>77</v>
      </c>
      <c r="E988" s="30"/>
      <c r="F988" s="34" t="n">
        <f aca="false">IFERROR(VLOOKUP($A988,'319'!$B:$H,7,0),0)</f>
        <v>0</v>
      </c>
      <c r="G988" s="34" t="n">
        <f aca="false">SUMIFS('12.326ana'!$C:$C,'12.326ana'!$M:$M,redes!A988)</f>
        <v>0</v>
      </c>
    </row>
    <row r="989" customFormat="false" ht="14.4" hidden="true" customHeight="false" outlineLevel="0" collapsed="false">
      <c r="A989" s="34" t="n">
        <v>7801646878</v>
      </c>
      <c r="B989" s="34" t="s">
        <v>4758</v>
      </c>
      <c r="C989" s="34" t="s">
        <v>77</v>
      </c>
      <c r="E989" s="30" t="s">
        <v>4759</v>
      </c>
      <c r="F989" s="34" t="n">
        <f aca="false">IFERROR(VLOOKUP($A989,'319'!$B:$H,7,0),0)</f>
        <v>0</v>
      </c>
      <c r="G989" s="34" t="n">
        <f aca="false">SUMIFS('12.326ana'!$C:$C,'12.326ana'!$M:$M,redes!A989)</f>
        <v>0</v>
      </c>
    </row>
    <row r="990" customFormat="false" ht="14.4" hidden="true" customHeight="false" outlineLevel="0" collapsed="false">
      <c r="A990" s="34" t="n">
        <v>7810415115</v>
      </c>
      <c r="B990" s="34" t="s">
        <v>4760</v>
      </c>
      <c r="C990" s="34" t="s">
        <v>604</v>
      </c>
      <c r="E990" s="30" t="s">
        <v>4761</v>
      </c>
      <c r="F990" s="34" t="n">
        <f aca="false">IFERROR(VLOOKUP($A990,'319'!$B:$H,7,0),0)</f>
        <v>0</v>
      </c>
      <c r="G990" s="34" t="n">
        <f aca="false">SUMIFS('12.326ana'!$C:$C,'12.326ana'!$M:$M,redes!A990)</f>
        <v>0</v>
      </c>
    </row>
    <row r="991" customFormat="false" ht="14.4" hidden="true" customHeight="false" outlineLevel="0" collapsed="false">
      <c r="A991" s="34" t="n">
        <v>7854971889</v>
      </c>
      <c r="B991" s="34" t="s">
        <v>4762</v>
      </c>
      <c r="C991" s="34" t="s">
        <v>89</v>
      </c>
      <c r="E991" s="30"/>
      <c r="F991" s="34" t="n">
        <f aca="false">IFERROR(VLOOKUP($A991,'319'!$B:$H,7,0),0)</f>
        <v>0</v>
      </c>
      <c r="G991" s="34" t="n">
        <f aca="false">SUMIFS('12.326ana'!$C:$C,'12.326ana'!$M:$M,redes!A991)</f>
        <v>0</v>
      </c>
    </row>
    <row r="992" customFormat="false" ht="14.4" hidden="true" customHeight="false" outlineLevel="0" collapsed="false">
      <c r="A992" s="34" t="n">
        <v>7855252894</v>
      </c>
      <c r="B992" s="34" t="s">
        <v>4763</v>
      </c>
      <c r="C992" s="34" t="s">
        <v>478</v>
      </c>
      <c r="E992" s="30" t="s">
        <v>4764</v>
      </c>
      <c r="F992" s="34" t="n">
        <f aca="false">IFERROR(VLOOKUP($A992,'319'!$B:$H,7,0),0)</f>
        <v>0</v>
      </c>
      <c r="G992" s="34" t="n">
        <f aca="false">SUMIFS('12.326ana'!$C:$C,'12.326ana'!$M:$M,redes!A992)</f>
        <v>0</v>
      </c>
    </row>
    <row r="993" customFormat="false" ht="14.4" hidden="true" customHeight="false" outlineLevel="0" collapsed="false">
      <c r="A993" s="34" t="n">
        <v>7891288100</v>
      </c>
      <c r="B993" s="34" t="s">
        <v>4765</v>
      </c>
      <c r="C993" s="34" t="s">
        <v>77</v>
      </c>
      <c r="E993" s="30" t="s">
        <v>4766</v>
      </c>
      <c r="F993" s="34" t="n">
        <f aca="false">IFERROR(VLOOKUP($A993,'319'!$B:$H,7,0),0)</f>
        <v>0</v>
      </c>
      <c r="G993" s="34" t="n">
        <f aca="false">SUMIFS('12.326ana'!$C:$C,'12.326ana'!$M:$M,redes!A993)</f>
        <v>0</v>
      </c>
    </row>
    <row r="994" customFormat="false" ht="14.4" hidden="true" customHeight="false" outlineLevel="0" collapsed="false">
      <c r="A994" s="34" t="n">
        <v>7896344149</v>
      </c>
      <c r="B994" s="34" t="s">
        <v>4767</v>
      </c>
      <c r="C994" s="34" t="s">
        <v>77</v>
      </c>
      <c r="E994" s="30" t="s">
        <v>4768</v>
      </c>
      <c r="F994" s="34" t="n">
        <f aca="false">IFERROR(VLOOKUP($A994,'319'!$B:$H,7,0),0)</f>
        <v>0</v>
      </c>
      <c r="G994" s="34" t="n">
        <f aca="false">SUMIFS('12.326ana'!$C:$C,'12.326ana'!$M:$M,redes!A994)</f>
        <v>0</v>
      </c>
    </row>
    <row r="995" customFormat="false" ht="14.4" hidden="true" customHeight="false" outlineLevel="0" collapsed="false">
      <c r="A995" s="34" t="n">
        <v>7896972115</v>
      </c>
      <c r="B995" s="34" t="s">
        <v>4769</v>
      </c>
      <c r="C995" s="34" t="s">
        <v>77</v>
      </c>
      <c r="E995" s="30" t="s">
        <v>4770</v>
      </c>
      <c r="F995" s="34" t="n">
        <f aca="false">IFERROR(VLOOKUP($A995,'319'!$B:$H,7,0),0)</f>
        <v>0</v>
      </c>
      <c r="G995" s="34" t="n">
        <f aca="false">SUMIFS('12.326ana'!$C:$C,'12.326ana'!$M:$M,redes!A995)</f>
        <v>0</v>
      </c>
    </row>
    <row r="996" customFormat="false" ht="14.4" hidden="true" customHeight="false" outlineLevel="0" collapsed="false">
      <c r="A996" s="34" t="n">
        <v>7900961100</v>
      </c>
      <c r="B996" s="34" t="s">
        <v>4771</v>
      </c>
      <c r="C996" s="34" t="s">
        <v>77</v>
      </c>
      <c r="E996" s="30" t="s">
        <v>4772</v>
      </c>
      <c r="F996" s="34" t="n">
        <f aca="false">IFERROR(VLOOKUP($A996,'319'!$B:$H,7,0),0)</f>
        <v>0</v>
      </c>
      <c r="G996" s="34" t="n">
        <f aca="false">SUMIFS('12.326ana'!$C:$C,'12.326ana'!$M:$M,redes!A996)</f>
        <v>0</v>
      </c>
    </row>
    <row r="997" customFormat="false" ht="14.4" hidden="true" customHeight="false" outlineLevel="0" collapsed="false">
      <c r="A997" s="34" t="n">
        <v>7907800110</v>
      </c>
      <c r="B997" s="34" t="s">
        <v>4773</v>
      </c>
      <c r="C997" s="34" t="s">
        <v>89</v>
      </c>
      <c r="E997" s="30" t="s">
        <v>4774</v>
      </c>
      <c r="F997" s="34" t="n">
        <f aca="false">IFERROR(VLOOKUP($A997,'319'!$B:$H,7,0),0)</f>
        <v>0</v>
      </c>
      <c r="G997" s="34" t="n">
        <f aca="false">SUMIFS('12.326ana'!$C:$C,'12.326ana'!$M:$M,redes!A997)</f>
        <v>0</v>
      </c>
    </row>
    <row r="998" customFormat="false" ht="14.4" hidden="true" customHeight="false" outlineLevel="0" collapsed="false">
      <c r="A998" s="34" t="n">
        <v>7940173987</v>
      </c>
      <c r="B998" s="34" t="s">
        <v>4775</v>
      </c>
      <c r="C998" s="34" t="s">
        <v>77</v>
      </c>
      <c r="E998" s="30" t="s">
        <v>4776</v>
      </c>
      <c r="F998" s="34" t="n">
        <f aca="false">IFERROR(VLOOKUP($A998,'319'!$B:$H,7,0),0)</f>
        <v>0</v>
      </c>
      <c r="G998" s="34" t="n">
        <f aca="false">SUMIFS('12.326ana'!$C:$C,'12.326ana'!$M:$M,redes!A998)</f>
        <v>0</v>
      </c>
    </row>
    <row r="999" customFormat="false" ht="14.4" hidden="true" customHeight="false" outlineLevel="0" collapsed="false">
      <c r="A999" s="34" t="n">
        <v>7982984134</v>
      </c>
      <c r="B999" s="34" t="s">
        <v>4777</v>
      </c>
      <c r="C999" s="34" t="s">
        <v>192</v>
      </c>
      <c r="E999" s="30" t="s">
        <v>4778</v>
      </c>
      <c r="F999" s="34" t="n">
        <f aca="false">IFERROR(VLOOKUP($A999,'319'!$B:$H,7,0),0)</f>
        <v>0</v>
      </c>
      <c r="G999" s="34" t="n">
        <f aca="false">SUMIFS('12.326ana'!$C:$C,'12.326ana'!$M:$M,redes!A999)</f>
        <v>0</v>
      </c>
    </row>
    <row r="1000" customFormat="false" ht="14.4" hidden="true" customHeight="false" outlineLevel="0" collapsed="false">
      <c r="A1000" s="34" t="n">
        <v>7986469935</v>
      </c>
      <c r="B1000" s="34" t="s">
        <v>4779</v>
      </c>
      <c r="C1000" s="34" t="s">
        <v>77</v>
      </c>
      <c r="E1000" s="30" t="s">
        <v>4780</v>
      </c>
      <c r="F1000" s="34" t="n">
        <f aca="false">IFERROR(VLOOKUP($A1000,'319'!$B:$H,7,0),0)</f>
        <v>0</v>
      </c>
      <c r="G1000" s="34" t="n">
        <f aca="false">SUMIFS('12.326ana'!$C:$C,'12.326ana'!$M:$M,redes!A1000)</f>
        <v>0</v>
      </c>
    </row>
    <row r="1001" customFormat="false" ht="14.4" hidden="true" customHeight="false" outlineLevel="0" collapsed="false">
      <c r="A1001" s="34" t="n">
        <v>8013373134</v>
      </c>
      <c r="B1001" s="34" t="s">
        <v>4781</v>
      </c>
      <c r="C1001" s="34" t="s">
        <v>139</v>
      </c>
      <c r="E1001" s="30" t="s">
        <v>4782</v>
      </c>
      <c r="F1001" s="34" t="n">
        <f aca="false">IFERROR(VLOOKUP($A1001,'319'!$B:$H,7,0),0)</f>
        <v>0</v>
      </c>
      <c r="G1001" s="34" t="n">
        <f aca="false">SUMIFS('12.326ana'!$C:$C,'12.326ana'!$M:$M,redes!A1001)</f>
        <v>0</v>
      </c>
    </row>
    <row r="1002" customFormat="false" ht="14.4" hidden="true" customHeight="false" outlineLevel="0" collapsed="false">
      <c r="A1002" s="34" t="n">
        <v>8014728149</v>
      </c>
      <c r="B1002" s="34" t="s">
        <v>4783</v>
      </c>
      <c r="C1002" s="34" t="s">
        <v>107</v>
      </c>
      <c r="E1002" s="30" t="s">
        <v>4784</v>
      </c>
      <c r="F1002" s="34" t="n">
        <f aca="false">IFERROR(VLOOKUP($A1002,'319'!$B:$H,7,0),0)</f>
        <v>0</v>
      </c>
      <c r="G1002" s="34" t="n">
        <f aca="false">SUMIFS('12.326ana'!$C:$C,'12.326ana'!$M:$M,redes!A1002)</f>
        <v>0</v>
      </c>
    </row>
    <row r="1003" customFormat="false" ht="14.4" hidden="true" customHeight="false" outlineLevel="0" collapsed="false">
      <c r="A1003" s="34" t="n">
        <v>8027245826</v>
      </c>
      <c r="B1003" s="34" t="s">
        <v>4785</v>
      </c>
      <c r="C1003" s="34" t="s">
        <v>77</v>
      </c>
      <c r="E1003" s="30"/>
      <c r="F1003" s="34" t="n">
        <f aca="false">IFERROR(VLOOKUP($A1003,'319'!$B:$H,7,0),0)</f>
        <v>0</v>
      </c>
      <c r="G1003" s="34" t="n">
        <f aca="false">SUMIFS('12.326ana'!$C:$C,'12.326ana'!$M:$M,redes!A1003)</f>
        <v>0</v>
      </c>
    </row>
    <row r="1004" customFormat="false" ht="14.4" hidden="true" customHeight="false" outlineLevel="0" collapsed="false">
      <c r="A1004" s="34" t="n">
        <v>8031051852</v>
      </c>
      <c r="B1004" s="34" t="s">
        <v>4786</v>
      </c>
      <c r="C1004" s="34" t="s">
        <v>77</v>
      </c>
      <c r="E1004" s="30" t="s">
        <v>4787</v>
      </c>
      <c r="F1004" s="34" t="n">
        <f aca="false">IFERROR(VLOOKUP($A1004,'319'!$B:$H,7,0),0)</f>
        <v>0</v>
      </c>
      <c r="G1004" s="34" t="n">
        <f aca="false">SUMIFS('12.326ana'!$C:$C,'12.326ana'!$M:$M,redes!A1004)</f>
        <v>0</v>
      </c>
    </row>
    <row r="1005" customFormat="false" ht="14.4" hidden="true" customHeight="false" outlineLevel="0" collapsed="false">
      <c r="A1005" s="34" t="n">
        <v>8041644104</v>
      </c>
      <c r="B1005" s="34" t="s">
        <v>4788</v>
      </c>
      <c r="C1005" s="34" t="s">
        <v>77</v>
      </c>
      <c r="E1005" s="30" t="s">
        <v>4789</v>
      </c>
      <c r="F1005" s="34" t="n">
        <f aca="false">IFERROR(VLOOKUP($A1005,'319'!$B:$H,7,0),0)</f>
        <v>0</v>
      </c>
      <c r="G1005" s="34" t="n">
        <f aca="false">SUMIFS('12.326ana'!$C:$C,'12.326ana'!$M:$M,redes!A1005)</f>
        <v>0</v>
      </c>
    </row>
    <row r="1006" customFormat="false" ht="14.4" hidden="true" customHeight="false" outlineLevel="0" collapsed="false">
      <c r="A1006" s="34" t="n">
        <v>8047499149</v>
      </c>
      <c r="B1006" s="34" t="s">
        <v>4790</v>
      </c>
      <c r="C1006" s="34" t="s">
        <v>77</v>
      </c>
      <c r="E1006" s="30" t="s">
        <v>4791</v>
      </c>
      <c r="F1006" s="34" t="n">
        <f aca="false">IFERROR(VLOOKUP($A1006,'319'!$B:$H,7,0),0)</f>
        <v>0</v>
      </c>
      <c r="G1006" s="34" t="n">
        <f aca="false">SUMIFS('12.326ana'!$C:$C,'12.326ana'!$M:$M,redes!A1006)</f>
        <v>0</v>
      </c>
    </row>
    <row r="1007" customFormat="false" ht="14.4" hidden="true" customHeight="false" outlineLevel="0" collapsed="false">
      <c r="A1007" s="34" t="n">
        <v>8050236153</v>
      </c>
      <c r="B1007" s="34" t="s">
        <v>4792</v>
      </c>
      <c r="C1007" s="34" t="s">
        <v>107</v>
      </c>
      <c r="E1007" s="30" t="s">
        <v>4793</v>
      </c>
      <c r="F1007" s="34" t="n">
        <f aca="false">IFERROR(VLOOKUP($A1007,'319'!$B:$H,7,0),0)</f>
        <v>0</v>
      </c>
      <c r="G1007" s="34" t="n">
        <f aca="false">SUMIFS('12.326ana'!$C:$C,'12.326ana'!$M:$M,redes!A1007)</f>
        <v>0</v>
      </c>
    </row>
    <row r="1008" customFormat="false" ht="14.4" hidden="true" customHeight="false" outlineLevel="0" collapsed="false">
      <c r="A1008" s="34" t="n">
        <v>8058709115</v>
      </c>
      <c r="B1008" s="34" t="s">
        <v>4794</v>
      </c>
      <c r="C1008" s="34" t="s">
        <v>77</v>
      </c>
      <c r="E1008" s="30" t="s">
        <v>4795</v>
      </c>
      <c r="F1008" s="34" t="n">
        <f aca="false">IFERROR(VLOOKUP($A1008,'319'!$B:$H,7,0),0)</f>
        <v>0</v>
      </c>
      <c r="G1008" s="34" t="n">
        <f aca="false">SUMIFS('12.326ana'!$C:$C,'12.326ana'!$M:$M,redes!A1008)</f>
        <v>0</v>
      </c>
    </row>
    <row r="1009" customFormat="false" ht="14.4" hidden="true" customHeight="false" outlineLevel="0" collapsed="false">
      <c r="A1009" s="34" t="n">
        <v>8060940104</v>
      </c>
      <c r="B1009" s="34" t="s">
        <v>4796</v>
      </c>
      <c r="C1009" s="34" t="s">
        <v>463</v>
      </c>
      <c r="D1009" s="34" t="s">
        <v>4797</v>
      </c>
      <c r="E1009" s="30" t="s">
        <v>4630</v>
      </c>
      <c r="F1009" s="34" t="n">
        <f aca="false">IFERROR(VLOOKUP($A1009,'319'!$B:$H,7,0),0)</f>
        <v>0</v>
      </c>
      <c r="G1009" s="34" t="n">
        <f aca="false">SUMIFS('12.326ana'!$C:$C,'12.326ana'!$M:$M,redes!A1009)</f>
        <v>0</v>
      </c>
    </row>
    <row r="1010" customFormat="false" ht="14.4" hidden="true" customHeight="false" outlineLevel="0" collapsed="false">
      <c r="A1010" s="34" t="n">
        <v>8070296100</v>
      </c>
      <c r="B1010" s="34" t="s">
        <v>4798</v>
      </c>
      <c r="C1010" s="34" t="s">
        <v>77</v>
      </c>
      <c r="E1010" s="30" t="s">
        <v>4799</v>
      </c>
      <c r="F1010" s="34" t="n">
        <f aca="false">IFERROR(VLOOKUP($A1010,'319'!$B:$H,7,0),0)</f>
        <v>0</v>
      </c>
      <c r="G1010" s="34" t="n">
        <f aca="false">SUMIFS('12.326ana'!$C:$C,'12.326ana'!$M:$M,redes!A1010)</f>
        <v>0</v>
      </c>
    </row>
    <row r="1011" customFormat="false" ht="14.4" hidden="true" customHeight="false" outlineLevel="0" collapsed="false">
      <c r="A1011" s="34" t="n">
        <v>8091537182</v>
      </c>
      <c r="B1011" s="34" t="s">
        <v>4800</v>
      </c>
      <c r="C1011" s="34" t="s">
        <v>77</v>
      </c>
      <c r="E1011" s="30" t="s">
        <v>4801</v>
      </c>
      <c r="F1011" s="34" t="n">
        <f aca="false">IFERROR(VLOOKUP($A1011,'319'!$B:$H,7,0),0)</f>
        <v>0</v>
      </c>
      <c r="G1011" s="34" t="n">
        <f aca="false">SUMIFS('12.326ana'!$C:$C,'12.326ana'!$M:$M,redes!A1011)</f>
        <v>0</v>
      </c>
    </row>
    <row r="1012" customFormat="false" ht="14.4" hidden="true" customHeight="false" outlineLevel="0" collapsed="false">
      <c r="A1012" s="34" t="n">
        <v>8095442100</v>
      </c>
      <c r="B1012" s="34" t="s">
        <v>4802</v>
      </c>
      <c r="C1012" s="34" t="s">
        <v>77</v>
      </c>
      <c r="E1012" s="30" t="s">
        <v>4803</v>
      </c>
      <c r="F1012" s="34" t="n">
        <f aca="false">IFERROR(VLOOKUP($A1012,'319'!$B:$H,7,0),0)</f>
        <v>0</v>
      </c>
      <c r="G1012" s="34" t="n">
        <f aca="false">SUMIFS('12.326ana'!$C:$C,'12.326ana'!$M:$M,redes!A1012)</f>
        <v>0</v>
      </c>
    </row>
    <row r="1013" customFormat="false" ht="14.4" hidden="true" customHeight="false" outlineLevel="0" collapsed="false">
      <c r="A1013" s="34" t="n">
        <v>8108846315</v>
      </c>
      <c r="B1013" s="34" t="s">
        <v>4804</v>
      </c>
      <c r="C1013" s="34" t="s">
        <v>77</v>
      </c>
      <c r="E1013" s="30" t="s">
        <v>4805</v>
      </c>
      <c r="F1013" s="34" t="n">
        <f aca="false">IFERROR(VLOOKUP($A1013,'319'!$B:$H,7,0),0)</f>
        <v>0</v>
      </c>
      <c r="G1013" s="34" t="n">
        <f aca="false">SUMIFS('12.326ana'!$C:$C,'12.326ana'!$M:$M,redes!A1013)</f>
        <v>0</v>
      </c>
    </row>
    <row r="1014" customFormat="false" ht="14.4" hidden="true" customHeight="false" outlineLevel="0" collapsed="false">
      <c r="A1014" s="34" t="n">
        <v>8160662483</v>
      </c>
      <c r="B1014" s="34" t="s">
        <v>4806</v>
      </c>
      <c r="C1014" s="34" t="s">
        <v>351</v>
      </c>
      <c r="E1014" s="30" t="s">
        <v>4807</v>
      </c>
      <c r="F1014" s="34" t="n">
        <f aca="false">IFERROR(VLOOKUP($A1014,'319'!$B:$H,7,0),0)</f>
        <v>0</v>
      </c>
      <c r="G1014" s="34" t="n">
        <f aca="false">SUMIFS('12.326ana'!$C:$C,'12.326ana'!$M:$M,redes!A1014)</f>
        <v>0</v>
      </c>
    </row>
    <row r="1015" customFormat="false" ht="14.4" hidden="true" customHeight="false" outlineLevel="0" collapsed="false">
      <c r="A1015" s="34" t="n">
        <v>8221787450</v>
      </c>
      <c r="B1015" s="34" t="s">
        <v>4808</v>
      </c>
      <c r="C1015" s="34" t="s">
        <v>192</v>
      </c>
      <c r="E1015" s="30" t="s">
        <v>4808</v>
      </c>
      <c r="F1015" s="34" t="n">
        <f aca="false">IFERROR(VLOOKUP($A1015,'319'!$B:$H,7,0),0)</f>
        <v>0</v>
      </c>
      <c r="G1015" s="34" t="n">
        <f aca="false">SUMIFS('12.326ana'!$C:$C,'12.326ana'!$M:$M,redes!A1015)</f>
        <v>0</v>
      </c>
    </row>
    <row r="1016" customFormat="false" ht="14.4" hidden="true" customHeight="false" outlineLevel="0" collapsed="false">
      <c r="A1016" s="34" t="n">
        <v>8236200183</v>
      </c>
      <c r="B1016" s="34" t="s">
        <v>4809</v>
      </c>
      <c r="C1016" s="34" t="s">
        <v>77</v>
      </c>
      <c r="E1016" s="30" t="s">
        <v>4810</v>
      </c>
      <c r="F1016" s="34" t="n">
        <f aca="false">IFERROR(VLOOKUP($A1016,'319'!$B:$H,7,0),0)</f>
        <v>0</v>
      </c>
      <c r="G1016" s="34" t="n">
        <f aca="false">SUMIFS('12.326ana'!$C:$C,'12.326ana'!$M:$M,redes!A1016)</f>
        <v>0</v>
      </c>
    </row>
    <row r="1017" customFormat="false" ht="14.4" hidden="true" customHeight="false" outlineLevel="0" collapsed="false">
      <c r="A1017" s="34" t="n">
        <v>8261400840</v>
      </c>
      <c r="B1017" s="34" t="s">
        <v>4811</v>
      </c>
      <c r="C1017" s="34" t="s">
        <v>979</v>
      </c>
      <c r="E1017" s="30" t="s">
        <v>4812</v>
      </c>
      <c r="F1017" s="34" t="n">
        <f aca="false">IFERROR(VLOOKUP($A1017,'319'!$B:$H,7,0),0)</f>
        <v>0</v>
      </c>
      <c r="G1017" s="34" t="n">
        <f aca="false">SUMIFS('12.326ana'!$C:$C,'12.326ana'!$M:$M,redes!A1017)</f>
        <v>0</v>
      </c>
    </row>
    <row r="1018" customFormat="false" ht="14.4" hidden="true" customHeight="false" outlineLevel="0" collapsed="false">
      <c r="A1018" s="34" t="n">
        <v>8428738807</v>
      </c>
      <c r="B1018" s="34" t="s">
        <v>4813</v>
      </c>
      <c r="C1018" s="34" t="s">
        <v>107</v>
      </c>
      <c r="E1018" s="30" t="s">
        <v>4814</v>
      </c>
      <c r="F1018" s="34" t="n">
        <f aca="false">IFERROR(VLOOKUP($A1018,'319'!$B:$H,7,0),0)</f>
        <v>0</v>
      </c>
      <c r="G1018" s="34" t="n">
        <f aca="false">SUMIFS('12.326ana'!$C:$C,'12.326ana'!$M:$M,redes!A1018)</f>
        <v>0</v>
      </c>
    </row>
    <row r="1019" customFormat="false" ht="14.4" hidden="true" customHeight="false" outlineLevel="0" collapsed="false">
      <c r="A1019" s="34" t="n">
        <v>8539272431</v>
      </c>
      <c r="B1019" s="34" t="s">
        <v>4815</v>
      </c>
      <c r="C1019" s="34" t="s">
        <v>77</v>
      </c>
      <c r="E1019" s="30" t="s">
        <v>4815</v>
      </c>
      <c r="F1019" s="34" t="n">
        <f aca="false">IFERROR(VLOOKUP($A1019,'319'!$B:$H,7,0),0)</f>
        <v>0</v>
      </c>
      <c r="G1019" s="34" t="n">
        <f aca="false">SUMIFS('12.326ana'!$C:$C,'12.326ana'!$M:$M,redes!A1019)</f>
        <v>0</v>
      </c>
    </row>
    <row r="1020" customFormat="false" ht="14.4" hidden="true" customHeight="false" outlineLevel="0" collapsed="false">
      <c r="A1020" s="34" t="n">
        <v>8547191801</v>
      </c>
      <c r="B1020" s="34" t="s">
        <v>4816</v>
      </c>
      <c r="C1020" s="34" t="s">
        <v>77</v>
      </c>
      <c r="E1020" s="30" t="s">
        <v>4817</v>
      </c>
      <c r="F1020" s="34" t="n">
        <f aca="false">IFERROR(VLOOKUP($A1020,'319'!$B:$H,7,0),0)</f>
        <v>0</v>
      </c>
      <c r="G1020" s="34" t="n">
        <f aca="false">SUMIFS('12.326ana'!$C:$C,'12.326ana'!$M:$M,redes!A1020)</f>
        <v>0</v>
      </c>
    </row>
    <row r="1021" customFormat="false" ht="14.4" hidden="true" customHeight="false" outlineLevel="0" collapsed="false">
      <c r="A1021" s="34" t="n">
        <v>8551018817</v>
      </c>
      <c r="B1021" s="34" t="s">
        <v>4818</v>
      </c>
      <c r="C1021" s="34" t="s">
        <v>192</v>
      </c>
      <c r="E1021" s="30" t="s">
        <v>4819</v>
      </c>
      <c r="F1021" s="34" t="n">
        <f aca="false">IFERROR(VLOOKUP($A1021,'319'!$B:$H,7,0),0)</f>
        <v>0</v>
      </c>
      <c r="G1021" s="34" t="n">
        <f aca="false">SUMIFS('12.326ana'!$C:$C,'12.326ana'!$M:$M,redes!A1021)</f>
        <v>0</v>
      </c>
    </row>
    <row r="1022" customFormat="false" ht="14.4" hidden="true" customHeight="false" outlineLevel="0" collapsed="false">
      <c r="A1022" s="34" t="n">
        <v>8592519004</v>
      </c>
      <c r="B1022" s="34" t="s">
        <v>4820</v>
      </c>
      <c r="C1022" s="34" t="s">
        <v>935</v>
      </c>
      <c r="E1022" s="30" t="s">
        <v>4821</v>
      </c>
      <c r="F1022" s="34" t="n">
        <f aca="false">IFERROR(VLOOKUP($A1022,'319'!$B:$H,7,0),0)</f>
        <v>0</v>
      </c>
      <c r="G1022" s="34" t="n">
        <f aca="false">SUMIFS('12.326ana'!$C:$C,'12.326ana'!$M:$M,redes!A1022)</f>
        <v>0</v>
      </c>
    </row>
    <row r="1023" customFormat="false" ht="14.4" hidden="true" customHeight="false" outlineLevel="0" collapsed="false">
      <c r="A1023" s="34" t="n">
        <v>8617747870</v>
      </c>
      <c r="B1023" s="34" t="s">
        <v>4822</v>
      </c>
      <c r="C1023" s="34" t="s">
        <v>342</v>
      </c>
      <c r="E1023" s="30" t="s">
        <v>4823</v>
      </c>
      <c r="F1023" s="34" t="n">
        <f aca="false">IFERROR(VLOOKUP($A1023,'319'!$B:$H,7,0),0)</f>
        <v>0</v>
      </c>
      <c r="G1023" s="34" t="n">
        <f aca="false">SUMIFS('12.326ana'!$C:$C,'12.326ana'!$M:$M,redes!A1023)</f>
        <v>0</v>
      </c>
    </row>
    <row r="1024" customFormat="false" ht="14.4" hidden="true" customHeight="false" outlineLevel="0" collapsed="false">
      <c r="A1024" s="34" t="n">
        <v>8623600134</v>
      </c>
      <c r="B1024" s="34" t="s">
        <v>4824</v>
      </c>
      <c r="C1024" s="34" t="s">
        <v>781</v>
      </c>
      <c r="E1024" s="30" t="s">
        <v>4825</v>
      </c>
      <c r="F1024" s="34" t="n">
        <f aca="false">IFERROR(VLOOKUP($A1024,'319'!$B:$H,7,0),0)</f>
        <v>0</v>
      </c>
      <c r="G1024" s="34" t="n">
        <f aca="false">SUMIFS('12.326ana'!$C:$C,'12.326ana'!$M:$M,redes!A1024)</f>
        <v>0</v>
      </c>
    </row>
    <row r="1025" customFormat="false" ht="14.4" hidden="true" customHeight="false" outlineLevel="0" collapsed="false">
      <c r="A1025" s="34" t="n">
        <v>8626237820</v>
      </c>
      <c r="B1025" s="34" t="s">
        <v>4826</v>
      </c>
      <c r="C1025" s="34" t="s">
        <v>77</v>
      </c>
      <c r="E1025" s="30"/>
      <c r="F1025" s="34" t="n">
        <f aca="false">IFERROR(VLOOKUP($A1025,'319'!$B:$H,7,0),0)</f>
        <v>0</v>
      </c>
      <c r="G1025" s="34" t="n">
        <f aca="false">SUMIFS('12.326ana'!$C:$C,'12.326ana'!$M:$M,redes!A1025)</f>
        <v>0</v>
      </c>
    </row>
    <row r="1026" customFormat="false" ht="14.4" hidden="true" customHeight="false" outlineLevel="0" collapsed="false">
      <c r="A1026" s="34" t="n">
        <v>8653321187</v>
      </c>
      <c r="B1026" s="34" t="s">
        <v>4827</v>
      </c>
      <c r="C1026" s="34" t="s">
        <v>77</v>
      </c>
      <c r="E1026" s="30"/>
      <c r="F1026" s="34" t="n">
        <f aca="false">IFERROR(VLOOKUP($A1026,'319'!$B:$H,7,0),0)</f>
        <v>0</v>
      </c>
      <c r="G1026" s="34" t="n">
        <f aca="false">SUMIFS('12.326ana'!$C:$C,'12.326ana'!$M:$M,redes!A1026)</f>
        <v>0</v>
      </c>
    </row>
    <row r="1027" customFormat="false" ht="14.4" hidden="true" customHeight="false" outlineLevel="0" collapsed="false">
      <c r="A1027" s="34" t="n">
        <v>8654611120</v>
      </c>
      <c r="B1027" s="34" t="s">
        <v>4828</v>
      </c>
      <c r="C1027" s="34" t="s">
        <v>4829</v>
      </c>
      <c r="E1027" s="30" t="s">
        <v>4830</v>
      </c>
      <c r="F1027" s="34" t="n">
        <f aca="false">IFERROR(VLOOKUP($A1027,'319'!$B:$H,7,0),0)</f>
        <v>0</v>
      </c>
      <c r="G1027" s="34" t="n">
        <f aca="false">SUMIFS('12.326ana'!$C:$C,'12.326ana'!$M:$M,redes!A1027)</f>
        <v>0</v>
      </c>
    </row>
    <row r="1028" customFormat="false" ht="14.4" hidden="true" customHeight="false" outlineLevel="0" collapsed="false">
      <c r="A1028" s="34" t="n">
        <v>8661410819</v>
      </c>
      <c r="B1028" s="34" t="s">
        <v>4831</v>
      </c>
      <c r="C1028" s="34" t="s">
        <v>129</v>
      </c>
      <c r="E1028" s="30"/>
      <c r="F1028" s="34" t="n">
        <f aca="false">IFERROR(VLOOKUP($A1028,'319'!$B:$H,7,0),0)</f>
        <v>0</v>
      </c>
      <c r="G1028" s="34" t="n">
        <f aca="false">SUMIFS('12.326ana'!$C:$C,'12.326ana'!$M:$M,redes!A1028)</f>
        <v>0</v>
      </c>
    </row>
    <row r="1029" customFormat="false" ht="14.4" hidden="true" customHeight="false" outlineLevel="0" collapsed="false">
      <c r="A1029" s="34" t="n">
        <v>8671893200</v>
      </c>
      <c r="B1029" s="34" t="s">
        <v>4832</v>
      </c>
      <c r="C1029" s="34" t="s">
        <v>77</v>
      </c>
      <c r="E1029" s="30"/>
      <c r="F1029" s="34" t="n">
        <f aca="false">IFERROR(VLOOKUP($A1029,'319'!$B:$H,7,0),0)</f>
        <v>0</v>
      </c>
      <c r="G1029" s="34" t="n">
        <f aca="false">SUMIFS('12.326ana'!$C:$C,'12.326ana'!$M:$M,redes!A1029)</f>
        <v>0</v>
      </c>
    </row>
    <row r="1030" customFormat="false" ht="14.4" hidden="true" customHeight="false" outlineLevel="0" collapsed="false">
      <c r="A1030" s="34" t="n">
        <v>8700614882</v>
      </c>
      <c r="B1030" s="34" t="s">
        <v>4833</v>
      </c>
      <c r="C1030" s="34" t="s">
        <v>478</v>
      </c>
      <c r="E1030" s="30" t="s">
        <v>4834</v>
      </c>
      <c r="F1030" s="34" t="n">
        <f aca="false">IFERROR(VLOOKUP($A1030,'319'!$B:$H,7,0),0)</f>
        <v>0</v>
      </c>
      <c r="G1030" s="34" t="n">
        <f aca="false">SUMIFS('12.326ana'!$C:$C,'12.326ana'!$M:$M,redes!A1030)</f>
        <v>0</v>
      </c>
    </row>
    <row r="1031" customFormat="false" ht="14.4" hidden="true" customHeight="false" outlineLevel="0" collapsed="false">
      <c r="A1031" s="34" t="n">
        <v>8759739142</v>
      </c>
      <c r="B1031" s="34" t="s">
        <v>4835</v>
      </c>
      <c r="C1031" s="34" t="s">
        <v>103</v>
      </c>
      <c r="E1031" s="30" t="s">
        <v>4835</v>
      </c>
      <c r="F1031" s="34" t="n">
        <f aca="false">IFERROR(VLOOKUP($A1031,'319'!$B:$H,7,0),0)</f>
        <v>0</v>
      </c>
      <c r="G1031" s="34" t="n">
        <f aca="false">SUMIFS('12.326ana'!$C:$C,'12.326ana'!$M:$M,redes!A1031)</f>
        <v>0</v>
      </c>
    </row>
    <row r="1032" customFormat="false" ht="14.4" hidden="true" customHeight="false" outlineLevel="0" collapsed="false">
      <c r="A1032" s="34" t="n">
        <v>8775707870</v>
      </c>
      <c r="B1032" s="34" t="s">
        <v>4836</v>
      </c>
      <c r="C1032" s="34" t="s">
        <v>463</v>
      </c>
      <c r="E1032" s="30" t="s">
        <v>4837</v>
      </c>
      <c r="F1032" s="34" t="n">
        <f aca="false">IFERROR(VLOOKUP($A1032,'319'!$B:$H,7,0),0)</f>
        <v>0</v>
      </c>
      <c r="G1032" s="34" t="n">
        <f aca="false">SUMIFS('12.326ana'!$C:$C,'12.326ana'!$M:$M,redes!A1032)</f>
        <v>0</v>
      </c>
    </row>
    <row r="1033" customFormat="false" ht="14.4" hidden="true" customHeight="false" outlineLevel="0" collapsed="false">
      <c r="A1033" s="34" t="n">
        <v>8870999807</v>
      </c>
      <c r="B1033" s="34" t="s">
        <v>4838</v>
      </c>
      <c r="C1033" s="34" t="s">
        <v>77</v>
      </c>
      <c r="E1033" s="30"/>
      <c r="F1033" s="34" t="n">
        <f aca="false">IFERROR(VLOOKUP($A1033,'319'!$B:$H,7,0),0)</f>
        <v>0</v>
      </c>
      <c r="G1033" s="34" t="n">
        <f aca="false">SUMIFS('12.326ana'!$C:$C,'12.326ana'!$M:$M,redes!A1033)</f>
        <v>0</v>
      </c>
    </row>
    <row r="1034" customFormat="false" ht="14.4" hidden="true" customHeight="false" outlineLevel="0" collapsed="false">
      <c r="A1034" s="34" t="n">
        <v>8898868812</v>
      </c>
      <c r="B1034" s="34" t="s">
        <v>4839</v>
      </c>
      <c r="C1034" s="34" t="s">
        <v>77</v>
      </c>
      <c r="E1034" s="30" t="s">
        <v>4840</v>
      </c>
      <c r="F1034" s="34" t="n">
        <f aca="false">IFERROR(VLOOKUP($A1034,'319'!$B:$H,7,0),0)</f>
        <v>0</v>
      </c>
      <c r="G1034" s="34" t="n">
        <f aca="false">SUMIFS('12.326ana'!$C:$C,'12.326ana'!$M:$M,redes!A1034)</f>
        <v>0</v>
      </c>
    </row>
    <row r="1035" customFormat="false" ht="14.4" hidden="true" customHeight="false" outlineLevel="0" collapsed="false">
      <c r="A1035" s="34" t="n">
        <v>8914697886</v>
      </c>
      <c r="B1035" s="34" t="s">
        <v>4841</v>
      </c>
      <c r="C1035" s="34" t="s">
        <v>478</v>
      </c>
      <c r="E1035" s="30" t="s">
        <v>4842</v>
      </c>
      <c r="F1035" s="34" t="n">
        <f aca="false">IFERROR(VLOOKUP($A1035,'319'!$B:$H,7,0),0)</f>
        <v>0</v>
      </c>
      <c r="G1035" s="34" t="n">
        <f aca="false">SUMIFS('12.326ana'!$C:$C,'12.326ana'!$M:$M,redes!A1035)</f>
        <v>0</v>
      </c>
    </row>
    <row r="1036" customFormat="false" ht="14.4" hidden="true" customHeight="false" outlineLevel="0" collapsed="false">
      <c r="A1036" s="34" t="n">
        <v>9223157870</v>
      </c>
      <c r="B1036" s="34" t="s">
        <v>4843</v>
      </c>
      <c r="C1036" s="34" t="s">
        <v>464</v>
      </c>
      <c r="E1036" s="30" t="s">
        <v>4844</v>
      </c>
      <c r="F1036" s="34" t="n">
        <f aca="false">IFERROR(VLOOKUP($A1036,'319'!$B:$H,7,0),0)</f>
        <v>0</v>
      </c>
      <c r="G1036" s="34" t="n">
        <f aca="false">SUMIFS('12.326ana'!$C:$C,'12.326ana'!$M:$M,redes!A1036)</f>
        <v>0</v>
      </c>
    </row>
    <row r="1037" customFormat="false" ht="14.4" hidden="true" customHeight="false" outlineLevel="0" collapsed="false">
      <c r="A1037" s="34" t="n">
        <v>9427871881</v>
      </c>
      <c r="B1037" s="34" t="s">
        <v>4845</v>
      </c>
      <c r="C1037" s="34" t="s">
        <v>351</v>
      </c>
      <c r="E1037" s="30" t="s">
        <v>4846</v>
      </c>
      <c r="F1037" s="34" t="n">
        <f aca="false">IFERROR(VLOOKUP($A1037,'319'!$B:$H,7,0),0)</f>
        <v>0</v>
      </c>
      <c r="G1037" s="34" t="n">
        <f aca="false">SUMIFS('12.326ana'!$C:$C,'12.326ana'!$M:$M,redes!A1037)</f>
        <v>0</v>
      </c>
    </row>
    <row r="1038" customFormat="false" ht="14.4" hidden="true" customHeight="false" outlineLevel="0" collapsed="false">
      <c r="A1038" s="34" t="n">
        <v>9450652805</v>
      </c>
      <c r="B1038" s="34" t="s">
        <v>4847</v>
      </c>
      <c r="C1038" s="34" t="s">
        <v>77</v>
      </c>
      <c r="E1038" s="30" t="s">
        <v>4848</v>
      </c>
      <c r="F1038" s="34" t="n">
        <f aca="false">IFERROR(VLOOKUP($A1038,'319'!$B:$H,7,0),0)</f>
        <v>0</v>
      </c>
      <c r="G1038" s="34" t="n">
        <f aca="false">SUMIFS('12.326ana'!$C:$C,'12.326ana'!$M:$M,redes!A1038)</f>
        <v>0</v>
      </c>
    </row>
    <row r="1039" customFormat="false" ht="14.4" hidden="true" customHeight="false" outlineLevel="0" collapsed="false">
      <c r="A1039" s="34" t="n">
        <v>9546705829</v>
      </c>
      <c r="B1039" s="34" t="s">
        <v>4849</v>
      </c>
      <c r="C1039" s="34" t="s">
        <v>77</v>
      </c>
      <c r="E1039" s="30" t="s">
        <v>4850</v>
      </c>
      <c r="F1039" s="34" t="n">
        <f aca="false">IFERROR(VLOOKUP($A1039,'319'!$B:$H,7,0),0)</f>
        <v>0</v>
      </c>
      <c r="G1039" s="34" t="n">
        <f aca="false">SUMIFS('12.326ana'!$C:$C,'12.326ana'!$M:$M,redes!A1039)</f>
        <v>0</v>
      </c>
    </row>
    <row r="1040" customFormat="false" ht="14.4" hidden="true" customHeight="false" outlineLevel="0" collapsed="false">
      <c r="A1040" s="34" t="n">
        <v>9568594884</v>
      </c>
      <c r="B1040" s="34" t="s">
        <v>4851</v>
      </c>
      <c r="C1040" s="34" t="s">
        <v>565</v>
      </c>
      <c r="E1040" s="30" t="s">
        <v>4852</v>
      </c>
      <c r="F1040" s="34" t="n">
        <f aca="false">IFERROR(VLOOKUP($A1040,'319'!$B:$H,7,0),0)</f>
        <v>0</v>
      </c>
      <c r="G1040" s="34" t="n">
        <f aca="false">SUMIFS('12.326ana'!$C:$C,'12.326ana'!$M:$M,redes!A1040)</f>
        <v>0</v>
      </c>
    </row>
    <row r="1041" customFormat="false" ht="14.4" hidden="true" customHeight="false" outlineLevel="0" collapsed="false">
      <c r="A1041" s="34" t="n">
        <v>9571941883</v>
      </c>
      <c r="B1041" s="34" t="s">
        <v>4853</v>
      </c>
      <c r="C1041" s="34" t="s">
        <v>89</v>
      </c>
      <c r="E1041" s="30" t="s">
        <v>4854</v>
      </c>
      <c r="F1041" s="34" t="n">
        <f aca="false">IFERROR(VLOOKUP($A1041,'319'!$B:$H,7,0),0)</f>
        <v>0</v>
      </c>
      <c r="G1041" s="34" t="n">
        <f aca="false">SUMIFS('12.326ana'!$C:$C,'12.326ana'!$M:$M,redes!A1041)</f>
        <v>0</v>
      </c>
    </row>
    <row r="1042" customFormat="false" ht="14.4" hidden="true" customHeight="false" outlineLevel="0" collapsed="false">
      <c r="A1042" s="34" t="n">
        <v>9610702856</v>
      </c>
      <c r="B1042" s="34" t="s">
        <v>4855</v>
      </c>
      <c r="C1042" s="34" t="s">
        <v>77</v>
      </c>
      <c r="E1042" s="30" t="s">
        <v>4856</v>
      </c>
      <c r="F1042" s="34" t="n">
        <f aca="false">IFERROR(VLOOKUP($A1042,'319'!$B:$H,7,0),0)</f>
        <v>0</v>
      </c>
      <c r="G1042" s="34" t="n">
        <f aca="false">SUMIFS('12.326ana'!$C:$C,'12.326ana'!$M:$M,redes!A1042)</f>
        <v>0</v>
      </c>
    </row>
    <row r="1043" customFormat="false" ht="14.4" hidden="true" customHeight="false" outlineLevel="0" collapsed="false">
      <c r="A1043" s="34" t="n">
        <v>9645139864</v>
      </c>
      <c r="B1043" s="34" t="s">
        <v>4857</v>
      </c>
      <c r="C1043" s="34" t="s">
        <v>357</v>
      </c>
      <c r="E1043" s="30"/>
      <c r="F1043" s="34" t="n">
        <f aca="false">IFERROR(VLOOKUP($A1043,'319'!$B:$H,7,0),0)</f>
        <v>0</v>
      </c>
      <c r="G1043" s="34" t="n">
        <f aca="false">SUMIFS('12.326ana'!$C:$C,'12.326ana'!$M:$M,redes!A1043)</f>
        <v>0</v>
      </c>
    </row>
    <row r="1044" customFormat="false" ht="14.4" hidden="true" customHeight="false" outlineLevel="0" collapsed="false">
      <c r="A1044" s="34" t="n">
        <v>9746590880</v>
      </c>
      <c r="B1044" s="34" t="s">
        <v>4858</v>
      </c>
      <c r="C1044" s="34" t="s">
        <v>77</v>
      </c>
      <c r="E1044" s="30" t="s">
        <v>4859</v>
      </c>
      <c r="F1044" s="34" t="n">
        <f aca="false">IFERROR(VLOOKUP($A1044,'319'!$B:$H,7,0),0)</f>
        <v>0</v>
      </c>
      <c r="G1044" s="34" t="n">
        <f aca="false">SUMIFS('12.326ana'!$C:$C,'12.326ana'!$M:$M,redes!A1044)</f>
        <v>0</v>
      </c>
    </row>
    <row r="1045" customFormat="false" ht="14.4" hidden="true" customHeight="false" outlineLevel="0" collapsed="false">
      <c r="A1045" s="34" t="n">
        <v>9751877191</v>
      </c>
      <c r="B1045" s="34" t="s">
        <v>4860</v>
      </c>
      <c r="C1045" s="34" t="s">
        <v>77</v>
      </c>
      <c r="E1045" s="30" t="s">
        <v>4861</v>
      </c>
      <c r="F1045" s="34" t="n">
        <f aca="false">IFERROR(VLOOKUP($A1045,'319'!$B:$H,7,0),0)</f>
        <v>0</v>
      </c>
      <c r="G1045" s="34" t="n">
        <f aca="false">SUMIFS('12.326ana'!$C:$C,'12.326ana'!$M:$M,redes!A1045)</f>
        <v>0</v>
      </c>
    </row>
    <row r="1046" customFormat="false" ht="14.4" hidden="true" customHeight="false" outlineLevel="0" collapsed="false">
      <c r="A1046" s="34" t="n">
        <v>9766361827</v>
      </c>
      <c r="B1046" s="34" t="s">
        <v>4862</v>
      </c>
      <c r="C1046" s="34" t="s">
        <v>77</v>
      </c>
      <c r="E1046" s="30" t="s">
        <v>4863</v>
      </c>
      <c r="F1046" s="34" t="n">
        <f aca="false">IFERROR(VLOOKUP($A1046,'319'!$B:$H,7,0),0)</f>
        <v>0</v>
      </c>
      <c r="G1046" s="34" t="n">
        <f aca="false">SUMIFS('12.326ana'!$C:$C,'12.326ana'!$M:$M,redes!A1046)</f>
        <v>0</v>
      </c>
    </row>
    <row r="1047" customFormat="false" ht="14.4" hidden="true" customHeight="false" outlineLevel="0" collapsed="false">
      <c r="A1047" s="34" t="n">
        <v>9823866805</v>
      </c>
      <c r="B1047" s="34" t="s">
        <v>4864</v>
      </c>
      <c r="C1047" s="34" t="s">
        <v>77</v>
      </c>
      <c r="E1047" s="30" t="s">
        <v>4865</v>
      </c>
      <c r="F1047" s="34" t="n">
        <f aca="false">IFERROR(VLOOKUP($A1047,'319'!$B:$H,7,0),0)</f>
        <v>0</v>
      </c>
      <c r="G1047" s="34" t="n">
        <f aca="false">SUMIFS('12.326ana'!$C:$C,'12.326ana'!$M:$M,redes!A1047)</f>
        <v>0</v>
      </c>
    </row>
    <row r="1048" customFormat="false" ht="14.4" hidden="true" customHeight="false" outlineLevel="0" collapsed="false">
      <c r="A1048" s="34" t="n">
        <v>9933360191</v>
      </c>
      <c r="B1048" s="34" t="s">
        <v>4866</v>
      </c>
      <c r="C1048" s="34" t="s">
        <v>107</v>
      </c>
      <c r="E1048" s="30" t="s">
        <v>4867</v>
      </c>
      <c r="F1048" s="34" t="n">
        <f aca="false">IFERROR(VLOOKUP($A1048,'319'!$B:$H,7,0),0)</f>
        <v>0</v>
      </c>
      <c r="G1048" s="34" t="n">
        <f aca="false">SUMIFS('12.326ana'!$C:$C,'12.326ana'!$M:$M,redes!A1048)</f>
        <v>0</v>
      </c>
    </row>
    <row r="1049" customFormat="false" ht="14.4" hidden="true" customHeight="false" outlineLevel="0" collapsed="false">
      <c r="A1049" s="34" t="n">
        <v>9934766191</v>
      </c>
      <c r="B1049" s="34" t="s">
        <v>4868</v>
      </c>
      <c r="C1049" s="34" t="s">
        <v>154</v>
      </c>
      <c r="E1049" s="30" t="s">
        <v>4869</v>
      </c>
      <c r="F1049" s="34" t="n">
        <f aca="false">IFERROR(VLOOKUP($A1049,'319'!$B:$H,7,0),0)</f>
        <v>0</v>
      </c>
      <c r="G1049" s="34" t="n">
        <f aca="false">SUMIFS('12.326ana'!$C:$C,'12.326ana'!$M:$M,redes!A1049)</f>
        <v>0</v>
      </c>
    </row>
    <row r="1050" customFormat="false" ht="14.4" hidden="true" customHeight="false" outlineLevel="0" collapsed="false">
      <c r="A1050" s="34" t="n">
        <v>9943447168</v>
      </c>
      <c r="B1050" s="34" t="s">
        <v>4870</v>
      </c>
      <c r="C1050" s="34" t="s">
        <v>77</v>
      </c>
      <c r="E1050" s="30" t="s">
        <v>4871</v>
      </c>
      <c r="F1050" s="34" t="n">
        <f aca="false">IFERROR(VLOOKUP($A1050,'319'!$B:$H,7,0),0)</f>
        <v>0</v>
      </c>
      <c r="G1050" s="34" t="n">
        <f aca="false">SUMIFS('12.326ana'!$C:$C,'12.326ana'!$M:$M,redes!A1050)</f>
        <v>0</v>
      </c>
    </row>
    <row r="1051" customFormat="false" ht="14.4" hidden="true" customHeight="false" outlineLevel="0" collapsed="false">
      <c r="A1051" s="34" t="n">
        <v>9976343248</v>
      </c>
      <c r="B1051" s="34" t="s">
        <v>4872</v>
      </c>
      <c r="C1051" s="34" t="s">
        <v>781</v>
      </c>
      <c r="E1051" s="30" t="s">
        <v>4873</v>
      </c>
      <c r="F1051" s="34" t="n">
        <f aca="false">IFERROR(VLOOKUP($A1051,'319'!$B:$H,7,0),0)</f>
        <v>0</v>
      </c>
      <c r="G1051" s="34" t="n">
        <f aca="false">SUMIFS('12.326ana'!$C:$C,'12.326ana'!$M:$M,redes!A1051)</f>
        <v>0</v>
      </c>
    </row>
    <row r="1052" customFormat="false" ht="14.4" hidden="true" customHeight="false" outlineLevel="0" collapsed="false">
      <c r="A1052" s="34" t="n">
        <v>9978618864</v>
      </c>
      <c r="B1052" s="34" t="s">
        <v>4874</v>
      </c>
      <c r="C1052" s="34" t="s">
        <v>77</v>
      </c>
      <c r="E1052" s="30" t="s">
        <v>4875</v>
      </c>
      <c r="F1052" s="34" t="n">
        <f aca="false">IFERROR(VLOOKUP($A1052,'319'!$B:$H,7,0),0)</f>
        <v>0</v>
      </c>
      <c r="G1052" s="34" t="n">
        <f aca="false">SUMIFS('12.326ana'!$C:$C,'12.326ana'!$M:$M,redes!A1052)</f>
        <v>0</v>
      </c>
    </row>
    <row r="1053" customFormat="false" ht="14.4" hidden="true" customHeight="false" outlineLevel="0" collapsed="false">
      <c r="A1053" s="34" t="n">
        <v>10036695904</v>
      </c>
      <c r="B1053" s="34" t="s">
        <v>4876</v>
      </c>
      <c r="C1053" s="34" t="s">
        <v>77</v>
      </c>
      <c r="E1053" s="30" t="s">
        <v>4877</v>
      </c>
      <c r="F1053" s="34" t="n">
        <f aca="false">IFERROR(VLOOKUP($A1053,'319'!$B:$H,7,0),0)</f>
        <v>0</v>
      </c>
      <c r="G1053" s="34" t="n">
        <f aca="false">SUMIFS('12.326ana'!$C:$C,'12.326ana'!$M:$M,redes!A1053)</f>
        <v>0</v>
      </c>
    </row>
    <row r="1054" customFormat="false" ht="14.4" hidden="true" customHeight="false" outlineLevel="0" collapsed="false">
      <c r="A1054" s="34" t="n">
        <v>10174813856</v>
      </c>
      <c r="B1054" s="34" t="s">
        <v>4878</v>
      </c>
      <c r="C1054" s="34" t="s">
        <v>77</v>
      </c>
      <c r="E1054" s="30" t="s">
        <v>4879</v>
      </c>
      <c r="F1054" s="34" t="n">
        <f aca="false">IFERROR(VLOOKUP($A1054,'319'!$B:$H,7,0),0)</f>
        <v>0</v>
      </c>
      <c r="G1054" s="34" t="n">
        <f aca="false">SUMIFS('12.326ana'!$C:$C,'12.326ana'!$M:$M,redes!A1054)</f>
        <v>0</v>
      </c>
    </row>
    <row r="1055" customFormat="false" ht="14.4" hidden="true" customHeight="false" outlineLevel="0" collapsed="false">
      <c r="A1055" s="34" t="n">
        <v>10242121730</v>
      </c>
      <c r="B1055" s="34" t="s">
        <v>4880</v>
      </c>
      <c r="C1055" s="34" t="s">
        <v>77</v>
      </c>
      <c r="E1055" s="30" t="s">
        <v>4881</v>
      </c>
      <c r="F1055" s="34" t="n">
        <f aca="false">IFERROR(VLOOKUP($A1055,'319'!$B:$H,7,0),0)</f>
        <v>0</v>
      </c>
      <c r="G1055" s="34" t="n">
        <f aca="false">SUMIFS('12.326ana'!$C:$C,'12.326ana'!$M:$M,redes!A1055)</f>
        <v>0</v>
      </c>
    </row>
    <row r="1056" customFormat="false" ht="14.4" hidden="true" customHeight="false" outlineLevel="0" collapsed="false">
      <c r="A1056" s="34" t="n">
        <v>10286390159</v>
      </c>
      <c r="B1056" s="34" t="s">
        <v>4882</v>
      </c>
      <c r="C1056" s="34" t="s">
        <v>77</v>
      </c>
      <c r="E1056" s="30" t="s">
        <v>4883</v>
      </c>
      <c r="F1056" s="34" t="n">
        <f aca="false">IFERROR(VLOOKUP($A1056,'319'!$B:$H,7,0),0)</f>
        <v>0</v>
      </c>
      <c r="G1056" s="34" t="n">
        <f aca="false">SUMIFS('12.326ana'!$C:$C,'12.326ana'!$M:$M,redes!A1056)</f>
        <v>0</v>
      </c>
    </row>
    <row r="1057" customFormat="false" ht="14.4" hidden="true" customHeight="false" outlineLevel="0" collapsed="false">
      <c r="A1057" s="34" t="n">
        <v>10299084191</v>
      </c>
      <c r="B1057" s="34" t="s">
        <v>4884</v>
      </c>
      <c r="C1057" s="34" t="s">
        <v>139</v>
      </c>
      <c r="E1057" s="30" t="s">
        <v>4885</v>
      </c>
      <c r="F1057" s="34" t="n">
        <f aca="false">IFERROR(VLOOKUP($A1057,'319'!$B:$H,7,0),0)</f>
        <v>0</v>
      </c>
      <c r="G1057" s="34" t="n">
        <f aca="false">SUMIFS('12.326ana'!$C:$C,'12.326ana'!$M:$M,redes!A1057)</f>
        <v>0</v>
      </c>
    </row>
    <row r="1058" customFormat="false" ht="14.4" hidden="true" customHeight="false" outlineLevel="0" collapsed="false">
      <c r="A1058" s="34" t="n">
        <v>10316531200</v>
      </c>
      <c r="B1058" s="34" t="s">
        <v>4886</v>
      </c>
      <c r="C1058" s="34" t="s">
        <v>77</v>
      </c>
      <c r="E1058" s="30" t="s">
        <v>4887</v>
      </c>
      <c r="F1058" s="34" t="n">
        <f aca="false">IFERROR(VLOOKUP($A1058,'319'!$B:$H,7,0),0)</f>
        <v>0</v>
      </c>
      <c r="G1058" s="34" t="n">
        <f aca="false">SUMIFS('12.326ana'!$C:$C,'12.326ana'!$M:$M,redes!A1058)</f>
        <v>0</v>
      </c>
    </row>
    <row r="1059" customFormat="false" ht="14.4" hidden="true" customHeight="false" outlineLevel="0" collapsed="false">
      <c r="A1059" s="34" t="n">
        <v>10357403894</v>
      </c>
      <c r="B1059" s="34" t="s">
        <v>4888</v>
      </c>
      <c r="C1059" s="34" t="s">
        <v>117</v>
      </c>
      <c r="E1059" s="30" t="s">
        <v>4889</v>
      </c>
      <c r="F1059" s="34" t="n">
        <f aca="false">IFERROR(VLOOKUP($A1059,'319'!$B:$H,7,0),0)</f>
        <v>0</v>
      </c>
      <c r="G1059" s="34" t="n">
        <f aca="false">SUMIFS('12.326ana'!$C:$C,'12.326ana'!$M:$M,redes!A1059)</f>
        <v>0</v>
      </c>
    </row>
    <row r="1060" customFormat="false" ht="14.4" hidden="true" customHeight="false" outlineLevel="0" collapsed="false">
      <c r="A1060" s="34" t="n">
        <v>10369589149</v>
      </c>
      <c r="B1060" s="34" t="s">
        <v>4890</v>
      </c>
      <c r="C1060" s="34" t="s">
        <v>192</v>
      </c>
      <c r="E1060" s="30" t="s">
        <v>4891</v>
      </c>
      <c r="F1060" s="34" t="n">
        <f aca="false">IFERROR(VLOOKUP($A1060,'319'!$B:$H,7,0),0)</f>
        <v>0</v>
      </c>
      <c r="G1060" s="34" t="n">
        <f aca="false">SUMIFS('12.326ana'!$C:$C,'12.326ana'!$M:$M,redes!A1060)</f>
        <v>0</v>
      </c>
    </row>
    <row r="1061" customFormat="false" ht="14.4" hidden="true" customHeight="false" outlineLevel="0" collapsed="false">
      <c r="A1061" s="34" t="n">
        <v>10390081191</v>
      </c>
      <c r="B1061" s="34" t="s">
        <v>4892</v>
      </c>
      <c r="C1061" s="34" t="s">
        <v>77</v>
      </c>
      <c r="E1061" s="30" t="s">
        <v>3540</v>
      </c>
      <c r="F1061" s="34" t="n">
        <f aca="false">IFERROR(VLOOKUP($A1061,'319'!$B:$H,7,0),0)</f>
        <v>0</v>
      </c>
      <c r="G1061" s="34" t="n">
        <f aca="false">SUMIFS('12.326ana'!$C:$C,'12.326ana'!$M:$M,redes!A1061)</f>
        <v>0</v>
      </c>
    </row>
    <row r="1062" customFormat="false" ht="14.4" hidden="true" customHeight="false" outlineLevel="0" collapsed="false">
      <c r="A1062" s="34" t="n">
        <v>10393080153</v>
      </c>
      <c r="B1062" s="34" t="s">
        <v>4893</v>
      </c>
      <c r="C1062" s="34" t="s">
        <v>192</v>
      </c>
      <c r="E1062" s="30" t="s">
        <v>4894</v>
      </c>
      <c r="F1062" s="34" t="n">
        <f aca="false">IFERROR(VLOOKUP($A1062,'319'!$B:$H,7,0),0)</f>
        <v>0</v>
      </c>
      <c r="G1062" s="34" t="n">
        <f aca="false">SUMIFS('12.326ana'!$C:$C,'12.326ana'!$M:$M,redes!A1062)</f>
        <v>0</v>
      </c>
    </row>
    <row r="1063" customFormat="false" ht="14.4" hidden="true" customHeight="false" outlineLevel="0" collapsed="false">
      <c r="A1063" s="34" t="n">
        <v>10419845100</v>
      </c>
      <c r="B1063" s="34" t="s">
        <v>4895</v>
      </c>
      <c r="C1063" s="34" t="s">
        <v>77</v>
      </c>
      <c r="E1063" s="30" t="s">
        <v>4896</v>
      </c>
      <c r="F1063" s="34" t="n">
        <f aca="false">IFERROR(VLOOKUP($A1063,'319'!$B:$H,7,0),0)</f>
        <v>0</v>
      </c>
      <c r="G1063" s="34" t="n">
        <f aca="false">SUMIFS('12.326ana'!$C:$C,'12.326ana'!$M:$M,redes!A1063)</f>
        <v>0</v>
      </c>
    </row>
    <row r="1064" customFormat="false" ht="14.4" hidden="true" customHeight="false" outlineLevel="0" collapsed="false">
      <c r="A1064" s="34" t="n">
        <v>10422340197</v>
      </c>
      <c r="B1064" s="34" t="s">
        <v>4897</v>
      </c>
      <c r="C1064" s="34" t="s">
        <v>107</v>
      </c>
      <c r="E1064" s="30" t="s">
        <v>4898</v>
      </c>
      <c r="F1064" s="34" t="n">
        <f aca="false">IFERROR(VLOOKUP($A1064,'319'!$B:$H,7,0),0)</f>
        <v>0</v>
      </c>
      <c r="G1064" s="34" t="n">
        <f aca="false">SUMIFS('12.326ana'!$C:$C,'12.326ana'!$M:$M,redes!A1064)</f>
        <v>0</v>
      </c>
    </row>
    <row r="1065" customFormat="false" ht="14.4" hidden="true" customHeight="false" outlineLevel="0" collapsed="false">
      <c r="A1065" s="34" t="n">
        <v>10429301120</v>
      </c>
      <c r="B1065" s="34" t="s">
        <v>4899</v>
      </c>
      <c r="C1065" s="34" t="s">
        <v>781</v>
      </c>
      <c r="E1065" s="30" t="s">
        <v>4900</v>
      </c>
      <c r="F1065" s="34" t="n">
        <f aca="false">IFERROR(VLOOKUP($A1065,'319'!$B:$H,7,0),0)</f>
        <v>0</v>
      </c>
      <c r="G1065" s="34" t="n">
        <f aca="false">SUMIFS('12.326ana'!$C:$C,'12.326ana'!$M:$M,redes!A1065)</f>
        <v>0</v>
      </c>
    </row>
    <row r="1066" customFormat="false" ht="14.4" hidden="true" customHeight="false" outlineLevel="0" collapsed="false">
      <c r="A1066" s="34" t="n">
        <v>10436537168</v>
      </c>
      <c r="B1066" s="34" t="s">
        <v>4901</v>
      </c>
      <c r="C1066" s="34" t="s">
        <v>473</v>
      </c>
      <c r="E1066" s="30" t="s">
        <v>4902</v>
      </c>
      <c r="F1066" s="34" t="n">
        <f aca="false">IFERROR(VLOOKUP($A1066,'319'!$B:$H,7,0),0)</f>
        <v>0</v>
      </c>
      <c r="G1066" s="34" t="n">
        <f aca="false">SUMIFS('12.326ana'!$C:$C,'12.326ana'!$M:$M,redes!A1066)</f>
        <v>0</v>
      </c>
    </row>
    <row r="1067" customFormat="false" ht="14.4" hidden="true" customHeight="false" outlineLevel="0" collapsed="false">
      <c r="A1067" s="34" t="n">
        <v>10436944120</v>
      </c>
      <c r="B1067" s="34" t="s">
        <v>4903</v>
      </c>
      <c r="C1067" s="34" t="s">
        <v>77</v>
      </c>
      <c r="E1067" s="30" t="s">
        <v>4904</v>
      </c>
      <c r="F1067" s="34" t="n">
        <f aca="false">IFERROR(VLOOKUP($A1067,'319'!$B:$H,7,0),0)</f>
        <v>0</v>
      </c>
      <c r="G1067" s="34" t="n">
        <f aca="false">SUMIFS('12.326ana'!$C:$C,'12.326ana'!$M:$M,redes!A1067)</f>
        <v>0</v>
      </c>
    </row>
    <row r="1068" customFormat="false" ht="14.4" hidden="true" customHeight="false" outlineLevel="0" collapsed="false">
      <c r="A1068" s="34" t="n">
        <v>10453687172</v>
      </c>
      <c r="B1068" s="34" t="s">
        <v>4905</v>
      </c>
      <c r="C1068" s="34" t="s">
        <v>377</v>
      </c>
      <c r="E1068" s="30" t="s">
        <v>4906</v>
      </c>
      <c r="F1068" s="34" t="n">
        <f aca="false">IFERROR(VLOOKUP($A1068,'319'!$B:$H,7,0),0)</f>
        <v>0</v>
      </c>
      <c r="G1068" s="34" t="n">
        <f aca="false">SUMIFS('12.326ana'!$C:$C,'12.326ana'!$M:$M,redes!A1068)</f>
        <v>0</v>
      </c>
    </row>
    <row r="1069" customFormat="false" ht="14.4" hidden="true" customHeight="false" outlineLevel="0" collapsed="false">
      <c r="A1069" s="34" t="n">
        <v>10471030104</v>
      </c>
      <c r="B1069" s="34" t="s">
        <v>4907</v>
      </c>
      <c r="C1069" s="34" t="s">
        <v>77</v>
      </c>
      <c r="E1069" s="30" t="s">
        <v>4908</v>
      </c>
      <c r="F1069" s="34" t="n">
        <f aca="false">IFERROR(VLOOKUP($A1069,'319'!$B:$H,7,0),0)</f>
        <v>0</v>
      </c>
      <c r="G1069" s="34" t="n">
        <f aca="false">SUMIFS('12.326ana'!$C:$C,'12.326ana'!$M:$M,redes!A1069)</f>
        <v>0</v>
      </c>
    </row>
    <row r="1070" customFormat="false" ht="14.4" hidden="true" customHeight="false" outlineLevel="0" collapsed="false">
      <c r="A1070" s="34" t="n">
        <v>10471790168</v>
      </c>
      <c r="B1070" s="34" t="s">
        <v>4909</v>
      </c>
      <c r="C1070" s="34" t="s">
        <v>77</v>
      </c>
      <c r="E1070" s="30" t="s">
        <v>3674</v>
      </c>
      <c r="F1070" s="34" t="n">
        <f aca="false">IFERROR(VLOOKUP($A1070,'319'!$B:$H,7,0),0)</f>
        <v>0</v>
      </c>
      <c r="G1070" s="34" t="n">
        <f aca="false">SUMIFS('12.326ana'!$C:$C,'12.326ana'!$M:$M,redes!A1070)</f>
        <v>0</v>
      </c>
    </row>
    <row r="1071" customFormat="false" ht="14.4" hidden="true" customHeight="false" outlineLevel="0" collapsed="false">
      <c r="A1071" s="34" t="n">
        <v>10480323100</v>
      </c>
      <c r="B1071" s="34" t="s">
        <v>4910</v>
      </c>
      <c r="C1071" s="34" t="s">
        <v>77</v>
      </c>
      <c r="E1071" s="30" t="s">
        <v>4911</v>
      </c>
      <c r="F1071" s="34" t="n">
        <f aca="false">IFERROR(VLOOKUP($A1071,'319'!$B:$H,7,0),0)</f>
        <v>0</v>
      </c>
      <c r="G1071" s="34" t="n">
        <f aca="false">SUMIFS('12.326ana'!$C:$C,'12.326ana'!$M:$M,redes!A1071)</f>
        <v>0</v>
      </c>
    </row>
    <row r="1072" customFormat="false" ht="14.4" hidden="true" customHeight="false" outlineLevel="0" collapsed="false">
      <c r="A1072" s="34" t="n">
        <v>10487506120</v>
      </c>
      <c r="B1072" s="34" t="s">
        <v>4912</v>
      </c>
      <c r="C1072" s="34" t="s">
        <v>77</v>
      </c>
      <c r="E1072" s="30" t="s">
        <v>4913</v>
      </c>
      <c r="F1072" s="34" t="n">
        <f aca="false">IFERROR(VLOOKUP($A1072,'319'!$B:$H,7,0),0)</f>
        <v>0</v>
      </c>
      <c r="G1072" s="34" t="n">
        <f aca="false">SUMIFS('12.326ana'!$C:$C,'12.326ana'!$M:$M,redes!A1072)</f>
        <v>0</v>
      </c>
    </row>
    <row r="1073" customFormat="false" ht="14.4" hidden="true" customHeight="false" outlineLevel="0" collapsed="false">
      <c r="A1073" s="34" t="n">
        <v>10506128172</v>
      </c>
      <c r="B1073" s="34" t="s">
        <v>4914</v>
      </c>
      <c r="C1073" s="34" t="s">
        <v>197</v>
      </c>
      <c r="E1073" s="30" t="s">
        <v>4915</v>
      </c>
      <c r="F1073" s="34" t="n">
        <f aca="false">IFERROR(VLOOKUP($A1073,'319'!$B:$H,7,0),0)</f>
        <v>0</v>
      </c>
      <c r="G1073" s="34" t="n">
        <f aca="false">SUMIFS('12.326ana'!$C:$C,'12.326ana'!$M:$M,redes!A1073)</f>
        <v>0</v>
      </c>
    </row>
    <row r="1074" customFormat="false" ht="14.4" hidden="true" customHeight="false" outlineLevel="0" collapsed="false">
      <c r="A1074" s="34" t="n">
        <v>10508392187</v>
      </c>
      <c r="B1074" s="34" t="s">
        <v>4916</v>
      </c>
      <c r="C1074" s="34" t="s">
        <v>77</v>
      </c>
      <c r="E1074" s="30" t="s">
        <v>4917</v>
      </c>
      <c r="F1074" s="34" t="n">
        <f aca="false">IFERROR(VLOOKUP($A1074,'319'!$B:$H,7,0),0)</f>
        <v>0</v>
      </c>
      <c r="G1074" s="34" t="n">
        <f aca="false">SUMIFS('12.326ana'!$C:$C,'12.326ana'!$M:$M,redes!A1074)</f>
        <v>0</v>
      </c>
    </row>
    <row r="1075" customFormat="false" ht="14.4" hidden="true" customHeight="false" outlineLevel="0" collapsed="false">
      <c r="A1075" s="34" t="n">
        <v>10509461115</v>
      </c>
      <c r="B1075" s="34" t="s">
        <v>4918</v>
      </c>
      <c r="C1075" s="34" t="s">
        <v>77</v>
      </c>
      <c r="E1075" s="30" t="s">
        <v>4919</v>
      </c>
      <c r="F1075" s="34" t="n">
        <f aca="false">IFERROR(VLOOKUP($A1075,'319'!$B:$H,7,0),0)</f>
        <v>0</v>
      </c>
      <c r="G1075" s="34" t="n">
        <f aca="false">SUMIFS('12.326ana'!$C:$C,'12.326ana'!$M:$M,redes!A1075)</f>
        <v>0</v>
      </c>
    </row>
    <row r="1076" customFormat="false" ht="14.4" hidden="true" customHeight="false" outlineLevel="0" collapsed="false">
      <c r="A1076" s="34" t="n">
        <v>10512632120</v>
      </c>
      <c r="B1076" s="34" t="s">
        <v>4920</v>
      </c>
      <c r="C1076" s="34" t="s">
        <v>842</v>
      </c>
      <c r="E1076" s="30" t="s">
        <v>4921</v>
      </c>
      <c r="F1076" s="34" t="n">
        <f aca="false">IFERROR(VLOOKUP($A1076,'319'!$B:$H,7,0),0)</f>
        <v>0</v>
      </c>
      <c r="G1076" s="34" t="n">
        <f aca="false">SUMIFS('12.326ana'!$C:$C,'12.326ana'!$M:$M,redes!A1076)</f>
        <v>0</v>
      </c>
    </row>
    <row r="1077" customFormat="false" ht="14.4" hidden="true" customHeight="false" outlineLevel="0" collapsed="false">
      <c r="A1077" s="34" t="n">
        <v>10515645818</v>
      </c>
      <c r="B1077" s="34" t="s">
        <v>4922</v>
      </c>
      <c r="C1077" s="34" t="s">
        <v>77</v>
      </c>
      <c r="E1077" s="30" t="s">
        <v>4923</v>
      </c>
      <c r="F1077" s="34" t="n">
        <f aca="false">IFERROR(VLOOKUP($A1077,'319'!$B:$H,7,0),0)</f>
        <v>0</v>
      </c>
      <c r="G1077" s="34" t="n">
        <f aca="false">SUMIFS('12.326ana'!$C:$C,'12.326ana'!$M:$M,redes!A1077)</f>
        <v>0</v>
      </c>
    </row>
    <row r="1078" customFormat="false" ht="14.4" hidden="true" customHeight="false" outlineLevel="0" collapsed="false">
      <c r="A1078" s="34" t="n">
        <v>10517146134</v>
      </c>
      <c r="B1078" s="34" t="s">
        <v>4924</v>
      </c>
      <c r="C1078" s="34" t="s">
        <v>77</v>
      </c>
      <c r="E1078" s="30" t="s">
        <v>4925</v>
      </c>
      <c r="F1078" s="34" t="n">
        <f aca="false">IFERROR(VLOOKUP($A1078,'319'!$B:$H,7,0),0)</f>
        <v>0</v>
      </c>
      <c r="G1078" s="34" t="n">
        <f aca="false">SUMIFS('12.326ana'!$C:$C,'12.326ana'!$M:$M,redes!A1078)</f>
        <v>0</v>
      </c>
    </row>
    <row r="1079" customFormat="false" ht="14.4" hidden="true" customHeight="false" outlineLevel="0" collapsed="false">
      <c r="A1079" s="34" t="n">
        <v>10519661168</v>
      </c>
      <c r="B1079" s="34" t="s">
        <v>4926</v>
      </c>
      <c r="C1079" s="34" t="s">
        <v>77</v>
      </c>
      <c r="E1079" s="30" t="s">
        <v>4927</v>
      </c>
      <c r="F1079" s="34" t="n">
        <f aca="false">IFERROR(VLOOKUP($A1079,'319'!$B:$H,7,0),0)</f>
        <v>0</v>
      </c>
      <c r="G1079" s="34" t="n">
        <f aca="false">SUMIFS('12.326ana'!$C:$C,'12.326ana'!$M:$M,redes!A1079)</f>
        <v>0</v>
      </c>
    </row>
    <row r="1080" customFormat="false" ht="14.4" hidden="true" customHeight="false" outlineLevel="0" collapsed="false">
      <c r="A1080" s="34" t="n">
        <v>10519696115</v>
      </c>
      <c r="B1080" s="34" t="s">
        <v>4928</v>
      </c>
      <c r="C1080" s="34" t="s">
        <v>721</v>
      </c>
      <c r="E1080" s="30" t="s">
        <v>4929</v>
      </c>
      <c r="F1080" s="34" t="n">
        <f aca="false">IFERROR(VLOOKUP($A1080,'319'!$B:$H,7,0),0)</f>
        <v>0</v>
      </c>
      <c r="G1080" s="34" t="n">
        <f aca="false">SUMIFS('12.326ana'!$C:$C,'12.326ana'!$M:$M,redes!A1080)</f>
        <v>0</v>
      </c>
    </row>
    <row r="1081" customFormat="false" ht="14.4" hidden="true" customHeight="false" outlineLevel="0" collapsed="false">
      <c r="A1081" s="34" t="n">
        <v>10539344168</v>
      </c>
      <c r="B1081" s="34" t="s">
        <v>4930</v>
      </c>
      <c r="C1081" s="34" t="s">
        <v>962</v>
      </c>
      <c r="E1081" s="30" t="s">
        <v>4931</v>
      </c>
      <c r="F1081" s="34" t="n">
        <f aca="false">IFERROR(VLOOKUP($A1081,'319'!$B:$H,7,0),0)</f>
        <v>0</v>
      </c>
      <c r="G1081" s="34" t="n">
        <f aca="false">SUMIFS('12.326ana'!$C:$C,'12.326ana'!$M:$M,redes!A1081)</f>
        <v>0</v>
      </c>
    </row>
    <row r="1082" customFormat="false" ht="14.4" hidden="true" customHeight="false" outlineLevel="0" collapsed="false">
      <c r="A1082" s="34" t="n">
        <v>10547118104</v>
      </c>
      <c r="B1082" s="34" t="s">
        <v>4932</v>
      </c>
      <c r="C1082" s="34" t="s">
        <v>107</v>
      </c>
      <c r="E1082" s="30" t="s">
        <v>4933</v>
      </c>
      <c r="F1082" s="34" t="n">
        <f aca="false">IFERROR(VLOOKUP($A1082,'319'!$B:$H,7,0),0)</f>
        <v>0</v>
      </c>
      <c r="G1082" s="34" t="n">
        <f aca="false">SUMIFS('12.326ana'!$C:$C,'12.326ana'!$M:$M,redes!A1082)</f>
        <v>0</v>
      </c>
    </row>
    <row r="1083" customFormat="false" ht="14.4" hidden="true" customHeight="false" outlineLevel="0" collapsed="false">
      <c r="A1083" s="34" t="n">
        <v>10557318149</v>
      </c>
      <c r="B1083" s="34" t="s">
        <v>4934</v>
      </c>
      <c r="C1083" s="34" t="s">
        <v>781</v>
      </c>
      <c r="E1083" s="30" t="s">
        <v>4935</v>
      </c>
      <c r="F1083" s="34" t="n">
        <f aca="false">IFERROR(VLOOKUP($A1083,'319'!$B:$H,7,0),0)</f>
        <v>0</v>
      </c>
      <c r="G1083" s="34" t="n">
        <f aca="false">SUMIFS('12.326ana'!$C:$C,'12.326ana'!$M:$M,redes!A1083)</f>
        <v>0</v>
      </c>
    </row>
    <row r="1084" customFormat="false" ht="14.4" hidden="true" customHeight="false" outlineLevel="0" collapsed="false">
      <c r="A1084" s="34" t="n">
        <v>10558330134</v>
      </c>
      <c r="B1084" s="34" t="s">
        <v>4936</v>
      </c>
      <c r="C1084" s="34" t="s">
        <v>737</v>
      </c>
      <c r="E1084" s="30" t="s">
        <v>4937</v>
      </c>
      <c r="F1084" s="34" t="n">
        <f aca="false">IFERROR(VLOOKUP($A1084,'319'!$B:$H,7,0),0)</f>
        <v>0</v>
      </c>
      <c r="G1084" s="34" t="n">
        <f aca="false">SUMIFS('12.326ana'!$C:$C,'12.326ana'!$M:$M,redes!A1084)</f>
        <v>0</v>
      </c>
    </row>
    <row r="1085" customFormat="false" ht="14.4" hidden="true" customHeight="false" outlineLevel="0" collapsed="false">
      <c r="A1085" s="34" t="n">
        <v>10562702172</v>
      </c>
      <c r="B1085" s="34" t="s">
        <v>4938</v>
      </c>
      <c r="C1085" s="34" t="s">
        <v>77</v>
      </c>
      <c r="E1085" s="30" t="s">
        <v>4938</v>
      </c>
      <c r="F1085" s="34" t="n">
        <f aca="false">IFERROR(VLOOKUP($A1085,'319'!$B:$H,7,0),0)</f>
        <v>0</v>
      </c>
      <c r="G1085" s="34" t="n">
        <f aca="false">SUMIFS('12.326ana'!$C:$C,'12.326ana'!$M:$M,redes!A1085)</f>
        <v>0</v>
      </c>
    </row>
    <row r="1086" customFormat="false" ht="14.4" hidden="true" customHeight="false" outlineLevel="0" collapsed="false">
      <c r="A1086" s="34" t="n">
        <v>10577343149</v>
      </c>
      <c r="B1086" s="34" t="s">
        <v>4939</v>
      </c>
      <c r="C1086" s="34" t="s">
        <v>77</v>
      </c>
      <c r="E1086" s="30" t="s">
        <v>4940</v>
      </c>
      <c r="F1086" s="34" t="n">
        <f aca="false">IFERROR(VLOOKUP($A1086,'319'!$B:$H,7,0),0)</f>
        <v>0</v>
      </c>
      <c r="G1086" s="34" t="n">
        <f aca="false">SUMIFS('12.326ana'!$C:$C,'12.326ana'!$M:$M,redes!A1086)</f>
        <v>0</v>
      </c>
    </row>
    <row r="1087" customFormat="false" ht="14.4" hidden="true" customHeight="false" outlineLevel="0" collapsed="false">
      <c r="A1087" s="34" t="n">
        <v>10578544172</v>
      </c>
      <c r="B1087" s="34" t="s">
        <v>4941</v>
      </c>
      <c r="C1087" s="34" t="s">
        <v>77</v>
      </c>
      <c r="E1087" s="30" t="s">
        <v>4942</v>
      </c>
      <c r="F1087" s="34" t="n">
        <f aca="false">IFERROR(VLOOKUP($A1087,'319'!$B:$H,7,0),0)</f>
        <v>0</v>
      </c>
      <c r="G1087" s="34" t="n">
        <f aca="false">SUMIFS('12.326ana'!$C:$C,'12.326ana'!$M:$M,redes!A1087)</f>
        <v>0</v>
      </c>
    </row>
    <row r="1088" customFormat="false" ht="14.4" hidden="true" customHeight="false" outlineLevel="0" collapsed="false">
      <c r="A1088" s="34" t="n">
        <v>10584250134</v>
      </c>
      <c r="B1088" s="34" t="s">
        <v>4943</v>
      </c>
      <c r="C1088" s="34" t="s">
        <v>77</v>
      </c>
      <c r="E1088" s="30" t="s">
        <v>4944</v>
      </c>
      <c r="F1088" s="34" t="n">
        <f aca="false">IFERROR(VLOOKUP($A1088,'319'!$B:$H,7,0),0)</f>
        <v>0</v>
      </c>
      <c r="G1088" s="34" t="n">
        <f aca="false">SUMIFS('12.326ana'!$C:$C,'12.326ana'!$M:$M,redes!A1088)</f>
        <v>0</v>
      </c>
    </row>
    <row r="1089" customFormat="false" ht="14.4" hidden="true" customHeight="false" outlineLevel="0" collapsed="false">
      <c r="A1089" s="34" t="n">
        <v>10592830187</v>
      </c>
      <c r="B1089" s="34" t="s">
        <v>4945</v>
      </c>
      <c r="C1089" s="34" t="s">
        <v>77</v>
      </c>
      <c r="E1089" s="30" t="s">
        <v>4946</v>
      </c>
      <c r="F1089" s="34" t="n">
        <f aca="false">IFERROR(VLOOKUP($A1089,'319'!$B:$H,7,0),0)</f>
        <v>0</v>
      </c>
      <c r="G1089" s="34" t="n">
        <f aca="false">SUMIFS('12.326ana'!$C:$C,'12.326ana'!$M:$M,redes!A1089)</f>
        <v>0</v>
      </c>
    </row>
    <row r="1090" customFormat="false" ht="14.4" hidden="true" customHeight="false" outlineLevel="0" collapsed="false">
      <c r="A1090" s="34" t="n">
        <v>10618562168</v>
      </c>
      <c r="B1090" s="34" t="s">
        <v>4947</v>
      </c>
      <c r="C1090" s="34" t="s">
        <v>464</v>
      </c>
      <c r="E1090" s="30" t="s">
        <v>4948</v>
      </c>
      <c r="F1090" s="34" t="n">
        <f aca="false">IFERROR(VLOOKUP($A1090,'319'!$B:$H,7,0),0)</f>
        <v>0</v>
      </c>
      <c r="G1090" s="34" t="n">
        <f aca="false">SUMIFS('12.326ana'!$C:$C,'12.326ana'!$M:$M,redes!A1090)</f>
        <v>0</v>
      </c>
    </row>
    <row r="1091" customFormat="false" ht="14.4" hidden="true" customHeight="false" outlineLevel="0" collapsed="false">
      <c r="A1091" s="34" t="n">
        <v>10624112187</v>
      </c>
      <c r="B1091" s="34" t="s">
        <v>4949</v>
      </c>
      <c r="C1091" s="34" t="s">
        <v>77</v>
      </c>
      <c r="E1091" s="30" t="s">
        <v>4950</v>
      </c>
      <c r="F1091" s="34" t="n">
        <f aca="false">IFERROR(VLOOKUP($A1091,'319'!$B:$H,7,0),0)</f>
        <v>0</v>
      </c>
      <c r="G1091" s="34" t="n">
        <f aca="false">SUMIFS('12.326ana'!$C:$C,'12.326ana'!$M:$M,redes!A1091)</f>
        <v>0</v>
      </c>
    </row>
    <row r="1092" customFormat="false" ht="14.4" hidden="true" customHeight="false" outlineLevel="0" collapsed="false">
      <c r="A1092" s="34" t="n">
        <v>10630678120</v>
      </c>
      <c r="B1092" s="34" t="s">
        <v>4951</v>
      </c>
      <c r="C1092" s="34" t="s">
        <v>139</v>
      </c>
      <c r="E1092" s="30" t="s">
        <v>4952</v>
      </c>
      <c r="F1092" s="34" t="n">
        <f aca="false">IFERROR(VLOOKUP($A1092,'319'!$B:$H,7,0),0)</f>
        <v>0</v>
      </c>
      <c r="G1092" s="34" t="n">
        <f aca="false">SUMIFS('12.326ana'!$C:$C,'12.326ana'!$M:$M,redes!A1092)</f>
        <v>0</v>
      </c>
    </row>
    <row r="1093" customFormat="false" ht="14.4" hidden="true" customHeight="false" outlineLevel="0" collapsed="false">
      <c r="A1093" s="34" t="n">
        <v>10635295814</v>
      </c>
      <c r="B1093" s="34" t="s">
        <v>4953</v>
      </c>
      <c r="C1093" s="34" t="s">
        <v>631</v>
      </c>
      <c r="E1093" s="30" t="s">
        <v>4954</v>
      </c>
      <c r="F1093" s="34" t="n">
        <f aca="false">IFERROR(VLOOKUP($A1093,'319'!$B:$H,7,0),0)</f>
        <v>0</v>
      </c>
      <c r="G1093" s="34" t="n">
        <f aca="false">SUMIFS('12.326ana'!$C:$C,'12.326ana'!$M:$M,redes!A1093)</f>
        <v>0</v>
      </c>
    </row>
    <row r="1094" customFormat="false" ht="14.4" hidden="true" customHeight="false" outlineLevel="0" collapsed="false">
      <c r="A1094" s="34" t="n">
        <v>10637869168</v>
      </c>
      <c r="B1094" s="34" t="s">
        <v>4955</v>
      </c>
      <c r="C1094" s="34" t="s">
        <v>478</v>
      </c>
      <c r="E1094" s="30" t="s">
        <v>4956</v>
      </c>
      <c r="F1094" s="34" t="n">
        <f aca="false">IFERROR(VLOOKUP($A1094,'319'!$B:$H,7,0),0)</f>
        <v>0</v>
      </c>
      <c r="G1094" s="34" t="n">
        <f aca="false">SUMIFS('12.326ana'!$C:$C,'12.326ana'!$M:$M,redes!A1094)</f>
        <v>0</v>
      </c>
    </row>
    <row r="1095" customFormat="false" ht="14.4" hidden="true" customHeight="false" outlineLevel="0" collapsed="false">
      <c r="A1095" s="34" t="n">
        <v>10645152153</v>
      </c>
      <c r="B1095" s="34" t="s">
        <v>4957</v>
      </c>
      <c r="C1095" s="34" t="s">
        <v>77</v>
      </c>
      <c r="E1095" s="30" t="s">
        <v>4958</v>
      </c>
      <c r="F1095" s="34" t="n">
        <f aca="false">IFERROR(VLOOKUP($A1095,'319'!$B:$H,7,0),0)</f>
        <v>0</v>
      </c>
      <c r="G1095" s="34" t="n">
        <f aca="false">SUMIFS('12.326ana'!$C:$C,'12.326ana'!$M:$M,redes!A1095)</f>
        <v>0</v>
      </c>
    </row>
    <row r="1096" customFormat="false" ht="14.4" hidden="true" customHeight="false" outlineLevel="0" collapsed="false">
      <c r="A1096" s="34" t="n">
        <v>10645772100</v>
      </c>
      <c r="B1096" s="34" t="s">
        <v>4959</v>
      </c>
      <c r="C1096" s="34" t="s">
        <v>77</v>
      </c>
      <c r="E1096" s="30" t="s">
        <v>4960</v>
      </c>
      <c r="F1096" s="34" t="n">
        <f aca="false">IFERROR(VLOOKUP($A1096,'319'!$B:$H,7,0),0)</f>
        <v>0</v>
      </c>
      <c r="G1096" s="34" t="n">
        <f aca="false">SUMIFS('12.326ana'!$C:$C,'12.326ana'!$M:$M,redes!A1096)</f>
        <v>0</v>
      </c>
    </row>
    <row r="1097" customFormat="false" ht="14.4" hidden="true" customHeight="false" outlineLevel="0" collapsed="false">
      <c r="A1097" s="34" t="n">
        <v>10648275191</v>
      </c>
      <c r="B1097" s="34" t="s">
        <v>4961</v>
      </c>
      <c r="C1097" s="34" t="s">
        <v>77</v>
      </c>
      <c r="E1097" s="30" t="s">
        <v>3468</v>
      </c>
      <c r="F1097" s="34" t="n">
        <f aca="false">IFERROR(VLOOKUP($A1097,'319'!$B:$H,7,0),0)</f>
        <v>0</v>
      </c>
      <c r="G1097" s="34" t="n">
        <f aca="false">SUMIFS('12.326ana'!$C:$C,'12.326ana'!$M:$M,redes!A1097)</f>
        <v>0</v>
      </c>
    </row>
    <row r="1098" customFormat="false" ht="14.4" hidden="true" customHeight="false" outlineLevel="0" collapsed="false">
      <c r="A1098" s="34" t="n">
        <v>10655115153</v>
      </c>
      <c r="B1098" s="34" t="s">
        <v>4962</v>
      </c>
      <c r="C1098" s="34" t="s">
        <v>77</v>
      </c>
      <c r="E1098" s="30" t="s">
        <v>4963</v>
      </c>
      <c r="F1098" s="34" t="n">
        <f aca="false">IFERROR(VLOOKUP($A1098,'319'!$B:$H,7,0),0)</f>
        <v>0</v>
      </c>
      <c r="G1098" s="34" t="n">
        <f aca="false">SUMIFS('12.326ana'!$C:$C,'12.326ana'!$M:$M,redes!A1098)</f>
        <v>0</v>
      </c>
    </row>
    <row r="1099" customFormat="false" ht="14.4" hidden="true" customHeight="false" outlineLevel="0" collapsed="false">
      <c r="A1099" s="34" t="n">
        <v>10657320153</v>
      </c>
      <c r="B1099" s="34" t="s">
        <v>4964</v>
      </c>
      <c r="C1099" s="34" t="s">
        <v>77</v>
      </c>
      <c r="E1099" s="30" t="s">
        <v>4965</v>
      </c>
      <c r="F1099" s="34" t="n">
        <f aca="false">IFERROR(VLOOKUP($A1099,'319'!$B:$H,7,0),0)</f>
        <v>0</v>
      </c>
      <c r="G1099" s="34" t="n">
        <f aca="false">SUMIFS('12.326ana'!$C:$C,'12.326ana'!$M:$M,redes!A1099)</f>
        <v>0</v>
      </c>
    </row>
    <row r="1100" customFormat="false" ht="14.4" hidden="true" customHeight="false" outlineLevel="0" collapsed="false">
      <c r="A1100" s="34" t="n">
        <v>10659170159</v>
      </c>
      <c r="B1100" s="34" t="s">
        <v>4966</v>
      </c>
      <c r="C1100" s="34" t="s">
        <v>77</v>
      </c>
      <c r="E1100" s="30" t="s">
        <v>4967</v>
      </c>
      <c r="F1100" s="34" t="n">
        <f aca="false">IFERROR(VLOOKUP($A1100,'319'!$B:$H,7,0),0)</f>
        <v>0</v>
      </c>
      <c r="G1100" s="34" t="n">
        <f aca="false">SUMIFS('12.326ana'!$C:$C,'12.326ana'!$M:$M,redes!A1100)</f>
        <v>0</v>
      </c>
    </row>
    <row r="1101" customFormat="false" ht="14.4" hidden="true" customHeight="false" outlineLevel="0" collapsed="false">
      <c r="A1101" s="34" t="n">
        <v>10673482200</v>
      </c>
      <c r="B1101" s="34" t="s">
        <v>4968</v>
      </c>
      <c r="C1101" s="34" t="s">
        <v>77</v>
      </c>
      <c r="E1101" s="30" t="s">
        <v>4969</v>
      </c>
      <c r="F1101" s="34" t="n">
        <f aca="false">IFERROR(VLOOKUP($A1101,'319'!$B:$H,7,0),0)</f>
        <v>0</v>
      </c>
      <c r="G1101" s="34" t="n">
        <f aca="false">SUMIFS('12.326ana'!$C:$C,'12.326ana'!$M:$M,redes!A1101)</f>
        <v>0</v>
      </c>
    </row>
    <row r="1102" customFormat="false" ht="14.4" hidden="true" customHeight="false" outlineLevel="0" collapsed="false">
      <c r="A1102" s="34" t="n">
        <v>10689491719</v>
      </c>
      <c r="B1102" s="34" t="s">
        <v>4970</v>
      </c>
      <c r="C1102" s="34" t="s">
        <v>77</v>
      </c>
      <c r="E1102" s="30" t="s">
        <v>3632</v>
      </c>
      <c r="F1102" s="34" t="n">
        <f aca="false">IFERROR(VLOOKUP($A1102,'319'!$B:$H,7,0),0)</f>
        <v>0</v>
      </c>
      <c r="G1102" s="34" t="n">
        <f aca="false">SUMIFS('12.326ana'!$C:$C,'12.326ana'!$M:$M,redes!A1102)</f>
        <v>0</v>
      </c>
    </row>
    <row r="1103" customFormat="false" ht="14.4" hidden="true" customHeight="false" outlineLevel="0" collapsed="false">
      <c r="A1103" s="34" t="n">
        <v>10707042968</v>
      </c>
      <c r="B1103" s="34" t="s">
        <v>4971</v>
      </c>
      <c r="C1103" s="34" t="s">
        <v>1054</v>
      </c>
      <c r="E1103" s="30" t="s">
        <v>4972</v>
      </c>
      <c r="F1103" s="34" t="n">
        <f aca="false">IFERROR(VLOOKUP($A1103,'319'!$B:$H,7,0),0)</f>
        <v>0</v>
      </c>
      <c r="G1103" s="34" t="n">
        <f aca="false">SUMIFS('12.326ana'!$C:$C,'12.326ana'!$M:$M,redes!A1103)</f>
        <v>0</v>
      </c>
    </row>
    <row r="1104" customFormat="false" ht="14.4" hidden="true" customHeight="false" outlineLevel="0" collapsed="false">
      <c r="A1104" s="34" t="n">
        <v>10710777833</v>
      </c>
      <c r="B1104" s="34" t="s">
        <v>4973</v>
      </c>
      <c r="C1104" s="34" t="s">
        <v>342</v>
      </c>
      <c r="E1104" s="30" t="s">
        <v>4974</v>
      </c>
      <c r="F1104" s="34" t="n">
        <f aca="false">IFERROR(VLOOKUP($A1104,'319'!$B:$H,7,0),0)</f>
        <v>0</v>
      </c>
      <c r="G1104" s="34" t="n">
        <f aca="false">SUMIFS('12.326ana'!$C:$C,'12.326ana'!$M:$M,redes!A1104)</f>
        <v>0</v>
      </c>
    </row>
    <row r="1105" customFormat="false" ht="14.4" hidden="true" customHeight="false" outlineLevel="0" collapsed="false">
      <c r="A1105" s="34" t="n">
        <v>10724273115</v>
      </c>
      <c r="B1105" s="34" t="s">
        <v>4975</v>
      </c>
      <c r="C1105" s="34" t="s">
        <v>77</v>
      </c>
      <c r="E1105" s="30" t="s">
        <v>4976</v>
      </c>
      <c r="F1105" s="34" t="n">
        <f aca="false">IFERROR(VLOOKUP($A1105,'319'!$B:$H,7,0),0)</f>
        <v>0</v>
      </c>
      <c r="G1105" s="34" t="n">
        <f aca="false">SUMIFS('12.326ana'!$C:$C,'12.326ana'!$M:$M,redes!A1105)</f>
        <v>0</v>
      </c>
    </row>
    <row r="1106" customFormat="false" ht="14.4" hidden="true" customHeight="false" outlineLevel="0" collapsed="false">
      <c r="A1106" s="34" t="n">
        <v>10725032120</v>
      </c>
      <c r="B1106" s="34" t="s">
        <v>4977</v>
      </c>
      <c r="C1106" s="34" t="s">
        <v>994</v>
      </c>
      <c r="E1106" s="30" t="s">
        <v>4978</v>
      </c>
      <c r="F1106" s="34" t="n">
        <f aca="false">IFERROR(VLOOKUP($A1106,'319'!$B:$H,7,0),0)</f>
        <v>0</v>
      </c>
      <c r="G1106" s="34" t="n">
        <f aca="false">SUMIFS('12.326ana'!$C:$C,'12.326ana'!$M:$M,redes!A1106)</f>
        <v>0</v>
      </c>
    </row>
    <row r="1107" customFormat="false" ht="14.4" hidden="true" customHeight="false" outlineLevel="0" collapsed="false">
      <c r="A1107" s="34" t="n">
        <v>10726624187</v>
      </c>
      <c r="B1107" s="34" t="s">
        <v>4979</v>
      </c>
      <c r="C1107" s="34" t="s">
        <v>463</v>
      </c>
      <c r="E1107" s="30" t="s">
        <v>4980</v>
      </c>
      <c r="F1107" s="34" t="n">
        <f aca="false">IFERROR(VLOOKUP($A1107,'319'!$B:$H,7,0),0)</f>
        <v>0</v>
      </c>
      <c r="G1107" s="34" t="n">
        <f aca="false">SUMIFS('12.326ana'!$C:$C,'12.326ana'!$M:$M,redes!A1107)</f>
        <v>0</v>
      </c>
    </row>
    <row r="1108" customFormat="false" ht="14.4" hidden="true" customHeight="false" outlineLevel="0" collapsed="false">
      <c r="A1108" s="34" t="n">
        <v>10728864134</v>
      </c>
      <c r="B1108" s="34" t="s">
        <v>4981</v>
      </c>
      <c r="C1108" s="34" t="s">
        <v>103</v>
      </c>
      <c r="E1108" s="30" t="s">
        <v>4982</v>
      </c>
      <c r="F1108" s="34" t="n">
        <f aca="false">IFERROR(VLOOKUP($A1108,'319'!$B:$H,7,0),0)</f>
        <v>0</v>
      </c>
      <c r="G1108" s="34" t="n">
        <f aca="false">SUMIFS('12.326ana'!$C:$C,'12.326ana'!$M:$M,redes!A1108)</f>
        <v>0</v>
      </c>
    </row>
    <row r="1109" customFormat="false" ht="14.4" hidden="true" customHeight="false" outlineLevel="0" collapsed="false">
      <c r="A1109" s="34" t="n">
        <v>10731652134</v>
      </c>
      <c r="B1109" s="34" t="s">
        <v>4983</v>
      </c>
      <c r="C1109" s="34" t="s">
        <v>309</v>
      </c>
      <c r="E1109" s="30" t="s">
        <v>4984</v>
      </c>
      <c r="F1109" s="34" t="n">
        <f aca="false">IFERROR(VLOOKUP($A1109,'319'!$B:$H,7,0),0)</f>
        <v>0</v>
      </c>
      <c r="G1109" s="34" t="n">
        <f aca="false">SUMIFS('12.326ana'!$C:$C,'12.326ana'!$M:$M,redes!A1109)</f>
        <v>0</v>
      </c>
    </row>
    <row r="1110" customFormat="false" ht="14.4" hidden="true" customHeight="false" outlineLevel="0" collapsed="false">
      <c r="A1110" s="34" t="n">
        <v>10733884172</v>
      </c>
      <c r="B1110" s="34" t="s">
        <v>4985</v>
      </c>
      <c r="C1110" s="34" t="s">
        <v>77</v>
      </c>
      <c r="E1110" s="30" t="s">
        <v>4986</v>
      </c>
      <c r="F1110" s="34" t="n">
        <f aca="false">IFERROR(VLOOKUP($A1110,'319'!$B:$H,7,0),0)</f>
        <v>0</v>
      </c>
      <c r="G1110" s="34" t="n">
        <f aca="false">SUMIFS('12.326ana'!$C:$C,'12.326ana'!$M:$M,redes!A1110)</f>
        <v>0</v>
      </c>
    </row>
    <row r="1111" customFormat="false" ht="14.4" hidden="true" customHeight="false" outlineLevel="0" collapsed="false">
      <c r="A1111" s="34" t="n">
        <v>10738975168</v>
      </c>
      <c r="B1111" s="34" t="s">
        <v>4987</v>
      </c>
      <c r="C1111" s="34" t="s">
        <v>77</v>
      </c>
      <c r="E1111" s="30" t="s">
        <v>4988</v>
      </c>
      <c r="F1111" s="34" t="n">
        <f aca="false">IFERROR(VLOOKUP($A1111,'319'!$B:$H,7,0),0)</f>
        <v>0</v>
      </c>
      <c r="G1111" s="34" t="n">
        <f aca="false">SUMIFS('12.326ana'!$C:$C,'12.326ana'!$M:$M,redes!A1111)</f>
        <v>0</v>
      </c>
    </row>
    <row r="1112" customFormat="false" ht="14.4" hidden="true" customHeight="false" outlineLevel="0" collapsed="false">
      <c r="A1112" s="34" t="n">
        <v>10745670130</v>
      </c>
      <c r="B1112" s="34" t="s">
        <v>4989</v>
      </c>
      <c r="C1112" s="34" t="s">
        <v>107</v>
      </c>
      <c r="E1112" s="30"/>
      <c r="F1112" s="34" t="n">
        <f aca="false">IFERROR(VLOOKUP($A1112,'319'!$B:$H,7,0),0)</f>
        <v>0</v>
      </c>
      <c r="G1112" s="34" t="n">
        <f aca="false">SUMIFS('12.326ana'!$C:$C,'12.326ana'!$M:$M,redes!A1112)</f>
        <v>0</v>
      </c>
    </row>
    <row r="1113" customFormat="false" ht="14.4" hidden="true" customHeight="false" outlineLevel="0" collapsed="false">
      <c r="A1113" s="34" t="n">
        <v>10776060104</v>
      </c>
      <c r="B1113" s="34" t="s">
        <v>4990</v>
      </c>
      <c r="C1113" s="34" t="s">
        <v>377</v>
      </c>
      <c r="E1113" s="30" t="s">
        <v>4991</v>
      </c>
      <c r="F1113" s="34" t="n">
        <f aca="false">IFERROR(VLOOKUP($A1113,'319'!$B:$H,7,0),0)</f>
        <v>0</v>
      </c>
      <c r="G1113" s="34" t="n">
        <f aca="false">SUMIFS('12.326ana'!$C:$C,'12.326ana'!$M:$M,redes!A1113)</f>
        <v>0</v>
      </c>
    </row>
    <row r="1114" customFormat="false" ht="14.4" hidden="true" customHeight="false" outlineLevel="0" collapsed="false">
      <c r="A1114" s="34" t="n">
        <v>10785655115</v>
      </c>
      <c r="B1114" s="34" t="s">
        <v>4992</v>
      </c>
      <c r="C1114" s="34" t="s">
        <v>77</v>
      </c>
      <c r="E1114" s="30" t="s">
        <v>4993</v>
      </c>
      <c r="F1114" s="34" t="n">
        <f aca="false">IFERROR(VLOOKUP($A1114,'319'!$B:$H,7,0),0)</f>
        <v>0</v>
      </c>
      <c r="G1114" s="34" t="n">
        <f aca="false">SUMIFS('12.326ana'!$C:$C,'12.326ana'!$M:$M,redes!A1114)</f>
        <v>0</v>
      </c>
    </row>
    <row r="1115" customFormat="false" ht="14.4" hidden="true" customHeight="false" outlineLevel="0" collapsed="false">
      <c r="A1115" s="34" t="n">
        <v>10803580134</v>
      </c>
      <c r="B1115" s="34" t="s">
        <v>4994</v>
      </c>
      <c r="C1115" s="34" t="s">
        <v>77</v>
      </c>
      <c r="E1115" s="30" t="s">
        <v>4995</v>
      </c>
      <c r="F1115" s="34" t="n">
        <f aca="false">IFERROR(VLOOKUP($A1115,'319'!$B:$H,7,0),0)</f>
        <v>0</v>
      </c>
      <c r="G1115" s="34" t="n">
        <f aca="false">SUMIFS('12.326ana'!$C:$C,'12.326ana'!$M:$M,redes!A1115)</f>
        <v>0</v>
      </c>
    </row>
    <row r="1116" customFormat="false" ht="14.4" hidden="true" customHeight="false" outlineLevel="0" collapsed="false">
      <c r="A1116" s="34" t="n">
        <v>10805710191</v>
      </c>
      <c r="B1116" s="34" t="s">
        <v>4996</v>
      </c>
      <c r="C1116" s="34" t="s">
        <v>77</v>
      </c>
      <c r="E1116" s="30" t="s">
        <v>4997</v>
      </c>
      <c r="F1116" s="34" t="n">
        <f aca="false">IFERROR(VLOOKUP($A1116,'319'!$B:$H,7,0),0)</f>
        <v>0</v>
      </c>
      <c r="G1116" s="34" t="n">
        <f aca="false">SUMIFS('12.326ana'!$C:$C,'12.326ana'!$M:$M,redes!A1116)</f>
        <v>0</v>
      </c>
    </row>
    <row r="1117" customFormat="false" ht="14.4" hidden="true" customHeight="false" outlineLevel="0" collapsed="false">
      <c r="A1117" s="34" t="n">
        <v>10817140182</v>
      </c>
      <c r="B1117" s="34" t="s">
        <v>4998</v>
      </c>
      <c r="C1117" s="34" t="s">
        <v>848</v>
      </c>
      <c r="E1117" s="30" t="s">
        <v>4999</v>
      </c>
      <c r="F1117" s="34" t="n">
        <f aca="false">IFERROR(VLOOKUP($A1117,'319'!$B:$H,7,0),0)</f>
        <v>0</v>
      </c>
      <c r="G1117" s="34" t="n">
        <f aca="false">SUMIFS('12.326ana'!$C:$C,'12.326ana'!$M:$M,redes!A1117)</f>
        <v>0</v>
      </c>
    </row>
    <row r="1118" customFormat="false" ht="14.4" hidden="true" customHeight="false" outlineLevel="0" collapsed="false">
      <c r="A1118" s="34" t="n">
        <v>10824057104</v>
      </c>
      <c r="B1118" s="34" t="s">
        <v>5000</v>
      </c>
      <c r="C1118" s="34" t="s">
        <v>77</v>
      </c>
      <c r="E1118" s="30" t="s">
        <v>5001</v>
      </c>
      <c r="F1118" s="34" t="n">
        <f aca="false">IFERROR(VLOOKUP($A1118,'319'!$B:$H,7,0),0)</f>
        <v>0</v>
      </c>
      <c r="G1118" s="34" t="n">
        <f aca="false">SUMIFS('12.326ana'!$C:$C,'12.326ana'!$M:$M,redes!A1118)</f>
        <v>0</v>
      </c>
    </row>
    <row r="1119" customFormat="false" ht="14.4" hidden="true" customHeight="false" outlineLevel="0" collapsed="false">
      <c r="A1119" s="34" t="n">
        <v>10836659104</v>
      </c>
      <c r="B1119" s="34" t="s">
        <v>5002</v>
      </c>
      <c r="C1119" s="34" t="s">
        <v>207</v>
      </c>
      <c r="E1119" s="30" t="s">
        <v>5003</v>
      </c>
      <c r="F1119" s="34" t="n">
        <f aca="false">IFERROR(VLOOKUP($A1119,'319'!$B:$H,7,0),0)</f>
        <v>0</v>
      </c>
      <c r="G1119" s="34" t="n">
        <f aca="false">SUMIFS('12.326ana'!$C:$C,'12.326ana'!$M:$M,redes!A1119)</f>
        <v>0</v>
      </c>
    </row>
    <row r="1120" customFormat="false" ht="14.4" hidden="true" customHeight="false" outlineLevel="0" collapsed="false">
      <c r="A1120" s="34" t="n">
        <v>10874894120</v>
      </c>
      <c r="B1120" s="34" t="s">
        <v>5004</v>
      </c>
      <c r="C1120" s="34" t="s">
        <v>77</v>
      </c>
      <c r="E1120" s="30" t="s">
        <v>5005</v>
      </c>
      <c r="F1120" s="34" t="n">
        <f aca="false">IFERROR(VLOOKUP($A1120,'319'!$B:$H,7,0),0)</f>
        <v>0</v>
      </c>
      <c r="G1120" s="34" t="n">
        <f aca="false">SUMIFS('12.326ana'!$C:$C,'12.326ana'!$M:$M,redes!A1120)</f>
        <v>0</v>
      </c>
    </row>
    <row r="1121" customFormat="false" ht="14.4" hidden="true" customHeight="false" outlineLevel="0" collapsed="false">
      <c r="A1121" s="34" t="n">
        <v>10882677187</v>
      </c>
      <c r="B1121" s="34" t="s">
        <v>5006</v>
      </c>
      <c r="C1121" s="34" t="s">
        <v>77</v>
      </c>
      <c r="E1121" s="30" t="s">
        <v>5007</v>
      </c>
      <c r="F1121" s="34" t="n">
        <f aca="false">IFERROR(VLOOKUP($A1121,'319'!$B:$H,7,0),0)</f>
        <v>0</v>
      </c>
      <c r="G1121" s="34" t="n">
        <f aca="false">SUMIFS('12.326ana'!$C:$C,'12.326ana'!$M:$M,redes!A1121)</f>
        <v>0</v>
      </c>
    </row>
    <row r="1122" customFormat="false" ht="14.4" hidden="true" customHeight="false" outlineLevel="0" collapsed="false">
      <c r="A1122" s="34" t="n">
        <v>10890009104</v>
      </c>
      <c r="B1122" s="34" t="s">
        <v>5008</v>
      </c>
      <c r="C1122" s="34" t="s">
        <v>77</v>
      </c>
      <c r="E1122" s="30" t="s">
        <v>5009</v>
      </c>
      <c r="F1122" s="34" t="n">
        <f aca="false">IFERROR(VLOOKUP($A1122,'319'!$B:$H,7,0),0)</f>
        <v>0</v>
      </c>
      <c r="G1122" s="34" t="n">
        <f aca="false">SUMIFS('12.326ana'!$C:$C,'12.326ana'!$M:$M,redes!A1122)</f>
        <v>0</v>
      </c>
    </row>
    <row r="1123" customFormat="false" ht="14.4" hidden="true" customHeight="false" outlineLevel="0" collapsed="false">
      <c r="A1123" s="34" t="n">
        <v>10890343187</v>
      </c>
      <c r="B1123" s="34" t="s">
        <v>5010</v>
      </c>
      <c r="C1123" s="34" t="s">
        <v>77</v>
      </c>
      <c r="E1123" s="30" t="s">
        <v>5011</v>
      </c>
      <c r="F1123" s="34" t="n">
        <f aca="false">IFERROR(VLOOKUP($A1123,'319'!$B:$H,7,0),0)</f>
        <v>0</v>
      </c>
      <c r="G1123" s="34" t="n">
        <f aca="false">SUMIFS('12.326ana'!$C:$C,'12.326ana'!$M:$M,redes!A1123)</f>
        <v>0</v>
      </c>
    </row>
    <row r="1124" customFormat="false" ht="14.4" hidden="true" customHeight="false" outlineLevel="0" collapsed="false">
      <c r="A1124" s="34" t="n">
        <v>10921397100</v>
      </c>
      <c r="B1124" s="34" t="s">
        <v>5012</v>
      </c>
      <c r="C1124" s="34" t="s">
        <v>737</v>
      </c>
      <c r="E1124" s="30" t="s">
        <v>5013</v>
      </c>
      <c r="F1124" s="34" t="n">
        <f aca="false">IFERROR(VLOOKUP($A1124,'319'!$B:$H,7,0),0)</f>
        <v>0</v>
      </c>
      <c r="G1124" s="34" t="n">
        <f aca="false">SUMIFS('12.326ana'!$C:$C,'12.326ana'!$M:$M,redes!A1124)</f>
        <v>0</v>
      </c>
    </row>
    <row r="1125" customFormat="false" ht="14.4" hidden="true" customHeight="false" outlineLevel="0" collapsed="false">
      <c r="A1125" s="34" t="n">
        <v>10931554187</v>
      </c>
      <c r="B1125" s="34" t="s">
        <v>5014</v>
      </c>
      <c r="C1125" s="34" t="s">
        <v>77</v>
      </c>
      <c r="E1125" s="30" t="s">
        <v>5015</v>
      </c>
      <c r="F1125" s="34" t="n">
        <f aca="false">IFERROR(VLOOKUP($A1125,'319'!$B:$H,7,0),0)</f>
        <v>0</v>
      </c>
      <c r="G1125" s="34" t="n">
        <f aca="false">SUMIFS('12.326ana'!$C:$C,'12.326ana'!$M:$M,redes!A1125)</f>
        <v>0</v>
      </c>
    </row>
    <row r="1126" customFormat="false" ht="14.4" hidden="true" customHeight="false" outlineLevel="0" collapsed="false">
      <c r="A1126" s="34" t="n">
        <v>10932747191</v>
      </c>
      <c r="B1126" s="34" t="s">
        <v>5016</v>
      </c>
      <c r="C1126" s="34" t="s">
        <v>77</v>
      </c>
      <c r="E1126" s="30" t="s">
        <v>5017</v>
      </c>
      <c r="F1126" s="34" t="n">
        <f aca="false">IFERROR(VLOOKUP($A1126,'319'!$B:$H,7,0),0)</f>
        <v>0</v>
      </c>
      <c r="G1126" s="34" t="n">
        <f aca="false">SUMIFS('12.326ana'!$C:$C,'12.326ana'!$M:$M,redes!A1126)</f>
        <v>0</v>
      </c>
    </row>
    <row r="1127" customFormat="false" ht="14.4" hidden="true" customHeight="false" outlineLevel="0" collapsed="false">
      <c r="A1127" s="34" t="n">
        <v>10939784149</v>
      </c>
      <c r="B1127" s="34" t="s">
        <v>5018</v>
      </c>
      <c r="C1127" s="34" t="s">
        <v>377</v>
      </c>
      <c r="E1127" s="30" t="s">
        <v>5019</v>
      </c>
      <c r="F1127" s="34" t="n">
        <f aca="false">IFERROR(VLOOKUP($A1127,'319'!$B:$H,7,0),0)</f>
        <v>0</v>
      </c>
      <c r="G1127" s="34" t="n">
        <f aca="false">SUMIFS('12.326ana'!$C:$C,'12.326ana'!$M:$M,redes!A1127)</f>
        <v>0</v>
      </c>
    </row>
    <row r="1128" customFormat="false" ht="14.4" hidden="true" customHeight="false" outlineLevel="0" collapsed="false">
      <c r="A1128" s="34" t="n">
        <v>10944745172</v>
      </c>
      <c r="B1128" s="34" t="s">
        <v>5020</v>
      </c>
      <c r="C1128" s="34" t="s">
        <v>77</v>
      </c>
      <c r="E1128" s="30" t="s">
        <v>5021</v>
      </c>
      <c r="F1128" s="34" t="n">
        <f aca="false">IFERROR(VLOOKUP($A1128,'319'!$B:$H,7,0),0)</f>
        <v>0</v>
      </c>
      <c r="G1128" s="34" t="n">
        <f aca="false">SUMIFS('12.326ana'!$C:$C,'12.326ana'!$M:$M,redes!A1128)</f>
        <v>0</v>
      </c>
    </row>
    <row r="1129" customFormat="false" ht="14.4" hidden="true" customHeight="false" outlineLevel="0" collapsed="false">
      <c r="A1129" s="34" t="n">
        <v>10957111134</v>
      </c>
      <c r="B1129" s="34" t="s">
        <v>5022</v>
      </c>
      <c r="C1129" s="34" t="s">
        <v>139</v>
      </c>
      <c r="E1129" s="30" t="s">
        <v>5023</v>
      </c>
      <c r="F1129" s="34" t="n">
        <f aca="false">IFERROR(VLOOKUP($A1129,'319'!$B:$H,7,0),0)</f>
        <v>0</v>
      </c>
      <c r="G1129" s="34" t="n">
        <f aca="false">SUMIFS('12.326ana'!$C:$C,'12.326ana'!$M:$M,redes!A1129)</f>
        <v>0</v>
      </c>
    </row>
    <row r="1130" customFormat="false" ht="14.4" hidden="true" customHeight="false" outlineLevel="0" collapsed="false">
      <c r="A1130" s="34" t="n">
        <v>10958002134</v>
      </c>
      <c r="B1130" s="34" t="s">
        <v>5024</v>
      </c>
      <c r="C1130" s="34" t="s">
        <v>77</v>
      </c>
      <c r="E1130" s="30" t="s">
        <v>3861</v>
      </c>
      <c r="F1130" s="34" t="n">
        <f aca="false">IFERROR(VLOOKUP($A1130,'319'!$B:$H,7,0),0)</f>
        <v>0</v>
      </c>
      <c r="G1130" s="34" t="n">
        <f aca="false">SUMIFS('12.326ana'!$C:$C,'12.326ana'!$M:$M,redes!A1130)</f>
        <v>0</v>
      </c>
    </row>
    <row r="1131" customFormat="false" ht="14.4" hidden="true" customHeight="false" outlineLevel="0" collapsed="false">
      <c r="A1131" s="34" t="n">
        <v>10962638153</v>
      </c>
      <c r="B1131" s="34" t="s">
        <v>5025</v>
      </c>
      <c r="C1131" s="34" t="s">
        <v>77</v>
      </c>
      <c r="E1131" s="30" t="s">
        <v>5026</v>
      </c>
      <c r="F1131" s="34" t="n">
        <f aca="false">IFERROR(VLOOKUP($A1131,'319'!$B:$H,7,0),0)</f>
        <v>0</v>
      </c>
      <c r="G1131" s="34" t="n">
        <f aca="false">SUMIFS('12.326ana'!$C:$C,'12.326ana'!$M:$M,redes!A1131)</f>
        <v>0</v>
      </c>
    </row>
    <row r="1132" customFormat="false" ht="14.4" hidden="true" customHeight="false" outlineLevel="0" collapsed="false">
      <c r="A1132" s="34" t="n">
        <v>11005179875</v>
      </c>
      <c r="B1132" s="34" t="s">
        <v>5027</v>
      </c>
      <c r="C1132" s="34" t="s">
        <v>77</v>
      </c>
      <c r="E1132" s="30" t="s">
        <v>5028</v>
      </c>
      <c r="F1132" s="34" t="n">
        <f aca="false">IFERROR(VLOOKUP($A1132,'319'!$B:$H,7,0),0)</f>
        <v>0</v>
      </c>
      <c r="G1132" s="34" t="n">
        <f aca="false">SUMIFS('12.326ana'!$C:$C,'12.326ana'!$M:$M,redes!A1132)</f>
        <v>0</v>
      </c>
    </row>
    <row r="1133" customFormat="false" ht="14.4" hidden="true" customHeight="false" outlineLevel="0" collapsed="false">
      <c r="A1133" s="34" t="n">
        <v>11025484134</v>
      </c>
      <c r="B1133" s="34" t="s">
        <v>5029</v>
      </c>
      <c r="C1133" s="34" t="s">
        <v>77</v>
      </c>
      <c r="E1133" s="30" t="s">
        <v>5030</v>
      </c>
      <c r="F1133" s="34" t="n">
        <f aca="false">IFERROR(VLOOKUP($A1133,'319'!$B:$H,7,0),0)</f>
        <v>0</v>
      </c>
      <c r="G1133" s="34" t="n">
        <f aca="false">SUMIFS('12.326ana'!$C:$C,'12.326ana'!$M:$M,redes!A1133)</f>
        <v>0</v>
      </c>
    </row>
    <row r="1134" customFormat="false" ht="14.4" hidden="true" customHeight="false" outlineLevel="0" collapsed="false">
      <c r="A1134" s="34" t="n">
        <v>11033452149</v>
      </c>
      <c r="B1134" s="34" t="s">
        <v>5031</v>
      </c>
      <c r="C1134" s="34" t="s">
        <v>77</v>
      </c>
      <c r="E1134" s="30" t="s">
        <v>5032</v>
      </c>
      <c r="F1134" s="34" t="n">
        <f aca="false">IFERROR(VLOOKUP($A1134,'319'!$B:$H,7,0),0)</f>
        <v>0</v>
      </c>
      <c r="G1134" s="34" t="n">
        <f aca="false">SUMIFS('12.326ana'!$C:$C,'12.326ana'!$M:$M,redes!A1134)</f>
        <v>0</v>
      </c>
    </row>
    <row r="1135" customFormat="false" ht="14.4" hidden="true" customHeight="false" outlineLevel="0" collapsed="false">
      <c r="A1135" s="34" t="n">
        <v>11040050182</v>
      </c>
      <c r="B1135" s="34" t="s">
        <v>5033</v>
      </c>
      <c r="C1135" s="34" t="s">
        <v>1306</v>
      </c>
      <c r="E1135" s="30" t="s">
        <v>5034</v>
      </c>
      <c r="F1135" s="34" t="n">
        <f aca="false">IFERROR(VLOOKUP($A1135,'319'!$B:$H,7,0),0)</f>
        <v>0</v>
      </c>
      <c r="G1135" s="34" t="n">
        <f aca="false">SUMIFS('12.326ana'!$C:$C,'12.326ana'!$M:$M,redes!A1135)</f>
        <v>0</v>
      </c>
    </row>
    <row r="1136" customFormat="false" ht="14.4" hidden="true" customHeight="false" outlineLevel="0" collapsed="false">
      <c r="A1136" s="34" t="n">
        <v>11075937191</v>
      </c>
      <c r="B1136" s="34" t="s">
        <v>5035</v>
      </c>
      <c r="C1136" s="34" t="s">
        <v>77</v>
      </c>
      <c r="E1136" s="30" t="s">
        <v>5036</v>
      </c>
      <c r="F1136" s="34" t="n">
        <f aca="false">IFERROR(VLOOKUP($A1136,'319'!$B:$H,7,0),0)</f>
        <v>0</v>
      </c>
      <c r="G1136" s="34" t="n">
        <f aca="false">SUMIFS('12.326ana'!$C:$C,'12.326ana'!$M:$M,redes!A1136)</f>
        <v>0</v>
      </c>
    </row>
    <row r="1137" customFormat="false" ht="14.4" hidden="true" customHeight="false" outlineLevel="0" collapsed="false">
      <c r="A1137" s="34" t="n">
        <v>11083263153</v>
      </c>
      <c r="B1137" s="34" t="s">
        <v>5037</v>
      </c>
      <c r="C1137" s="34" t="s">
        <v>89</v>
      </c>
      <c r="E1137" s="30"/>
      <c r="F1137" s="34" t="n">
        <f aca="false">IFERROR(VLOOKUP($A1137,'319'!$B:$H,7,0),0)</f>
        <v>0</v>
      </c>
      <c r="G1137" s="34" t="n">
        <f aca="false">SUMIFS('12.326ana'!$C:$C,'12.326ana'!$M:$M,redes!A1137)</f>
        <v>0</v>
      </c>
    </row>
    <row r="1138" customFormat="false" ht="14.4" hidden="true" customHeight="false" outlineLevel="0" collapsed="false">
      <c r="A1138" s="34" t="n">
        <v>11094290106</v>
      </c>
      <c r="B1138" s="34" t="s">
        <v>5038</v>
      </c>
      <c r="C1138" s="34" t="s">
        <v>103</v>
      </c>
      <c r="E1138" s="30" t="s">
        <v>5039</v>
      </c>
      <c r="F1138" s="34" t="n">
        <f aca="false">IFERROR(VLOOKUP($A1138,'319'!$B:$H,7,0),0)</f>
        <v>0</v>
      </c>
      <c r="G1138" s="34" t="n">
        <f aca="false">SUMIFS('12.326ana'!$C:$C,'12.326ana'!$M:$M,redes!A1138)</f>
        <v>0</v>
      </c>
    </row>
    <row r="1139" customFormat="false" ht="14.4" hidden="true" customHeight="false" outlineLevel="0" collapsed="false">
      <c r="A1139" s="34" t="n">
        <v>11111356149</v>
      </c>
      <c r="B1139" s="34" t="s">
        <v>5040</v>
      </c>
      <c r="C1139" s="34" t="s">
        <v>103</v>
      </c>
      <c r="E1139" s="30" t="s">
        <v>5041</v>
      </c>
      <c r="F1139" s="34" t="n">
        <f aca="false">IFERROR(VLOOKUP($A1139,'319'!$B:$H,7,0),0)</f>
        <v>0</v>
      </c>
      <c r="G1139" s="34" t="n">
        <f aca="false">SUMIFS('12.326ana'!$C:$C,'12.326ana'!$M:$M,redes!A1139)</f>
        <v>0</v>
      </c>
    </row>
    <row r="1140" customFormat="false" ht="14.4" hidden="true" customHeight="false" outlineLevel="0" collapsed="false">
      <c r="A1140" s="34" t="n">
        <v>11117630897</v>
      </c>
      <c r="B1140" s="34" t="s">
        <v>5042</v>
      </c>
      <c r="C1140" s="34" t="s">
        <v>77</v>
      </c>
      <c r="E1140" s="30" t="s">
        <v>5043</v>
      </c>
      <c r="F1140" s="34" t="n">
        <f aca="false">IFERROR(VLOOKUP($A1140,'319'!$B:$H,7,0),0)</f>
        <v>0</v>
      </c>
      <c r="G1140" s="34" t="n">
        <f aca="false">SUMIFS('12.326ana'!$C:$C,'12.326ana'!$M:$M,redes!A1140)</f>
        <v>0</v>
      </c>
    </row>
    <row r="1141" customFormat="false" ht="14.4" hidden="true" customHeight="false" outlineLevel="0" collapsed="false">
      <c r="A1141" s="34" t="n">
        <v>11132140153</v>
      </c>
      <c r="B1141" s="34" t="s">
        <v>5044</v>
      </c>
      <c r="C1141" s="34" t="s">
        <v>77</v>
      </c>
      <c r="E1141" s="30" t="s">
        <v>5045</v>
      </c>
      <c r="F1141" s="34" t="n">
        <f aca="false">IFERROR(VLOOKUP($A1141,'319'!$B:$H,7,0),0)</f>
        <v>0</v>
      </c>
      <c r="G1141" s="34" t="n">
        <f aca="false">SUMIFS('12.326ana'!$C:$C,'12.326ana'!$M:$M,redes!A1141)</f>
        <v>0</v>
      </c>
    </row>
    <row r="1142" customFormat="false" ht="14.4" hidden="true" customHeight="false" outlineLevel="0" collapsed="false">
      <c r="A1142" s="34" t="n">
        <v>11135899819</v>
      </c>
      <c r="B1142" s="34" t="s">
        <v>5046</v>
      </c>
      <c r="C1142" s="34" t="s">
        <v>77</v>
      </c>
      <c r="E1142" s="30" t="s">
        <v>5047</v>
      </c>
      <c r="F1142" s="34" t="n">
        <f aca="false">IFERROR(VLOOKUP($A1142,'319'!$B:$H,7,0),0)</f>
        <v>0</v>
      </c>
      <c r="G1142" s="34" t="n">
        <f aca="false">SUMIFS('12.326ana'!$C:$C,'12.326ana'!$M:$M,redes!A1142)</f>
        <v>0</v>
      </c>
    </row>
    <row r="1143" customFormat="false" ht="14.4" hidden="true" customHeight="false" outlineLevel="0" collapsed="false">
      <c r="A1143" s="34" t="n">
        <v>11136090100</v>
      </c>
      <c r="B1143" s="34" t="s">
        <v>969</v>
      </c>
      <c r="C1143" s="34" t="s">
        <v>377</v>
      </c>
      <c r="E1143" s="30" t="s">
        <v>5048</v>
      </c>
      <c r="F1143" s="34" t="n">
        <f aca="false">IFERROR(VLOOKUP($A1143,'319'!$B:$H,7,0),0)</f>
        <v>0</v>
      </c>
      <c r="G1143" s="34" t="n">
        <f aca="false">SUMIFS('12.326ana'!$C:$C,'12.326ana'!$M:$M,redes!A1143)</f>
        <v>0</v>
      </c>
    </row>
    <row r="1144" customFormat="false" ht="14.4" hidden="true" customHeight="false" outlineLevel="0" collapsed="false">
      <c r="A1144" s="34" t="n">
        <v>11170891187</v>
      </c>
      <c r="B1144" s="34" t="s">
        <v>5049</v>
      </c>
      <c r="C1144" s="34" t="s">
        <v>336</v>
      </c>
      <c r="E1144" s="30" t="s">
        <v>5050</v>
      </c>
      <c r="F1144" s="34" t="n">
        <f aca="false">IFERROR(VLOOKUP($A1144,'319'!$B:$H,7,0),0)</f>
        <v>0</v>
      </c>
      <c r="G1144" s="34" t="n">
        <f aca="false">SUMIFS('12.326ana'!$C:$C,'12.326ana'!$M:$M,redes!A1144)</f>
        <v>0</v>
      </c>
    </row>
    <row r="1145" customFormat="false" ht="14.4" hidden="true" customHeight="false" outlineLevel="0" collapsed="false">
      <c r="A1145" s="34" t="n">
        <v>11171502168</v>
      </c>
      <c r="B1145" s="34" t="s">
        <v>5051</v>
      </c>
      <c r="C1145" s="34" t="s">
        <v>1306</v>
      </c>
      <c r="E1145" s="30" t="s">
        <v>5052</v>
      </c>
      <c r="F1145" s="34" t="n">
        <f aca="false">IFERROR(VLOOKUP($A1145,'319'!$B:$H,7,0),0)</f>
        <v>0</v>
      </c>
      <c r="G1145" s="34" t="n">
        <f aca="false">SUMIFS('12.326ana'!$C:$C,'12.326ana'!$M:$M,redes!A1145)</f>
        <v>0</v>
      </c>
    </row>
    <row r="1146" customFormat="false" ht="14.4" hidden="true" customHeight="false" outlineLevel="0" collapsed="false">
      <c r="A1146" s="34" t="n">
        <v>11193093104</v>
      </c>
      <c r="B1146" s="34" t="s">
        <v>5053</v>
      </c>
      <c r="C1146" s="34" t="s">
        <v>77</v>
      </c>
      <c r="E1146" s="30" t="s">
        <v>5054</v>
      </c>
      <c r="F1146" s="34" t="n">
        <f aca="false">IFERROR(VLOOKUP($A1146,'319'!$B:$H,7,0),0)</f>
        <v>0</v>
      </c>
      <c r="G1146" s="34" t="n">
        <f aca="false">SUMIFS('12.326ana'!$C:$C,'12.326ana'!$M:$M,redes!A1146)</f>
        <v>0</v>
      </c>
    </row>
    <row r="1147" customFormat="false" ht="14.4" hidden="true" customHeight="false" outlineLevel="0" collapsed="false">
      <c r="A1147" s="34" t="n">
        <v>11194073115</v>
      </c>
      <c r="B1147" s="34" t="s">
        <v>5055</v>
      </c>
      <c r="C1147" s="34" t="s">
        <v>107</v>
      </c>
      <c r="E1147" s="30" t="s">
        <v>5056</v>
      </c>
      <c r="F1147" s="34" t="n">
        <f aca="false">IFERROR(VLOOKUP($A1147,'319'!$B:$H,7,0),0)</f>
        <v>0</v>
      </c>
      <c r="G1147" s="34" t="n">
        <f aca="false">SUMIFS('12.326ana'!$C:$C,'12.326ana'!$M:$M,redes!A1147)</f>
        <v>0</v>
      </c>
    </row>
    <row r="1148" customFormat="false" ht="14.4" hidden="true" customHeight="false" outlineLevel="0" collapsed="false">
      <c r="A1148" s="34" t="n">
        <v>11197110797</v>
      </c>
      <c r="B1148" s="34" t="s">
        <v>5057</v>
      </c>
      <c r="C1148" s="34" t="s">
        <v>77</v>
      </c>
      <c r="E1148" s="30" t="s">
        <v>5058</v>
      </c>
      <c r="F1148" s="34" t="n">
        <f aca="false">IFERROR(VLOOKUP($A1148,'319'!$B:$H,7,0),0)</f>
        <v>0</v>
      </c>
      <c r="G1148" s="34" t="n">
        <f aca="false">SUMIFS('12.326ana'!$C:$C,'12.326ana'!$M:$M,redes!A1148)</f>
        <v>0</v>
      </c>
    </row>
    <row r="1149" customFormat="false" ht="14.4" hidden="true" customHeight="false" outlineLevel="0" collapsed="false">
      <c r="A1149" s="34" t="n">
        <v>11204028168</v>
      </c>
      <c r="B1149" s="34" t="s">
        <v>5059</v>
      </c>
      <c r="C1149" s="34" t="s">
        <v>77</v>
      </c>
      <c r="E1149" s="30" t="s">
        <v>5060</v>
      </c>
      <c r="F1149" s="34" t="n">
        <f aca="false">IFERROR(VLOOKUP($A1149,'319'!$B:$H,7,0),0)</f>
        <v>0</v>
      </c>
      <c r="G1149" s="34" t="n">
        <f aca="false">SUMIFS('12.326ana'!$C:$C,'12.326ana'!$M:$M,redes!A1149)</f>
        <v>0</v>
      </c>
    </row>
    <row r="1150" customFormat="false" ht="14.4" hidden="true" customHeight="false" outlineLevel="0" collapsed="false">
      <c r="A1150" s="34" t="n">
        <v>11210311100</v>
      </c>
      <c r="B1150" s="34" t="s">
        <v>5061</v>
      </c>
      <c r="C1150" s="34" t="s">
        <v>309</v>
      </c>
      <c r="E1150" s="30" t="s">
        <v>5062</v>
      </c>
      <c r="F1150" s="34" t="n">
        <f aca="false">IFERROR(VLOOKUP($A1150,'319'!$B:$H,7,0),0)</f>
        <v>0</v>
      </c>
      <c r="G1150" s="34" t="n">
        <f aca="false">SUMIFS('12.326ana'!$C:$C,'12.326ana'!$M:$M,redes!A1150)</f>
        <v>0</v>
      </c>
    </row>
    <row r="1151" customFormat="false" ht="14.4" hidden="true" customHeight="false" outlineLevel="0" collapsed="false">
      <c r="A1151" s="34" t="n">
        <v>11212985168</v>
      </c>
      <c r="B1151" s="34" t="s">
        <v>5063</v>
      </c>
      <c r="C1151" s="34" t="s">
        <v>107</v>
      </c>
      <c r="E1151" s="30" t="s">
        <v>5064</v>
      </c>
      <c r="F1151" s="34" t="n">
        <f aca="false">IFERROR(VLOOKUP($A1151,'319'!$B:$H,7,0),0)</f>
        <v>0</v>
      </c>
      <c r="G1151" s="34" t="n">
        <f aca="false">SUMIFS('12.326ana'!$C:$C,'12.326ana'!$M:$M,redes!A1151)</f>
        <v>0</v>
      </c>
    </row>
    <row r="1152" customFormat="false" ht="14.4" hidden="true" customHeight="false" outlineLevel="0" collapsed="false">
      <c r="A1152" s="34" t="n">
        <v>11219505153</v>
      </c>
      <c r="B1152" s="34" t="s">
        <v>5065</v>
      </c>
      <c r="C1152" s="34" t="s">
        <v>299</v>
      </c>
      <c r="E1152" s="30" t="s">
        <v>5066</v>
      </c>
      <c r="F1152" s="34" t="n">
        <f aca="false">IFERROR(VLOOKUP($A1152,'319'!$B:$H,7,0),0)</f>
        <v>0</v>
      </c>
      <c r="G1152" s="34" t="n">
        <f aca="false">SUMIFS('12.326ana'!$C:$C,'12.326ana'!$M:$M,redes!A1152)</f>
        <v>0</v>
      </c>
    </row>
    <row r="1153" customFormat="false" ht="14.4" hidden="true" customHeight="false" outlineLevel="0" collapsed="false">
      <c r="A1153" s="34" t="n">
        <v>11224096134</v>
      </c>
      <c r="B1153" s="34" t="s">
        <v>5067</v>
      </c>
      <c r="C1153" s="34" t="s">
        <v>207</v>
      </c>
      <c r="E1153" s="30" t="s">
        <v>5068</v>
      </c>
      <c r="F1153" s="34" t="n">
        <f aca="false">IFERROR(VLOOKUP($A1153,'319'!$B:$H,7,0),0)</f>
        <v>0</v>
      </c>
      <c r="G1153" s="34" t="n">
        <f aca="false">SUMIFS('12.326ana'!$C:$C,'12.326ana'!$M:$M,redes!A1153)</f>
        <v>0</v>
      </c>
    </row>
    <row r="1154" customFormat="false" ht="14.4" hidden="true" customHeight="false" outlineLevel="0" collapsed="false">
      <c r="A1154" s="34" t="n">
        <v>11224975120</v>
      </c>
      <c r="B1154" s="34" t="s">
        <v>5069</v>
      </c>
      <c r="C1154" s="34" t="s">
        <v>77</v>
      </c>
      <c r="E1154" s="30" t="s">
        <v>5070</v>
      </c>
      <c r="F1154" s="34" t="n">
        <f aca="false">IFERROR(VLOOKUP($A1154,'319'!$B:$H,7,0),0)</f>
        <v>0</v>
      </c>
      <c r="G1154" s="34" t="n">
        <f aca="false">SUMIFS('12.326ana'!$C:$C,'12.326ana'!$M:$M,redes!A1154)</f>
        <v>0</v>
      </c>
    </row>
    <row r="1155" customFormat="false" ht="14.4" hidden="true" customHeight="false" outlineLevel="0" collapsed="false">
      <c r="A1155" s="34" t="n">
        <v>11227338104</v>
      </c>
      <c r="B1155" s="34" t="s">
        <v>5071</v>
      </c>
      <c r="C1155" s="34" t="s">
        <v>77</v>
      </c>
      <c r="E1155" s="30" t="s">
        <v>5072</v>
      </c>
      <c r="F1155" s="34" t="n">
        <f aca="false">IFERROR(VLOOKUP($A1155,'319'!$B:$H,7,0),0)</f>
        <v>0</v>
      </c>
      <c r="G1155" s="34" t="n">
        <f aca="false">SUMIFS('12.326ana'!$C:$C,'12.326ana'!$M:$M,redes!A1155)</f>
        <v>0</v>
      </c>
    </row>
    <row r="1156" customFormat="false" ht="14.4" hidden="true" customHeight="false" outlineLevel="0" collapsed="false">
      <c r="A1156" s="34" t="n">
        <v>11252633777</v>
      </c>
      <c r="B1156" s="34" t="s">
        <v>5073</v>
      </c>
      <c r="C1156" s="34" t="s">
        <v>77</v>
      </c>
      <c r="E1156" s="30" t="s">
        <v>5074</v>
      </c>
      <c r="F1156" s="34" t="n">
        <f aca="false">IFERROR(VLOOKUP($A1156,'319'!$B:$H,7,0),0)</f>
        <v>0</v>
      </c>
      <c r="G1156" s="34" t="n">
        <f aca="false">SUMIFS('12.326ana'!$C:$C,'12.326ana'!$M:$M,redes!A1156)</f>
        <v>0</v>
      </c>
    </row>
    <row r="1157" customFormat="false" ht="14.4" hidden="true" customHeight="false" outlineLevel="0" collapsed="false">
      <c r="A1157" s="34" t="n">
        <v>11573881830</v>
      </c>
      <c r="B1157" s="34" t="s">
        <v>5075</v>
      </c>
      <c r="C1157" s="34" t="s">
        <v>77</v>
      </c>
      <c r="E1157" s="30" t="s">
        <v>5076</v>
      </c>
      <c r="F1157" s="34" t="n">
        <f aca="false">IFERROR(VLOOKUP($A1157,'319'!$B:$H,7,0),0)</f>
        <v>0</v>
      </c>
      <c r="G1157" s="34" t="n">
        <f aca="false">SUMIFS('12.326ana'!$C:$C,'12.326ana'!$M:$M,redes!A1157)</f>
        <v>0</v>
      </c>
    </row>
    <row r="1158" customFormat="false" ht="14.4" hidden="true" customHeight="false" outlineLevel="0" collapsed="false">
      <c r="A1158" s="34" t="n">
        <v>11688352830</v>
      </c>
      <c r="B1158" s="34" t="s">
        <v>5077</v>
      </c>
      <c r="C1158" s="34" t="s">
        <v>77</v>
      </c>
      <c r="E1158" s="30"/>
      <c r="F1158" s="34" t="n">
        <f aca="false">IFERROR(VLOOKUP($A1158,'319'!$B:$H,7,0),0)</f>
        <v>0</v>
      </c>
      <c r="G1158" s="34" t="n">
        <f aca="false">SUMIFS('12.326ana'!$C:$C,'12.326ana'!$M:$M,redes!A1158)</f>
        <v>0</v>
      </c>
    </row>
    <row r="1159" customFormat="false" ht="14.4" hidden="true" customHeight="false" outlineLevel="0" collapsed="false">
      <c r="A1159" s="34" t="n">
        <v>11711400106</v>
      </c>
      <c r="B1159" s="34" t="s">
        <v>5078</v>
      </c>
      <c r="C1159" s="34" t="s">
        <v>77</v>
      </c>
      <c r="E1159" s="30"/>
      <c r="F1159" s="34" t="n">
        <f aca="false">IFERROR(VLOOKUP($A1159,'319'!$B:$H,7,0),0)</f>
        <v>0</v>
      </c>
      <c r="G1159" s="34" t="n">
        <f aca="false">SUMIFS('12.326ana'!$C:$C,'12.326ana'!$M:$M,redes!A1159)</f>
        <v>0</v>
      </c>
    </row>
    <row r="1160" customFormat="false" ht="14.4" hidden="true" customHeight="false" outlineLevel="0" collapsed="false">
      <c r="A1160" s="34" t="n">
        <v>11715509609</v>
      </c>
      <c r="B1160" s="34" t="s">
        <v>5079</v>
      </c>
      <c r="C1160" s="34" t="s">
        <v>1272</v>
      </c>
      <c r="E1160" s="30" t="s">
        <v>5080</v>
      </c>
      <c r="F1160" s="34" t="n">
        <f aca="false">IFERROR(VLOOKUP($A1160,'319'!$B:$H,7,0),0)</f>
        <v>0</v>
      </c>
      <c r="G1160" s="34" t="n">
        <f aca="false">SUMIFS('12.326ana'!$C:$C,'12.326ana'!$M:$M,redes!A1160)</f>
        <v>0</v>
      </c>
    </row>
    <row r="1161" customFormat="false" ht="14.4" hidden="true" customHeight="false" outlineLevel="0" collapsed="false">
      <c r="A1161" s="34" t="n">
        <v>11732189803</v>
      </c>
      <c r="B1161" s="34" t="s">
        <v>5081</v>
      </c>
      <c r="C1161" s="34" t="s">
        <v>77</v>
      </c>
      <c r="E1161" s="30" t="s">
        <v>5081</v>
      </c>
      <c r="F1161" s="34" t="n">
        <f aca="false">IFERROR(VLOOKUP($A1161,'319'!$B:$H,7,0),0)</f>
        <v>0</v>
      </c>
      <c r="G1161" s="34" t="n">
        <f aca="false">SUMIFS('12.326ana'!$C:$C,'12.326ana'!$M:$M,redes!A1161)</f>
        <v>0</v>
      </c>
    </row>
    <row r="1162" customFormat="false" ht="14.4" hidden="true" customHeight="false" outlineLevel="0" collapsed="false">
      <c r="A1162" s="34" t="n">
        <v>11744302812</v>
      </c>
      <c r="B1162" s="34" t="s">
        <v>5082</v>
      </c>
      <c r="C1162" s="34" t="s">
        <v>77</v>
      </c>
      <c r="E1162" s="30" t="s">
        <v>5082</v>
      </c>
      <c r="F1162" s="34" t="n">
        <f aca="false">IFERROR(VLOOKUP($A1162,'319'!$B:$H,7,0),0)</f>
        <v>0</v>
      </c>
      <c r="G1162" s="34" t="n">
        <f aca="false">SUMIFS('12.326ana'!$C:$C,'12.326ana'!$M:$M,redes!A1162)</f>
        <v>0</v>
      </c>
    </row>
    <row r="1163" customFormat="false" ht="14.4" hidden="true" customHeight="false" outlineLevel="0" collapsed="false">
      <c r="A1163" s="34" t="n">
        <v>11843000193</v>
      </c>
      <c r="B1163" s="34" t="s">
        <v>5083</v>
      </c>
      <c r="C1163" s="34" t="s">
        <v>644</v>
      </c>
      <c r="E1163" s="30" t="s">
        <v>5084</v>
      </c>
      <c r="F1163" s="34" t="n">
        <f aca="false">IFERROR(VLOOKUP($A1163,'319'!$B:$H,7,0),0)</f>
        <v>0</v>
      </c>
      <c r="G1163" s="34" t="n">
        <f aca="false">SUMIFS('12.326ana'!$C:$C,'12.326ana'!$M:$M,redes!A1163)</f>
        <v>0</v>
      </c>
    </row>
    <row r="1164" customFormat="false" ht="14.4" hidden="true" customHeight="false" outlineLevel="0" collapsed="false">
      <c r="A1164" s="34" t="n">
        <v>11885831315</v>
      </c>
      <c r="B1164" s="34" t="s">
        <v>5085</v>
      </c>
      <c r="C1164" s="34" t="s">
        <v>107</v>
      </c>
      <c r="E1164" s="30" t="s">
        <v>5086</v>
      </c>
      <c r="F1164" s="34" t="n">
        <f aca="false">IFERROR(VLOOKUP($A1164,'319'!$B:$H,7,0),0)</f>
        <v>0</v>
      </c>
      <c r="G1164" s="34" t="n">
        <f aca="false">SUMIFS('12.326ana'!$C:$C,'12.326ana'!$M:$M,redes!A1164)</f>
        <v>0</v>
      </c>
    </row>
    <row r="1165" customFormat="false" ht="14.4" hidden="true" customHeight="false" outlineLevel="0" collapsed="false">
      <c r="A1165" s="34" t="n">
        <v>11886682852</v>
      </c>
      <c r="B1165" s="34" t="s">
        <v>5087</v>
      </c>
      <c r="C1165" s="34" t="s">
        <v>107</v>
      </c>
      <c r="E1165" s="30" t="s">
        <v>5088</v>
      </c>
      <c r="F1165" s="34" t="n">
        <f aca="false">IFERROR(VLOOKUP($A1165,'319'!$B:$H,7,0),0)</f>
        <v>0</v>
      </c>
      <c r="G1165" s="34" t="n">
        <f aca="false">SUMIFS('12.326ana'!$C:$C,'12.326ana'!$M:$M,redes!A1165)</f>
        <v>0</v>
      </c>
    </row>
    <row r="1166" customFormat="false" ht="14.4" hidden="true" customHeight="false" outlineLevel="0" collapsed="false">
      <c r="A1166" s="34" t="n">
        <v>11932522883</v>
      </c>
      <c r="B1166" s="34" t="s">
        <v>5089</v>
      </c>
      <c r="C1166" s="34" t="s">
        <v>89</v>
      </c>
      <c r="E1166" s="30"/>
      <c r="F1166" s="34" t="n">
        <f aca="false">IFERROR(VLOOKUP($A1166,'319'!$B:$H,7,0),0)</f>
        <v>0</v>
      </c>
      <c r="G1166" s="34" t="n">
        <f aca="false">SUMIFS('12.326ana'!$C:$C,'12.326ana'!$M:$M,redes!A1166)</f>
        <v>0</v>
      </c>
    </row>
    <row r="1167" customFormat="false" ht="14.4" hidden="true" customHeight="false" outlineLevel="0" collapsed="false">
      <c r="A1167" s="34" t="n">
        <v>11993590846</v>
      </c>
      <c r="B1167" s="34" t="s">
        <v>5090</v>
      </c>
      <c r="C1167" s="34" t="s">
        <v>103</v>
      </c>
      <c r="E1167" s="30" t="s">
        <v>5091</v>
      </c>
      <c r="F1167" s="34" t="n">
        <f aca="false">IFERROR(VLOOKUP($A1167,'319'!$B:$H,7,0),0)</f>
        <v>0</v>
      </c>
      <c r="G1167" s="34" t="n">
        <f aca="false">SUMIFS('12.326ana'!$C:$C,'12.326ana'!$M:$M,redes!A1167)</f>
        <v>0</v>
      </c>
    </row>
    <row r="1168" customFormat="false" ht="14.4" hidden="true" customHeight="false" outlineLevel="0" collapsed="false">
      <c r="A1168" s="34" t="n">
        <v>11997000185</v>
      </c>
      <c r="B1168" s="34" t="s">
        <v>5092</v>
      </c>
      <c r="C1168" s="34" t="s">
        <v>77</v>
      </c>
      <c r="E1168" s="30" t="s">
        <v>3150</v>
      </c>
      <c r="F1168" s="34" t="n">
        <f aca="false">IFERROR(VLOOKUP($A1168,'319'!$B:$H,7,0),0)</f>
        <v>0</v>
      </c>
      <c r="G1168" s="34" t="n">
        <f aca="false">SUMIFS('12.326ana'!$C:$C,'12.326ana'!$M:$M,redes!A1168)</f>
        <v>0</v>
      </c>
    </row>
    <row r="1169" customFormat="false" ht="14.4" hidden="true" customHeight="false" outlineLevel="0" collapsed="false">
      <c r="A1169" s="34" t="n">
        <v>12111463833</v>
      </c>
      <c r="B1169" s="34" t="s">
        <v>5093</v>
      </c>
      <c r="C1169" s="34" t="s">
        <v>77</v>
      </c>
      <c r="E1169" s="30" t="s">
        <v>5094</v>
      </c>
      <c r="F1169" s="34" t="n">
        <f aca="false">IFERROR(VLOOKUP($A1169,'319'!$B:$H,7,0),0)</f>
        <v>0</v>
      </c>
      <c r="G1169" s="34" t="n">
        <f aca="false">SUMIFS('12.326ana'!$C:$C,'12.326ana'!$M:$M,redes!A1169)</f>
        <v>0</v>
      </c>
    </row>
    <row r="1170" customFormat="false" ht="14.4" hidden="true" customHeight="false" outlineLevel="0" collapsed="false">
      <c r="A1170" s="34" t="n">
        <v>12338257200</v>
      </c>
      <c r="B1170" s="34" t="s">
        <v>5095</v>
      </c>
      <c r="C1170" s="34" t="s">
        <v>77</v>
      </c>
      <c r="E1170" s="30" t="s">
        <v>5096</v>
      </c>
      <c r="F1170" s="34" t="n">
        <f aca="false">IFERROR(VLOOKUP($A1170,'319'!$B:$H,7,0),0)</f>
        <v>0</v>
      </c>
      <c r="G1170" s="34" t="n">
        <f aca="false">SUMIFS('12.326ana'!$C:$C,'12.326ana'!$M:$M,redes!A1170)</f>
        <v>0</v>
      </c>
    </row>
    <row r="1171" customFormat="false" ht="14.4" hidden="true" customHeight="false" outlineLevel="0" collapsed="false">
      <c r="A1171" s="34" t="n">
        <v>12442496615</v>
      </c>
      <c r="B1171" s="34" t="s">
        <v>5097</v>
      </c>
      <c r="C1171" s="34" t="s">
        <v>842</v>
      </c>
      <c r="E1171" s="30" t="s">
        <v>5098</v>
      </c>
      <c r="F1171" s="34" t="n">
        <f aca="false">IFERROR(VLOOKUP($A1171,'319'!$B:$H,7,0),0)</f>
        <v>0</v>
      </c>
      <c r="G1171" s="34" t="n">
        <f aca="false">SUMIFS('12.326ana'!$C:$C,'12.326ana'!$M:$M,redes!A1171)</f>
        <v>0</v>
      </c>
    </row>
    <row r="1172" customFormat="false" ht="14.4" hidden="true" customHeight="false" outlineLevel="0" collapsed="false">
      <c r="A1172" s="34" t="n">
        <v>12535600803</v>
      </c>
      <c r="B1172" s="34" t="s">
        <v>5099</v>
      </c>
      <c r="C1172" s="34" t="s">
        <v>478</v>
      </c>
      <c r="E1172" s="30" t="s">
        <v>5100</v>
      </c>
      <c r="F1172" s="34" t="n">
        <f aca="false">IFERROR(VLOOKUP($A1172,'319'!$B:$H,7,0),0)</f>
        <v>0</v>
      </c>
      <c r="G1172" s="34" t="n">
        <f aca="false">SUMIFS('12.326ana'!$C:$C,'12.326ana'!$M:$M,redes!A1172)</f>
        <v>0</v>
      </c>
    </row>
    <row r="1173" customFormat="false" ht="14.4" hidden="true" customHeight="false" outlineLevel="0" collapsed="false">
      <c r="A1173" s="34" t="n">
        <v>12663123153</v>
      </c>
      <c r="B1173" s="34" t="s">
        <v>5101</v>
      </c>
      <c r="C1173" s="34" t="s">
        <v>139</v>
      </c>
      <c r="E1173" s="30" t="s">
        <v>5102</v>
      </c>
      <c r="F1173" s="34" t="n">
        <f aca="false">IFERROR(VLOOKUP($A1173,'319'!$B:$H,7,0),0)</f>
        <v>0</v>
      </c>
      <c r="G1173" s="34" t="n">
        <f aca="false">SUMIFS('12.326ana'!$C:$C,'12.326ana'!$M:$M,redes!A1173)</f>
        <v>0</v>
      </c>
    </row>
    <row r="1174" customFormat="false" ht="14.4" hidden="true" customHeight="false" outlineLevel="0" collapsed="false">
      <c r="A1174" s="34" t="n">
        <v>12697370153</v>
      </c>
      <c r="B1174" s="34" t="s">
        <v>5103</v>
      </c>
      <c r="C1174" s="34" t="s">
        <v>192</v>
      </c>
      <c r="E1174" s="30"/>
      <c r="F1174" s="34" t="n">
        <f aca="false">IFERROR(VLOOKUP($A1174,'319'!$B:$H,7,0),0)</f>
        <v>0</v>
      </c>
      <c r="G1174" s="34" t="n">
        <f aca="false">SUMIFS('12.326ana'!$C:$C,'12.326ana'!$M:$M,redes!A1174)</f>
        <v>0</v>
      </c>
    </row>
    <row r="1175" customFormat="false" ht="14.4" hidden="true" customHeight="false" outlineLevel="0" collapsed="false">
      <c r="A1175" s="34" t="n">
        <v>12763691153</v>
      </c>
      <c r="B1175" s="34" t="s">
        <v>5104</v>
      </c>
      <c r="C1175" s="34" t="s">
        <v>107</v>
      </c>
      <c r="E1175" s="30" t="s">
        <v>4585</v>
      </c>
      <c r="F1175" s="34" t="n">
        <f aca="false">IFERROR(VLOOKUP($A1175,'319'!$B:$H,7,0),0)</f>
        <v>0</v>
      </c>
      <c r="G1175" s="34" t="n">
        <f aca="false">SUMIFS('12.326ana'!$C:$C,'12.326ana'!$M:$M,redes!A1175)</f>
        <v>0</v>
      </c>
    </row>
    <row r="1176" customFormat="false" ht="14.4" hidden="true" customHeight="false" outlineLevel="0" collapsed="false">
      <c r="A1176" s="34" t="n">
        <v>12802387120</v>
      </c>
      <c r="B1176" s="34" t="s">
        <v>5105</v>
      </c>
      <c r="C1176" s="34" t="s">
        <v>77</v>
      </c>
      <c r="E1176" s="30" t="s">
        <v>5106</v>
      </c>
      <c r="F1176" s="34" t="n">
        <f aca="false">IFERROR(VLOOKUP($A1176,'319'!$B:$H,7,0),0)</f>
        <v>0</v>
      </c>
      <c r="G1176" s="34" t="n">
        <f aca="false">SUMIFS('12.326ana'!$C:$C,'12.326ana'!$M:$M,redes!A1176)</f>
        <v>0</v>
      </c>
    </row>
    <row r="1177" customFormat="false" ht="14.4" hidden="true" customHeight="false" outlineLevel="0" collapsed="false">
      <c r="A1177" s="34" t="n">
        <v>12812960159</v>
      </c>
      <c r="B1177" s="34" t="s">
        <v>5107</v>
      </c>
      <c r="C1177" s="34" t="s">
        <v>77</v>
      </c>
      <c r="E1177" s="30" t="s">
        <v>4747</v>
      </c>
      <c r="F1177" s="34" t="n">
        <f aca="false">IFERROR(VLOOKUP($A1177,'319'!$B:$H,7,0),0)</f>
        <v>0</v>
      </c>
      <c r="G1177" s="34" t="n">
        <f aca="false">SUMIFS('12.326ana'!$C:$C,'12.326ana'!$M:$M,redes!A1177)</f>
        <v>0</v>
      </c>
    </row>
    <row r="1178" customFormat="false" ht="14.4" hidden="true" customHeight="false" outlineLevel="0" collapsed="false">
      <c r="A1178" s="34" t="n">
        <v>12887323172</v>
      </c>
      <c r="B1178" s="34" t="s">
        <v>5108</v>
      </c>
      <c r="C1178" s="34" t="s">
        <v>77</v>
      </c>
      <c r="E1178" s="30" t="s">
        <v>5109</v>
      </c>
      <c r="F1178" s="34" t="n">
        <f aca="false">IFERROR(VLOOKUP($A1178,'319'!$B:$H,7,0),0)</f>
        <v>0</v>
      </c>
      <c r="G1178" s="34" t="n">
        <f aca="false">SUMIFS('12.326ana'!$C:$C,'12.326ana'!$M:$M,redes!A1178)</f>
        <v>0</v>
      </c>
    </row>
    <row r="1179" customFormat="false" ht="14.4" hidden="true" customHeight="false" outlineLevel="0" collapsed="false">
      <c r="A1179" s="34" t="n">
        <v>12895423172</v>
      </c>
      <c r="B1179" s="34" t="s">
        <v>5110</v>
      </c>
      <c r="C1179" s="34" t="s">
        <v>848</v>
      </c>
      <c r="E1179" s="30" t="s">
        <v>5111</v>
      </c>
      <c r="F1179" s="34" t="n">
        <f aca="false">IFERROR(VLOOKUP($A1179,'319'!$B:$H,7,0),0)</f>
        <v>0</v>
      </c>
      <c r="G1179" s="34" t="n">
        <f aca="false">SUMIFS('12.326ana'!$C:$C,'12.326ana'!$M:$M,redes!A1179)</f>
        <v>0</v>
      </c>
    </row>
    <row r="1180" customFormat="false" ht="14.4" hidden="true" customHeight="false" outlineLevel="0" collapsed="false">
      <c r="A1180" s="34" t="n">
        <v>12918631841</v>
      </c>
      <c r="B1180" s="34" t="s">
        <v>5112</v>
      </c>
      <c r="C1180" s="34" t="s">
        <v>77</v>
      </c>
      <c r="E1180" s="30" t="s">
        <v>5113</v>
      </c>
      <c r="F1180" s="34" t="n">
        <f aca="false">IFERROR(VLOOKUP($A1180,'319'!$B:$H,7,0),0)</f>
        <v>0</v>
      </c>
      <c r="G1180" s="34" t="n">
        <f aca="false">SUMIFS('12.326ana'!$C:$C,'12.326ana'!$M:$M,redes!A1180)</f>
        <v>0</v>
      </c>
    </row>
    <row r="1181" customFormat="false" ht="14.4" hidden="true" customHeight="false" outlineLevel="0" collapsed="false">
      <c r="A1181" s="34" t="n">
        <v>12965348808</v>
      </c>
      <c r="B1181" s="34" t="s">
        <v>5114</v>
      </c>
      <c r="C1181" s="34" t="s">
        <v>464</v>
      </c>
      <c r="E1181" s="30" t="s">
        <v>5115</v>
      </c>
      <c r="F1181" s="34" t="n">
        <f aca="false">IFERROR(VLOOKUP($A1181,'319'!$B:$H,7,0),0)</f>
        <v>0</v>
      </c>
      <c r="G1181" s="34" t="n">
        <f aca="false">SUMIFS('12.326ana'!$C:$C,'12.326ana'!$M:$M,redes!A1181)</f>
        <v>0</v>
      </c>
    </row>
    <row r="1182" customFormat="false" ht="14.4" hidden="true" customHeight="false" outlineLevel="0" collapsed="false">
      <c r="A1182" s="34" t="n">
        <v>13243824818</v>
      </c>
      <c r="B1182" s="34" t="s">
        <v>5116</v>
      </c>
      <c r="C1182" s="34" t="s">
        <v>475</v>
      </c>
      <c r="E1182" s="30" t="s">
        <v>5117</v>
      </c>
      <c r="F1182" s="34" t="n">
        <f aca="false">IFERROR(VLOOKUP($A1182,'319'!$B:$H,7,0),0)</f>
        <v>0</v>
      </c>
      <c r="G1182" s="34" t="n">
        <f aca="false">SUMIFS('12.326ana'!$C:$C,'12.326ana'!$M:$M,redes!A1182)</f>
        <v>0</v>
      </c>
    </row>
    <row r="1183" customFormat="false" ht="14.4" hidden="true" customHeight="false" outlineLevel="0" collapsed="false">
      <c r="A1183" s="34" t="n">
        <v>13299662368</v>
      </c>
      <c r="B1183" s="34" t="s">
        <v>5118</v>
      </c>
      <c r="C1183" s="34" t="s">
        <v>77</v>
      </c>
      <c r="E1183" s="30" t="s">
        <v>5119</v>
      </c>
      <c r="F1183" s="34" t="n">
        <f aca="false">IFERROR(VLOOKUP($A1183,'319'!$B:$H,7,0),0)</f>
        <v>0</v>
      </c>
      <c r="G1183" s="34" t="n">
        <f aca="false">SUMIFS('12.326ana'!$C:$C,'12.326ana'!$M:$M,redes!A1183)</f>
        <v>0</v>
      </c>
    </row>
    <row r="1184" customFormat="false" ht="14.4" hidden="true" customHeight="false" outlineLevel="0" collapsed="false">
      <c r="A1184" s="34" t="n">
        <v>13344285491</v>
      </c>
      <c r="B1184" s="34" t="s">
        <v>5120</v>
      </c>
      <c r="C1184" s="34" t="s">
        <v>377</v>
      </c>
      <c r="E1184" s="30" t="s">
        <v>5121</v>
      </c>
      <c r="F1184" s="34" t="n">
        <f aca="false">IFERROR(VLOOKUP($A1184,'319'!$B:$H,7,0),0)</f>
        <v>0</v>
      </c>
      <c r="G1184" s="34" t="n">
        <f aca="false">SUMIFS('12.326ana'!$C:$C,'12.326ana'!$M:$M,redes!A1184)</f>
        <v>0</v>
      </c>
    </row>
    <row r="1185" customFormat="false" ht="14.4" hidden="true" customHeight="false" outlineLevel="0" collapsed="false">
      <c r="A1185" s="34" t="n">
        <v>13648446053</v>
      </c>
      <c r="B1185" s="34" t="s">
        <v>5122</v>
      </c>
      <c r="C1185" s="34" t="s">
        <v>77</v>
      </c>
      <c r="E1185" s="30" t="s">
        <v>5123</v>
      </c>
      <c r="F1185" s="34" t="n">
        <f aca="false">IFERROR(VLOOKUP($A1185,'319'!$B:$H,7,0),0)</f>
        <v>0</v>
      </c>
      <c r="G1185" s="34" t="n">
        <f aca="false">SUMIFS('12.326ana'!$C:$C,'12.326ana'!$M:$M,redes!A1185)</f>
        <v>0</v>
      </c>
    </row>
    <row r="1186" customFormat="false" ht="14.4" hidden="true" customHeight="false" outlineLevel="0" collapsed="false">
      <c r="A1186" s="34" t="n">
        <v>13744437434</v>
      </c>
      <c r="B1186" s="34" t="s">
        <v>5124</v>
      </c>
      <c r="C1186" s="34" t="s">
        <v>77</v>
      </c>
      <c r="E1186" s="30" t="s">
        <v>5125</v>
      </c>
      <c r="F1186" s="34" t="n">
        <f aca="false">IFERROR(VLOOKUP($A1186,'319'!$B:$H,7,0),0)</f>
        <v>0</v>
      </c>
      <c r="G1186" s="34" t="n">
        <f aca="false">SUMIFS('12.326ana'!$C:$C,'12.326ana'!$M:$M,redes!A1186)</f>
        <v>0</v>
      </c>
    </row>
    <row r="1187" customFormat="false" ht="14.4" hidden="true" customHeight="false" outlineLevel="0" collapsed="false">
      <c r="A1187" s="34" t="n">
        <v>13749382115</v>
      </c>
      <c r="B1187" s="34" t="s">
        <v>5126</v>
      </c>
      <c r="C1187" s="34" t="s">
        <v>77</v>
      </c>
      <c r="E1187" s="30" t="s">
        <v>5127</v>
      </c>
      <c r="F1187" s="34" t="n">
        <f aca="false">IFERROR(VLOOKUP($A1187,'319'!$B:$H,7,0),0)</f>
        <v>0</v>
      </c>
      <c r="G1187" s="34" t="n">
        <f aca="false">SUMIFS('12.326ana'!$C:$C,'12.326ana'!$M:$M,redes!A1187)</f>
        <v>0</v>
      </c>
    </row>
    <row r="1188" customFormat="false" ht="14.4" hidden="true" customHeight="false" outlineLevel="0" collapsed="false">
      <c r="A1188" s="34" t="n">
        <v>13761315104</v>
      </c>
      <c r="B1188" s="34" t="s">
        <v>5128</v>
      </c>
      <c r="C1188" s="34" t="s">
        <v>77</v>
      </c>
      <c r="E1188" s="30" t="s">
        <v>5129</v>
      </c>
      <c r="F1188" s="34" t="n">
        <f aca="false">IFERROR(VLOOKUP($A1188,'319'!$B:$H,7,0),0)</f>
        <v>0</v>
      </c>
      <c r="G1188" s="34" t="n">
        <f aca="false">SUMIFS('12.326ana'!$C:$C,'12.326ana'!$M:$M,redes!A1188)</f>
        <v>0</v>
      </c>
    </row>
    <row r="1189" customFormat="false" ht="14.4" hidden="true" customHeight="false" outlineLevel="0" collapsed="false">
      <c r="A1189" s="34" t="n">
        <v>13768336115</v>
      </c>
      <c r="B1189" s="34" t="s">
        <v>5130</v>
      </c>
      <c r="C1189" s="34" t="s">
        <v>77</v>
      </c>
      <c r="E1189" s="30" t="s">
        <v>5131</v>
      </c>
      <c r="F1189" s="34" t="n">
        <f aca="false">IFERROR(VLOOKUP($A1189,'319'!$B:$H,7,0),0)</f>
        <v>0</v>
      </c>
      <c r="G1189" s="34" t="n">
        <f aca="false">SUMIFS('12.326ana'!$C:$C,'12.326ana'!$M:$M,redes!A1189)</f>
        <v>0</v>
      </c>
    </row>
    <row r="1190" customFormat="false" ht="14.4" hidden="true" customHeight="false" outlineLevel="0" collapsed="false">
      <c r="A1190" s="34" t="n">
        <v>13770470168</v>
      </c>
      <c r="B1190" s="34" t="s">
        <v>5132</v>
      </c>
      <c r="C1190" s="34" t="s">
        <v>77</v>
      </c>
      <c r="E1190" s="30"/>
      <c r="F1190" s="34" t="n">
        <f aca="false">IFERROR(VLOOKUP($A1190,'319'!$B:$H,7,0),0)</f>
        <v>0</v>
      </c>
      <c r="G1190" s="34" t="n">
        <f aca="false">SUMIFS('12.326ana'!$C:$C,'12.326ana'!$M:$M,redes!A1190)</f>
        <v>0</v>
      </c>
    </row>
    <row r="1191" customFormat="false" ht="14.4" hidden="true" customHeight="false" outlineLevel="0" collapsed="false">
      <c r="A1191" s="34" t="n">
        <v>13772660100</v>
      </c>
      <c r="B1191" s="34" t="s">
        <v>5133</v>
      </c>
      <c r="C1191" s="34" t="s">
        <v>107</v>
      </c>
      <c r="E1191" s="30" t="s">
        <v>5134</v>
      </c>
      <c r="F1191" s="34" t="n">
        <f aca="false">IFERROR(VLOOKUP($A1191,'319'!$B:$H,7,0),0)</f>
        <v>0</v>
      </c>
      <c r="G1191" s="34" t="n">
        <f aca="false">SUMIFS('12.326ana'!$C:$C,'12.326ana'!$M:$M,redes!A1191)</f>
        <v>0</v>
      </c>
    </row>
    <row r="1192" customFormat="false" ht="14.4" hidden="true" customHeight="false" outlineLevel="0" collapsed="false">
      <c r="A1192" s="34" t="n">
        <v>13784340130</v>
      </c>
      <c r="B1192" s="34" t="s">
        <v>5135</v>
      </c>
      <c r="C1192" s="34" t="s">
        <v>213</v>
      </c>
      <c r="E1192" s="30" t="s">
        <v>5136</v>
      </c>
      <c r="F1192" s="34" t="n">
        <f aca="false">IFERROR(VLOOKUP($A1192,'319'!$B:$H,7,0),0)</f>
        <v>0</v>
      </c>
      <c r="G1192" s="34" t="n">
        <f aca="false">SUMIFS('12.326ana'!$C:$C,'12.326ana'!$M:$M,redes!A1192)</f>
        <v>0</v>
      </c>
    </row>
    <row r="1193" customFormat="false" ht="14.4" hidden="true" customHeight="false" outlineLevel="0" collapsed="false">
      <c r="A1193" s="34" t="n">
        <v>13797301120</v>
      </c>
      <c r="B1193" s="34" t="s">
        <v>5137</v>
      </c>
      <c r="C1193" s="34" t="s">
        <v>77</v>
      </c>
      <c r="E1193" s="30" t="s">
        <v>5138</v>
      </c>
      <c r="F1193" s="34" t="n">
        <f aca="false">IFERROR(VLOOKUP($A1193,'319'!$B:$H,7,0),0)</f>
        <v>0</v>
      </c>
      <c r="G1193" s="34" t="n">
        <f aca="false">SUMIFS('12.326ana'!$C:$C,'12.326ana'!$M:$M,redes!A1193)</f>
        <v>0</v>
      </c>
    </row>
    <row r="1194" customFormat="false" ht="14.4" hidden="true" customHeight="false" outlineLevel="0" collapsed="false">
      <c r="A1194" s="34" t="n">
        <v>13833812168</v>
      </c>
      <c r="B1194" s="34" t="s">
        <v>5139</v>
      </c>
      <c r="C1194" s="34" t="s">
        <v>77</v>
      </c>
      <c r="E1194" s="30" t="s">
        <v>5140</v>
      </c>
      <c r="F1194" s="34" t="n">
        <f aca="false">IFERROR(VLOOKUP($A1194,'319'!$B:$H,7,0),0)</f>
        <v>0</v>
      </c>
      <c r="G1194" s="34" t="n">
        <f aca="false">SUMIFS('12.326ana'!$C:$C,'12.326ana'!$M:$M,redes!A1194)</f>
        <v>0</v>
      </c>
    </row>
    <row r="1195" customFormat="false" ht="14.4" hidden="true" customHeight="false" outlineLevel="0" collapsed="false">
      <c r="A1195" s="34" t="n">
        <v>13839870178</v>
      </c>
      <c r="B1195" s="34" t="s">
        <v>5141</v>
      </c>
      <c r="C1195" s="34" t="s">
        <v>77</v>
      </c>
      <c r="E1195" s="30" t="s">
        <v>5142</v>
      </c>
      <c r="F1195" s="34" t="n">
        <f aca="false">IFERROR(VLOOKUP($A1195,'319'!$B:$H,7,0),0)</f>
        <v>0</v>
      </c>
      <c r="G1195" s="34" t="n">
        <f aca="false">SUMIFS('12.326ana'!$C:$C,'12.326ana'!$M:$M,redes!A1195)</f>
        <v>0</v>
      </c>
    </row>
    <row r="1196" customFormat="false" ht="14.4" hidden="true" customHeight="false" outlineLevel="0" collapsed="false">
      <c r="A1196" s="34" t="n">
        <v>13842285191</v>
      </c>
      <c r="B1196" s="34" t="s">
        <v>5143</v>
      </c>
      <c r="C1196" s="34" t="s">
        <v>197</v>
      </c>
      <c r="E1196" s="30" t="s">
        <v>5144</v>
      </c>
      <c r="F1196" s="34" t="n">
        <f aca="false">IFERROR(VLOOKUP($A1196,'319'!$B:$H,7,0),0)</f>
        <v>0</v>
      </c>
      <c r="G1196" s="34" t="n">
        <f aca="false">SUMIFS('12.326ana'!$C:$C,'12.326ana'!$M:$M,redes!A1196)</f>
        <v>0</v>
      </c>
    </row>
    <row r="1197" customFormat="false" ht="14.4" hidden="true" customHeight="false" outlineLevel="0" collapsed="false">
      <c r="A1197" s="34" t="n">
        <v>13845339829</v>
      </c>
      <c r="B1197" s="34" t="s">
        <v>5145</v>
      </c>
      <c r="C1197" s="34" t="s">
        <v>77</v>
      </c>
      <c r="E1197" s="30" t="s">
        <v>5145</v>
      </c>
      <c r="F1197" s="34" t="n">
        <f aca="false">IFERROR(VLOOKUP($A1197,'319'!$B:$H,7,0),0)</f>
        <v>0</v>
      </c>
      <c r="G1197" s="34" t="n">
        <f aca="false">SUMIFS('12.326ana'!$C:$C,'12.326ana'!$M:$M,redes!A1197)</f>
        <v>0</v>
      </c>
    </row>
    <row r="1198" customFormat="false" ht="14.4" hidden="true" customHeight="false" outlineLevel="0" collapsed="false">
      <c r="A1198" s="34" t="n">
        <v>13845390182</v>
      </c>
      <c r="B1198" s="34" t="s">
        <v>5146</v>
      </c>
      <c r="C1198" s="34" t="s">
        <v>77</v>
      </c>
      <c r="E1198" s="30" t="s">
        <v>5147</v>
      </c>
      <c r="F1198" s="34" t="n">
        <f aca="false">IFERROR(VLOOKUP($A1198,'319'!$B:$H,7,0),0)</f>
        <v>0</v>
      </c>
      <c r="G1198" s="34" t="n">
        <f aca="false">SUMIFS('12.326ana'!$C:$C,'12.326ana'!$M:$M,redes!A1198)</f>
        <v>0</v>
      </c>
    </row>
    <row r="1199" customFormat="false" ht="14.4" hidden="true" customHeight="false" outlineLevel="0" collapsed="false">
      <c r="A1199" s="34" t="n">
        <v>13857215100</v>
      </c>
      <c r="B1199" s="34" t="s">
        <v>5148</v>
      </c>
      <c r="C1199" s="34" t="s">
        <v>77</v>
      </c>
      <c r="E1199" s="30" t="s">
        <v>5149</v>
      </c>
      <c r="F1199" s="34" t="n">
        <f aca="false">IFERROR(VLOOKUP($A1199,'319'!$B:$H,7,0),0)</f>
        <v>0</v>
      </c>
      <c r="G1199" s="34" t="n">
        <f aca="false">SUMIFS('12.326ana'!$C:$C,'12.326ana'!$M:$M,redes!A1199)</f>
        <v>0</v>
      </c>
    </row>
    <row r="1200" customFormat="false" ht="14.4" hidden="true" customHeight="false" outlineLevel="0" collapsed="false">
      <c r="A1200" s="34" t="n">
        <v>13910337104</v>
      </c>
      <c r="B1200" s="34" t="s">
        <v>5150</v>
      </c>
      <c r="C1200" s="34" t="s">
        <v>77</v>
      </c>
      <c r="E1200" s="30" t="s">
        <v>5151</v>
      </c>
      <c r="F1200" s="34" t="n">
        <f aca="false">IFERROR(VLOOKUP($A1200,'319'!$B:$H,7,0),0)</f>
        <v>0</v>
      </c>
      <c r="G1200" s="34" t="n">
        <f aca="false">SUMIFS('12.326ana'!$C:$C,'12.326ana'!$M:$M,redes!A1200)</f>
        <v>0</v>
      </c>
    </row>
    <row r="1201" customFormat="false" ht="14.4" hidden="true" customHeight="false" outlineLevel="0" collapsed="false">
      <c r="A1201" s="34" t="n">
        <v>13911155115</v>
      </c>
      <c r="B1201" s="34" t="s">
        <v>5152</v>
      </c>
      <c r="C1201" s="34" t="s">
        <v>464</v>
      </c>
      <c r="E1201" s="30" t="s">
        <v>5153</v>
      </c>
      <c r="F1201" s="34" t="n">
        <f aca="false">IFERROR(VLOOKUP($A1201,'319'!$B:$H,7,0),0)</f>
        <v>0</v>
      </c>
      <c r="G1201" s="34" t="n">
        <f aca="false">SUMIFS('12.326ana'!$C:$C,'12.326ana'!$M:$M,redes!A1201)</f>
        <v>0</v>
      </c>
    </row>
    <row r="1202" customFormat="false" ht="14.4" hidden="true" customHeight="false" outlineLevel="0" collapsed="false">
      <c r="A1202" s="34" t="n">
        <v>13917838168</v>
      </c>
      <c r="B1202" s="34" t="s">
        <v>5154</v>
      </c>
      <c r="C1202" s="34" t="s">
        <v>107</v>
      </c>
      <c r="E1202" s="30" t="s">
        <v>5155</v>
      </c>
      <c r="F1202" s="34" t="n">
        <f aca="false">IFERROR(VLOOKUP($A1202,'319'!$B:$H,7,0),0)</f>
        <v>0</v>
      </c>
      <c r="G1202" s="34" t="n">
        <f aca="false">SUMIFS('12.326ana'!$C:$C,'12.326ana'!$M:$M,redes!A1202)</f>
        <v>0</v>
      </c>
    </row>
    <row r="1203" customFormat="false" ht="14.4" hidden="true" customHeight="false" outlineLevel="0" collapsed="false">
      <c r="A1203" s="34" t="n">
        <v>13919490134</v>
      </c>
      <c r="B1203" s="34" t="s">
        <v>5156</v>
      </c>
      <c r="C1203" s="34" t="s">
        <v>107</v>
      </c>
      <c r="E1203" s="30" t="s">
        <v>5157</v>
      </c>
      <c r="F1203" s="34" t="n">
        <f aca="false">IFERROR(VLOOKUP($A1203,'319'!$B:$H,7,0),0)</f>
        <v>0</v>
      </c>
      <c r="G1203" s="34" t="n">
        <f aca="false">SUMIFS('12.326ana'!$C:$C,'12.326ana'!$M:$M,redes!A1203)</f>
        <v>0</v>
      </c>
    </row>
    <row r="1204" customFormat="false" ht="14.4" hidden="true" customHeight="false" outlineLevel="0" collapsed="false">
      <c r="A1204" s="34" t="n">
        <v>13920880110</v>
      </c>
      <c r="B1204" s="34" t="s">
        <v>5158</v>
      </c>
      <c r="C1204" s="34" t="s">
        <v>935</v>
      </c>
      <c r="E1204" s="30" t="s">
        <v>3664</v>
      </c>
      <c r="F1204" s="34" t="n">
        <f aca="false">IFERROR(VLOOKUP($A1204,'319'!$B:$H,7,0),0)</f>
        <v>0</v>
      </c>
      <c r="G1204" s="34" t="n">
        <f aca="false">SUMIFS('12.326ana'!$C:$C,'12.326ana'!$M:$M,redes!A1204)</f>
        <v>0</v>
      </c>
    </row>
    <row r="1205" customFormat="false" ht="14.4" hidden="true" customHeight="false" outlineLevel="0" collapsed="false">
      <c r="A1205" s="34" t="n">
        <v>13927973149</v>
      </c>
      <c r="B1205" s="34" t="s">
        <v>5159</v>
      </c>
      <c r="C1205" s="34" t="s">
        <v>309</v>
      </c>
      <c r="E1205" s="30" t="s">
        <v>5160</v>
      </c>
      <c r="F1205" s="34" t="n">
        <f aca="false">IFERROR(VLOOKUP($A1205,'319'!$B:$H,7,0),0)</f>
        <v>0</v>
      </c>
      <c r="G1205" s="34" t="n">
        <f aca="false">SUMIFS('12.326ana'!$C:$C,'12.326ana'!$M:$M,redes!A1205)</f>
        <v>0</v>
      </c>
    </row>
    <row r="1206" customFormat="false" ht="14.4" hidden="true" customHeight="false" outlineLevel="0" collapsed="false">
      <c r="A1206" s="34" t="n">
        <v>13928112104</v>
      </c>
      <c r="B1206" s="34" t="s">
        <v>5161</v>
      </c>
      <c r="C1206" s="34" t="s">
        <v>107</v>
      </c>
      <c r="E1206" s="30" t="s">
        <v>3385</v>
      </c>
      <c r="F1206" s="34" t="n">
        <f aca="false">IFERROR(VLOOKUP($A1206,'319'!$B:$H,7,0),0)</f>
        <v>0</v>
      </c>
      <c r="G1206" s="34" t="n">
        <f aca="false">SUMIFS('12.326ana'!$C:$C,'12.326ana'!$M:$M,redes!A1206)</f>
        <v>0</v>
      </c>
    </row>
    <row r="1207" customFormat="false" ht="14.4" hidden="true" customHeight="false" outlineLevel="0" collapsed="false">
      <c r="A1207" s="34" t="n">
        <v>13938690178</v>
      </c>
      <c r="B1207" s="34" t="s">
        <v>5162</v>
      </c>
      <c r="C1207" s="34" t="s">
        <v>107</v>
      </c>
      <c r="E1207" s="30" t="s">
        <v>5163</v>
      </c>
      <c r="F1207" s="34" t="n">
        <f aca="false">IFERROR(VLOOKUP($A1207,'319'!$B:$H,7,0),0)</f>
        <v>0</v>
      </c>
      <c r="G1207" s="34" t="n">
        <f aca="false">SUMIFS('12.326ana'!$C:$C,'12.326ana'!$M:$M,redes!A1207)</f>
        <v>0</v>
      </c>
    </row>
    <row r="1208" customFormat="false" ht="14.4" hidden="true" customHeight="false" outlineLevel="0" collapsed="false">
      <c r="A1208" s="34" t="n">
        <v>13944258134</v>
      </c>
      <c r="B1208" s="34" t="s">
        <v>5164</v>
      </c>
      <c r="C1208" s="34" t="s">
        <v>77</v>
      </c>
      <c r="E1208" s="30"/>
      <c r="F1208" s="34" t="n">
        <f aca="false">IFERROR(VLOOKUP($A1208,'319'!$B:$H,7,0),0)</f>
        <v>0</v>
      </c>
      <c r="G1208" s="34" t="n">
        <f aca="false">SUMIFS('12.326ana'!$C:$C,'12.326ana'!$M:$M,redes!A1208)</f>
        <v>0</v>
      </c>
    </row>
    <row r="1209" customFormat="false" ht="14.4" hidden="true" customHeight="false" outlineLevel="0" collapsed="false">
      <c r="A1209" s="34" t="n">
        <v>13952145149</v>
      </c>
      <c r="B1209" s="34" t="s">
        <v>5165</v>
      </c>
      <c r="C1209" s="34" t="s">
        <v>77</v>
      </c>
      <c r="E1209" s="30"/>
      <c r="F1209" s="34" t="n">
        <f aca="false">IFERROR(VLOOKUP($A1209,'319'!$B:$H,7,0),0)</f>
        <v>0</v>
      </c>
      <c r="G1209" s="34" t="n">
        <f aca="false">SUMIFS('12.326ana'!$C:$C,'12.326ana'!$M:$M,redes!A1209)</f>
        <v>0</v>
      </c>
    </row>
    <row r="1210" customFormat="false" ht="14.4" hidden="true" customHeight="false" outlineLevel="0" collapsed="false">
      <c r="A1210" s="34" t="n">
        <v>13963350130</v>
      </c>
      <c r="B1210" s="34" t="s">
        <v>5166</v>
      </c>
      <c r="C1210" s="34" t="s">
        <v>562</v>
      </c>
      <c r="E1210" s="30" t="s">
        <v>5167</v>
      </c>
      <c r="F1210" s="34" t="n">
        <f aca="false">IFERROR(VLOOKUP($A1210,'319'!$B:$H,7,0),0)</f>
        <v>0</v>
      </c>
      <c r="G1210" s="34" t="n">
        <f aca="false">SUMIFS('12.326ana'!$C:$C,'12.326ana'!$M:$M,redes!A1210)</f>
        <v>0</v>
      </c>
    </row>
    <row r="1211" customFormat="false" ht="14.4" hidden="true" customHeight="false" outlineLevel="0" collapsed="false">
      <c r="A1211" s="34" t="n">
        <v>13970961874</v>
      </c>
      <c r="B1211" s="34" t="s">
        <v>5168</v>
      </c>
      <c r="C1211" s="34" t="s">
        <v>77</v>
      </c>
      <c r="E1211" s="30"/>
      <c r="F1211" s="34" t="n">
        <f aca="false">IFERROR(VLOOKUP($A1211,'319'!$B:$H,7,0),0)</f>
        <v>0</v>
      </c>
      <c r="G1211" s="34" t="n">
        <f aca="false">SUMIFS('12.326ana'!$C:$C,'12.326ana'!$M:$M,redes!A1211)</f>
        <v>0</v>
      </c>
    </row>
    <row r="1212" customFormat="false" ht="14.4" hidden="true" customHeight="false" outlineLevel="0" collapsed="false">
      <c r="A1212" s="34" t="n">
        <v>13973347115</v>
      </c>
      <c r="B1212" s="34" t="s">
        <v>5169</v>
      </c>
      <c r="C1212" s="34" t="s">
        <v>197</v>
      </c>
      <c r="E1212" s="30" t="s">
        <v>5170</v>
      </c>
      <c r="F1212" s="34" t="n">
        <f aca="false">IFERROR(VLOOKUP($A1212,'319'!$B:$H,7,0),0)</f>
        <v>0</v>
      </c>
      <c r="G1212" s="34" t="n">
        <f aca="false">SUMIFS('12.326ana'!$C:$C,'12.326ana'!$M:$M,redes!A1212)</f>
        <v>0</v>
      </c>
    </row>
    <row r="1213" customFormat="false" ht="14.4" hidden="true" customHeight="false" outlineLevel="0" collapsed="false">
      <c r="A1213" s="34" t="n">
        <v>13974904115</v>
      </c>
      <c r="B1213" s="34" t="s">
        <v>5171</v>
      </c>
      <c r="C1213" s="34" t="s">
        <v>77</v>
      </c>
      <c r="E1213" s="30" t="s">
        <v>5172</v>
      </c>
      <c r="F1213" s="34" t="n">
        <f aca="false">IFERROR(VLOOKUP($A1213,'319'!$B:$H,7,0),0)</f>
        <v>0</v>
      </c>
      <c r="G1213" s="34" t="n">
        <f aca="false">SUMIFS('12.326ana'!$C:$C,'12.326ana'!$M:$M,redes!A1213)</f>
        <v>0</v>
      </c>
    </row>
    <row r="1214" customFormat="false" ht="14.4" hidden="true" customHeight="false" outlineLevel="0" collapsed="false">
      <c r="A1214" s="34" t="n">
        <v>13976850187</v>
      </c>
      <c r="B1214" s="34" t="s">
        <v>5173</v>
      </c>
      <c r="C1214" s="34" t="s">
        <v>77</v>
      </c>
      <c r="E1214" s="30" t="s">
        <v>5174</v>
      </c>
      <c r="F1214" s="34" t="n">
        <f aca="false">IFERROR(VLOOKUP($A1214,'319'!$B:$H,7,0),0)</f>
        <v>0</v>
      </c>
      <c r="G1214" s="34" t="n">
        <f aca="false">SUMIFS('12.326ana'!$C:$C,'12.326ana'!$M:$M,redes!A1214)</f>
        <v>0</v>
      </c>
    </row>
    <row r="1215" customFormat="false" ht="14.4" hidden="true" customHeight="false" outlineLevel="0" collapsed="false">
      <c r="A1215" s="34" t="n">
        <v>13978659115</v>
      </c>
      <c r="B1215" s="34" t="s">
        <v>5175</v>
      </c>
      <c r="C1215" s="34" t="s">
        <v>77</v>
      </c>
      <c r="E1215" s="30" t="s">
        <v>5176</v>
      </c>
      <c r="F1215" s="34" t="n">
        <f aca="false">IFERROR(VLOOKUP($A1215,'319'!$B:$H,7,0),0)</f>
        <v>0</v>
      </c>
      <c r="G1215" s="34" t="n">
        <f aca="false">SUMIFS('12.326ana'!$C:$C,'12.326ana'!$M:$M,redes!A1215)</f>
        <v>0</v>
      </c>
    </row>
    <row r="1216" customFormat="false" ht="14.4" hidden="true" customHeight="false" outlineLevel="0" collapsed="false">
      <c r="A1216" s="34" t="n">
        <v>13980793168</v>
      </c>
      <c r="B1216" s="34" t="s">
        <v>5177</v>
      </c>
      <c r="C1216" s="34" t="s">
        <v>77</v>
      </c>
      <c r="E1216" s="30" t="s">
        <v>5178</v>
      </c>
      <c r="F1216" s="34" t="n">
        <f aca="false">IFERROR(VLOOKUP($A1216,'319'!$B:$H,7,0),0)</f>
        <v>0</v>
      </c>
      <c r="G1216" s="34" t="n">
        <f aca="false">SUMIFS('12.326ana'!$C:$C,'12.326ana'!$M:$M,redes!A1216)</f>
        <v>0</v>
      </c>
    </row>
    <row r="1217" customFormat="false" ht="14.4" hidden="true" customHeight="false" outlineLevel="0" collapsed="false">
      <c r="A1217" s="34" t="n">
        <v>13981870115</v>
      </c>
      <c r="B1217" s="34" t="s">
        <v>5179</v>
      </c>
      <c r="C1217" s="34" t="s">
        <v>77</v>
      </c>
      <c r="E1217" s="30" t="s">
        <v>5180</v>
      </c>
      <c r="F1217" s="34" t="n">
        <f aca="false">IFERROR(VLOOKUP($A1217,'319'!$B:$H,7,0),0)</f>
        <v>0</v>
      </c>
      <c r="G1217" s="34" t="n">
        <f aca="false">SUMIFS('12.326ana'!$C:$C,'12.326ana'!$M:$M,redes!A1217)</f>
        <v>0</v>
      </c>
    </row>
    <row r="1218" customFormat="false" ht="14.4" hidden="true" customHeight="false" outlineLevel="0" collapsed="false">
      <c r="A1218" s="34" t="n">
        <v>13983121187</v>
      </c>
      <c r="B1218" s="34" t="s">
        <v>5181</v>
      </c>
      <c r="C1218" s="34" t="s">
        <v>77</v>
      </c>
      <c r="E1218" s="30" t="s">
        <v>5182</v>
      </c>
      <c r="F1218" s="34" t="n">
        <f aca="false">IFERROR(VLOOKUP($A1218,'319'!$B:$H,7,0),0)</f>
        <v>0</v>
      </c>
      <c r="G1218" s="34" t="n">
        <f aca="false">SUMIFS('12.326ana'!$C:$C,'12.326ana'!$M:$M,redes!A1218)</f>
        <v>0</v>
      </c>
    </row>
    <row r="1219" customFormat="false" ht="14.4" hidden="true" customHeight="false" outlineLevel="0" collapsed="false">
      <c r="A1219" s="34" t="n">
        <v>13984861168</v>
      </c>
      <c r="B1219" s="34" t="s">
        <v>5183</v>
      </c>
      <c r="C1219" s="34" t="s">
        <v>77</v>
      </c>
      <c r="E1219" s="30" t="s">
        <v>5184</v>
      </c>
      <c r="F1219" s="34" t="n">
        <f aca="false">IFERROR(VLOOKUP($A1219,'319'!$B:$H,7,0),0)</f>
        <v>0</v>
      </c>
      <c r="G1219" s="34" t="n">
        <f aca="false">SUMIFS('12.326ana'!$C:$C,'12.326ana'!$M:$M,redes!A1219)</f>
        <v>0</v>
      </c>
    </row>
    <row r="1220" customFormat="false" ht="14.4" hidden="true" customHeight="false" outlineLevel="0" collapsed="false">
      <c r="A1220" s="34" t="n">
        <v>13997335168</v>
      </c>
      <c r="B1220" s="34" t="s">
        <v>5185</v>
      </c>
      <c r="C1220" s="34" t="s">
        <v>1272</v>
      </c>
      <c r="E1220" s="30" t="s">
        <v>5186</v>
      </c>
      <c r="F1220" s="34" t="n">
        <f aca="false">IFERROR(VLOOKUP($A1220,'319'!$B:$H,7,0),0)</f>
        <v>0</v>
      </c>
      <c r="G1220" s="34" t="n">
        <f aca="false">SUMIFS('12.326ana'!$C:$C,'12.326ana'!$M:$M,redes!A1220)</f>
        <v>0</v>
      </c>
    </row>
    <row r="1221" customFormat="false" ht="14.4" hidden="true" customHeight="false" outlineLevel="0" collapsed="false">
      <c r="A1221" s="34" t="n">
        <v>13999710187</v>
      </c>
      <c r="B1221" s="34" t="s">
        <v>5187</v>
      </c>
      <c r="C1221" s="34" t="s">
        <v>1272</v>
      </c>
      <c r="E1221" s="30" t="s">
        <v>5188</v>
      </c>
      <c r="F1221" s="34" t="n">
        <f aca="false">IFERROR(VLOOKUP($A1221,'319'!$B:$H,7,0),0)</f>
        <v>0</v>
      </c>
      <c r="G1221" s="34" t="n">
        <f aca="false">SUMIFS('12.326ana'!$C:$C,'12.326ana'!$M:$M,redes!A1221)</f>
        <v>0</v>
      </c>
    </row>
    <row r="1222" customFormat="false" ht="14.4" hidden="true" customHeight="false" outlineLevel="0" collapsed="false">
      <c r="A1222" s="34" t="n">
        <v>14003783115</v>
      </c>
      <c r="B1222" s="34" t="s">
        <v>5189</v>
      </c>
      <c r="C1222" s="34" t="s">
        <v>631</v>
      </c>
      <c r="E1222" s="30" t="s">
        <v>5190</v>
      </c>
      <c r="F1222" s="34" t="n">
        <f aca="false">IFERROR(VLOOKUP($A1222,'319'!$B:$H,7,0),0)</f>
        <v>0</v>
      </c>
      <c r="G1222" s="34" t="n">
        <f aca="false">SUMIFS('12.326ana'!$C:$C,'12.326ana'!$M:$M,redes!A1222)</f>
        <v>0</v>
      </c>
    </row>
    <row r="1223" customFormat="false" ht="14.4" hidden="true" customHeight="false" outlineLevel="0" collapsed="false">
      <c r="A1223" s="34" t="n">
        <v>14018586191</v>
      </c>
      <c r="B1223" s="34" t="s">
        <v>5191</v>
      </c>
      <c r="C1223" s="34" t="s">
        <v>764</v>
      </c>
      <c r="E1223" s="30" t="s">
        <v>5192</v>
      </c>
      <c r="F1223" s="34" t="n">
        <f aca="false">IFERROR(VLOOKUP($A1223,'319'!$B:$H,7,0),0)</f>
        <v>0</v>
      </c>
      <c r="G1223" s="34" t="n">
        <f aca="false">SUMIFS('12.326ana'!$C:$C,'12.326ana'!$M:$M,redes!A1223)</f>
        <v>0</v>
      </c>
    </row>
    <row r="1224" customFormat="false" ht="14.4" hidden="true" customHeight="false" outlineLevel="0" collapsed="false">
      <c r="A1224" s="34" t="n">
        <v>14028948134</v>
      </c>
      <c r="B1224" s="34" t="s">
        <v>5193</v>
      </c>
      <c r="C1224" s="34" t="s">
        <v>706</v>
      </c>
      <c r="E1224" s="30" t="s">
        <v>5194</v>
      </c>
      <c r="F1224" s="34" t="n">
        <f aca="false">IFERROR(VLOOKUP($A1224,'319'!$B:$H,7,0),0)</f>
        <v>0</v>
      </c>
      <c r="G1224" s="34" t="n">
        <f aca="false">SUMIFS('12.326ana'!$C:$C,'12.326ana'!$M:$M,redes!A1224)</f>
        <v>0</v>
      </c>
    </row>
    <row r="1225" customFormat="false" ht="14.4" hidden="true" customHeight="false" outlineLevel="0" collapsed="false">
      <c r="A1225" s="34" t="n">
        <v>14033844104</v>
      </c>
      <c r="B1225" s="34" t="s">
        <v>5195</v>
      </c>
      <c r="C1225" s="34" t="s">
        <v>473</v>
      </c>
      <c r="E1225" s="30" t="s">
        <v>5196</v>
      </c>
      <c r="F1225" s="34" t="n">
        <f aca="false">IFERROR(VLOOKUP($A1225,'319'!$B:$H,7,0),0)</f>
        <v>0</v>
      </c>
      <c r="G1225" s="34" t="n">
        <f aca="false">SUMIFS('12.326ana'!$C:$C,'12.326ana'!$M:$M,redes!A1225)</f>
        <v>0</v>
      </c>
    </row>
    <row r="1226" customFormat="false" ht="14.4" hidden="true" customHeight="false" outlineLevel="0" collapsed="false">
      <c r="A1226" s="34" t="n">
        <v>14035880159</v>
      </c>
      <c r="B1226" s="34" t="s">
        <v>5197</v>
      </c>
      <c r="C1226" s="34" t="s">
        <v>103</v>
      </c>
      <c r="E1226" s="30" t="s">
        <v>5198</v>
      </c>
      <c r="F1226" s="34" t="n">
        <f aca="false">IFERROR(VLOOKUP($A1226,'319'!$B:$H,7,0),0)</f>
        <v>0</v>
      </c>
      <c r="G1226" s="34" t="n">
        <f aca="false">SUMIFS('12.326ana'!$C:$C,'12.326ana'!$M:$M,redes!A1226)</f>
        <v>0</v>
      </c>
    </row>
    <row r="1227" customFormat="false" ht="14.4" hidden="true" customHeight="false" outlineLevel="0" collapsed="false">
      <c r="A1227" s="34" t="n">
        <v>14048057880</v>
      </c>
      <c r="B1227" s="34" t="s">
        <v>5199</v>
      </c>
      <c r="C1227" s="34" t="s">
        <v>77</v>
      </c>
      <c r="E1227" s="30" t="s">
        <v>5200</v>
      </c>
      <c r="F1227" s="34" t="n">
        <f aca="false">IFERROR(VLOOKUP($A1227,'319'!$B:$H,7,0),0)</f>
        <v>0</v>
      </c>
      <c r="G1227" s="34" t="n">
        <f aca="false">SUMIFS('12.326ana'!$C:$C,'12.326ana'!$M:$M,redes!A1227)</f>
        <v>0</v>
      </c>
    </row>
    <row r="1228" customFormat="false" ht="14.4" hidden="true" customHeight="false" outlineLevel="0" collapsed="false">
      <c r="A1228" s="34" t="n">
        <v>14055066953</v>
      </c>
      <c r="B1228" s="34" t="s">
        <v>5201</v>
      </c>
      <c r="C1228" s="34" t="s">
        <v>77</v>
      </c>
      <c r="E1228" s="30" t="s">
        <v>5202</v>
      </c>
      <c r="F1228" s="34" t="n">
        <f aca="false">IFERROR(VLOOKUP($A1228,'319'!$B:$H,7,0),0)</f>
        <v>0</v>
      </c>
      <c r="G1228" s="34" t="n">
        <f aca="false">SUMIFS('12.326ana'!$C:$C,'12.326ana'!$M:$M,redes!A1228)</f>
        <v>0</v>
      </c>
    </row>
    <row r="1229" customFormat="false" ht="14.4" hidden="true" customHeight="false" outlineLevel="0" collapsed="false">
      <c r="A1229" s="34" t="n">
        <v>14062917149</v>
      </c>
      <c r="B1229" s="34" t="s">
        <v>5203</v>
      </c>
      <c r="C1229" s="34" t="s">
        <v>962</v>
      </c>
      <c r="E1229" s="30" t="s">
        <v>4702</v>
      </c>
      <c r="F1229" s="34" t="n">
        <f aca="false">IFERROR(VLOOKUP($A1229,'319'!$B:$H,7,0),0)</f>
        <v>0</v>
      </c>
      <c r="G1229" s="34" t="n">
        <f aca="false">SUMIFS('12.326ana'!$C:$C,'12.326ana'!$M:$M,redes!A1229)</f>
        <v>0</v>
      </c>
    </row>
    <row r="1230" customFormat="false" ht="14.4" hidden="true" customHeight="false" outlineLevel="0" collapsed="false">
      <c r="A1230" s="34" t="n">
        <v>14064286120</v>
      </c>
      <c r="B1230" s="34" t="s">
        <v>5204</v>
      </c>
      <c r="C1230" s="34" t="s">
        <v>77</v>
      </c>
      <c r="E1230" s="30"/>
      <c r="F1230" s="34" t="n">
        <f aca="false">IFERROR(VLOOKUP($A1230,'319'!$B:$H,7,0),0)</f>
        <v>0</v>
      </c>
      <c r="G1230" s="34" t="n">
        <f aca="false">SUMIFS('12.326ana'!$C:$C,'12.326ana'!$M:$M,redes!A1230)</f>
        <v>0</v>
      </c>
    </row>
    <row r="1231" customFormat="false" ht="14.4" hidden="true" customHeight="false" outlineLevel="0" collapsed="false">
      <c r="A1231" s="34" t="n">
        <v>14064553187</v>
      </c>
      <c r="B1231" s="34" t="s">
        <v>5205</v>
      </c>
      <c r="C1231" s="34" t="s">
        <v>478</v>
      </c>
      <c r="E1231" s="30" t="s">
        <v>5206</v>
      </c>
      <c r="F1231" s="34" t="n">
        <f aca="false">IFERROR(VLOOKUP($A1231,'319'!$B:$H,7,0),0)</f>
        <v>0</v>
      </c>
      <c r="G1231" s="34" t="n">
        <f aca="false">SUMIFS('12.326ana'!$C:$C,'12.326ana'!$M:$M,redes!A1231)</f>
        <v>0</v>
      </c>
    </row>
    <row r="1232" customFormat="false" ht="14.4" hidden="true" customHeight="false" outlineLevel="0" collapsed="false">
      <c r="A1232" s="34" t="n">
        <v>14073528149</v>
      </c>
      <c r="B1232" s="34" t="s">
        <v>5207</v>
      </c>
      <c r="C1232" s="34" t="s">
        <v>77</v>
      </c>
      <c r="E1232" s="30" t="s">
        <v>5208</v>
      </c>
      <c r="F1232" s="34" t="n">
        <f aca="false">IFERROR(VLOOKUP($A1232,'319'!$B:$H,7,0),0)</f>
        <v>0</v>
      </c>
      <c r="G1232" s="34" t="n">
        <f aca="false">SUMIFS('12.326ana'!$C:$C,'12.326ana'!$M:$M,redes!A1232)</f>
        <v>0</v>
      </c>
    </row>
    <row r="1233" customFormat="false" ht="14.4" hidden="true" customHeight="false" outlineLevel="0" collapsed="false">
      <c r="A1233" s="34" t="n">
        <v>14074125153</v>
      </c>
      <c r="B1233" s="34" t="s">
        <v>5209</v>
      </c>
      <c r="C1233" s="34" t="s">
        <v>77</v>
      </c>
      <c r="E1233" s="30" t="s">
        <v>5210</v>
      </c>
      <c r="F1233" s="34" t="n">
        <f aca="false">IFERROR(VLOOKUP($A1233,'319'!$B:$H,7,0),0)</f>
        <v>0</v>
      </c>
      <c r="G1233" s="34" t="n">
        <f aca="false">SUMIFS('12.326ana'!$C:$C,'12.326ana'!$M:$M,redes!A1233)</f>
        <v>0</v>
      </c>
    </row>
    <row r="1234" customFormat="false" ht="14.4" hidden="true" customHeight="false" outlineLevel="0" collapsed="false">
      <c r="A1234" s="34" t="n">
        <v>14076470168</v>
      </c>
      <c r="B1234" s="34" t="s">
        <v>5211</v>
      </c>
      <c r="C1234" s="34" t="s">
        <v>127</v>
      </c>
      <c r="E1234" s="30" t="s">
        <v>5212</v>
      </c>
      <c r="F1234" s="34" t="n">
        <f aca="false">IFERROR(VLOOKUP($A1234,'319'!$B:$H,7,0),0)</f>
        <v>0</v>
      </c>
      <c r="G1234" s="34" t="n">
        <f aca="false">SUMIFS('12.326ana'!$C:$C,'12.326ana'!$M:$M,redes!A1234)</f>
        <v>0</v>
      </c>
    </row>
    <row r="1235" customFormat="false" ht="14.4" hidden="true" customHeight="false" outlineLevel="0" collapsed="false">
      <c r="A1235" s="34" t="n">
        <v>14078074120</v>
      </c>
      <c r="B1235" s="34" t="s">
        <v>5213</v>
      </c>
      <c r="C1235" s="34" t="s">
        <v>77</v>
      </c>
      <c r="E1235" s="30" t="s">
        <v>5214</v>
      </c>
      <c r="F1235" s="34" t="n">
        <f aca="false">IFERROR(VLOOKUP($A1235,'319'!$B:$H,7,0),0)</f>
        <v>0</v>
      </c>
      <c r="G1235" s="34" t="n">
        <f aca="false">SUMIFS('12.326ana'!$C:$C,'12.326ana'!$M:$M,redes!A1235)</f>
        <v>0</v>
      </c>
    </row>
    <row r="1236" customFormat="false" ht="14.4" hidden="true" customHeight="false" outlineLevel="0" collapsed="false">
      <c r="A1236" s="34" t="n">
        <v>14080303149</v>
      </c>
      <c r="B1236" s="34" t="s">
        <v>5215</v>
      </c>
      <c r="C1236" s="34" t="s">
        <v>77</v>
      </c>
      <c r="E1236" s="30"/>
      <c r="F1236" s="34" t="n">
        <f aca="false">IFERROR(VLOOKUP($A1236,'319'!$B:$H,7,0),0)</f>
        <v>0</v>
      </c>
      <c r="G1236" s="34" t="n">
        <f aca="false">SUMIFS('12.326ana'!$C:$C,'12.326ana'!$M:$M,redes!A1236)</f>
        <v>0</v>
      </c>
    </row>
    <row r="1237" customFormat="false" ht="14.4" hidden="true" customHeight="false" outlineLevel="0" collapsed="false">
      <c r="A1237" s="34" t="n">
        <v>14089084172</v>
      </c>
      <c r="B1237" s="34" t="s">
        <v>5216</v>
      </c>
      <c r="C1237" s="34" t="s">
        <v>77</v>
      </c>
      <c r="E1237" s="30" t="s">
        <v>5217</v>
      </c>
      <c r="F1237" s="34" t="n">
        <f aca="false">IFERROR(VLOOKUP($A1237,'319'!$B:$H,7,0),0)</f>
        <v>0</v>
      </c>
      <c r="G1237" s="34" t="n">
        <f aca="false">SUMIFS('12.326ana'!$C:$C,'12.326ana'!$M:$M,redes!A1237)</f>
        <v>0</v>
      </c>
    </row>
    <row r="1238" customFormat="false" ht="14.4" hidden="true" customHeight="false" outlineLevel="0" collapsed="false">
      <c r="A1238" s="34" t="n">
        <v>14089548187</v>
      </c>
      <c r="B1238" s="34" t="s">
        <v>5218</v>
      </c>
      <c r="C1238" s="34" t="s">
        <v>77</v>
      </c>
      <c r="E1238" s="30"/>
      <c r="F1238" s="34" t="n">
        <f aca="false">IFERROR(VLOOKUP($A1238,'319'!$B:$H,7,0),0)</f>
        <v>0</v>
      </c>
      <c r="G1238" s="34" t="n">
        <f aca="false">SUMIFS('12.326ana'!$C:$C,'12.326ana'!$M:$M,redes!A1238)</f>
        <v>0</v>
      </c>
    </row>
    <row r="1239" customFormat="false" ht="14.4" hidden="true" customHeight="false" outlineLevel="0" collapsed="false">
      <c r="A1239" s="34" t="n">
        <v>14095289104</v>
      </c>
      <c r="B1239" s="34" t="s">
        <v>5219</v>
      </c>
      <c r="C1239" s="34" t="s">
        <v>77</v>
      </c>
      <c r="E1239" s="30" t="s">
        <v>5220</v>
      </c>
      <c r="F1239" s="34" t="n">
        <f aca="false">IFERROR(VLOOKUP($A1239,'319'!$B:$H,7,0),0)</f>
        <v>0</v>
      </c>
      <c r="G1239" s="34" t="n">
        <f aca="false">SUMIFS('12.326ana'!$C:$C,'12.326ana'!$M:$M,redes!A1239)</f>
        <v>0</v>
      </c>
    </row>
    <row r="1240" customFormat="false" ht="14.4" hidden="true" customHeight="false" outlineLevel="0" collapsed="false">
      <c r="A1240" s="34" t="n">
        <v>14102749187</v>
      </c>
      <c r="B1240" s="34" t="s">
        <v>5221</v>
      </c>
      <c r="C1240" s="34" t="s">
        <v>77</v>
      </c>
      <c r="E1240" s="30" t="s">
        <v>5222</v>
      </c>
      <c r="F1240" s="34" t="n">
        <f aca="false">IFERROR(VLOOKUP($A1240,'319'!$B:$H,7,0),0)</f>
        <v>0</v>
      </c>
      <c r="G1240" s="34" t="n">
        <f aca="false">SUMIFS('12.326ana'!$C:$C,'12.326ana'!$M:$M,redes!A1240)</f>
        <v>0</v>
      </c>
    </row>
    <row r="1241" customFormat="false" ht="14.4" hidden="true" customHeight="false" outlineLevel="0" collapsed="false">
      <c r="A1241" s="34" t="n">
        <v>14156539172</v>
      </c>
      <c r="B1241" s="34" t="s">
        <v>5223</v>
      </c>
      <c r="C1241" s="34" t="s">
        <v>77</v>
      </c>
      <c r="E1241" s="30"/>
      <c r="F1241" s="34" t="n">
        <f aca="false">IFERROR(VLOOKUP($A1241,'319'!$B:$H,7,0),0)</f>
        <v>0</v>
      </c>
      <c r="G1241" s="34" t="n">
        <f aca="false">SUMIFS('12.326ana'!$C:$C,'12.326ana'!$M:$M,redes!A1241)</f>
        <v>0</v>
      </c>
    </row>
    <row r="1242" customFormat="false" ht="14.4" hidden="true" customHeight="false" outlineLevel="0" collapsed="false">
      <c r="A1242" s="34" t="n">
        <v>14170930134</v>
      </c>
      <c r="B1242" s="34" t="s">
        <v>5224</v>
      </c>
      <c r="C1242" s="34" t="s">
        <v>77</v>
      </c>
      <c r="E1242" s="30" t="s">
        <v>3750</v>
      </c>
      <c r="F1242" s="34" t="n">
        <f aca="false">IFERROR(VLOOKUP($A1242,'319'!$B:$H,7,0),0)</f>
        <v>0</v>
      </c>
      <c r="G1242" s="34" t="n">
        <f aca="false">SUMIFS('12.326ana'!$C:$C,'12.326ana'!$M:$M,redes!A1242)</f>
        <v>0</v>
      </c>
    </row>
    <row r="1243" customFormat="false" ht="14.4" hidden="true" customHeight="false" outlineLevel="0" collapsed="false">
      <c r="A1243" s="34" t="n">
        <v>14214083172</v>
      </c>
      <c r="B1243" s="34" t="s">
        <v>5225</v>
      </c>
      <c r="C1243" s="34" t="s">
        <v>2998</v>
      </c>
      <c r="E1243" s="30" t="s">
        <v>5226</v>
      </c>
      <c r="F1243" s="34" t="n">
        <f aca="false">IFERROR(VLOOKUP($A1243,'319'!$B:$H,7,0),0)</f>
        <v>0</v>
      </c>
      <c r="G1243" s="34" t="n">
        <f aca="false">SUMIFS('12.326ana'!$C:$C,'12.326ana'!$M:$M,redes!A1243)</f>
        <v>0</v>
      </c>
    </row>
    <row r="1244" customFormat="false" ht="14.4" hidden="true" customHeight="false" outlineLevel="0" collapsed="false">
      <c r="A1244" s="34" t="n">
        <v>14237377172</v>
      </c>
      <c r="B1244" s="34" t="s">
        <v>5227</v>
      </c>
      <c r="C1244" s="34" t="s">
        <v>463</v>
      </c>
      <c r="E1244" s="30" t="s">
        <v>4453</v>
      </c>
      <c r="F1244" s="34" t="n">
        <f aca="false">IFERROR(VLOOKUP($A1244,'319'!$B:$H,7,0),0)</f>
        <v>0</v>
      </c>
      <c r="G1244" s="34" t="n">
        <f aca="false">SUMIFS('12.326ana'!$C:$C,'12.326ana'!$M:$M,redes!A1244)</f>
        <v>0</v>
      </c>
    </row>
    <row r="1245" customFormat="false" ht="14.4" hidden="true" customHeight="false" outlineLevel="0" collapsed="false">
      <c r="A1245" s="34" t="n">
        <v>14238020120</v>
      </c>
      <c r="B1245" s="34" t="s">
        <v>5228</v>
      </c>
      <c r="C1245" s="34" t="s">
        <v>4139</v>
      </c>
      <c r="E1245" s="30" t="s">
        <v>3794</v>
      </c>
      <c r="F1245" s="34" t="n">
        <f aca="false">IFERROR(VLOOKUP($A1245,'319'!$B:$H,7,0),0)</f>
        <v>0</v>
      </c>
      <c r="G1245" s="34" t="n">
        <f aca="false">SUMIFS('12.326ana'!$C:$C,'12.326ana'!$M:$M,redes!A1245)</f>
        <v>0</v>
      </c>
    </row>
    <row r="1246" customFormat="false" ht="14.4" hidden="true" customHeight="false" outlineLevel="0" collapsed="false">
      <c r="A1246" s="34" t="n">
        <v>14238519191</v>
      </c>
      <c r="B1246" s="34" t="s">
        <v>5229</v>
      </c>
      <c r="C1246" s="34" t="s">
        <v>4139</v>
      </c>
      <c r="E1246" s="30" t="s">
        <v>5230</v>
      </c>
      <c r="F1246" s="34" t="n">
        <f aca="false">IFERROR(VLOOKUP($A1246,'319'!$B:$H,7,0),0)</f>
        <v>0</v>
      </c>
      <c r="G1246" s="34" t="n">
        <f aca="false">SUMIFS('12.326ana'!$C:$C,'12.326ana'!$M:$M,redes!A1246)</f>
        <v>0</v>
      </c>
    </row>
    <row r="1247" customFormat="false" ht="14.4" hidden="true" customHeight="false" outlineLevel="0" collapsed="false">
      <c r="A1247" s="34" t="n">
        <v>14246988120</v>
      </c>
      <c r="B1247" s="34" t="s">
        <v>5231</v>
      </c>
      <c r="C1247" s="34" t="s">
        <v>77</v>
      </c>
      <c r="E1247" s="30" t="s">
        <v>5232</v>
      </c>
      <c r="F1247" s="34" t="n">
        <f aca="false">IFERROR(VLOOKUP($A1247,'319'!$B:$H,7,0),0)</f>
        <v>0</v>
      </c>
      <c r="G1247" s="34" t="n">
        <f aca="false">SUMIFS('12.326ana'!$C:$C,'12.326ana'!$M:$M,redes!A1247)</f>
        <v>0</v>
      </c>
    </row>
    <row r="1248" customFormat="false" ht="14.4" hidden="true" customHeight="false" outlineLevel="0" collapsed="false">
      <c r="A1248" s="34" t="n">
        <v>14247283120</v>
      </c>
      <c r="B1248" s="34" t="s">
        <v>5233</v>
      </c>
      <c r="C1248" s="34" t="s">
        <v>207</v>
      </c>
      <c r="E1248" s="30" t="s">
        <v>5234</v>
      </c>
      <c r="F1248" s="34" t="n">
        <f aca="false">IFERROR(VLOOKUP($A1248,'319'!$B:$H,7,0),0)</f>
        <v>0</v>
      </c>
      <c r="G1248" s="34" t="n">
        <f aca="false">SUMIFS('12.326ana'!$C:$C,'12.326ana'!$M:$M,redes!A1248)</f>
        <v>0</v>
      </c>
    </row>
    <row r="1249" customFormat="false" ht="14.4" hidden="true" customHeight="false" outlineLevel="0" collapsed="false">
      <c r="A1249" s="34" t="n">
        <v>14248212153</v>
      </c>
      <c r="B1249" s="34" t="s">
        <v>5235</v>
      </c>
      <c r="C1249" s="34" t="s">
        <v>77</v>
      </c>
      <c r="E1249" s="30" t="s">
        <v>5236</v>
      </c>
      <c r="F1249" s="34" t="n">
        <f aca="false">IFERROR(VLOOKUP($A1249,'319'!$B:$H,7,0),0)</f>
        <v>0</v>
      </c>
      <c r="G1249" s="34" t="n">
        <f aca="false">SUMIFS('12.326ana'!$C:$C,'12.326ana'!$M:$M,redes!A1249)</f>
        <v>0</v>
      </c>
    </row>
    <row r="1250" customFormat="false" ht="14.4" hidden="true" customHeight="false" outlineLevel="0" collapsed="false">
      <c r="A1250" s="34" t="n">
        <v>14249693104</v>
      </c>
      <c r="B1250" s="34" t="s">
        <v>5237</v>
      </c>
      <c r="C1250" s="34" t="s">
        <v>77</v>
      </c>
      <c r="E1250" s="30" t="s">
        <v>3809</v>
      </c>
      <c r="F1250" s="34" t="n">
        <f aca="false">IFERROR(VLOOKUP($A1250,'319'!$B:$H,7,0),0)</f>
        <v>0</v>
      </c>
      <c r="G1250" s="34" t="n">
        <f aca="false">SUMIFS('12.326ana'!$C:$C,'12.326ana'!$M:$M,redes!A1250)</f>
        <v>0</v>
      </c>
    </row>
    <row r="1251" customFormat="false" ht="14.4" hidden="true" customHeight="false" outlineLevel="0" collapsed="false">
      <c r="A1251" s="34" t="n">
        <v>14255790949</v>
      </c>
      <c r="B1251" s="34" t="s">
        <v>5238</v>
      </c>
      <c r="C1251" s="34" t="s">
        <v>77</v>
      </c>
      <c r="E1251" s="30" t="s">
        <v>3579</v>
      </c>
      <c r="F1251" s="34" t="n">
        <f aca="false">IFERROR(VLOOKUP($A1251,'319'!$B:$H,7,0),0)</f>
        <v>0</v>
      </c>
      <c r="G1251" s="34" t="n">
        <f aca="false">SUMIFS('12.326ana'!$C:$C,'12.326ana'!$M:$M,redes!A1251)</f>
        <v>0</v>
      </c>
    </row>
    <row r="1252" customFormat="false" ht="14.4" hidden="true" customHeight="false" outlineLevel="0" collapsed="false">
      <c r="A1252" s="34" t="n">
        <v>14256657134</v>
      </c>
      <c r="B1252" s="34" t="s">
        <v>5239</v>
      </c>
      <c r="C1252" s="34" t="s">
        <v>77</v>
      </c>
      <c r="E1252" s="30" t="s">
        <v>5240</v>
      </c>
      <c r="F1252" s="34" t="n">
        <f aca="false">IFERROR(VLOOKUP($A1252,'319'!$B:$H,7,0),0)</f>
        <v>0</v>
      </c>
      <c r="G1252" s="34" t="n">
        <f aca="false">SUMIFS('12.326ana'!$C:$C,'12.326ana'!$M:$M,redes!A1252)</f>
        <v>0</v>
      </c>
    </row>
    <row r="1253" customFormat="false" ht="14.4" hidden="true" customHeight="false" outlineLevel="0" collapsed="false">
      <c r="A1253" s="34" t="n">
        <v>14294460130</v>
      </c>
      <c r="B1253" s="34" t="s">
        <v>5241</v>
      </c>
      <c r="C1253" s="34" t="s">
        <v>77</v>
      </c>
      <c r="E1253" s="30" t="s">
        <v>5242</v>
      </c>
      <c r="F1253" s="34" t="n">
        <f aca="false">IFERROR(VLOOKUP($A1253,'319'!$B:$H,7,0),0)</f>
        <v>0</v>
      </c>
      <c r="G1253" s="34" t="n">
        <f aca="false">SUMIFS('12.326ana'!$C:$C,'12.326ana'!$M:$M,redes!A1253)</f>
        <v>0</v>
      </c>
    </row>
    <row r="1254" customFormat="false" ht="14.4" hidden="true" customHeight="false" outlineLevel="0" collapsed="false">
      <c r="A1254" s="34" t="n">
        <v>14300702187</v>
      </c>
      <c r="B1254" s="34" t="s">
        <v>5243</v>
      </c>
      <c r="C1254" s="34" t="s">
        <v>77</v>
      </c>
      <c r="E1254" s="30" t="s">
        <v>5244</v>
      </c>
      <c r="F1254" s="34" t="n">
        <f aca="false">IFERROR(VLOOKUP($A1254,'319'!$B:$H,7,0),0)</f>
        <v>0</v>
      </c>
      <c r="G1254" s="34" t="n">
        <f aca="false">SUMIFS('12.326ana'!$C:$C,'12.326ana'!$M:$M,redes!A1254)</f>
        <v>0</v>
      </c>
    </row>
    <row r="1255" customFormat="false" ht="14.4" hidden="true" customHeight="false" outlineLevel="0" collapsed="false">
      <c r="A1255" s="34" t="n">
        <v>14301547134</v>
      </c>
      <c r="B1255" s="34" t="s">
        <v>5245</v>
      </c>
      <c r="C1255" s="34" t="s">
        <v>309</v>
      </c>
      <c r="E1255" s="30" t="s">
        <v>5246</v>
      </c>
      <c r="F1255" s="34" t="n">
        <f aca="false">IFERROR(VLOOKUP($A1255,'319'!$B:$H,7,0),0)</f>
        <v>0</v>
      </c>
      <c r="G1255" s="34" t="n">
        <f aca="false">SUMIFS('12.326ana'!$C:$C,'12.326ana'!$M:$M,redes!A1255)</f>
        <v>0</v>
      </c>
    </row>
    <row r="1256" customFormat="false" ht="14.4" hidden="true" customHeight="false" outlineLevel="0" collapsed="false">
      <c r="A1256" s="34" t="n">
        <v>14302853115</v>
      </c>
      <c r="B1256" s="34" t="s">
        <v>5247</v>
      </c>
      <c r="C1256" s="34" t="s">
        <v>309</v>
      </c>
      <c r="E1256" s="30" t="s">
        <v>5248</v>
      </c>
      <c r="F1256" s="34" t="n">
        <f aca="false">IFERROR(VLOOKUP($A1256,'319'!$B:$H,7,0),0)</f>
        <v>0</v>
      </c>
      <c r="G1256" s="34" t="n">
        <f aca="false">SUMIFS('12.326ana'!$C:$C,'12.326ana'!$M:$M,redes!A1256)</f>
        <v>0</v>
      </c>
    </row>
    <row r="1257" customFormat="false" ht="14.4" hidden="true" customHeight="false" outlineLevel="0" collapsed="false">
      <c r="A1257" s="34" t="n">
        <v>14307308115</v>
      </c>
      <c r="B1257" s="34" t="s">
        <v>5249</v>
      </c>
      <c r="C1257" s="34" t="s">
        <v>77</v>
      </c>
      <c r="E1257" s="30" t="s">
        <v>5250</v>
      </c>
      <c r="F1257" s="34" t="n">
        <f aca="false">IFERROR(VLOOKUP($A1257,'319'!$B:$H,7,0),0)</f>
        <v>0</v>
      </c>
      <c r="G1257" s="34" t="n">
        <f aca="false">SUMIFS('12.326ana'!$C:$C,'12.326ana'!$M:$M,redes!A1257)</f>
        <v>0</v>
      </c>
    </row>
    <row r="1258" customFormat="false" ht="14.4" hidden="true" customHeight="false" outlineLevel="0" collapsed="false">
      <c r="A1258" s="34" t="n">
        <v>14313006168</v>
      </c>
      <c r="B1258" s="34" t="s">
        <v>5251</v>
      </c>
      <c r="C1258" s="34" t="s">
        <v>77</v>
      </c>
      <c r="E1258" s="30" t="s">
        <v>5252</v>
      </c>
      <c r="F1258" s="34" t="n">
        <f aca="false">IFERROR(VLOOKUP($A1258,'319'!$B:$H,7,0),0)</f>
        <v>0</v>
      </c>
      <c r="G1258" s="34" t="n">
        <f aca="false">SUMIFS('12.326ana'!$C:$C,'12.326ana'!$M:$M,redes!A1258)</f>
        <v>0</v>
      </c>
    </row>
    <row r="1259" customFormat="false" ht="14.4" hidden="true" customHeight="false" outlineLevel="0" collapsed="false">
      <c r="A1259" s="34" t="n">
        <v>14321298806</v>
      </c>
      <c r="B1259" s="34" t="s">
        <v>5253</v>
      </c>
      <c r="C1259" s="34" t="s">
        <v>107</v>
      </c>
      <c r="E1259" s="30" t="s">
        <v>5254</v>
      </c>
      <c r="F1259" s="34" t="n">
        <f aca="false">IFERROR(VLOOKUP($A1259,'319'!$B:$H,7,0),0)</f>
        <v>0</v>
      </c>
      <c r="G1259" s="34" t="n">
        <f aca="false">SUMIFS('12.326ana'!$C:$C,'12.326ana'!$M:$M,redes!A1259)</f>
        <v>0</v>
      </c>
    </row>
    <row r="1260" customFormat="false" ht="14.4" hidden="true" customHeight="false" outlineLevel="0" collapsed="false">
      <c r="A1260" s="34" t="n">
        <v>14322587100</v>
      </c>
      <c r="B1260" s="34" t="s">
        <v>5255</v>
      </c>
      <c r="C1260" s="34" t="s">
        <v>107</v>
      </c>
      <c r="E1260" s="30" t="s">
        <v>3674</v>
      </c>
      <c r="F1260" s="34" t="n">
        <f aca="false">IFERROR(VLOOKUP($A1260,'319'!$B:$H,7,0),0)</f>
        <v>0</v>
      </c>
      <c r="G1260" s="34" t="n">
        <f aca="false">SUMIFS('12.326ana'!$C:$C,'12.326ana'!$M:$M,redes!A1260)</f>
        <v>0</v>
      </c>
    </row>
    <row r="1261" customFormat="false" ht="14.4" hidden="true" customHeight="false" outlineLevel="0" collapsed="false">
      <c r="A1261" s="34" t="n">
        <v>14327635120</v>
      </c>
      <c r="B1261" s="34" t="s">
        <v>5256</v>
      </c>
      <c r="C1261" s="34" t="s">
        <v>192</v>
      </c>
      <c r="E1261" s="30"/>
      <c r="F1261" s="34" t="n">
        <f aca="false">IFERROR(VLOOKUP($A1261,'319'!$B:$H,7,0),0)</f>
        <v>0</v>
      </c>
      <c r="G1261" s="34" t="n">
        <f aca="false">SUMIFS('12.326ana'!$C:$C,'12.326ana'!$M:$M,redes!A1261)</f>
        <v>0</v>
      </c>
    </row>
    <row r="1262" customFormat="false" ht="14.4" hidden="true" customHeight="false" outlineLevel="0" collapsed="false">
      <c r="A1262" s="34" t="n">
        <v>14333937949</v>
      </c>
      <c r="B1262" s="34" t="s">
        <v>5257</v>
      </c>
      <c r="C1262" s="34" t="s">
        <v>77</v>
      </c>
      <c r="E1262" s="30" t="s">
        <v>5258</v>
      </c>
      <c r="F1262" s="34" t="n">
        <f aca="false">IFERROR(VLOOKUP($A1262,'319'!$B:$H,7,0),0)</f>
        <v>0</v>
      </c>
      <c r="G1262" s="34" t="n">
        <f aca="false">SUMIFS('12.326ana'!$C:$C,'12.326ana'!$M:$M,redes!A1262)</f>
        <v>0</v>
      </c>
    </row>
    <row r="1263" customFormat="false" ht="14.4" hidden="true" customHeight="false" outlineLevel="0" collapsed="false">
      <c r="A1263" s="34" t="n">
        <v>14334075827</v>
      </c>
      <c r="B1263" s="34" t="s">
        <v>5259</v>
      </c>
      <c r="C1263" s="34" t="s">
        <v>107</v>
      </c>
      <c r="E1263" s="30" t="s">
        <v>5260</v>
      </c>
      <c r="F1263" s="34" t="n">
        <f aca="false">IFERROR(VLOOKUP($A1263,'319'!$B:$H,7,0),0)</f>
        <v>0</v>
      </c>
      <c r="G1263" s="34" t="n">
        <f aca="false">SUMIFS('12.326ana'!$C:$C,'12.326ana'!$M:$M,redes!A1263)</f>
        <v>0</v>
      </c>
    </row>
    <row r="1264" customFormat="false" ht="14.4" hidden="true" customHeight="false" outlineLevel="0" collapsed="false">
      <c r="A1264" s="34" t="n">
        <v>14460807149</v>
      </c>
      <c r="B1264" s="34" t="s">
        <v>5261</v>
      </c>
      <c r="C1264" s="34" t="s">
        <v>377</v>
      </c>
      <c r="E1264" s="30" t="s">
        <v>5262</v>
      </c>
      <c r="F1264" s="34" t="n">
        <f aca="false">IFERROR(VLOOKUP($A1264,'319'!$B:$H,7,0),0)</f>
        <v>0</v>
      </c>
      <c r="G1264" s="34" t="n">
        <f aca="false">SUMIFS('12.326ana'!$C:$C,'12.326ana'!$M:$M,redes!A1264)</f>
        <v>0</v>
      </c>
    </row>
    <row r="1265" customFormat="false" ht="14.4" hidden="true" customHeight="false" outlineLevel="0" collapsed="false">
      <c r="A1265" s="34" t="n">
        <v>14586511850</v>
      </c>
      <c r="B1265" s="34" t="s">
        <v>5263</v>
      </c>
      <c r="C1265" s="34" t="s">
        <v>77</v>
      </c>
      <c r="E1265" s="30" t="s">
        <v>5264</v>
      </c>
      <c r="F1265" s="34" t="n">
        <f aca="false">IFERROR(VLOOKUP($A1265,'319'!$B:$H,7,0),0)</f>
        <v>0</v>
      </c>
      <c r="G1265" s="34" t="n">
        <f aca="false">SUMIFS('12.326ana'!$C:$C,'12.326ana'!$M:$M,redes!A1265)</f>
        <v>0</v>
      </c>
    </row>
    <row r="1266" customFormat="false" ht="14.4" hidden="true" customHeight="false" outlineLevel="0" collapsed="false">
      <c r="A1266" s="34" t="n">
        <v>14638827187</v>
      </c>
      <c r="B1266" s="34" t="s">
        <v>5265</v>
      </c>
      <c r="C1266" s="34" t="s">
        <v>77</v>
      </c>
      <c r="E1266" s="30" t="s">
        <v>5266</v>
      </c>
      <c r="F1266" s="34" t="n">
        <f aca="false">IFERROR(VLOOKUP($A1266,'319'!$B:$H,7,0),0)</f>
        <v>0</v>
      </c>
      <c r="G1266" s="34" t="n">
        <f aca="false">SUMIFS('12.326ana'!$C:$C,'12.326ana'!$M:$M,redes!A1266)</f>
        <v>0</v>
      </c>
    </row>
    <row r="1267" customFormat="false" ht="14.4" hidden="true" customHeight="false" outlineLevel="0" collapsed="false">
      <c r="A1267" s="34" t="n">
        <v>14667029153</v>
      </c>
      <c r="B1267" s="34" t="s">
        <v>5267</v>
      </c>
      <c r="C1267" s="34" t="s">
        <v>77</v>
      </c>
      <c r="E1267" s="30" t="s">
        <v>5268</v>
      </c>
      <c r="F1267" s="34" t="n">
        <f aca="false">IFERROR(VLOOKUP($A1267,'319'!$B:$H,7,0),0)</f>
        <v>0</v>
      </c>
      <c r="G1267" s="34" t="n">
        <f aca="false">SUMIFS('12.326ana'!$C:$C,'12.326ana'!$M:$M,redes!A1267)</f>
        <v>0</v>
      </c>
    </row>
    <row r="1268" customFormat="false" ht="14.4" hidden="true" customHeight="false" outlineLevel="0" collapsed="false">
      <c r="A1268" s="34" t="n">
        <v>14686821134</v>
      </c>
      <c r="B1268" s="34" t="s">
        <v>5269</v>
      </c>
      <c r="C1268" s="34" t="s">
        <v>77</v>
      </c>
      <c r="E1268" s="30" t="s">
        <v>5270</v>
      </c>
      <c r="F1268" s="34" t="n">
        <f aca="false">IFERROR(VLOOKUP($A1268,'319'!$B:$H,7,0),0)</f>
        <v>0</v>
      </c>
      <c r="G1268" s="34" t="n">
        <f aca="false">SUMIFS('12.326ana'!$C:$C,'12.326ana'!$M:$M,redes!A1268)</f>
        <v>0</v>
      </c>
    </row>
    <row r="1269" customFormat="false" ht="14.4" hidden="true" customHeight="false" outlineLevel="0" collapsed="false">
      <c r="A1269" s="34" t="n">
        <v>14704803872</v>
      </c>
      <c r="B1269" s="34" t="s">
        <v>5271</v>
      </c>
      <c r="C1269" s="34" t="s">
        <v>77</v>
      </c>
      <c r="E1269" s="30" t="s">
        <v>5272</v>
      </c>
      <c r="F1269" s="34" t="n">
        <f aca="false">IFERROR(VLOOKUP($A1269,'319'!$B:$H,7,0),0)</f>
        <v>0</v>
      </c>
      <c r="G1269" s="34" t="n">
        <f aca="false">SUMIFS('12.326ana'!$C:$C,'12.326ana'!$M:$M,redes!A1269)</f>
        <v>0</v>
      </c>
    </row>
    <row r="1270" customFormat="false" ht="14.4" hidden="true" customHeight="false" outlineLevel="0" collapsed="false">
      <c r="A1270" s="34" t="n">
        <v>14768338852</v>
      </c>
      <c r="B1270" s="34" t="s">
        <v>5273</v>
      </c>
      <c r="C1270" s="34" t="s">
        <v>77</v>
      </c>
      <c r="E1270" s="30" t="s">
        <v>5274</v>
      </c>
      <c r="F1270" s="34" t="n">
        <f aca="false">IFERROR(VLOOKUP($A1270,'319'!$B:$H,7,0),0)</f>
        <v>0</v>
      </c>
      <c r="G1270" s="34" t="n">
        <f aca="false">SUMIFS('12.326ana'!$C:$C,'12.326ana'!$M:$M,redes!A1270)</f>
        <v>0</v>
      </c>
    </row>
    <row r="1271" customFormat="false" ht="14.4" hidden="true" customHeight="false" outlineLevel="0" collapsed="false">
      <c r="A1271" s="34" t="n">
        <v>14829657120</v>
      </c>
      <c r="B1271" s="34" t="s">
        <v>5275</v>
      </c>
      <c r="C1271" s="34" t="s">
        <v>77</v>
      </c>
      <c r="E1271" s="30" t="s">
        <v>5276</v>
      </c>
      <c r="F1271" s="34" t="n">
        <f aca="false">IFERROR(VLOOKUP($A1271,'319'!$B:$H,7,0),0)</f>
        <v>0</v>
      </c>
      <c r="G1271" s="34" t="n">
        <f aca="false">SUMIFS('12.326ana'!$C:$C,'12.326ana'!$M:$M,redes!A1271)</f>
        <v>0</v>
      </c>
    </row>
    <row r="1272" customFormat="false" ht="14.4" hidden="true" customHeight="false" outlineLevel="0" collapsed="false">
      <c r="A1272" s="34" t="n">
        <v>14830035153</v>
      </c>
      <c r="B1272" s="34" t="s">
        <v>5277</v>
      </c>
      <c r="C1272" s="34" t="s">
        <v>463</v>
      </c>
      <c r="E1272" s="30" t="s">
        <v>5278</v>
      </c>
      <c r="F1272" s="34" t="n">
        <f aca="false">IFERROR(VLOOKUP($A1272,'319'!$B:$H,7,0),0)</f>
        <v>0</v>
      </c>
      <c r="G1272" s="34" t="n">
        <f aca="false">SUMIFS('12.326ana'!$C:$C,'12.326ana'!$M:$M,redes!A1272)</f>
        <v>0</v>
      </c>
    </row>
    <row r="1273" customFormat="false" ht="14.4" hidden="true" customHeight="false" outlineLevel="0" collapsed="false">
      <c r="A1273" s="34" t="n">
        <v>14836777100</v>
      </c>
      <c r="B1273" s="34" t="s">
        <v>5279</v>
      </c>
      <c r="C1273" s="34" t="s">
        <v>473</v>
      </c>
      <c r="E1273" s="30" t="s">
        <v>5280</v>
      </c>
      <c r="F1273" s="34" t="n">
        <f aca="false">IFERROR(VLOOKUP($A1273,'319'!$B:$H,7,0),0)</f>
        <v>0</v>
      </c>
      <c r="G1273" s="34" t="n">
        <f aca="false">SUMIFS('12.326ana'!$C:$C,'12.326ana'!$M:$M,redes!A1273)</f>
        <v>0</v>
      </c>
    </row>
    <row r="1274" customFormat="false" ht="14.4" hidden="true" customHeight="false" outlineLevel="0" collapsed="false">
      <c r="A1274" s="34" t="n">
        <v>14846870197</v>
      </c>
      <c r="B1274" s="34" t="s">
        <v>5281</v>
      </c>
      <c r="C1274" s="34" t="s">
        <v>77</v>
      </c>
      <c r="E1274" s="30" t="s">
        <v>5282</v>
      </c>
      <c r="F1274" s="34" t="n">
        <f aca="false">IFERROR(VLOOKUP($A1274,'319'!$B:$H,7,0),0)</f>
        <v>0</v>
      </c>
      <c r="G1274" s="34" t="n">
        <f aca="false">SUMIFS('12.326ana'!$C:$C,'12.326ana'!$M:$M,redes!A1274)</f>
        <v>0</v>
      </c>
    </row>
    <row r="1275" customFormat="false" ht="14.4" hidden="true" customHeight="false" outlineLevel="0" collapsed="false">
      <c r="A1275" s="34" t="n">
        <v>14847300890</v>
      </c>
      <c r="B1275" s="34" t="s">
        <v>5283</v>
      </c>
      <c r="C1275" s="34" t="s">
        <v>848</v>
      </c>
      <c r="E1275" s="30" t="s">
        <v>5284</v>
      </c>
      <c r="F1275" s="34" t="n">
        <f aca="false">IFERROR(VLOOKUP($A1275,'319'!$B:$H,7,0),0)</f>
        <v>0</v>
      </c>
      <c r="G1275" s="34" t="n">
        <f aca="false">SUMIFS('12.326ana'!$C:$C,'12.326ana'!$M:$M,redes!A1275)</f>
        <v>0</v>
      </c>
    </row>
    <row r="1276" customFormat="false" ht="14.4" hidden="true" customHeight="false" outlineLevel="0" collapsed="false">
      <c r="A1276" s="34" t="n">
        <v>14857696800</v>
      </c>
      <c r="B1276" s="34" t="s">
        <v>5285</v>
      </c>
      <c r="C1276" s="34" t="s">
        <v>77</v>
      </c>
      <c r="E1276" s="30"/>
      <c r="F1276" s="34" t="n">
        <f aca="false">IFERROR(VLOOKUP($A1276,'319'!$B:$H,7,0),0)</f>
        <v>0</v>
      </c>
      <c r="G1276" s="34" t="n">
        <f aca="false">SUMIFS('12.326ana'!$C:$C,'12.326ana'!$M:$M,redes!A1276)</f>
        <v>0</v>
      </c>
    </row>
    <row r="1277" customFormat="false" ht="14.4" hidden="true" customHeight="false" outlineLevel="0" collapsed="false">
      <c r="A1277" s="34" t="n">
        <v>14883171191</v>
      </c>
      <c r="B1277" s="34" t="s">
        <v>5286</v>
      </c>
      <c r="C1277" s="34" t="s">
        <v>89</v>
      </c>
      <c r="E1277" s="30" t="s">
        <v>5287</v>
      </c>
      <c r="F1277" s="34" t="n">
        <f aca="false">IFERROR(VLOOKUP($A1277,'319'!$B:$H,7,0),0)</f>
        <v>0</v>
      </c>
      <c r="G1277" s="34" t="n">
        <f aca="false">SUMIFS('12.326ana'!$C:$C,'12.326ana'!$M:$M,redes!A1277)</f>
        <v>0</v>
      </c>
    </row>
    <row r="1278" customFormat="false" ht="14.4" hidden="true" customHeight="false" outlineLevel="0" collapsed="false">
      <c r="A1278" s="34" t="n">
        <v>15220752839</v>
      </c>
      <c r="B1278" s="34" t="s">
        <v>5288</v>
      </c>
      <c r="C1278" s="34" t="s">
        <v>77</v>
      </c>
      <c r="E1278" s="30"/>
      <c r="F1278" s="34" t="n">
        <f aca="false">IFERROR(VLOOKUP($A1278,'319'!$B:$H,7,0),0)</f>
        <v>0</v>
      </c>
      <c r="G1278" s="34" t="n">
        <f aca="false">SUMIFS('12.326ana'!$C:$C,'12.326ana'!$M:$M,redes!A1278)</f>
        <v>0</v>
      </c>
    </row>
    <row r="1279" customFormat="false" ht="14.4" hidden="true" customHeight="false" outlineLevel="0" collapsed="false">
      <c r="A1279" s="34" t="n">
        <v>15270461846</v>
      </c>
      <c r="B1279" s="34" t="s">
        <v>5289</v>
      </c>
      <c r="C1279" s="34" t="s">
        <v>342</v>
      </c>
      <c r="E1279" s="30" t="s">
        <v>5290</v>
      </c>
      <c r="F1279" s="34" t="n">
        <f aca="false">IFERROR(VLOOKUP($A1279,'319'!$B:$H,7,0),0)</f>
        <v>0</v>
      </c>
      <c r="G1279" s="34" t="n">
        <f aca="false">SUMIFS('12.326ana'!$C:$C,'12.326ana'!$M:$M,redes!A1279)</f>
        <v>0</v>
      </c>
    </row>
    <row r="1280" customFormat="false" ht="14.4" hidden="true" customHeight="false" outlineLevel="0" collapsed="false">
      <c r="A1280" s="34" t="n">
        <v>15292126187</v>
      </c>
      <c r="B1280" s="34" t="s">
        <v>5291</v>
      </c>
      <c r="C1280" s="34" t="s">
        <v>604</v>
      </c>
      <c r="E1280" s="30" t="s">
        <v>5292</v>
      </c>
      <c r="F1280" s="34" t="n">
        <f aca="false">IFERROR(VLOOKUP($A1280,'319'!$B:$H,7,0),0)</f>
        <v>0</v>
      </c>
      <c r="G1280" s="34" t="n">
        <f aca="false">SUMIFS('12.326ana'!$C:$C,'12.326ana'!$M:$M,redes!A1280)</f>
        <v>0</v>
      </c>
    </row>
    <row r="1281" customFormat="false" ht="14.4" hidden="true" customHeight="false" outlineLevel="0" collapsed="false">
      <c r="A1281" s="34" t="n">
        <v>15292502855</v>
      </c>
      <c r="B1281" s="34" t="s">
        <v>5293</v>
      </c>
      <c r="C1281" s="34" t="s">
        <v>89</v>
      </c>
      <c r="E1281" s="30" t="s">
        <v>5294</v>
      </c>
      <c r="F1281" s="34" t="n">
        <f aca="false">IFERROR(VLOOKUP($A1281,'319'!$B:$H,7,0),0)</f>
        <v>0</v>
      </c>
      <c r="G1281" s="34" t="n">
        <f aca="false">SUMIFS('12.326ana'!$C:$C,'12.326ana'!$M:$M,redes!A1281)</f>
        <v>0</v>
      </c>
    </row>
    <row r="1282" customFormat="false" ht="14.4" hidden="true" customHeight="false" outlineLevel="0" collapsed="false">
      <c r="A1282" s="34" t="n">
        <v>15405284807</v>
      </c>
      <c r="B1282" s="34" t="s">
        <v>5295</v>
      </c>
      <c r="C1282" s="34" t="s">
        <v>77</v>
      </c>
      <c r="E1282" s="30" t="s">
        <v>5296</v>
      </c>
      <c r="F1282" s="34" t="n">
        <f aca="false">IFERROR(VLOOKUP($A1282,'319'!$B:$H,7,0),0)</f>
        <v>0</v>
      </c>
      <c r="G1282" s="34" t="n">
        <f aca="false">SUMIFS('12.326ana'!$C:$C,'12.326ana'!$M:$M,redes!A1282)</f>
        <v>0</v>
      </c>
    </row>
    <row r="1283" customFormat="false" ht="14.4" hidden="true" customHeight="false" outlineLevel="0" collapsed="false">
      <c r="A1283" s="34" t="n">
        <v>15501361000</v>
      </c>
      <c r="B1283" s="34" t="s">
        <v>5297</v>
      </c>
      <c r="C1283" s="34" t="s">
        <v>77</v>
      </c>
      <c r="E1283" s="30" t="s">
        <v>5298</v>
      </c>
      <c r="F1283" s="34" t="n">
        <f aca="false">IFERROR(VLOOKUP($A1283,'319'!$B:$H,7,0),0)</f>
        <v>0</v>
      </c>
      <c r="G1283" s="34" t="n">
        <f aca="false">SUMIFS('12.326ana'!$C:$C,'12.326ana'!$M:$M,redes!A1283)</f>
        <v>0</v>
      </c>
    </row>
    <row r="1284" customFormat="false" ht="14.4" hidden="true" customHeight="false" outlineLevel="0" collapsed="false">
      <c r="A1284" s="34" t="n">
        <v>15584453153</v>
      </c>
      <c r="B1284" s="34" t="s">
        <v>5299</v>
      </c>
      <c r="C1284" s="34" t="s">
        <v>103</v>
      </c>
      <c r="E1284" s="30" t="s">
        <v>5300</v>
      </c>
      <c r="F1284" s="34" t="n">
        <f aca="false">IFERROR(VLOOKUP($A1284,'319'!$B:$H,7,0),0)</f>
        <v>0</v>
      </c>
      <c r="G1284" s="34" t="n">
        <f aca="false">SUMIFS('12.326ana'!$C:$C,'12.326ana'!$M:$M,redes!A1284)</f>
        <v>0</v>
      </c>
    </row>
    <row r="1285" customFormat="false" ht="14.4" hidden="true" customHeight="false" outlineLevel="0" collapsed="false">
      <c r="A1285" s="34" t="n">
        <v>15594580115</v>
      </c>
      <c r="B1285" s="34" t="s">
        <v>5301</v>
      </c>
      <c r="C1285" s="34" t="s">
        <v>77</v>
      </c>
      <c r="E1285" s="30" t="s">
        <v>3540</v>
      </c>
      <c r="F1285" s="34" t="n">
        <f aca="false">IFERROR(VLOOKUP($A1285,'319'!$B:$H,7,0),0)</f>
        <v>0</v>
      </c>
      <c r="G1285" s="34" t="n">
        <f aca="false">SUMIFS('12.326ana'!$C:$C,'12.326ana'!$M:$M,redes!A1285)</f>
        <v>0</v>
      </c>
    </row>
    <row r="1286" customFormat="false" ht="14.4" hidden="true" customHeight="false" outlineLevel="0" collapsed="false">
      <c r="A1286" s="34" t="n">
        <v>15640396172</v>
      </c>
      <c r="B1286" s="34" t="s">
        <v>5302</v>
      </c>
      <c r="C1286" s="34" t="s">
        <v>77</v>
      </c>
      <c r="E1286" s="30" t="s">
        <v>5303</v>
      </c>
      <c r="F1286" s="34" t="n">
        <f aca="false">IFERROR(VLOOKUP($A1286,'319'!$B:$H,7,0),0)</f>
        <v>0</v>
      </c>
      <c r="G1286" s="34" t="n">
        <f aca="false">SUMIFS('12.326ana'!$C:$C,'12.326ana'!$M:$M,redes!A1286)</f>
        <v>0</v>
      </c>
    </row>
    <row r="1287" customFormat="false" ht="14.4" hidden="true" customHeight="false" outlineLevel="0" collapsed="false">
      <c r="A1287" s="34" t="n">
        <v>15640809191</v>
      </c>
      <c r="B1287" s="34" t="s">
        <v>5304</v>
      </c>
      <c r="C1287" s="34" t="s">
        <v>103</v>
      </c>
      <c r="E1287" s="30" t="s">
        <v>5305</v>
      </c>
      <c r="F1287" s="34" t="n">
        <f aca="false">IFERROR(VLOOKUP($A1287,'319'!$B:$H,7,0),0)</f>
        <v>0</v>
      </c>
      <c r="G1287" s="34" t="n">
        <f aca="false">SUMIFS('12.326ana'!$C:$C,'12.326ana'!$M:$M,redes!A1287)</f>
        <v>0</v>
      </c>
    </row>
    <row r="1288" customFormat="false" ht="14.4" hidden="true" customHeight="false" outlineLevel="0" collapsed="false">
      <c r="A1288" s="34" t="n">
        <v>15647730191</v>
      </c>
      <c r="B1288" s="34" t="s">
        <v>5306</v>
      </c>
      <c r="C1288" s="34" t="s">
        <v>881</v>
      </c>
      <c r="E1288" s="30" t="s">
        <v>3066</v>
      </c>
      <c r="F1288" s="34" t="n">
        <f aca="false">IFERROR(VLOOKUP($A1288,'319'!$B:$H,7,0),0)</f>
        <v>0</v>
      </c>
      <c r="G1288" s="34" t="n">
        <f aca="false">SUMIFS('12.326ana'!$C:$C,'12.326ana'!$M:$M,redes!A1288)</f>
        <v>0</v>
      </c>
    </row>
    <row r="1289" customFormat="false" ht="14.4" hidden="true" customHeight="false" outlineLevel="0" collapsed="false">
      <c r="A1289" s="34" t="n">
        <v>15648117191</v>
      </c>
      <c r="B1289" s="34" t="s">
        <v>5307</v>
      </c>
      <c r="C1289" s="34" t="s">
        <v>77</v>
      </c>
      <c r="E1289" s="30" t="s">
        <v>5308</v>
      </c>
      <c r="F1289" s="34" t="n">
        <f aca="false">IFERROR(VLOOKUP($A1289,'319'!$B:$H,7,0),0)</f>
        <v>0</v>
      </c>
      <c r="G1289" s="34" t="n">
        <f aca="false">SUMIFS('12.326ana'!$C:$C,'12.326ana'!$M:$M,redes!A1289)</f>
        <v>0</v>
      </c>
    </row>
    <row r="1290" customFormat="false" ht="14.4" hidden="true" customHeight="false" outlineLevel="0" collapsed="false">
      <c r="A1290" s="34" t="n">
        <v>15664805153</v>
      </c>
      <c r="B1290" s="34" t="s">
        <v>5309</v>
      </c>
      <c r="C1290" s="34" t="s">
        <v>77</v>
      </c>
      <c r="E1290" s="30" t="s">
        <v>5310</v>
      </c>
      <c r="F1290" s="34" t="n">
        <f aca="false">IFERROR(VLOOKUP($A1290,'319'!$B:$H,7,0),0)</f>
        <v>0</v>
      </c>
      <c r="G1290" s="34" t="n">
        <f aca="false">SUMIFS('12.326ana'!$C:$C,'12.326ana'!$M:$M,redes!A1290)</f>
        <v>0</v>
      </c>
    </row>
    <row r="1291" customFormat="false" ht="14.4" hidden="true" customHeight="false" outlineLevel="0" collapsed="false">
      <c r="A1291" s="34" t="n">
        <v>15664872187</v>
      </c>
      <c r="B1291" s="34" t="s">
        <v>5311</v>
      </c>
      <c r="C1291" s="34" t="s">
        <v>77</v>
      </c>
      <c r="E1291" s="30" t="s">
        <v>5312</v>
      </c>
      <c r="F1291" s="34" t="n">
        <f aca="false">IFERROR(VLOOKUP($A1291,'319'!$B:$H,7,0),0)</f>
        <v>0</v>
      </c>
      <c r="G1291" s="34" t="n">
        <f aca="false">SUMIFS('12.326ana'!$C:$C,'12.326ana'!$M:$M,redes!A1291)</f>
        <v>0</v>
      </c>
    </row>
    <row r="1292" customFormat="false" ht="14.4" hidden="true" customHeight="false" outlineLevel="0" collapsed="false">
      <c r="A1292" s="34" t="n">
        <v>15665771104</v>
      </c>
      <c r="B1292" s="34" t="s">
        <v>5313</v>
      </c>
      <c r="C1292" s="34" t="s">
        <v>192</v>
      </c>
      <c r="E1292" s="30" t="s">
        <v>5314</v>
      </c>
      <c r="F1292" s="34" t="n">
        <f aca="false">IFERROR(VLOOKUP($A1292,'319'!$B:$H,7,0),0)</f>
        <v>0</v>
      </c>
      <c r="G1292" s="34" t="n">
        <f aca="false">SUMIFS('12.326ana'!$C:$C,'12.326ana'!$M:$M,redes!A1292)</f>
        <v>0</v>
      </c>
    </row>
    <row r="1293" customFormat="false" ht="14.4" hidden="true" customHeight="false" outlineLevel="0" collapsed="false">
      <c r="A1293" s="34" t="n">
        <v>15692485168</v>
      </c>
      <c r="B1293" s="34" t="s">
        <v>5315</v>
      </c>
      <c r="C1293" s="34" t="s">
        <v>77</v>
      </c>
      <c r="E1293" s="30" t="s">
        <v>5316</v>
      </c>
      <c r="F1293" s="34" t="n">
        <f aca="false">IFERROR(VLOOKUP($A1293,'319'!$B:$H,7,0),0)</f>
        <v>0</v>
      </c>
      <c r="G1293" s="34" t="n">
        <f aca="false">SUMIFS('12.326ana'!$C:$C,'12.326ana'!$M:$M,redes!A1293)</f>
        <v>0</v>
      </c>
    </row>
    <row r="1294" customFormat="false" ht="14.4" hidden="true" customHeight="false" outlineLevel="0" collapsed="false">
      <c r="A1294" s="34" t="n">
        <v>15695271134</v>
      </c>
      <c r="B1294" s="34" t="s">
        <v>5317</v>
      </c>
      <c r="C1294" s="34" t="s">
        <v>139</v>
      </c>
      <c r="E1294" s="30" t="s">
        <v>5318</v>
      </c>
      <c r="F1294" s="34" t="n">
        <f aca="false">IFERROR(VLOOKUP($A1294,'319'!$B:$H,7,0),0)</f>
        <v>0</v>
      </c>
      <c r="G1294" s="34" t="n">
        <f aca="false">SUMIFS('12.326ana'!$C:$C,'12.326ana'!$M:$M,redes!A1294)</f>
        <v>0</v>
      </c>
    </row>
    <row r="1295" customFormat="false" ht="14.4" hidden="true" customHeight="false" outlineLevel="0" collapsed="false">
      <c r="A1295" s="34" t="n">
        <v>15706958149</v>
      </c>
      <c r="B1295" s="34" t="s">
        <v>5319</v>
      </c>
      <c r="C1295" s="34" t="s">
        <v>77</v>
      </c>
      <c r="D1295" s="34" t="s">
        <v>4797</v>
      </c>
      <c r="E1295" s="30" t="s">
        <v>5320</v>
      </c>
      <c r="F1295" s="34" t="n">
        <f aca="false">IFERROR(VLOOKUP($A1295,'319'!$B:$H,7,0),0)</f>
        <v>0</v>
      </c>
      <c r="G1295" s="34" t="n">
        <f aca="false">SUMIFS('12.326ana'!$C:$C,'12.326ana'!$M:$M,redes!A1295)</f>
        <v>0</v>
      </c>
    </row>
    <row r="1296" customFormat="false" ht="14.4" hidden="true" customHeight="false" outlineLevel="0" collapsed="false">
      <c r="A1296" s="34" t="n">
        <v>15708608153</v>
      </c>
      <c r="B1296" s="34" t="s">
        <v>5321</v>
      </c>
      <c r="C1296" s="34" t="s">
        <v>77</v>
      </c>
      <c r="E1296" s="30" t="s">
        <v>5322</v>
      </c>
      <c r="F1296" s="34" t="n">
        <f aca="false">IFERROR(VLOOKUP($A1296,'319'!$B:$H,7,0),0)</f>
        <v>0</v>
      </c>
      <c r="G1296" s="34" t="n">
        <f aca="false">SUMIFS('12.326ana'!$C:$C,'12.326ana'!$M:$M,redes!A1296)</f>
        <v>0</v>
      </c>
    </row>
    <row r="1297" customFormat="false" ht="14.4" hidden="true" customHeight="false" outlineLevel="0" collapsed="false">
      <c r="A1297" s="34" t="n">
        <v>15714179153</v>
      </c>
      <c r="B1297" s="34" t="s">
        <v>5323</v>
      </c>
      <c r="C1297" s="34" t="s">
        <v>107</v>
      </c>
      <c r="E1297" s="30" t="s">
        <v>5324</v>
      </c>
      <c r="F1297" s="34" t="n">
        <f aca="false">IFERROR(VLOOKUP($A1297,'319'!$B:$H,7,0),0)</f>
        <v>0</v>
      </c>
      <c r="G1297" s="34" t="n">
        <f aca="false">SUMIFS('12.326ana'!$C:$C,'12.326ana'!$M:$M,redes!A1297)</f>
        <v>0</v>
      </c>
    </row>
    <row r="1298" customFormat="false" ht="14.4" hidden="true" customHeight="false" outlineLevel="0" collapsed="false">
      <c r="A1298" s="34" t="n">
        <v>15714403134</v>
      </c>
      <c r="B1298" s="34" t="s">
        <v>5325</v>
      </c>
      <c r="C1298" s="34" t="s">
        <v>77</v>
      </c>
      <c r="E1298" s="30" t="s">
        <v>5325</v>
      </c>
      <c r="F1298" s="34" t="n">
        <f aca="false">IFERROR(VLOOKUP($A1298,'319'!$B:$H,7,0),0)</f>
        <v>0</v>
      </c>
      <c r="G1298" s="34" t="n">
        <f aca="false">SUMIFS('12.326ana'!$C:$C,'12.326ana'!$M:$M,redes!A1298)</f>
        <v>0</v>
      </c>
    </row>
    <row r="1299" customFormat="false" ht="14.4" hidden="true" customHeight="false" outlineLevel="0" collapsed="false">
      <c r="A1299" s="34" t="n">
        <v>15714829115</v>
      </c>
      <c r="B1299" s="34" t="s">
        <v>5326</v>
      </c>
      <c r="C1299" s="34" t="s">
        <v>129</v>
      </c>
      <c r="E1299" s="30" t="s">
        <v>5327</v>
      </c>
      <c r="F1299" s="34" t="n">
        <f aca="false">IFERROR(VLOOKUP($A1299,'319'!$B:$H,7,0),0)</f>
        <v>0</v>
      </c>
      <c r="G1299" s="34" t="n">
        <f aca="false">SUMIFS('12.326ana'!$C:$C,'12.326ana'!$M:$M,redes!A1299)</f>
        <v>0</v>
      </c>
    </row>
    <row r="1300" customFormat="false" ht="14.4" hidden="true" customHeight="false" outlineLevel="0" collapsed="false">
      <c r="A1300" s="34" t="n">
        <v>15715779120</v>
      </c>
      <c r="B1300" s="34" t="s">
        <v>5328</v>
      </c>
      <c r="C1300" s="34" t="s">
        <v>107</v>
      </c>
      <c r="E1300" s="30" t="s">
        <v>5329</v>
      </c>
      <c r="F1300" s="34" t="n">
        <f aca="false">IFERROR(VLOOKUP($A1300,'319'!$B:$H,7,0),0)</f>
        <v>0</v>
      </c>
      <c r="G1300" s="34" t="n">
        <f aca="false">SUMIFS('12.326ana'!$C:$C,'12.326ana'!$M:$M,redes!A1300)</f>
        <v>0</v>
      </c>
    </row>
    <row r="1301" customFormat="false" ht="14.4" hidden="true" customHeight="false" outlineLevel="0" collapsed="false">
      <c r="A1301" s="34" t="n">
        <v>15718573115</v>
      </c>
      <c r="B1301" s="34" t="s">
        <v>5330</v>
      </c>
      <c r="C1301" s="34" t="s">
        <v>77</v>
      </c>
      <c r="E1301" s="30" t="s">
        <v>5330</v>
      </c>
      <c r="F1301" s="34" t="n">
        <f aca="false">IFERROR(VLOOKUP($A1301,'319'!$B:$H,7,0),0)</f>
        <v>0</v>
      </c>
      <c r="G1301" s="34" t="n">
        <f aca="false">SUMIFS('12.326ana'!$C:$C,'12.326ana'!$M:$M,redes!A1301)</f>
        <v>0</v>
      </c>
    </row>
    <row r="1302" customFormat="false" ht="14.4" hidden="true" customHeight="false" outlineLevel="0" collapsed="false">
      <c r="A1302" s="34" t="n">
        <v>15720349120</v>
      </c>
      <c r="B1302" s="34" t="s">
        <v>5331</v>
      </c>
      <c r="C1302" s="34" t="s">
        <v>107</v>
      </c>
      <c r="E1302" s="30" t="s">
        <v>5332</v>
      </c>
      <c r="F1302" s="34" t="n">
        <f aca="false">IFERROR(VLOOKUP($A1302,'319'!$B:$H,7,0),0)</f>
        <v>0</v>
      </c>
      <c r="G1302" s="34" t="n">
        <f aca="false">SUMIFS('12.326ana'!$C:$C,'12.326ana'!$M:$M,redes!A1302)</f>
        <v>0</v>
      </c>
    </row>
    <row r="1303" customFormat="false" ht="14.4" hidden="true" customHeight="false" outlineLevel="0" collapsed="false">
      <c r="A1303" s="34" t="n">
        <v>15720780149</v>
      </c>
      <c r="B1303" s="34" t="s">
        <v>5333</v>
      </c>
      <c r="C1303" s="34" t="s">
        <v>77</v>
      </c>
      <c r="E1303" s="30" t="s">
        <v>5334</v>
      </c>
      <c r="F1303" s="34" t="n">
        <f aca="false">IFERROR(VLOOKUP($A1303,'319'!$B:$H,7,0),0)</f>
        <v>0</v>
      </c>
      <c r="G1303" s="34" t="n">
        <f aca="false">SUMIFS('12.326ana'!$C:$C,'12.326ana'!$M:$M,redes!A1303)</f>
        <v>0</v>
      </c>
    </row>
    <row r="1304" customFormat="false" ht="14.4" hidden="true" customHeight="false" outlineLevel="0" collapsed="false">
      <c r="A1304" s="34" t="n">
        <v>15722368172</v>
      </c>
      <c r="B1304" s="34" t="s">
        <v>5335</v>
      </c>
      <c r="C1304" s="34" t="s">
        <v>107</v>
      </c>
      <c r="E1304" s="30" t="s">
        <v>5336</v>
      </c>
      <c r="F1304" s="34" t="n">
        <f aca="false">IFERROR(VLOOKUP($A1304,'319'!$B:$H,7,0),0)</f>
        <v>0</v>
      </c>
      <c r="G1304" s="34" t="n">
        <f aca="false">SUMIFS('12.326ana'!$C:$C,'12.326ana'!$M:$M,redes!A1304)</f>
        <v>0</v>
      </c>
    </row>
    <row r="1305" customFormat="false" ht="14.4" hidden="true" customHeight="false" outlineLevel="0" collapsed="false">
      <c r="A1305" s="34" t="n">
        <v>15725740110</v>
      </c>
      <c r="B1305" s="34" t="s">
        <v>5337</v>
      </c>
      <c r="C1305" s="34" t="s">
        <v>89</v>
      </c>
      <c r="E1305" s="30" t="s">
        <v>5338</v>
      </c>
      <c r="F1305" s="34" t="n">
        <f aca="false">IFERROR(VLOOKUP($A1305,'319'!$B:$H,7,0),0)</f>
        <v>0</v>
      </c>
      <c r="G1305" s="34" t="n">
        <f aca="false">SUMIFS('12.326ana'!$C:$C,'12.326ana'!$M:$M,redes!A1305)</f>
        <v>0</v>
      </c>
    </row>
    <row r="1306" customFormat="false" ht="14.4" hidden="true" customHeight="false" outlineLevel="0" collapsed="false">
      <c r="A1306" s="34" t="n">
        <v>15728684149</v>
      </c>
      <c r="B1306" s="34" t="s">
        <v>5339</v>
      </c>
      <c r="C1306" s="34" t="s">
        <v>89</v>
      </c>
      <c r="E1306" s="30" t="s">
        <v>5340</v>
      </c>
      <c r="F1306" s="34" t="n">
        <f aca="false">IFERROR(VLOOKUP($A1306,'319'!$B:$H,7,0),0)</f>
        <v>0</v>
      </c>
      <c r="G1306" s="34" t="n">
        <f aca="false">SUMIFS('12.326ana'!$C:$C,'12.326ana'!$M:$M,redes!A1306)</f>
        <v>0</v>
      </c>
    </row>
    <row r="1307" customFormat="false" ht="14.4" hidden="true" customHeight="false" outlineLevel="0" collapsed="false">
      <c r="A1307" s="34" t="n">
        <v>15734951153</v>
      </c>
      <c r="B1307" s="34" t="s">
        <v>5341</v>
      </c>
      <c r="C1307" s="34" t="s">
        <v>89</v>
      </c>
      <c r="E1307" s="30" t="s">
        <v>5341</v>
      </c>
      <c r="F1307" s="34" t="n">
        <f aca="false">IFERROR(VLOOKUP($A1307,'319'!$B:$H,7,0),0)</f>
        <v>0</v>
      </c>
      <c r="G1307" s="34" t="n">
        <f aca="false">SUMIFS('12.326ana'!$C:$C,'12.326ana'!$M:$M,redes!A1307)</f>
        <v>0</v>
      </c>
    </row>
    <row r="1308" customFormat="false" ht="14.4" hidden="true" customHeight="false" outlineLevel="0" collapsed="false">
      <c r="A1308" s="34" t="n">
        <v>15755436134</v>
      </c>
      <c r="B1308" s="34" t="s">
        <v>5342</v>
      </c>
      <c r="C1308" s="34" t="s">
        <v>594</v>
      </c>
      <c r="E1308" s="30" t="s">
        <v>5343</v>
      </c>
      <c r="F1308" s="34" t="n">
        <f aca="false">IFERROR(VLOOKUP($A1308,'319'!$B:$H,7,0),0)</f>
        <v>0</v>
      </c>
      <c r="G1308" s="34" t="n">
        <f aca="false">SUMIFS('12.326ana'!$C:$C,'12.326ana'!$M:$M,redes!A1308)</f>
        <v>0</v>
      </c>
    </row>
    <row r="1309" customFormat="false" ht="14.4" hidden="true" customHeight="false" outlineLevel="0" collapsed="false">
      <c r="A1309" s="34" t="n">
        <v>15756998187</v>
      </c>
      <c r="B1309" s="34" t="s">
        <v>5344</v>
      </c>
      <c r="C1309" s="34" t="s">
        <v>77</v>
      </c>
      <c r="E1309" s="30" t="s">
        <v>5345</v>
      </c>
      <c r="F1309" s="34" t="n">
        <f aca="false">IFERROR(VLOOKUP($A1309,'319'!$B:$H,7,0),0)</f>
        <v>0</v>
      </c>
      <c r="G1309" s="34" t="n">
        <f aca="false">SUMIFS('12.326ana'!$C:$C,'12.326ana'!$M:$M,redes!A1309)</f>
        <v>0</v>
      </c>
    </row>
    <row r="1310" customFormat="false" ht="14.4" hidden="true" customHeight="false" outlineLevel="0" collapsed="false">
      <c r="A1310" s="34" t="n">
        <v>15766314191</v>
      </c>
      <c r="B1310" s="34" t="s">
        <v>5346</v>
      </c>
      <c r="C1310" s="34" t="s">
        <v>77</v>
      </c>
      <c r="E1310" s="30"/>
      <c r="F1310" s="34" t="n">
        <f aca="false">IFERROR(VLOOKUP($A1310,'319'!$B:$H,7,0),0)</f>
        <v>0</v>
      </c>
      <c r="G1310" s="34" t="n">
        <f aca="false">SUMIFS('12.326ana'!$C:$C,'12.326ana'!$M:$M,redes!A1310)</f>
        <v>0</v>
      </c>
    </row>
    <row r="1311" customFormat="false" ht="14.4" hidden="true" customHeight="false" outlineLevel="0" collapsed="false">
      <c r="A1311" s="34" t="n">
        <v>15766446187</v>
      </c>
      <c r="B1311" s="34" t="s">
        <v>5347</v>
      </c>
      <c r="C1311" s="34" t="s">
        <v>77</v>
      </c>
      <c r="E1311" s="30" t="s">
        <v>5348</v>
      </c>
      <c r="F1311" s="34" t="n">
        <f aca="false">IFERROR(VLOOKUP($A1311,'319'!$B:$H,7,0),0)</f>
        <v>0</v>
      </c>
      <c r="G1311" s="34" t="n">
        <f aca="false">SUMIFS('12.326ana'!$C:$C,'12.326ana'!$M:$M,redes!A1311)</f>
        <v>0</v>
      </c>
    </row>
    <row r="1312" customFormat="false" ht="14.4" hidden="true" customHeight="false" outlineLevel="0" collapsed="false">
      <c r="A1312" s="34" t="n">
        <v>15766829191</v>
      </c>
      <c r="B1312" s="34" t="s">
        <v>5349</v>
      </c>
      <c r="C1312" s="34" t="s">
        <v>77</v>
      </c>
      <c r="E1312" s="30"/>
      <c r="F1312" s="34" t="n">
        <f aca="false">IFERROR(VLOOKUP($A1312,'319'!$B:$H,7,0),0)</f>
        <v>0</v>
      </c>
      <c r="G1312" s="34" t="n">
        <f aca="false">SUMIFS('12.326ana'!$C:$C,'12.326ana'!$M:$M,redes!A1312)</f>
        <v>0</v>
      </c>
    </row>
    <row r="1313" customFormat="false" ht="14.4" hidden="true" customHeight="false" outlineLevel="0" collapsed="false">
      <c r="A1313" s="34" t="n">
        <v>15776190053</v>
      </c>
      <c r="B1313" s="34" t="s">
        <v>5350</v>
      </c>
      <c r="C1313" s="34" t="s">
        <v>127</v>
      </c>
      <c r="E1313" s="30" t="s">
        <v>5351</v>
      </c>
      <c r="F1313" s="34" t="n">
        <f aca="false">IFERROR(VLOOKUP($A1313,'319'!$B:$H,7,0),0)</f>
        <v>0</v>
      </c>
      <c r="G1313" s="34" t="n">
        <f aca="false">SUMIFS('12.326ana'!$C:$C,'12.326ana'!$M:$M,redes!A1313)</f>
        <v>0</v>
      </c>
    </row>
    <row r="1314" customFormat="false" ht="14.4" hidden="true" customHeight="false" outlineLevel="0" collapsed="false">
      <c r="A1314" s="34" t="n">
        <v>15786967808</v>
      </c>
      <c r="B1314" s="34" t="s">
        <v>5352</v>
      </c>
      <c r="C1314" s="34" t="s">
        <v>77</v>
      </c>
      <c r="E1314" s="30" t="s">
        <v>5353</v>
      </c>
      <c r="F1314" s="34" t="n">
        <f aca="false">IFERROR(VLOOKUP($A1314,'319'!$B:$H,7,0),0)</f>
        <v>0</v>
      </c>
      <c r="G1314" s="34" t="n">
        <f aca="false">SUMIFS('12.326ana'!$C:$C,'12.326ana'!$M:$M,redes!A1314)</f>
        <v>0</v>
      </c>
    </row>
    <row r="1315" customFormat="false" ht="14.4" hidden="true" customHeight="false" outlineLevel="0" collapsed="false">
      <c r="A1315" s="34" t="n">
        <v>15835863934</v>
      </c>
      <c r="B1315" s="34" t="s">
        <v>5354</v>
      </c>
      <c r="C1315" s="34" t="s">
        <v>77</v>
      </c>
      <c r="E1315" s="30" t="s">
        <v>5355</v>
      </c>
      <c r="F1315" s="34" t="n">
        <f aca="false">IFERROR(VLOOKUP($A1315,'319'!$B:$H,7,0),0)</f>
        <v>0</v>
      </c>
      <c r="G1315" s="34" t="n">
        <f aca="false">SUMIFS('12.326ana'!$C:$C,'12.326ana'!$M:$M,redes!A1315)</f>
        <v>0</v>
      </c>
    </row>
    <row r="1316" customFormat="false" ht="14.4" hidden="true" customHeight="false" outlineLevel="0" collapsed="false">
      <c r="A1316" s="34" t="n">
        <v>15845257972</v>
      </c>
      <c r="B1316" s="34" t="s">
        <v>5356</v>
      </c>
      <c r="C1316" s="34" t="s">
        <v>77</v>
      </c>
      <c r="E1316" s="30" t="s">
        <v>5357</v>
      </c>
      <c r="F1316" s="34" t="n">
        <f aca="false">IFERROR(VLOOKUP($A1316,'319'!$B:$H,7,0),0)</f>
        <v>0</v>
      </c>
      <c r="G1316" s="34" t="n">
        <f aca="false">SUMIFS('12.326ana'!$C:$C,'12.326ana'!$M:$M,redes!A1316)</f>
        <v>0</v>
      </c>
    </row>
    <row r="1317" customFormat="false" ht="14.4" hidden="true" customHeight="false" outlineLevel="0" collapsed="false">
      <c r="A1317" s="34" t="n">
        <v>15962776887</v>
      </c>
      <c r="B1317" s="34" t="s">
        <v>5358</v>
      </c>
      <c r="C1317" s="34" t="s">
        <v>357</v>
      </c>
      <c r="E1317" s="30" t="s">
        <v>5359</v>
      </c>
      <c r="F1317" s="34" t="n">
        <f aca="false">IFERROR(VLOOKUP($A1317,'319'!$B:$H,7,0),0)</f>
        <v>0</v>
      </c>
      <c r="G1317" s="34" t="n">
        <f aca="false">SUMIFS('12.326ana'!$C:$C,'12.326ana'!$M:$M,redes!A1317)</f>
        <v>0</v>
      </c>
    </row>
    <row r="1318" customFormat="false" ht="14.4" hidden="true" customHeight="false" outlineLevel="0" collapsed="false">
      <c r="A1318" s="34" t="n">
        <v>15989496915</v>
      </c>
      <c r="B1318" s="34" t="s">
        <v>5360</v>
      </c>
      <c r="C1318" s="34" t="s">
        <v>77</v>
      </c>
      <c r="E1318" s="30" t="s">
        <v>5361</v>
      </c>
      <c r="F1318" s="34" t="n">
        <f aca="false">IFERROR(VLOOKUP($A1318,'319'!$B:$H,7,0),0)</f>
        <v>0</v>
      </c>
      <c r="G1318" s="34" t="n">
        <f aca="false">SUMIFS('12.326ana'!$C:$C,'12.326ana'!$M:$M,redes!A1318)</f>
        <v>0</v>
      </c>
    </row>
    <row r="1319" customFormat="false" ht="14.4" hidden="true" customHeight="false" outlineLevel="0" collapsed="false">
      <c r="A1319" s="34" t="n">
        <v>16003426802</v>
      </c>
      <c r="B1319" s="34" t="s">
        <v>5362</v>
      </c>
      <c r="C1319" s="34" t="s">
        <v>77</v>
      </c>
      <c r="E1319" s="30" t="s">
        <v>5363</v>
      </c>
      <c r="F1319" s="34" t="n">
        <f aca="false">IFERROR(VLOOKUP($A1319,'319'!$B:$H,7,0),0)</f>
        <v>0</v>
      </c>
      <c r="G1319" s="34" t="n">
        <f aca="false">SUMIFS('12.326ana'!$C:$C,'12.326ana'!$M:$M,redes!A1319)</f>
        <v>0</v>
      </c>
    </row>
    <row r="1320" customFormat="false" ht="14.4" hidden="true" customHeight="false" outlineLevel="0" collapsed="false">
      <c r="A1320" s="34" t="n">
        <v>16038398104</v>
      </c>
      <c r="B1320" s="34" t="s">
        <v>5364</v>
      </c>
      <c r="C1320" s="34" t="s">
        <v>77</v>
      </c>
      <c r="E1320" s="30" t="s">
        <v>5365</v>
      </c>
      <c r="F1320" s="34" t="n">
        <f aca="false">IFERROR(VLOOKUP($A1320,'319'!$B:$H,7,0),0)</f>
        <v>0</v>
      </c>
      <c r="G1320" s="34" t="n">
        <f aca="false">SUMIFS('12.326ana'!$C:$C,'12.326ana'!$M:$M,redes!A1320)</f>
        <v>0</v>
      </c>
    </row>
    <row r="1321" customFormat="false" ht="14.4" hidden="true" customHeight="false" outlineLevel="0" collapsed="false">
      <c r="A1321" s="34" t="n">
        <v>16046846153</v>
      </c>
      <c r="B1321" s="34" t="s">
        <v>5366</v>
      </c>
      <c r="C1321" s="34" t="s">
        <v>77</v>
      </c>
      <c r="E1321" s="30" t="s">
        <v>5367</v>
      </c>
      <c r="F1321" s="34" t="n">
        <f aca="false">IFERROR(VLOOKUP($A1321,'319'!$B:$H,7,0),0)</f>
        <v>0</v>
      </c>
      <c r="G1321" s="34" t="n">
        <f aca="false">SUMIFS('12.326ana'!$C:$C,'12.326ana'!$M:$M,redes!A1321)</f>
        <v>0</v>
      </c>
    </row>
    <row r="1322" customFormat="false" ht="14.4" hidden="true" customHeight="false" outlineLevel="0" collapsed="false">
      <c r="A1322" s="34" t="n">
        <v>16051823115</v>
      </c>
      <c r="B1322" s="34" t="s">
        <v>5368</v>
      </c>
      <c r="C1322" s="34" t="s">
        <v>89</v>
      </c>
      <c r="E1322" s="30" t="s">
        <v>5369</v>
      </c>
      <c r="F1322" s="34" t="n">
        <f aca="false">IFERROR(VLOOKUP($A1322,'319'!$B:$H,7,0),0)</f>
        <v>0</v>
      </c>
      <c r="G1322" s="34" t="n">
        <f aca="false">SUMIFS('12.326ana'!$C:$C,'12.326ana'!$M:$M,redes!A1322)</f>
        <v>0</v>
      </c>
    </row>
    <row r="1323" customFormat="false" ht="14.4" hidden="true" customHeight="false" outlineLevel="0" collapsed="false">
      <c r="A1323" s="34" t="n">
        <v>16138520106</v>
      </c>
      <c r="B1323" s="34" t="s">
        <v>5370</v>
      </c>
      <c r="C1323" s="34" t="s">
        <v>4261</v>
      </c>
      <c r="E1323" s="30" t="s">
        <v>5371</v>
      </c>
      <c r="F1323" s="34" t="n">
        <f aca="false">IFERROR(VLOOKUP($A1323,'319'!$B:$H,7,0),0)</f>
        <v>0</v>
      </c>
      <c r="G1323" s="34" t="n">
        <f aca="false">SUMIFS('12.326ana'!$C:$C,'12.326ana'!$M:$M,redes!A1323)</f>
        <v>0</v>
      </c>
    </row>
    <row r="1324" customFormat="false" ht="14.4" hidden="true" customHeight="false" outlineLevel="0" collapsed="false">
      <c r="A1324" s="34" t="n">
        <v>16252322172</v>
      </c>
      <c r="B1324" s="34" t="s">
        <v>5372</v>
      </c>
      <c r="C1324" s="34" t="s">
        <v>77</v>
      </c>
      <c r="E1324" s="30" t="s">
        <v>5373</v>
      </c>
      <c r="F1324" s="34" t="n">
        <f aca="false">IFERROR(VLOOKUP($A1324,'319'!$B:$H,7,0),0)</f>
        <v>0</v>
      </c>
      <c r="G1324" s="34" t="n">
        <f aca="false">SUMIFS('12.326ana'!$C:$C,'12.326ana'!$M:$M,redes!A1324)</f>
        <v>0</v>
      </c>
    </row>
    <row r="1325" customFormat="false" ht="14.4" hidden="true" customHeight="false" outlineLevel="0" collapsed="false">
      <c r="A1325" s="34" t="n">
        <v>16300432149</v>
      </c>
      <c r="B1325" s="34" t="s">
        <v>5374</v>
      </c>
      <c r="C1325" s="34" t="s">
        <v>77</v>
      </c>
      <c r="E1325" s="30" t="s">
        <v>5375</v>
      </c>
      <c r="F1325" s="34" t="n">
        <f aca="false">IFERROR(VLOOKUP($A1325,'319'!$B:$H,7,0),0)</f>
        <v>0</v>
      </c>
      <c r="G1325" s="34" t="n">
        <f aca="false">SUMIFS('12.326ana'!$C:$C,'12.326ana'!$M:$M,redes!A1325)</f>
        <v>0</v>
      </c>
    </row>
    <row r="1326" customFormat="false" ht="14.4" hidden="true" customHeight="false" outlineLevel="0" collapsed="false">
      <c r="A1326" s="34" t="n">
        <v>16316146817</v>
      </c>
      <c r="B1326" s="34" t="s">
        <v>5376</v>
      </c>
      <c r="C1326" s="34" t="s">
        <v>342</v>
      </c>
      <c r="E1326" s="30" t="s">
        <v>5377</v>
      </c>
      <c r="F1326" s="34" t="n">
        <f aca="false">IFERROR(VLOOKUP($A1326,'319'!$B:$H,7,0),0)</f>
        <v>0</v>
      </c>
      <c r="G1326" s="34" t="n">
        <f aca="false">SUMIFS('12.326ana'!$C:$C,'12.326ana'!$M:$M,redes!A1326)</f>
        <v>0</v>
      </c>
    </row>
    <row r="1327" customFormat="false" ht="14.4" hidden="true" customHeight="false" outlineLevel="0" collapsed="false">
      <c r="A1327" s="34" t="n">
        <v>16329600104</v>
      </c>
      <c r="B1327" s="34" t="s">
        <v>5378</v>
      </c>
      <c r="C1327" s="34" t="s">
        <v>737</v>
      </c>
      <c r="E1327" s="30" t="s">
        <v>5379</v>
      </c>
      <c r="F1327" s="34" t="n">
        <f aca="false">IFERROR(VLOOKUP($A1327,'319'!$B:$H,7,0),0)</f>
        <v>0</v>
      </c>
      <c r="G1327" s="34" t="n">
        <f aca="false">SUMIFS('12.326ana'!$C:$C,'12.326ana'!$M:$M,redes!A1327)</f>
        <v>0</v>
      </c>
    </row>
    <row r="1328" customFormat="false" ht="14.4" hidden="true" customHeight="false" outlineLevel="0" collapsed="false">
      <c r="A1328" s="34" t="n">
        <v>16342143153</v>
      </c>
      <c r="B1328" s="34" t="s">
        <v>5380</v>
      </c>
      <c r="C1328" s="34" t="s">
        <v>77</v>
      </c>
      <c r="E1328" s="30" t="s">
        <v>5381</v>
      </c>
      <c r="F1328" s="34" t="n">
        <f aca="false">IFERROR(VLOOKUP($A1328,'319'!$B:$H,7,0),0)</f>
        <v>0</v>
      </c>
      <c r="G1328" s="34" t="n">
        <f aca="false">SUMIFS('12.326ana'!$C:$C,'12.326ana'!$M:$M,redes!A1328)</f>
        <v>0</v>
      </c>
    </row>
    <row r="1329" customFormat="false" ht="14.4" hidden="true" customHeight="false" outlineLevel="0" collapsed="false">
      <c r="A1329" s="34" t="n">
        <v>16345681172</v>
      </c>
      <c r="B1329" s="34" t="s">
        <v>5382</v>
      </c>
      <c r="C1329" s="34" t="s">
        <v>197</v>
      </c>
      <c r="E1329" s="30" t="s">
        <v>5383</v>
      </c>
      <c r="F1329" s="34" t="n">
        <f aca="false">IFERROR(VLOOKUP($A1329,'319'!$B:$H,7,0),0)</f>
        <v>0</v>
      </c>
      <c r="G1329" s="34" t="n">
        <f aca="false">SUMIFS('12.326ana'!$C:$C,'12.326ana'!$M:$M,redes!A1329)</f>
        <v>0</v>
      </c>
    </row>
    <row r="1330" customFormat="false" ht="14.4" hidden="true" customHeight="false" outlineLevel="0" collapsed="false">
      <c r="A1330" s="34" t="n">
        <v>16365224168</v>
      </c>
      <c r="B1330" s="34" t="s">
        <v>5384</v>
      </c>
      <c r="C1330" s="34" t="s">
        <v>107</v>
      </c>
      <c r="E1330" s="30" t="s">
        <v>5385</v>
      </c>
      <c r="F1330" s="34" t="n">
        <f aca="false">IFERROR(VLOOKUP($A1330,'319'!$B:$H,7,0),0)</f>
        <v>0</v>
      </c>
      <c r="G1330" s="34" t="n">
        <f aca="false">SUMIFS('12.326ana'!$C:$C,'12.326ana'!$M:$M,redes!A1330)</f>
        <v>0</v>
      </c>
    </row>
    <row r="1331" customFormat="false" ht="14.4" hidden="true" customHeight="false" outlineLevel="0" collapsed="false">
      <c r="A1331" s="34" t="n">
        <v>16373804100</v>
      </c>
      <c r="B1331" s="34" t="s">
        <v>5386</v>
      </c>
      <c r="C1331" s="34" t="s">
        <v>77</v>
      </c>
      <c r="E1331" s="30" t="s">
        <v>5387</v>
      </c>
      <c r="F1331" s="34" t="n">
        <f aca="false">IFERROR(VLOOKUP($A1331,'319'!$B:$H,7,0),0)</f>
        <v>0</v>
      </c>
      <c r="G1331" s="34" t="n">
        <f aca="false">SUMIFS('12.326ana'!$C:$C,'12.326ana'!$M:$M,redes!A1331)</f>
        <v>0</v>
      </c>
    </row>
    <row r="1332" customFormat="false" ht="14.4" hidden="true" customHeight="false" outlineLevel="0" collapsed="false">
      <c r="A1332" s="34" t="n">
        <v>16373901149</v>
      </c>
      <c r="B1332" s="34" t="s">
        <v>5388</v>
      </c>
      <c r="C1332" s="34" t="s">
        <v>77</v>
      </c>
      <c r="E1332" s="30" t="s">
        <v>5389</v>
      </c>
      <c r="F1332" s="34" t="n">
        <f aca="false">IFERROR(VLOOKUP($A1332,'319'!$B:$H,7,0),0)</f>
        <v>0</v>
      </c>
      <c r="G1332" s="34" t="n">
        <f aca="false">SUMIFS('12.326ana'!$C:$C,'12.326ana'!$M:$M,redes!A1332)</f>
        <v>0</v>
      </c>
    </row>
    <row r="1333" customFormat="false" ht="14.4" hidden="true" customHeight="false" outlineLevel="0" collapsed="false">
      <c r="A1333" s="34" t="n">
        <v>16377922809</v>
      </c>
      <c r="B1333" s="34" t="s">
        <v>5390</v>
      </c>
      <c r="C1333" s="34" t="s">
        <v>77</v>
      </c>
      <c r="E1333" s="30" t="s">
        <v>5391</v>
      </c>
      <c r="F1333" s="34" t="n">
        <f aca="false">IFERROR(VLOOKUP($A1333,'319'!$B:$H,7,0),0)</f>
        <v>0</v>
      </c>
      <c r="G1333" s="34" t="n">
        <f aca="false">SUMIFS('12.326ana'!$C:$C,'12.326ana'!$M:$M,redes!A1333)</f>
        <v>0</v>
      </c>
    </row>
    <row r="1334" customFormat="false" ht="14.4" hidden="true" customHeight="false" outlineLevel="0" collapsed="false">
      <c r="A1334" s="34" t="n">
        <v>16379330968</v>
      </c>
      <c r="B1334" s="34" t="s">
        <v>5392</v>
      </c>
      <c r="C1334" s="34" t="s">
        <v>77</v>
      </c>
      <c r="E1334" s="30" t="s">
        <v>5393</v>
      </c>
      <c r="F1334" s="34" t="n">
        <f aca="false">IFERROR(VLOOKUP($A1334,'319'!$B:$H,7,0),0)</f>
        <v>0</v>
      </c>
      <c r="G1334" s="34" t="n">
        <f aca="false">SUMIFS('12.326ana'!$C:$C,'12.326ana'!$M:$M,redes!A1334)</f>
        <v>0</v>
      </c>
    </row>
    <row r="1335" customFormat="false" ht="14.4" hidden="true" customHeight="false" outlineLevel="0" collapsed="false">
      <c r="A1335" s="34" t="n">
        <v>16381726172</v>
      </c>
      <c r="B1335" s="34" t="s">
        <v>5394</v>
      </c>
      <c r="C1335" s="34" t="s">
        <v>107</v>
      </c>
      <c r="E1335" s="30" t="s">
        <v>5395</v>
      </c>
      <c r="F1335" s="34" t="n">
        <f aca="false">IFERROR(VLOOKUP($A1335,'319'!$B:$H,7,0),0)</f>
        <v>0</v>
      </c>
      <c r="G1335" s="34" t="n">
        <f aca="false">SUMIFS('12.326ana'!$C:$C,'12.326ana'!$M:$M,redes!A1335)</f>
        <v>0</v>
      </c>
    </row>
    <row r="1336" customFormat="false" ht="14.4" hidden="true" customHeight="false" outlineLevel="0" collapsed="false">
      <c r="A1336" s="34" t="n">
        <v>16383478168</v>
      </c>
      <c r="B1336" s="34" t="s">
        <v>5396</v>
      </c>
      <c r="C1336" s="34" t="s">
        <v>107</v>
      </c>
      <c r="E1336" s="30" t="s">
        <v>5397</v>
      </c>
      <c r="F1336" s="34" t="n">
        <f aca="false">IFERROR(VLOOKUP($A1336,'319'!$B:$H,7,0),0)</f>
        <v>0</v>
      </c>
      <c r="G1336" s="34" t="n">
        <f aca="false">SUMIFS('12.326ana'!$C:$C,'12.326ana'!$M:$M,redes!A1336)</f>
        <v>0</v>
      </c>
    </row>
    <row r="1337" customFormat="false" ht="14.4" hidden="true" customHeight="false" outlineLevel="0" collapsed="false">
      <c r="A1337" s="34" t="n">
        <v>16388216153</v>
      </c>
      <c r="B1337" s="34" t="s">
        <v>5398</v>
      </c>
      <c r="C1337" s="34" t="s">
        <v>77</v>
      </c>
      <c r="E1337" s="30"/>
      <c r="F1337" s="34" t="n">
        <f aca="false">IFERROR(VLOOKUP($A1337,'319'!$B:$H,7,0),0)</f>
        <v>0</v>
      </c>
      <c r="G1337" s="34" t="n">
        <f aca="false">SUMIFS('12.326ana'!$C:$C,'12.326ana'!$M:$M,redes!A1337)</f>
        <v>0</v>
      </c>
    </row>
    <row r="1338" customFormat="false" ht="14.4" hidden="true" customHeight="false" outlineLevel="0" collapsed="false">
      <c r="A1338" s="34" t="n">
        <v>16389042191</v>
      </c>
      <c r="B1338" s="34" t="s">
        <v>5399</v>
      </c>
      <c r="C1338" s="34" t="s">
        <v>77</v>
      </c>
      <c r="E1338" s="30" t="s">
        <v>5400</v>
      </c>
      <c r="F1338" s="34" t="n">
        <f aca="false">IFERROR(VLOOKUP($A1338,'319'!$B:$H,7,0),0)</f>
        <v>0</v>
      </c>
      <c r="G1338" s="34" t="n">
        <f aca="false">SUMIFS('12.326ana'!$C:$C,'12.326ana'!$M:$M,redes!A1338)</f>
        <v>0</v>
      </c>
    </row>
    <row r="1339" customFormat="false" ht="14.4" hidden="true" customHeight="false" outlineLevel="0" collapsed="false">
      <c r="A1339" s="34" t="n">
        <v>16397347168</v>
      </c>
      <c r="B1339" s="34" t="s">
        <v>5401</v>
      </c>
      <c r="C1339" s="34" t="s">
        <v>77</v>
      </c>
      <c r="E1339" s="30" t="s">
        <v>5402</v>
      </c>
      <c r="F1339" s="34" t="n">
        <f aca="false">IFERROR(VLOOKUP($A1339,'319'!$B:$H,7,0),0)</f>
        <v>0</v>
      </c>
      <c r="G1339" s="34" t="n">
        <f aca="false">SUMIFS('12.326ana'!$C:$C,'12.326ana'!$M:$M,redes!A1339)</f>
        <v>0</v>
      </c>
    </row>
    <row r="1340" customFormat="false" ht="14.4" hidden="true" customHeight="false" outlineLevel="0" collapsed="false">
      <c r="A1340" s="34" t="n">
        <v>16398149149</v>
      </c>
      <c r="B1340" s="34" t="s">
        <v>5403</v>
      </c>
      <c r="C1340" s="34" t="s">
        <v>77</v>
      </c>
      <c r="E1340" s="30"/>
      <c r="F1340" s="34" t="n">
        <f aca="false">IFERROR(VLOOKUP($A1340,'319'!$B:$H,7,0),0)</f>
        <v>0</v>
      </c>
      <c r="G1340" s="34" t="n">
        <f aca="false">SUMIFS('12.326ana'!$C:$C,'12.326ana'!$M:$M,redes!A1340)</f>
        <v>0</v>
      </c>
    </row>
    <row r="1341" customFormat="false" ht="14.4" hidden="true" customHeight="false" outlineLevel="0" collapsed="false">
      <c r="A1341" s="34" t="n">
        <v>16402464104</v>
      </c>
      <c r="B1341" s="34" t="s">
        <v>5404</v>
      </c>
      <c r="C1341" s="34" t="s">
        <v>478</v>
      </c>
      <c r="E1341" s="30" t="s">
        <v>5405</v>
      </c>
      <c r="F1341" s="34" t="n">
        <f aca="false">IFERROR(VLOOKUP($A1341,'319'!$B:$H,7,0),0)</f>
        <v>0</v>
      </c>
      <c r="G1341" s="34" t="n">
        <f aca="false">SUMIFS('12.326ana'!$C:$C,'12.326ana'!$M:$M,redes!A1341)</f>
        <v>0</v>
      </c>
    </row>
    <row r="1342" customFormat="false" ht="14.4" hidden="true" customHeight="false" outlineLevel="0" collapsed="false">
      <c r="A1342" s="34" t="n">
        <v>16415442953</v>
      </c>
      <c r="B1342" s="34" t="s">
        <v>5406</v>
      </c>
      <c r="C1342" s="34" t="s">
        <v>77</v>
      </c>
      <c r="E1342" s="30" t="s">
        <v>5407</v>
      </c>
      <c r="F1342" s="34" t="n">
        <f aca="false">IFERROR(VLOOKUP($A1342,'319'!$B:$H,7,0),0)</f>
        <v>0</v>
      </c>
      <c r="G1342" s="34" t="n">
        <f aca="false">SUMIFS('12.326ana'!$C:$C,'12.326ana'!$M:$M,redes!A1342)</f>
        <v>0</v>
      </c>
    </row>
    <row r="1343" customFormat="false" ht="14.4" hidden="true" customHeight="false" outlineLevel="0" collapsed="false">
      <c r="A1343" s="34" t="n">
        <v>16417631168</v>
      </c>
      <c r="B1343" s="34" t="s">
        <v>5408</v>
      </c>
      <c r="C1343" s="34" t="s">
        <v>77</v>
      </c>
      <c r="E1343" s="30" t="s">
        <v>5409</v>
      </c>
      <c r="F1343" s="34" t="n">
        <f aca="false">IFERROR(VLOOKUP($A1343,'319'!$B:$H,7,0),0)</f>
        <v>0</v>
      </c>
      <c r="G1343" s="34" t="n">
        <f aca="false">SUMIFS('12.326ana'!$C:$C,'12.326ana'!$M:$M,redes!A1343)</f>
        <v>0</v>
      </c>
    </row>
    <row r="1344" customFormat="false" ht="14.4" hidden="true" customHeight="false" outlineLevel="0" collapsed="false">
      <c r="A1344" s="34" t="n">
        <v>16427840100</v>
      </c>
      <c r="B1344" s="34" t="s">
        <v>5410</v>
      </c>
      <c r="C1344" s="34" t="s">
        <v>77</v>
      </c>
      <c r="E1344" s="30" t="s">
        <v>5411</v>
      </c>
      <c r="F1344" s="34" t="n">
        <f aca="false">IFERROR(VLOOKUP($A1344,'319'!$B:$H,7,0),0)</f>
        <v>0</v>
      </c>
      <c r="G1344" s="34" t="n">
        <f aca="false">SUMIFS('12.326ana'!$C:$C,'12.326ana'!$M:$M,redes!A1344)</f>
        <v>0</v>
      </c>
    </row>
    <row r="1345" customFormat="false" ht="14.4" hidden="true" customHeight="false" outlineLevel="0" collapsed="false">
      <c r="A1345" s="34" t="n">
        <v>16427963104</v>
      </c>
      <c r="B1345" s="34" t="s">
        <v>5412</v>
      </c>
      <c r="C1345" s="34" t="s">
        <v>464</v>
      </c>
      <c r="E1345" s="30" t="s">
        <v>5413</v>
      </c>
      <c r="F1345" s="34" t="n">
        <f aca="false">IFERROR(VLOOKUP($A1345,'319'!$B:$H,7,0),0)</f>
        <v>0</v>
      </c>
      <c r="G1345" s="34" t="n">
        <f aca="false">SUMIFS('12.326ana'!$C:$C,'12.326ana'!$M:$M,redes!A1345)</f>
        <v>0</v>
      </c>
    </row>
    <row r="1346" customFormat="false" ht="14.4" hidden="true" customHeight="false" outlineLevel="0" collapsed="false">
      <c r="A1346" s="34" t="n">
        <v>16428722100</v>
      </c>
      <c r="B1346" s="34" t="s">
        <v>5414</v>
      </c>
      <c r="C1346" s="34" t="s">
        <v>77</v>
      </c>
      <c r="E1346" s="30" t="s">
        <v>5415</v>
      </c>
      <c r="F1346" s="34" t="n">
        <f aca="false">IFERROR(VLOOKUP($A1346,'319'!$B:$H,7,0),0)</f>
        <v>0</v>
      </c>
      <c r="G1346" s="34" t="n">
        <f aca="false">SUMIFS('12.326ana'!$C:$C,'12.326ana'!$M:$M,redes!A1346)</f>
        <v>0</v>
      </c>
    </row>
    <row r="1347" customFormat="false" ht="14.4" hidden="true" customHeight="false" outlineLevel="0" collapsed="false">
      <c r="A1347" s="34" t="n">
        <v>16429982149</v>
      </c>
      <c r="B1347" s="34" t="s">
        <v>5416</v>
      </c>
      <c r="C1347" s="34" t="s">
        <v>464</v>
      </c>
      <c r="E1347" s="30" t="s">
        <v>5417</v>
      </c>
      <c r="F1347" s="34" t="n">
        <f aca="false">IFERROR(VLOOKUP($A1347,'319'!$B:$H,7,0),0)</f>
        <v>0</v>
      </c>
      <c r="G1347" s="34" t="n">
        <f aca="false">SUMIFS('12.326ana'!$C:$C,'12.326ana'!$M:$M,redes!A1347)</f>
        <v>0</v>
      </c>
    </row>
    <row r="1348" customFormat="false" ht="14.4" hidden="true" customHeight="false" outlineLevel="0" collapsed="false">
      <c r="A1348" s="34" t="n">
        <v>16435311153</v>
      </c>
      <c r="B1348" s="34" t="s">
        <v>5418</v>
      </c>
      <c r="C1348" s="34" t="s">
        <v>77</v>
      </c>
      <c r="E1348" s="30" t="s">
        <v>5419</v>
      </c>
      <c r="F1348" s="34" t="n">
        <f aca="false">IFERROR(VLOOKUP($A1348,'319'!$B:$H,7,0),0)</f>
        <v>0</v>
      </c>
      <c r="G1348" s="34" t="n">
        <f aca="false">SUMIFS('12.326ana'!$C:$C,'12.326ana'!$M:$M,redes!A1348)</f>
        <v>0</v>
      </c>
    </row>
    <row r="1349" customFormat="false" ht="14.4" hidden="true" customHeight="false" outlineLevel="0" collapsed="false">
      <c r="A1349" s="34" t="n">
        <v>16435907153</v>
      </c>
      <c r="B1349" s="34" t="s">
        <v>5420</v>
      </c>
      <c r="C1349" s="34" t="s">
        <v>77</v>
      </c>
      <c r="E1349" s="30" t="s">
        <v>5421</v>
      </c>
      <c r="F1349" s="34" t="n">
        <f aca="false">IFERROR(VLOOKUP($A1349,'319'!$B:$H,7,0),0)</f>
        <v>0</v>
      </c>
      <c r="G1349" s="34" t="n">
        <f aca="false">SUMIFS('12.326ana'!$C:$C,'12.326ana'!$M:$M,redes!A1349)</f>
        <v>0</v>
      </c>
    </row>
    <row r="1350" customFormat="false" ht="14.4" hidden="true" customHeight="false" outlineLevel="0" collapsed="false">
      <c r="A1350" s="34" t="n">
        <v>16444485134</v>
      </c>
      <c r="B1350" s="34" t="s">
        <v>5422</v>
      </c>
      <c r="C1350" s="34" t="s">
        <v>77</v>
      </c>
      <c r="E1350" s="30" t="s">
        <v>5423</v>
      </c>
      <c r="F1350" s="34" t="n">
        <f aca="false">IFERROR(VLOOKUP($A1350,'319'!$B:$H,7,0),0)</f>
        <v>0</v>
      </c>
      <c r="G1350" s="34" t="n">
        <f aca="false">SUMIFS('12.326ana'!$C:$C,'12.326ana'!$M:$M,redes!A1350)</f>
        <v>0</v>
      </c>
    </row>
    <row r="1351" customFormat="false" ht="14.4" hidden="true" customHeight="false" outlineLevel="0" collapsed="false">
      <c r="A1351" s="34" t="n">
        <v>16465628104</v>
      </c>
      <c r="B1351" s="34" t="s">
        <v>5424</v>
      </c>
      <c r="C1351" s="34" t="s">
        <v>154</v>
      </c>
      <c r="E1351" s="30"/>
      <c r="F1351" s="34" t="n">
        <f aca="false">IFERROR(VLOOKUP($A1351,'319'!$B:$H,7,0),0)</f>
        <v>0</v>
      </c>
      <c r="G1351" s="34" t="n">
        <f aca="false">SUMIFS('12.326ana'!$C:$C,'12.326ana'!$M:$M,redes!A1351)</f>
        <v>0</v>
      </c>
    </row>
    <row r="1352" customFormat="false" ht="14.4" hidden="true" customHeight="false" outlineLevel="0" collapsed="false">
      <c r="A1352" s="34" t="n">
        <v>16468660106</v>
      </c>
      <c r="B1352" s="34" t="s">
        <v>5425</v>
      </c>
      <c r="C1352" s="34" t="s">
        <v>77</v>
      </c>
      <c r="E1352" s="30" t="s">
        <v>5426</v>
      </c>
      <c r="F1352" s="34" t="n">
        <f aca="false">IFERROR(VLOOKUP($A1352,'319'!$B:$H,7,0),0)</f>
        <v>0</v>
      </c>
      <c r="G1352" s="34" t="n">
        <f aca="false">SUMIFS('12.326ana'!$C:$C,'12.326ana'!$M:$M,redes!A1352)</f>
        <v>0</v>
      </c>
    </row>
    <row r="1353" customFormat="false" ht="14.4" hidden="true" customHeight="false" outlineLevel="0" collapsed="false">
      <c r="A1353" s="34" t="n">
        <v>16468988187</v>
      </c>
      <c r="B1353" s="34" t="s">
        <v>5427</v>
      </c>
      <c r="C1353" s="34" t="s">
        <v>77</v>
      </c>
      <c r="E1353" s="30" t="s">
        <v>5428</v>
      </c>
      <c r="F1353" s="34" t="n">
        <f aca="false">IFERROR(VLOOKUP($A1353,'319'!$B:$H,7,0),0)</f>
        <v>0</v>
      </c>
      <c r="G1353" s="34" t="n">
        <f aca="false">SUMIFS('12.326ana'!$C:$C,'12.326ana'!$M:$M,redes!A1353)</f>
        <v>0</v>
      </c>
    </row>
    <row r="1354" customFormat="false" ht="14.4" hidden="true" customHeight="false" outlineLevel="0" collapsed="false">
      <c r="A1354" s="34" t="n">
        <v>16479378172</v>
      </c>
      <c r="B1354" s="34" t="s">
        <v>5429</v>
      </c>
      <c r="C1354" s="34" t="s">
        <v>77</v>
      </c>
      <c r="E1354" s="30" t="s">
        <v>5430</v>
      </c>
      <c r="F1354" s="34" t="n">
        <f aca="false">IFERROR(VLOOKUP($A1354,'319'!$B:$H,7,0),0)</f>
        <v>0</v>
      </c>
      <c r="G1354" s="34" t="n">
        <f aca="false">SUMIFS('12.326ana'!$C:$C,'12.326ana'!$M:$M,redes!A1354)</f>
        <v>0</v>
      </c>
    </row>
    <row r="1355" customFormat="false" ht="14.4" hidden="true" customHeight="false" outlineLevel="0" collapsed="false">
      <c r="A1355" s="34" t="n">
        <v>16487672149</v>
      </c>
      <c r="B1355" s="34" t="s">
        <v>5431</v>
      </c>
      <c r="C1355" s="34" t="s">
        <v>77</v>
      </c>
      <c r="E1355" s="30" t="s">
        <v>5432</v>
      </c>
      <c r="F1355" s="34" t="n">
        <f aca="false">IFERROR(VLOOKUP($A1355,'319'!$B:$H,7,0),0)</f>
        <v>0</v>
      </c>
      <c r="G1355" s="34" t="n">
        <f aca="false">SUMIFS('12.326ana'!$C:$C,'12.326ana'!$M:$M,redes!A1355)</f>
        <v>0</v>
      </c>
    </row>
    <row r="1356" customFormat="false" ht="14.4" hidden="true" customHeight="false" outlineLevel="0" collapsed="false">
      <c r="A1356" s="34" t="n">
        <v>16494601120</v>
      </c>
      <c r="B1356" s="34" t="s">
        <v>5433</v>
      </c>
      <c r="C1356" s="34" t="s">
        <v>192</v>
      </c>
      <c r="E1356" s="30" t="s">
        <v>5434</v>
      </c>
      <c r="F1356" s="34" t="n">
        <f aca="false">IFERROR(VLOOKUP($A1356,'319'!$B:$H,7,0),0)</f>
        <v>0</v>
      </c>
      <c r="G1356" s="34" t="n">
        <f aca="false">SUMIFS('12.326ana'!$C:$C,'12.326ana'!$M:$M,redes!A1356)</f>
        <v>0</v>
      </c>
    </row>
    <row r="1357" customFormat="false" ht="14.4" hidden="true" customHeight="false" outlineLevel="0" collapsed="false">
      <c r="A1357" s="34" t="n">
        <v>16497856153</v>
      </c>
      <c r="B1357" s="34" t="s">
        <v>5435</v>
      </c>
      <c r="C1357" s="34" t="s">
        <v>154</v>
      </c>
      <c r="E1357" s="30" t="s">
        <v>5436</v>
      </c>
      <c r="F1357" s="34" t="n">
        <f aca="false">IFERROR(VLOOKUP($A1357,'319'!$B:$H,7,0),0)</f>
        <v>0</v>
      </c>
      <c r="G1357" s="34" t="n">
        <f aca="false">SUMIFS('12.326ana'!$C:$C,'12.326ana'!$M:$M,redes!A1357)</f>
        <v>0</v>
      </c>
    </row>
    <row r="1358" customFormat="false" ht="14.4" hidden="true" customHeight="false" outlineLevel="0" collapsed="false">
      <c r="A1358" s="34" t="n">
        <v>16498542187</v>
      </c>
      <c r="B1358" s="34" t="s">
        <v>5437</v>
      </c>
      <c r="C1358" s="34" t="s">
        <v>77</v>
      </c>
      <c r="E1358" s="30" t="s">
        <v>4040</v>
      </c>
      <c r="F1358" s="34" t="n">
        <f aca="false">IFERROR(VLOOKUP($A1358,'319'!$B:$H,7,0),0)</f>
        <v>0</v>
      </c>
      <c r="G1358" s="34" t="n">
        <f aca="false">SUMIFS('12.326ana'!$C:$C,'12.326ana'!$M:$M,redes!A1358)</f>
        <v>0</v>
      </c>
    </row>
    <row r="1359" customFormat="false" ht="14.4" hidden="true" customHeight="false" outlineLevel="0" collapsed="false">
      <c r="A1359" s="34" t="n">
        <v>16546963825</v>
      </c>
      <c r="B1359" s="34" t="s">
        <v>5438</v>
      </c>
      <c r="C1359" s="34" t="s">
        <v>4418</v>
      </c>
      <c r="E1359" s="30" t="s">
        <v>5439</v>
      </c>
      <c r="F1359" s="34" t="n">
        <f aca="false">IFERROR(VLOOKUP($A1359,'319'!$B:$H,7,0),0)</f>
        <v>0</v>
      </c>
      <c r="G1359" s="34" t="n">
        <f aca="false">SUMIFS('12.326ana'!$C:$C,'12.326ana'!$M:$M,redes!A1359)</f>
        <v>0</v>
      </c>
    </row>
    <row r="1360" customFormat="false" ht="14.4" hidden="true" customHeight="false" outlineLevel="0" collapsed="false">
      <c r="A1360" s="34" t="n">
        <v>16754525800</v>
      </c>
      <c r="B1360" s="34" t="s">
        <v>5440</v>
      </c>
      <c r="C1360" s="34" t="s">
        <v>77</v>
      </c>
      <c r="E1360" s="30"/>
      <c r="F1360" s="34" t="n">
        <f aca="false">IFERROR(VLOOKUP($A1360,'319'!$B:$H,7,0),0)</f>
        <v>0</v>
      </c>
      <c r="G1360" s="34" t="n">
        <f aca="false">SUMIFS('12.326ana'!$C:$C,'12.326ana'!$M:$M,redes!A1360)</f>
        <v>0</v>
      </c>
    </row>
    <row r="1361" customFormat="false" ht="14.4" hidden="true" customHeight="false" outlineLevel="0" collapsed="false">
      <c r="A1361" s="34" t="n">
        <v>16981342820</v>
      </c>
      <c r="B1361" s="34" t="s">
        <v>5441</v>
      </c>
      <c r="C1361" s="34" t="s">
        <v>781</v>
      </c>
      <c r="E1361" s="30" t="s">
        <v>5442</v>
      </c>
      <c r="F1361" s="34" t="n">
        <f aca="false">IFERROR(VLOOKUP($A1361,'319'!$B:$H,7,0),0)</f>
        <v>0</v>
      </c>
      <c r="G1361" s="34" t="n">
        <f aca="false">SUMIFS('12.326ana'!$C:$C,'12.326ana'!$M:$M,redes!A1361)</f>
        <v>0</v>
      </c>
    </row>
    <row r="1362" customFormat="false" ht="14.4" hidden="true" customHeight="false" outlineLevel="0" collapsed="false">
      <c r="A1362" s="34" t="n">
        <v>17120594168</v>
      </c>
      <c r="B1362" s="34" t="s">
        <v>5443</v>
      </c>
      <c r="C1362" s="34" t="s">
        <v>77</v>
      </c>
      <c r="E1362" s="30" t="s">
        <v>5444</v>
      </c>
      <c r="F1362" s="34" t="n">
        <f aca="false">IFERROR(VLOOKUP($A1362,'319'!$B:$H,7,0),0)</f>
        <v>0</v>
      </c>
      <c r="G1362" s="34" t="n">
        <f aca="false">SUMIFS('12.326ana'!$C:$C,'12.326ana'!$M:$M,redes!A1362)</f>
        <v>0</v>
      </c>
    </row>
    <row r="1363" customFormat="false" ht="14.4" hidden="true" customHeight="false" outlineLevel="0" collapsed="false">
      <c r="A1363" s="34" t="n">
        <v>17121590115</v>
      </c>
      <c r="B1363" s="34" t="s">
        <v>5445</v>
      </c>
      <c r="C1363" s="34" t="s">
        <v>77</v>
      </c>
      <c r="E1363" s="30" t="s">
        <v>5446</v>
      </c>
      <c r="F1363" s="34" t="n">
        <f aca="false">IFERROR(VLOOKUP($A1363,'319'!$B:$H,7,0),0)</f>
        <v>0</v>
      </c>
      <c r="G1363" s="34" t="n">
        <f aca="false">SUMIFS('12.326ana'!$C:$C,'12.326ana'!$M:$M,redes!A1363)</f>
        <v>0</v>
      </c>
    </row>
    <row r="1364" customFormat="false" ht="14.4" hidden="true" customHeight="false" outlineLevel="0" collapsed="false">
      <c r="A1364" s="34" t="n">
        <v>17122465187</v>
      </c>
      <c r="B1364" s="34" t="s">
        <v>5447</v>
      </c>
      <c r="C1364" s="34" t="s">
        <v>309</v>
      </c>
      <c r="E1364" s="30" t="s">
        <v>5448</v>
      </c>
      <c r="F1364" s="34" t="n">
        <f aca="false">IFERROR(VLOOKUP($A1364,'319'!$B:$H,7,0),0)</f>
        <v>0</v>
      </c>
      <c r="G1364" s="34" t="n">
        <f aca="false">SUMIFS('12.326ana'!$C:$C,'12.326ana'!$M:$M,redes!A1364)</f>
        <v>0</v>
      </c>
    </row>
    <row r="1365" customFormat="false" ht="14.4" hidden="true" customHeight="false" outlineLevel="0" collapsed="false">
      <c r="A1365" s="34" t="n">
        <v>17124069149</v>
      </c>
      <c r="B1365" s="34" t="s">
        <v>5449</v>
      </c>
      <c r="C1365" s="34" t="s">
        <v>77</v>
      </c>
      <c r="E1365" s="30" t="s">
        <v>5450</v>
      </c>
      <c r="F1365" s="34" t="n">
        <f aca="false">IFERROR(VLOOKUP($A1365,'319'!$B:$H,7,0),0)</f>
        <v>0</v>
      </c>
      <c r="G1365" s="34" t="n">
        <f aca="false">SUMIFS('12.326ana'!$C:$C,'12.326ana'!$M:$M,redes!A1365)</f>
        <v>0</v>
      </c>
    </row>
    <row r="1366" customFormat="false" ht="14.4" hidden="true" customHeight="false" outlineLevel="0" collapsed="false">
      <c r="A1366" s="34" t="n">
        <v>17126142153</v>
      </c>
      <c r="B1366" s="34" t="s">
        <v>5451</v>
      </c>
      <c r="C1366" s="34" t="s">
        <v>77</v>
      </c>
      <c r="E1366" s="30" t="s">
        <v>5452</v>
      </c>
      <c r="F1366" s="34" t="n">
        <f aca="false">IFERROR(VLOOKUP($A1366,'319'!$B:$H,7,0),0)</f>
        <v>0</v>
      </c>
      <c r="G1366" s="34" t="n">
        <f aca="false">SUMIFS('12.326ana'!$C:$C,'12.326ana'!$M:$M,redes!A1366)</f>
        <v>0</v>
      </c>
    </row>
    <row r="1367" customFormat="false" ht="14.4" hidden="true" customHeight="false" outlineLevel="0" collapsed="false">
      <c r="A1367" s="34" t="n">
        <v>17131324191</v>
      </c>
      <c r="B1367" s="34" t="s">
        <v>5453</v>
      </c>
      <c r="C1367" s="34" t="s">
        <v>77</v>
      </c>
      <c r="E1367" s="30" t="s">
        <v>5454</v>
      </c>
      <c r="F1367" s="34" t="n">
        <f aca="false">IFERROR(VLOOKUP($A1367,'319'!$B:$H,7,0),0)</f>
        <v>0</v>
      </c>
      <c r="G1367" s="34" t="n">
        <f aca="false">SUMIFS('12.326ana'!$C:$C,'12.326ana'!$M:$M,redes!A1367)</f>
        <v>0</v>
      </c>
    </row>
    <row r="1368" customFormat="false" ht="14.4" hidden="true" customHeight="false" outlineLevel="0" collapsed="false">
      <c r="A1368" s="34" t="n">
        <v>17136407168</v>
      </c>
      <c r="B1368" s="34" t="s">
        <v>5455</v>
      </c>
      <c r="C1368" s="34" t="s">
        <v>296</v>
      </c>
      <c r="E1368" s="30" t="s">
        <v>5149</v>
      </c>
      <c r="F1368" s="34" t="n">
        <f aca="false">IFERROR(VLOOKUP($A1368,'319'!$B:$H,7,0),0)</f>
        <v>0</v>
      </c>
      <c r="G1368" s="34" t="n">
        <f aca="false">SUMIFS('12.326ana'!$C:$C,'12.326ana'!$M:$M,redes!A1368)</f>
        <v>0</v>
      </c>
    </row>
    <row r="1369" customFormat="false" ht="14.4" hidden="true" customHeight="false" outlineLevel="0" collapsed="false">
      <c r="A1369" s="34" t="n">
        <v>17139058172</v>
      </c>
      <c r="B1369" s="34" t="s">
        <v>5356</v>
      </c>
      <c r="C1369" s="34" t="s">
        <v>296</v>
      </c>
      <c r="E1369" s="30" t="s">
        <v>5456</v>
      </c>
      <c r="F1369" s="34" t="n">
        <f aca="false">IFERROR(VLOOKUP($A1369,'319'!$B:$H,7,0),0)</f>
        <v>0</v>
      </c>
      <c r="G1369" s="34" t="n">
        <f aca="false">SUMIFS('12.326ana'!$C:$C,'12.326ana'!$M:$M,redes!A1369)</f>
        <v>0</v>
      </c>
    </row>
    <row r="1370" customFormat="false" ht="14.4" hidden="true" customHeight="false" outlineLevel="0" collapsed="false">
      <c r="A1370" s="34" t="n">
        <v>17145643120</v>
      </c>
      <c r="B1370" s="34" t="s">
        <v>5457</v>
      </c>
      <c r="C1370" s="34" t="s">
        <v>77</v>
      </c>
      <c r="E1370" s="30" t="s">
        <v>4262</v>
      </c>
      <c r="F1370" s="34" t="n">
        <f aca="false">IFERROR(VLOOKUP($A1370,'319'!$B:$H,7,0),0)</f>
        <v>0</v>
      </c>
      <c r="G1370" s="34" t="n">
        <f aca="false">SUMIFS('12.326ana'!$C:$C,'12.326ana'!$M:$M,redes!A1370)</f>
        <v>0</v>
      </c>
    </row>
    <row r="1371" customFormat="false" ht="14.4" hidden="true" customHeight="false" outlineLevel="0" collapsed="false">
      <c r="A1371" s="34" t="n">
        <v>17148650100</v>
      </c>
      <c r="B1371" s="34" t="s">
        <v>5458</v>
      </c>
      <c r="C1371" s="34" t="s">
        <v>77</v>
      </c>
      <c r="E1371" s="30" t="s">
        <v>5458</v>
      </c>
      <c r="F1371" s="34" t="n">
        <f aca="false">IFERROR(VLOOKUP($A1371,'319'!$B:$H,7,0),0)</f>
        <v>0</v>
      </c>
      <c r="G1371" s="34" t="n">
        <f aca="false">SUMIFS('12.326ana'!$C:$C,'12.326ana'!$M:$M,redes!A1371)</f>
        <v>0</v>
      </c>
    </row>
    <row r="1372" customFormat="false" ht="14.4" hidden="true" customHeight="false" outlineLevel="0" collapsed="false">
      <c r="A1372" s="34" t="n">
        <v>17158532100</v>
      </c>
      <c r="B1372" s="34" t="s">
        <v>5459</v>
      </c>
      <c r="C1372" s="34" t="s">
        <v>77</v>
      </c>
      <c r="E1372" s="30" t="s">
        <v>5109</v>
      </c>
      <c r="F1372" s="34" t="n">
        <f aca="false">IFERROR(VLOOKUP($A1372,'319'!$B:$H,7,0),0)</f>
        <v>0</v>
      </c>
      <c r="G1372" s="34" t="n">
        <f aca="false">SUMIFS('12.326ana'!$C:$C,'12.326ana'!$M:$M,redes!A1372)</f>
        <v>0</v>
      </c>
    </row>
    <row r="1373" customFormat="false" ht="14.4" hidden="true" customHeight="false" outlineLevel="0" collapsed="false">
      <c r="A1373" s="34" t="n">
        <v>17169387832</v>
      </c>
      <c r="B1373" s="34" t="s">
        <v>5460</v>
      </c>
      <c r="C1373" s="34" t="s">
        <v>77</v>
      </c>
      <c r="E1373" s="30" t="s">
        <v>5461</v>
      </c>
      <c r="F1373" s="34" t="n">
        <f aca="false">IFERROR(VLOOKUP($A1373,'319'!$B:$H,7,0),0)</f>
        <v>0</v>
      </c>
      <c r="G1373" s="34" t="n">
        <f aca="false">SUMIFS('12.326ana'!$C:$C,'12.326ana'!$M:$M,redes!A1373)</f>
        <v>0</v>
      </c>
    </row>
    <row r="1374" customFormat="false" ht="14.4" hidden="true" customHeight="false" outlineLevel="0" collapsed="false">
      <c r="A1374" s="34" t="n">
        <v>17174406149</v>
      </c>
      <c r="B1374" s="34" t="s">
        <v>5462</v>
      </c>
      <c r="C1374" s="34" t="s">
        <v>77</v>
      </c>
      <c r="E1374" s="30" t="s">
        <v>5462</v>
      </c>
      <c r="F1374" s="34" t="n">
        <f aca="false">IFERROR(VLOOKUP($A1374,'319'!$B:$H,7,0),0)</f>
        <v>0</v>
      </c>
      <c r="G1374" s="34" t="n">
        <f aca="false">SUMIFS('12.326ana'!$C:$C,'12.326ana'!$M:$M,redes!A1374)</f>
        <v>0</v>
      </c>
    </row>
    <row r="1375" customFormat="false" ht="14.4" hidden="true" customHeight="false" outlineLevel="0" collapsed="false">
      <c r="A1375" s="34" t="n">
        <v>17203287149</v>
      </c>
      <c r="B1375" s="34" t="s">
        <v>5463</v>
      </c>
      <c r="C1375" s="34" t="s">
        <v>336</v>
      </c>
      <c r="E1375" s="30" t="s">
        <v>5464</v>
      </c>
      <c r="F1375" s="34" t="n">
        <f aca="false">IFERROR(VLOOKUP($A1375,'319'!$B:$H,7,0),0)</f>
        <v>0</v>
      </c>
      <c r="G1375" s="34" t="n">
        <f aca="false">SUMIFS('12.326ana'!$C:$C,'12.326ana'!$M:$M,redes!A1375)</f>
        <v>0</v>
      </c>
    </row>
    <row r="1376" customFormat="false" ht="14.4" hidden="true" customHeight="false" outlineLevel="0" collapsed="false">
      <c r="A1376" s="34" t="n">
        <v>17239220800</v>
      </c>
      <c r="B1376" s="34" t="s">
        <v>5465</v>
      </c>
      <c r="C1376" s="34" t="s">
        <v>77</v>
      </c>
      <c r="E1376" s="30" t="s">
        <v>5466</v>
      </c>
      <c r="F1376" s="34" t="n">
        <f aca="false">IFERROR(VLOOKUP($A1376,'319'!$B:$H,7,0),0)</f>
        <v>0</v>
      </c>
      <c r="G1376" s="34" t="n">
        <f aca="false">SUMIFS('12.326ana'!$C:$C,'12.326ana'!$M:$M,redes!A1376)</f>
        <v>0</v>
      </c>
    </row>
    <row r="1377" customFormat="false" ht="14.4" hidden="true" customHeight="false" outlineLevel="0" collapsed="false">
      <c r="A1377" s="34" t="n">
        <v>17280745172</v>
      </c>
      <c r="B1377" s="34" t="s">
        <v>5467</v>
      </c>
      <c r="C1377" s="34" t="s">
        <v>1272</v>
      </c>
      <c r="E1377" s="30" t="s">
        <v>5468</v>
      </c>
      <c r="F1377" s="34" t="n">
        <f aca="false">IFERROR(VLOOKUP($A1377,'319'!$B:$H,7,0),0)</f>
        <v>0</v>
      </c>
      <c r="G1377" s="34" t="n">
        <f aca="false">SUMIFS('12.326ana'!$C:$C,'12.326ana'!$M:$M,redes!A1377)</f>
        <v>0</v>
      </c>
    </row>
    <row r="1378" customFormat="false" ht="14.4" hidden="true" customHeight="false" outlineLevel="0" collapsed="false">
      <c r="A1378" s="34" t="n">
        <v>17288002934</v>
      </c>
      <c r="B1378" s="34" t="s">
        <v>5469</v>
      </c>
      <c r="C1378" s="34" t="s">
        <v>77</v>
      </c>
      <c r="E1378" s="30" t="s">
        <v>5470</v>
      </c>
      <c r="F1378" s="34" t="n">
        <f aca="false">IFERROR(VLOOKUP($A1378,'319'!$B:$H,7,0),0)</f>
        <v>0</v>
      </c>
      <c r="G1378" s="34" t="n">
        <f aca="false">SUMIFS('12.326ana'!$C:$C,'12.326ana'!$M:$M,redes!A1378)</f>
        <v>0</v>
      </c>
    </row>
    <row r="1379" customFormat="false" ht="14.4" hidden="true" customHeight="false" outlineLevel="0" collapsed="false">
      <c r="A1379" s="34" t="n">
        <v>17290538153</v>
      </c>
      <c r="B1379" s="34" t="s">
        <v>5471</v>
      </c>
      <c r="C1379" s="34" t="s">
        <v>1272</v>
      </c>
      <c r="E1379" s="30" t="s">
        <v>5472</v>
      </c>
      <c r="F1379" s="34" t="n">
        <f aca="false">IFERROR(VLOOKUP($A1379,'319'!$B:$H,7,0),0)</f>
        <v>0</v>
      </c>
      <c r="G1379" s="34" t="n">
        <f aca="false">SUMIFS('12.326ana'!$C:$C,'12.326ana'!$M:$M,redes!A1379)</f>
        <v>0</v>
      </c>
    </row>
    <row r="1380" customFormat="false" ht="14.4" hidden="true" customHeight="false" outlineLevel="0" collapsed="false">
      <c r="A1380" s="34" t="n">
        <v>17314895104</v>
      </c>
      <c r="B1380" s="34" t="s">
        <v>5473</v>
      </c>
      <c r="C1380" s="34" t="s">
        <v>77</v>
      </c>
      <c r="E1380" s="30" t="s">
        <v>5474</v>
      </c>
      <c r="F1380" s="34" t="n">
        <f aca="false">IFERROR(VLOOKUP($A1380,'319'!$B:$H,7,0),0)</f>
        <v>0</v>
      </c>
      <c r="G1380" s="34" t="n">
        <f aca="false">SUMIFS('12.326ana'!$C:$C,'12.326ana'!$M:$M,redes!A1380)</f>
        <v>0</v>
      </c>
    </row>
    <row r="1381" customFormat="false" ht="14.4" hidden="true" customHeight="false" outlineLevel="0" collapsed="false">
      <c r="A1381" s="34" t="n">
        <v>17326664153</v>
      </c>
      <c r="B1381" s="34" t="s">
        <v>5475</v>
      </c>
      <c r="C1381" s="34" t="s">
        <v>473</v>
      </c>
      <c r="E1381" s="30" t="s">
        <v>5476</v>
      </c>
      <c r="F1381" s="34" t="n">
        <f aca="false">IFERROR(VLOOKUP($A1381,'319'!$B:$H,7,0),0)</f>
        <v>0</v>
      </c>
      <c r="G1381" s="34" t="n">
        <f aca="false">SUMIFS('12.326ana'!$C:$C,'12.326ana'!$M:$M,redes!A1381)</f>
        <v>0</v>
      </c>
    </row>
    <row r="1382" customFormat="false" ht="14.4" hidden="true" customHeight="false" outlineLevel="0" collapsed="false">
      <c r="A1382" s="34" t="n">
        <v>17330155829</v>
      </c>
      <c r="B1382" s="34" t="s">
        <v>5477</v>
      </c>
      <c r="C1382" s="34" t="s">
        <v>1272</v>
      </c>
      <c r="E1382" s="30" t="s">
        <v>5030</v>
      </c>
      <c r="F1382" s="34" t="n">
        <f aca="false">IFERROR(VLOOKUP($A1382,'319'!$B:$H,7,0),0)</f>
        <v>0</v>
      </c>
      <c r="G1382" s="34" t="n">
        <f aca="false">SUMIFS('12.326ana'!$C:$C,'12.326ana'!$M:$M,redes!A1382)</f>
        <v>0</v>
      </c>
    </row>
    <row r="1383" customFormat="false" ht="14.4" hidden="true" customHeight="false" outlineLevel="0" collapsed="false">
      <c r="A1383" s="34" t="n">
        <v>17333733904</v>
      </c>
      <c r="B1383" s="34" t="s">
        <v>5478</v>
      </c>
      <c r="C1383" s="34" t="s">
        <v>77</v>
      </c>
      <c r="E1383" s="30" t="s">
        <v>5479</v>
      </c>
      <c r="F1383" s="34" t="n">
        <f aca="false">IFERROR(VLOOKUP($A1383,'319'!$B:$H,7,0),0)</f>
        <v>0</v>
      </c>
      <c r="G1383" s="34" t="n">
        <f aca="false">SUMIFS('12.326ana'!$C:$C,'12.326ana'!$M:$M,redes!A1383)</f>
        <v>0</v>
      </c>
    </row>
    <row r="1384" customFormat="false" ht="14.4" hidden="true" customHeight="false" outlineLevel="0" collapsed="false">
      <c r="A1384" s="34" t="n">
        <v>17346916115</v>
      </c>
      <c r="B1384" s="34" t="s">
        <v>5480</v>
      </c>
      <c r="C1384" s="34" t="s">
        <v>139</v>
      </c>
      <c r="E1384" s="30" t="s">
        <v>3516</v>
      </c>
      <c r="F1384" s="34" t="n">
        <f aca="false">IFERROR(VLOOKUP($A1384,'319'!$B:$H,7,0),0)</f>
        <v>0</v>
      </c>
      <c r="G1384" s="34" t="n">
        <f aca="false">SUMIFS('12.326ana'!$C:$C,'12.326ana'!$M:$M,redes!A1384)</f>
        <v>0</v>
      </c>
    </row>
    <row r="1385" customFormat="false" ht="14.4" hidden="true" customHeight="false" outlineLevel="0" collapsed="false">
      <c r="A1385" s="34" t="n">
        <v>17374405120</v>
      </c>
      <c r="B1385" s="34" t="s">
        <v>5481</v>
      </c>
      <c r="C1385" s="34" t="s">
        <v>77</v>
      </c>
      <c r="E1385" s="30" t="s">
        <v>3788</v>
      </c>
      <c r="F1385" s="34" t="n">
        <f aca="false">IFERROR(VLOOKUP($A1385,'319'!$B:$H,7,0),0)</f>
        <v>0</v>
      </c>
      <c r="G1385" s="34" t="n">
        <f aca="false">SUMIFS('12.326ana'!$C:$C,'12.326ana'!$M:$M,redes!A1385)</f>
        <v>0</v>
      </c>
    </row>
    <row r="1386" customFormat="false" ht="14.4" hidden="true" customHeight="false" outlineLevel="0" collapsed="false">
      <c r="A1386" s="34" t="n">
        <v>17374570163</v>
      </c>
      <c r="B1386" s="34" t="s">
        <v>5482</v>
      </c>
      <c r="C1386" s="34" t="s">
        <v>77</v>
      </c>
      <c r="E1386" s="30" t="s">
        <v>5483</v>
      </c>
      <c r="F1386" s="34" t="n">
        <f aca="false">IFERROR(VLOOKUP($A1386,'319'!$B:$H,7,0),0)</f>
        <v>0</v>
      </c>
      <c r="G1386" s="34" t="n">
        <f aca="false">SUMIFS('12.326ana'!$C:$C,'12.326ana'!$M:$M,redes!A1386)</f>
        <v>0</v>
      </c>
    </row>
    <row r="1387" customFormat="false" ht="14.4" hidden="true" customHeight="false" outlineLevel="0" collapsed="false">
      <c r="A1387" s="34" t="n">
        <v>17378303100</v>
      </c>
      <c r="B1387" s="34" t="s">
        <v>5484</v>
      </c>
      <c r="C1387" s="34" t="s">
        <v>77</v>
      </c>
      <c r="E1387" s="30" t="s">
        <v>5485</v>
      </c>
      <c r="F1387" s="34" t="n">
        <f aca="false">IFERROR(VLOOKUP($A1387,'319'!$B:$H,7,0),0)</f>
        <v>0</v>
      </c>
      <c r="G1387" s="34" t="n">
        <f aca="false">SUMIFS('12.326ana'!$C:$C,'12.326ana'!$M:$M,redes!A1387)</f>
        <v>0</v>
      </c>
    </row>
    <row r="1388" customFormat="false" ht="14.4" hidden="true" customHeight="false" outlineLevel="0" collapsed="false">
      <c r="A1388" s="34" t="n">
        <v>17379024191</v>
      </c>
      <c r="B1388" s="34" t="s">
        <v>5486</v>
      </c>
      <c r="C1388" s="34" t="s">
        <v>77</v>
      </c>
      <c r="E1388" s="30"/>
      <c r="F1388" s="34" t="n">
        <f aca="false">IFERROR(VLOOKUP($A1388,'319'!$B:$H,7,0),0)</f>
        <v>0</v>
      </c>
      <c r="G1388" s="34" t="n">
        <f aca="false">SUMIFS('12.326ana'!$C:$C,'12.326ana'!$M:$M,redes!A1388)</f>
        <v>0</v>
      </c>
    </row>
    <row r="1389" customFormat="false" ht="14.4" hidden="true" customHeight="false" outlineLevel="0" collapsed="false">
      <c r="A1389" s="34" t="n">
        <v>17384656168</v>
      </c>
      <c r="B1389" s="34" t="s">
        <v>5487</v>
      </c>
      <c r="C1389" s="34" t="s">
        <v>77</v>
      </c>
      <c r="E1389" s="30" t="s">
        <v>5488</v>
      </c>
      <c r="F1389" s="34" t="n">
        <f aca="false">IFERROR(VLOOKUP($A1389,'319'!$B:$H,7,0),0)</f>
        <v>0</v>
      </c>
      <c r="G1389" s="34" t="n">
        <f aca="false">SUMIFS('12.326ana'!$C:$C,'12.326ana'!$M:$M,redes!A1389)</f>
        <v>0</v>
      </c>
    </row>
    <row r="1390" customFormat="false" ht="14.4" hidden="true" customHeight="false" outlineLevel="0" collapsed="false">
      <c r="A1390" s="34" t="n">
        <v>17385300197</v>
      </c>
      <c r="B1390" s="34" t="s">
        <v>5489</v>
      </c>
      <c r="C1390" s="34" t="s">
        <v>77</v>
      </c>
      <c r="E1390" s="30" t="s">
        <v>5490</v>
      </c>
      <c r="F1390" s="34" t="n">
        <f aca="false">IFERROR(VLOOKUP($A1390,'319'!$B:$H,7,0),0)</f>
        <v>0</v>
      </c>
      <c r="G1390" s="34" t="n">
        <f aca="false">SUMIFS('12.326ana'!$C:$C,'12.326ana'!$M:$M,redes!A1390)</f>
        <v>0</v>
      </c>
    </row>
    <row r="1391" customFormat="false" ht="14.4" hidden="true" customHeight="false" outlineLevel="0" collapsed="false">
      <c r="A1391" s="34" t="n">
        <v>17387965153</v>
      </c>
      <c r="B1391" s="34" t="s">
        <v>5491</v>
      </c>
      <c r="C1391" s="34" t="s">
        <v>77</v>
      </c>
      <c r="E1391" s="30" t="s">
        <v>5492</v>
      </c>
      <c r="F1391" s="34" t="n">
        <f aca="false">IFERROR(VLOOKUP($A1391,'319'!$B:$H,7,0),0)</f>
        <v>0</v>
      </c>
      <c r="G1391" s="34" t="n">
        <f aca="false">SUMIFS('12.326ana'!$C:$C,'12.326ana'!$M:$M,redes!A1391)</f>
        <v>0</v>
      </c>
    </row>
    <row r="1392" customFormat="false" ht="14.4" hidden="true" customHeight="false" outlineLevel="0" collapsed="false">
      <c r="A1392" s="34" t="n">
        <v>17424739115</v>
      </c>
      <c r="B1392" s="34" t="s">
        <v>5493</v>
      </c>
      <c r="C1392" s="34" t="s">
        <v>464</v>
      </c>
      <c r="E1392" s="30" t="s">
        <v>5494</v>
      </c>
      <c r="F1392" s="34" t="n">
        <f aca="false">IFERROR(VLOOKUP($A1392,'319'!$B:$H,7,0),0)</f>
        <v>0</v>
      </c>
      <c r="G1392" s="34" t="n">
        <f aca="false">SUMIFS('12.326ana'!$C:$C,'12.326ana'!$M:$M,redes!A1392)</f>
        <v>0</v>
      </c>
    </row>
    <row r="1393" customFormat="false" ht="14.4" hidden="true" customHeight="false" outlineLevel="0" collapsed="false">
      <c r="A1393" s="34" t="n">
        <v>17428181100</v>
      </c>
      <c r="B1393" s="34" t="s">
        <v>5495</v>
      </c>
      <c r="C1393" s="34" t="s">
        <v>107</v>
      </c>
      <c r="E1393" s="30" t="s">
        <v>5496</v>
      </c>
      <c r="F1393" s="34" t="n">
        <f aca="false">IFERROR(VLOOKUP($A1393,'319'!$B:$H,7,0),0)</f>
        <v>0</v>
      </c>
      <c r="G1393" s="34" t="n">
        <f aca="false">SUMIFS('12.326ana'!$C:$C,'12.326ana'!$M:$M,redes!A1393)</f>
        <v>0</v>
      </c>
    </row>
    <row r="1394" customFormat="false" ht="14.4" hidden="true" customHeight="false" outlineLevel="0" collapsed="false">
      <c r="A1394" s="34" t="n">
        <v>17428939100</v>
      </c>
      <c r="B1394" s="34" t="s">
        <v>5497</v>
      </c>
      <c r="C1394" s="34" t="s">
        <v>107</v>
      </c>
      <c r="E1394" s="30" t="s">
        <v>5498</v>
      </c>
      <c r="F1394" s="34" t="n">
        <f aca="false">IFERROR(VLOOKUP($A1394,'319'!$B:$H,7,0),0)</f>
        <v>0</v>
      </c>
      <c r="G1394" s="34" t="n">
        <f aca="false">SUMIFS('12.326ana'!$C:$C,'12.326ana'!$M:$M,redes!A1394)</f>
        <v>0</v>
      </c>
    </row>
    <row r="1395" customFormat="false" ht="14.4" hidden="true" customHeight="false" outlineLevel="0" collapsed="false">
      <c r="A1395" s="34" t="n">
        <v>17434688149</v>
      </c>
      <c r="B1395" s="34" t="s">
        <v>5499</v>
      </c>
      <c r="C1395" s="34" t="s">
        <v>77</v>
      </c>
      <c r="E1395" s="30" t="s">
        <v>5500</v>
      </c>
      <c r="F1395" s="34" t="n">
        <f aca="false">IFERROR(VLOOKUP($A1395,'319'!$B:$H,7,0),0)</f>
        <v>0</v>
      </c>
      <c r="G1395" s="34" t="n">
        <f aca="false">SUMIFS('12.326ana'!$C:$C,'12.326ana'!$M:$M,redes!A1395)</f>
        <v>0</v>
      </c>
    </row>
    <row r="1396" customFormat="false" ht="14.4" hidden="true" customHeight="false" outlineLevel="0" collapsed="false">
      <c r="A1396" s="34" t="n">
        <v>17439140915</v>
      </c>
      <c r="B1396" s="34" t="s">
        <v>5501</v>
      </c>
      <c r="C1396" s="34" t="s">
        <v>309</v>
      </c>
      <c r="E1396" s="30" t="s">
        <v>5502</v>
      </c>
      <c r="F1396" s="34" t="n">
        <f aca="false">IFERROR(VLOOKUP($A1396,'319'!$B:$H,7,0),0)</f>
        <v>0</v>
      </c>
      <c r="G1396" s="34" t="n">
        <f aca="false">SUMIFS('12.326ana'!$C:$C,'12.326ana'!$M:$M,redes!A1396)</f>
        <v>0</v>
      </c>
    </row>
    <row r="1397" customFormat="false" ht="14.4" hidden="true" customHeight="false" outlineLevel="0" collapsed="false">
      <c r="A1397" s="34" t="n">
        <v>17459184187</v>
      </c>
      <c r="B1397" s="34" t="s">
        <v>5503</v>
      </c>
      <c r="C1397" s="34" t="s">
        <v>979</v>
      </c>
      <c r="E1397" s="30" t="s">
        <v>5504</v>
      </c>
      <c r="F1397" s="34" t="n">
        <f aca="false">IFERROR(VLOOKUP($A1397,'319'!$B:$H,7,0),0)</f>
        <v>0</v>
      </c>
      <c r="G1397" s="34" t="n">
        <f aca="false">SUMIFS('12.326ana'!$C:$C,'12.326ana'!$M:$M,redes!A1397)</f>
        <v>0</v>
      </c>
    </row>
    <row r="1398" customFormat="false" ht="14.4" hidden="true" customHeight="false" outlineLevel="0" collapsed="false">
      <c r="A1398" s="34" t="n">
        <v>17459206172</v>
      </c>
      <c r="B1398" s="34" t="s">
        <v>5505</v>
      </c>
      <c r="C1398" s="34" t="s">
        <v>604</v>
      </c>
      <c r="E1398" s="30" t="s">
        <v>5506</v>
      </c>
      <c r="F1398" s="34" t="n">
        <f aca="false">IFERROR(VLOOKUP($A1398,'319'!$B:$H,7,0),0)</f>
        <v>0</v>
      </c>
      <c r="G1398" s="34" t="n">
        <f aca="false">SUMIFS('12.326ana'!$C:$C,'12.326ana'!$M:$M,redes!A1398)</f>
        <v>0</v>
      </c>
    </row>
    <row r="1399" customFormat="false" ht="14.4" hidden="true" customHeight="false" outlineLevel="0" collapsed="false">
      <c r="A1399" s="34" t="n">
        <v>17461782134</v>
      </c>
      <c r="B1399" s="34" t="s">
        <v>5507</v>
      </c>
      <c r="C1399" s="34" t="s">
        <v>713</v>
      </c>
      <c r="E1399" s="30" t="s">
        <v>5508</v>
      </c>
      <c r="F1399" s="34" t="n">
        <f aca="false">IFERROR(VLOOKUP($A1399,'319'!$B:$H,7,0),0)</f>
        <v>0</v>
      </c>
      <c r="G1399" s="34" t="n">
        <f aca="false">SUMIFS('12.326ana'!$C:$C,'12.326ana'!$M:$M,redes!A1399)</f>
        <v>0</v>
      </c>
    </row>
    <row r="1400" customFormat="false" ht="14.4" hidden="true" customHeight="false" outlineLevel="0" collapsed="false">
      <c r="A1400" s="34" t="n">
        <v>17468027153</v>
      </c>
      <c r="B1400" s="34" t="s">
        <v>5509</v>
      </c>
      <c r="C1400" s="34" t="s">
        <v>107</v>
      </c>
      <c r="E1400" s="30" t="s">
        <v>5510</v>
      </c>
      <c r="F1400" s="34" t="n">
        <f aca="false">IFERROR(VLOOKUP($A1400,'319'!$B:$H,7,0),0)</f>
        <v>0</v>
      </c>
      <c r="G1400" s="34" t="n">
        <f aca="false">SUMIFS('12.326ana'!$C:$C,'12.326ana'!$M:$M,redes!A1400)</f>
        <v>0</v>
      </c>
    </row>
    <row r="1401" customFormat="false" ht="14.4" hidden="true" customHeight="false" outlineLevel="0" collapsed="false">
      <c r="A1401" s="34" t="n">
        <v>17470544100</v>
      </c>
      <c r="B1401" s="34" t="s">
        <v>5511</v>
      </c>
      <c r="C1401" s="34" t="s">
        <v>107</v>
      </c>
      <c r="E1401" s="30" t="s">
        <v>5512</v>
      </c>
      <c r="F1401" s="34" t="n">
        <f aca="false">IFERROR(VLOOKUP($A1401,'319'!$B:$H,7,0),0)</f>
        <v>0</v>
      </c>
      <c r="G1401" s="34" t="n">
        <f aca="false">SUMIFS('12.326ana'!$C:$C,'12.326ana'!$M:$M,redes!A1401)</f>
        <v>0</v>
      </c>
    </row>
    <row r="1402" customFormat="false" ht="14.4" hidden="true" customHeight="false" outlineLevel="0" collapsed="false">
      <c r="A1402" s="34" t="n">
        <v>17471729104</v>
      </c>
      <c r="B1402" s="34" t="s">
        <v>5513</v>
      </c>
      <c r="C1402" s="34" t="s">
        <v>107</v>
      </c>
      <c r="E1402" s="30" t="s">
        <v>5514</v>
      </c>
      <c r="F1402" s="34" t="n">
        <f aca="false">IFERROR(VLOOKUP($A1402,'319'!$B:$H,7,0),0)</f>
        <v>0</v>
      </c>
      <c r="G1402" s="34" t="n">
        <f aca="false">SUMIFS('12.326ana'!$C:$C,'12.326ana'!$M:$M,redes!A1402)</f>
        <v>0</v>
      </c>
    </row>
    <row r="1403" customFormat="false" ht="14.4" hidden="true" customHeight="false" outlineLevel="0" collapsed="false">
      <c r="A1403" s="34" t="n">
        <v>17477976855</v>
      </c>
      <c r="B1403" s="34" t="s">
        <v>5515</v>
      </c>
      <c r="C1403" s="34" t="s">
        <v>77</v>
      </c>
      <c r="E1403" s="30" t="s">
        <v>5516</v>
      </c>
      <c r="F1403" s="34" t="n">
        <f aca="false">IFERROR(VLOOKUP($A1403,'319'!$B:$H,7,0),0)</f>
        <v>0</v>
      </c>
      <c r="G1403" s="34" t="n">
        <f aca="false">SUMIFS('12.326ana'!$C:$C,'12.326ana'!$M:$M,redes!A1403)</f>
        <v>0</v>
      </c>
    </row>
    <row r="1404" customFormat="false" ht="14.4" hidden="true" customHeight="false" outlineLevel="0" collapsed="false">
      <c r="A1404" s="34" t="n">
        <v>17490138191</v>
      </c>
      <c r="B1404" s="34" t="s">
        <v>5517</v>
      </c>
      <c r="C1404" s="34" t="s">
        <v>77</v>
      </c>
      <c r="E1404" s="30" t="s">
        <v>5518</v>
      </c>
      <c r="F1404" s="34" t="n">
        <f aca="false">IFERROR(VLOOKUP($A1404,'319'!$B:$H,7,0),0)</f>
        <v>0</v>
      </c>
      <c r="G1404" s="34" t="n">
        <f aca="false">SUMIFS('12.326ana'!$C:$C,'12.326ana'!$M:$M,redes!A1404)</f>
        <v>0</v>
      </c>
    </row>
    <row r="1405" customFormat="false" ht="14.4" hidden="true" customHeight="false" outlineLevel="0" collapsed="false">
      <c r="A1405" s="34" t="n">
        <v>17490472172</v>
      </c>
      <c r="B1405" s="34" t="s">
        <v>5519</v>
      </c>
      <c r="C1405" s="34" t="s">
        <v>129</v>
      </c>
      <c r="E1405" s="30" t="s">
        <v>5520</v>
      </c>
      <c r="F1405" s="34" t="n">
        <f aca="false">IFERROR(VLOOKUP($A1405,'319'!$B:$H,7,0),0)</f>
        <v>0</v>
      </c>
      <c r="G1405" s="34" t="n">
        <f aca="false">SUMIFS('12.326ana'!$C:$C,'12.326ana'!$M:$M,redes!A1405)</f>
        <v>0</v>
      </c>
    </row>
    <row r="1406" customFormat="false" ht="14.4" hidden="true" customHeight="false" outlineLevel="0" collapsed="false">
      <c r="A1406" s="34" t="n">
        <v>17491592104</v>
      </c>
      <c r="B1406" s="34" t="s">
        <v>5521</v>
      </c>
      <c r="C1406" s="34" t="s">
        <v>77</v>
      </c>
      <c r="E1406" s="30" t="s">
        <v>5521</v>
      </c>
      <c r="F1406" s="34" t="n">
        <f aca="false">IFERROR(VLOOKUP($A1406,'319'!$B:$H,7,0),0)</f>
        <v>0</v>
      </c>
      <c r="G1406" s="34" t="n">
        <f aca="false">SUMIFS('12.326ana'!$C:$C,'12.326ana'!$M:$M,redes!A1406)</f>
        <v>0</v>
      </c>
    </row>
    <row r="1407" customFormat="false" ht="14.4" hidden="true" customHeight="false" outlineLevel="0" collapsed="false">
      <c r="A1407" s="34" t="n">
        <v>17495547120</v>
      </c>
      <c r="B1407" s="34" t="s">
        <v>5522</v>
      </c>
      <c r="C1407" s="34" t="s">
        <v>77</v>
      </c>
      <c r="E1407" s="30" t="s">
        <v>5523</v>
      </c>
      <c r="F1407" s="34" t="n">
        <f aca="false">IFERROR(VLOOKUP($A1407,'319'!$B:$H,7,0),0)</f>
        <v>0</v>
      </c>
      <c r="G1407" s="34" t="n">
        <f aca="false">SUMIFS('12.326ana'!$C:$C,'12.326ana'!$M:$M,redes!A1407)</f>
        <v>0</v>
      </c>
    </row>
    <row r="1408" customFormat="false" ht="14.4" hidden="true" customHeight="false" outlineLevel="0" collapsed="false">
      <c r="A1408" s="34" t="n">
        <v>17505194100</v>
      </c>
      <c r="B1408" s="34" t="s">
        <v>5524</v>
      </c>
      <c r="C1408" s="34" t="s">
        <v>77</v>
      </c>
      <c r="E1408" s="30"/>
      <c r="F1408" s="34" t="n">
        <f aca="false">IFERROR(VLOOKUP($A1408,'319'!$B:$H,7,0),0)</f>
        <v>0</v>
      </c>
      <c r="G1408" s="34" t="n">
        <f aca="false">SUMIFS('12.326ana'!$C:$C,'12.326ana'!$M:$M,redes!A1408)</f>
        <v>0</v>
      </c>
    </row>
    <row r="1409" customFormat="false" ht="14.4" hidden="true" customHeight="false" outlineLevel="0" collapsed="false">
      <c r="A1409" s="34" t="n">
        <v>17506786168</v>
      </c>
      <c r="B1409" s="34" t="s">
        <v>5525</v>
      </c>
      <c r="C1409" s="34" t="s">
        <v>77</v>
      </c>
      <c r="E1409" s="30" t="s">
        <v>3158</v>
      </c>
      <c r="F1409" s="34" t="n">
        <f aca="false">IFERROR(VLOOKUP($A1409,'319'!$B:$H,7,0),0)</f>
        <v>0</v>
      </c>
      <c r="G1409" s="34" t="n">
        <f aca="false">SUMIFS('12.326ana'!$C:$C,'12.326ana'!$M:$M,redes!A1409)</f>
        <v>0</v>
      </c>
    </row>
    <row r="1410" customFormat="false" ht="14.4" hidden="true" customHeight="false" outlineLevel="0" collapsed="false">
      <c r="A1410" s="34" t="n">
        <v>17509599172</v>
      </c>
      <c r="B1410" s="34" t="s">
        <v>5526</v>
      </c>
      <c r="C1410" s="34" t="s">
        <v>77</v>
      </c>
      <c r="E1410" s="30" t="s">
        <v>5527</v>
      </c>
      <c r="F1410" s="34" t="n">
        <f aca="false">IFERROR(VLOOKUP($A1410,'319'!$B:$H,7,0),0)</f>
        <v>0</v>
      </c>
      <c r="G1410" s="34" t="n">
        <f aca="false">SUMIFS('12.326ana'!$C:$C,'12.326ana'!$M:$M,redes!A1410)</f>
        <v>0</v>
      </c>
    </row>
    <row r="1411" customFormat="false" ht="14.4" hidden="true" customHeight="false" outlineLevel="0" collapsed="false">
      <c r="A1411" s="34" t="n">
        <v>17514614168</v>
      </c>
      <c r="B1411" s="34" t="s">
        <v>5528</v>
      </c>
      <c r="C1411" s="34" t="s">
        <v>77</v>
      </c>
      <c r="E1411" s="30" t="s">
        <v>5529</v>
      </c>
      <c r="F1411" s="34" t="n">
        <f aca="false">IFERROR(VLOOKUP($A1411,'319'!$B:$H,7,0),0)</f>
        <v>0</v>
      </c>
      <c r="G1411" s="34" t="n">
        <f aca="false">SUMIFS('12.326ana'!$C:$C,'12.326ana'!$M:$M,redes!A1411)</f>
        <v>0</v>
      </c>
    </row>
    <row r="1412" customFormat="false" ht="14.4" hidden="true" customHeight="false" outlineLevel="0" collapsed="false">
      <c r="A1412" s="34" t="n">
        <v>17518016168</v>
      </c>
      <c r="B1412" s="34" t="s">
        <v>5530</v>
      </c>
      <c r="C1412" s="34" t="s">
        <v>77</v>
      </c>
      <c r="E1412" s="30" t="s">
        <v>5531</v>
      </c>
      <c r="F1412" s="34" t="n">
        <f aca="false">IFERROR(VLOOKUP($A1412,'319'!$B:$H,7,0),0)</f>
        <v>0</v>
      </c>
      <c r="G1412" s="34" t="n">
        <f aca="false">SUMIFS('12.326ana'!$C:$C,'12.326ana'!$M:$M,redes!A1412)</f>
        <v>0</v>
      </c>
    </row>
    <row r="1413" customFormat="false" ht="14.4" hidden="true" customHeight="false" outlineLevel="0" collapsed="false">
      <c r="A1413" s="34" t="n">
        <v>17522650178</v>
      </c>
      <c r="B1413" s="34" t="s">
        <v>5532</v>
      </c>
      <c r="C1413" s="34" t="s">
        <v>103</v>
      </c>
      <c r="E1413" s="30" t="s">
        <v>5533</v>
      </c>
      <c r="F1413" s="34" t="n">
        <f aca="false">IFERROR(VLOOKUP($A1413,'319'!$B:$H,7,0),0)</f>
        <v>0</v>
      </c>
      <c r="G1413" s="34" t="n">
        <f aca="false">SUMIFS('12.326ana'!$C:$C,'12.326ana'!$M:$M,redes!A1413)</f>
        <v>0</v>
      </c>
    </row>
    <row r="1414" customFormat="false" ht="14.4" hidden="true" customHeight="false" outlineLevel="0" collapsed="false">
      <c r="A1414" s="34" t="n">
        <v>17525268134</v>
      </c>
      <c r="B1414" s="34" t="s">
        <v>5534</v>
      </c>
      <c r="C1414" s="34" t="s">
        <v>713</v>
      </c>
      <c r="E1414" s="30" t="s">
        <v>5535</v>
      </c>
      <c r="F1414" s="34" t="n">
        <f aca="false">IFERROR(VLOOKUP($A1414,'319'!$B:$H,7,0),0)</f>
        <v>0</v>
      </c>
      <c r="G1414" s="34" t="n">
        <f aca="false">SUMIFS('12.326ana'!$C:$C,'12.326ana'!$M:$M,redes!A1414)</f>
        <v>0</v>
      </c>
    </row>
    <row r="1415" customFormat="false" ht="14.4" hidden="true" customHeight="false" outlineLevel="0" collapsed="false">
      <c r="A1415" s="34" t="n">
        <v>17527805153</v>
      </c>
      <c r="B1415" s="34" t="s">
        <v>5536</v>
      </c>
      <c r="C1415" s="34" t="s">
        <v>77</v>
      </c>
      <c r="E1415" s="30" t="s">
        <v>3297</v>
      </c>
      <c r="F1415" s="34" t="n">
        <f aca="false">IFERROR(VLOOKUP($A1415,'319'!$B:$H,7,0),0)</f>
        <v>0</v>
      </c>
      <c r="G1415" s="34" t="n">
        <f aca="false">SUMIFS('12.326ana'!$C:$C,'12.326ana'!$M:$M,redes!A1415)</f>
        <v>0</v>
      </c>
    </row>
    <row r="1416" customFormat="false" ht="14.4" hidden="true" customHeight="false" outlineLevel="0" collapsed="false">
      <c r="A1416" s="34" t="n">
        <v>17534674115</v>
      </c>
      <c r="B1416" s="34" t="s">
        <v>5537</v>
      </c>
      <c r="C1416" s="34" t="s">
        <v>77</v>
      </c>
      <c r="E1416" s="30" t="s">
        <v>5538</v>
      </c>
      <c r="F1416" s="34" t="n">
        <f aca="false">IFERROR(VLOOKUP($A1416,'319'!$B:$H,7,0),0)</f>
        <v>0</v>
      </c>
      <c r="G1416" s="34" t="n">
        <f aca="false">SUMIFS('12.326ana'!$C:$C,'12.326ana'!$M:$M,redes!A1416)</f>
        <v>0</v>
      </c>
    </row>
    <row r="1417" customFormat="false" ht="14.4" hidden="true" customHeight="false" outlineLevel="0" collapsed="false">
      <c r="A1417" s="34" t="n">
        <v>17538556168</v>
      </c>
      <c r="B1417" s="34" t="s">
        <v>5539</v>
      </c>
      <c r="C1417" s="34" t="s">
        <v>77</v>
      </c>
      <c r="E1417" s="30" t="s">
        <v>5540</v>
      </c>
      <c r="F1417" s="34" t="n">
        <f aca="false">IFERROR(VLOOKUP($A1417,'319'!$B:$H,7,0),0)</f>
        <v>0</v>
      </c>
      <c r="G1417" s="34" t="n">
        <f aca="false">SUMIFS('12.326ana'!$C:$C,'12.326ana'!$M:$M,redes!A1417)</f>
        <v>0</v>
      </c>
    </row>
    <row r="1418" customFormat="false" ht="14.4" hidden="true" customHeight="false" outlineLevel="0" collapsed="false">
      <c r="A1418" s="34" t="n">
        <v>17545536134</v>
      </c>
      <c r="B1418" s="34" t="s">
        <v>5541</v>
      </c>
      <c r="C1418" s="34" t="s">
        <v>77</v>
      </c>
      <c r="E1418" s="30" t="s">
        <v>3902</v>
      </c>
      <c r="F1418" s="34" t="n">
        <f aca="false">IFERROR(VLOOKUP($A1418,'319'!$B:$H,7,0),0)</f>
        <v>0</v>
      </c>
      <c r="G1418" s="34" t="n">
        <f aca="false">SUMIFS('12.326ana'!$C:$C,'12.326ana'!$M:$M,redes!A1418)</f>
        <v>0</v>
      </c>
    </row>
    <row r="1419" customFormat="false" ht="14.4" hidden="true" customHeight="false" outlineLevel="0" collapsed="false">
      <c r="A1419" s="34" t="n">
        <v>17551528172</v>
      </c>
      <c r="B1419" s="34" t="s">
        <v>5542</v>
      </c>
      <c r="C1419" s="34" t="s">
        <v>77</v>
      </c>
      <c r="E1419" s="30" t="s">
        <v>5543</v>
      </c>
      <c r="F1419" s="34" t="n">
        <f aca="false">IFERROR(VLOOKUP($A1419,'319'!$B:$H,7,0),0)</f>
        <v>0</v>
      </c>
      <c r="G1419" s="34" t="n">
        <f aca="false">SUMIFS('12.326ana'!$C:$C,'12.326ana'!$M:$M,redes!A1419)</f>
        <v>0</v>
      </c>
    </row>
    <row r="1420" customFormat="false" ht="14.4" hidden="true" customHeight="false" outlineLevel="0" collapsed="false">
      <c r="A1420" s="34" t="n">
        <v>17562465134</v>
      </c>
      <c r="B1420" s="34" t="s">
        <v>5544</v>
      </c>
      <c r="C1420" s="34" t="s">
        <v>197</v>
      </c>
      <c r="E1420" s="30" t="s">
        <v>5545</v>
      </c>
      <c r="F1420" s="34" t="n">
        <f aca="false">IFERROR(VLOOKUP($A1420,'319'!$B:$H,7,0),0)</f>
        <v>0</v>
      </c>
      <c r="G1420" s="34" t="n">
        <f aca="false">SUMIFS('12.326ana'!$C:$C,'12.326ana'!$M:$M,redes!A1420)</f>
        <v>0</v>
      </c>
    </row>
    <row r="1421" customFormat="false" ht="14.4" hidden="true" customHeight="false" outlineLevel="0" collapsed="false">
      <c r="A1421" s="34" t="n">
        <v>17569257120</v>
      </c>
      <c r="B1421" s="34" t="s">
        <v>5546</v>
      </c>
      <c r="C1421" s="34" t="s">
        <v>77</v>
      </c>
      <c r="E1421" s="30" t="s">
        <v>3632</v>
      </c>
      <c r="F1421" s="34" t="n">
        <f aca="false">IFERROR(VLOOKUP($A1421,'319'!$B:$H,7,0),0)</f>
        <v>0</v>
      </c>
      <c r="G1421" s="34" t="n">
        <f aca="false">SUMIFS('12.326ana'!$C:$C,'12.326ana'!$M:$M,redes!A1421)</f>
        <v>0</v>
      </c>
    </row>
    <row r="1422" customFormat="false" ht="14.4" hidden="true" customHeight="false" outlineLevel="0" collapsed="false">
      <c r="A1422" s="34" t="n">
        <v>17572207120</v>
      </c>
      <c r="B1422" s="34" t="s">
        <v>5547</v>
      </c>
      <c r="C1422" s="34" t="s">
        <v>77</v>
      </c>
      <c r="E1422" s="30" t="s">
        <v>5548</v>
      </c>
      <c r="F1422" s="34" t="n">
        <f aca="false">IFERROR(VLOOKUP($A1422,'319'!$B:$H,7,0),0)</f>
        <v>0</v>
      </c>
      <c r="G1422" s="34" t="n">
        <f aca="false">SUMIFS('12.326ana'!$C:$C,'12.326ana'!$M:$M,redes!A1422)</f>
        <v>0</v>
      </c>
    </row>
    <row r="1423" customFormat="false" ht="14.4" hidden="true" customHeight="false" outlineLevel="0" collapsed="false">
      <c r="A1423" s="34" t="n">
        <v>17577845191</v>
      </c>
      <c r="B1423" s="34" t="s">
        <v>5549</v>
      </c>
      <c r="C1423" s="34" t="s">
        <v>213</v>
      </c>
      <c r="E1423" s="30" t="s">
        <v>5550</v>
      </c>
      <c r="F1423" s="34" t="n">
        <f aca="false">IFERROR(VLOOKUP($A1423,'319'!$B:$H,7,0),0)</f>
        <v>0</v>
      </c>
      <c r="G1423" s="34" t="n">
        <f aca="false">SUMIFS('12.326ana'!$C:$C,'12.326ana'!$M:$M,redes!A1423)</f>
        <v>0</v>
      </c>
    </row>
    <row r="1424" customFormat="false" ht="14.4" hidden="true" customHeight="false" outlineLevel="0" collapsed="false">
      <c r="A1424" s="34" t="n">
        <v>17594677153</v>
      </c>
      <c r="B1424" s="34" t="s">
        <v>5551</v>
      </c>
      <c r="C1424" s="34" t="s">
        <v>77</v>
      </c>
      <c r="E1424" s="30"/>
      <c r="F1424" s="34" t="n">
        <f aca="false">IFERROR(VLOOKUP($A1424,'319'!$B:$H,7,0),0)</f>
        <v>0</v>
      </c>
      <c r="G1424" s="34" t="n">
        <f aca="false">SUMIFS('12.326ana'!$C:$C,'12.326ana'!$M:$M,redes!A1424)</f>
        <v>0</v>
      </c>
    </row>
    <row r="1425" customFormat="false" ht="14.4" hidden="true" customHeight="false" outlineLevel="0" collapsed="false">
      <c r="A1425" s="34" t="n">
        <v>17612659115</v>
      </c>
      <c r="B1425" s="34" t="s">
        <v>5552</v>
      </c>
      <c r="C1425" s="34" t="s">
        <v>377</v>
      </c>
      <c r="E1425" s="30"/>
      <c r="F1425" s="34" t="n">
        <f aca="false">IFERROR(VLOOKUP($A1425,'319'!$B:$H,7,0),0)</f>
        <v>0</v>
      </c>
      <c r="G1425" s="34" t="n">
        <f aca="false">SUMIFS('12.326ana'!$C:$C,'12.326ana'!$M:$M,redes!A1425)</f>
        <v>0</v>
      </c>
    </row>
    <row r="1426" customFormat="false" ht="14.4" hidden="true" customHeight="false" outlineLevel="0" collapsed="false">
      <c r="A1426" s="34" t="n">
        <v>17616700187</v>
      </c>
      <c r="B1426" s="34" t="s">
        <v>5553</v>
      </c>
      <c r="C1426" s="34" t="s">
        <v>77</v>
      </c>
      <c r="E1426" s="30" t="s">
        <v>5554</v>
      </c>
      <c r="F1426" s="34" t="n">
        <f aca="false">IFERROR(VLOOKUP($A1426,'319'!$B:$H,7,0),0)</f>
        <v>0</v>
      </c>
      <c r="G1426" s="34" t="n">
        <f aca="false">SUMIFS('12.326ana'!$C:$C,'12.326ana'!$M:$M,redes!A1426)</f>
        <v>0</v>
      </c>
    </row>
    <row r="1427" customFormat="false" ht="14.4" hidden="true" customHeight="false" outlineLevel="0" collapsed="false">
      <c r="A1427" s="34" t="n">
        <v>17629624115</v>
      </c>
      <c r="B1427" s="34" t="s">
        <v>5555</v>
      </c>
      <c r="C1427" s="34" t="s">
        <v>77</v>
      </c>
      <c r="E1427" s="30" t="s">
        <v>5556</v>
      </c>
      <c r="F1427" s="34" t="n">
        <f aca="false">IFERROR(VLOOKUP($A1427,'319'!$B:$H,7,0),0)</f>
        <v>0</v>
      </c>
      <c r="G1427" s="34" t="n">
        <f aca="false">SUMIFS('12.326ana'!$C:$C,'12.326ana'!$M:$M,redes!A1427)</f>
        <v>0</v>
      </c>
    </row>
    <row r="1428" customFormat="false" ht="14.4" hidden="true" customHeight="false" outlineLevel="0" collapsed="false">
      <c r="A1428" s="34" t="n">
        <v>17635659120</v>
      </c>
      <c r="B1428" s="34" t="s">
        <v>5557</v>
      </c>
      <c r="C1428" s="34" t="s">
        <v>107</v>
      </c>
      <c r="E1428" s="30" t="s">
        <v>5558</v>
      </c>
      <c r="F1428" s="34" t="n">
        <f aca="false">IFERROR(VLOOKUP($A1428,'319'!$B:$H,7,0),0)</f>
        <v>0</v>
      </c>
      <c r="G1428" s="34" t="n">
        <f aca="false">SUMIFS('12.326ana'!$C:$C,'12.326ana'!$M:$M,redes!A1428)</f>
        <v>0</v>
      </c>
    </row>
    <row r="1429" customFormat="false" ht="14.4" hidden="true" customHeight="false" outlineLevel="0" collapsed="false">
      <c r="A1429" s="34" t="n">
        <v>17664012104</v>
      </c>
      <c r="B1429" s="34" t="s">
        <v>5559</v>
      </c>
      <c r="C1429" s="34" t="s">
        <v>77</v>
      </c>
      <c r="E1429" s="30"/>
      <c r="F1429" s="34" t="n">
        <f aca="false">IFERROR(VLOOKUP($A1429,'319'!$B:$H,7,0),0)</f>
        <v>0</v>
      </c>
      <c r="G1429" s="34" t="n">
        <f aca="false">SUMIFS('12.326ana'!$C:$C,'12.326ana'!$M:$M,redes!A1429)</f>
        <v>0</v>
      </c>
    </row>
    <row r="1430" customFormat="false" ht="14.4" hidden="true" customHeight="false" outlineLevel="0" collapsed="false">
      <c r="A1430" s="34" t="n">
        <v>17664950104</v>
      </c>
      <c r="B1430" s="34" t="s">
        <v>5560</v>
      </c>
      <c r="C1430" s="34" t="s">
        <v>1054</v>
      </c>
      <c r="E1430" s="30" t="s">
        <v>5561</v>
      </c>
      <c r="F1430" s="34" t="n">
        <f aca="false">IFERROR(VLOOKUP($A1430,'319'!$B:$H,7,0),0)</f>
        <v>0</v>
      </c>
      <c r="G1430" s="34" t="n">
        <f aca="false">SUMIFS('12.326ana'!$C:$C,'12.326ana'!$M:$M,redes!A1430)</f>
        <v>0</v>
      </c>
    </row>
    <row r="1431" customFormat="false" ht="14.4" hidden="true" customHeight="false" outlineLevel="0" collapsed="false">
      <c r="A1431" s="34" t="n">
        <v>17665531172</v>
      </c>
      <c r="B1431" s="34" t="s">
        <v>5562</v>
      </c>
      <c r="C1431" s="34" t="s">
        <v>77</v>
      </c>
      <c r="E1431" s="30" t="s">
        <v>5563</v>
      </c>
      <c r="F1431" s="34" t="n">
        <f aca="false">IFERROR(VLOOKUP($A1431,'319'!$B:$H,7,0),0)</f>
        <v>0</v>
      </c>
      <c r="G1431" s="34" t="n">
        <f aca="false">SUMIFS('12.326ana'!$C:$C,'12.326ana'!$M:$M,redes!A1431)</f>
        <v>0</v>
      </c>
    </row>
    <row r="1432" customFormat="false" ht="14.4" hidden="true" customHeight="false" outlineLevel="0" collapsed="false">
      <c r="A1432" s="34" t="n">
        <v>17670950153</v>
      </c>
      <c r="B1432" s="34" t="s">
        <v>4750</v>
      </c>
      <c r="C1432" s="34" t="s">
        <v>154</v>
      </c>
      <c r="E1432" s="30" t="s">
        <v>5564</v>
      </c>
      <c r="F1432" s="34" t="n">
        <f aca="false">IFERROR(VLOOKUP($A1432,'319'!$B:$H,7,0),0)</f>
        <v>0</v>
      </c>
      <c r="G1432" s="34" t="n">
        <f aca="false">SUMIFS('12.326ana'!$C:$C,'12.326ana'!$M:$M,redes!A1432)</f>
        <v>0</v>
      </c>
    </row>
    <row r="1433" customFormat="false" ht="14.4" hidden="true" customHeight="false" outlineLevel="0" collapsed="false">
      <c r="A1433" s="34" t="n">
        <v>17672783149</v>
      </c>
      <c r="B1433" s="34" t="s">
        <v>5565</v>
      </c>
      <c r="C1433" s="34" t="s">
        <v>107</v>
      </c>
      <c r="E1433" s="30" t="s">
        <v>5566</v>
      </c>
      <c r="F1433" s="34" t="n">
        <f aca="false">IFERROR(VLOOKUP($A1433,'319'!$B:$H,7,0),0)</f>
        <v>0</v>
      </c>
      <c r="G1433" s="34" t="n">
        <f aca="false">SUMIFS('12.326ana'!$C:$C,'12.326ana'!$M:$M,redes!A1433)</f>
        <v>0</v>
      </c>
    </row>
    <row r="1434" customFormat="false" ht="14.4" hidden="true" customHeight="false" outlineLevel="0" collapsed="false">
      <c r="A1434" s="34" t="n">
        <v>17678668104</v>
      </c>
      <c r="B1434" s="34" t="s">
        <v>5567</v>
      </c>
      <c r="C1434" s="34" t="s">
        <v>77</v>
      </c>
      <c r="E1434" s="30" t="s">
        <v>5568</v>
      </c>
      <c r="F1434" s="34" t="n">
        <f aca="false">IFERROR(VLOOKUP($A1434,'319'!$B:$H,7,0),0)</f>
        <v>0</v>
      </c>
      <c r="G1434" s="34" t="n">
        <f aca="false">SUMIFS('12.326ana'!$C:$C,'12.326ana'!$M:$M,redes!A1434)</f>
        <v>0</v>
      </c>
    </row>
    <row r="1435" customFormat="false" ht="14.4" hidden="true" customHeight="false" outlineLevel="0" collapsed="false">
      <c r="A1435" s="34" t="n">
        <v>17679893187</v>
      </c>
      <c r="B1435" s="34" t="s">
        <v>5569</v>
      </c>
      <c r="C1435" s="34" t="s">
        <v>77</v>
      </c>
      <c r="E1435" s="30" t="s">
        <v>5570</v>
      </c>
      <c r="F1435" s="34" t="n">
        <f aca="false">IFERROR(VLOOKUP($A1435,'319'!$B:$H,7,0),0)</f>
        <v>0</v>
      </c>
      <c r="G1435" s="34" t="n">
        <f aca="false">SUMIFS('12.326ana'!$C:$C,'12.326ana'!$M:$M,redes!A1435)</f>
        <v>0</v>
      </c>
    </row>
    <row r="1436" customFormat="false" ht="14.4" hidden="true" customHeight="false" outlineLevel="0" collapsed="false">
      <c r="A1436" s="34" t="n">
        <v>17683211168</v>
      </c>
      <c r="B1436" s="34" t="s">
        <v>5571</v>
      </c>
      <c r="C1436" s="34" t="s">
        <v>77</v>
      </c>
      <c r="E1436" s="30"/>
      <c r="F1436" s="34" t="n">
        <f aca="false">IFERROR(VLOOKUP($A1436,'319'!$B:$H,7,0),0)</f>
        <v>0</v>
      </c>
      <c r="G1436" s="34" t="n">
        <f aca="false">SUMIFS('12.326ana'!$C:$C,'12.326ana'!$M:$M,redes!A1436)</f>
        <v>0</v>
      </c>
    </row>
    <row r="1437" customFormat="false" ht="14.4" hidden="true" customHeight="false" outlineLevel="0" collapsed="false">
      <c r="A1437" s="34" t="n">
        <v>17688876168</v>
      </c>
      <c r="B1437" s="34" t="s">
        <v>5572</v>
      </c>
      <c r="C1437" s="34" t="s">
        <v>77</v>
      </c>
      <c r="E1437" s="30" t="s">
        <v>5573</v>
      </c>
      <c r="F1437" s="34" t="n">
        <f aca="false">IFERROR(VLOOKUP($A1437,'319'!$B:$H,7,0),0)</f>
        <v>0</v>
      </c>
      <c r="G1437" s="34" t="n">
        <f aca="false">SUMIFS('12.326ana'!$C:$C,'12.326ana'!$M:$M,redes!A1437)</f>
        <v>0</v>
      </c>
    </row>
    <row r="1438" customFormat="false" ht="14.4" hidden="true" customHeight="false" outlineLevel="0" collapsed="false">
      <c r="A1438" s="34" t="n">
        <v>17690773168</v>
      </c>
      <c r="B1438" s="34" t="s">
        <v>5574</v>
      </c>
      <c r="C1438" s="34" t="s">
        <v>77</v>
      </c>
      <c r="E1438" s="30" t="s">
        <v>5575</v>
      </c>
      <c r="F1438" s="34" t="n">
        <f aca="false">IFERROR(VLOOKUP($A1438,'319'!$B:$H,7,0),0)</f>
        <v>0</v>
      </c>
      <c r="G1438" s="34" t="n">
        <f aca="false">SUMIFS('12.326ana'!$C:$C,'12.326ana'!$M:$M,redes!A1438)</f>
        <v>0</v>
      </c>
    </row>
    <row r="1439" customFormat="false" ht="14.4" hidden="true" customHeight="false" outlineLevel="0" collapsed="false">
      <c r="A1439" s="34" t="n">
        <v>17692261172</v>
      </c>
      <c r="B1439" s="34" t="s">
        <v>5576</v>
      </c>
      <c r="C1439" s="34" t="s">
        <v>77</v>
      </c>
      <c r="E1439" s="30" t="s">
        <v>5577</v>
      </c>
      <c r="F1439" s="34" t="n">
        <f aca="false">IFERROR(VLOOKUP($A1439,'319'!$B:$H,7,0),0)</f>
        <v>0</v>
      </c>
      <c r="G1439" s="34" t="n">
        <f aca="false">SUMIFS('12.326ana'!$C:$C,'12.326ana'!$M:$M,redes!A1439)</f>
        <v>0</v>
      </c>
    </row>
    <row r="1440" customFormat="false" ht="14.4" hidden="true" customHeight="false" outlineLevel="0" collapsed="false">
      <c r="A1440" s="34" t="n">
        <v>17695260134</v>
      </c>
      <c r="B1440" s="34" t="s">
        <v>5578</v>
      </c>
      <c r="C1440" s="34" t="s">
        <v>463</v>
      </c>
      <c r="E1440" s="30" t="s">
        <v>5579</v>
      </c>
      <c r="F1440" s="34" t="n">
        <f aca="false">IFERROR(VLOOKUP($A1440,'319'!$B:$H,7,0),0)</f>
        <v>0</v>
      </c>
      <c r="G1440" s="34" t="n">
        <f aca="false">SUMIFS('12.326ana'!$C:$C,'12.326ana'!$M:$M,redes!A1440)</f>
        <v>0</v>
      </c>
    </row>
    <row r="1441" customFormat="false" ht="14.4" hidden="true" customHeight="false" outlineLevel="0" collapsed="false">
      <c r="A1441" s="34" t="n">
        <v>17698530817</v>
      </c>
      <c r="B1441" s="34" t="s">
        <v>5580</v>
      </c>
      <c r="C1441" s="34" t="s">
        <v>77</v>
      </c>
      <c r="E1441" s="30"/>
      <c r="F1441" s="34" t="n">
        <f aca="false">IFERROR(VLOOKUP($A1441,'319'!$B:$H,7,0),0)</f>
        <v>0</v>
      </c>
      <c r="G1441" s="34" t="n">
        <f aca="false">SUMIFS('12.326ana'!$C:$C,'12.326ana'!$M:$M,redes!A1441)</f>
        <v>0</v>
      </c>
    </row>
    <row r="1442" customFormat="false" ht="14.4" hidden="true" customHeight="false" outlineLevel="0" collapsed="false">
      <c r="A1442" s="34" t="n">
        <v>17701058168</v>
      </c>
      <c r="B1442" s="34" t="s">
        <v>5581</v>
      </c>
      <c r="C1442" s="34" t="s">
        <v>713</v>
      </c>
      <c r="E1442" s="30" t="s">
        <v>5121</v>
      </c>
      <c r="F1442" s="34" t="n">
        <f aca="false">IFERROR(VLOOKUP($A1442,'319'!$B:$H,7,0),0)</f>
        <v>0</v>
      </c>
      <c r="G1442" s="34" t="n">
        <f aca="false">SUMIFS('12.326ana'!$C:$C,'12.326ana'!$M:$M,redes!A1442)</f>
        <v>0</v>
      </c>
    </row>
    <row r="1443" customFormat="false" ht="14.4" hidden="true" customHeight="false" outlineLevel="0" collapsed="false">
      <c r="A1443" s="34" t="n">
        <v>17702267100</v>
      </c>
      <c r="B1443" s="34" t="s">
        <v>5582</v>
      </c>
      <c r="C1443" s="34" t="s">
        <v>213</v>
      </c>
      <c r="E1443" s="30" t="s">
        <v>5583</v>
      </c>
      <c r="F1443" s="34" t="n">
        <f aca="false">IFERROR(VLOOKUP($A1443,'319'!$B:$H,7,0),0)</f>
        <v>0</v>
      </c>
      <c r="G1443" s="34" t="n">
        <f aca="false">SUMIFS('12.326ana'!$C:$C,'12.326ana'!$M:$M,redes!A1443)</f>
        <v>0</v>
      </c>
    </row>
    <row r="1444" customFormat="false" ht="14.4" hidden="true" customHeight="false" outlineLevel="0" collapsed="false">
      <c r="A1444" s="34" t="n">
        <v>17717825104</v>
      </c>
      <c r="B1444" s="34" t="s">
        <v>5584</v>
      </c>
      <c r="C1444" s="34" t="s">
        <v>103</v>
      </c>
      <c r="E1444" s="30" t="s">
        <v>5585</v>
      </c>
      <c r="F1444" s="34" t="n">
        <f aca="false">IFERROR(VLOOKUP($A1444,'319'!$B:$H,7,0),0)</f>
        <v>0</v>
      </c>
      <c r="G1444" s="34" t="n">
        <f aca="false">SUMIFS('12.326ana'!$C:$C,'12.326ana'!$M:$M,redes!A1444)</f>
        <v>0</v>
      </c>
    </row>
    <row r="1445" customFormat="false" ht="14.4" hidden="true" customHeight="false" outlineLevel="0" collapsed="false">
      <c r="A1445" s="34" t="n">
        <v>17719348168</v>
      </c>
      <c r="B1445" s="34" t="s">
        <v>5586</v>
      </c>
      <c r="C1445" s="34" t="s">
        <v>473</v>
      </c>
      <c r="E1445" s="30" t="s">
        <v>5587</v>
      </c>
      <c r="F1445" s="34" t="n">
        <f aca="false">IFERROR(VLOOKUP($A1445,'319'!$B:$H,7,0),0)</f>
        <v>0</v>
      </c>
      <c r="G1445" s="34" t="n">
        <f aca="false">SUMIFS('12.326ana'!$C:$C,'12.326ana'!$M:$M,redes!A1445)</f>
        <v>0</v>
      </c>
    </row>
    <row r="1446" customFormat="false" ht="14.4" hidden="true" customHeight="false" outlineLevel="0" collapsed="false">
      <c r="A1446" s="34" t="n">
        <v>17722136168</v>
      </c>
      <c r="B1446" s="34" t="s">
        <v>5588</v>
      </c>
      <c r="C1446" s="34" t="s">
        <v>103</v>
      </c>
      <c r="E1446" s="30" t="s">
        <v>5589</v>
      </c>
      <c r="F1446" s="34" t="n">
        <f aca="false">IFERROR(VLOOKUP($A1446,'319'!$B:$H,7,0),0)</f>
        <v>0</v>
      </c>
      <c r="G1446" s="34" t="n">
        <f aca="false">SUMIFS('12.326ana'!$C:$C,'12.326ana'!$M:$M,redes!A1446)</f>
        <v>0</v>
      </c>
    </row>
    <row r="1447" customFormat="false" ht="14.4" hidden="true" customHeight="false" outlineLevel="0" collapsed="false">
      <c r="A1447" s="34" t="n">
        <v>17744164172</v>
      </c>
      <c r="B1447" s="34" t="s">
        <v>5590</v>
      </c>
      <c r="C1447" s="34" t="s">
        <v>77</v>
      </c>
      <c r="E1447" s="30" t="s">
        <v>5591</v>
      </c>
      <c r="F1447" s="34" t="n">
        <f aca="false">IFERROR(VLOOKUP($A1447,'319'!$B:$H,7,0),0)</f>
        <v>0</v>
      </c>
      <c r="G1447" s="34" t="n">
        <f aca="false">SUMIFS('12.326ana'!$C:$C,'12.326ana'!$M:$M,redes!A1447)</f>
        <v>0</v>
      </c>
    </row>
    <row r="1448" customFormat="false" ht="14.4" hidden="true" customHeight="false" outlineLevel="0" collapsed="false">
      <c r="A1448" s="34" t="n">
        <v>17750164120</v>
      </c>
      <c r="B1448" s="34" t="s">
        <v>5592</v>
      </c>
      <c r="C1448" s="34" t="s">
        <v>77</v>
      </c>
      <c r="E1448" s="30" t="s">
        <v>5593</v>
      </c>
      <c r="F1448" s="34" t="n">
        <f aca="false">IFERROR(VLOOKUP($A1448,'319'!$B:$H,7,0),0)</f>
        <v>0</v>
      </c>
      <c r="G1448" s="34" t="n">
        <f aca="false">SUMIFS('12.326ana'!$C:$C,'12.326ana'!$M:$M,redes!A1448)</f>
        <v>0</v>
      </c>
    </row>
    <row r="1449" customFormat="false" ht="14.4" hidden="true" customHeight="false" outlineLevel="0" collapsed="false">
      <c r="A1449" s="34" t="n">
        <v>17751497149</v>
      </c>
      <c r="B1449" s="34" t="s">
        <v>5594</v>
      </c>
      <c r="C1449" s="34" t="s">
        <v>77</v>
      </c>
      <c r="E1449" s="30" t="s">
        <v>5595</v>
      </c>
      <c r="F1449" s="34" t="n">
        <f aca="false">IFERROR(VLOOKUP($A1449,'319'!$B:$H,7,0),0)</f>
        <v>0</v>
      </c>
      <c r="G1449" s="34" t="n">
        <f aca="false">SUMIFS('12.326ana'!$C:$C,'12.326ana'!$M:$M,redes!A1449)</f>
        <v>0</v>
      </c>
    </row>
    <row r="1450" customFormat="false" ht="14.4" hidden="true" customHeight="false" outlineLevel="0" collapsed="false">
      <c r="A1450" s="34" t="n">
        <v>17771722172</v>
      </c>
      <c r="B1450" s="34" t="s">
        <v>5596</v>
      </c>
      <c r="C1450" s="34" t="s">
        <v>299</v>
      </c>
      <c r="E1450" s="30" t="s">
        <v>5597</v>
      </c>
      <c r="F1450" s="34" t="n">
        <f aca="false">IFERROR(VLOOKUP($A1450,'319'!$B:$H,7,0),0)</f>
        <v>0</v>
      </c>
      <c r="G1450" s="34" t="n">
        <f aca="false">SUMIFS('12.326ana'!$C:$C,'12.326ana'!$M:$M,redes!A1450)</f>
        <v>0</v>
      </c>
    </row>
    <row r="1451" customFormat="false" ht="14.4" hidden="true" customHeight="false" outlineLevel="0" collapsed="false">
      <c r="A1451" s="34" t="n">
        <v>17816424191</v>
      </c>
      <c r="B1451" s="34" t="s">
        <v>5598</v>
      </c>
      <c r="C1451" s="34" t="s">
        <v>77</v>
      </c>
      <c r="E1451" s="30" t="s">
        <v>5599</v>
      </c>
      <c r="F1451" s="34" t="n">
        <f aca="false">IFERROR(VLOOKUP($A1451,'319'!$B:$H,7,0),0)</f>
        <v>0</v>
      </c>
      <c r="G1451" s="34" t="n">
        <f aca="false">SUMIFS('12.326ana'!$C:$C,'12.326ana'!$M:$M,redes!A1451)</f>
        <v>0</v>
      </c>
    </row>
    <row r="1452" customFormat="false" ht="14.4" hidden="true" customHeight="false" outlineLevel="0" collapsed="false">
      <c r="A1452" s="34" t="n">
        <v>17833132187</v>
      </c>
      <c r="B1452" s="34" t="s">
        <v>5600</v>
      </c>
      <c r="C1452" s="34" t="s">
        <v>309</v>
      </c>
      <c r="E1452" s="30" t="s">
        <v>4223</v>
      </c>
      <c r="F1452" s="34" t="n">
        <f aca="false">IFERROR(VLOOKUP($A1452,'319'!$B:$H,7,0),0)</f>
        <v>0</v>
      </c>
      <c r="G1452" s="34" t="n">
        <f aca="false">SUMIFS('12.326ana'!$C:$C,'12.326ana'!$M:$M,redes!A1452)</f>
        <v>0</v>
      </c>
    </row>
    <row r="1453" customFormat="false" ht="14.4" hidden="true" customHeight="false" outlineLevel="0" collapsed="false">
      <c r="A1453" s="34" t="n">
        <v>17847648172</v>
      </c>
      <c r="B1453" s="34" t="s">
        <v>5601</v>
      </c>
      <c r="C1453" s="34" t="s">
        <v>77</v>
      </c>
      <c r="D1453" s="34" t="s">
        <v>5602</v>
      </c>
      <c r="E1453" s="30" t="s">
        <v>5603</v>
      </c>
      <c r="F1453" s="34" t="n">
        <f aca="false">IFERROR(VLOOKUP($A1453,'319'!$B:$H,7,0),0)</f>
        <v>0</v>
      </c>
      <c r="G1453" s="34" t="n">
        <f aca="false">SUMIFS('12.326ana'!$C:$C,'12.326ana'!$M:$M,redes!A1453)</f>
        <v>0</v>
      </c>
    </row>
    <row r="1454" customFormat="false" ht="14.4" hidden="true" customHeight="false" outlineLevel="0" collapsed="false">
      <c r="A1454" s="34" t="n">
        <v>17853893191</v>
      </c>
      <c r="B1454" s="34" t="s">
        <v>5604</v>
      </c>
      <c r="C1454" s="34" t="s">
        <v>598</v>
      </c>
      <c r="E1454" s="30" t="s">
        <v>5605</v>
      </c>
      <c r="F1454" s="34" t="n">
        <f aca="false">IFERROR(VLOOKUP($A1454,'319'!$B:$H,7,0),0)</f>
        <v>0</v>
      </c>
      <c r="G1454" s="34" t="n">
        <f aca="false">SUMIFS('12.326ana'!$C:$C,'12.326ana'!$M:$M,redes!A1454)</f>
        <v>0</v>
      </c>
    </row>
    <row r="1455" customFormat="false" ht="14.4" hidden="true" customHeight="false" outlineLevel="0" collapsed="false">
      <c r="A1455" s="34" t="n">
        <v>17854792100</v>
      </c>
      <c r="B1455" s="34" t="s">
        <v>5606</v>
      </c>
      <c r="C1455" s="34" t="s">
        <v>631</v>
      </c>
      <c r="E1455" s="30" t="s">
        <v>5607</v>
      </c>
      <c r="F1455" s="34" t="n">
        <f aca="false">IFERROR(VLOOKUP($A1455,'319'!$B:$H,7,0),0)</f>
        <v>0</v>
      </c>
      <c r="G1455" s="34" t="n">
        <f aca="false">SUMIFS('12.326ana'!$C:$C,'12.326ana'!$M:$M,redes!A1455)</f>
        <v>0</v>
      </c>
    </row>
    <row r="1456" customFormat="false" ht="14.4" hidden="true" customHeight="false" outlineLevel="0" collapsed="false">
      <c r="A1456" s="34" t="n">
        <v>17855039104</v>
      </c>
      <c r="B1456" s="34" t="s">
        <v>5608</v>
      </c>
      <c r="C1456" s="34" t="s">
        <v>89</v>
      </c>
      <c r="E1456" s="30" t="s">
        <v>5609</v>
      </c>
      <c r="F1456" s="34" t="n">
        <f aca="false">IFERROR(VLOOKUP($A1456,'319'!$B:$H,7,0),0)</f>
        <v>0</v>
      </c>
      <c r="G1456" s="34" t="n">
        <f aca="false">SUMIFS('12.326ana'!$C:$C,'12.326ana'!$M:$M,redes!A1456)</f>
        <v>0</v>
      </c>
    </row>
    <row r="1457" customFormat="false" ht="14.4" hidden="true" customHeight="false" outlineLevel="0" collapsed="false">
      <c r="A1457" s="34" t="n">
        <v>17899516153</v>
      </c>
      <c r="B1457" s="34" t="s">
        <v>5610</v>
      </c>
      <c r="C1457" s="34" t="s">
        <v>103</v>
      </c>
      <c r="E1457" s="30" t="s">
        <v>5611</v>
      </c>
      <c r="F1457" s="34" t="n">
        <f aca="false">IFERROR(VLOOKUP($A1457,'319'!$B:$H,7,0),0)</f>
        <v>0</v>
      </c>
      <c r="G1457" s="34" t="n">
        <f aca="false">SUMIFS('12.326ana'!$C:$C,'12.326ana'!$M:$M,redes!A1457)</f>
        <v>0</v>
      </c>
    </row>
    <row r="1458" customFormat="false" ht="14.4" hidden="true" customHeight="false" outlineLevel="0" collapsed="false">
      <c r="A1458" s="34" t="n">
        <v>18143585875</v>
      </c>
      <c r="B1458" s="34" t="s">
        <v>5612</v>
      </c>
      <c r="C1458" s="34" t="s">
        <v>77</v>
      </c>
      <c r="E1458" s="30" t="s">
        <v>5613</v>
      </c>
      <c r="F1458" s="34" t="n">
        <f aca="false">IFERROR(VLOOKUP($A1458,'319'!$B:$H,7,0),0)</f>
        <v>0</v>
      </c>
      <c r="G1458" s="34" t="n">
        <f aca="false">SUMIFS('12.326ana'!$C:$C,'12.326ana'!$M:$M,redes!A1458)</f>
        <v>0</v>
      </c>
    </row>
    <row r="1459" customFormat="false" ht="14.4" hidden="true" customHeight="false" outlineLevel="0" collapsed="false">
      <c r="A1459" s="34" t="n">
        <v>18153267191</v>
      </c>
      <c r="B1459" s="34" t="s">
        <v>5614</v>
      </c>
      <c r="C1459" s="34" t="s">
        <v>77</v>
      </c>
      <c r="E1459" s="30" t="s">
        <v>5615</v>
      </c>
      <c r="F1459" s="34" t="n">
        <f aca="false">IFERROR(VLOOKUP($A1459,'319'!$B:$H,7,0),0)</f>
        <v>0</v>
      </c>
      <c r="G1459" s="34" t="n">
        <f aca="false">SUMIFS('12.326ana'!$C:$C,'12.326ana'!$M:$M,redes!A1459)</f>
        <v>0</v>
      </c>
    </row>
    <row r="1460" customFormat="false" ht="14.4" hidden="true" customHeight="false" outlineLevel="0" collapsed="false">
      <c r="A1460" s="34" t="n">
        <v>18157556104</v>
      </c>
      <c r="B1460" s="34" t="s">
        <v>5616</v>
      </c>
      <c r="C1460" s="34" t="s">
        <v>351</v>
      </c>
      <c r="E1460" s="30" t="s">
        <v>5617</v>
      </c>
      <c r="F1460" s="34" t="n">
        <f aca="false">IFERROR(VLOOKUP($A1460,'319'!$B:$H,7,0),0)</f>
        <v>0</v>
      </c>
      <c r="G1460" s="34" t="n">
        <f aca="false">SUMIFS('12.326ana'!$C:$C,'12.326ana'!$M:$M,redes!A1460)</f>
        <v>0</v>
      </c>
    </row>
    <row r="1461" customFormat="false" ht="14.4" hidden="true" customHeight="false" outlineLevel="0" collapsed="false">
      <c r="A1461" s="34" t="n">
        <v>18158943187</v>
      </c>
      <c r="B1461" s="34" t="s">
        <v>5618</v>
      </c>
      <c r="C1461" s="34" t="s">
        <v>77</v>
      </c>
      <c r="E1461" s="30" t="s">
        <v>2912</v>
      </c>
      <c r="F1461" s="34" t="n">
        <f aca="false">IFERROR(VLOOKUP($A1461,'319'!$B:$H,7,0),0)</f>
        <v>0</v>
      </c>
      <c r="G1461" s="34" t="n">
        <f aca="false">SUMIFS('12.326ana'!$C:$C,'12.326ana'!$M:$M,redes!A1461)</f>
        <v>0</v>
      </c>
    </row>
    <row r="1462" customFormat="false" ht="14.4" hidden="true" customHeight="false" outlineLevel="0" collapsed="false">
      <c r="A1462" s="34" t="n">
        <v>18160301120</v>
      </c>
      <c r="B1462" s="34" t="s">
        <v>5619</v>
      </c>
      <c r="C1462" s="34" t="s">
        <v>77</v>
      </c>
      <c r="E1462" s="30" t="s">
        <v>5620</v>
      </c>
      <c r="F1462" s="34" t="n">
        <f aca="false">IFERROR(VLOOKUP($A1462,'319'!$B:$H,7,0),0)</f>
        <v>0</v>
      </c>
      <c r="G1462" s="34" t="n">
        <f aca="false">SUMIFS('12.326ana'!$C:$C,'12.326ana'!$M:$M,redes!A1462)</f>
        <v>0</v>
      </c>
    </row>
    <row r="1463" customFormat="false" ht="14.4" hidden="true" customHeight="false" outlineLevel="0" collapsed="false">
      <c r="A1463" s="34" t="n">
        <v>18177638149</v>
      </c>
      <c r="B1463" s="34" t="s">
        <v>5621</v>
      </c>
      <c r="C1463" s="34" t="s">
        <v>77</v>
      </c>
      <c r="E1463" s="30" t="s">
        <v>3674</v>
      </c>
      <c r="F1463" s="34" t="n">
        <f aca="false">IFERROR(VLOOKUP($A1463,'319'!$B:$H,7,0),0)</f>
        <v>0</v>
      </c>
      <c r="G1463" s="34" t="n">
        <f aca="false">SUMIFS('12.326ana'!$C:$C,'12.326ana'!$M:$M,redes!A1463)</f>
        <v>0</v>
      </c>
    </row>
    <row r="1464" customFormat="false" ht="14.4" hidden="true" customHeight="false" outlineLevel="0" collapsed="false">
      <c r="A1464" s="34" t="n">
        <v>18182810159</v>
      </c>
      <c r="B1464" s="34" t="s">
        <v>5622</v>
      </c>
      <c r="C1464" s="34" t="s">
        <v>77</v>
      </c>
      <c r="E1464" s="30" t="s">
        <v>5623</v>
      </c>
      <c r="F1464" s="34" t="n">
        <f aca="false">IFERROR(VLOOKUP($A1464,'319'!$B:$H,7,0),0)</f>
        <v>0</v>
      </c>
      <c r="G1464" s="34" t="n">
        <f aca="false">SUMIFS('12.326ana'!$C:$C,'12.326ana'!$M:$M,redes!A1464)</f>
        <v>0</v>
      </c>
    </row>
    <row r="1465" customFormat="false" ht="14.4" hidden="true" customHeight="false" outlineLevel="0" collapsed="false">
      <c r="A1465" s="34" t="n">
        <v>18188206172</v>
      </c>
      <c r="B1465" s="34" t="s">
        <v>5624</v>
      </c>
      <c r="C1465" s="34" t="s">
        <v>77</v>
      </c>
      <c r="E1465" s="30" t="s">
        <v>5625</v>
      </c>
      <c r="F1465" s="34" t="n">
        <f aca="false">IFERROR(VLOOKUP($A1465,'319'!$B:$H,7,0),0)</f>
        <v>0</v>
      </c>
      <c r="G1465" s="34" t="n">
        <f aca="false">SUMIFS('12.326ana'!$C:$C,'12.326ana'!$M:$M,redes!A1465)</f>
        <v>0</v>
      </c>
    </row>
    <row r="1466" customFormat="false" ht="14.4" hidden="true" customHeight="false" outlineLevel="0" collapsed="false">
      <c r="A1466" s="34" t="n">
        <v>18192360130</v>
      </c>
      <c r="B1466" s="34" t="s">
        <v>5626</v>
      </c>
      <c r="C1466" s="34" t="s">
        <v>77</v>
      </c>
      <c r="E1466" s="30" t="s">
        <v>5627</v>
      </c>
      <c r="F1466" s="34" t="n">
        <f aca="false">IFERROR(VLOOKUP($A1466,'319'!$B:$H,7,0),0)</f>
        <v>0</v>
      </c>
      <c r="G1466" s="34" t="n">
        <f aca="false">SUMIFS('12.326ana'!$C:$C,'12.326ana'!$M:$M,redes!A1466)</f>
        <v>0</v>
      </c>
    </row>
    <row r="1467" customFormat="false" ht="14.4" hidden="true" customHeight="false" outlineLevel="0" collapsed="false">
      <c r="A1467" s="34" t="n">
        <v>18192475115</v>
      </c>
      <c r="B1467" s="34" t="s">
        <v>5628</v>
      </c>
      <c r="C1467" s="34" t="s">
        <v>117</v>
      </c>
      <c r="E1467" s="30" t="s">
        <v>5629</v>
      </c>
      <c r="F1467" s="34" t="n">
        <f aca="false">IFERROR(VLOOKUP($A1467,'319'!$B:$H,7,0),0)</f>
        <v>0</v>
      </c>
      <c r="G1467" s="34" t="n">
        <f aca="false">SUMIFS('12.326ana'!$C:$C,'12.326ana'!$M:$M,redes!A1467)</f>
        <v>0</v>
      </c>
    </row>
    <row r="1468" customFormat="false" ht="14.4" hidden="true" customHeight="false" outlineLevel="0" collapsed="false">
      <c r="A1468" s="34" t="n">
        <v>18211283972</v>
      </c>
      <c r="B1468" s="34" t="s">
        <v>5630</v>
      </c>
      <c r="C1468" s="34" t="s">
        <v>351</v>
      </c>
      <c r="E1468" s="30" t="s">
        <v>5631</v>
      </c>
      <c r="F1468" s="34" t="n">
        <f aca="false">IFERROR(VLOOKUP($A1468,'319'!$B:$H,7,0),0)</f>
        <v>0</v>
      </c>
      <c r="G1468" s="34" t="n">
        <f aca="false">SUMIFS('12.326ana'!$C:$C,'12.326ana'!$M:$M,redes!A1468)</f>
        <v>0</v>
      </c>
    </row>
    <row r="1469" customFormat="false" ht="14.4" hidden="true" customHeight="false" outlineLevel="0" collapsed="false">
      <c r="A1469" s="34" t="n">
        <v>18333524249</v>
      </c>
      <c r="B1469" s="34" t="s">
        <v>5632</v>
      </c>
      <c r="C1469" s="34" t="s">
        <v>77</v>
      </c>
      <c r="E1469" s="30" t="s">
        <v>4999</v>
      </c>
      <c r="F1469" s="34" t="n">
        <f aca="false">IFERROR(VLOOKUP($A1469,'319'!$B:$H,7,0),0)</f>
        <v>0</v>
      </c>
      <c r="G1469" s="34" t="n">
        <f aca="false">SUMIFS('12.326ana'!$C:$C,'12.326ana'!$M:$M,redes!A1469)</f>
        <v>0</v>
      </c>
    </row>
    <row r="1470" customFormat="false" ht="14.4" hidden="true" customHeight="false" outlineLevel="0" collapsed="false">
      <c r="A1470" s="34" t="n">
        <v>18756964900</v>
      </c>
      <c r="B1470" s="34" t="s">
        <v>5633</v>
      </c>
      <c r="C1470" s="34" t="s">
        <v>77</v>
      </c>
      <c r="E1470" s="30" t="s">
        <v>5634</v>
      </c>
      <c r="F1470" s="34" t="n">
        <f aca="false">IFERROR(VLOOKUP($A1470,'319'!$B:$H,7,0),0)</f>
        <v>0</v>
      </c>
      <c r="G1470" s="34" t="n">
        <f aca="false">SUMIFS('12.326ana'!$C:$C,'12.326ana'!$M:$M,redes!A1470)</f>
        <v>0</v>
      </c>
    </row>
    <row r="1471" customFormat="false" ht="14.4" hidden="true" customHeight="false" outlineLevel="0" collapsed="false">
      <c r="A1471" s="34" t="n">
        <v>18801110987</v>
      </c>
      <c r="B1471" s="34" t="s">
        <v>5635</v>
      </c>
      <c r="C1471" s="34" t="s">
        <v>848</v>
      </c>
      <c r="E1471" s="30" t="s">
        <v>4676</v>
      </c>
      <c r="F1471" s="34" t="n">
        <f aca="false">IFERROR(VLOOKUP($A1471,'319'!$B:$H,7,0),0)</f>
        <v>0</v>
      </c>
      <c r="G1471" s="34" t="n">
        <f aca="false">SUMIFS('12.326ana'!$C:$C,'12.326ana'!$M:$M,redes!A1471)</f>
        <v>0</v>
      </c>
    </row>
    <row r="1472" customFormat="false" ht="14.4" hidden="true" customHeight="false" outlineLevel="0" collapsed="false">
      <c r="A1472" s="34" t="n">
        <v>18909574020</v>
      </c>
      <c r="B1472" s="34" t="s">
        <v>5636</v>
      </c>
      <c r="C1472" s="34" t="s">
        <v>77</v>
      </c>
      <c r="E1472" s="30" t="s">
        <v>5637</v>
      </c>
      <c r="F1472" s="34" t="n">
        <f aca="false">IFERROR(VLOOKUP($A1472,'319'!$B:$H,7,0),0)</f>
        <v>0</v>
      </c>
      <c r="G1472" s="34" t="n">
        <f aca="false">SUMIFS('12.326ana'!$C:$C,'12.326ana'!$M:$M,redes!A1472)</f>
        <v>0</v>
      </c>
    </row>
    <row r="1473" customFormat="false" ht="14.4" hidden="true" customHeight="false" outlineLevel="0" collapsed="false">
      <c r="A1473" s="34" t="n">
        <v>18916449987</v>
      </c>
      <c r="B1473" s="34" t="s">
        <v>5638</v>
      </c>
      <c r="C1473" s="34" t="s">
        <v>77</v>
      </c>
      <c r="E1473" s="30"/>
      <c r="F1473" s="34" t="n">
        <f aca="false">IFERROR(VLOOKUP($A1473,'319'!$B:$H,7,0),0)</f>
        <v>0</v>
      </c>
      <c r="G1473" s="34" t="n">
        <f aca="false">SUMIFS('12.326ana'!$C:$C,'12.326ana'!$M:$M,redes!A1473)</f>
        <v>0</v>
      </c>
    </row>
    <row r="1474" customFormat="false" ht="14.4" hidden="true" customHeight="false" outlineLevel="0" collapsed="false">
      <c r="A1474" s="34" t="n">
        <v>19116217268</v>
      </c>
      <c r="B1474" s="34" t="s">
        <v>5639</v>
      </c>
      <c r="C1474" s="34" t="s">
        <v>77</v>
      </c>
      <c r="E1474" s="30" t="s">
        <v>5640</v>
      </c>
      <c r="F1474" s="34" t="n">
        <f aca="false">IFERROR(VLOOKUP($A1474,'319'!$B:$H,7,0),0)</f>
        <v>0</v>
      </c>
      <c r="G1474" s="34" t="n">
        <f aca="false">SUMIFS('12.326ana'!$C:$C,'12.326ana'!$M:$M,redes!A1474)</f>
        <v>0</v>
      </c>
    </row>
    <row r="1475" customFormat="false" ht="14.4" hidden="true" customHeight="false" outlineLevel="0" collapsed="false">
      <c r="A1475" s="34" t="n">
        <v>19144359829</v>
      </c>
      <c r="B1475" s="34" t="s">
        <v>5641</v>
      </c>
      <c r="C1475" s="34" t="s">
        <v>197</v>
      </c>
      <c r="E1475" s="30" t="s">
        <v>5642</v>
      </c>
      <c r="F1475" s="34" t="n">
        <f aca="false">IFERROR(VLOOKUP($A1475,'319'!$B:$H,7,0),0)</f>
        <v>0</v>
      </c>
      <c r="G1475" s="34" t="n">
        <f aca="false">SUMIFS('12.326ana'!$C:$C,'12.326ana'!$M:$M,redes!A1475)</f>
        <v>0</v>
      </c>
    </row>
    <row r="1476" customFormat="false" ht="14.4" hidden="true" customHeight="false" outlineLevel="0" collapsed="false">
      <c r="A1476" s="34" t="n">
        <v>19279538802</v>
      </c>
      <c r="B1476" s="34" t="s">
        <v>5643</v>
      </c>
      <c r="C1476" s="34" t="s">
        <v>594</v>
      </c>
      <c r="E1476" s="30" t="s">
        <v>5644</v>
      </c>
      <c r="F1476" s="34" t="n">
        <f aca="false">IFERROR(VLOOKUP($A1476,'319'!$B:$H,7,0),0)</f>
        <v>0</v>
      </c>
      <c r="G1476" s="34" t="n">
        <f aca="false">SUMIFS('12.326ana'!$C:$C,'12.326ana'!$M:$M,redes!A1476)</f>
        <v>0</v>
      </c>
    </row>
    <row r="1477" customFormat="false" ht="14.4" hidden="true" customHeight="false" outlineLevel="0" collapsed="false">
      <c r="A1477" s="34" t="n">
        <v>19419491854</v>
      </c>
      <c r="B1477" s="34" t="s">
        <v>5645</v>
      </c>
      <c r="C1477" s="34" t="s">
        <v>77</v>
      </c>
      <c r="E1477" s="30" t="s">
        <v>5646</v>
      </c>
      <c r="F1477" s="34" t="n">
        <f aca="false">IFERROR(VLOOKUP($A1477,'319'!$B:$H,7,0),0)</f>
        <v>0</v>
      </c>
      <c r="G1477" s="34" t="n">
        <f aca="false">SUMIFS('12.326ana'!$C:$C,'12.326ana'!$M:$M,redes!A1477)</f>
        <v>0</v>
      </c>
    </row>
    <row r="1478" customFormat="false" ht="14.4" hidden="true" customHeight="false" outlineLevel="0" collapsed="false">
      <c r="A1478" s="34" t="n">
        <v>19582188391</v>
      </c>
      <c r="B1478" s="34" t="s">
        <v>5647</v>
      </c>
      <c r="C1478" s="34" t="s">
        <v>77</v>
      </c>
      <c r="E1478" s="30" t="s">
        <v>5648</v>
      </c>
      <c r="F1478" s="34" t="n">
        <f aca="false">IFERROR(VLOOKUP($A1478,'319'!$B:$H,7,0),0)</f>
        <v>0</v>
      </c>
      <c r="G1478" s="34" t="n">
        <f aca="false">SUMIFS('12.326ana'!$C:$C,'12.326ana'!$M:$M,redes!A1478)</f>
        <v>0</v>
      </c>
    </row>
    <row r="1479" customFormat="false" ht="14.4" hidden="true" customHeight="false" outlineLevel="0" collapsed="false">
      <c r="A1479" s="34" t="n">
        <v>19605889404</v>
      </c>
      <c r="B1479" s="34" t="s">
        <v>5649</v>
      </c>
      <c r="C1479" s="34" t="s">
        <v>197</v>
      </c>
      <c r="E1479" s="30" t="s">
        <v>5650</v>
      </c>
      <c r="F1479" s="34" t="n">
        <f aca="false">IFERROR(VLOOKUP($A1479,'319'!$B:$H,7,0),0)</f>
        <v>0</v>
      </c>
      <c r="G1479" s="34" t="n">
        <f aca="false">SUMIFS('12.326ana'!$C:$C,'12.326ana'!$M:$M,redes!A1479)</f>
        <v>0</v>
      </c>
    </row>
    <row r="1480" customFormat="false" ht="14.4" hidden="true" customHeight="false" outlineLevel="0" collapsed="false">
      <c r="A1480" s="34" t="n">
        <v>19664117900</v>
      </c>
      <c r="B1480" s="34" t="s">
        <v>5651</v>
      </c>
      <c r="C1480" s="34" t="s">
        <v>1054</v>
      </c>
      <c r="E1480" s="30" t="s">
        <v>5652</v>
      </c>
      <c r="F1480" s="34" t="n">
        <f aca="false">IFERROR(VLOOKUP($A1480,'319'!$B:$H,7,0),0)</f>
        <v>0</v>
      </c>
      <c r="G1480" s="34" t="n">
        <f aca="false">SUMIFS('12.326ana'!$C:$C,'12.326ana'!$M:$M,redes!A1480)</f>
        <v>0</v>
      </c>
    </row>
    <row r="1481" customFormat="false" ht="14.4" hidden="true" customHeight="false" outlineLevel="0" collapsed="false">
      <c r="A1481" s="34" t="n">
        <v>19673817049</v>
      </c>
      <c r="B1481" s="34" t="s">
        <v>5653</v>
      </c>
      <c r="C1481" s="34" t="s">
        <v>377</v>
      </c>
      <c r="E1481" s="30" t="s">
        <v>4731</v>
      </c>
      <c r="F1481" s="34" t="n">
        <f aca="false">IFERROR(VLOOKUP($A1481,'319'!$B:$H,7,0),0)</f>
        <v>0</v>
      </c>
      <c r="G1481" s="34" t="n">
        <f aca="false">SUMIFS('12.326ana'!$C:$C,'12.326ana'!$M:$M,redes!A1481)</f>
        <v>0</v>
      </c>
    </row>
    <row r="1482" customFormat="false" ht="14.4" hidden="true" customHeight="false" outlineLevel="0" collapsed="false">
      <c r="A1482" s="34" t="n">
        <v>19737092104</v>
      </c>
      <c r="B1482" s="34" t="s">
        <v>5654</v>
      </c>
      <c r="C1482" s="34" t="s">
        <v>475</v>
      </c>
      <c r="E1482" s="30" t="s">
        <v>3763</v>
      </c>
      <c r="F1482" s="34" t="n">
        <f aca="false">IFERROR(VLOOKUP($A1482,'319'!$B:$H,7,0),0)</f>
        <v>0</v>
      </c>
      <c r="G1482" s="34" t="n">
        <f aca="false">SUMIFS('12.326ana'!$C:$C,'12.326ana'!$M:$M,redes!A1482)</f>
        <v>0</v>
      </c>
    </row>
    <row r="1483" customFormat="false" ht="14.4" hidden="true" customHeight="false" outlineLevel="0" collapsed="false">
      <c r="A1483" s="34" t="n">
        <v>19891202968</v>
      </c>
      <c r="B1483" s="34" t="s">
        <v>5655</v>
      </c>
      <c r="C1483" s="34" t="s">
        <v>77</v>
      </c>
      <c r="E1483" s="30" t="s">
        <v>5656</v>
      </c>
      <c r="F1483" s="34" t="n">
        <f aca="false">IFERROR(VLOOKUP($A1483,'319'!$B:$H,7,0),0)</f>
        <v>0</v>
      </c>
      <c r="G1483" s="34" t="n">
        <f aca="false">SUMIFS('12.326ana'!$C:$C,'12.326ana'!$M:$M,redes!A1483)</f>
        <v>0</v>
      </c>
    </row>
    <row r="1484" customFormat="false" ht="14.4" hidden="true" customHeight="false" outlineLevel="0" collapsed="false">
      <c r="A1484" s="34" t="n">
        <v>19948870875</v>
      </c>
      <c r="B1484" s="34" t="s">
        <v>5657</v>
      </c>
      <c r="C1484" s="34" t="s">
        <v>89</v>
      </c>
      <c r="E1484" s="30" t="s">
        <v>5658</v>
      </c>
      <c r="F1484" s="34" t="n">
        <f aca="false">IFERROR(VLOOKUP($A1484,'319'!$B:$H,7,0),0)</f>
        <v>0</v>
      </c>
      <c r="G1484" s="34" t="n">
        <f aca="false">SUMIFS('12.326ana'!$C:$C,'12.326ana'!$M:$M,redes!A1484)</f>
        <v>0</v>
      </c>
    </row>
    <row r="1485" customFormat="false" ht="14.4" hidden="true" customHeight="false" outlineLevel="0" collapsed="false">
      <c r="A1485" s="34" t="n">
        <v>19964412134</v>
      </c>
      <c r="B1485" s="34" t="s">
        <v>5659</v>
      </c>
      <c r="C1485" s="34" t="s">
        <v>77</v>
      </c>
      <c r="E1485" s="30" t="s">
        <v>5660</v>
      </c>
      <c r="F1485" s="34" t="n">
        <f aca="false">IFERROR(VLOOKUP($A1485,'319'!$B:$H,7,0),0)</f>
        <v>0</v>
      </c>
      <c r="G1485" s="34" t="n">
        <f aca="false">SUMIFS('12.326ana'!$C:$C,'12.326ana'!$M:$M,redes!A1485)</f>
        <v>0</v>
      </c>
    </row>
    <row r="1486" customFormat="false" ht="14.4" hidden="true" customHeight="false" outlineLevel="0" collapsed="false">
      <c r="A1486" s="34" t="n">
        <v>19965370168</v>
      </c>
      <c r="B1486" s="34" t="s">
        <v>5661</v>
      </c>
      <c r="C1486" s="34" t="s">
        <v>117</v>
      </c>
      <c r="E1486" s="30" t="s">
        <v>5662</v>
      </c>
      <c r="F1486" s="34" t="n">
        <f aca="false">IFERROR(VLOOKUP($A1486,'319'!$B:$H,7,0),0)</f>
        <v>0</v>
      </c>
      <c r="G1486" s="34" t="n">
        <f aca="false">SUMIFS('12.326ana'!$C:$C,'12.326ana'!$M:$M,redes!A1486)</f>
        <v>0</v>
      </c>
    </row>
    <row r="1487" customFormat="false" ht="14.4" hidden="true" customHeight="false" outlineLevel="0" collapsed="false">
      <c r="A1487" s="34" t="n">
        <v>19967330104</v>
      </c>
      <c r="B1487" s="34" t="s">
        <v>5663</v>
      </c>
      <c r="C1487" s="34" t="s">
        <v>77</v>
      </c>
      <c r="E1487" s="30" t="s">
        <v>5664</v>
      </c>
      <c r="F1487" s="34" t="n">
        <f aca="false">IFERROR(VLOOKUP($A1487,'319'!$B:$H,7,0),0)</f>
        <v>0</v>
      </c>
      <c r="G1487" s="34" t="n">
        <f aca="false">SUMIFS('12.326ana'!$C:$C,'12.326ana'!$M:$M,redes!A1487)</f>
        <v>0</v>
      </c>
    </row>
    <row r="1488" customFormat="false" ht="14.4" hidden="true" customHeight="false" outlineLevel="0" collapsed="false">
      <c r="A1488" s="34" t="n">
        <v>19969198149</v>
      </c>
      <c r="B1488" s="34" t="s">
        <v>5665</v>
      </c>
      <c r="C1488" s="34" t="s">
        <v>77</v>
      </c>
      <c r="E1488" s="30" t="s">
        <v>5666</v>
      </c>
      <c r="F1488" s="34" t="n">
        <f aca="false">IFERROR(VLOOKUP($A1488,'319'!$B:$H,7,0),0)</f>
        <v>0</v>
      </c>
      <c r="G1488" s="34" t="n">
        <f aca="false">SUMIFS('12.326ana'!$C:$C,'12.326ana'!$M:$M,redes!A1488)</f>
        <v>0</v>
      </c>
    </row>
    <row r="1489" customFormat="false" ht="14.4" hidden="true" customHeight="false" outlineLevel="0" collapsed="false">
      <c r="A1489" s="34" t="n">
        <v>19978731172</v>
      </c>
      <c r="B1489" s="34" t="s">
        <v>5667</v>
      </c>
      <c r="C1489" s="34" t="s">
        <v>77</v>
      </c>
      <c r="E1489" s="30" t="s">
        <v>5668</v>
      </c>
      <c r="F1489" s="34" t="n">
        <f aca="false">IFERROR(VLOOKUP($A1489,'319'!$B:$H,7,0),0)</f>
        <v>0</v>
      </c>
      <c r="G1489" s="34" t="n">
        <f aca="false">SUMIFS('12.326ana'!$C:$C,'12.326ana'!$M:$M,redes!A1489)</f>
        <v>0</v>
      </c>
    </row>
    <row r="1490" customFormat="false" ht="14.4" hidden="true" customHeight="false" outlineLevel="0" collapsed="false">
      <c r="A1490" s="34" t="n">
        <v>19989377120</v>
      </c>
      <c r="B1490" s="34" t="s">
        <v>5669</v>
      </c>
      <c r="C1490" s="34" t="s">
        <v>77</v>
      </c>
      <c r="E1490" s="30" t="s">
        <v>5670</v>
      </c>
      <c r="F1490" s="34" t="n">
        <f aca="false">IFERROR(VLOOKUP($A1490,'319'!$B:$H,7,0),0)</f>
        <v>0</v>
      </c>
      <c r="G1490" s="34" t="n">
        <f aca="false">SUMIFS('12.326ana'!$C:$C,'12.326ana'!$M:$M,redes!A1490)</f>
        <v>0</v>
      </c>
    </row>
    <row r="1491" customFormat="false" ht="14.4" hidden="true" customHeight="false" outlineLevel="0" collapsed="false">
      <c r="A1491" s="34" t="n">
        <v>19990723168</v>
      </c>
      <c r="B1491" s="34" t="s">
        <v>5671</v>
      </c>
      <c r="C1491" s="34" t="s">
        <v>77</v>
      </c>
      <c r="E1491" s="30" t="s">
        <v>5672</v>
      </c>
      <c r="F1491" s="34" t="n">
        <f aca="false">IFERROR(VLOOKUP($A1491,'319'!$B:$H,7,0),0)</f>
        <v>0</v>
      </c>
      <c r="G1491" s="34" t="n">
        <f aca="false">SUMIFS('12.326ana'!$C:$C,'12.326ana'!$M:$M,redes!A1491)</f>
        <v>0</v>
      </c>
    </row>
    <row r="1492" customFormat="false" ht="14.4" hidden="true" customHeight="false" outlineLevel="0" collapsed="false">
      <c r="A1492" s="34" t="n">
        <v>19993137120</v>
      </c>
      <c r="B1492" s="34" t="s">
        <v>5673</v>
      </c>
      <c r="C1492" s="34" t="s">
        <v>77</v>
      </c>
      <c r="E1492" s="30" t="s">
        <v>5674</v>
      </c>
      <c r="F1492" s="34" t="n">
        <f aca="false">IFERROR(VLOOKUP($A1492,'319'!$B:$H,7,0),0)</f>
        <v>0</v>
      </c>
      <c r="G1492" s="34" t="n">
        <f aca="false">SUMIFS('12.326ana'!$C:$C,'12.326ana'!$M:$M,redes!A1492)</f>
        <v>0</v>
      </c>
    </row>
    <row r="1493" customFormat="false" ht="14.4" hidden="true" customHeight="false" outlineLevel="0" collapsed="false">
      <c r="A1493" s="34" t="n">
        <v>19995466104</v>
      </c>
      <c r="B1493" s="34" t="s">
        <v>5675</v>
      </c>
      <c r="C1493" s="34" t="s">
        <v>77</v>
      </c>
      <c r="E1493" s="30" t="s">
        <v>5676</v>
      </c>
      <c r="F1493" s="34" t="n">
        <f aca="false">IFERROR(VLOOKUP($A1493,'319'!$B:$H,7,0),0)</f>
        <v>0</v>
      </c>
      <c r="G1493" s="34" t="n">
        <f aca="false">SUMIFS('12.326ana'!$C:$C,'12.326ana'!$M:$M,redes!A1493)</f>
        <v>0</v>
      </c>
    </row>
    <row r="1494" customFormat="false" ht="14.4" hidden="true" customHeight="false" outlineLevel="0" collapsed="false">
      <c r="A1494" s="34" t="n">
        <v>19995911191</v>
      </c>
      <c r="B1494" s="34" t="s">
        <v>5677</v>
      </c>
      <c r="C1494" s="34" t="s">
        <v>77</v>
      </c>
      <c r="E1494" s="30"/>
      <c r="F1494" s="34" t="n">
        <f aca="false">IFERROR(VLOOKUP($A1494,'319'!$B:$H,7,0),0)</f>
        <v>0</v>
      </c>
      <c r="G1494" s="34" t="n">
        <f aca="false">SUMIFS('12.326ana'!$C:$C,'12.326ana'!$M:$M,redes!A1494)</f>
        <v>0</v>
      </c>
    </row>
    <row r="1495" customFormat="false" ht="14.4" hidden="true" customHeight="false" outlineLevel="0" collapsed="false">
      <c r="A1495" s="34" t="n">
        <v>19997817168</v>
      </c>
      <c r="B1495" s="34" t="s">
        <v>5678</v>
      </c>
      <c r="C1495" s="34" t="s">
        <v>77</v>
      </c>
      <c r="E1495" s="30"/>
      <c r="F1495" s="34" t="n">
        <f aca="false">IFERROR(VLOOKUP($A1495,'319'!$B:$H,7,0),0)</f>
        <v>0</v>
      </c>
      <c r="G1495" s="34" t="n">
        <f aca="false">SUMIFS('12.326ana'!$C:$C,'12.326ana'!$M:$M,redes!A1495)</f>
        <v>0</v>
      </c>
    </row>
    <row r="1496" customFormat="false" ht="14.4" hidden="true" customHeight="false" outlineLevel="0" collapsed="false">
      <c r="A1496" s="34" t="n">
        <v>19999780130</v>
      </c>
      <c r="B1496" s="34" t="s">
        <v>5679</v>
      </c>
      <c r="C1496" s="34" t="s">
        <v>77</v>
      </c>
      <c r="E1496" s="30" t="s">
        <v>5680</v>
      </c>
      <c r="F1496" s="34" t="n">
        <f aca="false">IFERROR(VLOOKUP($A1496,'319'!$B:$H,7,0),0)</f>
        <v>0</v>
      </c>
      <c r="G1496" s="34" t="n">
        <f aca="false">SUMIFS('12.326ana'!$C:$C,'12.326ana'!$M:$M,redes!A1496)</f>
        <v>0</v>
      </c>
    </row>
    <row r="1497" customFormat="false" ht="14.4" hidden="true" customHeight="false" outlineLevel="0" collapsed="false">
      <c r="A1497" s="34" t="n">
        <v>20002858134</v>
      </c>
      <c r="B1497" s="34" t="s">
        <v>5681</v>
      </c>
      <c r="C1497" s="34" t="s">
        <v>77</v>
      </c>
      <c r="E1497" s="30" t="s">
        <v>5682</v>
      </c>
      <c r="F1497" s="34" t="n">
        <f aca="false">IFERROR(VLOOKUP($A1497,'319'!$B:$H,7,0),0)</f>
        <v>0</v>
      </c>
      <c r="G1497" s="34" t="n">
        <f aca="false">SUMIFS('12.326ana'!$C:$C,'12.326ana'!$M:$M,redes!A1497)</f>
        <v>0</v>
      </c>
    </row>
    <row r="1498" customFormat="false" ht="14.4" hidden="true" customHeight="false" outlineLevel="0" collapsed="false">
      <c r="A1498" s="34" t="n">
        <v>20012764191</v>
      </c>
      <c r="B1498" s="34" t="s">
        <v>5683</v>
      </c>
      <c r="C1498" s="34" t="s">
        <v>77</v>
      </c>
      <c r="E1498" s="30"/>
      <c r="F1498" s="34" t="n">
        <f aca="false">IFERROR(VLOOKUP($A1498,'319'!$B:$H,7,0),0)</f>
        <v>0</v>
      </c>
      <c r="G1498" s="34" t="n">
        <f aca="false">SUMIFS('12.326ana'!$C:$C,'12.326ana'!$M:$M,redes!A1498)</f>
        <v>0</v>
      </c>
    </row>
    <row r="1499" customFormat="false" ht="14.4" hidden="true" customHeight="false" outlineLevel="0" collapsed="false">
      <c r="A1499" s="34" t="n">
        <v>20015879100</v>
      </c>
      <c r="B1499" s="34" t="s">
        <v>5684</v>
      </c>
      <c r="C1499" s="34" t="s">
        <v>77</v>
      </c>
      <c r="E1499" s="30" t="s">
        <v>5685</v>
      </c>
      <c r="F1499" s="34" t="n">
        <f aca="false">IFERROR(VLOOKUP($A1499,'319'!$B:$H,7,0),0)</f>
        <v>0</v>
      </c>
      <c r="G1499" s="34" t="n">
        <f aca="false">SUMIFS('12.326ana'!$C:$C,'12.326ana'!$M:$M,redes!A1499)</f>
        <v>0</v>
      </c>
    </row>
    <row r="1500" customFormat="false" ht="14.4" hidden="true" customHeight="false" outlineLevel="0" collapsed="false">
      <c r="A1500" s="34" t="n">
        <v>20018215149</v>
      </c>
      <c r="B1500" s="34" t="s">
        <v>5686</v>
      </c>
      <c r="C1500" s="34" t="s">
        <v>77</v>
      </c>
      <c r="E1500" s="30" t="s">
        <v>5687</v>
      </c>
      <c r="F1500" s="34" t="n">
        <f aca="false">IFERROR(VLOOKUP($A1500,'319'!$B:$H,7,0),0)</f>
        <v>0</v>
      </c>
      <c r="G1500" s="34" t="n">
        <f aca="false">SUMIFS('12.326ana'!$C:$C,'12.326ana'!$M:$M,redes!A1500)</f>
        <v>0</v>
      </c>
    </row>
    <row r="1501" customFormat="false" ht="14.4" hidden="true" customHeight="false" outlineLevel="0" collapsed="false">
      <c r="A1501" s="34" t="n">
        <v>20019025149</v>
      </c>
      <c r="B1501" s="34" t="s">
        <v>5688</v>
      </c>
      <c r="C1501" s="34" t="s">
        <v>1054</v>
      </c>
      <c r="E1501" s="30" t="s">
        <v>5689</v>
      </c>
      <c r="F1501" s="34" t="n">
        <f aca="false">IFERROR(VLOOKUP($A1501,'319'!$B:$H,7,0),0)</f>
        <v>0</v>
      </c>
      <c r="G1501" s="34" t="n">
        <f aca="false">SUMIFS('12.326ana'!$C:$C,'12.326ana'!$M:$M,redes!A1501)</f>
        <v>0</v>
      </c>
    </row>
    <row r="1502" customFormat="false" ht="14.4" hidden="true" customHeight="false" outlineLevel="0" collapsed="false">
      <c r="A1502" s="34" t="n">
        <v>20034709134</v>
      </c>
      <c r="B1502" s="34" t="s">
        <v>5690</v>
      </c>
      <c r="C1502" s="34" t="s">
        <v>77</v>
      </c>
      <c r="E1502" s="30" t="s">
        <v>5691</v>
      </c>
      <c r="F1502" s="34" t="n">
        <f aca="false">IFERROR(VLOOKUP($A1502,'319'!$B:$H,7,0),0)</f>
        <v>0</v>
      </c>
      <c r="G1502" s="34" t="n">
        <f aca="false">SUMIFS('12.326ana'!$C:$C,'12.326ana'!$M:$M,redes!A1502)</f>
        <v>0</v>
      </c>
    </row>
    <row r="1503" customFormat="false" ht="14.4" hidden="true" customHeight="false" outlineLevel="0" collapsed="false">
      <c r="A1503" s="34" t="n">
        <v>20038771004</v>
      </c>
      <c r="B1503" s="34" t="s">
        <v>5692</v>
      </c>
      <c r="C1503" s="34" t="s">
        <v>77</v>
      </c>
      <c r="E1503" s="30" t="s">
        <v>5693</v>
      </c>
      <c r="F1503" s="34" t="n">
        <f aca="false">IFERROR(VLOOKUP($A1503,'319'!$B:$H,7,0),0)</f>
        <v>0</v>
      </c>
      <c r="G1503" s="34" t="n">
        <f aca="false">SUMIFS('12.326ana'!$C:$C,'12.326ana'!$M:$M,redes!A1503)</f>
        <v>0</v>
      </c>
    </row>
    <row r="1504" customFormat="false" ht="14.4" hidden="true" customHeight="false" outlineLevel="0" collapsed="false">
      <c r="A1504" s="34" t="n">
        <v>20045158134</v>
      </c>
      <c r="B1504" s="34" t="s">
        <v>5694</v>
      </c>
      <c r="C1504" s="34" t="s">
        <v>77</v>
      </c>
      <c r="E1504" s="30" t="s">
        <v>5091</v>
      </c>
      <c r="F1504" s="34" t="n">
        <f aca="false">IFERROR(VLOOKUP($A1504,'319'!$B:$H,7,0),0)</f>
        <v>0</v>
      </c>
      <c r="G1504" s="34" t="n">
        <f aca="false">SUMIFS('12.326ana'!$C:$C,'12.326ana'!$M:$M,redes!A1504)</f>
        <v>0</v>
      </c>
    </row>
    <row r="1505" customFormat="false" ht="14.4" hidden="true" customHeight="false" outlineLevel="0" collapsed="false">
      <c r="A1505" s="34" t="n">
        <v>20045697868</v>
      </c>
      <c r="B1505" s="34" t="s">
        <v>5695</v>
      </c>
      <c r="C1505" s="34" t="s">
        <v>77</v>
      </c>
      <c r="E1505" s="30" t="s">
        <v>5696</v>
      </c>
      <c r="F1505" s="34" t="n">
        <f aca="false">IFERROR(VLOOKUP($A1505,'319'!$B:$H,7,0),0)</f>
        <v>0</v>
      </c>
      <c r="G1505" s="34" t="n">
        <f aca="false">SUMIFS('12.326ana'!$C:$C,'12.326ana'!$M:$M,redes!A1505)</f>
        <v>0</v>
      </c>
    </row>
    <row r="1506" customFormat="false" ht="14.4" hidden="true" customHeight="false" outlineLevel="0" collapsed="false">
      <c r="A1506" s="34" t="n">
        <v>20054831172</v>
      </c>
      <c r="B1506" s="34" t="s">
        <v>5697</v>
      </c>
      <c r="C1506" s="34" t="s">
        <v>1054</v>
      </c>
      <c r="E1506" s="30" t="s">
        <v>4262</v>
      </c>
      <c r="F1506" s="34" t="n">
        <f aca="false">IFERROR(VLOOKUP($A1506,'319'!$B:$H,7,0),0)</f>
        <v>0</v>
      </c>
      <c r="G1506" s="34" t="n">
        <f aca="false">SUMIFS('12.326ana'!$C:$C,'12.326ana'!$M:$M,redes!A1506)</f>
        <v>0</v>
      </c>
    </row>
    <row r="1507" customFormat="false" ht="14.4" hidden="true" customHeight="false" outlineLevel="0" collapsed="false">
      <c r="A1507" s="34" t="n">
        <v>20055285104</v>
      </c>
      <c r="B1507" s="34" t="s">
        <v>5698</v>
      </c>
      <c r="C1507" s="34" t="s">
        <v>77</v>
      </c>
      <c r="E1507" s="30" t="s">
        <v>5699</v>
      </c>
      <c r="F1507" s="34" t="n">
        <f aca="false">IFERROR(VLOOKUP($A1507,'319'!$B:$H,7,0),0)</f>
        <v>0</v>
      </c>
      <c r="G1507" s="34" t="n">
        <f aca="false">SUMIFS('12.326ana'!$C:$C,'12.326ana'!$M:$M,redes!A1507)</f>
        <v>0</v>
      </c>
    </row>
    <row r="1508" customFormat="false" ht="14.4" hidden="true" customHeight="false" outlineLevel="0" collapsed="false">
      <c r="A1508" s="34" t="n">
        <v>20056052120</v>
      </c>
      <c r="B1508" s="34" t="s">
        <v>5700</v>
      </c>
      <c r="C1508" s="34" t="s">
        <v>77</v>
      </c>
      <c r="E1508" s="30" t="s">
        <v>5701</v>
      </c>
      <c r="F1508" s="34" t="n">
        <f aca="false">IFERROR(VLOOKUP($A1508,'319'!$B:$H,7,0),0)</f>
        <v>0</v>
      </c>
      <c r="G1508" s="34" t="n">
        <f aca="false">SUMIFS('12.326ana'!$C:$C,'12.326ana'!$M:$M,redes!A1508)</f>
        <v>0</v>
      </c>
    </row>
    <row r="1509" customFormat="false" ht="14.4" hidden="true" customHeight="false" outlineLevel="0" collapsed="false">
      <c r="A1509" s="34" t="n">
        <v>20060114134</v>
      </c>
      <c r="B1509" s="34" t="s">
        <v>5702</v>
      </c>
      <c r="C1509" s="34" t="s">
        <v>77</v>
      </c>
      <c r="E1509" s="30" t="s">
        <v>5703</v>
      </c>
      <c r="F1509" s="34" t="n">
        <f aca="false">IFERROR(VLOOKUP($A1509,'319'!$B:$H,7,0),0)</f>
        <v>0</v>
      </c>
      <c r="G1509" s="34" t="n">
        <f aca="false">SUMIFS('12.326ana'!$C:$C,'12.326ana'!$M:$M,redes!A1509)</f>
        <v>0</v>
      </c>
    </row>
    <row r="1510" customFormat="false" ht="14.4" hidden="true" customHeight="false" outlineLevel="0" collapsed="false">
      <c r="A1510" s="34" t="n">
        <v>20063369168</v>
      </c>
      <c r="B1510" s="34" t="s">
        <v>5704</v>
      </c>
      <c r="C1510" s="34" t="s">
        <v>77</v>
      </c>
      <c r="E1510" s="30" t="s">
        <v>5705</v>
      </c>
      <c r="F1510" s="34" t="n">
        <f aca="false">IFERROR(VLOOKUP($A1510,'319'!$B:$H,7,0),0)</f>
        <v>0</v>
      </c>
      <c r="G1510" s="34" t="n">
        <f aca="false">SUMIFS('12.326ana'!$C:$C,'12.326ana'!$M:$M,redes!A1510)</f>
        <v>0</v>
      </c>
    </row>
    <row r="1511" customFormat="false" ht="14.4" hidden="true" customHeight="false" outlineLevel="0" collapsed="false">
      <c r="A1511" s="34" t="n">
        <v>20064284115</v>
      </c>
      <c r="B1511" s="34" t="s">
        <v>5706</v>
      </c>
      <c r="C1511" s="34" t="s">
        <v>154</v>
      </c>
      <c r="E1511" s="30" t="s">
        <v>5707</v>
      </c>
      <c r="F1511" s="34" t="n">
        <f aca="false">IFERROR(VLOOKUP($A1511,'319'!$B:$H,7,0),0)</f>
        <v>0</v>
      </c>
      <c r="G1511" s="34" t="n">
        <f aca="false">SUMIFS('12.326ana'!$C:$C,'12.326ana'!$M:$M,redes!A1511)</f>
        <v>0</v>
      </c>
    </row>
    <row r="1512" customFormat="false" ht="14.4" hidden="true" customHeight="false" outlineLevel="0" collapsed="false">
      <c r="A1512" s="34" t="n">
        <v>20068786115</v>
      </c>
      <c r="B1512" s="34" t="s">
        <v>5708</v>
      </c>
      <c r="C1512" s="34" t="s">
        <v>77</v>
      </c>
      <c r="E1512" s="30" t="s">
        <v>5709</v>
      </c>
      <c r="F1512" s="34" t="n">
        <f aca="false">IFERROR(VLOOKUP($A1512,'319'!$B:$H,7,0),0)</f>
        <v>0</v>
      </c>
      <c r="G1512" s="34" t="n">
        <f aca="false">SUMIFS('12.326ana'!$C:$C,'12.326ana'!$M:$M,redes!A1512)</f>
        <v>0</v>
      </c>
    </row>
    <row r="1513" customFormat="false" ht="14.4" hidden="true" customHeight="false" outlineLevel="0" collapsed="false">
      <c r="A1513" s="34" t="n">
        <v>20069006172</v>
      </c>
      <c r="B1513" s="34" t="s">
        <v>5710</v>
      </c>
      <c r="C1513" s="34" t="s">
        <v>77</v>
      </c>
      <c r="E1513" s="30" t="s">
        <v>5711</v>
      </c>
      <c r="F1513" s="34" t="n">
        <f aca="false">IFERROR(VLOOKUP($A1513,'319'!$B:$H,7,0),0)</f>
        <v>0</v>
      </c>
      <c r="G1513" s="34" t="n">
        <f aca="false">SUMIFS('12.326ana'!$C:$C,'12.326ana'!$M:$M,redes!A1513)</f>
        <v>0</v>
      </c>
    </row>
    <row r="1514" customFormat="false" ht="14.4" hidden="true" customHeight="false" outlineLevel="0" collapsed="false">
      <c r="A1514" s="34" t="n">
        <v>20070977100</v>
      </c>
      <c r="B1514" s="34" t="s">
        <v>5712</v>
      </c>
      <c r="C1514" s="34" t="s">
        <v>77</v>
      </c>
      <c r="E1514" s="30" t="s">
        <v>5713</v>
      </c>
      <c r="F1514" s="34" t="n">
        <f aca="false">IFERROR(VLOOKUP($A1514,'319'!$B:$H,7,0),0)</f>
        <v>0</v>
      </c>
      <c r="G1514" s="34" t="n">
        <f aca="false">SUMIFS('12.326ana'!$C:$C,'12.326ana'!$M:$M,redes!A1514)</f>
        <v>0</v>
      </c>
    </row>
    <row r="1515" customFormat="false" ht="14.4" hidden="true" customHeight="false" outlineLevel="0" collapsed="false">
      <c r="A1515" s="34" t="n">
        <v>20077920104</v>
      </c>
      <c r="B1515" s="34" t="s">
        <v>5714</v>
      </c>
      <c r="C1515" s="34" t="s">
        <v>737</v>
      </c>
      <c r="E1515" s="30" t="s">
        <v>5715</v>
      </c>
      <c r="F1515" s="34" t="n">
        <f aca="false">IFERROR(VLOOKUP($A1515,'319'!$B:$H,7,0),0)</f>
        <v>0</v>
      </c>
      <c r="G1515" s="34" t="n">
        <f aca="false">SUMIFS('12.326ana'!$C:$C,'12.326ana'!$M:$M,redes!A1515)</f>
        <v>0</v>
      </c>
    </row>
    <row r="1516" customFormat="false" ht="14.4" hidden="true" customHeight="false" outlineLevel="0" collapsed="false">
      <c r="A1516" s="34" t="n">
        <v>20082460191</v>
      </c>
      <c r="B1516" s="34" t="s">
        <v>5716</v>
      </c>
      <c r="C1516" s="34" t="s">
        <v>737</v>
      </c>
      <c r="E1516" s="30" t="s">
        <v>5717</v>
      </c>
      <c r="F1516" s="34" t="n">
        <f aca="false">IFERROR(VLOOKUP($A1516,'319'!$B:$H,7,0),0)</f>
        <v>0</v>
      </c>
      <c r="G1516" s="34" t="n">
        <f aca="false">SUMIFS('12.326ana'!$C:$C,'12.326ana'!$M:$M,redes!A1516)</f>
        <v>0</v>
      </c>
    </row>
    <row r="1517" customFormat="false" ht="14.4" hidden="true" customHeight="false" outlineLevel="0" collapsed="false">
      <c r="A1517" s="34" t="n">
        <v>20082665168</v>
      </c>
      <c r="B1517" s="34" t="s">
        <v>5718</v>
      </c>
      <c r="C1517" s="34" t="s">
        <v>107</v>
      </c>
      <c r="E1517" s="30"/>
      <c r="F1517" s="34" t="n">
        <f aca="false">IFERROR(VLOOKUP($A1517,'319'!$B:$H,7,0),0)</f>
        <v>0</v>
      </c>
      <c r="G1517" s="34" t="n">
        <f aca="false">SUMIFS('12.326ana'!$C:$C,'12.326ana'!$M:$M,redes!A1517)</f>
        <v>0</v>
      </c>
    </row>
    <row r="1518" customFormat="false" ht="14.4" hidden="true" customHeight="false" outlineLevel="0" collapsed="false">
      <c r="A1518" s="34" t="n">
        <v>20092229115</v>
      </c>
      <c r="B1518" s="34" t="s">
        <v>5719</v>
      </c>
      <c r="C1518" s="34" t="s">
        <v>737</v>
      </c>
      <c r="E1518" s="30" t="s">
        <v>3505</v>
      </c>
      <c r="F1518" s="34" t="n">
        <f aca="false">IFERROR(VLOOKUP($A1518,'319'!$B:$H,7,0),0)</f>
        <v>0</v>
      </c>
      <c r="G1518" s="34" t="n">
        <f aca="false">SUMIFS('12.326ana'!$C:$C,'12.326ana'!$M:$M,redes!A1518)</f>
        <v>0</v>
      </c>
    </row>
    <row r="1519" customFormat="false" ht="14.4" hidden="true" customHeight="false" outlineLevel="0" collapsed="false">
      <c r="A1519" s="34" t="n">
        <v>20092555187</v>
      </c>
      <c r="B1519" s="34" t="s">
        <v>5720</v>
      </c>
      <c r="C1519" s="34" t="s">
        <v>107</v>
      </c>
      <c r="E1519" s="30" t="s">
        <v>5721</v>
      </c>
      <c r="F1519" s="34" t="n">
        <f aca="false">IFERROR(VLOOKUP($A1519,'319'!$B:$H,7,0),0)</f>
        <v>0</v>
      </c>
      <c r="G1519" s="34" t="n">
        <f aca="false">SUMIFS('12.326ana'!$C:$C,'12.326ana'!$M:$M,redes!A1519)</f>
        <v>0</v>
      </c>
    </row>
    <row r="1520" customFormat="false" ht="14.4" hidden="true" customHeight="false" outlineLevel="0" collapsed="false">
      <c r="A1520" s="34" t="n">
        <v>20107595168</v>
      </c>
      <c r="B1520" s="34" t="s">
        <v>5722</v>
      </c>
      <c r="C1520" s="34" t="s">
        <v>77</v>
      </c>
      <c r="E1520" s="30" t="s">
        <v>5723</v>
      </c>
      <c r="F1520" s="34" t="n">
        <f aca="false">IFERROR(VLOOKUP($A1520,'319'!$B:$H,7,0),0)</f>
        <v>0</v>
      </c>
      <c r="G1520" s="34" t="n">
        <f aca="false">SUMIFS('12.326ana'!$C:$C,'12.326ana'!$M:$M,redes!A1520)</f>
        <v>0</v>
      </c>
    </row>
    <row r="1521" customFormat="false" ht="14.4" hidden="true" customHeight="false" outlineLevel="0" collapsed="false">
      <c r="A1521" s="34" t="n">
        <v>20108079104</v>
      </c>
      <c r="B1521" s="34" t="s">
        <v>5724</v>
      </c>
      <c r="C1521" s="34" t="s">
        <v>139</v>
      </c>
      <c r="E1521" s="30" t="s">
        <v>5725</v>
      </c>
      <c r="F1521" s="34" t="n">
        <f aca="false">IFERROR(VLOOKUP($A1521,'319'!$B:$H,7,0),0)</f>
        <v>0</v>
      </c>
      <c r="G1521" s="34" t="n">
        <f aca="false">SUMIFS('12.326ana'!$C:$C,'12.326ana'!$M:$M,redes!A1521)</f>
        <v>0</v>
      </c>
    </row>
    <row r="1522" customFormat="false" ht="14.4" hidden="true" customHeight="false" outlineLevel="0" collapsed="false">
      <c r="A1522" s="34" t="n">
        <v>20112300120</v>
      </c>
      <c r="B1522" s="34" t="s">
        <v>5726</v>
      </c>
      <c r="C1522" s="34" t="s">
        <v>357</v>
      </c>
      <c r="E1522" s="30" t="s">
        <v>5727</v>
      </c>
      <c r="F1522" s="34" t="n">
        <f aca="false">IFERROR(VLOOKUP($A1522,'319'!$B:$H,7,0),0)</f>
        <v>0</v>
      </c>
      <c r="G1522" s="34" t="n">
        <f aca="false">SUMIFS('12.326ana'!$C:$C,'12.326ana'!$M:$M,redes!A1522)</f>
        <v>0</v>
      </c>
    </row>
    <row r="1523" customFormat="false" ht="14.4" hidden="true" customHeight="false" outlineLevel="0" collapsed="false">
      <c r="A1523" s="34" t="n">
        <v>20116853115</v>
      </c>
      <c r="B1523" s="34" t="s">
        <v>5728</v>
      </c>
      <c r="C1523" s="34" t="s">
        <v>77</v>
      </c>
      <c r="E1523" s="30" t="s">
        <v>5070</v>
      </c>
      <c r="F1523" s="34" t="n">
        <f aca="false">IFERROR(VLOOKUP($A1523,'319'!$B:$H,7,0),0)</f>
        <v>0</v>
      </c>
      <c r="G1523" s="34" t="n">
        <f aca="false">SUMIFS('12.326ana'!$C:$C,'12.326ana'!$M:$M,redes!A1523)</f>
        <v>0</v>
      </c>
    </row>
    <row r="1524" customFormat="false" ht="14.4" hidden="true" customHeight="false" outlineLevel="0" collapsed="false">
      <c r="A1524" s="34" t="n">
        <v>20121512134</v>
      </c>
      <c r="B1524" s="34" t="s">
        <v>5729</v>
      </c>
      <c r="C1524" s="34" t="s">
        <v>77</v>
      </c>
      <c r="E1524" s="30" t="s">
        <v>4965</v>
      </c>
      <c r="F1524" s="34" t="n">
        <f aca="false">IFERROR(VLOOKUP($A1524,'319'!$B:$H,7,0),0)</f>
        <v>0</v>
      </c>
      <c r="G1524" s="34" t="n">
        <f aca="false">SUMIFS('12.326ana'!$C:$C,'12.326ana'!$M:$M,redes!A1524)</f>
        <v>0</v>
      </c>
    </row>
    <row r="1525" customFormat="false" ht="14.4" hidden="true" customHeight="false" outlineLevel="0" collapsed="false">
      <c r="A1525" s="34" t="n">
        <v>20123167272</v>
      </c>
      <c r="B1525" s="34" t="s">
        <v>5730</v>
      </c>
      <c r="C1525" s="34" t="s">
        <v>77</v>
      </c>
      <c r="E1525" s="30" t="s">
        <v>5731</v>
      </c>
      <c r="F1525" s="34" t="n">
        <f aca="false">IFERROR(VLOOKUP($A1525,'319'!$B:$H,7,0),0)</f>
        <v>0</v>
      </c>
      <c r="G1525" s="34" t="n">
        <f aca="false">SUMIFS('12.326ana'!$C:$C,'12.326ana'!$M:$M,redes!A1525)</f>
        <v>0</v>
      </c>
    </row>
    <row r="1526" customFormat="false" ht="14.4" hidden="true" customHeight="false" outlineLevel="0" collapsed="false">
      <c r="A1526" s="34" t="n">
        <v>20138890110</v>
      </c>
      <c r="B1526" s="34" t="s">
        <v>5732</v>
      </c>
      <c r="C1526" s="34" t="s">
        <v>967</v>
      </c>
      <c r="E1526" s="30" t="s">
        <v>5733</v>
      </c>
      <c r="F1526" s="34" t="n">
        <f aca="false">IFERROR(VLOOKUP($A1526,'319'!$B:$H,7,0),0)</f>
        <v>0</v>
      </c>
      <c r="G1526" s="34" t="n">
        <f aca="false">SUMIFS('12.326ana'!$C:$C,'12.326ana'!$M:$M,redes!A1526)</f>
        <v>0</v>
      </c>
    </row>
    <row r="1527" customFormat="false" ht="14.4" hidden="true" customHeight="false" outlineLevel="0" collapsed="false">
      <c r="A1527" s="34" t="n">
        <v>20148887104</v>
      </c>
      <c r="B1527" s="34" t="s">
        <v>5734</v>
      </c>
      <c r="C1527" s="34" t="s">
        <v>77</v>
      </c>
      <c r="E1527" s="30" t="s">
        <v>5735</v>
      </c>
      <c r="F1527" s="34" t="n">
        <f aca="false">IFERROR(VLOOKUP($A1527,'319'!$B:$H,7,0),0)</f>
        <v>0</v>
      </c>
      <c r="G1527" s="34" t="n">
        <f aca="false">SUMIFS('12.326ana'!$C:$C,'12.326ana'!$M:$M,redes!A1527)</f>
        <v>0</v>
      </c>
    </row>
    <row r="1528" customFormat="false" ht="14.4" hidden="true" customHeight="false" outlineLevel="0" collapsed="false">
      <c r="A1528" s="34" t="n">
        <v>20149158149</v>
      </c>
      <c r="B1528" s="34" t="s">
        <v>5736</v>
      </c>
      <c r="C1528" s="34" t="s">
        <v>77</v>
      </c>
      <c r="E1528" s="30" t="s">
        <v>5737</v>
      </c>
      <c r="F1528" s="34" t="n">
        <f aca="false">IFERROR(VLOOKUP($A1528,'319'!$B:$H,7,0),0)</f>
        <v>0</v>
      </c>
      <c r="G1528" s="34" t="n">
        <f aca="false">SUMIFS('12.326ana'!$C:$C,'12.326ana'!$M:$M,redes!A1528)</f>
        <v>0</v>
      </c>
    </row>
    <row r="1529" customFormat="false" ht="14.4" hidden="true" customHeight="false" outlineLevel="0" collapsed="false">
      <c r="A1529" s="34" t="n">
        <v>20155042149</v>
      </c>
      <c r="B1529" s="34" t="s">
        <v>5738</v>
      </c>
      <c r="C1529" s="34" t="s">
        <v>781</v>
      </c>
      <c r="E1529" s="30"/>
      <c r="F1529" s="34" t="n">
        <f aca="false">IFERROR(VLOOKUP($A1529,'319'!$B:$H,7,0),0)</f>
        <v>0</v>
      </c>
      <c r="G1529" s="34" t="n">
        <f aca="false">SUMIFS('12.326ana'!$C:$C,'12.326ana'!$M:$M,redes!A1529)</f>
        <v>0</v>
      </c>
    </row>
    <row r="1530" customFormat="false" ht="14.4" hidden="true" customHeight="false" outlineLevel="0" collapsed="false">
      <c r="A1530" s="34" t="n">
        <v>20190590106</v>
      </c>
      <c r="B1530" s="34" t="s">
        <v>5739</v>
      </c>
      <c r="C1530" s="34" t="s">
        <v>2998</v>
      </c>
      <c r="E1530" s="30" t="s">
        <v>5740</v>
      </c>
      <c r="F1530" s="34" t="n">
        <f aca="false">IFERROR(VLOOKUP($A1530,'319'!$B:$H,7,0),0)</f>
        <v>0</v>
      </c>
      <c r="G1530" s="34" t="n">
        <f aca="false">SUMIFS('12.326ana'!$C:$C,'12.326ana'!$M:$M,redes!A1530)</f>
        <v>0</v>
      </c>
    </row>
    <row r="1531" customFormat="false" ht="14.4" hidden="true" customHeight="false" outlineLevel="0" collapsed="false">
      <c r="A1531" s="34" t="n">
        <v>20193637120</v>
      </c>
      <c r="B1531" s="34" t="s">
        <v>5741</v>
      </c>
      <c r="C1531" s="34" t="s">
        <v>2998</v>
      </c>
      <c r="E1531" s="30" t="s">
        <v>5742</v>
      </c>
      <c r="F1531" s="34" t="n">
        <f aca="false">IFERROR(VLOOKUP($A1531,'319'!$B:$H,7,0),0)</f>
        <v>0</v>
      </c>
      <c r="G1531" s="34" t="n">
        <f aca="false">SUMIFS('12.326ana'!$C:$C,'12.326ana'!$M:$M,redes!A1531)</f>
        <v>0</v>
      </c>
    </row>
    <row r="1532" customFormat="false" ht="14.4" hidden="true" customHeight="false" outlineLevel="0" collapsed="false">
      <c r="A1532" s="34" t="n">
        <v>20214723100</v>
      </c>
      <c r="B1532" s="34" t="s">
        <v>5743</v>
      </c>
      <c r="C1532" s="34" t="s">
        <v>2998</v>
      </c>
      <c r="E1532" s="30" t="s">
        <v>5744</v>
      </c>
      <c r="F1532" s="34" t="n">
        <f aca="false">IFERROR(VLOOKUP($A1532,'319'!$B:$H,7,0),0)</f>
        <v>0</v>
      </c>
      <c r="G1532" s="34" t="n">
        <f aca="false">SUMIFS('12.326ana'!$C:$C,'12.326ana'!$M:$M,redes!A1532)</f>
        <v>0</v>
      </c>
    </row>
    <row r="1533" customFormat="false" ht="14.4" hidden="true" customHeight="false" outlineLevel="0" collapsed="false">
      <c r="A1533" s="34" t="n">
        <v>20216432120</v>
      </c>
      <c r="B1533" s="34" t="s">
        <v>5745</v>
      </c>
      <c r="C1533" s="34" t="s">
        <v>197</v>
      </c>
      <c r="E1533" s="30" t="s">
        <v>5746</v>
      </c>
      <c r="F1533" s="34" t="n">
        <f aca="false">IFERROR(VLOOKUP($A1533,'319'!$B:$H,7,0),0)</f>
        <v>0</v>
      </c>
      <c r="G1533" s="34" t="n">
        <f aca="false">SUMIFS('12.326ana'!$C:$C,'12.326ana'!$M:$M,redes!A1533)</f>
        <v>0</v>
      </c>
    </row>
    <row r="1534" customFormat="false" ht="14.4" hidden="true" customHeight="false" outlineLevel="0" collapsed="false">
      <c r="A1534" s="34" t="n">
        <v>20220480168</v>
      </c>
      <c r="B1534" s="34" t="s">
        <v>5747</v>
      </c>
      <c r="C1534" s="34" t="s">
        <v>192</v>
      </c>
      <c r="E1534" s="30" t="s">
        <v>5748</v>
      </c>
      <c r="F1534" s="34" t="n">
        <f aca="false">IFERROR(VLOOKUP($A1534,'319'!$B:$H,7,0),0)</f>
        <v>0</v>
      </c>
      <c r="G1534" s="34" t="n">
        <f aca="false">SUMIFS('12.326ana'!$C:$C,'12.326ana'!$M:$M,redes!A1534)</f>
        <v>0</v>
      </c>
    </row>
    <row r="1535" customFormat="false" ht="14.4" hidden="true" customHeight="false" outlineLevel="0" collapsed="false">
      <c r="A1535" s="34" t="n">
        <v>20225032104</v>
      </c>
      <c r="B1535" s="34" t="s">
        <v>5749</v>
      </c>
      <c r="C1535" s="34" t="s">
        <v>77</v>
      </c>
      <c r="E1535" s="30" t="s">
        <v>5750</v>
      </c>
      <c r="F1535" s="34" t="n">
        <f aca="false">IFERROR(VLOOKUP($A1535,'319'!$B:$H,7,0),0)</f>
        <v>0</v>
      </c>
      <c r="G1535" s="34" t="n">
        <f aca="false">SUMIFS('12.326ana'!$C:$C,'12.326ana'!$M:$M,redes!A1535)</f>
        <v>0</v>
      </c>
    </row>
    <row r="1536" customFormat="false" ht="14.4" hidden="true" customHeight="false" outlineLevel="0" collapsed="false">
      <c r="A1536" s="34" t="n">
        <v>20225717115</v>
      </c>
      <c r="B1536" s="34" t="s">
        <v>5751</v>
      </c>
      <c r="C1536" s="34" t="s">
        <v>192</v>
      </c>
      <c r="E1536" s="30" t="s">
        <v>5752</v>
      </c>
      <c r="F1536" s="34" t="n">
        <f aca="false">IFERROR(VLOOKUP($A1536,'319'!$B:$H,7,0),0)</f>
        <v>0</v>
      </c>
      <c r="G1536" s="34" t="n">
        <f aca="false">SUMIFS('12.326ana'!$C:$C,'12.326ana'!$M:$M,redes!A1536)</f>
        <v>0</v>
      </c>
    </row>
    <row r="1537" customFormat="false" ht="14.4" hidden="true" customHeight="false" outlineLevel="0" collapsed="false">
      <c r="A1537" s="34" t="n">
        <v>20229224172</v>
      </c>
      <c r="B1537" s="34" t="s">
        <v>5753</v>
      </c>
      <c r="C1537" s="34" t="s">
        <v>77</v>
      </c>
      <c r="E1537" s="30"/>
      <c r="F1537" s="34" t="n">
        <f aca="false">IFERROR(VLOOKUP($A1537,'319'!$B:$H,7,0),0)</f>
        <v>0</v>
      </c>
      <c r="G1537" s="34" t="n">
        <f aca="false">SUMIFS('12.326ana'!$C:$C,'12.326ana'!$M:$M,redes!A1537)</f>
        <v>0</v>
      </c>
    </row>
    <row r="1538" customFormat="false" ht="14.4" hidden="true" customHeight="false" outlineLevel="0" collapsed="false">
      <c r="A1538" s="34" t="n">
        <v>20275340163</v>
      </c>
      <c r="B1538" s="34" t="s">
        <v>5754</v>
      </c>
      <c r="C1538" s="34" t="s">
        <v>154</v>
      </c>
      <c r="E1538" s="30" t="s">
        <v>5755</v>
      </c>
      <c r="F1538" s="34" t="n">
        <f aca="false">IFERROR(VLOOKUP($A1538,'319'!$B:$H,7,0),0)</f>
        <v>0</v>
      </c>
      <c r="G1538" s="34" t="n">
        <f aca="false">SUMIFS('12.326ana'!$C:$C,'12.326ana'!$M:$M,redes!A1538)</f>
        <v>0</v>
      </c>
    </row>
    <row r="1539" customFormat="false" ht="14.4" hidden="true" customHeight="false" outlineLevel="0" collapsed="false">
      <c r="A1539" s="34" t="n">
        <v>20275692191</v>
      </c>
      <c r="B1539" s="34" t="s">
        <v>5756</v>
      </c>
      <c r="C1539" s="34" t="s">
        <v>77</v>
      </c>
      <c r="E1539" s="30" t="s">
        <v>5757</v>
      </c>
      <c r="F1539" s="34" t="n">
        <f aca="false">IFERROR(VLOOKUP($A1539,'319'!$B:$H,7,0),0)</f>
        <v>0</v>
      </c>
      <c r="G1539" s="34" t="n">
        <f aca="false">SUMIFS('12.326ana'!$C:$C,'12.326ana'!$M:$M,redes!A1539)</f>
        <v>0</v>
      </c>
    </row>
    <row r="1540" customFormat="false" ht="14.4" hidden="true" customHeight="false" outlineLevel="0" collapsed="false">
      <c r="A1540" s="34" t="n">
        <v>20276419120</v>
      </c>
      <c r="B1540" s="34" t="s">
        <v>5758</v>
      </c>
      <c r="C1540" s="34" t="s">
        <v>77</v>
      </c>
      <c r="E1540" s="30" t="s">
        <v>5759</v>
      </c>
      <c r="F1540" s="34" t="n">
        <f aca="false">IFERROR(VLOOKUP($A1540,'319'!$B:$H,7,0),0)</f>
        <v>0</v>
      </c>
      <c r="G1540" s="34" t="n">
        <f aca="false">SUMIFS('12.326ana'!$C:$C,'12.326ana'!$M:$M,redes!A1540)</f>
        <v>0</v>
      </c>
    </row>
    <row r="1541" customFormat="false" ht="14.4" hidden="true" customHeight="false" outlineLevel="0" collapsed="false">
      <c r="A1541" s="34" t="n">
        <v>20285523104</v>
      </c>
      <c r="B1541" s="34" t="s">
        <v>5760</v>
      </c>
      <c r="C1541" s="34" t="s">
        <v>77</v>
      </c>
      <c r="E1541" s="30" t="s">
        <v>5761</v>
      </c>
      <c r="F1541" s="34" t="n">
        <f aca="false">IFERROR(VLOOKUP($A1541,'319'!$B:$H,7,0),0)</f>
        <v>0</v>
      </c>
      <c r="G1541" s="34" t="n">
        <f aca="false">SUMIFS('12.326ana'!$C:$C,'12.326ana'!$M:$M,redes!A1541)</f>
        <v>0</v>
      </c>
    </row>
    <row r="1542" customFormat="false" ht="14.4" hidden="true" customHeight="false" outlineLevel="0" collapsed="false">
      <c r="A1542" s="34" t="n">
        <v>20302363149</v>
      </c>
      <c r="B1542" s="34" t="s">
        <v>5762</v>
      </c>
      <c r="C1542" s="34" t="s">
        <v>77</v>
      </c>
      <c r="E1542" s="30"/>
      <c r="F1542" s="34" t="n">
        <f aca="false">IFERROR(VLOOKUP($A1542,'319'!$B:$H,7,0),0)</f>
        <v>0</v>
      </c>
      <c r="G1542" s="34" t="n">
        <f aca="false">SUMIFS('12.326ana'!$C:$C,'12.326ana'!$M:$M,redes!A1542)</f>
        <v>0</v>
      </c>
    </row>
    <row r="1543" customFormat="false" ht="14.4" hidden="true" customHeight="false" outlineLevel="0" collapsed="false">
      <c r="A1543" s="34" t="n">
        <v>20311346120</v>
      </c>
      <c r="B1543" s="34" t="s">
        <v>5763</v>
      </c>
      <c r="C1543" s="34" t="s">
        <v>107</v>
      </c>
      <c r="E1543" s="30" t="s">
        <v>5764</v>
      </c>
      <c r="F1543" s="34" t="n">
        <f aca="false">IFERROR(VLOOKUP($A1543,'319'!$B:$H,7,0),0)</f>
        <v>0</v>
      </c>
      <c r="G1543" s="34" t="n">
        <f aca="false">SUMIFS('12.326ana'!$C:$C,'12.326ana'!$M:$M,redes!A1543)</f>
        <v>0</v>
      </c>
    </row>
    <row r="1544" customFormat="false" ht="14.4" hidden="true" customHeight="false" outlineLevel="0" collapsed="false">
      <c r="A1544" s="34" t="n">
        <v>20320655172</v>
      </c>
      <c r="B1544" s="34" t="s">
        <v>5765</v>
      </c>
      <c r="C1544" s="34" t="s">
        <v>107</v>
      </c>
      <c r="E1544" s="30" t="s">
        <v>5766</v>
      </c>
      <c r="F1544" s="34" t="n">
        <f aca="false">IFERROR(VLOOKUP($A1544,'319'!$B:$H,7,0),0)</f>
        <v>0</v>
      </c>
      <c r="G1544" s="34" t="n">
        <f aca="false">SUMIFS('12.326ana'!$C:$C,'12.326ana'!$M:$M,redes!A1544)</f>
        <v>0</v>
      </c>
    </row>
    <row r="1545" customFormat="false" ht="14.4" hidden="true" customHeight="false" outlineLevel="0" collapsed="false">
      <c r="A1545" s="34" t="n">
        <v>20322984149</v>
      </c>
      <c r="B1545" s="34" t="s">
        <v>5767</v>
      </c>
      <c r="C1545" s="34" t="s">
        <v>77</v>
      </c>
      <c r="E1545" s="30" t="s">
        <v>5768</v>
      </c>
      <c r="F1545" s="34" t="n">
        <f aca="false">IFERROR(VLOOKUP($A1545,'319'!$B:$H,7,0),0)</f>
        <v>0</v>
      </c>
      <c r="G1545" s="34" t="n">
        <f aca="false">SUMIFS('12.326ana'!$C:$C,'12.326ana'!$M:$M,redes!A1545)</f>
        <v>0</v>
      </c>
    </row>
    <row r="1546" customFormat="false" ht="14.4" hidden="true" customHeight="false" outlineLevel="0" collapsed="false">
      <c r="A1546" s="34" t="n">
        <v>20328834149</v>
      </c>
      <c r="B1546" s="34" t="s">
        <v>5769</v>
      </c>
      <c r="C1546" s="34" t="s">
        <v>107</v>
      </c>
      <c r="E1546" s="30" t="s">
        <v>3375</v>
      </c>
      <c r="F1546" s="34" t="n">
        <f aca="false">IFERROR(VLOOKUP($A1546,'319'!$B:$H,7,0),0)</f>
        <v>0</v>
      </c>
      <c r="G1546" s="34" t="n">
        <f aca="false">SUMIFS('12.326ana'!$C:$C,'12.326ana'!$M:$M,redes!A1546)</f>
        <v>0</v>
      </c>
    </row>
    <row r="1547" customFormat="false" ht="14.4" hidden="true" customHeight="false" outlineLevel="0" collapsed="false">
      <c r="A1547" s="34" t="n">
        <v>20329784153</v>
      </c>
      <c r="B1547" s="34" t="s">
        <v>5770</v>
      </c>
      <c r="C1547" s="34" t="s">
        <v>1591</v>
      </c>
      <c r="E1547" s="30" t="s">
        <v>5771</v>
      </c>
      <c r="F1547" s="34" t="n">
        <f aca="false">IFERROR(VLOOKUP($A1547,'319'!$B:$H,7,0),0)</f>
        <v>0</v>
      </c>
      <c r="G1547" s="34" t="n">
        <f aca="false">SUMIFS('12.326ana'!$C:$C,'12.326ana'!$M:$M,redes!A1547)</f>
        <v>0</v>
      </c>
    </row>
    <row r="1548" customFormat="false" ht="14.4" hidden="true" customHeight="false" outlineLevel="0" collapsed="false">
      <c r="A1548" s="34" t="n">
        <v>20330332104</v>
      </c>
      <c r="B1548" s="34" t="s">
        <v>5772</v>
      </c>
      <c r="C1548" s="34" t="s">
        <v>77</v>
      </c>
      <c r="E1548" s="30" t="s">
        <v>4276</v>
      </c>
      <c r="F1548" s="34" t="n">
        <f aca="false">IFERROR(VLOOKUP($A1548,'319'!$B:$H,7,0),0)</f>
        <v>0</v>
      </c>
      <c r="G1548" s="34" t="n">
        <f aca="false">SUMIFS('12.326ana'!$C:$C,'12.326ana'!$M:$M,redes!A1548)</f>
        <v>0</v>
      </c>
    </row>
    <row r="1549" customFormat="false" ht="14.4" hidden="true" customHeight="false" outlineLevel="0" collapsed="false">
      <c r="A1549" s="34" t="n">
        <v>20331738104</v>
      </c>
      <c r="B1549" s="34" t="s">
        <v>5773</v>
      </c>
      <c r="C1549" s="34" t="s">
        <v>77</v>
      </c>
      <c r="D1549" s="34" t="s">
        <v>4797</v>
      </c>
      <c r="E1549" s="30" t="s">
        <v>5774</v>
      </c>
      <c r="F1549" s="34" t="n">
        <f aca="false">IFERROR(VLOOKUP($A1549,'319'!$B:$H,7,0),0)</f>
        <v>0</v>
      </c>
      <c r="G1549" s="34" t="n">
        <f aca="false">SUMIFS('12.326ana'!$C:$C,'12.326ana'!$M:$M,redes!A1549)</f>
        <v>0</v>
      </c>
    </row>
    <row r="1550" customFormat="false" ht="14.4" hidden="true" customHeight="false" outlineLevel="0" collapsed="false">
      <c r="A1550" s="34" t="n">
        <v>20334702100</v>
      </c>
      <c r="B1550" s="34" t="s">
        <v>5775</v>
      </c>
      <c r="C1550" s="34" t="s">
        <v>464</v>
      </c>
      <c r="E1550" s="30" t="s">
        <v>5776</v>
      </c>
      <c r="F1550" s="34" t="n">
        <f aca="false">IFERROR(VLOOKUP($A1550,'319'!$B:$H,7,0),0)</f>
        <v>0</v>
      </c>
      <c r="G1550" s="34" t="n">
        <f aca="false">SUMIFS('12.326ana'!$C:$C,'12.326ana'!$M:$M,redes!A1550)</f>
        <v>0</v>
      </c>
    </row>
    <row r="1551" customFormat="false" ht="14.4" hidden="true" customHeight="false" outlineLevel="0" collapsed="false">
      <c r="A1551" s="34" t="n">
        <v>20336543115</v>
      </c>
      <c r="B1551" s="34" t="s">
        <v>5777</v>
      </c>
      <c r="C1551" s="34" t="s">
        <v>103</v>
      </c>
      <c r="E1551" s="30" t="s">
        <v>3588</v>
      </c>
      <c r="F1551" s="34" t="n">
        <f aca="false">IFERROR(VLOOKUP($A1551,'319'!$B:$H,7,0),0)</f>
        <v>0</v>
      </c>
      <c r="G1551" s="34" t="n">
        <f aca="false">SUMIFS('12.326ana'!$C:$C,'12.326ana'!$M:$M,redes!A1551)</f>
        <v>0</v>
      </c>
    </row>
    <row r="1552" customFormat="false" ht="14.4" hidden="true" customHeight="false" outlineLevel="0" collapsed="false">
      <c r="A1552" s="34" t="n">
        <v>20337310904</v>
      </c>
      <c r="B1552" s="34" t="s">
        <v>5778</v>
      </c>
      <c r="C1552" s="34" t="s">
        <v>77</v>
      </c>
      <c r="E1552" s="30" t="s">
        <v>5779</v>
      </c>
      <c r="F1552" s="34" t="n">
        <f aca="false">IFERROR(VLOOKUP($A1552,'319'!$B:$H,7,0),0)</f>
        <v>0</v>
      </c>
      <c r="G1552" s="34" t="n">
        <f aca="false">SUMIFS('12.326ana'!$C:$C,'12.326ana'!$M:$M,redes!A1552)</f>
        <v>0</v>
      </c>
    </row>
    <row r="1553" customFormat="false" ht="14.4" hidden="true" customHeight="false" outlineLevel="0" collapsed="false">
      <c r="A1553" s="34" t="n">
        <v>20345461134</v>
      </c>
      <c r="B1553" s="34" t="s">
        <v>5780</v>
      </c>
      <c r="C1553" s="34" t="s">
        <v>107</v>
      </c>
      <c r="E1553" s="30" t="s">
        <v>5781</v>
      </c>
      <c r="F1553" s="34" t="n">
        <f aca="false">IFERROR(VLOOKUP($A1553,'319'!$B:$H,7,0),0)</f>
        <v>0</v>
      </c>
      <c r="G1553" s="34" t="n">
        <f aca="false">SUMIFS('12.326ana'!$C:$C,'12.326ana'!$M:$M,redes!A1553)</f>
        <v>0</v>
      </c>
    </row>
    <row r="1554" customFormat="false" ht="14.4" hidden="true" customHeight="false" outlineLevel="0" collapsed="false">
      <c r="A1554" s="34" t="n">
        <v>20361890168</v>
      </c>
      <c r="B1554" s="34" t="s">
        <v>5782</v>
      </c>
      <c r="C1554" s="34" t="s">
        <v>309</v>
      </c>
      <c r="E1554" s="30" t="s">
        <v>5783</v>
      </c>
      <c r="F1554" s="34" t="n">
        <f aca="false">IFERROR(VLOOKUP($A1554,'319'!$B:$H,7,0),0)</f>
        <v>0</v>
      </c>
      <c r="G1554" s="34" t="n">
        <f aca="false">SUMIFS('12.326ana'!$C:$C,'12.326ana'!$M:$M,redes!A1554)</f>
        <v>0</v>
      </c>
    </row>
    <row r="1555" customFormat="false" ht="14.4" hidden="true" customHeight="false" outlineLevel="0" collapsed="false">
      <c r="A1555" s="34" t="n">
        <v>20362323100</v>
      </c>
      <c r="B1555" s="34" t="s">
        <v>5784</v>
      </c>
      <c r="C1555" s="34" t="s">
        <v>713</v>
      </c>
      <c r="E1555" s="30" t="s">
        <v>3066</v>
      </c>
      <c r="F1555" s="34" t="n">
        <f aca="false">IFERROR(VLOOKUP($A1555,'319'!$B:$H,7,0),0)</f>
        <v>0</v>
      </c>
      <c r="G1555" s="34" t="n">
        <f aca="false">SUMIFS('12.326ana'!$C:$C,'12.326ana'!$M:$M,redes!A1555)</f>
        <v>0</v>
      </c>
    </row>
    <row r="1556" customFormat="false" ht="14.4" hidden="true" customHeight="false" outlineLevel="0" collapsed="false">
      <c r="A1556" s="34" t="n">
        <v>20379846934</v>
      </c>
      <c r="B1556" s="34" t="s">
        <v>5785</v>
      </c>
      <c r="C1556" s="34" t="s">
        <v>77</v>
      </c>
      <c r="E1556" s="30" t="s">
        <v>5786</v>
      </c>
      <c r="F1556" s="34" t="n">
        <f aca="false">IFERROR(VLOOKUP($A1556,'319'!$B:$H,7,0),0)</f>
        <v>0</v>
      </c>
      <c r="G1556" s="34" t="n">
        <f aca="false">SUMIFS('12.326ana'!$C:$C,'12.326ana'!$M:$M,redes!A1556)</f>
        <v>0</v>
      </c>
    </row>
    <row r="1557" customFormat="false" ht="14.4" hidden="true" customHeight="false" outlineLevel="0" collapsed="false">
      <c r="A1557" s="34" t="n">
        <v>20389248134</v>
      </c>
      <c r="B1557" s="34" t="s">
        <v>5787</v>
      </c>
      <c r="C1557" s="34" t="s">
        <v>463</v>
      </c>
      <c r="E1557" s="30" t="s">
        <v>5788</v>
      </c>
      <c r="F1557" s="34" t="n">
        <f aca="false">IFERROR(VLOOKUP($A1557,'319'!$B:$H,7,0),0)</f>
        <v>0</v>
      </c>
      <c r="G1557" s="34" t="n">
        <f aca="false">SUMIFS('12.326ana'!$C:$C,'12.326ana'!$M:$M,redes!A1557)</f>
        <v>0</v>
      </c>
    </row>
    <row r="1558" customFormat="false" ht="14.4" hidden="true" customHeight="false" outlineLevel="0" collapsed="false">
      <c r="A1558" s="34" t="n">
        <v>20391510100</v>
      </c>
      <c r="B1558" s="34" t="s">
        <v>5789</v>
      </c>
      <c r="C1558" s="34" t="s">
        <v>464</v>
      </c>
      <c r="E1558" s="30" t="s">
        <v>4655</v>
      </c>
      <c r="F1558" s="34" t="n">
        <f aca="false">IFERROR(VLOOKUP($A1558,'319'!$B:$H,7,0),0)</f>
        <v>0</v>
      </c>
      <c r="G1558" s="34" t="n">
        <f aca="false">SUMIFS('12.326ana'!$C:$C,'12.326ana'!$M:$M,redes!A1558)</f>
        <v>0</v>
      </c>
    </row>
    <row r="1559" customFormat="false" ht="14.4" hidden="true" customHeight="false" outlineLevel="0" collapsed="false">
      <c r="A1559" s="34" t="n">
        <v>20392869187</v>
      </c>
      <c r="B1559" s="34" t="s">
        <v>5790</v>
      </c>
      <c r="C1559" s="34" t="s">
        <v>463</v>
      </c>
      <c r="E1559" s="30"/>
      <c r="F1559" s="34" t="n">
        <f aca="false">IFERROR(VLOOKUP($A1559,'319'!$B:$H,7,0),0)</f>
        <v>0</v>
      </c>
      <c r="G1559" s="34" t="n">
        <f aca="false">SUMIFS('12.326ana'!$C:$C,'12.326ana'!$M:$M,redes!A1559)</f>
        <v>0</v>
      </c>
    </row>
    <row r="1560" customFormat="false" ht="14.4" hidden="true" customHeight="false" outlineLevel="0" collapsed="false">
      <c r="A1560" s="34" t="n">
        <v>20399863915</v>
      </c>
      <c r="B1560" s="34" t="s">
        <v>5791</v>
      </c>
      <c r="C1560" s="34" t="s">
        <v>77</v>
      </c>
      <c r="E1560" s="30" t="s">
        <v>5792</v>
      </c>
      <c r="F1560" s="34" t="n">
        <f aca="false">IFERROR(VLOOKUP($A1560,'319'!$B:$H,7,0),0)</f>
        <v>0</v>
      </c>
      <c r="G1560" s="34" t="n">
        <f aca="false">SUMIFS('12.326ana'!$C:$C,'12.326ana'!$M:$M,redes!A1560)</f>
        <v>0</v>
      </c>
    </row>
    <row r="1561" customFormat="false" ht="14.4" hidden="true" customHeight="false" outlineLevel="0" collapsed="false">
      <c r="A1561" s="34" t="n">
        <v>20401140920</v>
      </c>
      <c r="B1561" s="34" t="s">
        <v>5793</v>
      </c>
      <c r="C1561" s="34" t="s">
        <v>77</v>
      </c>
      <c r="E1561" s="30" t="s">
        <v>5794</v>
      </c>
      <c r="F1561" s="34" t="n">
        <f aca="false">IFERROR(VLOOKUP($A1561,'319'!$B:$H,7,0),0)</f>
        <v>0</v>
      </c>
      <c r="G1561" s="34" t="n">
        <f aca="false">SUMIFS('12.326ana'!$C:$C,'12.326ana'!$M:$M,redes!A1561)</f>
        <v>0</v>
      </c>
    </row>
    <row r="1562" customFormat="false" ht="14.4" hidden="true" customHeight="false" outlineLevel="0" collapsed="false">
      <c r="A1562" s="34" t="n">
        <v>20404310125</v>
      </c>
      <c r="B1562" s="34" t="s">
        <v>5795</v>
      </c>
      <c r="C1562" s="34" t="s">
        <v>77</v>
      </c>
      <c r="E1562" s="30" t="s">
        <v>5796</v>
      </c>
      <c r="F1562" s="34" t="n">
        <f aca="false">IFERROR(VLOOKUP($A1562,'319'!$B:$H,7,0),0)</f>
        <v>0</v>
      </c>
      <c r="G1562" s="34" t="n">
        <f aca="false">SUMIFS('12.326ana'!$C:$C,'12.326ana'!$M:$M,redes!A1562)</f>
        <v>0</v>
      </c>
    </row>
    <row r="1563" customFormat="false" ht="14.4" hidden="true" customHeight="false" outlineLevel="0" collapsed="false">
      <c r="A1563" s="34" t="n">
        <v>20406487120</v>
      </c>
      <c r="B1563" s="34" t="s">
        <v>5797</v>
      </c>
      <c r="C1563" s="34" t="s">
        <v>77</v>
      </c>
      <c r="E1563" s="30" t="s">
        <v>5798</v>
      </c>
      <c r="F1563" s="34" t="n">
        <f aca="false">IFERROR(VLOOKUP($A1563,'319'!$B:$H,7,0),0)</f>
        <v>0</v>
      </c>
      <c r="G1563" s="34" t="n">
        <f aca="false">SUMIFS('12.326ana'!$C:$C,'12.326ana'!$M:$M,redes!A1563)</f>
        <v>0</v>
      </c>
    </row>
    <row r="1564" customFormat="false" ht="14.4" hidden="true" customHeight="false" outlineLevel="0" collapsed="false">
      <c r="A1564" s="34" t="n">
        <v>20425430120</v>
      </c>
      <c r="B1564" s="34" t="s">
        <v>5799</v>
      </c>
      <c r="C1564" s="34" t="s">
        <v>1272</v>
      </c>
      <c r="E1564" s="30" t="s">
        <v>5800</v>
      </c>
      <c r="F1564" s="34" t="n">
        <f aca="false">IFERROR(VLOOKUP($A1564,'319'!$B:$H,7,0),0)</f>
        <v>0</v>
      </c>
      <c r="G1564" s="34" t="n">
        <f aca="false">SUMIFS('12.326ana'!$C:$C,'12.326ana'!$M:$M,redes!A1564)</f>
        <v>0</v>
      </c>
    </row>
    <row r="1565" customFormat="false" ht="14.4" hidden="true" customHeight="false" outlineLevel="0" collapsed="false">
      <c r="A1565" s="34" t="n">
        <v>20453990282</v>
      </c>
      <c r="B1565" s="34" t="s">
        <v>5801</v>
      </c>
      <c r="C1565" s="34" t="s">
        <v>77</v>
      </c>
      <c r="E1565" s="30" t="s">
        <v>5802</v>
      </c>
      <c r="F1565" s="34" t="n">
        <f aca="false">IFERROR(VLOOKUP($A1565,'319'!$B:$H,7,0),0)</f>
        <v>0</v>
      </c>
      <c r="G1565" s="34" t="n">
        <f aca="false">SUMIFS('12.326ana'!$C:$C,'12.326ana'!$M:$M,redes!A1565)</f>
        <v>0</v>
      </c>
    </row>
    <row r="1566" customFormat="false" ht="14.4" hidden="true" customHeight="false" outlineLevel="0" collapsed="false">
      <c r="A1566" s="34" t="n">
        <v>20460702831</v>
      </c>
      <c r="B1566" s="34" t="s">
        <v>5803</v>
      </c>
      <c r="C1566" s="34" t="s">
        <v>77</v>
      </c>
      <c r="E1566" s="30" t="s">
        <v>5804</v>
      </c>
      <c r="F1566" s="34" t="n">
        <f aca="false">IFERROR(VLOOKUP($A1566,'319'!$B:$H,7,0),0)</f>
        <v>0</v>
      </c>
      <c r="G1566" s="34" t="n">
        <f aca="false">SUMIFS('12.326ana'!$C:$C,'12.326ana'!$M:$M,redes!A1566)</f>
        <v>0</v>
      </c>
    </row>
    <row r="1567" customFormat="false" ht="14.4" hidden="true" customHeight="false" outlineLevel="0" collapsed="false">
      <c r="A1567" s="34" t="n">
        <v>20507824890</v>
      </c>
      <c r="B1567" s="34" t="s">
        <v>5805</v>
      </c>
      <c r="C1567" s="34" t="s">
        <v>631</v>
      </c>
      <c r="E1567" s="30" t="s">
        <v>5806</v>
      </c>
      <c r="F1567" s="34" t="n">
        <f aca="false">IFERROR(VLOOKUP($A1567,'319'!$B:$H,7,0),0)</f>
        <v>0</v>
      </c>
      <c r="G1567" s="34" t="n">
        <f aca="false">SUMIFS('12.326ana'!$C:$C,'12.326ana'!$M:$M,redes!A1567)</f>
        <v>0</v>
      </c>
    </row>
    <row r="1568" customFormat="false" ht="14.4" hidden="true" customHeight="false" outlineLevel="0" collapsed="false">
      <c r="A1568" s="34" t="n">
        <v>20550790187</v>
      </c>
      <c r="B1568" s="34" t="s">
        <v>5807</v>
      </c>
      <c r="C1568" s="34" t="s">
        <v>77</v>
      </c>
      <c r="E1568" s="30" t="s">
        <v>5808</v>
      </c>
      <c r="F1568" s="34" t="n">
        <f aca="false">IFERROR(VLOOKUP($A1568,'319'!$B:$H,7,0),0)</f>
        <v>0</v>
      </c>
      <c r="G1568" s="34" t="n">
        <f aca="false">SUMIFS('12.326ana'!$C:$C,'12.326ana'!$M:$M,redes!A1568)</f>
        <v>0</v>
      </c>
    </row>
    <row r="1569" customFormat="false" ht="14.4" hidden="true" customHeight="false" outlineLevel="0" collapsed="false">
      <c r="A1569" s="34" t="n">
        <v>20551002115</v>
      </c>
      <c r="B1569" s="34" t="s">
        <v>5809</v>
      </c>
      <c r="C1569" s="34" t="s">
        <v>89</v>
      </c>
      <c r="E1569" s="30" t="s">
        <v>5810</v>
      </c>
      <c r="F1569" s="34" t="n">
        <f aca="false">IFERROR(VLOOKUP($A1569,'319'!$B:$H,7,0),0)</f>
        <v>0</v>
      </c>
      <c r="G1569" s="34" t="n">
        <f aca="false">SUMIFS('12.326ana'!$C:$C,'12.326ana'!$M:$M,redes!A1569)</f>
        <v>0</v>
      </c>
    </row>
    <row r="1570" customFormat="false" ht="14.4" hidden="true" customHeight="false" outlineLevel="0" collapsed="false">
      <c r="A1570" s="34" t="n">
        <v>20553978187</v>
      </c>
      <c r="B1570" s="34" t="s">
        <v>5811</v>
      </c>
      <c r="C1570" s="34" t="s">
        <v>89</v>
      </c>
      <c r="E1570" s="30" t="s">
        <v>5812</v>
      </c>
      <c r="F1570" s="34" t="n">
        <f aca="false">IFERROR(VLOOKUP($A1570,'319'!$B:$H,7,0),0)</f>
        <v>0</v>
      </c>
      <c r="G1570" s="34" t="n">
        <f aca="false">SUMIFS('12.326ana'!$C:$C,'12.326ana'!$M:$M,redes!A1570)</f>
        <v>0</v>
      </c>
    </row>
    <row r="1571" customFormat="false" ht="14.4" hidden="true" customHeight="false" outlineLevel="0" collapsed="false">
      <c r="A1571" s="34" t="n">
        <v>20556888120</v>
      </c>
      <c r="B1571" s="34" t="s">
        <v>5813</v>
      </c>
      <c r="C1571" s="34" t="s">
        <v>89</v>
      </c>
      <c r="E1571" s="30" t="s">
        <v>5814</v>
      </c>
      <c r="F1571" s="34" t="n">
        <f aca="false">IFERROR(VLOOKUP($A1571,'319'!$B:$H,7,0),0)</f>
        <v>0</v>
      </c>
      <c r="G1571" s="34" t="n">
        <f aca="false">SUMIFS('12.326ana'!$C:$C,'12.326ana'!$M:$M,redes!A1571)</f>
        <v>0</v>
      </c>
    </row>
    <row r="1572" customFormat="false" ht="14.4" hidden="true" customHeight="false" outlineLevel="0" collapsed="false">
      <c r="A1572" s="34" t="n">
        <v>20557000149</v>
      </c>
      <c r="B1572" s="34" t="s">
        <v>5815</v>
      </c>
      <c r="C1572" s="34" t="s">
        <v>89</v>
      </c>
      <c r="E1572" s="30" t="s">
        <v>5816</v>
      </c>
      <c r="F1572" s="34" t="n">
        <f aca="false">IFERROR(VLOOKUP($A1572,'319'!$B:$H,7,0),0)</f>
        <v>0</v>
      </c>
      <c r="G1572" s="34" t="n">
        <f aca="false">SUMIFS('12.326ana'!$C:$C,'12.326ana'!$M:$M,redes!A1572)</f>
        <v>0</v>
      </c>
    </row>
    <row r="1573" customFormat="false" ht="14.4" hidden="true" customHeight="false" outlineLevel="0" collapsed="false">
      <c r="A1573" s="34" t="n">
        <v>20563175168</v>
      </c>
      <c r="B1573" s="34" t="s">
        <v>5817</v>
      </c>
      <c r="C1573" s="34" t="s">
        <v>89</v>
      </c>
      <c r="E1573" s="30" t="s">
        <v>5818</v>
      </c>
      <c r="F1573" s="34" t="n">
        <f aca="false">IFERROR(VLOOKUP($A1573,'319'!$B:$H,7,0),0)</f>
        <v>0</v>
      </c>
      <c r="G1573" s="34" t="n">
        <f aca="false">SUMIFS('12.326ana'!$C:$C,'12.326ana'!$M:$M,redes!A1573)</f>
        <v>0</v>
      </c>
    </row>
    <row r="1574" customFormat="false" ht="14.4" hidden="true" customHeight="false" outlineLevel="0" collapsed="false">
      <c r="A1574" s="34" t="n">
        <v>20564864153</v>
      </c>
      <c r="B1574" s="34" t="s">
        <v>5819</v>
      </c>
      <c r="C1574" s="34" t="s">
        <v>565</v>
      </c>
      <c r="E1574" s="30" t="s">
        <v>5820</v>
      </c>
      <c r="F1574" s="34" t="n">
        <f aca="false">IFERROR(VLOOKUP($A1574,'319'!$B:$H,7,0),0)</f>
        <v>0</v>
      </c>
      <c r="G1574" s="34" t="n">
        <f aca="false">SUMIFS('12.326ana'!$C:$C,'12.326ana'!$M:$M,redes!A1574)</f>
        <v>0</v>
      </c>
    </row>
    <row r="1575" customFormat="false" ht="14.4" hidden="true" customHeight="false" outlineLevel="0" collapsed="false">
      <c r="A1575" s="34" t="n">
        <v>20566069172</v>
      </c>
      <c r="B1575" s="34" t="s">
        <v>5821</v>
      </c>
      <c r="C1575" s="34" t="s">
        <v>565</v>
      </c>
      <c r="E1575" s="30" t="s">
        <v>5822</v>
      </c>
      <c r="F1575" s="34" t="n">
        <f aca="false">IFERROR(VLOOKUP($A1575,'319'!$B:$H,7,0),0)</f>
        <v>0</v>
      </c>
      <c r="G1575" s="34" t="n">
        <f aca="false">SUMIFS('12.326ana'!$C:$C,'12.326ana'!$M:$M,redes!A1575)</f>
        <v>0</v>
      </c>
    </row>
    <row r="1576" customFormat="false" ht="14.4" hidden="true" customHeight="false" outlineLevel="0" collapsed="false">
      <c r="A1576" s="34" t="n">
        <v>20669536873</v>
      </c>
      <c r="B1576" s="34" t="s">
        <v>5823</v>
      </c>
      <c r="C1576" s="34" t="s">
        <v>631</v>
      </c>
      <c r="E1576" s="30"/>
      <c r="F1576" s="34" t="n">
        <f aca="false">IFERROR(VLOOKUP($A1576,'319'!$B:$H,7,0),0)</f>
        <v>0</v>
      </c>
      <c r="G1576" s="34" t="n">
        <f aca="false">SUMIFS('12.326ana'!$C:$C,'12.326ana'!$M:$M,redes!A1576)</f>
        <v>0</v>
      </c>
    </row>
    <row r="1577" customFormat="false" ht="14.4" hidden="true" customHeight="false" outlineLevel="0" collapsed="false">
      <c r="A1577" s="34" t="n">
        <v>20671415972</v>
      </c>
      <c r="B1577" s="34" t="s">
        <v>5824</v>
      </c>
      <c r="C1577" s="34" t="s">
        <v>357</v>
      </c>
      <c r="E1577" s="30" t="s">
        <v>5825</v>
      </c>
      <c r="F1577" s="34" t="n">
        <f aca="false">IFERROR(VLOOKUP($A1577,'319'!$B:$H,7,0),0)</f>
        <v>0</v>
      </c>
      <c r="G1577" s="34" t="n">
        <f aca="false">SUMIFS('12.326ana'!$C:$C,'12.326ana'!$M:$M,redes!A1577)</f>
        <v>0</v>
      </c>
    </row>
    <row r="1578" customFormat="false" ht="14.4" hidden="true" customHeight="false" outlineLevel="0" collapsed="false">
      <c r="A1578" s="34" t="n">
        <v>20704976900</v>
      </c>
      <c r="B1578" s="34" t="s">
        <v>5826</v>
      </c>
      <c r="C1578" s="34" t="s">
        <v>77</v>
      </c>
      <c r="E1578" s="30" t="s">
        <v>3206</v>
      </c>
      <c r="F1578" s="34" t="n">
        <f aca="false">IFERROR(VLOOKUP($A1578,'319'!$B:$H,7,0),0)</f>
        <v>0</v>
      </c>
      <c r="G1578" s="34" t="n">
        <f aca="false">SUMIFS('12.326ana'!$C:$C,'12.326ana'!$M:$M,redes!A1578)</f>
        <v>0</v>
      </c>
    </row>
    <row r="1579" customFormat="false" ht="14.4" hidden="true" customHeight="false" outlineLevel="0" collapsed="false">
      <c r="A1579" s="34" t="n">
        <v>20747845115</v>
      </c>
      <c r="B1579" s="34" t="s">
        <v>5827</v>
      </c>
      <c r="C1579" s="34" t="s">
        <v>77</v>
      </c>
      <c r="E1579" s="30" t="s">
        <v>5828</v>
      </c>
      <c r="F1579" s="34" t="n">
        <f aca="false">IFERROR(VLOOKUP($A1579,'319'!$B:$H,7,0),0)</f>
        <v>0</v>
      </c>
      <c r="G1579" s="34" t="n">
        <f aca="false">SUMIFS('12.326ana'!$C:$C,'12.326ana'!$M:$M,redes!A1579)</f>
        <v>0</v>
      </c>
    </row>
    <row r="1580" customFormat="false" ht="14.4" hidden="true" customHeight="false" outlineLevel="0" collapsed="false">
      <c r="A1580" s="34" t="n">
        <v>20892349115</v>
      </c>
      <c r="B1580" s="34" t="s">
        <v>5829</v>
      </c>
      <c r="C1580" s="34" t="s">
        <v>77</v>
      </c>
      <c r="E1580" s="30" t="s">
        <v>5830</v>
      </c>
      <c r="F1580" s="34" t="n">
        <f aca="false">IFERROR(VLOOKUP($A1580,'319'!$B:$H,7,0),0)</f>
        <v>0</v>
      </c>
      <c r="G1580" s="34" t="n">
        <f aca="false">SUMIFS('12.326ana'!$C:$C,'12.326ana'!$M:$M,redes!A1580)</f>
        <v>0</v>
      </c>
    </row>
    <row r="1581" customFormat="false" ht="14.4" hidden="true" customHeight="false" outlineLevel="0" collapsed="false">
      <c r="A1581" s="34" t="n">
        <v>20894473115</v>
      </c>
      <c r="B1581" s="34" t="s">
        <v>5831</v>
      </c>
      <c r="C1581" s="34" t="s">
        <v>463</v>
      </c>
      <c r="E1581" s="30" t="s">
        <v>5832</v>
      </c>
      <c r="F1581" s="34" t="n">
        <f aca="false">IFERROR(VLOOKUP($A1581,'319'!$B:$H,7,0),0)</f>
        <v>0</v>
      </c>
      <c r="G1581" s="34" t="n">
        <f aca="false">SUMIFS('12.326ana'!$C:$C,'12.326ana'!$M:$M,redes!A1581)</f>
        <v>0</v>
      </c>
    </row>
    <row r="1582" customFormat="false" ht="14.4" hidden="true" customHeight="false" outlineLevel="0" collapsed="false">
      <c r="A1582" s="34" t="n">
        <v>20901038172</v>
      </c>
      <c r="B1582" s="34" t="s">
        <v>5833</v>
      </c>
      <c r="C1582" s="34" t="s">
        <v>77</v>
      </c>
      <c r="E1582" s="30" t="s">
        <v>5834</v>
      </c>
      <c r="F1582" s="34" t="n">
        <f aca="false">IFERROR(VLOOKUP($A1582,'319'!$B:$H,7,0),0)</f>
        <v>0</v>
      </c>
      <c r="G1582" s="34" t="n">
        <f aca="false">SUMIFS('12.326ana'!$C:$C,'12.326ana'!$M:$M,redes!A1582)</f>
        <v>0</v>
      </c>
    </row>
    <row r="1583" customFormat="false" ht="14.4" hidden="true" customHeight="false" outlineLevel="0" collapsed="false">
      <c r="A1583" s="34" t="n">
        <v>20906102120</v>
      </c>
      <c r="B1583" s="34" t="s">
        <v>5835</v>
      </c>
      <c r="C1583" s="34" t="s">
        <v>77</v>
      </c>
      <c r="E1583" s="30" t="s">
        <v>5836</v>
      </c>
      <c r="F1583" s="34" t="n">
        <f aca="false">IFERROR(VLOOKUP($A1583,'319'!$B:$H,7,0),0)</f>
        <v>0</v>
      </c>
      <c r="G1583" s="34" t="n">
        <f aca="false">SUMIFS('12.326ana'!$C:$C,'12.326ana'!$M:$M,redes!A1583)</f>
        <v>0</v>
      </c>
    </row>
    <row r="1584" customFormat="false" ht="14.4" hidden="true" customHeight="false" outlineLevel="0" collapsed="false">
      <c r="A1584" s="34" t="n">
        <v>21056341092</v>
      </c>
      <c r="B1584" s="34" t="s">
        <v>5837</v>
      </c>
      <c r="C1584" s="34" t="s">
        <v>463</v>
      </c>
      <c r="E1584" s="30"/>
      <c r="F1584" s="34" t="n">
        <f aca="false">IFERROR(VLOOKUP($A1584,'319'!$B:$H,7,0),0)</f>
        <v>0</v>
      </c>
      <c r="G1584" s="34" t="n">
        <f aca="false">SUMIFS('12.326ana'!$C:$C,'12.326ana'!$M:$M,redes!A1584)</f>
        <v>0</v>
      </c>
    </row>
    <row r="1585" customFormat="false" ht="14.4" hidden="true" customHeight="false" outlineLevel="0" collapsed="false">
      <c r="A1585" s="34" t="n">
        <v>21067090053</v>
      </c>
      <c r="B1585" s="34" t="s">
        <v>5838</v>
      </c>
      <c r="C1585" s="34" t="s">
        <v>117</v>
      </c>
      <c r="E1585" s="30" t="s">
        <v>4010</v>
      </c>
      <c r="F1585" s="34" t="n">
        <f aca="false">IFERROR(VLOOKUP($A1585,'319'!$B:$H,7,0),0)</f>
        <v>0</v>
      </c>
      <c r="G1585" s="34" t="n">
        <f aca="false">SUMIFS('12.326ana'!$C:$C,'12.326ana'!$M:$M,redes!A1585)</f>
        <v>0</v>
      </c>
    </row>
    <row r="1586" customFormat="false" ht="14.4" hidden="true" customHeight="false" outlineLevel="0" collapsed="false">
      <c r="A1586" s="34" t="n">
        <v>21083169904</v>
      </c>
      <c r="B1586" s="34" t="s">
        <v>5839</v>
      </c>
      <c r="C1586" s="34" t="s">
        <v>107</v>
      </c>
      <c r="E1586" s="30" t="s">
        <v>5840</v>
      </c>
      <c r="F1586" s="34" t="n">
        <f aca="false">IFERROR(VLOOKUP($A1586,'319'!$B:$H,7,0),0)</f>
        <v>0</v>
      </c>
      <c r="G1586" s="34" t="n">
        <f aca="false">SUMIFS('12.326ana'!$C:$C,'12.326ana'!$M:$M,redes!A1586)</f>
        <v>0</v>
      </c>
    </row>
    <row r="1587" customFormat="false" ht="14.4" hidden="true" customHeight="false" outlineLevel="0" collapsed="false">
      <c r="A1587" s="34" t="n">
        <v>21108064949</v>
      </c>
      <c r="B1587" s="34" t="s">
        <v>5841</v>
      </c>
      <c r="C1587" s="34" t="s">
        <v>77</v>
      </c>
      <c r="E1587" s="30" t="s">
        <v>5842</v>
      </c>
      <c r="F1587" s="34" t="n">
        <f aca="false">IFERROR(VLOOKUP($A1587,'319'!$B:$H,7,0),0)</f>
        <v>0</v>
      </c>
      <c r="G1587" s="34" t="n">
        <f aca="false">SUMIFS('12.326ana'!$C:$C,'12.326ana'!$M:$M,redes!A1587)</f>
        <v>0</v>
      </c>
    </row>
    <row r="1588" customFormat="false" ht="14.4" hidden="true" customHeight="false" outlineLevel="0" collapsed="false">
      <c r="A1588" s="34" t="n">
        <v>21126950025</v>
      </c>
      <c r="B1588" s="34" t="s">
        <v>5843</v>
      </c>
      <c r="C1588" s="34" t="s">
        <v>464</v>
      </c>
      <c r="E1588" s="30" t="s">
        <v>5844</v>
      </c>
      <c r="F1588" s="34" t="n">
        <f aca="false">IFERROR(VLOOKUP($A1588,'319'!$B:$H,7,0),0)</f>
        <v>0</v>
      </c>
      <c r="G1588" s="34" t="n">
        <f aca="false">SUMIFS('12.326ana'!$C:$C,'12.326ana'!$M:$M,redes!A1588)</f>
        <v>0</v>
      </c>
    </row>
    <row r="1589" customFormat="false" ht="14.4" hidden="true" customHeight="false" outlineLevel="0" collapsed="false">
      <c r="A1589" s="34" t="n">
        <v>21161445900</v>
      </c>
      <c r="B1589" s="34" t="s">
        <v>5845</v>
      </c>
      <c r="C1589" s="34" t="s">
        <v>77</v>
      </c>
      <c r="E1589" s="30" t="s">
        <v>5846</v>
      </c>
      <c r="F1589" s="34" t="n">
        <f aca="false">IFERROR(VLOOKUP($A1589,'319'!$B:$H,7,0),0)</f>
        <v>0</v>
      </c>
      <c r="G1589" s="34" t="n">
        <f aca="false">SUMIFS('12.326ana'!$C:$C,'12.326ana'!$M:$M,redes!A1589)</f>
        <v>0</v>
      </c>
    </row>
    <row r="1590" customFormat="false" ht="14.4" hidden="true" customHeight="false" outlineLevel="0" collapsed="false">
      <c r="A1590" s="34" t="n">
        <v>21182388949</v>
      </c>
      <c r="B1590" s="34" t="s">
        <v>5847</v>
      </c>
      <c r="C1590" s="34" t="s">
        <v>881</v>
      </c>
      <c r="E1590" s="30" t="s">
        <v>5848</v>
      </c>
      <c r="F1590" s="34" t="n">
        <f aca="false">IFERROR(VLOOKUP($A1590,'319'!$B:$H,7,0),0)</f>
        <v>0</v>
      </c>
      <c r="G1590" s="34" t="n">
        <f aca="false">SUMIFS('12.326ana'!$C:$C,'12.326ana'!$M:$M,redes!A1590)</f>
        <v>0</v>
      </c>
    </row>
    <row r="1591" customFormat="false" ht="14.4" hidden="true" customHeight="false" outlineLevel="0" collapsed="false">
      <c r="A1591" s="34" t="n">
        <v>21264872968</v>
      </c>
      <c r="B1591" s="34" t="s">
        <v>5849</v>
      </c>
      <c r="C1591" s="34" t="s">
        <v>351</v>
      </c>
      <c r="E1591" s="30" t="s">
        <v>5850</v>
      </c>
      <c r="F1591" s="34" t="n">
        <f aca="false">IFERROR(VLOOKUP($A1591,'319'!$B:$H,7,0),0)</f>
        <v>0</v>
      </c>
      <c r="G1591" s="34" t="n">
        <f aca="false">SUMIFS('12.326ana'!$C:$C,'12.326ana'!$M:$M,redes!A1591)</f>
        <v>0</v>
      </c>
    </row>
    <row r="1592" customFormat="false" ht="14.4" hidden="true" customHeight="false" outlineLevel="0" collapsed="false">
      <c r="A1592" s="34" t="n">
        <v>21298025915</v>
      </c>
      <c r="B1592" s="34" t="s">
        <v>5851</v>
      </c>
      <c r="C1592" s="34" t="s">
        <v>213</v>
      </c>
      <c r="E1592" s="30" t="s">
        <v>5852</v>
      </c>
      <c r="F1592" s="34" t="n">
        <f aca="false">IFERROR(VLOOKUP($A1592,'319'!$B:$H,7,0),0)</f>
        <v>0</v>
      </c>
      <c r="G1592" s="34" t="n">
        <f aca="false">SUMIFS('12.326ana'!$C:$C,'12.326ana'!$M:$M,redes!A1592)</f>
        <v>0</v>
      </c>
    </row>
    <row r="1593" customFormat="false" ht="14.4" hidden="true" customHeight="false" outlineLevel="0" collapsed="false">
      <c r="A1593" s="34" t="n">
        <v>21298572991</v>
      </c>
      <c r="B1593" s="34" t="s">
        <v>5853</v>
      </c>
      <c r="C1593" s="34" t="s">
        <v>77</v>
      </c>
      <c r="E1593" s="30" t="s">
        <v>5854</v>
      </c>
      <c r="F1593" s="34" t="n">
        <f aca="false">IFERROR(VLOOKUP($A1593,'319'!$B:$H,7,0),0)</f>
        <v>0</v>
      </c>
      <c r="G1593" s="34" t="n">
        <f aca="false">SUMIFS('12.326ana'!$C:$C,'12.326ana'!$M:$M,redes!A1593)</f>
        <v>0</v>
      </c>
    </row>
    <row r="1594" customFormat="false" ht="14.4" hidden="true" customHeight="false" outlineLevel="0" collapsed="false">
      <c r="A1594" s="34" t="n">
        <v>21312260807</v>
      </c>
      <c r="B1594" s="34" t="s">
        <v>5855</v>
      </c>
      <c r="C1594" s="34" t="s">
        <v>77</v>
      </c>
      <c r="E1594" s="30" t="s">
        <v>5856</v>
      </c>
      <c r="F1594" s="34" t="n">
        <f aca="false">IFERROR(VLOOKUP($A1594,'319'!$B:$H,7,0),0)</f>
        <v>0</v>
      </c>
      <c r="G1594" s="34" t="n">
        <f aca="false">SUMIFS('12.326ana'!$C:$C,'12.326ana'!$M:$M,redes!A1594)</f>
        <v>0</v>
      </c>
    </row>
    <row r="1595" customFormat="false" ht="14.4" hidden="true" customHeight="false" outlineLevel="0" collapsed="false">
      <c r="A1595" s="34" t="n">
        <v>21337812854</v>
      </c>
      <c r="B1595" s="34" t="s">
        <v>5857</v>
      </c>
      <c r="C1595" s="34" t="s">
        <v>103</v>
      </c>
      <c r="E1595" s="30" t="s">
        <v>5858</v>
      </c>
      <c r="F1595" s="34" t="n">
        <f aca="false">IFERROR(VLOOKUP($A1595,'319'!$B:$H,7,0),0)</f>
        <v>0</v>
      </c>
      <c r="G1595" s="34" t="n">
        <f aca="false">SUMIFS('12.326ana'!$C:$C,'12.326ana'!$M:$M,redes!A1595)</f>
        <v>0</v>
      </c>
    </row>
    <row r="1596" customFormat="false" ht="14.4" hidden="true" customHeight="false" outlineLevel="0" collapsed="false">
      <c r="A1596" s="34" t="n">
        <v>21404895000</v>
      </c>
      <c r="B1596" s="34" t="s">
        <v>5859</v>
      </c>
      <c r="C1596" s="34" t="s">
        <v>77</v>
      </c>
      <c r="E1596" s="30" t="s">
        <v>5860</v>
      </c>
      <c r="F1596" s="34" t="n">
        <f aca="false">IFERROR(VLOOKUP($A1596,'319'!$B:$H,7,0),0)</f>
        <v>0</v>
      </c>
      <c r="G1596" s="34" t="n">
        <f aca="false">SUMIFS('12.326ana'!$C:$C,'12.326ana'!$M:$M,redes!A1596)</f>
        <v>0</v>
      </c>
    </row>
    <row r="1597" customFormat="false" ht="14.4" hidden="true" customHeight="false" outlineLevel="0" collapsed="false">
      <c r="A1597" s="34" t="n">
        <v>21419738801</v>
      </c>
      <c r="B1597" s="34" t="s">
        <v>5861</v>
      </c>
      <c r="C1597" s="34" t="s">
        <v>107</v>
      </c>
      <c r="E1597" s="30" t="s">
        <v>5862</v>
      </c>
      <c r="F1597" s="34" t="n">
        <f aca="false">IFERROR(VLOOKUP($A1597,'319'!$B:$H,7,0),0)</f>
        <v>0</v>
      </c>
      <c r="G1597" s="34" t="n">
        <f aca="false">SUMIFS('12.326ana'!$C:$C,'12.326ana'!$M:$M,redes!A1597)</f>
        <v>0</v>
      </c>
    </row>
    <row r="1598" customFormat="false" ht="14.4" hidden="true" customHeight="false" outlineLevel="0" collapsed="false">
      <c r="A1598" s="34" t="n">
        <v>21443857858</v>
      </c>
      <c r="B1598" s="34" t="s">
        <v>5863</v>
      </c>
      <c r="C1598" s="34" t="s">
        <v>631</v>
      </c>
      <c r="E1598" s="30" t="s">
        <v>5864</v>
      </c>
      <c r="F1598" s="34" t="n">
        <f aca="false">IFERROR(VLOOKUP($A1598,'319'!$B:$H,7,0),0)</f>
        <v>0</v>
      </c>
      <c r="G1598" s="34" t="n">
        <f aca="false">SUMIFS('12.326ana'!$C:$C,'12.326ana'!$M:$M,redes!A1598)</f>
        <v>0</v>
      </c>
    </row>
    <row r="1599" customFormat="false" ht="14.4" hidden="true" customHeight="false" outlineLevel="0" collapsed="false">
      <c r="A1599" s="34" t="n">
        <v>21451275854</v>
      </c>
      <c r="B1599" s="34" t="s">
        <v>5865</v>
      </c>
      <c r="C1599" s="34" t="s">
        <v>77</v>
      </c>
      <c r="E1599" s="30"/>
      <c r="F1599" s="34" t="n">
        <f aca="false">IFERROR(VLOOKUP($A1599,'319'!$B:$H,7,0),0)</f>
        <v>0</v>
      </c>
      <c r="G1599" s="34" t="n">
        <f aca="false">SUMIFS('12.326ana'!$C:$C,'12.326ana'!$M:$M,redes!A1599)</f>
        <v>0</v>
      </c>
    </row>
    <row r="1600" customFormat="false" ht="14.4" hidden="true" customHeight="false" outlineLevel="0" collapsed="false">
      <c r="A1600" s="34" t="n">
        <v>21462610803</v>
      </c>
      <c r="B1600" s="34" t="s">
        <v>5866</v>
      </c>
      <c r="C1600" s="34" t="s">
        <v>107</v>
      </c>
      <c r="E1600" s="30"/>
      <c r="F1600" s="34" t="n">
        <f aca="false">IFERROR(VLOOKUP($A1600,'319'!$B:$H,7,0),0)</f>
        <v>0</v>
      </c>
      <c r="G1600" s="34" t="n">
        <f aca="false">SUMIFS('12.326ana'!$C:$C,'12.326ana'!$M:$M,redes!A1600)</f>
        <v>0</v>
      </c>
    </row>
    <row r="1601" customFormat="false" ht="14.4" hidden="true" customHeight="false" outlineLevel="0" collapsed="false">
      <c r="A1601" s="34" t="n">
        <v>21482397838</v>
      </c>
      <c r="B1601" s="34" t="s">
        <v>5867</v>
      </c>
      <c r="C1601" s="34" t="s">
        <v>77</v>
      </c>
      <c r="E1601" s="30" t="s">
        <v>5868</v>
      </c>
      <c r="F1601" s="34" t="n">
        <f aca="false">IFERROR(VLOOKUP($A1601,'319'!$B:$H,7,0),0)</f>
        <v>0</v>
      </c>
      <c r="G1601" s="34" t="n">
        <f aca="false">SUMIFS('12.326ana'!$C:$C,'12.326ana'!$M:$M,redes!A1601)</f>
        <v>0</v>
      </c>
    </row>
    <row r="1602" customFormat="false" ht="14.4" hidden="true" customHeight="false" outlineLevel="0" collapsed="false">
      <c r="A1602" s="34" t="n">
        <v>21483483886</v>
      </c>
      <c r="B1602" s="34" t="s">
        <v>5869</v>
      </c>
      <c r="C1602" s="34" t="s">
        <v>77</v>
      </c>
      <c r="E1602" s="30" t="s">
        <v>5870</v>
      </c>
      <c r="F1602" s="34" t="n">
        <f aca="false">IFERROR(VLOOKUP($A1602,'319'!$B:$H,7,0),0)</f>
        <v>0</v>
      </c>
      <c r="G1602" s="34" t="n">
        <f aca="false">SUMIFS('12.326ana'!$C:$C,'12.326ana'!$M:$M,redes!A1602)</f>
        <v>0</v>
      </c>
    </row>
    <row r="1603" customFormat="false" ht="14.4" hidden="true" customHeight="false" outlineLevel="0" collapsed="false">
      <c r="A1603" s="34" t="n">
        <v>21690395893</v>
      </c>
      <c r="B1603" s="34" t="s">
        <v>5871</v>
      </c>
      <c r="C1603" s="34" t="s">
        <v>103</v>
      </c>
      <c r="E1603" s="30" t="s">
        <v>5872</v>
      </c>
      <c r="F1603" s="34" t="n">
        <f aca="false">IFERROR(VLOOKUP($A1603,'319'!$B:$H,7,0),0)</f>
        <v>0</v>
      </c>
      <c r="G1603" s="34" t="n">
        <f aca="false">SUMIFS('12.326ana'!$C:$C,'12.326ana'!$M:$M,redes!A1603)</f>
        <v>0</v>
      </c>
    </row>
    <row r="1604" customFormat="false" ht="14.4" hidden="true" customHeight="false" outlineLevel="0" collapsed="false">
      <c r="A1604" s="34" t="n">
        <v>21720943826</v>
      </c>
      <c r="B1604" s="34" t="s">
        <v>5873</v>
      </c>
      <c r="C1604" s="34" t="s">
        <v>77</v>
      </c>
      <c r="E1604" s="30" t="s">
        <v>5873</v>
      </c>
      <c r="F1604" s="34" t="n">
        <f aca="false">IFERROR(VLOOKUP($A1604,'319'!$B:$H,7,0),0)</f>
        <v>0</v>
      </c>
      <c r="G1604" s="34" t="n">
        <f aca="false">SUMIFS('12.326ana'!$C:$C,'12.326ana'!$M:$M,redes!A1604)</f>
        <v>0</v>
      </c>
    </row>
    <row r="1605" customFormat="false" ht="14.4" hidden="true" customHeight="false" outlineLevel="0" collapsed="false">
      <c r="A1605" s="34" t="n">
        <v>21826978020</v>
      </c>
      <c r="B1605" s="34" t="s">
        <v>5874</v>
      </c>
      <c r="C1605" s="34" t="s">
        <v>77</v>
      </c>
      <c r="E1605" s="30" t="s">
        <v>5875</v>
      </c>
      <c r="F1605" s="34" t="n">
        <f aca="false">IFERROR(VLOOKUP($A1605,'319'!$B:$H,7,0),0)</f>
        <v>0</v>
      </c>
      <c r="G1605" s="34" t="n">
        <f aca="false">SUMIFS('12.326ana'!$C:$C,'12.326ana'!$M:$M,redes!A1605)</f>
        <v>0</v>
      </c>
    </row>
    <row r="1606" customFormat="false" ht="14.4" hidden="true" customHeight="false" outlineLevel="0" collapsed="false">
      <c r="A1606" s="34" t="n">
        <v>21835632904</v>
      </c>
      <c r="B1606" s="34" t="s">
        <v>5876</v>
      </c>
      <c r="C1606" s="34" t="s">
        <v>77</v>
      </c>
      <c r="E1606" s="30" t="s">
        <v>5877</v>
      </c>
      <c r="F1606" s="34" t="n">
        <f aca="false">IFERROR(VLOOKUP($A1606,'319'!$B:$H,7,0),0)</f>
        <v>0</v>
      </c>
      <c r="G1606" s="34" t="n">
        <f aca="false">SUMIFS('12.326ana'!$C:$C,'12.326ana'!$M:$M,redes!A1606)</f>
        <v>0</v>
      </c>
    </row>
    <row r="1607" customFormat="false" ht="14.4" hidden="true" customHeight="false" outlineLevel="0" collapsed="false">
      <c r="A1607" s="34" t="n">
        <v>21841539821</v>
      </c>
      <c r="B1607" s="34" t="s">
        <v>5878</v>
      </c>
      <c r="C1607" s="34" t="s">
        <v>107</v>
      </c>
      <c r="E1607" s="30" t="s">
        <v>5879</v>
      </c>
      <c r="F1607" s="34" t="n">
        <f aca="false">IFERROR(VLOOKUP($A1607,'319'!$B:$H,7,0),0)</f>
        <v>0</v>
      </c>
      <c r="G1607" s="34" t="n">
        <f aca="false">SUMIFS('12.326ana'!$C:$C,'12.326ana'!$M:$M,redes!A1607)</f>
        <v>0</v>
      </c>
    </row>
    <row r="1608" customFormat="false" ht="14.4" hidden="true" customHeight="false" outlineLevel="0" collapsed="false">
      <c r="A1608" s="34" t="n">
        <v>21903590310</v>
      </c>
      <c r="B1608" s="34" t="s">
        <v>5880</v>
      </c>
      <c r="C1608" s="34" t="s">
        <v>781</v>
      </c>
      <c r="E1608" s="30" t="s">
        <v>5881</v>
      </c>
      <c r="F1608" s="34" t="n">
        <f aca="false">IFERROR(VLOOKUP($A1608,'319'!$B:$H,7,0),0)</f>
        <v>0</v>
      </c>
      <c r="G1608" s="34" t="n">
        <f aca="false">SUMIFS('12.326ana'!$C:$C,'12.326ana'!$M:$M,redes!A1608)</f>
        <v>0</v>
      </c>
    </row>
    <row r="1609" customFormat="false" ht="14.4" hidden="true" customHeight="false" outlineLevel="0" collapsed="false">
      <c r="A1609" s="34" t="n">
        <v>22024913172</v>
      </c>
      <c r="B1609" s="34" t="s">
        <v>5882</v>
      </c>
      <c r="C1609" s="34" t="s">
        <v>77</v>
      </c>
      <c r="E1609" s="30" t="s">
        <v>5883</v>
      </c>
      <c r="F1609" s="34" t="n">
        <f aca="false">IFERROR(VLOOKUP($A1609,'319'!$B:$H,7,0),0)</f>
        <v>0</v>
      </c>
      <c r="G1609" s="34" t="n">
        <f aca="false">SUMIFS('12.326ana'!$C:$C,'12.326ana'!$M:$M,redes!A1609)</f>
        <v>0</v>
      </c>
    </row>
    <row r="1610" customFormat="false" ht="14.4" hidden="true" customHeight="false" outlineLevel="0" collapsed="false">
      <c r="A1610" s="34" t="n">
        <v>22026738149</v>
      </c>
      <c r="B1610" s="34" t="s">
        <v>5884</v>
      </c>
      <c r="C1610" s="34" t="s">
        <v>77</v>
      </c>
      <c r="E1610" s="30" t="s">
        <v>5885</v>
      </c>
      <c r="F1610" s="34" t="n">
        <f aca="false">IFERROR(VLOOKUP($A1610,'319'!$B:$H,7,0),0)</f>
        <v>0</v>
      </c>
      <c r="G1610" s="34" t="n">
        <f aca="false">SUMIFS('12.326ana'!$C:$C,'12.326ana'!$M:$M,redes!A1610)</f>
        <v>0</v>
      </c>
    </row>
    <row r="1611" customFormat="false" ht="14.4" hidden="true" customHeight="false" outlineLevel="0" collapsed="false">
      <c r="A1611" s="34" t="n">
        <v>22030662100</v>
      </c>
      <c r="B1611" s="34" t="s">
        <v>5886</v>
      </c>
      <c r="C1611" s="34" t="s">
        <v>77</v>
      </c>
      <c r="E1611" s="30" t="s">
        <v>5887</v>
      </c>
      <c r="F1611" s="34" t="n">
        <f aca="false">IFERROR(VLOOKUP($A1611,'319'!$B:$H,7,0),0)</f>
        <v>0</v>
      </c>
      <c r="G1611" s="34" t="n">
        <f aca="false">SUMIFS('12.326ana'!$C:$C,'12.326ana'!$M:$M,redes!A1611)</f>
        <v>0</v>
      </c>
    </row>
    <row r="1612" customFormat="false" ht="14.4" hidden="true" customHeight="false" outlineLevel="0" collapsed="false">
      <c r="A1612" s="34" t="n">
        <v>22034820100</v>
      </c>
      <c r="B1612" s="34" t="s">
        <v>5888</v>
      </c>
      <c r="C1612" s="34" t="s">
        <v>77</v>
      </c>
      <c r="E1612" s="30"/>
      <c r="F1612" s="34" t="n">
        <f aca="false">IFERROR(VLOOKUP($A1612,'319'!$B:$H,7,0),0)</f>
        <v>0</v>
      </c>
      <c r="G1612" s="34" t="n">
        <f aca="false">SUMIFS('12.326ana'!$C:$C,'12.326ana'!$M:$M,redes!A1612)</f>
        <v>0</v>
      </c>
    </row>
    <row r="1613" customFormat="false" ht="14.4" hidden="true" customHeight="false" outlineLevel="0" collapsed="false">
      <c r="A1613" s="34" t="n">
        <v>22088768904</v>
      </c>
      <c r="B1613" s="34" t="s">
        <v>5889</v>
      </c>
      <c r="C1613" s="34" t="s">
        <v>77</v>
      </c>
      <c r="E1613" s="30" t="s">
        <v>5890</v>
      </c>
      <c r="F1613" s="34" t="n">
        <f aca="false">IFERROR(VLOOKUP($A1613,'319'!$B:$H,7,0),0)</f>
        <v>0</v>
      </c>
      <c r="G1613" s="34" t="n">
        <f aca="false">SUMIFS('12.326ana'!$C:$C,'12.326ana'!$M:$M,redes!A1613)</f>
        <v>0</v>
      </c>
    </row>
    <row r="1614" customFormat="false" ht="14.4" hidden="true" customHeight="false" outlineLevel="0" collapsed="false">
      <c r="A1614" s="34" t="n">
        <v>22148856847</v>
      </c>
      <c r="B1614" s="34" t="s">
        <v>5891</v>
      </c>
      <c r="C1614" s="34" t="s">
        <v>562</v>
      </c>
      <c r="E1614" s="30" t="s">
        <v>5892</v>
      </c>
      <c r="F1614" s="34" t="n">
        <f aca="false">IFERROR(VLOOKUP($A1614,'319'!$B:$H,7,0),0)</f>
        <v>0</v>
      </c>
      <c r="G1614" s="34" t="n">
        <f aca="false">SUMIFS('12.326ana'!$C:$C,'12.326ana'!$M:$M,redes!A1614)</f>
        <v>0</v>
      </c>
    </row>
    <row r="1615" customFormat="false" ht="14.4" hidden="true" customHeight="false" outlineLevel="0" collapsed="false">
      <c r="A1615" s="34" t="n">
        <v>22240837187</v>
      </c>
      <c r="B1615" s="34" t="s">
        <v>5893</v>
      </c>
      <c r="C1615" s="34" t="s">
        <v>77</v>
      </c>
      <c r="E1615" s="30" t="s">
        <v>5894</v>
      </c>
      <c r="F1615" s="34" t="n">
        <f aca="false">IFERROR(VLOOKUP($A1615,'319'!$B:$H,7,0),0)</f>
        <v>0</v>
      </c>
      <c r="G1615" s="34" t="n">
        <f aca="false">SUMIFS('12.326ana'!$C:$C,'12.326ana'!$M:$M,redes!A1615)</f>
        <v>0</v>
      </c>
    </row>
    <row r="1616" customFormat="false" ht="14.4" hidden="true" customHeight="false" outlineLevel="0" collapsed="false">
      <c r="A1616" s="34" t="n">
        <v>22395469807</v>
      </c>
      <c r="B1616" s="34" t="s">
        <v>5895</v>
      </c>
      <c r="C1616" s="34" t="s">
        <v>565</v>
      </c>
      <c r="E1616" s="30" t="s">
        <v>5896</v>
      </c>
      <c r="F1616" s="34" t="n">
        <f aca="false">IFERROR(VLOOKUP($A1616,'319'!$B:$H,7,0),0)</f>
        <v>0</v>
      </c>
      <c r="G1616" s="34" t="n">
        <f aca="false">SUMIFS('12.326ana'!$C:$C,'12.326ana'!$M:$M,redes!A1616)</f>
        <v>0</v>
      </c>
    </row>
    <row r="1617" customFormat="false" ht="14.4" hidden="true" customHeight="false" outlineLevel="0" collapsed="false">
      <c r="A1617" s="34" t="n">
        <v>22671805888</v>
      </c>
      <c r="B1617" s="34" t="s">
        <v>5897</v>
      </c>
      <c r="C1617" s="34" t="s">
        <v>328</v>
      </c>
      <c r="E1617" s="30" t="s">
        <v>5898</v>
      </c>
      <c r="F1617" s="34" t="n">
        <f aca="false">IFERROR(VLOOKUP($A1617,'319'!$B:$H,7,0),0)</f>
        <v>0</v>
      </c>
      <c r="G1617" s="34" t="n">
        <f aca="false">SUMIFS('12.326ana'!$C:$C,'12.326ana'!$M:$M,redes!A1617)</f>
        <v>0</v>
      </c>
    </row>
    <row r="1618" customFormat="false" ht="14.4" hidden="true" customHeight="false" outlineLevel="0" collapsed="false">
      <c r="A1618" s="34" t="n">
        <v>22677597802</v>
      </c>
      <c r="B1618" s="34" t="s">
        <v>5899</v>
      </c>
      <c r="C1618" s="34" t="s">
        <v>77</v>
      </c>
      <c r="E1618" s="30"/>
      <c r="F1618" s="34" t="n">
        <f aca="false">IFERROR(VLOOKUP($A1618,'319'!$B:$H,7,0),0)</f>
        <v>0</v>
      </c>
      <c r="G1618" s="34" t="n">
        <f aca="false">SUMIFS('12.326ana'!$C:$C,'12.326ana'!$M:$M,redes!A1618)</f>
        <v>0</v>
      </c>
    </row>
    <row r="1619" customFormat="false" ht="14.4" hidden="true" customHeight="false" outlineLevel="0" collapsed="false">
      <c r="A1619" s="34" t="n">
        <v>23024798153</v>
      </c>
      <c r="B1619" s="34" t="s">
        <v>5900</v>
      </c>
      <c r="C1619" s="34" t="s">
        <v>77</v>
      </c>
      <c r="E1619" s="30" t="s">
        <v>3632</v>
      </c>
      <c r="F1619" s="34" t="n">
        <f aca="false">IFERROR(VLOOKUP($A1619,'319'!$B:$H,7,0),0)</f>
        <v>0</v>
      </c>
      <c r="G1619" s="34" t="n">
        <f aca="false">SUMIFS('12.326ana'!$C:$C,'12.326ana'!$M:$M,redes!A1619)</f>
        <v>0</v>
      </c>
    </row>
    <row r="1620" customFormat="false" ht="14.4" hidden="true" customHeight="false" outlineLevel="0" collapsed="false">
      <c r="A1620" s="34" t="n">
        <v>23035170100</v>
      </c>
      <c r="B1620" s="34" t="s">
        <v>5901</v>
      </c>
      <c r="C1620" s="34" t="s">
        <v>77</v>
      </c>
      <c r="E1620" s="30" t="s">
        <v>5902</v>
      </c>
      <c r="F1620" s="34" t="n">
        <f aca="false">IFERROR(VLOOKUP($A1620,'319'!$B:$H,7,0),0)</f>
        <v>0</v>
      </c>
      <c r="G1620" s="34" t="n">
        <f aca="false">SUMIFS('12.326ana'!$C:$C,'12.326ana'!$M:$M,redes!A1620)</f>
        <v>0</v>
      </c>
    </row>
    <row r="1621" customFormat="false" ht="14.4" hidden="true" customHeight="false" outlineLevel="0" collapsed="false">
      <c r="A1621" s="34" t="n">
        <v>23041447134</v>
      </c>
      <c r="B1621" s="34" t="s">
        <v>5903</v>
      </c>
      <c r="C1621" s="34" t="s">
        <v>77</v>
      </c>
      <c r="E1621" s="30" t="s">
        <v>5904</v>
      </c>
      <c r="F1621" s="34" t="n">
        <f aca="false">IFERROR(VLOOKUP($A1621,'319'!$B:$H,7,0),0)</f>
        <v>0</v>
      </c>
      <c r="G1621" s="34" t="n">
        <f aca="false">SUMIFS('12.326ana'!$C:$C,'12.326ana'!$M:$M,redes!A1621)</f>
        <v>0</v>
      </c>
    </row>
    <row r="1622" customFormat="false" ht="14.4" hidden="true" customHeight="false" outlineLevel="0" collapsed="false">
      <c r="A1622" s="34" t="n">
        <v>23054964191</v>
      </c>
      <c r="B1622" s="34" t="s">
        <v>5905</v>
      </c>
      <c r="C1622" s="34" t="s">
        <v>77</v>
      </c>
      <c r="E1622" s="30" t="s">
        <v>5906</v>
      </c>
      <c r="F1622" s="34" t="n">
        <f aca="false">IFERROR(VLOOKUP($A1622,'319'!$B:$H,7,0),0)</f>
        <v>0</v>
      </c>
      <c r="G1622" s="34" t="n">
        <f aca="false">SUMIFS('12.326ana'!$C:$C,'12.326ana'!$M:$M,redes!A1622)</f>
        <v>0</v>
      </c>
    </row>
    <row r="1623" customFormat="false" ht="14.4" hidden="true" customHeight="false" outlineLevel="0" collapsed="false">
      <c r="A1623" s="34" t="n">
        <v>23057181104</v>
      </c>
      <c r="B1623" s="34" t="s">
        <v>5907</v>
      </c>
      <c r="C1623" s="34" t="s">
        <v>77</v>
      </c>
      <c r="E1623" s="30" t="s">
        <v>5908</v>
      </c>
      <c r="F1623" s="34" t="n">
        <f aca="false">IFERROR(VLOOKUP($A1623,'319'!$B:$H,7,0),0)</f>
        <v>0</v>
      </c>
      <c r="G1623" s="34" t="n">
        <f aca="false">SUMIFS('12.326ana'!$C:$C,'12.326ana'!$M:$M,redes!A1623)</f>
        <v>0</v>
      </c>
    </row>
    <row r="1624" customFormat="false" ht="14.4" hidden="true" customHeight="false" outlineLevel="0" collapsed="false">
      <c r="A1624" s="34" t="n">
        <v>23064471104</v>
      </c>
      <c r="B1624" s="34" t="s">
        <v>5909</v>
      </c>
      <c r="C1624" s="34" t="s">
        <v>1054</v>
      </c>
      <c r="E1624" s="30" t="s">
        <v>5910</v>
      </c>
      <c r="F1624" s="34" t="n">
        <f aca="false">IFERROR(VLOOKUP($A1624,'319'!$B:$H,7,0),0)</f>
        <v>0</v>
      </c>
      <c r="G1624" s="34" t="n">
        <f aca="false">SUMIFS('12.326ana'!$C:$C,'12.326ana'!$M:$M,redes!A1624)</f>
        <v>0</v>
      </c>
    </row>
    <row r="1625" customFormat="false" ht="14.4" hidden="true" customHeight="false" outlineLevel="0" collapsed="false">
      <c r="A1625" s="34" t="n">
        <v>23065249120</v>
      </c>
      <c r="B1625" s="34" t="s">
        <v>5911</v>
      </c>
      <c r="C1625" s="34" t="s">
        <v>77</v>
      </c>
      <c r="E1625" s="30" t="s">
        <v>5912</v>
      </c>
      <c r="F1625" s="34" t="n">
        <f aca="false">IFERROR(VLOOKUP($A1625,'319'!$B:$H,7,0),0)</f>
        <v>0</v>
      </c>
      <c r="G1625" s="34" t="n">
        <f aca="false">SUMIFS('12.326ana'!$C:$C,'12.326ana'!$M:$M,redes!A1625)</f>
        <v>0</v>
      </c>
    </row>
    <row r="1626" customFormat="false" ht="14.4" hidden="true" customHeight="false" outlineLevel="0" collapsed="false">
      <c r="A1626" s="34" t="n">
        <v>23078782115</v>
      </c>
      <c r="B1626" s="34" t="s">
        <v>5913</v>
      </c>
      <c r="C1626" s="34" t="s">
        <v>77</v>
      </c>
      <c r="E1626" s="30" t="s">
        <v>5913</v>
      </c>
      <c r="F1626" s="34" t="n">
        <f aca="false">IFERROR(VLOOKUP($A1626,'319'!$B:$H,7,0),0)</f>
        <v>0</v>
      </c>
      <c r="G1626" s="34" t="n">
        <f aca="false">SUMIFS('12.326ana'!$C:$C,'12.326ana'!$M:$M,redes!A1626)</f>
        <v>0</v>
      </c>
    </row>
    <row r="1627" customFormat="false" ht="14.4" hidden="true" customHeight="false" outlineLevel="0" collapsed="false">
      <c r="A1627" s="34" t="n">
        <v>23080159187</v>
      </c>
      <c r="B1627" s="34" t="s">
        <v>5914</v>
      </c>
      <c r="C1627" s="34" t="s">
        <v>77</v>
      </c>
      <c r="E1627" s="30" t="s">
        <v>5915</v>
      </c>
      <c r="F1627" s="34" t="n">
        <f aca="false">IFERROR(VLOOKUP($A1627,'319'!$B:$H,7,0),0)</f>
        <v>0</v>
      </c>
      <c r="G1627" s="34" t="n">
        <f aca="false">SUMIFS('12.326ana'!$C:$C,'12.326ana'!$M:$M,redes!A1627)</f>
        <v>0</v>
      </c>
    </row>
    <row r="1628" customFormat="false" ht="14.4" hidden="true" customHeight="false" outlineLevel="0" collapsed="false">
      <c r="A1628" s="34" t="n">
        <v>23082186149</v>
      </c>
      <c r="B1628" s="34" t="s">
        <v>5916</v>
      </c>
      <c r="C1628" s="34" t="s">
        <v>77</v>
      </c>
      <c r="E1628" s="30" t="s">
        <v>5917</v>
      </c>
      <c r="F1628" s="34" t="n">
        <f aca="false">IFERROR(VLOOKUP($A1628,'319'!$B:$H,7,0),0)</f>
        <v>0</v>
      </c>
      <c r="G1628" s="34" t="n">
        <f aca="false">SUMIFS('12.326ana'!$C:$C,'12.326ana'!$M:$M,redes!A1628)</f>
        <v>0</v>
      </c>
    </row>
    <row r="1629" customFormat="false" ht="14.4" hidden="true" customHeight="false" outlineLevel="0" collapsed="false">
      <c r="A1629" s="34" t="n">
        <v>23095229100</v>
      </c>
      <c r="B1629" s="34" t="s">
        <v>5918</v>
      </c>
      <c r="C1629" s="34" t="s">
        <v>107</v>
      </c>
      <c r="E1629" s="30" t="s">
        <v>5919</v>
      </c>
      <c r="F1629" s="34" t="n">
        <f aca="false">IFERROR(VLOOKUP($A1629,'319'!$B:$H,7,0),0)</f>
        <v>0</v>
      </c>
      <c r="G1629" s="34" t="n">
        <f aca="false">SUMIFS('12.326ana'!$C:$C,'12.326ana'!$M:$M,redes!A1629)</f>
        <v>0</v>
      </c>
    </row>
    <row r="1630" customFormat="false" ht="14.4" hidden="true" customHeight="false" outlineLevel="0" collapsed="false">
      <c r="A1630" s="34" t="n">
        <v>23100095120</v>
      </c>
      <c r="B1630" s="34" t="s">
        <v>5920</v>
      </c>
      <c r="C1630" s="34" t="s">
        <v>77</v>
      </c>
      <c r="E1630" s="30" t="s">
        <v>5921</v>
      </c>
      <c r="F1630" s="34" t="n">
        <f aca="false">IFERROR(VLOOKUP($A1630,'319'!$B:$H,7,0),0)</f>
        <v>0</v>
      </c>
      <c r="G1630" s="34" t="n">
        <f aca="false">SUMIFS('12.326ana'!$C:$C,'12.326ana'!$M:$M,redes!A1630)</f>
        <v>0</v>
      </c>
    </row>
    <row r="1631" customFormat="false" ht="14.4" hidden="true" customHeight="false" outlineLevel="0" collapsed="false">
      <c r="A1631" s="34" t="n">
        <v>23106506172</v>
      </c>
      <c r="B1631" s="34" t="s">
        <v>5922</v>
      </c>
      <c r="C1631" s="34" t="s">
        <v>77</v>
      </c>
      <c r="E1631" s="30" t="s">
        <v>5923</v>
      </c>
      <c r="F1631" s="34" t="n">
        <f aca="false">IFERROR(VLOOKUP($A1631,'319'!$B:$H,7,0),0)</f>
        <v>0</v>
      </c>
      <c r="G1631" s="34" t="n">
        <f aca="false">SUMIFS('12.326ana'!$C:$C,'12.326ana'!$M:$M,redes!A1631)</f>
        <v>0</v>
      </c>
    </row>
    <row r="1632" customFormat="false" ht="14.4" hidden="true" customHeight="false" outlineLevel="0" collapsed="false">
      <c r="A1632" s="34" t="n">
        <v>23111984168</v>
      </c>
      <c r="B1632" s="34" t="s">
        <v>5924</v>
      </c>
      <c r="C1632" s="34" t="s">
        <v>77</v>
      </c>
      <c r="E1632" s="30" t="s">
        <v>3194</v>
      </c>
      <c r="F1632" s="34" t="n">
        <f aca="false">IFERROR(VLOOKUP($A1632,'319'!$B:$H,7,0),0)</f>
        <v>0</v>
      </c>
      <c r="G1632" s="34" t="n">
        <f aca="false">SUMIFS('12.326ana'!$C:$C,'12.326ana'!$M:$M,redes!A1632)</f>
        <v>0</v>
      </c>
    </row>
    <row r="1633" customFormat="false" ht="14.4" hidden="true" customHeight="false" outlineLevel="0" collapsed="false">
      <c r="A1633" s="34" t="n">
        <v>23148269810</v>
      </c>
      <c r="B1633" s="34" t="s">
        <v>5925</v>
      </c>
      <c r="C1633" s="34" t="s">
        <v>77</v>
      </c>
      <c r="E1633" s="30"/>
      <c r="F1633" s="34" t="n">
        <f aca="false">IFERROR(VLOOKUP($A1633,'319'!$B:$H,7,0),0)</f>
        <v>0</v>
      </c>
      <c r="G1633" s="34" t="n">
        <f aca="false">SUMIFS('12.326ana'!$C:$C,'12.326ana'!$M:$M,redes!A1633)</f>
        <v>0</v>
      </c>
    </row>
    <row r="1634" customFormat="false" ht="14.4" hidden="true" customHeight="false" outlineLevel="0" collapsed="false">
      <c r="A1634" s="34" t="n">
        <v>23158900934</v>
      </c>
      <c r="B1634" s="34" t="s">
        <v>5926</v>
      </c>
      <c r="C1634" s="34" t="s">
        <v>77</v>
      </c>
      <c r="E1634" s="30"/>
      <c r="F1634" s="34" t="n">
        <f aca="false">IFERROR(VLOOKUP($A1634,'319'!$B:$H,7,0),0)</f>
        <v>0</v>
      </c>
      <c r="G1634" s="34" t="n">
        <f aca="false">SUMIFS('12.326ana'!$C:$C,'12.326ana'!$M:$M,redes!A1634)</f>
        <v>0</v>
      </c>
    </row>
    <row r="1635" customFormat="false" ht="14.4" hidden="true" customHeight="false" outlineLevel="0" collapsed="false">
      <c r="A1635" s="34" t="n">
        <v>23283416915</v>
      </c>
      <c r="B1635" s="34" t="s">
        <v>5927</v>
      </c>
      <c r="C1635" s="34" t="s">
        <v>463</v>
      </c>
      <c r="E1635" s="30" t="s">
        <v>5928</v>
      </c>
      <c r="F1635" s="34" t="n">
        <f aca="false">IFERROR(VLOOKUP($A1635,'319'!$B:$H,7,0),0)</f>
        <v>0</v>
      </c>
      <c r="G1635" s="34" t="n">
        <f aca="false">SUMIFS('12.326ana'!$C:$C,'12.326ana'!$M:$M,redes!A1635)</f>
        <v>0</v>
      </c>
    </row>
    <row r="1636" customFormat="false" ht="14.4" hidden="true" customHeight="false" outlineLevel="0" collapsed="false">
      <c r="A1636" s="34" t="n">
        <v>23323639987</v>
      </c>
      <c r="B1636" s="34" t="s">
        <v>5929</v>
      </c>
      <c r="C1636" s="34" t="s">
        <v>962</v>
      </c>
      <c r="E1636" s="30" t="s">
        <v>5930</v>
      </c>
      <c r="F1636" s="34" t="n">
        <f aca="false">IFERROR(VLOOKUP($A1636,'319'!$B:$H,7,0),0)</f>
        <v>0</v>
      </c>
      <c r="G1636" s="34" t="n">
        <f aca="false">SUMIFS('12.326ana'!$C:$C,'12.326ana'!$M:$M,redes!A1636)</f>
        <v>0</v>
      </c>
    </row>
    <row r="1637" customFormat="false" ht="14.4" hidden="true" customHeight="false" outlineLevel="0" collapsed="false">
      <c r="A1637" s="34" t="n">
        <v>23411406615</v>
      </c>
      <c r="B1637" s="34" t="s">
        <v>5931</v>
      </c>
      <c r="C1637" s="34" t="s">
        <v>77</v>
      </c>
      <c r="E1637" s="30" t="s">
        <v>5932</v>
      </c>
      <c r="F1637" s="34" t="n">
        <f aca="false">IFERROR(VLOOKUP($A1637,'319'!$B:$H,7,0),0)</f>
        <v>0</v>
      </c>
      <c r="G1637" s="34" t="n">
        <f aca="false">SUMIFS('12.326ana'!$C:$C,'12.326ana'!$M:$M,redes!A1637)</f>
        <v>0</v>
      </c>
    </row>
    <row r="1638" customFormat="false" ht="14.4" hidden="true" customHeight="false" outlineLevel="0" collapsed="false">
      <c r="A1638" s="34" t="n">
        <v>23478306949</v>
      </c>
      <c r="B1638" s="34" t="s">
        <v>5933</v>
      </c>
      <c r="C1638" s="34" t="s">
        <v>77</v>
      </c>
      <c r="E1638" s="30" t="s">
        <v>4630</v>
      </c>
      <c r="F1638" s="34" t="n">
        <f aca="false">IFERROR(VLOOKUP($A1638,'319'!$B:$H,7,0),0)</f>
        <v>0</v>
      </c>
      <c r="G1638" s="34" t="n">
        <f aca="false">SUMIFS('12.326ana'!$C:$C,'12.326ana'!$M:$M,redes!A1638)</f>
        <v>0</v>
      </c>
    </row>
    <row r="1639" customFormat="false" ht="14.4" hidden="true" customHeight="false" outlineLevel="0" collapsed="false">
      <c r="A1639" s="34" t="n">
        <v>23522020197</v>
      </c>
      <c r="B1639" s="34" t="s">
        <v>5934</v>
      </c>
      <c r="C1639" s="34" t="s">
        <v>77</v>
      </c>
      <c r="E1639" s="30" t="s">
        <v>5935</v>
      </c>
      <c r="F1639" s="34" t="n">
        <f aca="false">IFERROR(VLOOKUP($A1639,'319'!$B:$H,7,0),0)</f>
        <v>0</v>
      </c>
      <c r="G1639" s="34" t="n">
        <f aca="false">SUMIFS('12.326ana'!$C:$C,'12.326ana'!$M:$M,redes!A1639)</f>
        <v>0</v>
      </c>
    </row>
    <row r="1640" customFormat="false" ht="14.4" hidden="true" customHeight="false" outlineLevel="0" collapsed="false">
      <c r="A1640" s="34" t="n">
        <v>23592010697</v>
      </c>
      <c r="B1640" s="34" t="s">
        <v>5936</v>
      </c>
      <c r="C1640" s="34" t="s">
        <v>139</v>
      </c>
      <c r="E1640" s="30" t="s">
        <v>5937</v>
      </c>
      <c r="F1640" s="34" t="n">
        <f aca="false">IFERROR(VLOOKUP($A1640,'319'!$B:$H,7,0),0)</f>
        <v>0</v>
      </c>
      <c r="G1640" s="34" t="n">
        <f aca="false">SUMIFS('12.326ana'!$C:$C,'12.326ana'!$M:$M,redes!A1640)</f>
        <v>0</v>
      </c>
    </row>
    <row r="1641" customFormat="false" ht="14.4" hidden="true" customHeight="false" outlineLevel="0" collapsed="false">
      <c r="A1641" s="34" t="n">
        <v>23666498191</v>
      </c>
      <c r="B1641" s="34" t="s">
        <v>5938</v>
      </c>
      <c r="C1641" s="34" t="s">
        <v>1054</v>
      </c>
      <c r="E1641" s="30" t="s">
        <v>4223</v>
      </c>
      <c r="F1641" s="34" t="n">
        <f aca="false">IFERROR(VLOOKUP($A1641,'319'!$B:$H,7,0),0)</f>
        <v>0</v>
      </c>
      <c r="G1641" s="34" t="n">
        <f aca="false">SUMIFS('12.326ana'!$C:$C,'12.326ana'!$M:$M,redes!A1641)</f>
        <v>0</v>
      </c>
    </row>
    <row r="1642" customFormat="false" ht="14.4" hidden="true" customHeight="false" outlineLevel="0" collapsed="false">
      <c r="A1642" s="34" t="n">
        <v>23667737149</v>
      </c>
      <c r="B1642" s="34" t="s">
        <v>5939</v>
      </c>
      <c r="C1642" s="34" t="s">
        <v>77</v>
      </c>
      <c r="E1642" s="30" t="s">
        <v>5940</v>
      </c>
      <c r="F1642" s="34" t="n">
        <f aca="false">IFERROR(VLOOKUP($A1642,'319'!$B:$H,7,0),0)</f>
        <v>0</v>
      </c>
      <c r="G1642" s="34" t="n">
        <f aca="false">SUMIFS('12.326ana'!$C:$C,'12.326ana'!$M:$M,redes!A1642)</f>
        <v>0</v>
      </c>
    </row>
    <row r="1643" customFormat="false" ht="14.4" hidden="true" customHeight="false" outlineLevel="0" collapsed="false">
      <c r="A1643" s="34" t="n">
        <v>23695587172</v>
      </c>
      <c r="B1643" s="34" t="s">
        <v>5941</v>
      </c>
      <c r="C1643" s="34" t="s">
        <v>77</v>
      </c>
      <c r="E1643" s="30" t="s">
        <v>5942</v>
      </c>
      <c r="F1643" s="34" t="n">
        <f aca="false">IFERROR(VLOOKUP($A1643,'319'!$B:$H,7,0),0)</f>
        <v>0</v>
      </c>
      <c r="G1643" s="34" t="n">
        <f aca="false">SUMIFS('12.326ana'!$C:$C,'12.326ana'!$M:$M,redes!A1643)</f>
        <v>0</v>
      </c>
    </row>
    <row r="1644" customFormat="false" ht="14.4" hidden="true" customHeight="false" outlineLevel="0" collapsed="false">
      <c r="A1644" s="34" t="n">
        <v>23720158187</v>
      </c>
      <c r="B1644" s="34" t="s">
        <v>5943</v>
      </c>
      <c r="C1644" s="34" t="s">
        <v>994</v>
      </c>
      <c r="E1644" s="30" t="s">
        <v>3664</v>
      </c>
      <c r="F1644" s="34" t="n">
        <f aca="false">IFERROR(VLOOKUP($A1644,'319'!$B:$H,7,0),0)</f>
        <v>0</v>
      </c>
      <c r="G1644" s="34" t="n">
        <f aca="false">SUMIFS('12.326ana'!$C:$C,'12.326ana'!$M:$M,redes!A1644)</f>
        <v>0</v>
      </c>
    </row>
    <row r="1645" customFormat="false" ht="14.4" hidden="true" customHeight="false" outlineLevel="0" collapsed="false">
      <c r="A1645" s="34" t="n">
        <v>23732075168</v>
      </c>
      <c r="B1645" s="34" t="s">
        <v>5944</v>
      </c>
      <c r="C1645" s="34" t="s">
        <v>77</v>
      </c>
      <c r="E1645" s="30" t="s">
        <v>5945</v>
      </c>
      <c r="F1645" s="34" t="n">
        <f aca="false">IFERROR(VLOOKUP($A1645,'319'!$B:$H,7,0),0)</f>
        <v>0</v>
      </c>
      <c r="G1645" s="34" t="n">
        <f aca="false">SUMIFS('12.326ana'!$C:$C,'12.326ana'!$M:$M,redes!A1645)</f>
        <v>0</v>
      </c>
    </row>
    <row r="1646" customFormat="false" ht="14.4" hidden="true" customHeight="false" outlineLevel="0" collapsed="false">
      <c r="A1646" s="34" t="n">
        <v>23732180115</v>
      </c>
      <c r="B1646" s="34" t="s">
        <v>5946</v>
      </c>
      <c r="C1646" s="34" t="s">
        <v>107</v>
      </c>
      <c r="E1646" s="30" t="s">
        <v>5946</v>
      </c>
      <c r="F1646" s="34" t="n">
        <f aca="false">IFERROR(VLOOKUP($A1646,'319'!$B:$H,7,0),0)</f>
        <v>0</v>
      </c>
      <c r="G1646" s="34" t="n">
        <f aca="false">SUMIFS('12.326ana'!$C:$C,'12.326ana'!$M:$M,redes!A1646)</f>
        <v>0</v>
      </c>
    </row>
    <row r="1647" customFormat="false" ht="14.4" hidden="true" customHeight="false" outlineLevel="0" collapsed="false">
      <c r="A1647" s="34" t="n">
        <v>23737751153</v>
      </c>
      <c r="B1647" s="34" t="s">
        <v>5947</v>
      </c>
      <c r="C1647" s="34" t="s">
        <v>77</v>
      </c>
      <c r="E1647" s="30" t="s">
        <v>4604</v>
      </c>
      <c r="F1647" s="34" t="n">
        <f aca="false">IFERROR(VLOOKUP($A1647,'319'!$B:$H,7,0),0)</f>
        <v>0</v>
      </c>
      <c r="G1647" s="34" t="n">
        <f aca="false">SUMIFS('12.326ana'!$C:$C,'12.326ana'!$M:$M,redes!A1647)</f>
        <v>0</v>
      </c>
    </row>
    <row r="1648" customFormat="false" ht="14.4" hidden="true" customHeight="false" outlineLevel="0" collapsed="false">
      <c r="A1648" s="34" t="n">
        <v>23742631187</v>
      </c>
      <c r="B1648" s="34" t="s">
        <v>5948</v>
      </c>
      <c r="C1648" s="34" t="s">
        <v>77</v>
      </c>
      <c r="E1648" s="30" t="s">
        <v>5949</v>
      </c>
      <c r="F1648" s="34" t="n">
        <f aca="false">IFERROR(VLOOKUP($A1648,'319'!$B:$H,7,0),0)</f>
        <v>0</v>
      </c>
      <c r="G1648" s="34" t="n">
        <f aca="false">SUMIFS('12.326ana'!$C:$C,'12.326ana'!$M:$M,redes!A1648)</f>
        <v>0</v>
      </c>
    </row>
    <row r="1649" customFormat="false" ht="14.4" hidden="true" customHeight="false" outlineLevel="0" collapsed="false">
      <c r="A1649" s="34" t="n">
        <v>23743310163</v>
      </c>
      <c r="B1649" s="34" t="s">
        <v>5950</v>
      </c>
      <c r="C1649" s="34" t="s">
        <v>77</v>
      </c>
      <c r="E1649" s="30" t="s">
        <v>5951</v>
      </c>
      <c r="F1649" s="34" t="n">
        <f aca="false">IFERROR(VLOOKUP($A1649,'319'!$B:$H,7,0),0)</f>
        <v>0</v>
      </c>
      <c r="G1649" s="34" t="n">
        <f aca="false">SUMIFS('12.326ana'!$C:$C,'12.326ana'!$M:$M,redes!A1649)</f>
        <v>0</v>
      </c>
    </row>
    <row r="1650" customFormat="false" ht="14.4" hidden="true" customHeight="false" outlineLevel="0" collapsed="false">
      <c r="A1650" s="34" t="n">
        <v>23761857934</v>
      </c>
      <c r="B1650" s="34" t="s">
        <v>5046</v>
      </c>
      <c r="C1650" s="34" t="s">
        <v>77</v>
      </c>
      <c r="E1650" s="30" t="s">
        <v>5952</v>
      </c>
      <c r="F1650" s="34" t="n">
        <f aca="false">IFERROR(VLOOKUP($A1650,'319'!$B:$H,7,0),0)</f>
        <v>0</v>
      </c>
      <c r="G1650" s="34" t="n">
        <f aca="false">SUMIFS('12.326ana'!$C:$C,'12.326ana'!$M:$M,redes!A1650)</f>
        <v>0</v>
      </c>
    </row>
    <row r="1651" customFormat="false" ht="14.4" hidden="true" customHeight="false" outlineLevel="0" collapsed="false">
      <c r="A1651" s="34" t="n">
        <v>23763990178</v>
      </c>
      <c r="B1651" s="34" t="s">
        <v>5953</v>
      </c>
      <c r="C1651" s="34" t="s">
        <v>77</v>
      </c>
      <c r="E1651" s="30" t="s">
        <v>5954</v>
      </c>
      <c r="F1651" s="34" t="n">
        <f aca="false">IFERROR(VLOOKUP($A1651,'319'!$B:$H,7,0),0)</f>
        <v>0</v>
      </c>
      <c r="G1651" s="34" t="n">
        <f aca="false">SUMIFS('12.326ana'!$C:$C,'12.326ana'!$M:$M,redes!A1651)</f>
        <v>0</v>
      </c>
    </row>
    <row r="1652" customFormat="false" ht="14.4" hidden="true" customHeight="false" outlineLevel="0" collapsed="false">
      <c r="A1652" s="34" t="n">
        <v>23765232149</v>
      </c>
      <c r="B1652" s="34" t="s">
        <v>5955</v>
      </c>
      <c r="C1652" s="34" t="s">
        <v>77</v>
      </c>
      <c r="E1652" s="30" t="s">
        <v>4499</v>
      </c>
      <c r="F1652" s="34" t="n">
        <f aca="false">IFERROR(VLOOKUP($A1652,'319'!$B:$H,7,0),0)</f>
        <v>0</v>
      </c>
      <c r="G1652" s="34" t="n">
        <f aca="false">SUMIFS('12.326ana'!$C:$C,'12.326ana'!$M:$M,redes!A1652)</f>
        <v>0</v>
      </c>
    </row>
    <row r="1653" customFormat="false" ht="14.4" hidden="true" customHeight="false" outlineLevel="0" collapsed="false">
      <c r="A1653" s="34" t="n">
        <v>23769203100</v>
      </c>
      <c r="B1653" s="34" t="s">
        <v>5956</v>
      </c>
      <c r="C1653" s="34" t="s">
        <v>77</v>
      </c>
      <c r="E1653" s="30"/>
      <c r="F1653" s="34" t="n">
        <f aca="false">IFERROR(VLOOKUP($A1653,'319'!$B:$H,7,0),0)</f>
        <v>0</v>
      </c>
      <c r="G1653" s="34" t="n">
        <f aca="false">SUMIFS('12.326ana'!$C:$C,'12.326ana'!$M:$M,redes!A1653)</f>
        <v>0</v>
      </c>
    </row>
    <row r="1654" customFormat="false" ht="14.4" hidden="true" customHeight="false" outlineLevel="0" collapsed="false">
      <c r="A1654" s="34" t="n">
        <v>23777230120</v>
      </c>
      <c r="B1654" s="34" t="s">
        <v>5957</v>
      </c>
      <c r="C1654" s="34" t="s">
        <v>342</v>
      </c>
      <c r="E1654" s="30"/>
      <c r="F1654" s="34" t="n">
        <f aca="false">IFERROR(VLOOKUP($A1654,'319'!$B:$H,7,0),0)</f>
        <v>0</v>
      </c>
      <c r="G1654" s="34" t="n">
        <f aca="false">SUMIFS('12.326ana'!$C:$C,'12.326ana'!$M:$M,redes!A1654)</f>
        <v>0</v>
      </c>
    </row>
    <row r="1655" customFormat="false" ht="14.4" hidden="true" customHeight="false" outlineLevel="0" collapsed="false">
      <c r="A1655" s="34" t="n">
        <v>23782846168</v>
      </c>
      <c r="B1655" s="34" t="s">
        <v>5958</v>
      </c>
      <c r="C1655" s="34" t="s">
        <v>1306</v>
      </c>
      <c r="E1655" s="30" t="s">
        <v>5959</v>
      </c>
      <c r="F1655" s="34" t="n">
        <f aca="false">IFERROR(VLOOKUP($A1655,'319'!$B:$H,7,0),0)</f>
        <v>0</v>
      </c>
      <c r="G1655" s="34" t="n">
        <f aca="false">SUMIFS('12.326ana'!$C:$C,'12.326ana'!$M:$M,redes!A1655)</f>
        <v>0</v>
      </c>
    </row>
    <row r="1656" customFormat="false" ht="14.4" hidden="true" customHeight="false" outlineLevel="0" collapsed="false">
      <c r="A1656" s="34" t="n">
        <v>23786698104</v>
      </c>
      <c r="B1656" s="34" t="s">
        <v>5960</v>
      </c>
      <c r="C1656" s="34" t="s">
        <v>77</v>
      </c>
      <c r="E1656" s="30" t="s">
        <v>5961</v>
      </c>
      <c r="F1656" s="34" t="n">
        <f aca="false">IFERROR(VLOOKUP($A1656,'319'!$B:$H,7,0),0)</f>
        <v>0</v>
      </c>
      <c r="G1656" s="34" t="n">
        <f aca="false">SUMIFS('12.326ana'!$C:$C,'12.326ana'!$M:$M,redes!A1656)</f>
        <v>0</v>
      </c>
    </row>
    <row r="1657" customFormat="false" ht="14.4" hidden="true" customHeight="false" outlineLevel="0" collapsed="false">
      <c r="A1657" s="34" t="n">
        <v>23797282168</v>
      </c>
      <c r="B1657" s="34" t="s">
        <v>5962</v>
      </c>
      <c r="C1657" s="34" t="s">
        <v>77</v>
      </c>
      <c r="E1657" s="30" t="s">
        <v>5963</v>
      </c>
      <c r="F1657" s="34" t="n">
        <f aca="false">IFERROR(VLOOKUP($A1657,'319'!$B:$H,7,0),0)</f>
        <v>0</v>
      </c>
      <c r="G1657" s="34" t="n">
        <f aca="false">SUMIFS('12.326ana'!$C:$C,'12.326ana'!$M:$M,redes!A1657)</f>
        <v>0</v>
      </c>
    </row>
    <row r="1658" customFormat="false" ht="14.4" hidden="true" customHeight="false" outlineLevel="0" collapsed="false">
      <c r="A1658" s="34" t="n">
        <v>23800860104</v>
      </c>
      <c r="B1658" s="34" t="s">
        <v>5964</v>
      </c>
      <c r="C1658" s="34" t="s">
        <v>77</v>
      </c>
      <c r="E1658" s="30" t="s">
        <v>5965</v>
      </c>
      <c r="F1658" s="34" t="n">
        <f aca="false">IFERROR(VLOOKUP($A1658,'319'!$B:$H,7,0),0)</f>
        <v>0</v>
      </c>
      <c r="G1658" s="34" t="n">
        <f aca="false">SUMIFS('12.326ana'!$C:$C,'12.326ana'!$M:$M,redes!A1658)</f>
        <v>0</v>
      </c>
    </row>
    <row r="1659" customFormat="false" ht="14.4" hidden="true" customHeight="false" outlineLevel="0" collapsed="false">
      <c r="A1659" s="34" t="n">
        <v>23803991153</v>
      </c>
      <c r="B1659" s="34" t="s">
        <v>5966</v>
      </c>
      <c r="C1659" s="34" t="s">
        <v>89</v>
      </c>
      <c r="E1659" s="30" t="s">
        <v>5967</v>
      </c>
      <c r="F1659" s="34" t="n">
        <f aca="false">IFERROR(VLOOKUP($A1659,'319'!$B:$H,7,0),0)</f>
        <v>0</v>
      </c>
      <c r="G1659" s="34" t="n">
        <f aca="false">SUMIFS('12.326ana'!$C:$C,'12.326ana'!$M:$M,redes!A1659)</f>
        <v>0</v>
      </c>
    </row>
    <row r="1660" customFormat="false" ht="14.4" hidden="true" customHeight="false" outlineLevel="0" collapsed="false">
      <c r="A1660" s="34" t="n">
        <v>23808888172</v>
      </c>
      <c r="B1660" s="34" t="s">
        <v>5968</v>
      </c>
      <c r="C1660" s="34" t="s">
        <v>77</v>
      </c>
      <c r="E1660" s="30" t="s">
        <v>5969</v>
      </c>
      <c r="F1660" s="34" t="n">
        <f aca="false">IFERROR(VLOOKUP($A1660,'319'!$B:$H,7,0),0)</f>
        <v>0</v>
      </c>
      <c r="G1660" s="34" t="n">
        <f aca="false">SUMIFS('12.326ana'!$C:$C,'12.326ana'!$M:$M,redes!A1660)</f>
        <v>0</v>
      </c>
    </row>
    <row r="1661" customFormat="false" ht="14.4" hidden="true" customHeight="false" outlineLevel="0" collapsed="false">
      <c r="A1661" s="34" t="n">
        <v>23813504115</v>
      </c>
      <c r="B1661" s="34" t="s">
        <v>5970</v>
      </c>
      <c r="C1661" s="34" t="s">
        <v>77</v>
      </c>
      <c r="E1661" s="30" t="s">
        <v>5971</v>
      </c>
      <c r="F1661" s="34" t="n">
        <f aca="false">IFERROR(VLOOKUP($A1661,'319'!$B:$H,7,0),0)</f>
        <v>0</v>
      </c>
      <c r="G1661" s="34" t="n">
        <f aca="false">SUMIFS('12.326ana'!$C:$C,'12.326ana'!$M:$M,redes!A1661)</f>
        <v>0</v>
      </c>
    </row>
    <row r="1662" customFormat="false" ht="14.4" hidden="true" customHeight="false" outlineLevel="0" collapsed="false">
      <c r="A1662" s="34" t="n">
        <v>23842695187</v>
      </c>
      <c r="B1662" s="34" t="s">
        <v>5972</v>
      </c>
      <c r="C1662" s="34" t="s">
        <v>77</v>
      </c>
      <c r="E1662" s="30" t="s">
        <v>5973</v>
      </c>
      <c r="F1662" s="34" t="n">
        <f aca="false">IFERROR(VLOOKUP($A1662,'319'!$B:$H,7,0),0)</f>
        <v>0</v>
      </c>
      <c r="G1662" s="34" t="n">
        <f aca="false">SUMIFS('12.326ana'!$C:$C,'12.326ana'!$M:$M,redes!A1662)</f>
        <v>0</v>
      </c>
    </row>
    <row r="1663" customFormat="false" ht="14.4" hidden="true" customHeight="false" outlineLevel="0" collapsed="false">
      <c r="A1663" s="34" t="n">
        <v>23888822904</v>
      </c>
      <c r="B1663" s="34" t="s">
        <v>5974</v>
      </c>
      <c r="C1663" s="34" t="s">
        <v>77</v>
      </c>
      <c r="E1663" s="30" t="s">
        <v>5975</v>
      </c>
      <c r="F1663" s="34" t="n">
        <f aca="false">IFERROR(VLOOKUP($A1663,'319'!$B:$H,7,0),0)</f>
        <v>0</v>
      </c>
      <c r="G1663" s="34" t="n">
        <f aca="false">SUMIFS('12.326ana'!$C:$C,'12.326ana'!$M:$M,redes!A1663)</f>
        <v>0</v>
      </c>
    </row>
    <row r="1664" customFormat="false" ht="14.4" hidden="true" customHeight="false" outlineLevel="0" collapsed="false">
      <c r="A1664" s="34" t="n">
        <v>24168327191</v>
      </c>
      <c r="B1664" s="34" t="s">
        <v>5976</v>
      </c>
      <c r="C1664" s="34" t="s">
        <v>77</v>
      </c>
      <c r="E1664" s="30" t="s">
        <v>5977</v>
      </c>
      <c r="F1664" s="34" t="n">
        <f aca="false">IFERROR(VLOOKUP($A1664,'319'!$B:$H,7,0),0)</f>
        <v>0</v>
      </c>
      <c r="G1664" s="34" t="n">
        <f aca="false">SUMIFS('12.326ana'!$C:$C,'12.326ana'!$M:$M,redes!A1664)</f>
        <v>0</v>
      </c>
    </row>
    <row r="1665" customFormat="false" ht="14.4" hidden="true" customHeight="false" outlineLevel="0" collapsed="false">
      <c r="A1665" s="34" t="n">
        <v>24189375934</v>
      </c>
      <c r="B1665" s="34" t="s">
        <v>5978</v>
      </c>
      <c r="C1665" s="34" t="s">
        <v>197</v>
      </c>
      <c r="E1665" s="30" t="s">
        <v>5979</v>
      </c>
      <c r="F1665" s="34" t="n">
        <f aca="false">IFERROR(VLOOKUP($A1665,'319'!$B:$H,7,0),0)</f>
        <v>0</v>
      </c>
      <c r="G1665" s="34" t="n">
        <f aca="false">SUMIFS('12.326ana'!$C:$C,'12.326ana'!$M:$M,redes!A1665)</f>
        <v>0</v>
      </c>
    </row>
    <row r="1666" customFormat="false" ht="14.4" hidden="true" customHeight="false" outlineLevel="0" collapsed="false">
      <c r="A1666" s="34" t="n">
        <v>24198366934</v>
      </c>
      <c r="B1666" s="34" t="s">
        <v>5980</v>
      </c>
      <c r="C1666" s="34" t="s">
        <v>107</v>
      </c>
      <c r="E1666" s="30" t="s">
        <v>5981</v>
      </c>
      <c r="F1666" s="34" t="n">
        <f aca="false">IFERROR(VLOOKUP($A1666,'319'!$B:$H,7,0),0)</f>
        <v>0</v>
      </c>
      <c r="G1666" s="34" t="n">
        <f aca="false">SUMIFS('12.326ana'!$C:$C,'12.326ana'!$M:$M,redes!A1666)</f>
        <v>0</v>
      </c>
    </row>
    <row r="1667" customFormat="false" ht="14.4" hidden="true" customHeight="false" outlineLevel="0" collapsed="false">
      <c r="A1667" s="34" t="n">
        <v>24201154904</v>
      </c>
      <c r="B1667" s="34" t="s">
        <v>5982</v>
      </c>
      <c r="C1667" s="34" t="s">
        <v>77</v>
      </c>
      <c r="E1667" s="30" t="s">
        <v>5983</v>
      </c>
      <c r="F1667" s="34" t="n">
        <f aca="false">IFERROR(VLOOKUP($A1667,'319'!$B:$H,7,0),0)</f>
        <v>0</v>
      </c>
      <c r="G1667" s="34" t="n">
        <f aca="false">SUMIFS('12.326ana'!$C:$C,'12.326ana'!$M:$M,redes!A1667)</f>
        <v>0</v>
      </c>
    </row>
    <row r="1668" customFormat="false" ht="14.4" hidden="true" customHeight="false" outlineLevel="0" collapsed="false">
      <c r="A1668" s="34" t="n">
        <v>24229733968</v>
      </c>
      <c r="B1668" s="34" t="s">
        <v>5984</v>
      </c>
      <c r="C1668" s="34" t="s">
        <v>77</v>
      </c>
      <c r="E1668" s="30" t="s">
        <v>5985</v>
      </c>
      <c r="F1668" s="34" t="n">
        <f aca="false">IFERROR(VLOOKUP($A1668,'319'!$B:$H,7,0),0)</f>
        <v>0</v>
      </c>
      <c r="G1668" s="34" t="n">
        <f aca="false">SUMIFS('12.326ana'!$C:$C,'12.326ana'!$M:$M,redes!A1668)</f>
        <v>0</v>
      </c>
    </row>
    <row r="1669" customFormat="false" ht="14.4" hidden="true" customHeight="false" outlineLevel="0" collapsed="false">
      <c r="A1669" s="34" t="n">
        <v>24237779220</v>
      </c>
      <c r="B1669" s="34" t="s">
        <v>5986</v>
      </c>
      <c r="C1669" s="34" t="s">
        <v>77</v>
      </c>
      <c r="E1669" s="30"/>
      <c r="F1669" s="34" t="n">
        <f aca="false">IFERROR(VLOOKUP($A1669,'319'!$B:$H,7,0),0)</f>
        <v>0</v>
      </c>
      <c r="G1669" s="34" t="n">
        <f aca="false">SUMIFS('12.326ana'!$C:$C,'12.326ana'!$M:$M,redes!A1669)</f>
        <v>0</v>
      </c>
    </row>
    <row r="1670" customFormat="false" ht="14.4" hidden="true" customHeight="false" outlineLevel="0" collapsed="false">
      <c r="A1670" s="34" t="n">
        <v>24361461449</v>
      </c>
      <c r="B1670" s="34" t="s">
        <v>5987</v>
      </c>
      <c r="C1670" s="34" t="s">
        <v>77</v>
      </c>
      <c r="E1670" s="30" t="s">
        <v>5988</v>
      </c>
      <c r="F1670" s="34" t="n">
        <f aca="false">IFERROR(VLOOKUP($A1670,'319'!$B:$H,7,0),0)</f>
        <v>0</v>
      </c>
      <c r="G1670" s="34" t="n">
        <f aca="false">SUMIFS('12.326ana'!$C:$C,'12.326ana'!$M:$M,redes!A1670)</f>
        <v>0</v>
      </c>
    </row>
    <row r="1671" customFormat="false" ht="14.4" hidden="true" customHeight="false" outlineLevel="0" collapsed="false">
      <c r="A1671" s="34" t="n">
        <v>24614721818</v>
      </c>
      <c r="B1671" s="34" t="s">
        <v>5989</v>
      </c>
      <c r="C1671" s="34" t="s">
        <v>2998</v>
      </c>
      <c r="E1671" s="30" t="s">
        <v>5990</v>
      </c>
      <c r="F1671" s="34" t="n">
        <f aca="false">IFERROR(VLOOKUP($A1671,'319'!$B:$H,7,0),0)</f>
        <v>0</v>
      </c>
      <c r="G1671" s="34" t="n">
        <f aca="false">SUMIFS('12.326ana'!$C:$C,'12.326ana'!$M:$M,redes!A1671)</f>
        <v>0</v>
      </c>
    </row>
    <row r="1672" customFormat="false" ht="14.4" hidden="true" customHeight="false" outlineLevel="0" collapsed="false">
      <c r="A1672" s="34" t="n">
        <v>24623227871</v>
      </c>
      <c r="B1672" s="34" t="s">
        <v>5991</v>
      </c>
      <c r="C1672" s="34" t="s">
        <v>342</v>
      </c>
      <c r="E1672" s="30" t="s">
        <v>5992</v>
      </c>
      <c r="F1672" s="34" t="n">
        <f aca="false">IFERROR(VLOOKUP($A1672,'319'!$B:$H,7,0),0)</f>
        <v>0</v>
      </c>
      <c r="G1672" s="34" t="n">
        <f aca="false">SUMIFS('12.326ana'!$C:$C,'12.326ana'!$M:$M,redes!A1672)</f>
        <v>0</v>
      </c>
    </row>
    <row r="1673" customFormat="false" ht="14.4" hidden="true" customHeight="false" outlineLevel="0" collapsed="false">
      <c r="A1673" s="34" t="n">
        <v>24787465813</v>
      </c>
      <c r="B1673" s="34" t="s">
        <v>5993</v>
      </c>
      <c r="C1673" s="34" t="s">
        <v>77</v>
      </c>
      <c r="E1673" s="30" t="s">
        <v>5994</v>
      </c>
      <c r="F1673" s="34" t="n">
        <f aca="false">IFERROR(VLOOKUP($A1673,'319'!$B:$H,7,0),0)</f>
        <v>0</v>
      </c>
      <c r="G1673" s="34" t="n">
        <f aca="false">SUMIFS('12.326ana'!$C:$C,'12.326ana'!$M:$M,redes!A1673)</f>
        <v>0</v>
      </c>
    </row>
    <row r="1674" customFormat="false" ht="14.4" hidden="true" customHeight="false" outlineLevel="0" collapsed="false">
      <c r="A1674" s="34" t="n">
        <v>24921360197</v>
      </c>
      <c r="B1674" s="34" t="s">
        <v>5995</v>
      </c>
      <c r="C1674" s="34" t="s">
        <v>89</v>
      </c>
      <c r="E1674" s="30" t="s">
        <v>5996</v>
      </c>
      <c r="F1674" s="34" t="n">
        <f aca="false">IFERROR(VLOOKUP($A1674,'319'!$B:$H,7,0),0)</f>
        <v>0</v>
      </c>
      <c r="G1674" s="34" t="n">
        <f aca="false">SUMIFS('12.326ana'!$C:$C,'12.326ana'!$M:$M,redes!A1674)</f>
        <v>0</v>
      </c>
    </row>
    <row r="1675" customFormat="false" ht="14.4" hidden="true" customHeight="false" outlineLevel="0" collapsed="false">
      <c r="A1675" s="34" t="n">
        <v>24921785104</v>
      </c>
      <c r="B1675" s="34" t="s">
        <v>5997</v>
      </c>
      <c r="C1675" s="34" t="s">
        <v>631</v>
      </c>
      <c r="E1675" s="30" t="s">
        <v>5998</v>
      </c>
      <c r="F1675" s="34" t="n">
        <f aca="false">IFERROR(VLOOKUP($A1675,'319'!$B:$H,7,0),0)</f>
        <v>0</v>
      </c>
      <c r="G1675" s="34" t="n">
        <f aca="false">SUMIFS('12.326ana'!$C:$C,'12.326ana'!$M:$M,redes!A1675)</f>
        <v>0</v>
      </c>
    </row>
    <row r="1676" customFormat="false" ht="14.4" hidden="true" customHeight="false" outlineLevel="0" collapsed="false">
      <c r="A1676" s="34" t="n">
        <v>24925225120</v>
      </c>
      <c r="B1676" s="34" t="s">
        <v>5999</v>
      </c>
      <c r="C1676" s="34" t="s">
        <v>77</v>
      </c>
      <c r="E1676" s="30" t="s">
        <v>6000</v>
      </c>
      <c r="F1676" s="34" t="n">
        <f aca="false">IFERROR(VLOOKUP($A1676,'319'!$B:$H,7,0),0)</f>
        <v>0</v>
      </c>
      <c r="G1676" s="34" t="n">
        <f aca="false">SUMIFS('12.326ana'!$C:$C,'12.326ana'!$M:$M,redes!A1676)</f>
        <v>0</v>
      </c>
    </row>
    <row r="1677" customFormat="false" ht="14.4" hidden="true" customHeight="false" outlineLevel="0" collapsed="false">
      <c r="A1677" s="34" t="n">
        <v>24930750130</v>
      </c>
      <c r="B1677" s="34" t="s">
        <v>6001</v>
      </c>
      <c r="C1677" s="34" t="s">
        <v>77</v>
      </c>
      <c r="E1677" s="30" t="s">
        <v>6002</v>
      </c>
      <c r="F1677" s="34" t="n">
        <f aca="false">IFERROR(VLOOKUP($A1677,'319'!$B:$H,7,0),0)</f>
        <v>0</v>
      </c>
      <c r="G1677" s="34" t="n">
        <f aca="false">SUMIFS('12.326ana'!$C:$C,'12.326ana'!$M:$M,redes!A1677)</f>
        <v>0</v>
      </c>
    </row>
    <row r="1678" customFormat="false" ht="14.4" hidden="true" customHeight="false" outlineLevel="0" collapsed="false">
      <c r="A1678" s="34" t="n">
        <v>24956139187</v>
      </c>
      <c r="B1678" s="34" t="s">
        <v>6003</v>
      </c>
      <c r="C1678" s="34" t="s">
        <v>77</v>
      </c>
      <c r="E1678" s="30" t="s">
        <v>4499</v>
      </c>
      <c r="F1678" s="34" t="n">
        <f aca="false">IFERROR(VLOOKUP($A1678,'319'!$B:$H,7,0),0)</f>
        <v>0</v>
      </c>
      <c r="G1678" s="34" t="n">
        <f aca="false">SUMIFS('12.326ana'!$C:$C,'12.326ana'!$M:$M,redes!A1678)</f>
        <v>0</v>
      </c>
    </row>
    <row r="1679" customFormat="false" ht="14.4" hidden="true" customHeight="false" outlineLevel="0" collapsed="false">
      <c r="A1679" s="34" t="n">
        <v>24971723153</v>
      </c>
      <c r="B1679" s="34" t="s">
        <v>6004</v>
      </c>
      <c r="C1679" s="34" t="s">
        <v>967</v>
      </c>
      <c r="E1679" s="30" t="s">
        <v>6005</v>
      </c>
      <c r="F1679" s="34" t="n">
        <f aca="false">IFERROR(VLOOKUP($A1679,'319'!$B:$H,7,0),0)</f>
        <v>0</v>
      </c>
      <c r="G1679" s="34" t="n">
        <f aca="false">SUMIFS('12.326ana'!$C:$C,'12.326ana'!$M:$M,redes!A1679)</f>
        <v>0</v>
      </c>
    </row>
    <row r="1680" customFormat="false" ht="14.4" hidden="true" customHeight="false" outlineLevel="0" collapsed="false">
      <c r="A1680" s="34" t="n">
        <v>24978051134</v>
      </c>
      <c r="B1680" s="34" t="s">
        <v>6006</v>
      </c>
      <c r="C1680" s="34" t="s">
        <v>107</v>
      </c>
      <c r="E1680" s="30" t="s">
        <v>6007</v>
      </c>
      <c r="F1680" s="34" t="n">
        <f aca="false">IFERROR(VLOOKUP($A1680,'319'!$B:$H,7,0),0)</f>
        <v>0</v>
      </c>
      <c r="G1680" s="34" t="n">
        <f aca="false">SUMIFS('12.326ana'!$C:$C,'12.326ana'!$M:$M,redes!A1680)</f>
        <v>0</v>
      </c>
    </row>
    <row r="1681" customFormat="false" ht="14.4" hidden="true" customHeight="false" outlineLevel="0" collapsed="false">
      <c r="A1681" s="34" t="n">
        <v>24979481191</v>
      </c>
      <c r="B1681" s="34" t="s">
        <v>6008</v>
      </c>
      <c r="C1681" s="34" t="s">
        <v>139</v>
      </c>
      <c r="E1681" s="30" t="s">
        <v>6009</v>
      </c>
      <c r="F1681" s="34" t="n">
        <f aca="false">IFERROR(VLOOKUP($A1681,'319'!$B:$H,7,0),0)</f>
        <v>0</v>
      </c>
      <c r="G1681" s="34" t="n">
        <f aca="false">SUMIFS('12.326ana'!$C:$C,'12.326ana'!$M:$M,redes!A1681)</f>
        <v>0</v>
      </c>
    </row>
    <row r="1682" customFormat="false" ht="14.4" hidden="true" customHeight="false" outlineLevel="0" collapsed="false">
      <c r="A1682" s="34" t="n">
        <v>24987271168</v>
      </c>
      <c r="B1682" s="34" t="s">
        <v>6010</v>
      </c>
      <c r="C1682" s="34" t="s">
        <v>77</v>
      </c>
      <c r="E1682" s="30" t="s">
        <v>6010</v>
      </c>
      <c r="F1682" s="34" t="n">
        <f aca="false">IFERROR(VLOOKUP($A1682,'319'!$B:$H,7,0),0)</f>
        <v>0</v>
      </c>
      <c r="G1682" s="34" t="n">
        <f aca="false">SUMIFS('12.326ana'!$C:$C,'12.326ana'!$M:$M,redes!A1682)</f>
        <v>0</v>
      </c>
    </row>
    <row r="1683" customFormat="false" ht="14.4" hidden="true" customHeight="false" outlineLevel="0" collapsed="false">
      <c r="A1683" s="34" t="n">
        <v>24988618153</v>
      </c>
      <c r="B1683" s="34" t="s">
        <v>6011</v>
      </c>
      <c r="C1683" s="34" t="s">
        <v>77</v>
      </c>
      <c r="E1683" s="30" t="s">
        <v>4689</v>
      </c>
      <c r="F1683" s="34" t="n">
        <f aca="false">IFERROR(VLOOKUP($A1683,'319'!$B:$H,7,0),0)</f>
        <v>0</v>
      </c>
      <c r="G1683" s="34" t="n">
        <f aca="false">SUMIFS('12.326ana'!$C:$C,'12.326ana'!$M:$M,redes!A1683)</f>
        <v>0</v>
      </c>
    </row>
    <row r="1684" customFormat="false" ht="14.4" hidden="true" customHeight="false" outlineLevel="0" collapsed="false">
      <c r="A1684" s="34" t="n">
        <v>24989185153</v>
      </c>
      <c r="B1684" s="34" t="s">
        <v>6012</v>
      </c>
      <c r="C1684" s="34" t="s">
        <v>77</v>
      </c>
      <c r="E1684" s="30" t="s">
        <v>6013</v>
      </c>
      <c r="F1684" s="34" t="n">
        <f aca="false">IFERROR(VLOOKUP($A1684,'319'!$B:$H,7,0),0)</f>
        <v>0</v>
      </c>
      <c r="G1684" s="34" t="n">
        <f aca="false">SUMIFS('12.326ana'!$C:$C,'12.326ana'!$M:$M,redes!A1684)</f>
        <v>0</v>
      </c>
    </row>
    <row r="1685" customFormat="false" ht="14.4" hidden="true" customHeight="false" outlineLevel="0" collapsed="false">
      <c r="A1685" s="34" t="n">
        <v>24989282191</v>
      </c>
      <c r="B1685" s="34" t="s">
        <v>6014</v>
      </c>
      <c r="C1685" s="34" t="s">
        <v>77</v>
      </c>
      <c r="E1685" s="30" t="s">
        <v>6015</v>
      </c>
      <c r="F1685" s="34" t="n">
        <f aca="false">IFERROR(VLOOKUP($A1685,'319'!$B:$H,7,0),0)</f>
        <v>0</v>
      </c>
      <c r="G1685" s="34" t="n">
        <f aca="false">SUMIFS('12.326ana'!$C:$C,'12.326ana'!$M:$M,redes!A1685)</f>
        <v>0</v>
      </c>
    </row>
    <row r="1686" customFormat="false" ht="14.4" hidden="true" customHeight="false" outlineLevel="0" collapsed="false">
      <c r="A1686" s="34" t="n">
        <v>24996629134</v>
      </c>
      <c r="B1686" s="34" t="s">
        <v>6016</v>
      </c>
      <c r="C1686" s="34" t="s">
        <v>357</v>
      </c>
      <c r="E1686" s="30" t="s">
        <v>6017</v>
      </c>
      <c r="F1686" s="34" t="n">
        <f aca="false">IFERROR(VLOOKUP($A1686,'319'!$B:$H,7,0),0)</f>
        <v>0</v>
      </c>
      <c r="G1686" s="34" t="n">
        <f aca="false">SUMIFS('12.326ana'!$C:$C,'12.326ana'!$M:$M,redes!A1686)</f>
        <v>0</v>
      </c>
    </row>
    <row r="1687" customFormat="false" ht="14.4" hidden="true" customHeight="false" outlineLevel="0" collapsed="false">
      <c r="A1687" s="34" t="n">
        <v>24999316803</v>
      </c>
      <c r="B1687" s="34" t="s">
        <v>6018</v>
      </c>
      <c r="C1687" s="34" t="s">
        <v>77</v>
      </c>
      <c r="E1687" s="30"/>
      <c r="F1687" s="34" t="n">
        <f aca="false">IFERROR(VLOOKUP($A1687,'319'!$B:$H,7,0),0)</f>
        <v>0</v>
      </c>
      <c r="G1687" s="34" t="n">
        <f aca="false">SUMIFS('12.326ana'!$C:$C,'12.326ana'!$M:$M,redes!A1687)</f>
        <v>0</v>
      </c>
    </row>
    <row r="1688" customFormat="false" ht="14.4" hidden="true" customHeight="false" outlineLevel="0" collapsed="false">
      <c r="A1688" s="34" t="n">
        <v>25000926153</v>
      </c>
      <c r="B1688" s="34" t="s">
        <v>6019</v>
      </c>
      <c r="C1688" s="34" t="s">
        <v>77</v>
      </c>
      <c r="E1688" s="30" t="s">
        <v>6020</v>
      </c>
      <c r="F1688" s="34" t="n">
        <f aca="false">IFERROR(VLOOKUP($A1688,'319'!$B:$H,7,0),0)</f>
        <v>0</v>
      </c>
      <c r="G1688" s="34" t="n">
        <f aca="false">SUMIFS('12.326ana'!$C:$C,'12.326ana'!$M:$M,redes!A1688)</f>
        <v>0</v>
      </c>
    </row>
    <row r="1689" customFormat="false" ht="14.4" hidden="true" customHeight="false" outlineLevel="0" collapsed="false">
      <c r="A1689" s="34" t="n">
        <v>25002627153</v>
      </c>
      <c r="B1689" s="34" t="s">
        <v>6021</v>
      </c>
      <c r="C1689" s="34" t="s">
        <v>77</v>
      </c>
      <c r="E1689" s="30"/>
      <c r="F1689" s="34" t="n">
        <f aca="false">IFERROR(VLOOKUP($A1689,'319'!$B:$H,7,0),0)</f>
        <v>0</v>
      </c>
      <c r="G1689" s="34" t="n">
        <f aca="false">SUMIFS('12.326ana'!$C:$C,'12.326ana'!$M:$M,redes!A1689)</f>
        <v>0</v>
      </c>
    </row>
    <row r="1690" customFormat="false" ht="14.4" hidden="true" customHeight="false" outlineLevel="0" collapsed="false">
      <c r="A1690" s="34" t="n">
        <v>25005723153</v>
      </c>
      <c r="B1690" s="34" t="s">
        <v>6022</v>
      </c>
      <c r="C1690" s="34" t="s">
        <v>77</v>
      </c>
      <c r="E1690" s="30" t="s">
        <v>6023</v>
      </c>
      <c r="F1690" s="34" t="n">
        <f aca="false">IFERROR(VLOOKUP($A1690,'319'!$B:$H,7,0),0)</f>
        <v>0</v>
      </c>
      <c r="G1690" s="34" t="n">
        <f aca="false">SUMIFS('12.326ana'!$C:$C,'12.326ana'!$M:$M,redes!A1690)</f>
        <v>0</v>
      </c>
    </row>
    <row r="1691" customFormat="false" ht="14.4" hidden="true" customHeight="false" outlineLevel="0" collapsed="false">
      <c r="A1691" s="34" t="n">
        <v>25006932104</v>
      </c>
      <c r="B1691" s="34" t="s">
        <v>6024</v>
      </c>
      <c r="C1691" s="34" t="s">
        <v>77</v>
      </c>
      <c r="E1691" s="30"/>
      <c r="F1691" s="34" t="n">
        <f aca="false">IFERROR(VLOOKUP($A1691,'319'!$B:$H,7,0),0)</f>
        <v>0</v>
      </c>
      <c r="G1691" s="34" t="n">
        <f aca="false">SUMIFS('12.326ana'!$C:$C,'12.326ana'!$M:$M,redes!A1691)</f>
        <v>0</v>
      </c>
    </row>
    <row r="1692" customFormat="false" ht="14.4" hidden="true" customHeight="false" outlineLevel="0" collapsed="false">
      <c r="A1692" s="34" t="n">
        <v>25007726168</v>
      </c>
      <c r="B1692" s="34" t="s">
        <v>6025</v>
      </c>
      <c r="C1692" s="34" t="s">
        <v>77</v>
      </c>
      <c r="E1692" s="30" t="s">
        <v>5028</v>
      </c>
      <c r="F1692" s="34" t="n">
        <f aca="false">IFERROR(VLOOKUP($A1692,'319'!$B:$H,7,0),0)</f>
        <v>0</v>
      </c>
      <c r="G1692" s="34" t="n">
        <f aca="false">SUMIFS('12.326ana'!$C:$C,'12.326ana'!$M:$M,redes!A1692)</f>
        <v>0</v>
      </c>
    </row>
    <row r="1693" customFormat="false" ht="14.4" hidden="true" customHeight="false" outlineLevel="0" collapsed="false">
      <c r="A1693" s="34" t="n">
        <v>25011588149</v>
      </c>
      <c r="B1693" s="34" t="s">
        <v>6026</v>
      </c>
      <c r="C1693" s="34" t="s">
        <v>77</v>
      </c>
      <c r="E1693" s="30" t="s">
        <v>6027</v>
      </c>
      <c r="F1693" s="34" t="n">
        <f aca="false">IFERROR(VLOOKUP($A1693,'319'!$B:$H,7,0),0)</f>
        <v>0</v>
      </c>
      <c r="G1693" s="34" t="n">
        <f aca="false">SUMIFS('12.326ana'!$C:$C,'12.326ana'!$M:$M,redes!A1693)</f>
        <v>0</v>
      </c>
    </row>
    <row r="1694" customFormat="false" ht="14.4" hidden="true" customHeight="false" outlineLevel="0" collapsed="false">
      <c r="A1694" s="34" t="n">
        <v>25012010191</v>
      </c>
      <c r="B1694" s="34" t="s">
        <v>6028</v>
      </c>
      <c r="C1694" s="34" t="s">
        <v>77</v>
      </c>
      <c r="E1694" s="30" t="s">
        <v>6029</v>
      </c>
      <c r="F1694" s="34" t="n">
        <f aca="false">IFERROR(VLOOKUP($A1694,'319'!$B:$H,7,0),0)</f>
        <v>0</v>
      </c>
      <c r="G1694" s="34" t="n">
        <f aca="false">SUMIFS('12.326ana'!$C:$C,'12.326ana'!$M:$M,redes!A1694)</f>
        <v>0</v>
      </c>
    </row>
    <row r="1695" customFormat="false" ht="14.4" hidden="true" customHeight="false" outlineLevel="0" collapsed="false">
      <c r="A1695" s="34" t="n">
        <v>25012878191</v>
      </c>
      <c r="B1695" s="34" t="s">
        <v>6030</v>
      </c>
      <c r="C1695" s="34" t="s">
        <v>4829</v>
      </c>
      <c r="E1695" s="30" t="s">
        <v>6031</v>
      </c>
      <c r="F1695" s="34" t="n">
        <f aca="false">IFERROR(VLOOKUP($A1695,'319'!$B:$H,7,0),0)</f>
        <v>0</v>
      </c>
      <c r="G1695" s="34" t="n">
        <f aca="false">SUMIFS('12.326ana'!$C:$C,'12.326ana'!$M:$M,redes!A1695)</f>
        <v>0</v>
      </c>
    </row>
    <row r="1696" customFormat="false" ht="14.4" hidden="true" customHeight="false" outlineLevel="0" collapsed="false">
      <c r="A1696" s="34" t="n">
        <v>25021788191</v>
      </c>
      <c r="B1696" s="34" t="s">
        <v>6032</v>
      </c>
      <c r="C1696" s="34" t="s">
        <v>77</v>
      </c>
      <c r="E1696" s="30" t="s">
        <v>6033</v>
      </c>
      <c r="F1696" s="34" t="n">
        <f aca="false">IFERROR(VLOOKUP($A1696,'319'!$B:$H,7,0),0)</f>
        <v>0</v>
      </c>
      <c r="G1696" s="34" t="n">
        <f aca="false">SUMIFS('12.326ana'!$C:$C,'12.326ana'!$M:$M,redes!A1696)</f>
        <v>0</v>
      </c>
    </row>
    <row r="1697" customFormat="false" ht="14.4" hidden="true" customHeight="false" outlineLevel="0" collapsed="false">
      <c r="A1697" s="34" t="n">
        <v>25022008149</v>
      </c>
      <c r="B1697" s="34" t="s">
        <v>3973</v>
      </c>
      <c r="C1697" s="34" t="s">
        <v>77</v>
      </c>
      <c r="E1697" s="30" t="s">
        <v>6034</v>
      </c>
      <c r="F1697" s="34" t="n">
        <f aca="false">IFERROR(VLOOKUP($A1697,'319'!$B:$H,7,0),0)</f>
        <v>0</v>
      </c>
      <c r="G1697" s="34" t="n">
        <f aca="false">SUMIFS('12.326ana'!$C:$C,'12.326ana'!$M:$M,redes!A1697)</f>
        <v>0</v>
      </c>
    </row>
    <row r="1698" customFormat="false" ht="14.4" hidden="true" customHeight="false" outlineLevel="0" collapsed="false">
      <c r="A1698" s="34" t="n">
        <v>25026194168</v>
      </c>
      <c r="B1698" s="34" t="s">
        <v>6035</v>
      </c>
      <c r="C1698" s="34" t="s">
        <v>77</v>
      </c>
      <c r="E1698" s="30" t="s">
        <v>6036</v>
      </c>
      <c r="F1698" s="34" t="n">
        <f aca="false">IFERROR(VLOOKUP($A1698,'319'!$B:$H,7,0),0)</f>
        <v>0</v>
      </c>
      <c r="G1698" s="34" t="n">
        <f aca="false">SUMIFS('12.326ana'!$C:$C,'12.326ana'!$M:$M,redes!A1698)</f>
        <v>0</v>
      </c>
    </row>
    <row r="1699" customFormat="false" ht="14.4" hidden="true" customHeight="false" outlineLevel="0" collapsed="false">
      <c r="A1699" s="34" t="n">
        <v>25027042191</v>
      </c>
      <c r="B1699" s="34" t="s">
        <v>6037</v>
      </c>
      <c r="C1699" s="34" t="s">
        <v>77</v>
      </c>
      <c r="E1699" s="30" t="s">
        <v>6038</v>
      </c>
      <c r="F1699" s="34" t="n">
        <f aca="false">IFERROR(VLOOKUP($A1699,'319'!$B:$H,7,0),0)</f>
        <v>0</v>
      </c>
      <c r="G1699" s="34" t="n">
        <f aca="false">SUMIFS('12.326ana'!$C:$C,'12.326ana'!$M:$M,redes!A1699)</f>
        <v>0</v>
      </c>
    </row>
    <row r="1700" customFormat="false" ht="14.4" hidden="true" customHeight="false" outlineLevel="0" collapsed="false">
      <c r="A1700" s="34" t="n">
        <v>25029142134</v>
      </c>
      <c r="B1700" s="34" t="s">
        <v>6039</v>
      </c>
      <c r="C1700" s="34" t="s">
        <v>77</v>
      </c>
      <c r="E1700" s="30" t="s">
        <v>6040</v>
      </c>
      <c r="F1700" s="34" t="n">
        <f aca="false">IFERROR(VLOOKUP($A1700,'319'!$B:$H,7,0),0)</f>
        <v>0</v>
      </c>
      <c r="G1700" s="34" t="n">
        <f aca="false">SUMIFS('12.326ana'!$C:$C,'12.326ana'!$M:$M,redes!A1700)</f>
        <v>0</v>
      </c>
    </row>
    <row r="1701" customFormat="false" ht="14.4" hidden="true" customHeight="false" outlineLevel="0" collapsed="false">
      <c r="A1701" s="34" t="n">
        <v>25031279168</v>
      </c>
      <c r="B1701" s="34" t="s">
        <v>6041</v>
      </c>
      <c r="C1701" s="34" t="s">
        <v>107</v>
      </c>
      <c r="E1701" s="30" t="s">
        <v>6042</v>
      </c>
      <c r="F1701" s="34" t="n">
        <f aca="false">IFERROR(VLOOKUP($A1701,'319'!$B:$H,7,0),0)</f>
        <v>0</v>
      </c>
      <c r="G1701" s="34" t="n">
        <f aca="false">SUMIFS('12.326ana'!$C:$C,'12.326ana'!$M:$M,redes!A1701)</f>
        <v>0</v>
      </c>
    </row>
    <row r="1702" customFormat="false" ht="14.4" hidden="true" customHeight="false" outlineLevel="0" collapsed="false">
      <c r="A1702" s="34" t="n">
        <v>25037986168</v>
      </c>
      <c r="B1702" s="34" t="s">
        <v>6043</v>
      </c>
      <c r="C1702" s="34" t="s">
        <v>77</v>
      </c>
      <c r="E1702" s="30" t="s">
        <v>6044</v>
      </c>
      <c r="F1702" s="34" t="n">
        <f aca="false">IFERROR(VLOOKUP($A1702,'319'!$B:$H,7,0),0)</f>
        <v>0</v>
      </c>
      <c r="G1702" s="34" t="n">
        <f aca="false">SUMIFS('12.326ana'!$C:$C,'12.326ana'!$M:$M,redes!A1702)</f>
        <v>0</v>
      </c>
    </row>
    <row r="1703" customFormat="false" ht="14.4" hidden="true" customHeight="false" outlineLevel="0" collapsed="false">
      <c r="A1703" s="34" t="n">
        <v>25042769153</v>
      </c>
      <c r="B1703" s="34" t="s">
        <v>6045</v>
      </c>
      <c r="C1703" s="34" t="s">
        <v>107</v>
      </c>
      <c r="E1703" s="30" t="s">
        <v>6046</v>
      </c>
      <c r="F1703" s="34" t="n">
        <f aca="false">IFERROR(VLOOKUP($A1703,'319'!$B:$H,7,0),0)</f>
        <v>0</v>
      </c>
      <c r="G1703" s="34" t="n">
        <f aca="false">SUMIFS('12.326ana'!$C:$C,'12.326ana'!$M:$M,redes!A1703)</f>
        <v>0</v>
      </c>
    </row>
    <row r="1704" customFormat="false" ht="14.4" hidden="true" customHeight="false" outlineLevel="0" collapsed="false">
      <c r="A1704" s="34" t="n">
        <v>25048996100</v>
      </c>
      <c r="B1704" s="34" t="s">
        <v>6047</v>
      </c>
      <c r="C1704" s="34" t="s">
        <v>77</v>
      </c>
      <c r="E1704" s="30" t="s">
        <v>6048</v>
      </c>
      <c r="F1704" s="34" t="n">
        <f aca="false">IFERROR(VLOOKUP($A1704,'319'!$B:$H,7,0),0)</f>
        <v>0</v>
      </c>
      <c r="G1704" s="34" t="n">
        <f aca="false">SUMIFS('12.326ana'!$C:$C,'12.326ana'!$M:$M,redes!A1704)</f>
        <v>0</v>
      </c>
    </row>
    <row r="1705" customFormat="false" ht="14.4" hidden="true" customHeight="false" outlineLevel="0" collapsed="false">
      <c r="A1705" s="34" t="n">
        <v>25057650149</v>
      </c>
      <c r="B1705" s="34" t="s">
        <v>6049</v>
      </c>
      <c r="C1705" s="34" t="s">
        <v>631</v>
      </c>
      <c r="E1705" s="30" t="s">
        <v>6050</v>
      </c>
      <c r="F1705" s="34" t="n">
        <f aca="false">IFERROR(VLOOKUP($A1705,'319'!$B:$H,7,0),0)</f>
        <v>0</v>
      </c>
      <c r="G1705" s="34" t="n">
        <f aca="false">SUMIFS('12.326ana'!$C:$C,'12.326ana'!$M:$M,redes!A1705)</f>
        <v>0</v>
      </c>
    </row>
    <row r="1706" customFormat="false" ht="14.4" hidden="true" customHeight="false" outlineLevel="0" collapsed="false">
      <c r="A1706" s="34" t="n">
        <v>25058789191</v>
      </c>
      <c r="B1706" s="34" t="s">
        <v>6051</v>
      </c>
      <c r="C1706" s="34" t="s">
        <v>77</v>
      </c>
      <c r="E1706" s="30" t="s">
        <v>6052</v>
      </c>
      <c r="F1706" s="34" t="n">
        <f aca="false">IFERROR(VLOOKUP($A1706,'319'!$B:$H,7,0),0)</f>
        <v>0</v>
      </c>
      <c r="G1706" s="34" t="n">
        <f aca="false">SUMIFS('12.326ana'!$C:$C,'12.326ana'!$M:$M,redes!A1706)</f>
        <v>0</v>
      </c>
    </row>
    <row r="1707" customFormat="false" ht="14.4" hidden="true" customHeight="false" outlineLevel="0" collapsed="false">
      <c r="A1707" s="34" t="n">
        <v>25063863191</v>
      </c>
      <c r="B1707" s="34" t="s">
        <v>2985</v>
      </c>
      <c r="C1707" s="34" t="s">
        <v>77</v>
      </c>
      <c r="E1707" s="30" t="s">
        <v>2986</v>
      </c>
      <c r="F1707" s="34" t="n">
        <f aca="false">IFERROR(VLOOKUP($A1707,'319'!$B:$H,7,0),0)</f>
        <v>0</v>
      </c>
      <c r="G1707" s="34" t="n">
        <f aca="false">SUMIFS('12.326ana'!$C:$C,'12.326ana'!$M:$M,redes!A1707)</f>
        <v>0</v>
      </c>
    </row>
    <row r="1708" customFormat="false" ht="14.4" hidden="true" customHeight="false" outlineLevel="0" collapsed="false">
      <c r="A1708" s="34" t="n">
        <v>25064533187</v>
      </c>
      <c r="B1708" s="34" t="s">
        <v>6053</v>
      </c>
      <c r="C1708" s="34" t="s">
        <v>77</v>
      </c>
      <c r="E1708" s="30" t="s">
        <v>6054</v>
      </c>
      <c r="F1708" s="34" t="n">
        <f aca="false">IFERROR(VLOOKUP($A1708,'319'!$B:$H,7,0),0)</f>
        <v>0</v>
      </c>
      <c r="G1708" s="34" t="n">
        <f aca="false">SUMIFS('12.326ana'!$C:$C,'12.326ana'!$M:$M,redes!A1708)</f>
        <v>0</v>
      </c>
    </row>
    <row r="1709" customFormat="false" ht="14.4" hidden="true" customHeight="false" outlineLevel="0" collapsed="false">
      <c r="A1709" s="34" t="n">
        <v>25074270197</v>
      </c>
      <c r="B1709" s="34" t="s">
        <v>6055</v>
      </c>
      <c r="C1709" s="34" t="s">
        <v>1680</v>
      </c>
      <c r="E1709" s="30" t="s">
        <v>6056</v>
      </c>
      <c r="F1709" s="34" t="n">
        <f aca="false">IFERROR(VLOOKUP($A1709,'319'!$B:$H,7,0),0)</f>
        <v>0</v>
      </c>
      <c r="G1709" s="34" t="n">
        <f aca="false">SUMIFS('12.326ana'!$C:$C,'12.326ana'!$M:$M,redes!A1709)</f>
        <v>0</v>
      </c>
    </row>
    <row r="1710" customFormat="false" ht="14.4" hidden="true" customHeight="false" outlineLevel="0" collapsed="false">
      <c r="A1710" s="34" t="n">
        <v>25086448115</v>
      </c>
      <c r="B1710" s="34" t="s">
        <v>6057</v>
      </c>
      <c r="C1710" s="34" t="s">
        <v>77</v>
      </c>
      <c r="E1710" s="30" t="s">
        <v>6058</v>
      </c>
      <c r="F1710" s="34" t="n">
        <f aca="false">IFERROR(VLOOKUP($A1710,'319'!$B:$H,7,0),0)</f>
        <v>0</v>
      </c>
      <c r="G1710" s="34" t="n">
        <f aca="false">SUMIFS('12.326ana'!$C:$C,'12.326ana'!$M:$M,redes!A1710)</f>
        <v>0</v>
      </c>
    </row>
    <row r="1711" customFormat="false" ht="14.4" hidden="true" customHeight="false" outlineLevel="0" collapsed="false">
      <c r="A1711" s="34" t="n">
        <v>25087061168</v>
      </c>
      <c r="B1711" s="34" t="s">
        <v>6059</v>
      </c>
      <c r="C1711" s="34" t="s">
        <v>77</v>
      </c>
      <c r="E1711" s="30" t="s">
        <v>6060</v>
      </c>
      <c r="F1711" s="34" t="n">
        <f aca="false">IFERROR(VLOOKUP($A1711,'319'!$B:$H,7,0),0)</f>
        <v>0</v>
      </c>
      <c r="G1711" s="34" t="n">
        <f aca="false">SUMIFS('12.326ana'!$C:$C,'12.326ana'!$M:$M,redes!A1711)</f>
        <v>0</v>
      </c>
    </row>
    <row r="1712" customFormat="false" ht="14.4" hidden="true" customHeight="false" outlineLevel="0" collapsed="false">
      <c r="A1712" s="34" t="n">
        <v>25087487149</v>
      </c>
      <c r="B1712" s="34" t="s">
        <v>6061</v>
      </c>
      <c r="C1712" s="34" t="s">
        <v>77</v>
      </c>
      <c r="E1712" s="30" t="s">
        <v>6062</v>
      </c>
      <c r="F1712" s="34" t="n">
        <f aca="false">IFERROR(VLOOKUP($A1712,'319'!$B:$H,7,0),0)</f>
        <v>0</v>
      </c>
      <c r="G1712" s="34" t="n">
        <f aca="false">SUMIFS('12.326ana'!$C:$C,'12.326ana'!$M:$M,redes!A1712)</f>
        <v>0</v>
      </c>
    </row>
    <row r="1713" customFormat="false" ht="14.4" hidden="true" customHeight="false" outlineLevel="0" collapsed="false">
      <c r="A1713" s="34" t="n">
        <v>25088360100</v>
      </c>
      <c r="B1713" s="34" t="s">
        <v>6063</v>
      </c>
      <c r="C1713" s="34" t="s">
        <v>77</v>
      </c>
      <c r="E1713" s="30" t="s">
        <v>3754</v>
      </c>
      <c r="F1713" s="34" t="n">
        <f aca="false">IFERROR(VLOOKUP($A1713,'319'!$B:$H,7,0),0)</f>
        <v>0</v>
      </c>
      <c r="G1713" s="34" t="n">
        <f aca="false">SUMIFS('12.326ana'!$C:$C,'12.326ana'!$M:$M,redes!A1713)</f>
        <v>0</v>
      </c>
    </row>
    <row r="1714" customFormat="false" ht="14.4" hidden="true" customHeight="false" outlineLevel="0" collapsed="false">
      <c r="A1714" s="34" t="n">
        <v>25155541808</v>
      </c>
      <c r="B1714" s="34" t="s">
        <v>6064</v>
      </c>
      <c r="C1714" s="34" t="s">
        <v>77</v>
      </c>
      <c r="E1714" s="30" t="s">
        <v>6064</v>
      </c>
      <c r="F1714" s="34" t="n">
        <f aca="false">IFERROR(VLOOKUP($A1714,'319'!$B:$H,7,0),0)</f>
        <v>0</v>
      </c>
      <c r="G1714" s="34" t="n">
        <f aca="false">SUMIFS('12.326ana'!$C:$C,'12.326ana'!$M:$M,redes!A1714)</f>
        <v>0</v>
      </c>
    </row>
    <row r="1715" customFormat="false" ht="14.4" hidden="true" customHeight="false" outlineLevel="0" collapsed="false">
      <c r="A1715" s="34" t="n">
        <v>25163183915</v>
      </c>
      <c r="B1715" s="34" t="s">
        <v>6065</v>
      </c>
      <c r="C1715" s="34" t="s">
        <v>4156</v>
      </c>
      <c r="E1715" s="30" t="s">
        <v>6066</v>
      </c>
      <c r="F1715" s="34" t="n">
        <f aca="false">IFERROR(VLOOKUP($A1715,'319'!$B:$H,7,0),0)</f>
        <v>0</v>
      </c>
      <c r="G1715" s="34" t="n">
        <f aca="false">SUMIFS('12.326ana'!$C:$C,'12.326ana'!$M:$M,redes!A1715)</f>
        <v>0</v>
      </c>
    </row>
    <row r="1716" customFormat="false" ht="14.4" hidden="true" customHeight="false" outlineLevel="0" collapsed="false">
      <c r="A1716" s="34" t="n">
        <v>25166450159</v>
      </c>
      <c r="B1716" s="34" t="s">
        <v>6067</v>
      </c>
      <c r="C1716" s="34" t="s">
        <v>1680</v>
      </c>
      <c r="E1716" s="30" t="s">
        <v>6068</v>
      </c>
      <c r="F1716" s="34" t="n">
        <f aca="false">IFERROR(VLOOKUP($A1716,'319'!$B:$H,7,0),0)</f>
        <v>0</v>
      </c>
      <c r="G1716" s="34" t="n">
        <f aca="false">SUMIFS('12.326ana'!$C:$C,'12.326ana'!$M:$M,redes!A1716)</f>
        <v>0</v>
      </c>
    </row>
    <row r="1717" customFormat="false" ht="14.4" hidden="true" customHeight="false" outlineLevel="0" collapsed="false">
      <c r="A1717" s="34" t="n">
        <v>25180710839</v>
      </c>
      <c r="B1717" s="34" t="s">
        <v>6069</v>
      </c>
      <c r="C1717" s="34" t="s">
        <v>77</v>
      </c>
      <c r="E1717" s="30" t="s">
        <v>6070</v>
      </c>
      <c r="F1717" s="34" t="n">
        <f aca="false">IFERROR(VLOOKUP($A1717,'319'!$B:$H,7,0),0)</f>
        <v>0</v>
      </c>
      <c r="G1717" s="34" t="n">
        <f aca="false">SUMIFS('12.326ana'!$C:$C,'12.326ana'!$M:$M,redes!A1717)</f>
        <v>0</v>
      </c>
    </row>
    <row r="1718" customFormat="false" ht="14.4" hidden="true" customHeight="false" outlineLevel="0" collapsed="false">
      <c r="A1718" s="34" t="n">
        <v>25338379899</v>
      </c>
      <c r="B1718" s="34" t="s">
        <v>6071</v>
      </c>
      <c r="C1718" s="34" t="s">
        <v>77</v>
      </c>
      <c r="E1718" s="30" t="s">
        <v>4499</v>
      </c>
      <c r="F1718" s="34" t="n">
        <f aca="false">IFERROR(VLOOKUP($A1718,'319'!$B:$H,7,0),0)</f>
        <v>0</v>
      </c>
      <c r="G1718" s="34" t="n">
        <f aca="false">SUMIFS('12.326ana'!$C:$C,'12.326ana'!$M:$M,redes!A1718)</f>
        <v>0</v>
      </c>
    </row>
    <row r="1719" customFormat="false" ht="14.4" hidden="true" customHeight="false" outlineLevel="0" collapsed="false">
      <c r="A1719" s="34" t="n">
        <v>25383054898</v>
      </c>
      <c r="B1719" s="34" t="s">
        <v>6072</v>
      </c>
      <c r="C1719" s="34" t="s">
        <v>89</v>
      </c>
      <c r="E1719" s="30" t="s">
        <v>6073</v>
      </c>
      <c r="F1719" s="34" t="n">
        <f aca="false">IFERROR(VLOOKUP($A1719,'319'!$B:$H,7,0),0)</f>
        <v>0</v>
      </c>
      <c r="G1719" s="34" t="n">
        <f aca="false">SUMIFS('12.326ana'!$C:$C,'12.326ana'!$M:$M,redes!A1719)</f>
        <v>0</v>
      </c>
    </row>
    <row r="1720" customFormat="false" ht="14.4" hidden="true" customHeight="false" outlineLevel="0" collapsed="false">
      <c r="A1720" s="34" t="n">
        <v>25396056134</v>
      </c>
      <c r="B1720" s="34" t="s">
        <v>6074</v>
      </c>
      <c r="C1720" s="34" t="s">
        <v>77</v>
      </c>
      <c r="E1720" s="30" t="s">
        <v>6075</v>
      </c>
      <c r="F1720" s="34" t="n">
        <f aca="false">IFERROR(VLOOKUP($A1720,'319'!$B:$H,7,0),0)</f>
        <v>0</v>
      </c>
      <c r="G1720" s="34" t="n">
        <f aca="false">SUMIFS('12.326ana'!$C:$C,'12.326ana'!$M:$M,redes!A1720)</f>
        <v>0</v>
      </c>
    </row>
    <row r="1721" customFormat="false" ht="14.4" hidden="true" customHeight="false" outlineLevel="0" collapsed="false">
      <c r="A1721" s="34" t="n">
        <v>25452681191</v>
      </c>
      <c r="B1721" s="34" t="s">
        <v>6076</v>
      </c>
      <c r="C1721" s="34" t="s">
        <v>546</v>
      </c>
      <c r="E1721" s="30" t="s">
        <v>6077</v>
      </c>
      <c r="F1721" s="34" t="n">
        <f aca="false">IFERROR(VLOOKUP($A1721,'319'!$B:$H,7,0),0)</f>
        <v>0</v>
      </c>
      <c r="G1721" s="34" t="n">
        <f aca="false">SUMIFS('12.326ana'!$C:$C,'12.326ana'!$M:$M,redes!A1721)</f>
        <v>0</v>
      </c>
    </row>
    <row r="1722" customFormat="false" ht="14.4" hidden="true" customHeight="false" outlineLevel="0" collapsed="false">
      <c r="A1722" s="34" t="n">
        <v>25454730149</v>
      </c>
      <c r="B1722" s="34" t="s">
        <v>6078</v>
      </c>
      <c r="C1722" s="34" t="s">
        <v>103</v>
      </c>
      <c r="E1722" s="30" t="s">
        <v>6079</v>
      </c>
      <c r="F1722" s="34" t="n">
        <f aca="false">IFERROR(VLOOKUP($A1722,'319'!$B:$H,7,0),0)</f>
        <v>0</v>
      </c>
      <c r="G1722" s="34" t="n">
        <f aca="false">SUMIFS('12.326ana'!$C:$C,'12.326ana'!$M:$M,redes!A1722)</f>
        <v>0</v>
      </c>
    </row>
    <row r="1723" customFormat="false" ht="14.4" hidden="true" customHeight="false" outlineLevel="0" collapsed="false">
      <c r="A1723" s="34" t="n">
        <v>25464094172</v>
      </c>
      <c r="B1723" s="34" t="s">
        <v>6080</v>
      </c>
      <c r="C1723" s="34" t="s">
        <v>103</v>
      </c>
      <c r="E1723" s="30" t="s">
        <v>6081</v>
      </c>
      <c r="F1723" s="34" t="n">
        <f aca="false">IFERROR(VLOOKUP($A1723,'319'!$B:$H,7,0),0)</f>
        <v>0</v>
      </c>
      <c r="G1723" s="34" t="n">
        <f aca="false">SUMIFS('12.326ana'!$C:$C,'12.326ana'!$M:$M,redes!A1723)</f>
        <v>0</v>
      </c>
    </row>
    <row r="1724" customFormat="false" ht="14.4" hidden="true" customHeight="false" outlineLevel="0" collapsed="false">
      <c r="A1724" s="34" t="n">
        <v>25468600110</v>
      </c>
      <c r="B1724" s="34" t="s">
        <v>6082</v>
      </c>
      <c r="C1724" s="34" t="s">
        <v>77</v>
      </c>
      <c r="E1724" s="30"/>
      <c r="F1724" s="34" t="n">
        <f aca="false">IFERROR(VLOOKUP($A1724,'319'!$B:$H,7,0),0)</f>
        <v>0</v>
      </c>
      <c r="G1724" s="34" t="n">
        <f aca="false">SUMIFS('12.326ana'!$C:$C,'12.326ana'!$M:$M,redes!A1724)</f>
        <v>0</v>
      </c>
    </row>
    <row r="1725" customFormat="false" ht="14.4" hidden="true" customHeight="false" outlineLevel="0" collapsed="false">
      <c r="A1725" s="34" t="n">
        <v>25468898187</v>
      </c>
      <c r="B1725" s="34" t="s">
        <v>6083</v>
      </c>
      <c r="C1725" s="34" t="s">
        <v>77</v>
      </c>
      <c r="E1725" s="30"/>
      <c r="F1725" s="34" t="n">
        <f aca="false">IFERROR(VLOOKUP($A1725,'319'!$B:$H,7,0),0)</f>
        <v>0</v>
      </c>
      <c r="G1725" s="34" t="n">
        <f aca="false">SUMIFS('12.326ana'!$C:$C,'12.326ana'!$M:$M,redes!A1725)</f>
        <v>0</v>
      </c>
    </row>
    <row r="1726" customFormat="false" ht="14.4" hidden="true" customHeight="false" outlineLevel="0" collapsed="false">
      <c r="A1726" s="34" t="n">
        <v>25481347172</v>
      </c>
      <c r="B1726" s="34" t="s">
        <v>6084</v>
      </c>
      <c r="C1726" s="34" t="s">
        <v>107</v>
      </c>
      <c r="E1726" s="30" t="s">
        <v>6085</v>
      </c>
      <c r="F1726" s="34" t="n">
        <f aca="false">IFERROR(VLOOKUP($A1726,'319'!$B:$H,7,0),0)</f>
        <v>0</v>
      </c>
      <c r="G1726" s="34" t="n">
        <f aca="false">SUMIFS('12.326ana'!$C:$C,'12.326ana'!$M:$M,redes!A1726)</f>
        <v>0</v>
      </c>
    </row>
    <row r="1727" customFormat="false" ht="14.4" hidden="true" customHeight="false" outlineLevel="0" collapsed="false">
      <c r="A1727" s="34" t="n">
        <v>25488023100</v>
      </c>
      <c r="B1727" s="34" t="s">
        <v>6086</v>
      </c>
      <c r="C1727" s="34" t="s">
        <v>77</v>
      </c>
      <c r="E1727" s="30" t="s">
        <v>3038</v>
      </c>
      <c r="F1727" s="34" t="n">
        <f aca="false">IFERROR(VLOOKUP($A1727,'319'!$B:$H,7,0),0)</f>
        <v>0</v>
      </c>
      <c r="G1727" s="34" t="n">
        <f aca="false">SUMIFS('12.326ana'!$C:$C,'12.326ana'!$M:$M,redes!A1727)</f>
        <v>0</v>
      </c>
    </row>
    <row r="1728" customFormat="false" ht="14.4" hidden="true" customHeight="false" outlineLevel="0" collapsed="false">
      <c r="A1728" s="34" t="n">
        <v>25491709115</v>
      </c>
      <c r="B1728" s="34" t="s">
        <v>6087</v>
      </c>
      <c r="C1728" s="34" t="s">
        <v>77</v>
      </c>
      <c r="E1728" s="30" t="s">
        <v>4904</v>
      </c>
      <c r="F1728" s="34" t="n">
        <f aca="false">IFERROR(VLOOKUP($A1728,'319'!$B:$H,7,0),0)</f>
        <v>0</v>
      </c>
      <c r="G1728" s="34" t="n">
        <f aca="false">SUMIFS('12.326ana'!$C:$C,'12.326ana'!$M:$M,redes!A1728)</f>
        <v>0</v>
      </c>
    </row>
    <row r="1729" customFormat="false" ht="14.4" hidden="true" customHeight="false" outlineLevel="0" collapsed="false">
      <c r="A1729" s="34" t="n">
        <v>25496166187</v>
      </c>
      <c r="B1729" s="34" t="s">
        <v>6088</v>
      </c>
      <c r="C1729" s="34" t="s">
        <v>103</v>
      </c>
      <c r="E1729" s="30" t="s">
        <v>6089</v>
      </c>
      <c r="F1729" s="34" t="n">
        <f aca="false">IFERROR(VLOOKUP($A1729,'319'!$B:$H,7,0),0)</f>
        <v>0</v>
      </c>
      <c r="G1729" s="34" t="n">
        <f aca="false">SUMIFS('12.326ana'!$C:$C,'12.326ana'!$M:$M,redes!A1729)</f>
        <v>0</v>
      </c>
    </row>
    <row r="1730" customFormat="false" ht="14.4" hidden="true" customHeight="false" outlineLevel="0" collapsed="false">
      <c r="A1730" s="34" t="n">
        <v>25499874115</v>
      </c>
      <c r="B1730" s="34" t="s">
        <v>6090</v>
      </c>
      <c r="C1730" s="34" t="s">
        <v>154</v>
      </c>
      <c r="E1730" s="30" t="s">
        <v>3206</v>
      </c>
      <c r="F1730" s="34" t="n">
        <f aca="false">IFERROR(VLOOKUP($A1730,'319'!$B:$H,7,0),0)</f>
        <v>0</v>
      </c>
      <c r="G1730" s="34" t="n">
        <f aca="false">SUMIFS('12.326ana'!$C:$C,'12.326ana'!$M:$M,redes!A1730)</f>
        <v>0</v>
      </c>
    </row>
    <row r="1731" customFormat="false" ht="14.4" hidden="true" customHeight="false" outlineLevel="0" collapsed="false">
      <c r="A1731" s="34" t="n">
        <v>25532043153</v>
      </c>
      <c r="B1731" s="34" t="s">
        <v>6091</v>
      </c>
      <c r="C1731" s="34" t="s">
        <v>77</v>
      </c>
      <c r="E1731" s="30" t="s">
        <v>3765</v>
      </c>
      <c r="F1731" s="34" t="n">
        <f aca="false">IFERROR(VLOOKUP($A1731,'319'!$B:$H,7,0),0)</f>
        <v>0</v>
      </c>
      <c r="G1731" s="34" t="n">
        <f aca="false">SUMIFS('12.326ana'!$C:$C,'12.326ana'!$M:$M,redes!A1731)</f>
        <v>0</v>
      </c>
    </row>
    <row r="1732" customFormat="false" ht="14.4" hidden="true" customHeight="false" outlineLevel="0" collapsed="false">
      <c r="A1732" s="34" t="n">
        <v>25564094875</v>
      </c>
      <c r="B1732" s="34" t="s">
        <v>6092</v>
      </c>
      <c r="C1732" s="34" t="s">
        <v>299</v>
      </c>
      <c r="E1732" s="30" t="s">
        <v>6093</v>
      </c>
      <c r="F1732" s="34" t="n">
        <f aca="false">IFERROR(VLOOKUP($A1732,'319'!$B:$H,7,0),0)</f>
        <v>0</v>
      </c>
      <c r="G1732" s="34" t="n">
        <f aca="false">SUMIFS('12.326ana'!$C:$C,'12.326ana'!$M:$M,redes!A1732)</f>
        <v>0</v>
      </c>
    </row>
    <row r="1733" customFormat="false" ht="14.4" hidden="true" customHeight="false" outlineLevel="0" collapsed="false">
      <c r="A1733" s="34" t="n">
        <v>25565150159</v>
      </c>
      <c r="B1733" s="34" t="s">
        <v>6094</v>
      </c>
      <c r="C1733" s="34" t="s">
        <v>77</v>
      </c>
      <c r="E1733" s="30" t="s">
        <v>6095</v>
      </c>
      <c r="F1733" s="34" t="n">
        <f aca="false">IFERROR(VLOOKUP($A1733,'319'!$B:$H,7,0),0)</f>
        <v>0</v>
      </c>
      <c r="G1733" s="34" t="n">
        <f aca="false">SUMIFS('12.326ana'!$C:$C,'12.326ana'!$M:$M,redes!A1733)</f>
        <v>0</v>
      </c>
    </row>
    <row r="1734" customFormat="false" ht="14.4" hidden="true" customHeight="false" outlineLevel="0" collapsed="false">
      <c r="A1734" s="34" t="n">
        <v>25600982100</v>
      </c>
      <c r="B1734" s="34" t="s">
        <v>6096</v>
      </c>
      <c r="C1734" s="34" t="s">
        <v>77</v>
      </c>
      <c r="E1734" s="30" t="s">
        <v>6097</v>
      </c>
      <c r="F1734" s="34" t="n">
        <f aca="false">IFERROR(VLOOKUP($A1734,'319'!$B:$H,7,0),0)</f>
        <v>0</v>
      </c>
      <c r="G1734" s="34" t="n">
        <f aca="false">SUMIFS('12.326ana'!$C:$C,'12.326ana'!$M:$M,redes!A1734)</f>
        <v>0</v>
      </c>
    </row>
    <row r="1735" customFormat="false" ht="14.4" hidden="true" customHeight="false" outlineLevel="0" collapsed="false">
      <c r="A1735" s="34" t="n">
        <v>25652990104</v>
      </c>
      <c r="B1735" s="34" t="s">
        <v>6098</v>
      </c>
      <c r="C1735" s="34" t="s">
        <v>77</v>
      </c>
      <c r="E1735" s="30" t="s">
        <v>6099</v>
      </c>
      <c r="F1735" s="34" t="n">
        <f aca="false">IFERROR(VLOOKUP($A1735,'319'!$B:$H,7,0),0)</f>
        <v>0</v>
      </c>
      <c r="G1735" s="34" t="n">
        <f aca="false">SUMIFS('12.326ana'!$C:$C,'12.326ana'!$M:$M,redes!A1735)</f>
        <v>0</v>
      </c>
    </row>
    <row r="1736" customFormat="false" ht="14.4" hidden="true" customHeight="false" outlineLevel="0" collapsed="false">
      <c r="A1736" s="34" t="n">
        <v>25675168168</v>
      </c>
      <c r="B1736" s="34" t="s">
        <v>6100</v>
      </c>
      <c r="C1736" s="34" t="s">
        <v>107</v>
      </c>
      <c r="E1736" s="30" t="s">
        <v>6101</v>
      </c>
      <c r="F1736" s="34" t="n">
        <f aca="false">IFERROR(VLOOKUP($A1736,'319'!$B:$H,7,0),0)</f>
        <v>0</v>
      </c>
      <c r="G1736" s="34" t="n">
        <f aca="false">SUMIFS('12.326ana'!$C:$C,'12.326ana'!$M:$M,redes!A1736)</f>
        <v>0</v>
      </c>
    </row>
    <row r="1737" customFormat="false" ht="14.4" hidden="true" customHeight="false" outlineLevel="0" collapsed="false">
      <c r="A1737" s="34" t="n">
        <v>25681427153</v>
      </c>
      <c r="B1737" s="34" t="s">
        <v>6102</v>
      </c>
      <c r="C1737" s="34" t="s">
        <v>77</v>
      </c>
      <c r="E1737" s="30" t="s">
        <v>6103</v>
      </c>
      <c r="F1737" s="34" t="n">
        <f aca="false">IFERROR(VLOOKUP($A1737,'319'!$B:$H,7,0),0)</f>
        <v>0</v>
      </c>
      <c r="G1737" s="34" t="n">
        <f aca="false">SUMIFS('12.326ana'!$C:$C,'12.326ana'!$M:$M,redes!A1737)</f>
        <v>0</v>
      </c>
    </row>
    <row r="1738" customFormat="false" ht="14.4" hidden="true" customHeight="false" outlineLevel="0" collapsed="false">
      <c r="A1738" s="34" t="n">
        <v>25681490866</v>
      </c>
      <c r="B1738" s="34" t="s">
        <v>6104</v>
      </c>
      <c r="C1738" s="34" t="s">
        <v>77</v>
      </c>
      <c r="E1738" s="30" t="s">
        <v>6105</v>
      </c>
      <c r="F1738" s="34" t="n">
        <f aca="false">IFERROR(VLOOKUP($A1738,'319'!$B:$H,7,0),0)</f>
        <v>0</v>
      </c>
      <c r="G1738" s="34" t="n">
        <f aca="false">SUMIFS('12.326ana'!$C:$C,'12.326ana'!$M:$M,redes!A1738)</f>
        <v>0</v>
      </c>
    </row>
    <row r="1739" customFormat="false" ht="14.4" hidden="true" customHeight="false" outlineLevel="0" collapsed="false">
      <c r="A1739" s="34" t="n">
        <v>25682180100</v>
      </c>
      <c r="B1739" s="34" t="s">
        <v>6106</v>
      </c>
      <c r="C1739" s="34" t="s">
        <v>77</v>
      </c>
      <c r="E1739" s="30"/>
      <c r="F1739" s="34" t="n">
        <f aca="false">IFERROR(VLOOKUP($A1739,'319'!$B:$H,7,0),0)</f>
        <v>0</v>
      </c>
      <c r="G1739" s="34" t="n">
        <f aca="false">SUMIFS('12.326ana'!$C:$C,'12.326ana'!$M:$M,redes!A1739)</f>
        <v>0</v>
      </c>
    </row>
    <row r="1740" customFormat="false" ht="14.4" hidden="true" customHeight="false" outlineLevel="0" collapsed="false">
      <c r="A1740" s="34" t="n">
        <v>25685562187</v>
      </c>
      <c r="B1740" s="34" t="s">
        <v>6107</v>
      </c>
      <c r="C1740" s="34" t="s">
        <v>77</v>
      </c>
      <c r="E1740" s="30" t="s">
        <v>6108</v>
      </c>
      <c r="F1740" s="34" t="n">
        <f aca="false">IFERROR(VLOOKUP($A1740,'319'!$B:$H,7,0),0)</f>
        <v>0</v>
      </c>
      <c r="G1740" s="34" t="n">
        <f aca="false">SUMIFS('12.326ana'!$C:$C,'12.326ana'!$M:$M,redes!A1740)</f>
        <v>0</v>
      </c>
    </row>
    <row r="1741" customFormat="false" ht="14.4" hidden="true" customHeight="false" outlineLevel="0" collapsed="false">
      <c r="A1741" s="34" t="n">
        <v>25685929153</v>
      </c>
      <c r="B1741" s="34" t="s">
        <v>6109</v>
      </c>
      <c r="C1741" s="34" t="s">
        <v>77</v>
      </c>
      <c r="E1741" s="30" t="s">
        <v>6110</v>
      </c>
      <c r="F1741" s="34" t="n">
        <f aca="false">IFERROR(VLOOKUP($A1741,'319'!$B:$H,7,0),0)</f>
        <v>0</v>
      </c>
      <c r="G1741" s="34" t="n">
        <f aca="false">SUMIFS('12.326ana'!$C:$C,'12.326ana'!$M:$M,redes!A1741)</f>
        <v>0</v>
      </c>
    </row>
    <row r="1742" customFormat="false" ht="14.4" hidden="true" customHeight="false" outlineLevel="0" collapsed="false">
      <c r="A1742" s="34" t="n">
        <v>25691996134</v>
      </c>
      <c r="B1742" s="34" t="s">
        <v>6111</v>
      </c>
      <c r="C1742" s="34" t="s">
        <v>1680</v>
      </c>
      <c r="E1742" s="30" t="s">
        <v>6112</v>
      </c>
      <c r="F1742" s="34" t="n">
        <f aca="false">IFERROR(VLOOKUP($A1742,'319'!$B:$H,7,0),0)</f>
        <v>0</v>
      </c>
      <c r="G1742" s="34" t="n">
        <f aca="false">SUMIFS('12.326ana'!$C:$C,'12.326ana'!$M:$M,redes!A1742)</f>
        <v>0</v>
      </c>
    </row>
    <row r="1743" customFormat="false" ht="14.4" hidden="true" customHeight="false" outlineLevel="0" collapsed="false">
      <c r="A1743" s="34" t="n">
        <v>25693387100</v>
      </c>
      <c r="B1743" s="34" t="s">
        <v>6113</v>
      </c>
      <c r="C1743" s="34" t="s">
        <v>1680</v>
      </c>
      <c r="E1743" s="30" t="s">
        <v>6114</v>
      </c>
      <c r="F1743" s="34" t="n">
        <f aca="false">IFERROR(VLOOKUP($A1743,'319'!$B:$H,7,0),0)</f>
        <v>0</v>
      </c>
      <c r="G1743" s="34" t="n">
        <f aca="false">SUMIFS('12.326ana'!$C:$C,'12.326ana'!$M:$M,redes!A1743)</f>
        <v>0</v>
      </c>
    </row>
    <row r="1744" customFormat="false" ht="14.4" hidden="true" customHeight="false" outlineLevel="0" collapsed="false">
      <c r="A1744" s="34" t="n">
        <v>25696530125</v>
      </c>
      <c r="B1744" s="34" t="s">
        <v>6115</v>
      </c>
      <c r="C1744" s="34" t="s">
        <v>737</v>
      </c>
      <c r="E1744" s="30" t="s">
        <v>6116</v>
      </c>
      <c r="F1744" s="34" t="n">
        <f aca="false">IFERROR(VLOOKUP($A1744,'319'!$B:$H,7,0),0)</f>
        <v>0</v>
      </c>
      <c r="G1744" s="34" t="n">
        <f aca="false">SUMIFS('12.326ana'!$C:$C,'12.326ana'!$M:$M,redes!A1744)</f>
        <v>0</v>
      </c>
    </row>
    <row r="1745" customFormat="false" ht="14.4" hidden="true" customHeight="false" outlineLevel="0" collapsed="false">
      <c r="A1745" s="34" t="n">
        <v>25697900104</v>
      </c>
      <c r="B1745" s="34" t="s">
        <v>6117</v>
      </c>
      <c r="C1745" s="34" t="s">
        <v>737</v>
      </c>
      <c r="E1745" s="30" t="s">
        <v>6118</v>
      </c>
      <c r="F1745" s="34" t="n">
        <f aca="false">IFERROR(VLOOKUP($A1745,'319'!$B:$H,7,0),0)</f>
        <v>0</v>
      </c>
      <c r="G1745" s="34" t="n">
        <f aca="false">SUMIFS('12.326ana'!$C:$C,'12.326ana'!$M:$M,redes!A1745)</f>
        <v>0</v>
      </c>
    </row>
    <row r="1746" customFormat="false" ht="14.4" hidden="true" customHeight="false" outlineLevel="0" collapsed="false">
      <c r="A1746" s="34" t="n">
        <v>25701770168</v>
      </c>
      <c r="B1746" s="34" t="s">
        <v>6119</v>
      </c>
      <c r="C1746" s="34" t="s">
        <v>77</v>
      </c>
      <c r="E1746" s="30" t="s">
        <v>3293</v>
      </c>
      <c r="F1746" s="34" t="n">
        <f aca="false">IFERROR(VLOOKUP($A1746,'319'!$B:$H,7,0),0)</f>
        <v>0</v>
      </c>
      <c r="G1746" s="34" t="n">
        <f aca="false">SUMIFS('12.326ana'!$C:$C,'12.326ana'!$M:$M,redes!A1746)</f>
        <v>0</v>
      </c>
    </row>
    <row r="1747" customFormat="false" ht="14.4" hidden="true" customHeight="false" outlineLevel="0" collapsed="false">
      <c r="A1747" s="34" t="n">
        <v>25702114191</v>
      </c>
      <c r="B1747" s="34" t="s">
        <v>6120</v>
      </c>
      <c r="C1747" s="34" t="s">
        <v>1272</v>
      </c>
      <c r="E1747" s="30" t="s">
        <v>6121</v>
      </c>
      <c r="F1747" s="34" t="n">
        <f aca="false">IFERROR(VLOOKUP($A1747,'319'!$B:$H,7,0),0)</f>
        <v>0</v>
      </c>
      <c r="G1747" s="34" t="n">
        <f aca="false">SUMIFS('12.326ana'!$C:$C,'12.326ana'!$M:$M,redes!A1747)</f>
        <v>0</v>
      </c>
    </row>
    <row r="1748" customFormat="false" ht="14.4" hidden="true" customHeight="false" outlineLevel="0" collapsed="false">
      <c r="A1748" s="34" t="n">
        <v>25704826172</v>
      </c>
      <c r="B1748" s="34" t="s">
        <v>6122</v>
      </c>
      <c r="C1748" s="34" t="s">
        <v>357</v>
      </c>
      <c r="E1748" s="30" t="s">
        <v>6123</v>
      </c>
      <c r="F1748" s="34" t="n">
        <f aca="false">IFERROR(VLOOKUP($A1748,'319'!$B:$H,7,0),0)</f>
        <v>0</v>
      </c>
      <c r="G1748" s="34" t="n">
        <f aca="false">SUMIFS('12.326ana'!$C:$C,'12.326ana'!$M:$M,redes!A1748)</f>
        <v>0</v>
      </c>
    </row>
    <row r="1749" customFormat="false" ht="14.4" hidden="true" customHeight="false" outlineLevel="0" collapsed="false">
      <c r="A1749" s="34" t="n">
        <v>25707620168</v>
      </c>
      <c r="B1749" s="34" t="s">
        <v>6124</v>
      </c>
      <c r="C1749" s="34" t="s">
        <v>89</v>
      </c>
      <c r="E1749" s="30"/>
      <c r="F1749" s="34" t="n">
        <f aca="false">IFERROR(VLOOKUP($A1749,'319'!$B:$H,7,0),0)</f>
        <v>0</v>
      </c>
      <c r="G1749" s="34" t="n">
        <f aca="false">SUMIFS('12.326ana'!$C:$C,'12.326ana'!$M:$M,redes!A1749)</f>
        <v>0</v>
      </c>
    </row>
    <row r="1750" customFormat="false" ht="14.4" hidden="true" customHeight="false" outlineLevel="0" collapsed="false">
      <c r="A1750" s="34" t="n">
        <v>25711636120</v>
      </c>
      <c r="B1750" s="34" t="s">
        <v>6125</v>
      </c>
      <c r="C1750" s="34" t="s">
        <v>77</v>
      </c>
      <c r="E1750" s="30" t="s">
        <v>3927</v>
      </c>
      <c r="F1750" s="34" t="n">
        <f aca="false">IFERROR(VLOOKUP($A1750,'319'!$B:$H,7,0),0)</f>
        <v>0</v>
      </c>
      <c r="G1750" s="34" t="n">
        <f aca="false">SUMIFS('12.326ana'!$C:$C,'12.326ana'!$M:$M,redes!A1750)</f>
        <v>0</v>
      </c>
    </row>
    <row r="1751" customFormat="false" ht="14.4" hidden="true" customHeight="false" outlineLevel="0" collapsed="false">
      <c r="A1751" s="34" t="n">
        <v>25716697100</v>
      </c>
      <c r="B1751" s="34" t="s">
        <v>6126</v>
      </c>
      <c r="C1751" s="34" t="s">
        <v>77</v>
      </c>
      <c r="E1751" s="30"/>
      <c r="F1751" s="34" t="n">
        <f aca="false">IFERROR(VLOOKUP($A1751,'319'!$B:$H,7,0),0)</f>
        <v>0</v>
      </c>
      <c r="G1751" s="34" t="n">
        <f aca="false">SUMIFS('12.326ana'!$C:$C,'12.326ana'!$M:$M,redes!A1751)</f>
        <v>0</v>
      </c>
    </row>
    <row r="1752" customFormat="false" ht="14.4" hidden="true" customHeight="false" outlineLevel="0" collapsed="false">
      <c r="A1752" s="34" t="n">
        <v>25718355134</v>
      </c>
      <c r="B1752" s="34" t="s">
        <v>6127</v>
      </c>
      <c r="C1752" s="34" t="s">
        <v>77</v>
      </c>
      <c r="E1752" s="30" t="s">
        <v>6128</v>
      </c>
      <c r="F1752" s="34" t="n">
        <f aca="false">IFERROR(VLOOKUP($A1752,'319'!$B:$H,7,0),0)</f>
        <v>0</v>
      </c>
      <c r="G1752" s="34" t="n">
        <f aca="false">SUMIFS('12.326ana'!$C:$C,'12.326ana'!$M:$M,redes!A1752)</f>
        <v>0</v>
      </c>
    </row>
    <row r="1753" customFormat="false" ht="14.4" hidden="true" customHeight="false" outlineLevel="0" collapsed="false">
      <c r="A1753" s="34" t="n">
        <v>25718673187</v>
      </c>
      <c r="B1753" s="34" t="s">
        <v>6129</v>
      </c>
      <c r="C1753" s="34" t="s">
        <v>77</v>
      </c>
      <c r="E1753" s="30" t="s">
        <v>6130</v>
      </c>
      <c r="F1753" s="34" t="n">
        <f aca="false">IFERROR(VLOOKUP($A1753,'319'!$B:$H,7,0),0)</f>
        <v>0</v>
      </c>
      <c r="G1753" s="34" t="n">
        <f aca="false">SUMIFS('12.326ana'!$C:$C,'12.326ana'!$M:$M,redes!A1753)</f>
        <v>0</v>
      </c>
    </row>
    <row r="1754" customFormat="false" ht="14.4" hidden="true" customHeight="false" outlineLevel="0" collapsed="false">
      <c r="A1754" s="34" t="n">
        <v>25723855115</v>
      </c>
      <c r="B1754" s="34" t="s">
        <v>6131</v>
      </c>
      <c r="C1754" s="34" t="s">
        <v>77</v>
      </c>
      <c r="E1754" s="30" t="s">
        <v>6132</v>
      </c>
      <c r="F1754" s="34" t="n">
        <f aca="false">IFERROR(VLOOKUP($A1754,'319'!$B:$H,7,0),0)</f>
        <v>0</v>
      </c>
      <c r="G1754" s="34" t="n">
        <f aca="false">SUMIFS('12.326ana'!$C:$C,'12.326ana'!$M:$M,redes!A1754)</f>
        <v>0</v>
      </c>
    </row>
    <row r="1755" customFormat="false" ht="14.4" hidden="true" customHeight="false" outlineLevel="0" collapsed="false">
      <c r="A1755" s="34" t="n">
        <v>25725769100</v>
      </c>
      <c r="B1755" s="34" t="s">
        <v>6133</v>
      </c>
      <c r="C1755" s="34" t="s">
        <v>1680</v>
      </c>
      <c r="E1755" s="30"/>
      <c r="F1755" s="34" t="n">
        <f aca="false">IFERROR(VLOOKUP($A1755,'319'!$B:$H,7,0),0)</f>
        <v>0</v>
      </c>
      <c r="G1755" s="34" t="n">
        <f aca="false">SUMIFS('12.326ana'!$C:$C,'12.326ana'!$M:$M,redes!A1755)</f>
        <v>0</v>
      </c>
    </row>
    <row r="1756" customFormat="false" ht="14.4" hidden="true" customHeight="false" outlineLevel="0" collapsed="false">
      <c r="A1756" s="34" t="n">
        <v>25769170115</v>
      </c>
      <c r="B1756" s="34" t="s">
        <v>6134</v>
      </c>
      <c r="C1756" s="34" t="s">
        <v>107</v>
      </c>
      <c r="E1756" s="30" t="s">
        <v>6135</v>
      </c>
      <c r="F1756" s="34" t="n">
        <f aca="false">IFERROR(VLOOKUP($A1756,'319'!$B:$H,7,0),0)</f>
        <v>0</v>
      </c>
      <c r="G1756" s="34" t="n">
        <f aca="false">SUMIFS('12.326ana'!$C:$C,'12.326ana'!$M:$M,redes!A1756)</f>
        <v>0</v>
      </c>
    </row>
    <row r="1757" customFormat="false" ht="14.4" hidden="true" customHeight="false" outlineLevel="0" collapsed="false">
      <c r="A1757" s="34" t="n">
        <v>25776959187</v>
      </c>
      <c r="B1757" s="34" t="s">
        <v>6136</v>
      </c>
      <c r="C1757" s="34" t="s">
        <v>77</v>
      </c>
      <c r="E1757" s="30"/>
      <c r="F1757" s="34" t="n">
        <f aca="false">IFERROR(VLOOKUP($A1757,'319'!$B:$H,7,0),0)</f>
        <v>0</v>
      </c>
      <c r="G1757" s="34" t="n">
        <f aca="false">SUMIFS('12.326ana'!$C:$C,'12.326ana'!$M:$M,redes!A1757)</f>
        <v>0</v>
      </c>
    </row>
    <row r="1758" customFormat="false" ht="14.4" hidden="true" customHeight="false" outlineLevel="0" collapsed="false">
      <c r="A1758" s="34" t="n">
        <v>25778170106</v>
      </c>
      <c r="B1758" s="34" t="s">
        <v>6137</v>
      </c>
      <c r="C1758" s="34" t="s">
        <v>781</v>
      </c>
      <c r="E1758" s="30" t="s">
        <v>6138</v>
      </c>
      <c r="F1758" s="34" t="n">
        <f aca="false">IFERROR(VLOOKUP($A1758,'319'!$B:$H,7,0),0)</f>
        <v>0</v>
      </c>
      <c r="G1758" s="34" t="n">
        <f aca="false">SUMIFS('12.326ana'!$C:$C,'12.326ana'!$M:$M,redes!A1758)</f>
        <v>0</v>
      </c>
    </row>
    <row r="1759" customFormat="false" ht="14.4" hidden="true" customHeight="false" outlineLevel="0" collapsed="false">
      <c r="A1759" s="34" t="n">
        <v>25779001120</v>
      </c>
      <c r="B1759" s="34" t="s">
        <v>6139</v>
      </c>
      <c r="C1759" s="34" t="s">
        <v>77</v>
      </c>
      <c r="E1759" s="30" t="s">
        <v>4630</v>
      </c>
      <c r="F1759" s="34" t="n">
        <f aca="false">IFERROR(VLOOKUP($A1759,'319'!$B:$H,7,0),0)</f>
        <v>0</v>
      </c>
      <c r="G1759" s="34" t="n">
        <f aca="false">SUMIFS('12.326ana'!$C:$C,'12.326ana'!$M:$M,redes!A1759)</f>
        <v>0</v>
      </c>
    </row>
    <row r="1760" customFormat="false" ht="14.4" hidden="true" customHeight="false" outlineLevel="0" collapsed="false">
      <c r="A1760" s="34" t="n">
        <v>25783700100</v>
      </c>
      <c r="B1760" s="34" t="s">
        <v>6140</v>
      </c>
      <c r="C1760" s="34" t="s">
        <v>77</v>
      </c>
      <c r="E1760" s="30" t="s">
        <v>4630</v>
      </c>
      <c r="F1760" s="34" t="n">
        <f aca="false">IFERROR(VLOOKUP($A1760,'319'!$B:$H,7,0),0)</f>
        <v>0</v>
      </c>
      <c r="G1760" s="34" t="n">
        <f aca="false">SUMIFS('12.326ana'!$C:$C,'12.326ana'!$M:$M,redes!A1760)</f>
        <v>0</v>
      </c>
    </row>
    <row r="1761" customFormat="false" ht="14.4" hidden="true" customHeight="false" outlineLevel="0" collapsed="false">
      <c r="A1761" s="34" t="n">
        <v>25785877104</v>
      </c>
      <c r="B1761" s="34" t="s">
        <v>6141</v>
      </c>
      <c r="C1761" s="34" t="s">
        <v>77</v>
      </c>
      <c r="E1761" s="30" t="s">
        <v>3375</v>
      </c>
      <c r="F1761" s="34" t="n">
        <f aca="false">IFERROR(VLOOKUP($A1761,'319'!$B:$H,7,0),0)</f>
        <v>0</v>
      </c>
      <c r="G1761" s="34" t="n">
        <f aca="false">SUMIFS('12.326ana'!$C:$C,'12.326ana'!$M:$M,redes!A1761)</f>
        <v>0</v>
      </c>
    </row>
    <row r="1762" customFormat="false" ht="14.4" hidden="true" customHeight="false" outlineLevel="0" collapsed="false">
      <c r="A1762" s="34" t="n">
        <v>25790803172</v>
      </c>
      <c r="B1762" s="34" t="s">
        <v>6142</v>
      </c>
      <c r="C1762" s="34" t="s">
        <v>77</v>
      </c>
      <c r="E1762" s="30" t="s">
        <v>6142</v>
      </c>
      <c r="F1762" s="34" t="n">
        <f aca="false">IFERROR(VLOOKUP($A1762,'319'!$B:$H,7,0),0)</f>
        <v>0</v>
      </c>
      <c r="G1762" s="34" t="n">
        <f aca="false">SUMIFS('12.326ana'!$C:$C,'12.326ana'!$M:$M,redes!A1762)</f>
        <v>0</v>
      </c>
    </row>
    <row r="1763" customFormat="false" ht="14.4" hidden="true" customHeight="false" outlineLevel="0" collapsed="false">
      <c r="A1763" s="34" t="n">
        <v>25792229104</v>
      </c>
      <c r="B1763" s="34" t="s">
        <v>6143</v>
      </c>
      <c r="C1763" s="34" t="s">
        <v>77</v>
      </c>
      <c r="E1763" s="30" t="s">
        <v>6144</v>
      </c>
      <c r="F1763" s="34" t="n">
        <f aca="false">IFERROR(VLOOKUP($A1763,'319'!$B:$H,7,0),0)</f>
        <v>0</v>
      </c>
      <c r="G1763" s="34" t="n">
        <f aca="false">SUMIFS('12.326ana'!$C:$C,'12.326ana'!$M:$M,redes!A1763)</f>
        <v>0</v>
      </c>
    </row>
    <row r="1764" customFormat="false" ht="14.4" hidden="true" customHeight="false" outlineLevel="0" collapsed="false">
      <c r="A1764" s="34" t="n">
        <v>25797310163</v>
      </c>
      <c r="B1764" s="34" t="s">
        <v>6145</v>
      </c>
      <c r="C1764" s="34" t="s">
        <v>77</v>
      </c>
      <c r="E1764" s="30" t="s">
        <v>6146</v>
      </c>
      <c r="F1764" s="34" t="n">
        <f aca="false">IFERROR(VLOOKUP($A1764,'319'!$B:$H,7,0),0)</f>
        <v>0</v>
      </c>
      <c r="G1764" s="34" t="n">
        <f aca="false">SUMIFS('12.326ana'!$C:$C,'12.326ana'!$M:$M,redes!A1764)</f>
        <v>0</v>
      </c>
    </row>
    <row r="1765" customFormat="false" ht="14.4" hidden="true" customHeight="false" outlineLevel="0" collapsed="false">
      <c r="A1765" s="34" t="n">
        <v>25800507104</v>
      </c>
      <c r="B1765" s="34" t="s">
        <v>6147</v>
      </c>
      <c r="C1765" s="34" t="s">
        <v>77</v>
      </c>
      <c r="E1765" s="30" t="s">
        <v>6148</v>
      </c>
      <c r="F1765" s="34" t="n">
        <f aca="false">IFERROR(VLOOKUP($A1765,'319'!$B:$H,7,0),0)</f>
        <v>0</v>
      </c>
      <c r="G1765" s="34" t="n">
        <f aca="false">SUMIFS('12.326ana'!$C:$C,'12.326ana'!$M:$M,redes!A1765)</f>
        <v>0</v>
      </c>
    </row>
    <row r="1766" customFormat="false" ht="14.4" hidden="true" customHeight="false" outlineLevel="0" collapsed="false">
      <c r="A1766" s="34" t="n">
        <v>25800710163</v>
      </c>
      <c r="B1766" s="34" t="s">
        <v>6149</v>
      </c>
      <c r="C1766" s="34" t="s">
        <v>77</v>
      </c>
      <c r="E1766" s="30" t="s">
        <v>6150</v>
      </c>
      <c r="F1766" s="34" t="n">
        <f aca="false">IFERROR(VLOOKUP($A1766,'319'!$B:$H,7,0),0)</f>
        <v>0</v>
      </c>
      <c r="G1766" s="34" t="n">
        <f aca="false">SUMIFS('12.326ana'!$C:$C,'12.326ana'!$M:$M,redes!A1766)</f>
        <v>0</v>
      </c>
    </row>
    <row r="1767" customFormat="false" ht="14.4" hidden="true" customHeight="false" outlineLevel="0" collapsed="false">
      <c r="A1767" s="34" t="n">
        <v>25804073168</v>
      </c>
      <c r="B1767" s="34" t="s">
        <v>6151</v>
      </c>
      <c r="C1767" s="34" t="s">
        <v>1272</v>
      </c>
      <c r="E1767" s="30" t="s">
        <v>6152</v>
      </c>
      <c r="F1767" s="34" t="n">
        <f aca="false">IFERROR(VLOOKUP($A1767,'319'!$B:$H,7,0),0)</f>
        <v>0</v>
      </c>
      <c r="G1767" s="34" t="n">
        <f aca="false">SUMIFS('12.326ana'!$C:$C,'12.326ana'!$M:$M,redes!A1767)</f>
        <v>0</v>
      </c>
    </row>
    <row r="1768" customFormat="false" ht="14.4" hidden="true" customHeight="false" outlineLevel="0" collapsed="false">
      <c r="A1768" s="34" t="n">
        <v>25804413104</v>
      </c>
      <c r="B1768" s="34" t="s">
        <v>6153</v>
      </c>
      <c r="C1768" s="34" t="s">
        <v>213</v>
      </c>
      <c r="E1768" s="30" t="s">
        <v>6154</v>
      </c>
      <c r="F1768" s="34" t="n">
        <f aca="false">IFERROR(VLOOKUP($A1768,'319'!$B:$H,7,0),0)</f>
        <v>0</v>
      </c>
      <c r="G1768" s="34" t="n">
        <f aca="false">SUMIFS('12.326ana'!$C:$C,'12.326ana'!$M:$M,redes!A1768)</f>
        <v>0</v>
      </c>
    </row>
    <row r="1769" customFormat="false" ht="14.4" hidden="true" customHeight="false" outlineLevel="0" collapsed="false">
      <c r="A1769" s="34" t="n">
        <v>25841947753</v>
      </c>
      <c r="B1769" s="34" t="s">
        <v>6155</v>
      </c>
      <c r="C1769" s="34" t="s">
        <v>464</v>
      </c>
      <c r="E1769" s="30" t="s">
        <v>6156</v>
      </c>
      <c r="F1769" s="34" t="n">
        <f aca="false">IFERROR(VLOOKUP($A1769,'319'!$B:$H,7,0),0)</f>
        <v>0</v>
      </c>
      <c r="G1769" s="34" t="n">
        <f aca="false">SUMIFS('12.326ana'!$C:$C,'12.326ana'!$M:$M,redes!A1769)</f>
        <v>0</v>
      </c>
    </row>
    <row r="1770" customFormat="false" ht="14.4" hidden="true" customHeight="false" outlineLevel="0" collapsed="false">
      <c r="A1770" s="34" t="n">
        <v>26003457368</v>
      </c>
      <c r="B1770" s="34" t="s">
        <v>6157</v>
      </c>
      <c r="C1770" s="34" t="s">
        <v>77</v>
      </c>
      <c r="E1770" s="30" t="s">
        <v>4499</v>
      </c>
      <c r="F1770" s="34" t="n">
        <f aca="false">IFERROR(VLOOKUP($A1770,'319'!$B:$H,7,0),0)</f>
        <v>0</v>
      </c>
      <c r="G1770" s="34" t="n">
        <f aca="false">SUMIFS('12.326ana'!$C:$C,'12.326ana'!$M:$M,redes!A1770)</f>
        <v>0</v>
      </c>
    </row>
    <row r="1771" customFormat="false" ht="14.4" hidden="true" customHeight="false" outlineLevel="0" collapsed="false">
      <c r="A1771" s="34" t="n">
        <v>26092271087</v>
      </c>
      <c r="B1771" s="34" t="s">
        <v>6158</v>
      </c>
      <c r="C1771" s="34" t="s">
        <v>473</v>
      </c>
      <c r="E1771" s="30" t="s">
        <v>6159</v>
      </c>
      <c r="F1771" s="34" t="n">
        <f aca="false">IFERROR(VLOOKUP($A1771,'319'!$B:$H,7,0),0)</f>
        <v>0</v>
      </c>
      <c r="G1771" s="34" t="n">
        <f aca="false">SUMIFS('12.326ana'!$C:$C,'12.326ana'!$M:$M,redes!A1771)</f>
        <v>0</v>
      </c>
    </row>
    <row r="1772" customFormat="false" ht="14.4" hidden="true" customHeight="false" outlineLevel="0" collapsed="false">
      <c r="A1772" s="34" t="n">
        <v>26095246091</v>
      </c>
      <c r="B1772" s="34" t="s">
        <v>6160</v>
      </c>
      <c r="C1772" s="34" t="s">
        <v>77</v>
      </c>
      <c r="E1772" s="30" t="s">
        <v>6161</v>
      </c>
      <c r="F1772" s="34" t="n">
        <f aca="false">IFERROR(VLOOKUP($A1772,'319'!$B:$H,7,0),0)</f>
        <v>0</v>
      </c>
      <c r="G1772" s="34" t="n">
        <f aca="false">SUMIFS('12.326ana'!$C:$C,'12.326ana'!$M:$M,redes!A1772)</f>
        <v>0</v>
      </c>
    </row>
    <row r="1773" customFormat="false" ht="14.4" hidden="true" customHeight="false" outlineLevel="0" collapsed="false">
      <c r="A1773" s="34" t="n">
        <v>26110059820</v>
      </c>
      <c r="B1773" s="34" t="s">
        <v>6162</v>
      </c>
      <c r="C1773" s="34" t="s">
        <v>103</v>
      </c>
      <c r="E1773" s="30" t="s">
        <v>6163</v>
      </c>
      <c r="F1773" s="34" t="n">
        <f aca="false">IFERROR(VLOOKUP($A1773,'319'!$B:$H,7,0),0)</f>
        <v>0</v>
      </c>
      <c r="G1773" s="34" t="n">
        <f aca="false">SUMIFS('12.326ana'!$C:$C,'12.326ana'!$M:$M,redes!A1773)</f>
        <v>0</v>
      </c>
    </row>
    <row r="1774" customFormat="false" ht="14.4" hidden="true" customHeight="false" outlineLevel="0" collapsed="false">
      <c r="A1774" s="34" t="n">
        <v>26234840078</v>
      </c>
      <c r="B1774" s="34" t="s">
        <v>6164</v>
      </c>
      <c r="C1774" s="34" t="s">
        <v>475</v>
      </c>
      <c r="E1774" s="30" t="s">
        <v>6165</v>
      </c>
      <c r="F1774" s="34" t="n">
        <f aca="false">IFERROR(VLOOKUP($A1774,'319'!$B:$H,7,0),0)</f>
        <v>0</v>
      </c>
      <c r="G1774" s="34" t="n">
        <f aca="false">SUMIFS('12.326ana'!$C:$C,'12.326ana'!$M:$M,redes!A1774)</f>
        <v>0</v>
      </c>
    </row>
    <row r="1775" customFormat="false" ht="14.4" hidden="true" customHeight="false" outlineLevel="0" collapsed="false">
      <c r="A1775" s="34" t="n">
        <v>26242320878</v>
      </c>
      <c r="B1775" s="34" t="s">
        <v>6166</v>
      </c>
      <c r="C1775" s="34" t="s">
        <v>77</v>
      </c>
      <c r="E1775" s="30" t="s">
        <v>6167</v>
      </c>
      <c r="F1775" s="34" t="n">
        <f aca="false">IFERROR(VLOOKUP($A1775,'319'!$B:$H,7,0),0)</f>
        <v>0</v>
      </c>
      <c r="G1775" s="34" t="n">
        <f aca="false">SUMIFS('12.326ana'!$C:$C,'12.326ana'!$M:$M,redes!A1775)</f>
        <v>0</v>
      </c>
    </row>
    <row r="1776" customFormat="false" ht="14.4" hidden="true" customHeight="false" outlineLevel="0" collapsed="false">
      <c r="A1776" s="34" t="n">
        <v>26242915120</v>
      </c>
      <c r="B1776" s="34" t="s">
        <v>6168</v>
      </c>
      <c r="C1776" s="34" t="s">
        <v>107</v>
      </c>
      <c r="E1776" s="30" t="s">
        <v>6169</v>
      </c>
      <c r="F1776" s="34" t="n">
        <f aca="false">IFERROR(VLOOKUP($A1776,'319'!$B:$H,7,0),0)</f>
        <v>0</v>
      </c>
      <c r="G1776" s="34" t="n">
        <f aca="false">SUMIFS('12.326ana'!$C:$C,'12.326ana'!$M:$M,redes!A1776)</f>
        <v>0</v>
      </c>
    </row>
    <row r="1777" customFormat="false" ht="14.4" hidden="true" customHeight="false" outlineLevel="0" collapsed="false">
      <c r="A1777" s="34" t="n">
        <v>26242958104</v>
      </c>
      <c r="B1777" s="34" t="s">
        <v>6170</v>
      </c>
      <c r="C1777" s="34" t="s">
        <v>77</v>
      </c>
      <c r="E1777" s="30" t="s">
        <v>6171</v>
      </c>
      <c r="F1777" s="34" t="n">
        <f aca="false">IFERROR(VLOOKUP($A1777,'319'!$B:$H,7,0),0)</f>
        <v>0</v>
      </c>
      <c r="G1777" s="34" t="n">
        <f aca="false">SUMIFS('12.326ana'!$C:$C,'12.326ana'!$M:$M,redes!A1777)</f>
        <v>0</v>
      </c>
    </row>
    <row r="1778" customFormat="false" ht="14.4" hidden="true" customHeight="false" outlineLevel="0" collapsed="false">
      <c r="A1778" s="34" t="n">
        <v>26324593894</v>
      </c>
      <c r="B1778" s="34" t="s">
        <v>6172</v>
      </c>
      <c r="C1778" s="34" t="s">
        <v>107</v>
      </c>
      <c r="E1778" s="30" t="s">
        <v>3807</v>
      </c>
      <c r="F1778" s="34" t="n">
        <f aca="false">IFERROR(VLOOKUP($A1778,'319'!$B:$H,7,0),0)</f>
        <v>0</v>
      </c>
      <c r="G1778" s="34" t="n">
        <f aca="false">SUMIFS('12.326ana'!$C:$C,'12.326ana'!$M:$M,redes!A1778)</f>
        <v>0</v>
      </c>
    </row>
    <row r="1779" customFormat="false" ht="14.4" hidden="true" customHeight="false" outlineLevel="0" collapsed="false">
      <c r="A1779" s="34" t="n">
        <v>26476494805</v>
      </c>
      <c r="B1779" s="34" t="s">
        <v>6173</v>
      </c>
      <c r="C1779" s="34" t="s">
        <v>581</v>
      </c>
      <c r="E1779" s="30" t="s">
        <v>6174</v>
      </c>
      <c r="F1779" s="34" t="n">
        <f aca="false">IFERROR(VLOOKUP($A1779,'319'!$B:$H,7,0),0)</f>
        <v>0</v>
      </c>
      <c r="G1779" s="34" t="n">
        <f aca="false">SUMIFS('12.326ana'!$C:$C,'12.326ana'!$M:$M,redes!A1779)</f>
        <v>0</v>
      </c>
    </row>
    <row r="1780" customFormat="false" ht="14.4" hidden="true" customHeight="false" outlineLevel="0" collapsed="false">
      <c r="A1780" s="34" t="n">
        <v>26658073864</v>
      </c>
      <c r="B1780" s="34" t="s">
        <v>6175</v>
      </c>
      <c r="C1780" s="34" t="s">
        <v>77</v>
      </c>
      <c r="E1780" s="30" t="s">
        <v>6176</v>
      </c>
      <c r="F1780" s="34" t="n">
        <f aca="false">IFERROR(VLOOKUP($A1780,'319'!$B:$H,7,0),0)</f>
        <v>0</v>
      </c>
      <c r="G1780" s="34" t="n">
        <f aca="false">SUMIFS('12.326ana'!$C:$C,'12.326ana'!$M:$M,redes!A1780)</f>
        <v>0</v>
      </c>
    </row>
    <row r="1781" customFormat="false" ht="14.4" hidden="true" customHeight="false" outlineLevel="0" collapsed="false">
      <c r="A1781" s="34" t="n">
        <v>26669665857</v>
      </c>
      <c r="B1781" s="34" t="s">
        <v>6177</v>
      </c>
      <c r="C1781" s="34" t="s">
        <v>77</v>
      </c>
      <c r="E1781" s="30" t="s">
        <v>6178</v>
      </c>
      <c r="F1781" s="34" t="n">
        <f aca="false">IFERROR(VLOOKUP($A1781,'319'!$B:$H,7,0),0)</f>
        <v>0</v>
      </c>
      <c r="G1781" s="34" t="n">
        <f aca="false">SUMIFS('12.326ana'!$C:$C,'12.326ana'!$M:$M,redes!A1781)</f>
        <v>0</v>
      </c>
    </row>
    <row r="1782" customFormat="false" ht="14.4" hidden="true" customHeight="false" outlineLevel="0" collapsed="false">
      <c r="A1782" s="34" t="n">
        <v>26681070833</v>
      </c>
      <c r="B1782" s="34" t="s">
        <v>6179</v>
      </c>
      <c r="C1782" s="34" t="s">
        <v>89</v>
      </c>
      <c r="E1782" s="30" t="s">
        <v>6180</v>
      </c>
      <c r="F1782" s="34" t="n">
        <f aca="false">IFERROR(VLOOKUP($A1782,'319'!$B:$H,7,0),0)</f>
        <v>0</v>
      </c>
      <c r="G1782" s="34" t="n">
        <f aca="false">SUMIFS('12.326ana'!$C:$C,'12.326ana'!$M:$M,redes!A1782)</f>
        <v>0</v>
      </c>
    </row>
    <row r="1783" customFormat="false" ht="14.4" hidden="true" customHeight="false" outlineLevel="0" collapsed="false">
      <c r="A1783" s="34" t="n">
        <v>26717921153</v>
      </c>
      <c r="B1783" s="34" t="s">
        <v>6181</v>
      </c>
      <c r="C1783" s="34" t="s">
        <v>357</v>
      </c>
      <c r="E1783" s="30" t="s">
        <v>6182</v>
      </c>
      <c r="F1783" s="34" t="n">
        <f aca="false">IFERROR(VLOOKUP($A1783,'319'!$B:$H,7,0),0)</f>
        <v>0</v>
      </c>
      <c r="G1783" s="34" t="n">
        <f aca="false">SUMIFS('12.326ana'!$C:$C,'12.326ana'!$M:$M,redes!A1783)</f>
        <v>0</v>
      </c>
    </row>
    <row r="1784" customFormat="false" ht="14.4" hidden="true" customHeight="false" outlineLevel="0" collapsed="false">
      <c r="A1784" s="34" t="n">
        <v>26823556846</v>
      </c>
      <c r="B1784" s="34" t="s">
        <v>6183</v>
      </c>
      <c r="C1784" s="34" t="s">
        <v>77</v>
      </c>
      <c r="E1784" s="30" t="s">
        <v>6184</v>
      </c>
      <c r="F1784" s="34" t="n">
        <f aca="false">IFERROR(VLOOKUP($A1784,'319'!$B:$H,7,0),0)</f>
        <v>0</v>
      </c>
      <c r="G1784" s="34" t="n">
        <f aca="false">SUMIFS('12.326ana'!$C:$C,'12.326ana'!$M:$M,redes!A1784)</f>
        <v>0</v>
      </c>
    </row>
    <row r="1785" customFormat="false" ht="14.4" hidden="true" customHeight="false" outlineLevel="0" collapsed="false">
      <c r="A1785" s="34" t="n">
        <v>26842270120</v>
      </c>
      <c r="B1785" s="34" t="s">
        <v>6185</v>
      </c>
      <c r="C1785" s="34" t="s">
        <v>77</v>
      </c>
      <c r="E1785" s="30" t="s">
        <v>6186</v>
      </c>
      <c r="F1785" s="34" t="n">
        <f aca="false">IFERROR(VLOOKUP($A1785,'319'!$B:$H,7,0),0)</f>
        <v>0</v>
      </c>
      <c r="G1785" s="34" t="n">
        <f aca="false">SUMIFS('12.326ana'!$C:$C,'12.326ana'!$M:$M,redes!A1785)</f>
        <v>0</v>
      </c>
    </row>
    <row r="1786" customFormat="false" ht="14.4" hidden="true" customHeight="false" outlineLevel="0" collapsed="false">
      <c r="A1786" s="34" t="n">
        <v>26872478802</v>
      </c>
      <c r="B1786" s="34" t="s">
        <v>6187</v>
      </c>
      <c r="C1786" s="34" t="s">
        <v>103</v>
      </c>
      <c r="E1786" s="30" t="s">
        <v>6188</v>
      </c>
      <c r="F1786" s="34" t="n">
        <f aca="false">IFERROR(VLOOKUP($A1786,'319'!$B:$H,7,0),0)</f>
        <v>0</v>
      </c>
      <c r="G1786" s="34" t="n">
        <f aca="false">SUMIFS('12.326ana'!$C:$C,'12.326ana'!$M:$M,redes!A1786)</f>
        <v>0</v>
      </c>
    </row>
    <row r="1787" customFormat="false" ht="14.4" hidden="true" customHeight="false" outlineLevel="0" collapsed="false">
      <c r="A1787" s="34" t="n">
        <v>26909430263</v>
      </c>
      <c r="B1787" s="34" t="s">
        <v>6189</v>
      </c>
      <c r="C1787" s="34" t="s">
        <v>77</v>
      </c>
      <c r="E1787" s="30" t="s">
        <v>6190</v>
      </c>
      <c r="F1787" s="34" t="n">
        <f aca="false">IFERROR(VLOOKUP($A1787,'319'!$B:$H,7,0),0)</f>
        <v>0</v>
      </c>
      <c r="G1787" s="34" t="n">
        <f aca="false">SUMIFS('12.326ana'!$C:$C,'12.326ana'!$M:$M,redes!A1787)</f>
        <v>0</v>
      </c>
    </row>
    <row r="1788" customFormat="false" ht="14.4" hidden="true" customHeight="false" outlineLevel="0" collapsed="false">
      <c r="A1788" s="34" t="n">
        <v>26924358268</v>
      </c>
      <c r="B1788" s="34" t="s">
        <v>6191</v>
      </c>
      <c r="C1788" s="34" t="s">
        <v>77</v>
      </c>
      <c r="E1788" s="30" t="s">
        <v>6192</v>
      </c>
      <c r="F1788" s="34" t="n">
        <f aca="false">IFERROR(VLOOKUP($A1788,'319'!$B:$H,7,0),0)</f>
        <v>0</v>
      </c>
      <c r="G1788" s="34" t="n">
        <f aca="false">SUMIFS('12.326ana'!$C:$C,'12.326ana'!$M:$M,redes!A1788)</f>
        <v>0</v>
      </c>
    </row>
    <row r="1789" customFormat="false" ht="14.4" hidden="true" customHeight="false" outlineLevel="0" collapsed="false">
      <c r="A1789" s="34" t="n">
        <v>26927501878</v>
      </c>
      <c r="B1789" s="34" t="s">
        <v>6193</v>
      </c>
      <c r="C1789" s="34" t="s">
        <v>77</v>
      </c>
      <c r="E1789" s="30" t="s">
        <v>6194</v>
      </c>
      <c r="F1789" s="34" t="n">
        <f aca="false">IFERROR(VLOOKUP($A1789,'319'!$B:$H,7,0),0)</f>
        <v>0</v>
      </c>
      <c r="G1789" s="34" t="n">
        <f aca="false">SUMIFS('12.326ana'!$C:$C,'12.326ana'!$M:$M,redes!A1789)</f>
        <v>0</v>
      </c>
    </row>
    <row r="1790" customFormat="false" ht="14.4" hidden="true" customHeight="false" outlineLevel="0" collapsed="false">
      <c r="A1790" s="34" t="n">
        <v>26943857886</v>
      </c>
      <c r="B1790" s="34" t="s">
        <v>6195</v>
      </c>
      <c r="C1790" s="34" t="s">
        <v>631</v>
      </c>
      <c r="E1790" s="30" t="s">
        <v>6196</v>
      </c>
      <c r="F1790" s="34" t="n">
        <f aca="false">IFERROR(VLOOKUP($A1790,'319'!$B:$H,7,0),0)</f>
        <v>0</v>
      </c>
      <c r="G1790" s="34" t="n">
        <f aca="false">SUMIFS('12.326ana'!$C:$C,'12.326ana'!$M:$M,redes!A1790)</f>
        <v>0</v>
      </c>
    </row>
    <row r="1791" customFormat="false" ht="14.4" hidden="true" customHeight="false" outlineLevel="0" collapsed="false">
      <c r="A1791" s="34" t="n">
        <v>26987445885</v>
      </c>
      <c r="B1791" s="34" t="s">
        <v>6197</v>
      </c>
      <c r="C1791" s="34" t="s">
        <v>77</v>
      </c>
      <c r="E1791" s="30" t="s">
        <v>6198</v>
      </c>
      <c r="F1791" s="34" t="n">
        <f aca="false">IFERROR(VLOOKUP($A1791,'319'!$B:$H,7,0),0)</f>
        <v>0</v>
      </c>
      <c r="G1791" s="34" t="n">
        <f aca="false">SUMIFS('12.326ana'!$C:$C,'12.326ana'!$M:$M,redes!A1791)</f>
        <v>0</v>
      </c>
    </row>
    <row r="1792" customFormat="false" ht="14.4" hidden="true" customHeight="false" outlineLevel="0" collapsed="false">
      <c r="A1792" s="34" t="n">
        <v>27136357802</v>
      </c>
      <c r="B1792" s="34" t="s">
        <v>6199</v>
      </c>
      <c r="C1792" s="34" t="s">
        <v>77</v>
      </c>
      <c r="E1792" s="30" t="s">
        <v>6200</v>
      </c>
      <c r="F1792" s="34" t="n">
        <f aca="false">IFERROR(VLOOKUP($A1792,'319'!$B:$H,7,0),0)</f>
        <v>0</v>
      </c>
      <c r="G1792" s="34" t="n">
        <f aca="false">SUMIFS('12.326ana'!$C:$C,'12.326ana'!$M:$M,redes!A1792)</f>
        <v>0</v>
      </c>
    </row>
    <row r="1793" customFormat="false" ht="14.4" hidden="true" customHeight="false" outlineLevel="0" collapsed="false">
      <c r="A1793" s="34" t="n">
        <v>27175863187</v>
      </c>
      <c r="B1793" s="34" t="s">
        <v>6201</v>
      </c>
      <c r="C1793" s="34" t="s">
        <v>77</v>
      </c>
      <c r="E1793" s="30" t="s">
        <v>6202</v>
      </c>
      <c r="F1793" s="34" t="n">
        <f aca="false">IFERROR(VLOOKUP($A1793,'319'!$B:$H,7,0),0)</f>
        <v>0</v>
      </c>
      <c r="G1793" s="34" t="n">
        <f aca="false">SUMIFS('12.326ana'!$C:$C,'12.326ana'!$M:$M,redes!A1793)</f>
        <v>0</v>
      </c>
    </row>
    <row r="1794" customFormat="false" ht="14.4" hidden="true" customHeight="false" outlineLevel="0" collapsed="false">
      <c r="A1794" s="34" t="n">
        <v>27176142149</v>
      </c>
      <c r="B1794" s="34" t="s">
        <v>6203</v>
      </c>
      <c r="C1794" s="34" t="s">
        <v>77</v>
      </c>
      <c r="E1794" s="30" t="s">
        <v>6204</v>
      </c>
      <c r="F1794" s="34" t="n">
        <f aca="false">IFERROR(VLOOKUP($A1794,'319'!$B:$H,7,0),0)</f>
        <v>0</v>
      </c>
      <c r="G1794" s="34" t="n">
        <f aca="false">SUMIFS('12.326ana'!$C:$C,'12.326ana'!$M:$M,redes!A1794)</f>
        <v>0</v>
      </c>
    </row>
    <row r="1795" customFormat="false" ht="14.4" hidden="true" customHeight="false" outlineLevel="0" collapsed="false">
      <c r="A1795" s="34" t="n">
        <v>27182576104</v>
      </c>
      <c r="B1795" s="34" t="s">
        <v>6205</v>
      </c>
      <c r="C1795" s="34" t="s">
        <v>77</v>
      </c>
      <c r="E1795" s="30" t="s">
        <v>6206</v>
      </c>
      <c r="F1795" s="34" t="n">
        <f aca="false">IFERROR(VLOOKUP($A1795,'319'!$B:$H,7,0),0)</f>
        <v>0</v>
      </c>
      <c r="G1795" s="34" t="n">
        <f aca="false">SUMIFS('12.326ana'!$C:$C,'12.326ana'!$M:$M,redes!A1795)</f>
        <v>0</v>
      </c>
    </row>
    <row r="1796" customFormat="false" ht="14.4" hidden="true" customHeight="false" outlineLevel="0" collapsed="false">
      <c r="A1796" s="34" t="n">
        <v>27182622149</v>
      </c>
      <c r="B1796" s="34" t="s">
        <v>6207</v>
      </c>
      <c r="C1796" s="34" t="s">
        <v>77</v>
      </c>
      <c r="E1796" s="30" t="s">
        <v>6208</v>
      </c>
      <c r="F1796" s="34" t="n">
        <f aca="false">IFERROR(VLOOKUP($A1796,'319'!$B:$H,7,0),0)</f>
        <v>0</v>
      </c>
      <c r="G1796" s="34" t="n">
        <f aca="false">SUMIFS('12.326ana'!$C:$C,'12.326ana'!$M:$M,redes!A1796)</f>
        <v>0</v>
      </c>
    </row>
    <row r="1797" customFormat="false" ht="14.4" hidden="true" customHeight="false" outlineLevel="0" collapsed="false">
      <c r="A1797" s="34" t="n">
        <v>27184870115</v>
      </c>
      <c r="B1797" s="34" t="s">
        <v>6209</v>
      </c>
      <c r="C1797" s="34" t="s">
        <v>77</v>
      </c>
      <c r="E1797" s="30" t="s">
        <v>6210</v>
      </c>
      <c r="F1797" s="34" t="n">
        <f aca="false">IFERROR(VLOOKUP($A1797,'319'!$B:$H,7,0),0)</f>
        <v>0</v>
      </c>
      <c r="G1797" s="34" t="n">
        <f aca="false">SUMIFS('12.326ana'!$C:$C,'12.326ana'!$M:$M,redes!A1797)</f>
        <v>0</v>
      </c>
    </row>
    <row r="1798" customFormat="false" ht="14.4" hidden="true" customHeight="false" outlineLevel="0" collapsed="false">
      <c r="A1798" s="34" t="n">
        <v>27185656168</v>
      </c>
      <c r="B1798" s="34" t="s">
        <v>6211</v>
      </c>
      <c r="C1798" s="34" t="s">
        <v>77</v>
      </c>
      <c r="E1798" s="30" t="s">
        <v>4061</v>
      </c>
      <c r="F1798" s="34" t="n">
        <f aca="false">IFERROR(VLOOKUP($A1798,'319'!$B:$H,7,0),0)</f>
        <v>0</v>
      </c>
      <c r="G1798" s="34" t="n">
        <f aca="false">SUMIFS('12.326ana'!$C:$C,'12.326ana'!$M:$M,redes!A1798)</f>
        <v>0</v>
      </c>
    </row>
    <row r="1799" customFormat="false" ht="14.4" hidden="true" customHeight="false" outlineLevel="0" collapsed="false">
      <c r="A1799" s="34" t="n">
        <v>27186580106</v>
      </c>
      <c r="B1799" s="34" t="s">
        <v>6212</v>
      </c>
      <c r="C1799" s="34" t="s">
        <v>77</v>
      </c>
      <c r="E1799" s="30" t="s">
        <v>6213</v>
      </c>
      <c r="F1799" s="34" t="n">
        <f aca="false">IFERROR(VLOOKUP($A1799,'319'!$B:$H,7,0),0)</f>
        <v>0</v>
      </c>
      <c r="G1799" s="34" t="n">
        <f aca="false">SUMIFS('12.326ana'!$C:$C,'12.326ana'!$M:$M,redes!A1799)</f>
        <v>0</v>
      </c>
    </row>
    <row r="1800" customFormat="false" ht="14.4" hidden="true" customHeight="false" outlineLevel="0" collapsed="false">
      <c r="A1800" s="34" t="n">
        <v>27188990182</v>
      </c>
      <c r="B1800" s="34" t="s">
        <v>6214</v>
      </c>
      <c r="C1800" s="34" t="s">
        <v>77</v>
      </c>
      <c r="E1800" s="30"/>
      <c r="F1800" s="34" t="n">
        <f aca="false">IFERROR(VLOOKUP($A1800,'319'!$B:$H,7,0),0)</f>
        <v>0</v>
      </c>
      <c r="G1800" s="34" t="n">
        <f aca="false">SUMIFS('12.326ana'!$C:$C,'12.326ana'!$M:$M,redes!A1800)</f>
        <v>0</v>
      </c>
    </row>
    <row r="1801" customFormat="false" ht="14.4" hidden="true" customHeight="false" outlineLevel="0" collapsed="false">
      <c r="A1801" s="34" t="n">
        <v>27190196153</v>
      </c>
      <c r="B1801" s="34" t="s">
        <v>6215</v>
      </c>
      <c r="C1801" s="34" t="s">
        <v>77</v>
      </c>
      <c r="E1801" s="30" t="s">
        <v>6216</v>
      </c>
      <c r="F1801" s="34" t="n">
        <f aca="false">IFERROR(VLOOKUP($A1801,'319'!$B:$H,7,0),0)</f>
        <v>0</v>
      </c>
      <c r="G1801" s="34" t="n">
        <f aca="false">SUMIFS('12.326ana'!$C:$C,'12.326ana'!$M:$M,redes!A1801)</f>
        <v>0</v>
      </c>
    </row>
    <row r="1802" customFormat="false" ht="14.4" hidden="true" customHeight="false" outlineLevel="0" collapsed="false">
      <c r="A1802" s="34" t="n">
        <v>27191214104</v>
      </c>
      <c r="B1802" s="34" t="s">
        <v>6217</v>
      </c>
      <c r="C1802" s="34" t="s">
        <v>77</v>
      </c>
      <c r="E1802" s="30" t="s">
        <v>6218</v>
      </c>
      <c r="F1802" s="34" t="n">
        <f aca="false">IFERROR(VLOOKUP($A1802,'319'!$B:$H,7,0),0)</f>
        <v>0</v>
      </c>
      <c r="G1802" s="34" t="n">
        <f aca="false">SUMIFS('12.326ana'!$C:$C,'12.326ana'!$M:$M,redes!A1802)</f>
        <v>0</v>
      </c>
    </row>
    <row r="1803" customFormat="false" ht="14.4" hidden="true" customHeight="false" outlineLevel="0" collapsed="false">
      <c r="A1803" s="34" t="n">
        <v>27193578120</v>
      </c>
      <c r="B1803" s="34" t="s">
        <v>6219</v>
      </c>
      <c r="C1803" s="34" t="s">
        <v>77</v>
      </c>
      <c r="E1803" s="30"/>
      <c r="F1803" s="34" t="n">
        <f aca="false">IFERROR(VLOOKUP($A1803,'319'!$B:$H,7,0),0)</f>
        <v>0</v>
      </c>
      <c r="G1803" s="34" t="n">
        <f aca="false">SUMIFS('12.326ana'!$C:$C,'12.326ana'!$M:$M,redes!A1803)</f>
        <v>0</v>
      </c>
    </row>
    <row r="1804" customFormat="false" ht="14.4" hidden="true" customHeight="false" outlineLevel="0" collapsed="false">
      <c r="A1804" s="34" t="n">
        <v>27199053134</v>
      </c>
      <c r="B1804" s="34" t="s">
        <v>6220</v>
      </c>
      <c r="C1804" s="34" t="s">
        <v>77</v>
      </c>
      <c r="E1804" s="30" t="s">
        <v>6221</v>
      </c>
      <c r="F1804" s="34" t="n">
        <f aca="false">IFERROR(VLOOKUP($A1804,'319'!$B:$H,7,0),0)</f>
        <v>0</v>
      </c>
      <c r="G1804" s="34" t="n">
        <f aca="false">SUMIFS('12.326ana'!$C:$C,'12.326ana'!$M:$M,redes!A1804)</f>
        <v>0</v>
      </c>
    </row>
    <row r="1805" customFormat="false" ht="14.4" hidden="true" customHeight="false" outlineLevel="0" collapsed="false">
      <c r="A1805" s="34" t="n">
        <v>27202836149</v>
      </c>
      <c r="B1805" s="34" t="s">
        <v>6222</v>
      </c>
      <c r="C1805" s="34" t="s">
        <v>77</v>
      </c>
      <c r="E1805" s="30" t="s">
        <v>6223</v>
      </c>
      <c r="F1805" s="34" t="n">
        <f aca="false">IFERROR(VLOOKUP($A1805,'319'!$B:$H,7,0),0)</f>
        <v>0</v>
      </c>
      <c r="G1805" s="34" t="n">
        <f aca="false">SUMIFS('12.326ana'!$C:$C,'12.326ana'!$M:$M,redes!A1805)</f>
        <v>0</v>
      </c>
    </row>
    <row r="1806" customFormat="false" ht="14.4" hidden="true" customHeight="false" outlineLevel="0" collapsed="false">
      <c r="A1806" s="34" t="n">
        <v>27203271153</v>
      </c>
      <c r="B1806" s="34" t="s">
        <v>6224</v>
      </c>
      <c r="C1806" s="34" t="s">
        <v>478</v>
      </c>
      <c r="E1806" s="30" t="s">
        <v>6225</v>
      </c>
      <c r="F1806" s="34" t="n">
        <f aca="false">IFERROR(VLOOKUP($A1806,'319'!$B:$H,7,0),0)</f>
        <v>0</v>
      </c>
      <c r="G1806" s="34" t="n">
        <f aca="false">SUMIFS('12.326ana'!$C:$C,'12.326ana'!$M:$M,redes!A1806)</f>
        <v>0</v>
      </c>
    </row>
    <row r="1807" customFormat="false" ht="14.4" hidden="true" customHeight="false" outlineLevel="0" collapsed="false">
      <c r="A1807" s="34" t="n">
        <v>27205444187</v>
      </c>
      <c r="B1807" s="34" t="s">
        <v>6226</v>
      </c>
      <c r="C1807" s="34" t="s">
        <v>77</v>
      </c>
      <c r="E1807" s="30" t="s">
        <v>6227</v>
      </c>
      <c r="F1807" s="34" t="n">
        <f aca="false">IFERROR(VLOOKUP($A1807,'319'!$B:$H,7,0),0)</f>
        <v>0</v>
      </c>
      <c r="G1807" s="34" t="n">
        <f aca="false">SUMIFS('12.326ana'!$C:$C,'12.326ana'!$M:$M,redes!A1807)</f>
        <v>0</v>
      </c>
    </row>
    <row r="1808" customFormat="false" ht="14.4" hidden="true" customHeight="false" outlineLevel="0" collapsed="false">
      <c r="A1808" s="34" t="n">
        <v>27205592100</v>
      </c>
      <c r="B1808" s="34" t="s">
        <v>6228</v>
      </c>
      <c r="C1808" s="34" t="s">
        <v>77</v>
      </c>
      <c r="E1808" s="30" t="s">
        <v>6229</v>
      </c>
      <c r="F1808" s="34" t="n">
        <f aca="false">IFERROR(VLOOKUP($A1808,'319'!$B:$H,7,0),0)</f>
        <v>0</v>
      </c>
      <c r="G1808" s="34" t="n">
        <f aca="false">SUMIFS('12.326ana'!$C:$C,'12.326ana'!$M:$M,redes!A1808)</f>
        <v>0</v>
      </c>
    </row>
    <row r="1809" customFormat="false" ht="14.4" hidden="true" customHeight="false" outlineLevel="0" collapsed="false">
      <c r="A1809" s="34" t="n">
        <v>27216586115</v>
      </c>
      <c r="B1809" s="34" t="s">
        <v>6230</v>
      </c>
      <c r="C1809" s="34" t="s">
        <v>77</v>
      </c>
      <c r="E1809" s="30" t="s">
        <v>6231</v>
      </c>
      <c r="F1809" s="34" t="n">
        <f aca="false">IFERROR(VLOOKUP($A1809,'319'!$B:$H,7,0),0)</f>
        <v>0</v>
      </c>
      <c r="G1809" s="34" t="n">
        <f aca="false">SUMIFS('12.326ana'!$C:$C,'12.326ana'!$M:$M,redes!A1809)</f>
        <v>0</v>
      </c>
    </row>
    <row r="1810" customFormat="false" ht="14.4" hidden="true" customHeight="false" outlineLevel="0" collapsed="false">
      <c r="A1810" s="34" t="n">
        <v>27220923104</v>
      </c>
      <c r="B1810" s="34" t="s">
        <v>6232</v>
      </c>
      <c r="C1810" s="34" t="s">
        <v>1680</v>
      </c>
      <c r="E1810" s="30" t="s">
        <v>6233</v>
      </c>
      <c r="F1810" s="34" t="n">
        <f aca="false">IFERROR(VLOOKUP($A1810,'319'!$B:$H,7,0),0)</f>
        <v>0</v>
      </c>
      <c r="G1810" s="34" t="n">
        <f aca="false">SUMIFS('12.326ana'!$C:$C,'12.326ana'!$M:$M,redes!A1810)</f>
        <v>0</v>
      </c>
    </row>
    <row r="1811" customFormat="false" ht="14.4" hidden="true" customHeight="false" outlineLevel="0" collapsed="false">
      <c r="A1811" s="34" t="n">
        <v>27224473120</v>
      </c>
      <c r="B1811" s="34" t="s">
        <v>6234</v>
      </c>
      <c r="C1811" s="34" t="s">
        <v>737</v>
      </c>
      <c r="E1811" s="30" t="s">
        <v>6235</v>
      </c>
      <c r="F1811" s="34" t="n">
        <f aca="false">IFERROR(VLOOKUP($A1811,'319'!$B:$H,7,0),0)</f>
        <v>0</v>
      </c>
      <c r="G1811" s="34" t="n">
        <f aca="false">SUMIFS('12.326ana'!$C:$C,'12.326ana'!$M:$M,redes!A1811)</f>
        <v>0</v>
      </c>
    </row>
    <row r="1812" customFormat="false" ht="14.4" hidden="true" customHeight="false" outlineLevel="0" collapsed="false">
      <c r="A1812" s="34" t="n">
        <v>27224481149</v>
      </c>
      <c r="B1812" s="34" t="s">
        <v>6236</v>
      </c>
      <c r="C1812" s="34" t="s">
        <v>77</v>
      </c>
      <c r="E1812" s="30" t="s">
        <v>6237</v>
      </c>
      <c r="F1812" s="34" t="n">
        <f aca="false">IFERROR(VLOOKUP($A1812,'319'!$B:$H,7,0),0)</f>
        <v>0</v>
      </c>
      <c r="G1812" s="34" t="n">
        <f aca="false">SUMIFS('12.326ana'!$C:$C,'12.326ana'!$M:$M,redes!A1812)</f>
        <v>0</v>
      </c>
    </row>
    <row r="1813" customFormat="false" ht="14.4" hidden="true" customHeight="false" outlineLevel="0" collapsed="false">
      <c r="A1813" s="34" t="n">
        <v>27224660159</v>
      </c>
      <c r="B1813" s="34" t="s">
        <v>6238</v>
      </c>
      <c r="C1813" s="34" t="s">
        <v>77</v>
      </c>
      <c r="E1813" s="30" t="s">
        <v>6239</v>
      </c>
      <c r="F1813" s="34" t="n">
        <f aca="false">IFERROR(VLOOKUP($A1813,'319'!$B:$H,7,0),0)</f>
        <v>0</v>
      </c>
      <c r="G1813" s="34" t="n">
        <f aca="false">SUMIFS('12.326ana'!$C:$C,'12.326ana'!$M:$M,redes!A1813)</f>
        <v>0</v>
      </c>
    </row>
    <row r="1814" customFormat="false" ht="14.4" hidden="true" customHeight="false" outlineLevel="0" collapsed="false">
      <c r="A1814" s="34" t="n">
        <v>27247970197</v>
      </c>
      <c r="B1814" s="34" t="s">
        <v>6240</v>
      </c>
      <c r="C1814" s="34" t="s">
        <v>77</v>
      </c>
      <c r="E1814" s="30" t="s">
        <v>6241</v>
      </c>
      <c r="F1814" s="34" t="n">
        <f aca="false">IFERROR(VLOOKUP($A1814,'319'!$B:$H,7,0),0)</f>
        <v>0</v>
      </c>
      <c r="G1814" s="34" t="n">
        <f aca="false">SUMIFS('12.326ana'!$C:$C,'12.326ana'!$M:$M,redes!A1814)</f>
        <v>0</v>
      </c>
    </row>
    <row r="1815" customFormat="false" ht="14.4" hidden="true" customHeight="false" outlineLevel="0" collapsed="false">
      <c r="A1815" s="34" t="n">
        <v>27250911104</v>
      </c>
      <c r="B1815" s="34" t="s">
        <v>6242</v>
      </c>
      <c r="C1815" s="34" t="s">
        <v>107</v>
      </c>
      <c r="E1815" s="30" t="s">
        <v>3001</v>
      </c>
      <c r="F1815" s="34" t="n">
        <f aca="false">IFERROR(VLOOKUP($A1815,'319'!$B:$H,7,0),0)</f>
        <v>0</v>
      </c>
      <c r="G1815" s="34" t="n">
        <f aca="false">SUMIFS('12.326ana'!$C:$C,'12.326ana'!$M:$M,redes!A1815)</f>
        <v>0</v>
      </c>
    </row>
    <row r="1816" customFormat="false" ht="14.4" hidden="true" customHeight="false" outlineLevel="0" collapsed="false">
      <c r="A1816" s="34" t="n">
        <v>27262030191</v>
      </c>
      <c r="B1816" s="34" t="s">
        <v>6243</v>
      </c>
      <c r="C1816" s="34" t="s">
        <v>77</v>
      </c>
      <c r="E1816" s="30" t="s">
        <v>6244</v>
      </c>
      <c r="F1816" s="34" t="n">
        <f aca="false">IFERROR(VLOOKUP($A1816,'319'!$B:$H,7,0),0)</f>
        <v>0</v>
      </c>
      <c r="G1816" s="34" t="n">
        <f aca="false">SUMIFS('12.326ana'!$C:$C,'12.326ana'!$M:$M,redes!A1816)</f>
        <v>0</v>
      </c>
    </row>
    <row r="1817" customFormat="false" ht="14.4" hidden="true" customHeight="false" outlineLevel="0" collapsed="false">
      <c r="A1817" s="34" t="n">
        <v>27265242149</v>
      </c>
      <c r="B1817" s="34" t="s">
        <v>6245</v>
      </c>
      <c r="C1817" s="34" t="s">
        <v>77</v>
      </c>
      <c r="E1817" s="30"/>
      <c r="F1817" s="34" t="n">
        <f aca="false">IFERROR(VLOOKUP($A1817,'319'!$B:$H,7,0),0)</f>
        <v>0</v>
      </c>
      <c r="G1817" s="34" t="n">
        <f aca="false">SUMIFS('12.326ana'!$C:$C,'12.326ana'!$M:$M,redes!A1817)</f>
        <v>0</v>
      </c>
    </row>
    <row r="1818" customFormat="false" ht="14.4" hidden="true" customHeight="false" outlineLevel="0" collapsed="false">
      <c r="A1818" s="34" t="n">
        <v>27265757149</v>
      </c>
      <c r="B1818" s="34" t="s">
        <v>6246</v>
      </c>
      <c r="C1818" s="34" t="s">
        <v>77</v>
      </c>
      <c r="E1818" s="30" t="s">
        <v>6247</v>
      </c>
      <c r="F1818" s="34" t="n">
        <f aca="false">IFERROR(VLOOKUP($A1818,'319'!$B:$H,7,0),0)</f>
        <v>0</v>
      </c>
      <c r="G1818" s="34" t="n">
        <f aca="false">SUMIFS('12.326ana'!$C:$C,'12.326ana'!$M:$M,redes!A1818)</f>
        <v>0</v>
      </c>
    </row>
    <row r="1819" customFormat="false" ht="14.4" hidden="true" customHeight="false" outlineLevel="0" collapsed="false">
      <c r="A1819" s="34" t="n">
        <v>27265978153</v>
      </c>
      <c r="B1819" s="34" t="s">
        <v>6248</v>
      </c>
      <c r="C1819" s="34" t="s">
        <v>309</v>
      </c>
      <c r="E1819" s="30" t="s">
        <v>6249</v>
      </c>
      <c r="F1819" s="34" t="n">
        <f aca="false">IFERROR(VLOOKUP($A1819,'319'!$B:$H,7,0),0)</f>
        <v>0</v>
      </c>
      <c r="G1819" s="34" t="n">
        <f aca="false">SUMIFS('12.326ana'!$C:$C,'12.326ana'!$M:$M,redes!A1819)</f>
        <v>0</v>
      </c>
    </row>
    <row r="1820" customFormat="false" ht="14.4" hidden="true" customHeight="false" outlineLevel="0" collapsed="false">
      <c r="A1820" s="34" t="n">
        <v>27280527191</v>
      </c>
      <c r="B1820" s="34" t="s">
        <v>6250</v>
      </c>
      <c r="C1820" s="34" t="s">
        <v>213</v>
      </c>
      <c r="E1820" s="30" t="s">
        <v>6251</v>
      </c>
      <c r="F1820" s="34" t="n">
        <f aca="false">IFERROR(VLOOKUP($A1820,'319'!$B:$H,7,0),0)</f>
        <v>0</v>
      </c>
      <c r="G1820" s="34" t="n">
        <f aca="false">SUMIFS('12.326ana'!$C:$C,'12.326ana'!$M:$M,redes!A1820)</f>
        <v>0</v>
      </c>
    </row>
    <row r="1821" customFormat="false" ht="14.4" hidden="true" customHeight="false" outlineLevel="0" collapsed="false">
      <c r="A1821" s="34" t="n">
        <v>27285189120</v>
      </c>
      <c r="B1821" s="34" t="s">
        <v>6252</v>
      </c>
      <c r="C1821" s="34" t="s">
        <v>464</v>
      </c>
      <c r="E1821" s="30" t="s">
        <v>6253</v>
      </c>
      <c r="F1821" s="34" t="n">
        <f aca="false">IFERROR(VLOOKUP($A1821,'319'!$B:$H,7,0),0)</f>
        <v>0</v>
      </c>
      <c r="G1821" s="34" t="n">
        <f aca="false">SUMIFS('12.326ana'!$C:$C,'12.326ana'!$M:$M,redes!A1821)</f>
        <v>0</v>
      </c>
    </row>
    <row r="1822" customFormat="false" ht="14.4" hidden="true" customHeight="false" outlineLevel="0" collapsed="false">
      <c r="A1822" s="34" t="n">
        <v>27288412172</v>
      </c>
      <c r="B1822" s="34" t="s">
        <v>6254</v>
      </c>
      <c r="C1822" s="34" t="s">
        <v>89</v>
      </c>
      <c r="E1822" s="30" t="s">
        <v>6255</v>
      </c>
      <c r="F1822" s="34" t="n">
        <f aca="false">IFERROR(VLOOKUP($A1822,'319'!$B:$H,7,0),0)</f>
        <v>0</v>
      </c>
      <c r="G1822" s="34" t="n">
        <f aca="false">SUMIFS('12.326ana'!$C:$C,'12.326ana'!$M:$M,redes!A1822)</f>
        <v>0</v>
      </c>
    </row>
    <row r="1823" customFormat="false" ht="14.4" hidden="true" customHeight="false" outlineLevel="0" collapsed="false">
      <c r="A1823" s="34" t="n">
        <v>27308120163</v>
      </c>
      <c r="B1823" s="34" t="s">
        <v>6256</v>
      </c>
      <c r="C1823" s="34" t="s">
        <v>309</v>
      </c>
      <c r="E1823" s="30" t="s">
        <v>6257</v>
      </c>
      <c r="F1823" s="34" t="n">
        <f aca="false">IFERROR(VLOOKUP($A1823,'319'!$B:$H,7,0),0)</f>
        <v>0</v>
      </c>
      <c r="G1823" s="34" t="n">
        <f aca="false">SUMIFS('12.326ana'!$C:$C,'12.326ana'!$M:$M,redes!A1823)</f>
        <v>0</v>
      </c>
    </row>
    <row r="1824" customFormat="false" ht="14.4" hidden="true" customHeight="false" outlineLevel="0" collapsed="false">
      <c r="A1824" s="34" t="n">
        <v>27308375153</v>
      </c>
      <c r="B1824" s="34" t="s">
        <v>6258</v>
      </c>
      <c r="C1824" s="34" t="s">
        <v>77</v>
      </c>
      <c r="E1824" s="30" t="s">
        <v>6259</v>
      </c>
      <c r="F1824" s="34" t="n">
        <f aca="false">IFERROR(VLOOKUP($A1824,'319'!$B:$H,7,0),0)</f>
        <v>0</v>
      </c>
      <c r="G1824" s="34" t="n">
        <f aca="false">SUMIFS('12.326ana'!$C:$C,'12.326ana'!$M:$M,redes!A1824)</f>
        <v>0</v>
      </c>
    </row>
    <row r="1825" customFormat="false" ht="14.4" hidden="true" customHeight="false" outlineLevel="0" collapsed="false">
      <c r="A1825" s="34" t="n">
        <v>27308529134</v>
      </c>
      <c r="B1825" s="34" t="s">
        <v>6260</v>
      </c>
      <c r="C1825" s="34" t="s">
        <v>77</v>
      </c>
      <c r="E1825" s="30" t="s">
        <v>3507</v>
      </c>
      <c r="F1825" s="34" t="n">
        <f aca="false">IFERROR(VLOOKUP($A1825,'319'!$B:$H,7,0),0)</f>
        <v>0</v>
      </c>
      <c r="G1825" s="34" t="n">
        <f aca="false">SUMIFS('12.326ana'!$C:$C,'12.326ana'!$M:$M,redes!A1825)</f>
        <v>0</v>
      </c>
    </row>
    <row r="1826" customFormat="false" ht="14.4" hidden="true" customHeight="false" outlineLevel="0" collapsed="false">
      <c r="A1826" s="34" t="n">
        <v>27311805104</v>
      </c>
      <c r="B1826" s="34" t="s">
        <v>6261</v>
      </c>
      <c r="C1826" s="34" t="s">
        <v>107</v>
      </c>
      <c r="E1826" s="30"/>
      <c r="F1826" s="34" t="n">
        <f aca="false">IFERROR(VLOOKUP($A1826,'319'!$B:$H,7,0),0)</f>
        <v>0</v>
      </c>
      <c r="G1826" s="34" t="n">
        <f aca="false">SUMIFS('12.326ana'!$C:$C,'12.326ana'!$M:$M,redes!A1826)</f>
        <v>0</v>
      </c>
    </row>
    <row r="1827" customFormat="false" ht="14.4" hidden="true" customHeight="false" outlineLevel="0" collapsed="false">
      <c r="A1827" s="34" t="n">
        <v>27314618100</v>
      </c>
      <c r="B1827" s="34" t="s">
        <v>6262</v>
      </c>
      <c r="C1827" s="34" t="s">
        <v>107</v>
      </c>
      <c r="E1827" s="30" t="s">
        <v>6263</v>
      </c>
      <c r="F1827" s="34" t="n">
        <f aca="false">IFERROR(VLOOKUP($A1827,'319'!$B:$H,7,0),0)</f>
        <v>0</v>
      </c>
      <c r="G1827" s="34" t="n">
        <f aca="false">SUMIFS('12.326ana'!$C:$C,'12.326ana'!$M:$M,redes!A1827)</f>
        <v>0</v>
      </c>
    </row>
    <row r="1828" customFormat="false" ht="14.4" hidden="true" customHeight="false" outlineLevel="0" collapsed="false">
      <c r="A1828" s="34" t="n">
        <v>27315320172</v>
      </c>
      <c r="B1828" s="34" t="s">
        <v>6264</v>
      </c>
      <c r="C1828" s="34" t="s">
        <v>107</v>
      </c>
      <c r="E1828" s="30" t="s">
        <v>4006</v>
      </c>
      <c r="F1828" s="34" t="n">
        <f aca="false">IFERROR(VLOOKUP($A1828,'319'!$B:$H,7,0),0)</f>
        <v>0</v>
      </c>
      <c r="G1828" s="34" t="n">
        <f aca="false">SUMIFS('12.326ana'!$C:$C,'12.326ana'!$M:$M,redes!A1828)</f>
        <v>0</v>
      </c>
    </row>
    <row r="1829" customFormat="false" ht="14.4" hidden="true" customHeight="false" outlineLevel="0" collapsed="false">
      <c r="A1829" s="34" t="n">
        <v>27329615153</v>
      </c>
      <c r="B1829" s="34" t="s">
        <v>6265</v>
      </c>
      <c r="C1829" s="34" t="s">
        <v>192</v>
      </c>
      <c r="E1829" s="30" t="s">
        <v>6266</v>
      </c>
      <c r="F1829" s="34" t="n">
        <f aca="false">IFERROR(VLOOKUP($A1829,'319'!$B:$H,7,0),0)</f>
        <v>0</v>
      </c>
      <c r="G1829" s="34" t="n">
        <f aca="false">SUMIFS('12.326ana'!$C:$C,'12.326ana'!$M:$M,redes!A1829)</f>
        <v>0</v>
      </c>
    </row>
    <row r="1830" customFormat="false" ht="14.4" hidden="true" customHeight="false" outlineLevel="0" collapsed="false">
      <c r="A1830" s="34" t="n">
        <v>27341330163</v>
      </c>
      <c r="B1830" s="34" t="s">
        <v>6267</v>
      </c>
      <c r="C1830" s="34" t="s">
        <v>77</v>
      </c>
      <c r="E1830" s="30" t="s">
        <v>6268</v>
      </c>
      <c r="F1830" s="34" t="n">
        <f aca="false">IFERROR(VLOOKUP($A1830,'319'!$B:$H,7,0),0)</f>
        <v>0</v>
      </c>
      <c r="G1830" s="34" t="n">
        <f aca="false">SUMIFS('12.326ana'!$C:$C,'12.326ana'!$M:$M,redes!A1830)</f>
        <v>0</v>
      </c>
    </row>
    <row r="1831" customFormat="false" ht="14.4" hidden="true" customHeight="false" outlineLevel="0" collapsed="false">
      <c r="A1831" s="34" t="n">
        <v>27343103172</v>
      </c>
      <c r="B1831" s="34" t="s">
        <v>6269</v>
      </c>
      <c r="C1831" s="34" t="s">
        <v>77</v>
      </c>
      <c r="E1831" s="30" t="s">
        <v>6270</v>
      </c>
      <c r="F1831" s="34" t="n">
        <f aca="false">IFERROR(VLOOKUP($A1831,'319'!$B:$H,7,0),0)</f>
        <v>0</v>
      </c>
      <c r="G1831" s="34" t="n">
        <f aca="false">SUMIFS('12.326ana'!$C:$C,'12.326ana'!$M:$M,redes!A1831)</f>
        <v>0</v>
      </c>
    </row>
    <row r="1832" customFormat="false" ht="14.4" hidden="true" customHeight="false" outlineLevel="0" collapsed="false">
      <c r="A1832" s="34" t="n">
        <v>27354180149</v>
      </c>
      <c r="B1832" s="34" t="s">
        <v>6271</v>
      </c>
      <c r="C1832" s="34" t="s">
        <v>1272</v>
      </c>
      <c r="E1832" s="30" t="s">
        <v>6272</v>
      </c>
      <c r="F1832" s="34" t="n">
        <f aca="false">IFERROR(VLOOKUP($A1832,'319'!$B:$H,7,0),0)</f>
        <v>0</v>
      </c>
      <c r="G1832" s="34" t="n">
        <f aca="false">SUMIFS('12.326ana'!$C:$C,'12.326ana'!$M:$M,redes!A1832)</f>
        <v>0</v>
      </c>
    </row>
    <row r="1833" customFormat="false" ht="14.4" hidden="true" customHeight="false" outlineLevel="0" collapsed="false">
      <c r="A1833" s="34" t="n">
        <v>27357031187</v>
      </c>
      <c r="B1833" s="34" t="s">
        <v>6273</v>
      </c>
      <c r="C1833" s="34" t="s">
        <v>77</v>
      </c>
      <c r="E1833" s="30" t="s">
        <v>6274</v>
      </c>
      <c r="F1833" s="34" t="n">
        <f aca="false">IFERROR(VLOOKUP($A1833,'319'!$B:$H,7,0),0)</f>
        <v>0</v>
      </c>
      <c r="G1833" s="34" t="n">
        <f aca="false">SUMIFS('12.326ana'!$C:$C,'12.326ana'!$M:$M,redes!A1833)</f>
        <v>0</v>
      </c>
    </row>
    <row r="1834" customFormat="false" ht="14.4" hidden="true" customHeight="false" outlineLevel="0" collapsed="false">
      <c r="A1834" s="34" t="n">
        <v>27359859115</v>
      </c>
      <c r="B1834" s="34" t="s">
        <v>6275</v>
      </c>
      <c r="C1834" s="34" t="s">
        <v>77</v>
      </c>
      <c r="E1834" s="30" t="s">
        <v>6276</v>
      </c>
      <c r="F1834" s="34" t="n">
        <f aca="false">IFERROR(VLOOKUP($A1834,'319'!$B:$H,7,0),0)</f>
        <v>0</v>
      </c>
      <c r="G1834" s="34" t="n">
        <f aca="false">SUMIFS('12.326ana'!$C:$C,'12.326ana'!$M:$M,redes!A1834)</f>
        <v>0</v>
      </c>
    </row>
    <row r="1835" customFormat="false" ht="14.4" hidden="true" customHeight="false" outlineLevel="0" collapsed="false">
      <c r="A1835" s="34" t="n">
        <v>27360270197</v>
      </c>
      <c r="B1835" s="34" t="s">
        <v>6277</v>
      </c>
      <c r="C1835" s="34" t="s">
        <v>6278</v>
      </c>
      <c r="E1835" s="30" t="s">
        <v>6279</v>
      </c>
      <c r="F1835" s="34" t="n">
        <f aca="false">IFERROR(VLOOKUP($A1835,'319'!$B:$H,7,0),0)</f>
        <v>0</v>
      </c>
      <c r="G1835" s="34" t="n">
        <f aca="false">SUMIFS('12.326ana'!$C:$C,'12.326ana'!$M:$M,redes!A1835)</f>
        <v>0</v>
      </c>
    </row>
    <row r="1836" customFormat="false" ht="14.4" hidden="true" customHeight="false" outlineLevel="0" collapsed="false">
      <c r="A1836" s="34" t="n">
        <v>27360385172</v>
      </c>
      <c r="B1836" s="34" t="s">
        <v>6280</v>
      </c>
      <c r="C1836" s="34" t="s">
        <v>77</v>
      </c>
      <c r="E1836" s="30" t="s">
        <v>6281</v>
      </c>
      <c r="F1836" s="34" t="n">
        <f aca="false">IFERROR(VLOOKUP($A1836,'319'!$B:$H,7,0),0)</f>
        <v>0</v>
      </c>
      <c r="G1836" s="34" t="n">
        <f aca="false">SUMIFS('12.326ana'!$C:$C,'12.326ana'!$M:$M,redes!A1836)</f>
        <v>0</v>
      </c>
    </row>
    <row r="1837" customFormat="false" ht="14.4" hidden="true" customHeight="false" outlineLevel="0" collapsed="false">
      <c r="A1837" s="34" t="n">
        <v>27363953104</v>
      </c>
      <c r="B1837" s="34" t="s">
        <v>6282</v>
      </c>
      <c r="C1837" s="34" t="s">
        <v>77</v>
      </c>
      <c r="E1837" s="30" t="s">
        <v>6283</v>
      </c>
      <c r="F1837" s="34" t="n">
        <f aca="false">IFERROR(VLOOKUP($A1837,'319'!$B:$H,7,0),0)</f>
        <v>0</v>
      </c>
      <c r="G1837" s="34" t="n">
        <f aca="false">SUMIFS('12.326ana'!$C:$C,'12.326ana'!$M:$M,redes!A1837)</f>
        <v>0</v>
      </c>
    </row>
    <row r="1838" customFormat="false" ht="14.4" hidden="true" customHeight="false" outlineLevel="0" collapsed="false">
      <c r="A1838" s="34" t="n">
        <v>27366162000</v>
      </c>
      <c r="B1838" s="34" t="s">
        <v>6284</v>
      </c>
      <c r="C1838" s="34" t="s">
        <v>77</v>
      </c>
      <c r="E1838" s="30" t="s">
        <v>6285</v>
      </c>
      <c r="F1838" s="34" t="n">
        <f aca="false">IFERROR(VLOOKUP($A1838,'319'!$B:$H,7,0),0)</f>
        <v>0</v>
      </c>
      <c r="G1838" s="34" t="n">
        <f aca="false">SUMIFS('12.326ana'!$C:$C,'12.326ana'!$M:$M,redes!A1838)</f>
        <v>0</v>
      </c>
    </row>
    <row r="1839" customFormat="false" ht="14.4" hidden="true" customHeight="false" outlineLevel="0" collapsed="false">
      <c r="A1839" s="34" t="n">
        <v>27376864822</v>
      </c>
      <c r="B1839" s="34" t="s">
        <v>6286</v>
      </c>
      <c r="C1839" s="34" t="s">
        <v>213</v>
      </c>
      <c r="E1839" s="30" t="s">
        <v>6287</v>
      </c>
      <c r="F1839" s="34" t="n">
        <f aca="false">IFERROR(VLOOKUP($A1839,'319'!$B:$H,7,0),0)</f>
        <v>0</v>
      </c>
      <c r="G1839" s="34" t="n">
        <f aca="false">SUMIFS('12.326ana'!$C:$C,'12.326ana'!$M:$M,redes!A1839)</f>
        <v>0</v>
      </c>
    </row>
    <row r="1840" customFormat="false" ht="14.4" hidden="true" customHeight="false" outlineLevel="0" collapsed="false">
      <c r="A1840" s="34" t="n">
        <v>27391746835</v>
      </c>
      <c r="B1840" s="34" t="s">
        <v>6288</v>
      </c>
      <c r="C1840" s="34" t="s">
        <v>77</v>
      </c>
      <c r="E1840" s="30" t="s">
        <v>6289</v>
      </c>
      <c r="F1840" s="34" t="n">
        <f aca="false">IFERROR(VLOOKUP($A1840,'319'!$B:$H,7,0),0)</f>
        <v>0</v>
      </c>
      <c r="G1840" s="34" t="n">
        <f aca="false">SUMIFS('12.326ana'!$C:$C,'12.326ana'!$M:$M,redes!A1840)</f>
        <v>0</v>
      </c>
    </row>
    <row r="1841" customFormat="false" ht="14.4" hidden="true" customHeight="false" outlineLevel="0" collapsed="false">
      <c r="A1841" s="34" t="n">
        <v>27394842835</v>
      </c>
      <c r="B1841" s="34" t="s">
        <v>6290</v>
      </c>
      <c r="C1841" s="34" t="s">
        <v>77</v>
      </c>
      <c r="E1841" s="30"/>
      <c r="F1841" s="34" t="n">
        <f aca="false">IFERROR(VLOOKUP($A1841,'319'!$B:$H,7,0),0)</f>
        <v>0</v>
      </c>
      <c r="G1841" s="34" t="n">
        <f aca="false">SUMIFS('12.326ana'!$C:$C,'12.326ana'!$M:$M,redes!A1841)</f>
        <v>0</v>
      </c>
    </row>
    <row r="1842" customFormat="false" ht="14.4" hidden="true" customHeight="false" outlineLevel="0" collapsed="false">
      <c r="A1842" s="34" t="n">
        <v>27453006015</v>
      </c>
      <c r="B1842" s="34" t="s">
        <v>6291</v>
      </c>
      <c r="C1842" s="34" t="s">
        <v>129</v>
      </c>
      <c r="E1842" s="30" t="s">
        <v>6292</v>
      </c>
      <c r="F1842" s="34" t="n">
        <f aca="false">IFERROR(VLOOKUP($A1842,'319'!$B:$H,7,0),0)</f>
        <v>0</v>
      </c>
      <c r="G1842" s="34" t="n">
        <f aca="false">SUMIFS('12.326ana'!$C:$C,'12.326ana'!$M:$M,redes!A1842)</f>
        <v>0</v>
      </c>
    </row>
    <row r="1843" customFormat="false" ht="14.4" hidden="true" customHeight="false" outlineLevel="0" collapsed="false">
      <c r="A1843" s="34" t="n">
        <v>27530124900</v>
      </c>
      <c r="B1843" s="34" t="s">
        <v>6293</v>
      </c>
      <c r="C1843" s="34" t="s">
        <v>351</v>
      </c>
      <c r="E1843" s="30" t="s">
        <v>6294</v>
      </c>
      <c r="F1843" s="34" t="n">
        <f aca="false">IFERROR(VLOOKUP($A1843,'319'!$B:$H,7,0),0)</f>
        <v>0</v>
      </c>
      <c r="G1843" s="34" t="n">
        <f aca="false">SUMIFS('12.326ana'!$C:$C,'12.326ana'!$M:$M,redes!A1843)</f>
        <v>0</v>
      </c>
    </row>
    <row r="1844" customFormat="false" ht="14.4" hidden="true" customHeight="false" outlineLevel="0" collapsed="false">
      <c r="A1844" s="34" t="n">
        <v>27577422991</v>
      </c>
      <c r="B1844" s="34" t="s">
        <v>6295</v>
      </c>
      <c r="C1844" s="34" t="s">
        <v>107</v>
      </c>
      <c r="E1844" s="30" t="s">
        <v>3976</v>
      </c>
      <c r="F1844" s="34" t="n">
        <f aca="false">IFERROR(VLOOKUP($A1844,'319'!$B:$H,7,0),0)</f>
        <v>0</v>
      </c>
      <c r="G1844" s="34" t="n">
        <f aca="false">SUMIFS('12.326ana'!$C:$C,'12.326ana'!$M:$M,redes!A1844)</f>
        <v>0</v>
      </c>
    </row>
    <row r="1845" customFormat="false" ht="14.4" hidden="true" customHeight="false" outlineLevel="0" collapsed="false">
      <c r="A1845" s="34" t="n">
        <v>27594970896</v>
      </c>
      <c r="B1845" s="34" t="s">
        <v>6296</v>
      </c>
      <c r="C1845" s="34" t="s">
        <v>107</v>
      </c>
      <c r="E1845" s="30" t="s">
        <v>6297</v>
      </c>
      <c r="F1845" s="34" t="n">
        <f aca="false">IFERROR(VLOOKUP($A1845,'319'!$B:$H,7,0),0)</f>
        <v>0</v>
      </c>
      <c r="G1845" s="34" t="n">
        <f aca="false">SUMIFS('12.326ana'!$C:$C,'12.326ana'!$M:$M,redes!A1845)</f>
        <v>0</v>
      </c>
    </row>
    <row r="1846" customFormat="false" ht="14.4" hidden="true" customHeight="false" outlineLevel="0" collapsed="false">
      <c r="A1846" s="34" t="n">
        <v>27599537856</v>
      </c>
      <c r="B1846" s="34" t="s">
        <v>6298</v>
      </c>
      <c r="C1846" s="34" t="s">
        <v>89</v>
      </c>
      <c r="E1846" s="30" t="s">
        <v>6299</v>
      </c>
      <c r="F1846" s="34" t="n">
        <f aca="false">IFERROR(VLOOKUP($A1846,'319'!$B:$H,7,0),0)</f>
        <v>0</v>
      </c>
      <c r="G1846" s="34" t="n">
        <f aca="false">SUMIFS('12.326ana'!$C:$C,'12.326ana'!$M:$M,redes!A1846)</f>
        <v>0</v>
      </c>
    </row>
    <row r="1847" customFormat="false" ht="14.4" hidden="true" customHeight="false" outlineLevel="0" collapsed="false">
      <c r="A1847" s="34" t="n">
        <v>27601676900</v>
      </c>
      <c r="B1847" s="34" t="s">
        <v>6300</v>
      </c>
      <c r="C1847" s="34" t="s">
        <v>77</v>
      </c>
      <c r="E1847" s="30" t="s">
        <v>6301</v>
      </c>
      <c r="F1847" s="34" t="n">
        <f aca="false">IFERROR(VLOOKUP($A1847,'319'!$B:$H,7,0),0)</f>
        <v>0</v>
      </c>
      <c r="G1847" s="34" t="n">
        <f aca="false">SUMIFS('12.326ana'!$C:$C,'12.326ana'!$M:$M,redes!A1847)</f>
        <v>0</v>
      </c>
    </row>
    <row r="1848" customFormat="false" ht="14.4" hidden="true" customHeight="false" outlineLevel="0" collapsed="false">
      <c r="A1848" s="34" t="n">
        <v>27651207220</v>
      </c>
      <c r="B1848" s="34" t="s">
        <v>6302</v>
      </c>
      <c r="C1848" s="34" t="s">
        <v>107</v>
      </c>
      <c r="E1848" s="30" t="s">
        <v>6303</v>
      </c>
      <c r="F1848" s="34" t="n">
        <f aca="false">IFERROR(VLOOKUP($A1848,'319'!$B:$H,7,0),0)</f>
        <v>0</v>
      </c>
      <c r="G1848" s="34" t="n">
        <f aca="false">SUMIFS('12.326ana'!$C:$C,'12.326ana'!$M:$M,redes!A1848)</f>
        <v>0</v>
      </c>
    </row>
    <row r="1849" customFormat="false" ht="14.4" hidden="true" customHeight="false" outlineLevel="0" collapsed="false">
      <c r="A1849" s="34" t="n">
        <v>27696235249</v>
      </c>
      <c r="B1849" s="34" t="s">
        <v>6304</v>
      </c>
      <c r="C1849" s="34" t="s">
        <v>77</v>
      </c>
      <c r="E1849" s="30"/>
      <c r="F1849" s="34" t="n">
        <f aca="false">IFERROR(VLOOKUP($A1849,'319'!$B:$H,7,0),0)</f>
        <v>0</v>
      </c>
      <c r="G1849" s="34" t="n">
        <f aca="false">SUMIFS('12.326ana'!$C:$C,'12.326ana'!$M:$M,redes!A1849)</f>
        <v>0</v>
      </c>
    </row>
    <row r="1850" customFormat="false" ht="14.4" hidden="true" customHeight="false" outlineLevel="0" collapsed="false">
      <c r="A1850" s="34" t="n">
        <v>27721370159</v>
      </c>
      <c r="B1850" s="34" t="s">
        <v>6305</v>
      </c>
      <c r="C1850" s="34" t="s">
        <v>77</v>
      </c>
      <c r="E1850" s="30" t="s">
        <v>6306</v>
      </c>
      <c r="F1850" s="34" t="n">
        <f aca="false">IFERROR(VLOOKUP($A1850,'319'!$B:$H,7,0),0)</f>
        <v>0</v>
      </c>
      <c r="G1850" s="34" t="n">
        <f aca="false">SUMIFS('12.326ana'!$C:$C,'12.326ana'!$M:$M,redes!A1850)</f>
        <v>0</v>
      </c>
    </row>
    <row r="1851" customFormat="false" ht="14.4" hidden="true" customHeight="false" outlineLevel="0" collapsed="false">
      <c r="A1851" s="34" t="n">
        <v>27747557191</v>
      </c>
      <c r="B1851" s="34" t="s">
        <v>6307</v>
      </c>
      <c r="C1851" s="34" t="s">
        <v>77</v>
      </c>
      <c r="E1851" s="30"/>
      <c r="F1851" s="34" t="n">
        <f aca="false">IFERROR(VLOOKUP($A1851,'319'!$B:$H,7,0),0)</f>
        <v>0</v>
      </c>
      <c r="G1851" s="34" t="n">
        <f aca="false">SUMIFS('12.326ana'!$C:$C,'12.326ana'!$M:$M,redes!A1851)</f>
        <v>0</v>
      </c>
    </row>
    <row r="1852" customFormat="false" ht="14.4" hidden="true" customHeight="false" outlineLevel="0" collapsed="false">
      <c r="A1852" s="34" t="n">
        <v>27751821353</v>
      </c>
      <c r="B1852" s="34" t="s">
        <v>6308</v>
      </c>
      <c r="C1852" s="34" t="s">
        <v>77</v>
      </c>
      <c r="E1852" s="30" t="s">
        <v>5252</v>
      </c>
      <c r="F1852" s="34" t="n">
        <f aca="false">IFERROR(VLOOKUP($A1852,'319'!$B:$H,7,0),0)</f>
        <v>0</v>
      </c>
      <c r="G1852" s="34" t="n">
        <f aca="false">SUMIFS('12.326ana'!$C:$C,'12.326ana'!$M:$M,redes!A1852)</f>
        <v>0</v>
      </c>
    </row>
    <row r="1853" customFormat="false" ht="14.4" hidden="true" customHeight="false" outlineLevel="0" collapsed="false">
      <c r="A1853" s="34" t="n">
        <v>27754049953</v>
      </c>
      <c r="B1853" s="34" t="s">
        <v>6309</v>
      </c>
      <c r="C1853" s="34" t="s">
        <v>77</v>
      </c>
      <c r="E1853" s="30" t="s">
        <v>6310</v>
      </c>
      <c r="F1853" s="34" t="n">
        <f aca="false">IFERROR(VLOOKUP($A1853,'319'!$B:$H,7,0),0)</f>
        <v>0</v>
      </c>
      <c r="G1853" s="34" t="n">
        <f aca="false">SUMIFS('12.326ana'!$C:$C,'12.326ana'!$M:$M,redes!A1853)</f>
        <v>0</v>
      </c>
    </row>
    <row r="1854" customFormat="false" ht="14.4" hidden="true" customHeight="false" outlineLevel="0" collapsed="false">
      <c r="A1854" s="34" t="n">
        <v>27780058891</v>
      </c>
      <c r="B1854" s="34" t="s">
        <v>6311</v>
      </c>
      <c r="C1854" s="34" t="s">
        <v>464</v>
      </c>
      <c r="E1854" s="30" t="s">
        <v>6312</v>
      </c>
      <c r="F1854" s="34" t="n">
        <f aca="false">IFERROR(VLOOKUP($A1854,'319'!$B:$H,7,0),0)</f>
        <v>0</v>
      </c>
      <c r="G1854" s="34" t="n">
        <f aca="false">SUMIFS('12.326ana'!$C:$C,'12.326ana'!$M:$M,redes!A1854)</f>
        <v>0</v>
      </c>
    </row>
    <row r="1855" customFormat="false" ht="14.4" hidden="true" customHeight="false" outlineLevel="0" collapsed="false">
      <c r="A1855" s="34" t="n">
        <v>27843868801</v>
      </c>
      <c r="B1855" s="34" t="s">
        <v>6313</v>
      </c>
      <c r="C1855" s="34" t="s">
        <v>77</v>
      </c>
      <c r="E1855" s="30" t="s">
        <v>6314</v>
      </c>
      <c r="F1855" s="34" t="n">
        <f aca="false">IFERROR(VLOOKUP($A1855,'319'!$B:$H,7,0),0)</f>
        <v>0</v>
      </c>
      <c r="G1855" s="34" t="n">
        <f aca="false">SUMIFS('12.326ana'!$C:$C,'12.326ana'!$M:$M,redes!A1855)</f>
        <v>0</v>
      </c>
    </row>
    <row r="1856" customFormat="false" ht="14.4" hidden="true" customHeight="false" outlineLevel="0" collapsed="false">
      <c r="A1856" s="34" t="n">
        <v>27905500934</v>
      </c>
      <c r="B1856" s="34" t="s">
        <v>6315</v>
      </c>
      <c r="C1856" s="34" t="s">
        <v>4156</v>
      </c>
      <c r="E1856" s="30" t="s">
        <v>6316</v>
      </c>
      <c r="F1856" s="34" t="n">
        <f aca="false">IFERROR(VLOOKUP($A1856,'319'!$B:$H,7,0),0)</f>
        <v>0</v>
      </c>
      <c r="G1856" s="34" t="n">
        <f aca="false">SUMIFS('12.326ana'!$C:$C,'12.326ana'!$M:$M,redes!A1856)</f>
        <v>0</v>
      </c>
    </row>
    <row r="1857" customFormat="false" ht="14.4" hidden="true" customHeight="false" outlineLevel="0" collapsed="false">
      <c r="A1857" s="34" t="n">
        <v>27920518091</v>
      </c>
      <c r="B1857" s="34" t="s">
        <v>6317</v>
      </c>
      <c r="C1857" s="34" t="s">
        <v>77</v>
      </c>
      <c r="E1857" s="30" t="s">
        <v>5949</v>
      </c>
      <c r="F1857" s="34" t="n">
        <f aca="false">IFERROR(VLOOKUP($A1857,'319'!$B:$H,7,0),0)</f>
        <v>0</v>
      </c>
      <c r="G1857" s="34" t="n">
        <f aca="false">SUMIFS('12.326ana'!$C:$C,'12.326ana'!$M:$M,redes!A1857)</f>
        <v>0</v>
      </c>
    </row>
    <row r="1858" customFormat="false" ht="14.4" hidden="true" customHeight="false" outlineLevel="0" collapsed="false">
      <c r="A1858" s="34" t="n">
        <v>27923800987</v>
      </c>
      <c r="B1858" s="34" t="s">
        <v>6318</v>
      </c>
      <c r="C1858" s="34" t="s">
        <v>129</v>
      </c>
      <c r="E1858" s="30" t="s">
        <v>6319</v>
      </c>
      <c r="F1858" s="34" t="n">
        <f aca="false">IFERROR(VLOOKUP($A1858,'319'!$B:$H,7,0),0)</f>
        <v>0</v>
      </c>
      <c r="G1858" s="34" t="n">
        <f aca="false">SUMIFS('12.326ana'!$C:$C,'12.326ana'!$M:$M,redes!A1858)</f>
        <v>0</v>
      </c>
    </row>
    <row r="1859" customFormat="false" ht="14.4" hidden="true" customHeight="false" outlineLevel="0" collapsed="false">
      <c r="A1859" s="34" t="n">
        <v>28016556000</v>
      </c>
      <c r="B1859" s="34" t="s">
        <v>6320</v>
      </c>
      <c r="C1859" s="34" t="s">
        <v>1054</v>
      </c>
      <c r="E1859" s="30" t="s">
        <v>6321</v>
      </c>
      <c r="F1859" s="34" t="n">
        <f aca="false">IFERROR(VLOOKUP($A1859,'319'!$B:$H,7,0),0)</f>
        <v>0</v>
      </c>
      <c r="G1859" s="34" t="n">
        <f aca="false">SUMIFS('12.326ana'!$C:$C,'12.326ana'!$M:$M,redes!A1859)</f>
        <v>0</v>
      </c>
    </row>
    <row r="1860" customFormat="false" ht="14.4" hidden="true" customHeight="false" outlineLevel="0" collapsed="false">
      <c r="A1860" s="34" t="n">
        <v>28169788854</v>
      </c>
      <c r="B1860" s="34" t="s">
        <v>6322</v>
      </c>
      <c r="C1860" s="34" t="s">
        <v>77</v>
      </c>
      <c r="E1860" s="30" t="s">
        <v>6323</v>
      </c>
      <c r="F1860" s="34" t="n">
        <f aca="false">IFERROR(VLOOKUP($A1860,'319'!$B:$H,7,0),0)</f>
        <v>0</v>
      </c>
      <c r="G1860" s="34" t="n">
        <f aca="false">SUMIFS('12.326ana'!$C:$C,'12.326ana'!$M:$M,redes!A1860)</f>
        <v>0</v>
      </c>
    </row>
    <row r="1861" customFormat="false" ht="14.4" hidden="true" customHeight="false" outlineLevel="0" collapsed="false">
      <c r="A1861" s="34" t="n">
        <v>28263413915</v>
      </c>
      <c r="B1861" s="34" t="s">
        <v>6324</v>
      </c>
      <c r="C1861" s="34" t="s">
        <v>764</v>
      </c>
      <c r="E1861" s="30" t="s">
        <v>6325</v>
      </c>
      <c r="F1861" s="34" t="n">
        <f aca="false">IFERROR(VLOOKUP($A1861,'319'!$B:$H,7,0),0)</f>
        <v>0</v>
      </c>
      <c r="G1861" s="34" t="n">
        <f aca="false">SUMIFS('12.326ana'!$C:$C,'12.326ana'!$M:$M,redes!A1861)</f>
        <v>0</v>
      </c>
    </row>
    <row r="1862" customFormat="false" ht="14.4" hidden="true" customHeight="false" outlineLevel="0" collapsed="false">
      <c r="A1862" s="34" t="n">
        <v>28281372877</v>
      </c>
      <c r="B1862" s="34" t="s">
        <v>6326</v>
      </c>
      <c r="C1862" s="34" t="s">
        <v>77</v>
      </c>
      <c r="E1862" s="30" t="s">
        <v>5611</v>
      </c>
      <c r="F1862" s="34" t="n">
        <f aca="false">IFERROR(VLOOKUP($A1862,'319'!$B:$H,7,0),0)</f>
        <v>0</v>
      </c>
      <c r="G1862" s="34" t="n">
        <f aca="false">SUMIFS('12.326ana'!$C:$C,'12.326ana'!$M:$M,redes!A1862)</f>
        <v>0</v>
      </c>
    </row>
    <row r="1863" customFormat="false" ht="14.4" hidden="true" customHeight="false" outlineLevel="0" collapsed="false">
      <c r="A1863" s="34" t="n">
        <v>28328093839</v>
      </c>
      <c r="B1863" s="34" t="s">
        <v>6327</v>
      </c>
      <c r="C1863" s="34" t="s">
        <v>107</v>
      </c>
      <c r="E1863" s="30" t="s">
        <v>5413</v>
      </c>
      <c r="F1863" s="34" t="n">
        <f aca="false">IFERROR(VLOOKUP($A1863,'319'!$B:$H,7,0),0)</f>
        <v>0</v>
      </c>
      <c r="G1863" s="34" t="n">
        <f aca="false">SUMIFS('12.326ana'!$C:$C,'12.326ana'!$M:$M,redes!A1863)</f>
        <v>0</v>
      </c>
    </row>
    <row r="1864" customFormat="false" ht="14.4" hidden="true" customHeight="false" outlineLevel="0" collapsed="false">
      <c r="A1864" s="34" t="n">
        <v>28407806153</v>
      </c>
      <c r="B1864" s="34" t="s">
        <v>6328</v>
      </c>
      <c r="C1864" s="34" t="s">
        <v>127</v>
      </c>
      <c r="E1864" s="30" t="s">
        <v>6329</v>
      </c>
      <c r="F1864" s="34" t="n">
        <f aca="false">IFERROR(VLOOKUP($A1864,'319'!$B:$H,7,0),0)</f>
        <v>0</v>
      </c>
      <c r="G1864" s="34" t="n">
        <f aca="false">SUMIFS('12.326ana'!$C:$C,'12.326ana'!$M:$M,redes!A1864)</f>
        <v>0</v>
      </c>
    </row>
    <row r="1865" customFormat="false" ht="14.4" hidden="true" customHeight="false" outlineLevel="0" collapsed="false">
      <c r="A1865" s="34" t="n">
        <v>28453974888</v>
      </c>
      <c r="B1865" s="34" t="s">
        <v>6330</v>
      </c>
      <c r="C1865" s="34" t="s">
        <v>342</v>
      </c>
      <c r="E1865" s="30" t="s">
        <v>6331</v>
      </c>
      <c r="F1865" s="34" t="n">
        <f aca="false">IFERROR(VLOOKUP($A1865,'319'!$B:$H,7,0),0)</f>
        <v>0</v>
      </c>
      <c r="G1865" s="34" t="n">
        <f aca="false">SUMIFS('12.326ana'!$C:$C,'12.326ana'!$M:$M,redes!A1865)</f>
        <v>0</v>
      </c>
    </row>
    <row r="1866" customFormat="false" ht="14.4" hidden="true" customHeight="false" outlineLevel="0" collapsed="false">
      <c r="A1866" s="34" t="n">
        <v>28506090130</v>
      </c>
      <c r="B1866" s="34" t="s">
        <v>6332</v>
      </c>
      <c r="C1866" s="34" t="s">
        <v>77</v>
      </c>
      <c r="E1866" s="30"/>
      <c r="F1866" s="34" t="n">
        <f aca="false">IFERROR(VLOOKUP($A1866,'319'!$B:$H,7,0),0)</f>
        <v>0</v>
      </c>
      <c r="G1866" s="34" t="n">
        <f aca="false">SUMIFS('12.326ana'!$C:$C,'12.326ana'!$M:$M,redes!A1866)</f>
        <v>0</v>
      </c>
    </row>
    <row r="1867" customFormat="false" ht="14.4" hidden="true" customHeight="false" outlineLevel="0" collapsed="false">
      <c r="A1867" s="34" t="n">
        <v>28507126120</v>
      </c>
      <c r="B1867" s="34" t="s">
        <v>6333</v>
      </c>
      <c r="C1867" s="34" t="s">
        <v>77</v>
      </c>
      <c r="E1867" s="30" t="s">
        <v>6334</v>
      </c>
      <c r="F1867" s="34" t="n">
        <f aca="false">IFERROR(VLOOKUP($A1867,'319'!$B:$H,7,0),0)</f>
        <v>0</v>
      </c>
      <c r="G1867" s="34" t="n">
        <f aca="false">SUMIFS('12.326ana'!$C:$C,'12.326ana'!$M:$M,redes!A1867)</f>
        <v>0</v>
      </c>
    </row>
    <row r="1868" customFormat="false" ht="14.4" hidden="true" customHeight="false" outlineLevel="0" collapsed="false">
      <c r="A1868" s="34" t="n">
        <v>28510267120</v>
      </c>
      <c r="B1868" s="34" t="s">
        <v>6335</v>
      </c>
      <c r="C1868" s="34" t="s">
        <v>77</v>
      </c>
      <c r="E1868" s="30" t="s">
        <v>6336</v>
      </c>
      <c r="F1868" s="34" t="n">
        <f aca="false">IFERROR(VLOOKUP($A1868,'319'!$B:$H,7,0),0)</f>
        <v>0</v>
      </c>
      <c r="G1868" s="34" t="n">
        <f aca="false">SUMIFS('12.326ana'!$C:$C,'12.326ana'!$M:$M,redes!A1868)</f>
        <v>0</v>
      </c>
    </row>
    <row r="1869" customFormat="false" ht="14.4" hidden="true" customHeight="false" outlineLevel="0" collapsed="false">
      <c r="A1869" s="34" t="n">
        <v>28515153149</v>
      </c>
      <c r="B1869" s="34" t="s">
        <v>6337</v>
      </c>
      <c r="C1869" s="34" t="s">
        <v>377</v>
      </c>
      <c r="E1869" s="30" t="s">
        <v>6338</v>
      </c>
      <c r="F1869" s="34" t="n">
        <f aca="false">IFERROR(VLOOKUP($A1869,'319'!$B:$H,7,0),0)</f>
        <v>0</v>
      </c>
      <c r="G1869" s="34" t="n">
        <f aca="false">SUMIFS('12.326ana'!$C:$C,'12.326ana'!$M:$M,redes!A1869)</f>
        <v>0</v>
      </c>
    </row>
    <row r="1870" customFormat="false" ht="14.4" hidden="true" customHeight="false" outlineLevel="0" collapsed="false">
      <c r="A1870" s="34" t="n">
        <v>28517032187</v>
      </c>
      <c r="B1870" s="34" t="s">
        <v>6339</v>
      </c>
      <c r="C1870" s="34" t="s">
        <v>77</v>
      </c>
      <c r="E1870" s="30" t="s">
        <v>6340</v>
      </c>
      <c r="F1870" s="34" t="n">
        <f aca="false">IFERROR(VLOOKUP($A1870,'319'!$B:$H,7,0),0)</f>
        <v>0</v>
      </c>
      <c r="G1870" s="34" t="n">
        <f aca="false">SUMIFS('12.326ana'!$C:$C,'12.326ana'!$M:$M,redes!A1870)</f>
        <v>0</v>
      </c>
    </row>
    <row r="1871" customFormat="false" ht="14.4" hidden="true" customHeight="false" outlineLevel="0" collapsed="false">
      <c r="A1871" s="34" t="n">
        <v>28528182134</v>
      </c>
      <c r="B1871" s="34" t="s">
        <v>6341</v>
      </c>
      <c r="C1871" s="34" t="s">
        <v>89</v>
      </c>
      <c r="E1871" s="30" t="s">
        <v>6342</v>
      </c>
      <c r="F1871" s="34" t="n">
        <f aca="false">IFERROR(VLOOKUP($A1871,'319'!$B:$H,7,0),0)</f>
        <v>0</v>
      </c>
      <c r="G1871" s="34" t="n">
        <f aca="false">SUMIFS('12.326ana'!$C:$C,'12.326ana'!$M:$M,redes!A1871)</f>
        <v>0</v>
      </c>
    </row>
    <row r="1872" customFormat="false" ht="14.4" hidden="true" customHeight="false" outlineLevel="0" collapsed="false">
      <c r="A1872" s="34" t="n">
        <v>28533895100</v>
      </c>
      <c r="B1872" s="34" t="s">
        <v>6343</v>
      </c>
      <c r="C1872" s="34" t="s">
        <v>77</v>
      </c>
      <c r="E1872" s="30" t="s">
        <v>6344</v>
      </c>
      <c r="F1872" s="34" t="n">
        <f aca="false">IFERROR(VLOOKUP($A1872,'319'!$B:$H,7,0),0)</f>
        <v>0</v>
      </c>
      <c r="G1872" s="34" t="n">
        <f aca="false">SUMIFS('12.326ana'!$C:$C,'12.326ana'!$M:$M,redes!A1872)</f>
        <v>0</v>
      </c>
    </row>
    <row r="1873" customFormat="false" ht="14.4" hidden="true" customHeight="false" outlineLevel="0" collapsed="false">
      <c r="A1873" s="34" t="n">
        <v>28539370115</v>
      </c>
      <c r="B1873" s="34" t="s">
        <v>6345</v>
      </c>
      <c r="C1873" s="34" t="s">
        <v>107</v>
      </c>
      <c r="E1873" s="30" t="s">
        <v>6346</v>
      </c>
      <c r="F1873" s="34" t="n">
        <f aca="false">IFERROR(VLOOKUP($A1873,'319'!$B:$H,7,0),0)</f>
        <v>0</v>
      </c>
      <c r="G1873" s="34" t="n">
        <f aca="false">SUMIFS('12.326ana'!$C:$C,'12.326ana'!$M:$M,redes!A1873)</f>
        <v>0</v>
      </c>
    </row>
    <row r="1874" customFormat="false" ht="14.4" hidden="true" customHeight="false" outlineLevel="0" collapsed="false">
      <c r="A1874" s="34" t="n">
        <v>28540050153</v>
      </c>
      <c r="B1874" s="34" t="s">
        <v>6347</v>
      </c>
      <c r="C1874" s="34" t="s">
        <v>77</v>
      </c>
      <c r="E1874" s="30" t="s">
        <v>6348</v>
      </c>
      <c r="F1874" s="34" t="n">
        <f aca="false">IFERROR(VLOOKUP($A1874,'319'!$B:$H,7,0),0)</f>
        <v>0</v>
      </c>
      <c r="G1874" s="34" t="n">
        <f aca="false">SUMIFS('12.326ana'!$C:$C,'12.326ana'!$M:$M,redes!A1874)</f>
        <v>0</v>
      </c>
    </row>
    <row r="1875" customFormat="false" ht="14.4" hidden="true" customHeight="false" outlineLevel="0" collapsed="false">
      <c r="A1875" s="34" t="n">
        <v>28540590182</v>
      </c>
      <c r="B1875" s="34" t="s">
        <v>6349</v>
      </c>
      <c r="C1875" s="34" t="s">
        <v>77</v>
      </c>
      <c r="E1875" s="30" t="s">
        <v>3674</v>
      </c>
      <c r="F1875" s="34" t="n">
        <f aca="false">IFERROR(VLOOKUP($A1875,'319'!$B:$H,7,0),0)</f>
        <v>0</v>
      </c>
      <c r="G1875" s="34" t="n">
        <f aca="false">SUMIFS('12.326ana'!$C:$C,'12.326ana'!$M:$M,redes!A1875)</f>
        <v>0</v>
      </c>
    </row>
    <row r="1876" customFormat="false" ht="14.4" hidden="true" customHeight="false" outlineLevel="0" collapsed="false">
      <c r="A1876" s="34" t="n">
        <v>28541677168</v>
      </c>
      <c r="B1876" s="34" t="s">
        <v>6350</v>
      </c>
      <c r="C1876" s="34" t="s">
        <v>405</v>
      </c>
      <c r="E1876" s="30" t="s">
        <v>6351</v>
      </c>
      <c r="F1876" s="34" t="n">
        <f aca="false">IFERROR(VLOOKUP($A1876,'319'!$B:$H,7,0),0)</f>
        <v>0</v>
      </c>
      <c r="G1876" s="34" t="n">
        <f aca="false">SUMIFS('12.326ana'!$C:$C,'12.326ana'!$M:$M,redes!A1876)</f>
        <v>0</v>
      </c>
    </row>
    <row r="1877" customFormat="false" ht="14.4" hidden="true" customHeight="false" outlineLevel="0" collapsed="false">
      <c r="A1877" s="34" t="n">
        <v>28542835972</v>
      </c>
      <c r="B1877" s="34" t="s">
        <v>6352</v>
      </c>
      <c r="C1877" s="34" t="s">
        <v>77</v>
      </c>
      <c r="E1877" s="30" t="s">
        <v>6353</v>
      </c>
      <c r="F1877" s="34" t="n">
        <f aca="false">IFERROR(VLOOKUP($A1877,'319'!$B:$H,7,0),0)</f>
        <v>0</v>
      </c>
      <c r="G1877" s="34" t="n">
        <f aca="false">SUMIFS('12.326ana'!$C:$C,'12.326ana'!$M:$M,redes!A1877)</f>
        <v>0</v>
      </c>
    </row>
    <row r="1878" customFormat="false" ht="14.4" hidden="true" customHeight="false" outlineLevel="0" collapsed="false">
      <c r="A1878" s="34" t="n">
        <v>28544188168</v>
      </c>
      <c r="B1878" s="34" t="s">
        <v>6354</v>
      </c>
      <c r="C1878" s="34" t="s">
        <v>77</v>
      </c>
      <c r="E1878" s="30" t="s">
        <v>6355</v>
      </c>
      <c r="F1878" s="34" t="n">
        <f aca="false">IFERROR(VLOOKUP($A1878,'319'!$B:$H,7,0),0)</f>
        <v>0</v>
      </c>
      <c r="G1878" s="34" t="n">
        <f aca="false">SUMIFS('12.326ana'!$C:$C,'12.326ana'!$M:$M,redes!A1878)</f>
        <v>0</v>
      </c>
    </row>
    <row r="1879" customFormat="false" ht="14.4" hidden="true" customHeight="false" outlineLevel="0" collapsed="false">
      <c r="A1879" s="34" t="n">
        <v>28552482134</v>
      </c>
      <c r="B1879" s="34" t="s">
        <v>6356</v>
      </c>
      <c r="C1879" s="34" t="s">
        <v>299</v>
      </c>
      <c r="E1879" s="30" t="s">
        <v>6357</v>
      </c>
      <c r="F1879" s="34" t="n">
        <f aca="false">IFERROR(VLOOKUP($A1879,'319'!$B:$H,7,0),0)</f>
        <v>0</v>
      </c>
      <c r="G1879" s="34" t="n">
        <f aca="false">SUMIFS('12.326ana'!$C:$C,'12.326ana'!$M:$M,redes!A1879)</f>
        <v>0</v>
      </c>
    </row>
    <row r="1880" customFormat="false" ht="14.4" hidden="true" customHeight="false" outlineLevel="0" collapsed="false">
      <c r="A1880" s="34" t="n">
        <v>28552989115</v>
      </c>
      <c r="B1880" s="34" t="s">
        <v>6358</v>
      </c>
      <c r="C1880" s="34" t="s">
        <v>77</v>
      </c>
      <c r="E1880" s="30"/>
      <c r="F1880" s="34" t="n">
        <f aca="false">IFERROR(VLOOKUP($A1880,'319'!$B:$H,7,0),0)</f>
        <v>0</v>
      </c>
      <c r="G1880" s="34" t="n">
        <f aca="false">SUMIFS('12.326ana'!$C:$C,'12.326ana'!$M:$M,redes!A1880)</f>
        <v>0</v>
      </c>
    </row>
    <row r="1881" customFormat="false" ht="14.4" hidden="true" customHeight="false" outlineLevel="0" collapsed="false">
      <c r="A1881" s="34" t="n">
        <v>28575202120</v>
      </c>
      <c r="B1881" s="34" t="s">
        <v>6359</v>
      </c>
      <c r="C1881" s="34" t="s">
        <v>213</v>
      </c>
      <c r="E1881" s="30" t="s">
        <v>6360</v>
      </c>
      <c r="F1881" s="34" t="n">
        <f aca="false">IFERROR(VLOOKUP($A1881,'319'!$B:$H,7,0),0)</f>
        <v>0</v>
      </c>
      <c r="G1881" s="34" t="n">
        <f aca="false">SUMIFS('12.326ana'!$C:$C,'12.326ana'!$M:$M,redes!A1881)</f>
        <v>0</v>
      </c>
    </row>
    <row r="1882" customFormat="false" ht="14.4" hidden="true" customHeight="false" outlineLevel="0" collapsed="false">
      <c r="A1882" s="34" t="n">
        <v>28615387168</v>
      </c>
      <c r="B1882" s="34" t="s">
        <v>6361</v>
      </c>
      <c r="C1882" s="34" t="s">
        <v>77</v>
      </c>
      <c r="E1882" s="30"/>
      <c r="F1882" s="34" t="n">
        <f aca="false">IFERROR(VLOOKUP($A1882,'319'!$B:$H,7,0),0)</f>
        <v>0</v>
      </c>
      <c r="G1882" s="34" t="n">
        <f aca="false">SUMIFS('12.326ana'!$C:$C,'12.326ana'!$M:$M,redes!A1882)</f>
        <v>0</v>
      </c>
    </row>
    <row r="1883" customFormat="false" ht="14.4" hidden="true" customHeight="false" outlineLevel="0" collapsed="false">
      <c r="A1883" s="34" t="n">
        <v>28619790110</v>
      </c>
      <c r="B1883" s="34" t="s">
        <v>6362</v>
      </c>
      <c r="C1883" s="34" t="s">
        <v>77</v>
      </c>
      <c r="E1883" s="30" t="s">
        <v>6363</v>
      </c>
      <c r="F1883" s="34" t="n">
        <f aca="false">IFERROR(VLOOKUP($A1883,'319'!$B:$H,7,0),0)</f>
        <v>0</v>
      </c>
      <c r="G1883" s="34" t="n">
        <f aca="false">SUMIFS('12.326ana'!$C:$C,'12.326ana'!$M:$M,redes!A1883)</f>
        <v>0</v>
      </c>
    </row>
    <row r="1884" customFormat="false" ht="14.4" hidden="true" customHeight="false" outlineLevel="0" collapsed="false">
      <c r="A1884" s="34" t="n">
        <v>28621956187</v>
      </c>
      <c r="B1884" s="34" t="s">
        <v>6364</v>
      </c>
      <c r="C1884" s="34" t="s">
        <v>77</v>
      </c>
      <c r="E1884" s="30" t="s">
        <v>6365</v>
      </c>
      <c r="F1884" s="34" t="n">
        <f aca="false">IFERROR(VLOOKUP($A1884,'319'!$B:$H,7,0),0)</f>
        <v>0</v>
      </c>
      <c r="G1884" s="34" t="n">
        <f aca="false">SUMIFS('12.326ana'!$C:$C,'12.326ana'!$M:$M,redes!A1884)</f>
        <v>0</v>
      </c>
    </row>
    <row r="1885" customFormat="false" ht="14.4" hidden="true" customHeight="false" outlineLevel="0" collapsed="false">
      <c r="A1885" s="34" t="n">
        <v>28630513187</v>
      </c>
      <c r="B1885" s="34" t="s">
        <v>6366</v>
      </c>
      <c r="C1885" s="34" t="s">
        <v>804</v>
      </c>
      <c r="E1885" s="30" t="s">
        <v>6367</v>
      </c>
      <c r="F1885" s="34" t="n">
        <f aca="false">IFERROR(VLOOKUP($A1885,'319'!$B:$H,7,0),0)</f>
        <v>0</v>
      </c>
      <c r="G1885" s="34" t="n">
        <f aca="false">SUMIFS('12.326ana'!$C:$C,'12.326ana'!$M:$M,redes!A1885)</f>
        <v>0</v>
      </c>
    </row>
    <row r="1886" customFormat="false" ht="14.4" hidden="true" customHeight="false" outlineLevel="0" collapsed="false">
      <c r="A1886" s="34" t="n">
        <v>28641574115</v>
      </c>
      <c r="B1886" s="34" t="s">
        <v>6368</v>
      </c>
      <c r="C1886" s="34" t="s">
        <v>77</v>
      </c>
      <c r="E1886" s="30" t="s">
        <v>6368</v>
      </c>
      <c r="F1886" s="34" t="n">
        <f aca="false">IFERROR(VLOOKUP($A1886,'319'!$B:$H,7,0),0)</f>
        <v>0</v>
      </c>
      <c r="G1886" s="34" t="n">
        <f aca="false">SUMIFS('12.326ana'!$C:$C,'12.326ana'!$M:$M,redes!A1886)</f>
        <v>0</v>
      </c>
    </row>
    <row r="1887" customFormat="false" ht="14.4" hidden="true" customHeight="false" outlineLevel="0" collapsed="false">
      <c r="A1887" s="34" t="n">
        <v>28648803187</v>
      </c>
      <c r="B1887" s="34" t="s">
        <v>6369</v>
      </c>
      <c r="C1887" s="34" t="s">
        <v>77</v>
      </c>
      <c r="E1887" s="30"/>
      <c r="F1887" s="34" t="n">
        <f aca="false">IFERROR(VLOOKUP($A1887,'319'!$B:$H,7,0),0)</f>
        <v>0</v>
      </c>
      <c r="G1887" s="34" t="n">
        <f aca="false">SUMIFS('12.326ana'!$C:$C,'12.326ana'!$M:$M,redes!A1887)</f>
        <v>0</v>
      </c>
    </row>
    <row r="1888" customFormat="false" ht="14.4" hidden="true" customHeight="false" outlineLevel="0" collapsed="false">
      <c r="A1888" s="34" t="n">
        <v>28649524168</v>
      </c>
      <c r="B1888" s="34" t="s">
        <v>6370</v>
      </c>
      <c r="C1888" s="34" t="s">
        <v>77</v>
      </c>
      <c r="E1888" s="30" t="s">
        <v>3664</v>
      </c>
      <c r="F1888" s="34" t="n">
        <f aca="false">IFERROR(VLOOKUP($A1888,'319'!$B:$H,7,0),0)</f>
        <v>0</v>
      </c>
      <c r="G1888" s="34" t="n">
        <f aca="false">SUMIFS('12.326ana'!$C:$C,'12.326ana'!$M:$M,redes!A1888)</f>
        <v>0</v>
      </c>
    </row>
    <row r="1889" customFormat="false" ht="14.4" hidden="true" customHeight="false" outlineLevel="0" collapsed="false">
      <c r="A1889" s="34" t="n">
        <v>28674391168</v>
      </c>
      <c r="B1889" s="34" t="s">
        <v>6371</v>
      </c>
      <c r="C1889" s="34" t="s">
        <v>107</v>
      </c>
      <c r="E1889" s="30" t="s">
        <v>6372</v>
      </c>
      <c r="F1889" s="34" t="n">
        <f aca="false">IFERROR(VLOOKUP($A1889,'319'!$B:$H,7,0),0)</f>
        <v>0</v>
      </c>
      <c r="G1889" s="34" t="n">
        <f aca="false">SUMIFS('12.326ana'!$C:$C,'12.326ana'!$M:$M,redes!A1889)</f>
        <v>0</v>
      </c>
    </row>
    <row r="1890" customFormat="false" ht="14.4" hidden="true" customHeight="false" outlineLevel="0" collapsed="false">
      <c r="A1890" s="34" t="n">
        <v>28675584172</v>
      </c>
      <c r="B1890" s="34" t="s">
        <v>6373</v>
      </c>
      <c r="C1890" s="34" t="s">
        <v>77</v>
      </c>
      <c r="E1890" s="30" t="s">
        <v>6374</v>
      </c>
      <c r="F1890" s="34" t="n">
        <f aca="false">IFERROR(VLOOKUP($A1890,'319'!$B:$H,7,0),0)</f>
        <v>0</v>
      </c>
      <c r="G1890" s="34" t="n">
        <f aca="false">SUMIFS('12.326ana'!$C:$C,'12.326ana'!$M:$M,redes!A1890)</f>
        <v>0</v>
      </c>
    </row>
    <row r="1891" customFormat="false" ht="14.4" hidden="true" customHeight="false" outlineLevel="0" collapsed="false">
      <c r="A1891" s="34" t="n">
        <v>28676513104</v>
      </c>
      <c r="B1891" s="34" t="s">
        <v>6375</v>
      </c>
      <c r="C1891" s="34" t="s">
        <v>107</v>
      </c>
      <c r="E1891" s="30" t="s">
        <v>6376</v>
      </c>
      <c r="F1891" s="34" t="n">
        <f aca="false">IFERROR(VLOOKUP($A1891,'319'!$B:$H,7,0),0)</f>
        <v>0</v>
      </c>
      <c r="G1891" s="34" t="n">
        <f aca="false">SUMIFS('12.326ana'!$C:$C,'12.326ana'!$M:$M,redes!A1891)</f>
        <v>0</v>
      </c>
    </row>
    <row r="1892" customFormat="false" ht="14.4" hidden="true" customHeight="false" outlineLevel="0" collapsed="false">
      <c r="A1892" s="34" t="n">
        <v>28678311134</v>
      </c>
      <c r="B1892" s="34" t="s">
        <v>6377</v>
      </c>
      <c r="C1892" s="34" t="s">
        <v>107</v>
      </c>
      <c r="E1892" s="30" t="s">
        <v>6378</v>
      </c>
      <c r="F1892" s="34" t="n">
        <f aca="false">IFERROR(VLOOKUP($A1892,'319'!$B:$H,7,0),0)</f>
        <v>0</v>
      </c>
      <c r="G1892" s="34" t="n">
        <f aca="false">SUMIFS('12.326ana'!$C:$C,'12.326ana'!$M:$M,redes!A1892)</f>
        <v>0</v>
      </c>
    </row>
    <row r="1893" customFormat="false" ht="14.4" hidden="true" customHeight="false" outlineLevel="0" collapsed="false">
      <c r="A1893" s="34" t="n">
        <v>28684958187</v>
      </c>
      <c r="B1893" s="34" t="s">
        <v>6379</v>
      </c>
      <c r="C1893" s="34" t="s">
        <v>77</v>
      </c>
      <c r="E1893" s="30" t="s">
        <v>6380</v>
      </c>
      <c r="F1893" s="34" t="n">
        <f aca="false">IFERROR(VLOOKUP($A1893,'319'!$B:$H,7,0),0)</f>
        <v>0</v>
      </c>
      <c r="G1893" s="34" t="n">
        <f aca="false">SUMIFS('12.326ana'!$C:$C,'12.326ana'!$M:$M,redes!A1893)</f>
        <v>0</v>
      </c>
    </row>
    <row r="1894" customFormat="false" ht="14.4" hidden="true" customHeight="false" outlineLevel="0" collapsed="false">
      <c r="A1894" s="34" t="n">
        <v>28748387215</v>
      </c>
      <c r="B1894" s="34" t="s">
        <v>6381</v>
      </c>
      <c r="C1894" s="34" t="s">
        <v>77</v>
      </c>
      <c r="E1894" s="30" t="s">
        <v>6382</v>
      </c>
      <c r="F1894" s="34" t="n">
        <f aca="false">IFERROR(VLOOKUP($A1894,'319'!$B:$H,7,0),0)</f>
        <v>0</v>
      </c>
      <c r="G1894" s="34" t="n">
        <f aca="false">SUMIFS('12.326ana'!$C:$C,'12.326ana'!$M:$M,redes!A1894)</f>
        <v>0</v>
      </c>
    </row>
    <row r="1895" customFormat="false" ht="14.4" hidden="true" customHeight="false" outlineLevel="0" collapsed="false">
      <c r="A1895" s="34" t="n">
        <v>28958853115</v>
      </c>
      <c r="B1895" s="34" t="s">
        <v>6383</v>
      </c>
      <c r="C1895" s="34" t="s">
        <v>139</v>
      </c>
      <c r="E1895" s="30" t="s">
        <v>6384</v>
      </c>
      <c r="F1895" s="34" t="n">
        <f aca="false">IFERROR(VLOOKUP($A1895,'319'!$B:$H,7,0),0)</f>
        <v>0</v>
      </c>
      <c r="G1895" s="34" t="n">
        <f aca="false">SUMIFS('12.326ana'!$C:$C,'12.326ana'!$M:$M,redes!A1895)</f>
        <v>0</v>
      </c>
    </row>
    <row r="1896" customFormat="false" ht="14.4" hidden="true" customHeight="false" outlineLevel="0" collapsed="false">
      <c r="A1896" s="34" t="n">
        <v>28960955272</v>
      </c>
      <c r="B1896" s="34" t="s">
        <v>6385</v>
      </c>
      <c r="C1896" s="34" t="s">
        <v>77</v>
      </c>
      <c r="E1896" s="30" t="s">
        <v>6386</v>
      </c>
      <c r="F1896" s="34" t="n">
        <f aca="false">IFERROR(VLOOKUP($A1896,'319'!$B:$H,7,0),0)</f>
        <v>0</v>
      </c>
      <c r="G1896" s="34" t="n">
        <f aca="false">SUMIFS('12.326ana'!$C:$C,'12.326ana'!$M:$M,redes!A1896)</f>
        <v>0</v>
      </c>
    </row>
    <row r="1897" customFormat="false" ht="14.4" hidden="true" customHeight="false" outlineLevel="0" collapsed="false">
      <c r="A1897" s="34" t="n">
        <v>28996500259</v>
      </c>
      <c r="B1897" s="34" t="s">
        <v>6387</v>
      </c>
      <c r="C1897" s="34" t="s">
        <v>77</v>
      </c>
      <c r="E1897" s="30"/>
      <c r="F1897" s="34" t="n">
        <f aca="false">IFERROR(VLOOKUP($A1897,'319'!$B:$H,7,0),0)</f>
        <v>0</v>
      </c>
      <c r="G1897" s="34" t="n">
        <f aca="false">SUMIFS('12.326ana'!$C:$C,'12.326ana'!$M:$M,redes!A1897)</f>
        <v>0</v>
      </c>
    </row>
    <row r="1898" customFormat="false" ht="14.4" hidden="true" customHeight="false" outlineLevel="0" collapsed="false">
      <c r="A1898" s="34" t="n">
        <v>29018625191</v>
      </c>
      <c r="B1898" s="34" t="s">
        <v>6388</v>
      </c>
      <c r="C1898" s="34" t="s">
        <v>139</v>
      </c>
      <c r="E1898" s="30" t="s">
        <v>6389</v>
      </c>
      <c r="F1898" s="34" t="n">
        <f aca="false">IFERROR(VLOOKUP($A1898,'319'!$B:$H,7,0),0)</f>
        <v>0</v>
      </c>
      <c r="G1898" s="34" t="n">
        <f aca="false">SUMIFS('12.326ana'!$C:$C,'12.326ana'!$M:$M,redes!A1898)</f>
        <v>0</v>
      </c>
    </row>
    <row r="1899" customFormat="false" ht="14.4" hidden="true" customHeight="false" outlineLevel="0" collapsed="false">
      <c r="A1899" s="34" t="n">
        <v>29031508187</v>
      </c>
      <c r="B1899" s="34" t="s">
        <v>6390</v>
      </c>
      <c r="C1899" s="34" t="s">
        <v>309</v>
      </c>
      <c r="E1899" s="30" t="s">
        <v>6391</v>
      </c>
      <c r="F1899" s="34" t="n">
        <f aca="false">IFERROR(VLOOKUP($A1899,'319'!$B:$H,7,0),0)</f>
        <v>0</v>
      </c>
      <c r="G1899" s="34" t="n">
        <f aca="false">SUMIFS('12.326ana'!$C:$C,'12.326ana'!$M:$M,redes!A1899)</f>
        <v>0</v>
      </c>
    </row>
    <row r="1900" customFormat="false" ht="14.4" hidden="true" customHeight="false" outlineLevel="0" collapsed="false">
      <c r="A1900" s="34" t="n">
        <v>29068396803</v>
      </c>
      <c r="B1900" s="34" t="s">
        <v>6392</v>
      </c>
      <c r="C1900" s="34" t="s">
        <v>89</v>
      </c>
      <c r="E1900" s="30" t="s">
        <v>6393</v>
      </c>
      <c r="F1900" s="34" t="n">
        <f aca="false">IFERROR(VLOOKUP($A1900,'319'!$B:$H,7,0),0)</f>
        <v>0</v>
      </c>
      <c r="G1900" s="34" t="n">
        <f aca="false">SUMIFS('12.326ana'!$C:$C,'12.326ana'!$M:$M,redes!A1900)</f>
        <v>0</v>
      </c>
    </row>
    <row r="1901" customFormat="false" ht="14.4" hidden="true" customHeight="false" outlineLevel="0" collapsed="false">
      <c r="A1901" s="34" t="n">
        <v>29082422816</v>
      </c>
      <c r="B1901" s="34" t="s">
        <v>6394</v>
      </c>
      <c r="C1901" s="34" t="s">
        <v>107</v>
      </c>
      <c r="E1901" s="30" t="s">
        <v>3807</v>
      </c>
      <c r="F1901" s="34" t="n">
        <f aca="false">IFERROR(VLOOKUP($A1901,'319'!$B:$H,7,0),0)</f>
        <v>0</v>
      </c>
      <c r="G1901" s="34" t="n">
        <f aca="false">SUMIFS('12.326ana'!$C:$C,'12.326ana'!$M:$M,redes!A1901)</f>
        <v>0</v>
      </c>
    </row>
    <row r="1902" customFormat="false" ht="14.4" hidden="true" customHeight="false" outlineLevel="0" collapsed="false">
      <c r="A1902" s="34" t="n">
        <v>29086058809</v>
      </c>
      <c r="B1902" s="34" t="s">
        <v>6395</v>
      </c>
      <c r="C1902" s="34" t="s">
        <v>478</v>
      </c>
      <c r="E1902" s="30" t="s">
        <v>6396</v>
      </c>
      <c r="F1902" s="34" t="n">
        <f aca="false">IFERROR(VLOOKUP($A1902,'319'!$B:$H,7,0),0)</f>
        <v>0</v>
      </c>
      <c r="G1902" s="34" t="n">
        <f aca="false">SUMIFS('12.326ana'!$C:$C,'12.326ana'!$M:$M,redes!A1902)</f>
        <v>0</v>
      </c>
    </row>
    <row r="1903" customFormat="false" ht="14.4" hidden="true" customHeight="false" outlineLevel="0" collapsed="false">
      <c r="A1903" s="34" t="n">
        <v>29140469875</v>
      </c>
      <c r="B1903" s="34" t="s">
        <v>6397</v>
      </c>
      <c r="C1903" s="34" t="s">
        <v>89</v>
      </c>
      <c r="E1903" s="30" t="s">
        <v>6398</v>
      </c>
      <c r="F1903" s="34" t="n">
        <f aca="false">IFERROR(VLOOKUP($A1903,'319'!$B:$H,7,0),0)</f>
        <v>0</v>
      </c>
      <c r="G1903" s="34" t="n">
        <f aca="false">SUMIFS('12.326ana'!$C:$C,'12.326ana'!$M:$M,redes!A1903)</f>
        <v>0</v>
      </c>
    </row>
    <row r="1904" customFormat="false" ht="14.4" hidden="true" customHeight="false" outlineLevel="0" collapsed="false">
      <c r="A1904" s="34" t="n">
        <v>29228956615</v>
      </c>
      <c r="B1904" s="34" t="s">
        <v>6399</v>
      </c>
      <c r="C1904" s="34" t="s">
        <v>77</v>
      </c>
      <c r="E1904" s="30" t="s">
        <v>5260</v>
      </c>
      <c r="F1904" s="34" t="n">
        <f aca="false">IFERROR(VLOOKUP($A1904,'319'!$B:$H,7,0),0)</f>
        <v>0</v>
      </c>
      <c r="G1904" s="34" t="n">
        <f aca="false">SUMIFS('12.326ana'!$C:$C,'12.326ana'!$M:$M,redes!A1904)</f>
        <v>0</v>
      </c>
    </row>
    <row r="1905" customFormat="false" ht="14.4" hidden="true" customHeight="false" outlineLevel="0" collapsed="false">
      <c r="A1905" s="34" t="n">
        <v>29292247972</v>
      </c>
      <c r="B1905" s="34" t="s">
        <v>6400</v>
      </c>
      <c r="C1905" s="34" t="s">
        <v>77</v>
      </c>
      <c r="E1905" s="30" t="s">
        <v>6401</v>
      </c>
      <c r="F1905" s="34" t="n">
        <f aca="false">IFERROR(VLOOKUP($A1905,'319'!$B:$H,7,0),0)</f>
        <v>0</v>
      </c>
      <c r="G1905" s="34" t="n">
        <f aca="false">SUMIFS('12.326ana'!$C:$C,'12.326ana'!$M:$M,redes!A1905)</f>
        <v>0</v>
      </c>
    </row>
    <row r="1906" customFormat="false" ht="14.4" hidden="true" customHeight="false" outlineLevel="0" collapsed="false">
      <c r="A1906" s="34" t="n">
        <v>29339375149</v>
      </c>
      <c r="B1906" s="34" t="s">
        <v>6402</v>
      </c>
      <c r="C1906" s="34" t="s">
        <v>77</v>
      </c>
      <c r="E1906" s="30" t="s">
        <v>6403</v>
      </c>
      <c r="F1906" s="34" t="n">
        <f aca="false">IFERROR(VLOOKUP($A1906,'319'!$B:$H,7,0),0)</f>
        <v>0</v>
      </c>
      <c r="G1906" s="34" t="n">
        <f aca="false">SUMIFS('12.326ana'!$C:$C,'12.326ana'!$M:$M,redes!A1906)</f>
        <v>0</v>
      </c>
    </row>
    <row r="1907" customFormat="false" ht="14.4" hidden="true" customHeight="false" outlineLevel="0" collapsed="false">
      <c r="A1907" s="34" t="n">
        <v>29340896149</v>
      </c>
      <c r="B1907" s="34" t="s">
        <v>6404</v>
      </c>
      <c r="C1907" s="34" t="s">
        <v>139</v>
      </c>
      <c r="E1907" s="30" t="s">
        <v>6405</v>
      </c>
      <c r="F1907" s="34" t="n">
        <f aca="false">IFERROR(VLOOKUP($A1907,'319'!$B:$H,7,0),0)</f>
        <v>0</v>
      </c>
      <c r="G1907" s="34" t="n">
        <f aca="false">SUMIFS('12.326ana'!$C:$C,'12.326ana'!$M:$M,redes!A1907)</f>
        <v>0</v>
      </c>
    </row>
    <row r="1908" customFormat="false" ht="14.4" hidden="true" customHeight="false" outlineLevel="0" collapsed="false">
      <c r="A1908" s="34" t="n">
        <v>29349010178</v>
      </c>
      <c r="B1908" s="34" t="s">
        <v>6406</v>
      </c>
      <c r="C1908" s="34" t="s">
        <v>77</v>
      </c>
      <c r="E1908" s="30" t="s">
        <v>6406</v>
      </c>
      <c r="F1908" s="34" t="n">
        <f aca="false">IFERROR(VLOOKUP($A1908,'319'!$B:$H,7,0),0)</f>
        <v>0</v>
      </c>
      <c r="G1908" s="34" t="n">
        <f aca="false">SUMIFS('12.326ana'!$C:$C,'12.326ana'!$M:$M,redes!A1908)</f>
        <v>0</v>
      </c>
    </row>
    <row r="1909" customFormat="false" ht="14.4" hidden="true" customHeight="false" outlineLevel="0" collapsed="false">
      <c r="A1909" s="34" t="n">
        <v>29363349187</v>
      </c>
      <c r="B1909" s="34" t="s">
        <v>6407</v>
      </c>
      <c r="C1909" s="34" t="s">
        <v>680</v>
      </c>
      <c r="E1909" s="30" t="s">
        <v>6408</v>
      </c>
      <c r="F1909" s="34" t="n">
        <f aca="false">IFERROR(VLOOKUP($A1909,'319'!$B:$H,7,0),0)</f>
        <v>0</v>
      </c>
      <c r="G1909" s="34" t="n">
        <f aca="false">SUMIFS('12.326ana'!$C:$C,'12.326ana'!$M:$M,redes!A1909)</f>
        <v>0</v>
      </c>
    </row>
    <row r="1910" customFormat="false" ht="14.4" hidden="true" customHeight="false" outlineLevel="0" collapsed="false">
      <c r="A1910" s="34" t="n">
        <v>29366771149</v>
      </c>
      <c r="B1910" s="34" t="s">
        <v>6409</v>
      </c>
      <c r="C1910" s="34" t="s">
        <v>77</v>
      </c>
      <c r="E1910" s="30" t="s">
        <v>6410</v>
      </c>
      <c r="F1910" s="34" t="n">
        <f aca="false">IFERROR(VLOOKUP($A1910,'319'!$B:$H,7,0),0)</f>
        <v>0</v>
      </c>
      <c r="G1910" s="34" t="n">
        <f aca="false">SUMIFS('12.326ana'!$C:$C,'12.326ana'!$M:$M,redes!A1910)</f>
        <v>0</v>
      </c>
    </row>
    <row r="1911" customFormat="false" ht="14.4" hidden="true" customHeight="false" outlineLevel="0" collapsed="false">
      <c r="A1911" s="34" t="n">
        <v>29372798134</v>
      </c>
      <c r="B1911" s="34" t="s">
        <v>6411</v>
      </c>
      <c r="C1911" s="34" t="s">
        <v>77</v>
      </c>
      <c r="E1911" s="30" t="s">
        <v>6412</v>
      </c>
      <c r="F1911" s="34" t="n">
        <f aca="false">IFERROR(VLOOKUP($A1911,'319'!$B:$H,7,0),0)</f>
        <v>0</v>
      </c>
      <c r="G1911" s="34" t="n">
        <f aca="false">SUMIFS('12.326ana'!$C:$C,'12.326ana'!$M:$M,redes!A1911)</f>
        <v>0</v>
      </c>
    </row>
    <row r="1912" customFormat="false" ht="14.4" hidden="true" customHeight="false" outlineLevel="0" collapsed="false">
      <c r="A1912" s="34" t="n">
        <v>29392160100</v>
      </c>
      <c r="B1912" s="34" t="s">
        <v>6413</v>
      </c>
      <c r="C1912" s="34" t="s">
        <v>77</v>
      </c>
      <c r="E1912" s="30" t="s">
        <v>6414</v>
      </c>
      <c r="F1912" s="34" t="n">
        <f aca="false">IFERROR(VLOOKUP($A1912,'319'!$B:$H,7,0),0)</f>
        <v>0</v>
      </c>
      <c r="G1912" s="34" t="n">
        <f aca="false">SUMIFS('12.326ana'!$C:$C,'12.326ana'!$M:$M,redes!A1912)</f>
        <v>0</v>
      </c>
    </row>
    <row r="1913" customFormat="false" ht="14.4" hidden="true" customHeight="false" outlineLevel="0" collapsed="false">
      <c r="A1913" s="34" t="n">
        <v>29397952153</v>
      </c>
      <c r="B1913" s="34" t="s">
        <v>6415</v>
      </c>
      <c r="C1913" s="34" t="s">
        <v>77</v>
      </c>
      <c r="E1913" s="30" t="s">
        <v>6416</v>
      </c>
      <c r="F1913" s="34" t="n">
        <f aca="false">IFERROR(VLOOKUP($A1913,'319'!$B:$H,7,0),0)</f>
        <v>0</v>
      </c>
      <c r="G1913" s="34" t="n">
        <f aca="false">SUMIFS('12.326ana'!$C:$C,'12.326ana'!$M:$M,redes!A1913)</f>
        <v>0</v>
      </c>
    </row>
    <row r="1914" customFormat="false" ht="14.4" hidden="true" customHeight="false" outlineLevel="0" collapsed="false">
      <c r="A1914" s="34" t="n">
        <v>29408261100</v>
      </c>
      <c r="B1914" s="34" t="s">
        <v>6417</v>
      </c>
      <c r="C1914" s="34" t="s">
        <v>309</v>
      </c>
      <c r="E1914" s="30" t="s">
        <v>6418</v>
      </c>
      <c r="F1914" s="34" t="n">
        <f aca="false">IFERROR(VLOOKUP($A1914,'319'!$B:$H,7,0),0)</f>
        <v>0</v>
      </c>
      <c r="G1914" s="34" t="n">
        <f aca="false">SUMIFS('12.326ana'!$C:$C,'12.326ana'!$M:$M,redes!A1914)</f>
        <v>0</v>
      </c>
    </row>
    <row r="1915" customFormat="false" ht="14.4" hidden="true" customHeight="false" outlineLevel="0" collapsed="false">
      <c r="A1915" s="34" t="n">
        <v>29409411149</v>
      </c>
      <c r="B1915" s="34" t="s">
        <v>6419</v>
      </c>
      <c r="C1915" s="34" t="s">
        <v>77</v>
      </c>
      <c r="E1915" s="30" t="s">
        <v>6420</v>
      </c>
      <c r="F1915" s="34" t="n">
        <f aca="false">IFERROR(VLOOKUP($A1915,'319'!$B:$H,7,0),0)</f>
        <v>0</v>
      </c>
      <c r="G1915" s="34" t="n">
        <f aca="false">SUMIFS('12.326ana'!$C:$C,'12.326ana'!$M:$M,redes!A1915)</f>
        <v>0</v>
      </c>
    </row>
    <row r="1916" customFormat="false" ht="14.4" hidden="true" customHeight="false" outlineLevel="0" collapsed="false">
      <c r="A1916" s="34" t="n">
        <v>29413273120</v>
      </c>
      <c r="B1916" s="34" t="s">
        <v>6421</v>
      </c>
      <c r="C1916" s="34" t="s">
        <v>107</v>
      </c>
      <c r="E1916" s="30" t="s">
        <v>6422</v>
      </c>
      <c r="F1916" s="34" t="n">
        <f aca="false">IFERROR(VLOOKUP($A1916,'319'!$B:$H,7,0),0)</f>
        <v>0</v>
      </c>
      <c r="G1916" s="34" t="n">
        <f aca="false">SUMIFS('12.326ana'!$C:$C,'12.326ana'!$M:$M,redes!A1916)</f>
        <v>0</v>
      </c>
    </row>
    <row r="1917" customFormat="false" ht="14.4" hidden="true" customHeight="false" outlineLevel="0" collapsed="false">
      <c r="A1917" s="34" t="n">
        <v>29413745153</v>
      </c>
      <c r="B1917" s="34" t="s">
        <v>6423</v>
      </c>
      <c r="C1917" s="34" t="s">
        <v>77</v>
      </c>
      <c r="E1917" s="30" t="s">
        <v>6424</v>
      </c>
      <c r="F1917" s="34" t="n">
        <f aca="false">IFERROR(VLOOKUP($A1917,'319'!$B:$H,7,0),0)</f>
        <v>0</v>
      </c>
      <c r="G1917" s="34" t="n">
        <f aca="false">SUMIFS('12.326ana'!$C:$C,'12.326ana'!$M:$M,redes!A1917)</f>
        <v>0</v>
      </c>
    </row>
    <row r="1918" customFormat="false" ht="14.4" hidden="true" customHeight="false" outlineLevel="0" collapsed="false">
      <c r="A1918" s="34" t="n">
        <v>29414091220</v>
      </c>
      <c r="B1918" s="34" t="s">
        <v>6425</v>
      </c>
      <c r="C1918" s="34" t="s">
        <v>77</v>
      </c>
      <c r="E1918" s="30"/>
      <c r="F1918" s="34" t="n">
        <f aca="false">IFERROR(VLOOKUP($A1918,'319'!$B:$H,7,0),0)</f>
        <v>0</v>
      </c>
      <c r="G1918" s="34" t="n">
        <f aca="false">SUMIFS('12.326ana'!$C:$C,'12.326ana'!$M:$M,redes!A1918)</f>
        <v>0</v>
      </c>
    </row>
    <row r="1919" customFormat="false" ht="14.4" hidden="true" customHeight="false" outlineLevel="0" collapsed="false">
      <c r="A1919" s="34" t="n">
        <v>29415136120</v>
      </c>
      <c r="B1919" s="34" t="s">
        <v>6426</v>
      </c>
      <c r="C1919" s="34" t="s">
        <v>935</v>
      </c>
      <c r="E1919" s="30" t="s">
        <v>6427</v>
      </c>
      <c r="F1919" s="34" t="n">
        <f aca="false">IFERROR(VLOOKUP($A1919,'319'!$B:$H,7,0),0)</f>
        <v>0</v>
      </c>
      <c r="G1919" s="34" t="n">
        <f aca="false">SUMIFS('12.326ana'!$C:$C,'12.326ana'!$M:$M,redes!A1919)</f>
        <v>0</v>
      </c>
    </row>
    <row r="1920" customFormat="false" ht="14.4" hidden="true" customHeight="false" outlineLevel="0" collapsed="false">
      <c r="A1920" s="34" t="n">
        <v>29416272191</v>
      </c>
      <c r="B1920" s="34" t="s">
        <v>6428</v>
      </c>
      <c r="C1920" s="34" t="s">
        <v>107</v>
      </c>
      <c r="E1920" s="30" t="s">
        <v>6429</v>
      </c>
      <c r="F1920" s="34" t="n">
        <f aca="false">IFERROR(VLOOKUP($A1920,'319'!$B:$H,7,0),0)</f>
        <v>0</v>
      </c>
      <c r="G1920" s="34" t="n">
        <f aca="false">SUMIFS('12.326ana'!$C:$C,'12.326ana'!$M:$M,redes!A1920)</f>
        <v>0</v>
      </c>
    </row>
    <row r="1921" customFormat="false" ht="14.4" hidden="true" customHeight="false" outlineLevel="0" collapsed="false">
      <c r="A1921" s="34" t="n">
        <v>29417058134</v>
      </c>
      <c r="B1921" s="34" t="s">
        <v>6430</v>
      </c>
      <c r="C1921" s="34" t="s">
        <v>309</v>
      </c>
      <c r="E1921" s="30" t="s">
        <v>6431</v>
      </c>
      <c r="F1921" s="34" t="n">
        <f aca="false">IFERROR(VLOOKUP($A1921,'319'!$B:$H,7,0),0)</f>
        <v>0</v>
      </c>
      <c r="G1921" s="34" t="n">
        <f aca="false">SUMIFS('12.326ana'!$C:$C,'12.326ana'!$M:$M,redes!A1921)</f>
        <v>0</v>
      </c>
    </row>
    <row r="1922" customFormat="false" ht="14.4" hidden="true" customHeight="false" outlineLevel="0" collapsed="false">
      <c r="A1922" s="34" t="n">
        <v>29417899104</v>
      </c>
      <c r="B1922" s="34" t="s">
        <v>6432</v>
      </c>
      <c r="C1922" s="34" t="s">
        <v>77</v>
      </c>
      <c r="E1922" s="30" t="s">
        <v>6433</v>
      </c>
      <c r="F1922" s="34" t="n">
        <f aca="false">IFERROR(VLOOKUP($A1922,'319'!$B:$H,7,0),0)</f>
        <v>0</v>
      </c>
      <c r="G1922" s="34" t="n">
        <f aca="false">SUMIFS('12.326ana'!$C:$C,'12.326ana'!$M:$M,redes!A1922)</f>
        <v>0</v>
      </c>
    </row>
    <row r="1923" customFormat="false" ht="14.4" hidden="true" customHeight="false" outlineLevel="0" collapsed="false">
      <c r="A1923" s="34" t="n">
        <v>29420882810</v>
      </c>
      <c r="B1923" s="34" t="s">
        <v>6434</v>
      </c>
      <c r="C1923" s="34" t="s">
        <v>77</v>
      </c>
      <c r="E1923" s="30" t="s">
        <v>6435</v>
      </c>
      <c r="F1923" s="34" t="n">
        <f aca="false">IFERROR(VLOOKUP($A1923,'319'!$B:$H,7,0),0)</f>
        <v>0</v>
      </c>
      <c r="G1923" s="34" t="n">
        <f aca="false">SUMIFS('12.326ana'!$C:$C,'12.326ana'!$M:$M,redes!A1923)</f>
        <v>0</v>
      </c>
    </row>
    <row r="1924" customFormat="false" ht="14.4" hidden="true" customHeight="false" outlineLevel="0" collapsed="false">
      <c r="A1924" s="34" t="n">
        <v>29424623100</v>
      </c>
      <c r="B1924" s="34" t="s">
        <v>6436</v>
      </c>
      <c r="C1924" s="34" t="s">
        <v>77</v>
      </c>
      <c r="E1924" s="30" t="s">
        <v>6437</v>
      </c>
      <c r="F1924" s="34" t="n">
        <f aca="false">IFERROR(VLOOKUP($A1924,'319'!$B:$H,7,0),0)</f>
        <v>0</v>
      </c>
      <c r="G1924" s="34" t="n">
        <f aca="false">SUMIFS('12.326ana'!$C:$C,'12.326ana'!$M:$M,redes!A1924)</f>
        <v>0</v>
      </c>
    </row>
    <row r="1925" customFormat="false" ht="14.4" hidden="true" customHeight="false" outlineLevel="0" collapsed="false">
      <c r="A1925" s="34" t="n">
        <v>29427720182</v>
      </c>
      <c r="B1925" s="34" t="s">
        <v>6438</v>
      </c>
      <c r="C1925" s="34" t="s">
        <v>342</v>
      </c>
      <c r="E1925" s="30"/>
      <c r="F1925" s="34" t="n">
        <f aca="false">IFERROR(VLOOKUP($A1925,'319'!$B:$H,7,0),0)</f>
        <v>0</v>
      </c>
      <c r="G1925" s="34" t="n">
        <f aca="false">SUMIFS('12.326ana'!$C:$C,'12.326ana'!$M:$M,redes!A1925)</f>
        <v>0</v>
      </c>
    </row>
    <row r="1926" customFormat="false" ht="14.4" hidden="true" customHeight="false" outlineLevel="0" collapsed="false">
      <c r="A1926" s="34" t="n">
        <v>29445256115</v>
      </c>
      <c r="B1926" s="34" t="s">
        <v>6439</v>
      </c>
      <c r="C1926" s="34" t="s">
        <v>77</v>
      </c>
      <c r="E1926" s="30" t="s">
        <v>6439</v>
      </c>
      <c r="F1926" s="34" t="n">
        <f aca="false">IFERROR(VLOOKUP($A1926,'319'!$B:$H,7,0),0)</f>
        <v>0</v>
      </c>
      <c r="G1926" s="34" t="n">
        <f aca="false">SUMIFS('12.326ana'!$C:$C,'12.326ana'!$M:$M,redes!A1926)</f>
        <v>0</v>
      </c>
    </row>
    <row r="1927" customFormat="false" ht="14.4" hidden="true" customHeight="false" outlineLevel="0" collapsed="false">
      <c r="A1927" s="34" t="n">
        <v>29446708168</v>
      </c>
      <c r="B1927" s="34" t="s">
        <v>6440</v>
      </c>
      <c r="C1927" s="34" t="s">
        <v>77</v>
      </c>
      <c r="E1927" s="30" t="s">
        <v>6441</v>
      </c>
      <c r="F1927" s="34" t="n">
        <f aca="false">IFERROR(VLOOKUP($A1927,'319'!$B:$H,7,0),0)</f>
        <v>0</v>
      </c>
      <c r="G1927" s="34" t="n">
        <f aca="false">SUMIFS('12.326ana'!$C:$C,'12.326ana'!$M:$M,redes!A1927)</f>
        <v>0</v>
      </c>
    </row>
    <row r="1928" customFormat="false" ht="14.4" hidden="true" customHeight="false" outlineLevel="0" collapsed="false">
      <c r="A1928" s="34" t="n">
        <v>29448506104</v>
      </c>
      <c r="B1928" s="34" t="s">
        <v>6442</v>
      </c>
      <c r="C1928" s="34" t="s">
        <v>77</v>
      </c>
      <c r="E1928" s="30" t="s">
        <v>6443</v>
      </c>
      <c r="F1928" s="34" t="n">
        <f aca="false">IFERROR(VLOOKUP($A1928,'319'!$B:$H,7,0),0)</f>
        <v>0</v>
      </c>
      <c r="G1928" s="34" t="n">
        <f aca="false">SUMIFS('12.326ana'!$C:$C,'12.326ana'!$M:$M,redes!A1928)</f>
        <v>0</v>
      </c>
    </row>
    <row r="1929" customFormat="false" ht="14.4" hidden="true" customHeight="false" outlineLevel="0" collapsed="false">
      <c r="A1929" s="34" t="n">
        <v>29450080178</v>
      </c>
      <c r="B1929" s="34" t="s">
        <v>6444</v>
      </c>
      <c r="C1929" s="34" t="s">
        <v>77</v>
      </c>
      <c r="E1929" s="30"/>
      <c r="F1929" s="34" t="n">
        <f aca="false">IFERROR(VLOOKUP($A1929,'319'!$B:$H,7,0),0)</f>
        <v>0</v>
      </c>
      <c r="G1929" s="34" t="n">
        <f aca="false">SUMIFS('12.326ana'!$C:$C,'12.326ana'!$M:$M,redes!A1929)</f>
        <v>0</v>
      </c>
    </row>
    <row r="1930" customFormat="false" ht="14.4" hidden="true" customHeight="false" outlineLevel="0" collapsed="false">
      <c r="A1930" s="34" t="n">
        <v>29452880104</v>
      </c>
      <c r="B1930" s="34" t="s">
        <v>6445</v>
      </c>
      <c r="C1930" s="34" t="s">
        <v>107</v>
      </c>
      <c r="E1930" s="30" t="s">
        <v>6446</v>
      </c>
      <c r="F1930" s="34" t="n">
        <f aca="false">IFERROR(VLOOKUP($A1930,'319'!$B:$H,7,0),0)</f>
        <v>0</v>
      </c>
      <c r="G1930" s="34" t="n">
        <f aca="false">SUMIFS('12.326ana'!$C:$C,'12.326ana'!$M:$M,redes!A1930)</f>
        <v>0</v>
      </c>
    </row>
    <row r="1931" customFormat="false" ht="14.4" hidden="true" customHeight="false" outlineLevel="0" collapsed="false">
      <c r="A1931" s="34" t="n">
        <v>29453429104</v>
      </c>
      <c r="B1931" s="34" t="s">
        <v>6447</v>
      </c>
      <c r="C1931" s="34" t="s">
        <v>77</v>
      </c>
      <c r="E1931" s="30" t="s">
        <v>6448</v>
      </c>
      <c r="F1931" s="34" t="n">
        <f aca="false">IFERROR(VLOOKUP($A1931,'319'!$B:$H,7,0),0)</f>
        <v>0</v>
      </c>
      <c r="G1931" s="34" t="n">
        <f aca="false">SUMIFS('12.326ana'!$C:$C,'12.326ana'!$M:$M,redes!A1931)</f>
        <v>0</v>
      </c>
    </row>
    <row r="1932" customFormat="false" ht="14.4" hidden="true" customHeight="false" outlineLevel="0" collapsed="false">
      <c r="A1932" s="34" t="n">
        <v>29454158104</v>
      </c>
      <c r="B1932" s="34" t="s">
        <v>6449</v>
      </c>
      <c r="C1932" s="34" t="s">
        <v>107</v>
      </c>
      <c r="E1932" s="30" t="s">
        <v>6450</v>
      </c>
      <c r="F1932" s="34" t="n">
        <f aca="false">IFERROR(VLOOKUP($A1932,'319'!$B:$H,7,0),0)</f>
        <v>0</v>
      </c>
      <c r="G1932" s="34" t="n">
        <f aca="false">SUMIFS('12.326ana'!$C:$C,'12.326ana'!$M:$M,redes!A1932)</f>
        <v>0</v>
      </c>
    </row>
    <row r="1933" customFormat="false" ht="14.4" hidden="true" customHeight="false" outlineLevel="0" collapsed="false">
      <c r="A1933" s="34" t="n">
        <v>29455197120</v>
      </c>
      <c r="B1933" s="34" t="s">
        <v>6451</v>
      </c>
      <c r="C1933" s="34" t="s">
        <v>299</v>
      </c>
      <c r="E1933" s="30" t="s">
        <v>6452</v>
      </c>
      <c r="F1933" s="34" t="n">
        <f aca="false">IFERROR(VLOOKUP($A1933,'319'!$B:$H,7,0),0)</f>
        <v>0</v>
      </c>
      <c r="G1933" s="34" t="n">
        <f aca="false">SUMIFS('12.326ana'!$C:$C,'12.326ana'!$M:$M,redes!A1933)</f>
        <v>0</v>
      </c>
    </row>
    <row r="1934" customFormat="false" ht="14.4" hidden="true" customHeight="false" outlineLevel="0" collapsed="false">
      <c r="A1934" s="34" t="n">
        <v>29456428168</v>
      </c>
      <c r="B1934" s="34" t="s">
        <v>6453</v>
      </c>
      <c r="C1934" s="34" t="s">
        <v>107</v>
      </c>
      <c r="E1934" s="30" t="s">
        <v>6454</v>
      </c>
      <c r="F1934" s="34" t="n">
        <f aca="false">IFERROR(VLOOKUP($A1934,'319'!$B:$H,7,0),0)</f>
        <v>0</v>
      </c>
      <c r="G1934" s="34" t="n">
        <f aca="false">SUMIFS('12.326ana'!$C:$C,'12.326ana'!$M:$M,redes!A1934)</f>
        <v>0</v>
      </c>
    </row>
    <row r="1935" customFormat="false" ht="14.4" hidden="true" customHeight="false" outlineLevel="0" collapsed="false">
      <c r="A1935" s="34" t="n">
        <v>29459141153</v>
      </c>
      <c r="B1935" s="34" t="s">
        <v>6455</v>
      </c>
      <c r="C1935" s="34" t="s">
        <v>107</v>
      </c>
      <c r="E1935" s="30" t="s">
        <v>6456</v>
      </c>
      <c r="F1935" s="34" t="n">
        <f aca="false">IFERROR(VLOOKUP($A1935,'319'!$B:$H,7,0),0)</f>
        <v>0</v>
      </c>
      <c r="G1935" s="34" t="n">
        <f aca="false">SUMIFS('12.326ana'!$C:$C,'12.326ana'!$M:$M,redes!A1935)</f>
        <v>0</v>
      </c>
    </row>
    <row r="1936" customFormat="false" ht="14.4" hidden="true" customHeight="false" outlineLevel="0" collapsed="false">
      <c r="A1936" s="34" t="n">
        <v>29460115187</v>
      </c>
      <c r="B1936" s="34" t="s">
        <v>6457</v>
      </c>
      <c r="C1936" s="34" t="s">
        <v>107</v>
      </c>
      <c r="E1936" s="30" t="s">
        <v>6283</v>
      </c>
      <c r="F1936" s="34" t="n">
        <f aca="false">IFERROR(VLOOKUP($A1936,'319'!$B:$H,7,0),0)</f>
        <v>0</v>
      </c>
      <c r="G1936" s="34" t="n">
        <f aca="false">SUMIFS('12.326ana'!$C:$C,'12.326ana'!$M:$M,redes!A1936)</f>
        <v>0</v>
      </c>
    </row>
    <row r="1937" customFormat="false" ht="14.4" hidden="true" customHeight="false" outlineLevel="0" collapsed="false">
      <c r="A1937" s="34" t="n">
        <v>29462134120</v>
      </c>
      <c r="B1937" s="34" t="s">
        <v>6458</v>
      </c>
      <c r="C1937" s="34" t="s">
        <v>107</v>
      </c>
      <c r="E1937" s="30" t="s">
        <v>6459</v>
      </c>
      <c r="F1937" s="34" t="n">
        <f aca="false">IFERROR(VLOOKUP($A1937,'319'!$B:$H,7,0),0)</f>
        <v>0</v>
      </c>
      <c r="G1937" s="34" t="n">
        <f aca="false">SUMIFS('12.326ana'!$C:$C,'12.326ana'!$M:$M,redes!A1937)</f>
        <v>0</v>
      </c>
    </row>
    <row r="1938" customFormat="false" ht="14.4" hidden="true" customHeight="false" outlineLevel="0" collapsed="false">
      <c r="A1938" s="34" t="n">
        <v>29467268191</v>
      </c>
      <c r="B1938" s="34" t="s">
        <v>6460</v>
      </c>
      <c r="C1938" s="34" t="s">
        <v>1680</v>
      </c>
      <c r="E1938" s="30" t="s">
        <v>6461</v>
      </c>
      <c r="F1938" s="34" t="n">
        <f aca="false">IFERROR(VLOOKUP($A1938,'319'!$B:$H,7,0),0)</f>
        <v>0</v>
      </c>
      <c r="G1938" s="34" t="n">
        <f aca="false">SUMIFS('12.326ana'!$C:$C,'12.326ana'!$M:$M,redes!A1938)</f>
        <v>0</v>
      </c>
    </row>
    <row r="1939" customFormat="false" ht="14.4" hidden="true" customHeight="false" outlineLevel="0" collapsed="false">
      <c r="A1939" s="34" t="n">
        <v>29468744191</v>
      </c>
      <c r="B1939" s="34" t="s">
        <v>6462</v>
      </c>
      <c r="C1939" s="34" t="s">
        <v>357</v>
      </c>
      <c r="E1939" s="30" t="s">
        <v>6463</v>
      </c>
      <c r="F1939" s="34" t="n">
        <f aca="false">IFERROR(VLOOKUP($A1939,'319'!$B:$H,7,0),0)</f>
        <v>0</v>
      </c>
      <c r="G1939" s="34" t="n">
        <f aca="false">SUMIFS('12.326ana'!$C:$C,'12.326ana'!$M:$M,redes!A1939)</f>
        <v>0</v>
      </c>
    </row>
    <row r="1940" customFormat="false" ht="14.4" hidden="true" customHeight="false" outlineLevel="0" collapsed="false">
      <c r="A1940" s="34" t="n">
        <v>29470501187</v>
      </c>
      <c r="B1940" s="34" t="s">
        <v>6464</v>
      </c>
      <c r="C1940" s="34" t="s">
        <v>107</v>
      </c>
      <c r="E1940" s="30" t="s">
        <v>6465</v>
      </c>
      <c r="F1940" s="34" t="n">
        <f aca="false">IFERROR(VLOOKUP($A1940,'319'!$B:$H,7,0),0)</f>
        <v>0</v>
      </c>
      <c r="G1940" s="34" t="n">
        <f aca="false">SUMIFS('12.326ana'!$C:$C,'12.326ana'!$M:$M,redes!A1940)</f>
        <v>0</v>
      </c>
    </row>
    <row r="1941" customFormat="false" ht="14.4" hidden="true" customHeight="false" outlineLevel="0" collapsed="false">
      <c r="A1941" s="34" t="n">
        <v>29471265134</v>
      </c>
      <c r="B1941" s="34" t="s">
        <v>6466</v>
      </c>
      <c r="C1941" s="34" t="s">
        <v>107</v>
      </c>
      <c r="E1941" s="30" t="s">
        <v>6467</v>
      </c>
      <c r="F1941" s="34" t="n">
        <f aca="false">IFERROR(VLOOKUP($A1941,'319'!$B:$H,7,0),0)</f>
        <v>0</v>
      </c>
      <c r="G1941" s="34" t="n">
        <f aca="false">SUMIFS('12.326ana'!$C:$C,'12.326ana'!$M:$M,redes!A1941)</f>
        <v>0</v>
      </c>
    </row>
    <row r="1942" customFormat="false" ht="14.4" hidden="true" customHeight="false" outlineLevel="0" collapsed="false">
      <c r="A1942" s="34" t="n">
        <v>29476852100</v>
      </c>
      <c r="B1942" s="34" t="s">
        <v>6468</v>
      </c>
      <c r="C1942" s="34" t="s">
        <v>342</v>
      </c>
      <c r="E1942" s="30" t="s">
        <v>6469</v>
      </c>
      <c r="F1942" s="34" t="n">
        <f aca="false">IFERROR(VLOOKUP($A1942,'319'!$B:$H,7,0),0)</f>
        <v>0</v>
      </c>
      <c r="G1942" s="34" t="n">
        <f aca="false">SUMIFS('12.326ana'!$C:$C,'12.326ana'!$M:$M,redes!A1942)</f>
        <v>0</v>
      </c>
    </row>
    <row r="1943" customFormat="false" ht="14.4" hidden="true" customHeight="false" outlineLevel="0" collapsed="false">
      <c r="A1943" s="34" t="n">
        <v>29480280191</v>
      </c>
      <c r="B1943" s="34" t="s">
        <v>6470</v>
      </c>
      <c r="C1943" s="34" t="s">
        <v>77</v>
      </c>
      <c r="E1943" s="30" t="s">
        <v>6471</v>
      </c>
      <c r="F1943" s="34" t="n">
        <f aca="false">IFERROR(VLOOKUP($A1943,'319'!$B:$H,7,0),0)</f>
        <v>0</v>
      </c>
      <c r="G1943" s="34" t="n">
        <f aca="false">SUMIFS('12.326ana'!$C:$C,'12.326ana'!$M:$M,redes!A1943)</f>
        <v>0</v>
      </c>
    </row>
    <row r="1944" customFormat="false" ht="14.4" hidden="true" customHeight="false" outlineLevel="0" collapsed="false">
      <c r="A1944" s="34" t="n">
        <v>29485819153</v>
      </c>
      <c r="B1944" s="34" t="s">
        <v>6472</v>
      </c>
      <c r="C1944" s="34" t="s">
        <v>77</v>
      </c>
      <c r="E1944" s="30" t="s">
        <v>6473</v>
      </c>
      <c r="F1944" s="34" t="n">
        <f aca="false">IFERROR(VLOOKUP($A1944,'319'!$B:$H,7,0),0)</f>
        <v>0</v>
      </c>
      <c r="G1944" s="34" t="n">
        <f aca="false">SUMIFS('12.326ana'!$C:$C,'12.326ana'!$M:$M,redes!A1944)</f>
        <v>0</v>
      </c>
    </row>
    <row r="1945" customFormat="false" ht="14.4" hidden="true" customHeight="false" outlineLevel="0" collapsed="false">
      <c r="A1945" s="34" t="n">
        <v>29487137149</v>
      </c>
      <c r="B1945" s="34" t="s">
        <v>6474</v>
      </c>
      <c r="C1945" s="34" t="s">
        <v>77</v>
      </c>
      <c r="E1945" s="30" t="s">
        <v>6365</v>
      </c>
      <c r="F1945" s="34" t="n">
        <f aca="false">IFERROR(VLOOKUP($A1945,'319'!$B:$H,7,0),0)</f>
        <v>0</v>
      </c>
      <c r="G1945" s="34" t="n">
        <f aca="false">SUMIFS('12.326ana'!$C:$C,'12.326ana'!$M:$M,redes!A1945)</f>
        <v>0</v>
      </c>
    </row>
    <row r="1946" customFormat="false" ht="14.4" hidden="true" customHeight="false" outlineLevel="0" collapsed="false">
      <c r="A1946" s="34" t="n">
        <v>29489113115</v>
      </c>
      <c r="B1946" s="34" t="s">
        <v>6475</v>
      </c>
      <c r="C1946" s="34" t="s">
        <v>77</v>
      </c>
      <c r="E1946" s="30"/>
      <c r="F1946" s="34" t="n">
        <f aca="false">IFERROR(VLOOKUP($A1946,'319'!$B:$H,7,0),0)</f>
        <v>0</v>
      </c>
      <c r="G1946" s="34" t="n">
        <f aca="false">SUMIFS('12.326ana'!$C:$C,'12.326ana'!$M:$M,redes!A1946)</f>
        <v>0</v>
      </c>
    </row>
    <row r="1947" customFormat="false" ht="14.4" hidden="true" customHeight="false" outlineLevel="0" collapsed="false">
      <c r="A1947" s="34" t="n">
        <v>29489148172</v>
      </c>
      <c r="B1947" s="34" t="s">
        <v>6476</v>
      </c>
      <c r="C1947" s="34" t="s">
        <v>77</v>
      </c>
      <c r="E1947" s="30" t="s">
        <v>6477</v>
      </c>
      <c r="F1947" s="34" t="n">
        <f aca="false">IFERROR(VLOOKUP($A1947,'319'!$B:$H,7,0),0)</f>
        <v>0</v>
      </c>
      <c r="G1947" s="34" t="n">
        <f aca="false">SUMIFS('12.326ana'!$C:$C,'12.326ana'!$M:$M,redes!A1947)</f>
        <v>0</v>
      </c>
    </row>
    <row r="1948" customFormat="false" ht="14.4" hidden="true" customHeight="false" outlineLevel="0" collapsed="false">
      <c r="A1948" s="34" t="n">
        <v>29580754861</v>
      </c>
      <c r="B1948" s="34" t="s">
        <v>6478</v>
      </c>
      <c r="C1948" s="34" t="s">
        <v>77</v>
      </c>
      <c r="E1948" s="30" t="s">
        <v>3001</v>
      </c>
      <c r="F1948" s="34" t="n">
        <f aca="false">IFERROR(VLOOKUP($A1948,'319'!$B:$H,7,0),0)</f>
        <v>0</v>
      </c>
      <c r="G1948" s="34" t="n">
        <f aca="false">SUMIFS('12.326ana'!$C:$C,'12.326ana'!$M:$M,redes!A1948)</f>
        <v>0</v>
      </c>
    </row>
    <row r="1949" customFormat="false" ht="14.4" hidden="true" customHeight="false" outlineLevel="0" collapsed="false">
      <c r="A1949" s="34" t="n">
        <v>29692644987</v>
      </c>
      <c r="B1949" s="34" t="s">
        <v>6479</v>
      </c>
      <c r="C1949" s="34" t="s">
        <v>77</v>
      </c>
      <c r="E1949" s="30" t="s">
        <v>6480</v>
      </c>
      <c r="F1949" s="34" t="n">
        <f aca="false">IFERROR(VLOOKUP($A1949,'319'!$B:$H,7,0),0)</f>
        <v>0</v>
      </c>
      <c r="G1949" s="34" t="n">
        <f aca="false">SUMIFS('12.326ana'!$C:$C,'12.326ana'!$M:$M,redes!A1949)</f>
        <v>0</v>
      </c>
    </row>
    <row r="1950" customFormat="false" ht="14.4" hidden="true" customHeight="false" outlineLevel="0" collapsed="false">
      <c r="A1950" s="34" t="n">
        <v>29724447871</v>
      </c>
      <c r="B1950" s="34" t="s">
        <v>6481</v>
      </c>
      <c r="C1950" s="34" t="s">
        <v>139</v>
      </c>
      <c r="E1950" s="30" t="s">
        <v>6482</v>
      </c>
      <c r="F1950" s="34" t="n">
        <f aca="false">IFERROR(VLOOKUP($A1950,'319'!$B:$H,7,0),0)</f>
        <v>0</v>
      </c>
      <c r="G1950" s="34" t="n">
        <f aca="false">SUMIFS('12.326ana'!$C:$C,'12.326ana'!$M:$M,redes!A1950)</f>
        <v>0</v>
      </c>
    </row>
    <row r="1951" customFormat="false" ht="14.4" hidden="true" customHeight="false" outlineLevel="0" collapsed="false">
      <c r="A1951" s="34" t="n">
        <v>29805368149</v>
      </c>
      <c r="B1951" s="34" t="s">
        <v>6483</v>
      </c>
      <c r="C1951" s="34" t="s">
        <v>103</v>
      </c>
      <c r="E1951" s="30" t="s">
        <v>6484</v>
      </c>
      <c r="F1951" s="34" t="n">
        <f aca="false">IFERROR(VLOOKUP($A1951,'319'!$B:$H,7,0),0)</f>
        <v>0</v>
      </c>
      <c r="G1951" s="34" t="n">
        <f aca="false">SUMIFS('12.326ana'!$C:$C,'12.326ana'!$M:$M,redes!A1951)</f>
        <v>0</v>
      </c>
    </row>
    <row r="1952" customFormat="false" ht="14.4" hidden="true" customHeight="false" outlineLevel="0" collapsed="false">
      <c r="A1952" s="34" t="n">
        <v>29811244120</v>
      </c>
      <c r="B1952" s="34" t="s">
        <v>6485</v>
      </c>
      <c r="C1952" s="34" t="s">
        <v>77</v>
      </c>
      <c r="E1952" s="30" t="s">
        <v>6486</v>
      </c>
      <c r="F1952" s="34" t="n">
        <f aca="false">IFERROR(VLOOKUP($A1952,'319'!$B:$H,7,0),0)</f>
        <v>0</v>
      </c>
      <c r="G1952" s="34" t="n">
        <f aca="false">SUMIFS('12.326ana'!$C:$C,'12.326ana'!$M:$M,redes!A1952)</f>
        <v>0</v>
      </c>
    </row>
    <row r="1953" customFormat="false" ht="14.4" hidden="true" customHeight="false" outlineLevel="0" collapsed="false">
      <c r="A1953" s="34" t="n">
        <v>29812933972</v>
      </c>
      <c r="B1953" s="34" t="s">
        <v>6487</v>
      </c>
      <c r="C1953" s="34" t="s">
        <v>77</v>
      </c>
      <c r="E1953" s="30" t="s">
        <v>6488</v>
      </c>
      <c r="F1953" s="34" t="n">
        <f aca="false">IFERROR(VLOOKUP($A1953,'319'!$B:$H,7,0),0)</f>
        <v>0</v>
      </c>
      <c r="G1953" s="34" t="n">
        <f aca="false">SUMIFS('12.326ana'!$C:$C,'12.326ana'!$M:$M,redes!A1953)</f>
        <v>0</v>
      </c>
    </row>
    <row r="1954" customFormat="false" ht="14.4" hidden="true" customHeight="false" outlineLevel="0" collapsed="false">
      <c r="A1954" s="34" t="n">
        <v>29816009153</v>
      </c>
      <c r="B1954" s="34" t="s">
        <v>6489</v>
      </c>
      <c r="C1954" s="34" t="s">
        <v>77</v>
      </c>
      <c r="E1954" s="30" t="s">
        <v>6490</v>
      </c>
      <c r="F1954" s="34" t="n">
        <f aca="false">IFERROR(VLOOKUP($A1954,'319'!$B:$H,7,0),0)</f>
        <v>0</v>
      </c>
      <c r="G1954" s="34" t="n">
        <f aca="false">SUMIFS('12.326ana'!$C:$C,'12.326ana'!$M:$M,redes!A1954)</f>
        <v>0</v>
      </c>
    </row>
    <row r="1955" customFormat="false" ht="14.4" hidden="true" customHeight="false" outlineLevel="0" collapsed="false">
      <c r="A1955" s="34" t="n">
        <v>29816742187</v>
      </c>
      <c r="B1955" s="34" t="s">
        <v>6491</v>
      </c>
      <c r="C1955" s="34" t="s">
        <v>77</v>
      </c>
      <c r="E1955" s="30"/>
      <c r="F1955" s="34" t="n">
        <f aca="false">IFERROR(VLOOKUP($A1955,'319'!$B:$H,7,0),0)</f>
        <v>0</v>
      </c>
      <c r="G1955" s="34" t="n">
        <f aca="false">SUMIFS('12.326ana'!$C:$C,'12.326ana'!$M:$M,redes!A1955)</f>
        <v>0</v>
      </c>
    </row>
    <row r="1956" customFormat="false" ht="14.4" hidden="true" customHeight="false" outlineLevel="0" collapsed="false">
      <c r="A1956" s="34" t="n">
        <v>29818192915</v>
      </c>
      <c r="B1956" s="34" t="s">
        <v>6492</v>
      </c>
      <c r="C1956" s="34" t="s">
        <v>77</v>
      </c>
      <c r="E1956" s="30" t="s">
        <v>6493</v>
      </c>
      <c r="F1956" s="34" t="n">
        <f aca="false">IFERROR(VLOOKUP($A1956,'319'!$B:$H,7,0),0)</f>
        <v>0</v>
      </c>
      <c r="G1956" s="34" t="n">
        <f aca="false">SUMIFS('12.326ana'!$C:$C,'12.326ana'!$M:$M,redes!A1956)</f>
        <v>0</v>
      </c>
    </row>
    <row r="1957" customFormat="false" ht="14.4" hidden="true" customHeight="false" outlineLevel="0" collapsed="false">
      <c r="A1957" s="34" t="n">
        <v>29820421187</v>
      </c>
      <c r="B1957" s="34" t="s">
        <v>6494</v>
      </c>
      <c r="C1957" s="34" t="s">
        <v>77</v>
      </c>
      <c r="E1957" s="30" t="s">
        <v>3579</v>
      </c>
      <c r="F1957" s="34" t="n">
        <f aca="false">IFERROR(VLOOKUP($A1957,'319'!$B:$H,7,0),0)</f>
        <v>0</v>
      </c>
      <c r="G1957" s="34" t="n">
        <f aca="false">SUMIFS('12.326ana'!$C:$C,'12.326ana'!$M:$M,redes!A1957)</f>
        <v>0</v>
      </c>
    </row>
    <row r="1958" customFormat="false" ht="14.4" hidden="true" customHeight="false" outlineLevel="0" collapsed="false">
      <c r="A1958" s="34" t="n">
        <v>29827914120</v>
      </c>
      <c r="B1958" s="34" t="s">
        <v>6495</v>
      </c>
      <c r="C1958" s="34" t="s">
        <v>77</v>
      </c>
      <c r="E1958" s="30" t="s">
        <v>6496</v>
      </c>
      <c r="F1958" s="34" t="n">
        <f aca="false">IFERROR(VLOOKUP($A1958,'319'!$B:$H,7,0),0)</f>
        <v>0</v>
      </c>
      <c r="G1958" s="34" t="n">
        <f aca="false">SUMIFS('12.326ana'!$C:$C,'12.326ana'!$M:$M,redes!A1958)</f>
        <v>0</v>
      </c>
    </row>
    <row r="1959" customFormat="false" ht="14.4" hidden="true" customHeight="false" outlineLevel="0" collapsed="false">
      <c r="A1959" s="34" t="n">
        <v>29835135134</v>
      </c>
      <c r="B1959" s="34" t="s">
        <v>6497</v>
      </c>
      <c r="C1959" s="34" t="s">
        <v>77</v>
      </c>
      <c r="E1959" s="30" t="s">
        <v>6498</v>
      </c>
      <c r="F1959" s="34" t="n">
        <f aca="false">IFERROR(VLOOKUP($A1959,'319'!$B:$H,7,0),0)</f>
        <v>0</v>
      </c>
      <c r="G1959" s="34" t="n">
        <f aca="false">SUMIFS('12.326ana'!$C:$C,'12.326ana'!$M:$M,redes!A1959)</f>
        <v>0</v>
      </c>
    </row>
    <row r="1960" customFormat="false" ht="14.4" hidden="true" customHeight="false" outlineLevel="0" collapsed="false">
      <c r="A1960" s="34" t="n">
        <v>29850100125</v>
      </c>
      <c r="B1960" s="34" t="s">
        <v>6499</v>
      </c>
      <c r="C1960" s="34" t="s">
        <v>77</v>
      </c>
      <c r="E1960" s="30" t="s">
        <v>6500</v>
      </c>
      <c r="F1960" s="34" t="n">
        <f aca="false">IFERROR(VLOOKUP($A1960,'319'!$B:$H,7,0),0)</f>
        <v>0</v>
      </c>
      <c r="G1960" s="34" t="n">
        <f aca="false">SUMIFS('12.326ana'!$C:$C,'12.326ana'!$M:$M,redes!A1960)</f>
        <v>0</v>
      </c>
    </row>
    <row r="1961" customFormat="false" ht="14.4" hidden="true" customHeight="false" outlineLevel="0" collapsed="false">
      <c r="A1961" s="34" t="n">
        <v>29983320720</v>
      </c>
      <c r="B1961" s="34" t="s">
        <v>6501</v>
      </c>
      <c r="C1961" s="34" t="s">
        <v>77</v>
      </c>
      <c r="E1961" s="30" t="s">
        <v>6502</v>
      </c>
      <c r="F1961" s="34" t="n">
        <f aca="false">IFERROR(VLOOKUP($A1961,'319'!$B:$H,7,0),0)</f>
        <v>0</v>
      </c>
      <c r="G1961" s="34" t="n">
        <f aca="false">SUMIFS('12.326ana'!$C:$C,'12.326ana'!$M:$M,redes!A1961)</f>
        <v>0</v>
      </c>
    </row>
    <row r="1962" customFormat="false" ht="14.4" hidden="true" customHeight="false" outlineLevel="0" collapsed="false">
      <c r="A1962" s="34" t="n">
        <v>29994780115</v>
      </c>
      <c r="B1962" s="34" t="s">
        <v>6503</v>
      </c>
      <c r="C1962" s="34" t="s">
        <v>463</v>
      </c>
      <c r="E1962" s="30" t="s">
        <v>6504</v>
      </c>
      <c r="F1962" s="34" t="n">
        <f aca="false">IFERROR(VLOOKUP($A1962,'319'!$B:$H,7,0),0)</f>
        <v>0</v>
      </c>
      <c r="G1962" s="34" t="n">
        <f aca="false">SUMIFS('12.326ana'!$C:$C,'12.326ana'!$M:$M,redes!A1962)</f>
        <v>0</v>
      </c>
    </row>
    <row r="1963" customFormat="false" ht="14.4" hidden="true" customHeight="false" outlineLevel="0" collapsed="false">
      <c r="A1963" s="34" t="n">
        <v>30121116387</v>
      </c>
      <c r="B1963" s="34" t="s">
        <v>6505</v>
      </c>
      <c r="C1963" s="34" t="s">
        <v>77</v>
      </c>
      <c r="E1963" s="30" t="s">
        <v>6506</v>
      </c>
      <c r="F1963" s="34" t="n">
        <f aca="false">IFERROR(VLOOKUP($A1963,'319'!$B:$H,7,0),0)</f>
        <v>0</v>
      </c>
      <c r="G1963" s="34" t="n">
        <f aca="false">SUMIFS('12.326ana'!$C:$C,'12.326ana'!$M:$M,redes!A1963)</f>
        <v>0</v>
      </c>
    </row>
    <row r="1964" customFormat="false" ht="14.4" hidden="true" customHeight="false" outlineLevel="0" collapsed="false">
      <c r="A1964" s="34" t="n">
        <v>30162491204</v>
      </c>
      <c r="B1964" s="34" t="s">
        <v>6507</v>
      </c>
      <c r="C1964" s="34" t="s">
        <v>77</v>
      </c>
      <c r="E1964" s="30"/>
      <c r="F1964" s="34" t="n">
        <f aca="false">IFERROR(VLOOKUP($A1964,'319'!$B:$H,7,0),0)</f>
        <v>0</v>
      </c>
      <c r="G1964" s="34" t="n">
        <f aca="false">SUMIFS('12.326ana'!$C:$C,'12.326ana'!$M:$M,redes!A1964)</f>
        <v>0</v>
      </c>
    </row>
    <row r="1965" customFormat="false" ht="14.4" hidden="true" customHeight="false" outlineLevel="0" collapsed="false">
      <c r="A1965" s="34" t="n">
        <v>30391989987</v>
      </c>
      <c r="B1965" s="34" t="s">
        <v>6508</v>
      </c>
      <c r="C1965" s="34" t="s">
        <v>77</v>
      </c>
      <c r="E1965" s="30" t="s">
        <v>6509</v>
      </c>
      <c r="F1965" s="34" t="n">
        <f aca="false">IFERROR(VLOOKUP($A1965,'319'!$B:$H,7,0),0)</f>
        <v>0</v>
      </c>
      <c r="G1965" s="34" t="n">
        <f aca="false">SUMIFS('12.326ana'!$C:$C,'12.326ana'!$M:$M,redes!A1965)</f>
        <v>0</v>
      </c>
    </row>
    <row r="1966" customFormat="false" ht="14.4" hidden="true" customHeight="false" outlineLevel="0" collapsed="false">
      <c r="A1966" s="34" t="n">
        <v>30395337895</v>
      </c>
      <c r="B1966" s="34" t="s">
        <v>6510</v>
      </c>
      <c r="C1966" s="34" t="s">
        <v>377</v>
      </c>
      <c r="E1966" s="30" t="s">
        <v>6511</v>
      </c>
      <c r="F1966" s="34" t="n">
        <f aca="false">IFERROR(VLOOKUP($A1966,'319'!$B:$H,7,0),0)</f>
        <v>0</v>
      </c>
      <c r="G1966" s="34" t="n">
        <f aca="false">SUMIFS('12.326ana'!$C:$C,'12.326ana'!$M:$M,redes!A1966)</f>
        <v>0</v>
      </c>
    </row>
    <row r="1967" customFormat="false" ht="14.4" hidden="true" customHeight="false" outlineLevel="0" collapsed="false">
      <c r="A1967" s="34" t="n">
        <v>30401185920</v>
      </c>
      <c r="B1967" s="34" t="s">
        <v>6512</v>
      </c>
      <c r="C1967" s="34" t="s">
        <v>107</v>
      </c>
      <c r="E1967" s="30" t="s">
        <v>6513</v>
      </c>
      <c r="F1967" s="34" t="n">
        <f aca="false">IFERROR(VLOOKUP($A1967,'319'!$B:$H,7,0),0)</f>
        <v>0</v>
      </c>
      <c r="G1967" s="34" t="n">
        <f aca="false">SUMIFS('12.326ana'!$C:$C,'12.326ana'!$M:$M,redes!A1967)</f>
        <v>0</v>
      </c>
    </row>
    <row r="1968" customFormat="false" ht="14.4" hidden="true" customHeight="false" outlineLevel="0" collapsed="false">
      <c r="A1968" s="34" t="n">
        <v>30432715134</v>
      </c>
      <c r="B1968" s="34" t="s">
        <v>6514</v>
      </c>
      <c r="C1968" s="34" t="s">
        <v>103</v>
      </c>
      <c r="E1968" s="30" t="s">
        <v>6515</v>
      </c>
      <c r="F1968" s="34" t="n">
        <f aca="false">IFERROR(VLOOKUP($A1968,'319'!$B:$H,7,0),0)</f>
        <v>0</v>
      </c>
      <c r="G1968" s="34" t="n">
        <f aca="false">SUMIFS('12.326ana'!$C:$C,'12.326ana'!$M:$M,redes!A1968)</f>
        <v>0</v>
      </c>
    </row>
    <row r="1969" customFormat="false" ht="14.4" hidden="true" customHeight="false" outlineLevel="0" collapsed="false">
      <c r="A1969" s="34" t="n">
        <v>30554179172</v>
      </c>
      <c r="B1969" s="34" t="s">
        <v>6516</v>
      </c>
      <c r="C1969" s="34" t="s">
        <v>89</v>
      </c>
      <c r="E1969" s="30" t="s">
        <v>6517</v>
      </c>
      <c r="F1969" s="34" t="n">
        <f aca="false">IFERROR(VLOOKUP($A1969,'319'!$B:$H,7,0),0)</f>
        <v>0</v>
      </c>
      <c r="G1969" s="34" t="n">
        <f aca="false">SUMIFS('12.326ana'!$C:$C,'12.326ana'!$M:$M,redes!A1969)</f>
        <v>0</v>
      </c>
    </row>
    <row r="1970" customFormat="false" ht="14.4" hidden="true" customHeight="false" outlineLevel="0" collapsed="false">
      <c r="A1970" s="34" t="n">
        <v>30555329100</v>
      </c>
      <c r="B1970" s="34" t="s">
        <v>6518</v>
      </c>
      <c r="C1970" s="34" t="s">
        <v>598</v>
      </c>
      <c r="E1970" s="30" t="s">
        <v>6519</v>
      </c>
      <c r="F1970" s="34" t="n">
        <f aca="false">IFERROR(VLOOKUP($A1970,'319'!$B:$H,7,0),0)</f>
        <v>0</v>
      </c>
      <c r="G1970" s="34" t="n">
        <f aca="false">SUMIFS('12.326ana'!$C:$C,'12.326ana'!$M:$M,redes!A1970)</f>
        <v>0</v>
      </c>
    </row>
    <row r="1971" customFormat="false" ht="14.4" hidden="true" customHeight="false" outlineLevel="0" collapsed="false">
      <c r="A1971" s="34" t="n">
        <v>30555590100</v>
      </c>
      <c r="B1971" s="34" t="s">
        <v>6520</v>
      </c>
      <c r="C1971" s="34" t="s">
        <v>89</v>
      </c>
      <c r="E1971" s="30" t="s">
        <v>6521</v>
      </c>
      <c r="F1971" s="34" t="n">
        <f aca="false">IFERROR(VLOOKUP($A1971,'319'!$B:$H,7,0),0)</f>
        <v>0</v>
      </c>
      <c r="G1971" s="34" t="n">
        <f aca="false">SUMIFS('12.326ana'!$C:$C,'12.326ana'!$M:$M,redes!A1971)</f>
        <v>0</v>
      </c>
    </row>
    <row r="1972" customFormat="false" ht="14.4" hidden="true" customHeight="false" outlineLevel="0" collapsed="false">
      <c r="A1972" s="34" t="n">
        <v>30558123104</v>
      </c>
      <c r="B1972" s="34" t="s">
        <v>6522</v>
      </c>
      <c r="C1972" s="34" t="s">
        <v>77</v>
      </c>
      <c r="E1972" s="30" t="s">
        <v>4169</v>
      </c>
      <c r="F1972" s="34" t="n">
        <f aca="false">IFERROR(VLOOKUP($A1972,'319'!$B:$H,7,0),0)</f>
        <v>0</v>
      </c>
      <c r="G1972" s="34" t="n">
        <f aca="false">SUMIFS('12.326ana'!$C:$C,'12.326ana'!$M:$M,redes!A1972)</f>
        <v>0</v>
      </c>
    </row>
    <row r="1973" customFormat="false" ht="14.4" hidden="true" customHeight="false" outlineLevel="0" collapsed="false">
      <c r="A1973" s="34" t="n">
        <v>30558255191</v>
      </c>
      <c r="B1973" s="34" t="s">
        <v>6523</v>
      </c>
      <c r="C1973" s="34" t="s">
        <v>77</v>
      </c>
      <c r="E1973" s="30" t="s">
        <v>6524</v>
      </c>
      <c r="F1973" s="34" t="n">
        <f aca="false">IFERROR(VLOOKUP($A1973,'319'!$B:$H,7,0),0)</f>
        <v>0</v>
      </c>
      <c r="G1973" s="34" t="n">
        <f aca="false">SUMIFS('12.326ana'!$C:$C,'12.326ana'!$M:$M,redes!A1973)</f>
        <v>0</v>
      </c>
    </row>
    <row r="1974" customFormat="false" ht="14.4" hidden="true" customHeight="false" outlineLevel="0" collapsed="false">
      <c r="A1974" s="34" t="n">
        <v>30562856153</v>
      </c>
      <c r="B1974" s="34" t="s">
        <v>6525</v>
      </c>
      <c r="C1974" s="34" t="s">
        <v>107</v>
      </c>
      <c r="E1974" s="30" t="s">
        <v>6526</v>
      </c>
      <c r="F1974" s="34" t="n">
        <f aca="false">IFERROR(VLOOKUP($A1974,'319'!$B:$H,7,0),0)</f>
        <v>0</v>
      </c>
      <c r="G1974" s="34" t="n">
        <f aca="false">SUMIFS('12.326ana'!$C:$C,'12.326ana'!$M:$M,redes!A1974)</f>
        <v>0</v>
      </c>
    </row>
    <row r="1975" customFormat="false" ht="14.4" hidden="true" customHeight="false" outlineLevel="0" collapsed="false">
      <c r="A1975" s="34" t="n">
        <v>30578116120</v>
      </c>
      <c r="B1975" s="34" t="s">
        <v>6527</v>
      </c>
      <c r="C1975" s="34" t="s">
        <v>342</v>
      </c>
      <c r="E1975" s="30" t="s">
        <v>6528</v>
      </c>
      <c r="F1975" s="34" t="n">
        <f aca="false">IFERROR(VLOOKUP($A1975,'319'!$B:$H,7,0),0)</f>
        <v>0</v>
      </c>
      <c r="G1975" s="34" t="n">
        <f aca="false">SUMIFS('12.326ana'!$C:$C,'12.326ana'!$M:$M,redes!A1975)</f>
        <v>0</v>
      </c>
    </row>
    <row r="1976" customFormat="false" ht="14.4" hidden="true" customHeight="false" outlineLevel="0" collapsed="false">
      <c r="A1976" s="34" t="n">
        <v>30590922149</v>
      </c>
      <c r="B1976" s="34" t="s">
        <v>6529</v>
      </c>
      <c r="C1976" s="34" t="s">
        <v>475</v>
      </c>
      <c r="E1976" s="30" t="s">
        <v>6530</v>
      </c>
      <c r="F1976" s="34" t="n">
        <f aca="false">IFERROR(VLOOKUP($A1976,'319'!$B:$H,7,0),0)</f>
        <v>0</v>
      </c>
      <c r="G1976" s="34" t="n">
        <f aca="false">SUMIFS('12.326ana'!$C:$C,'12.326ana'!$M:$M,redes!A1976)</f>
        <v>0</v>
      </c>
    </row>
    <row r="1977" customFormat="false" ht="14.4" hidden="true" customHeight="false" outlineLevel="0" collapsed="false">
      <c r="A1977" s="34" t="n">
        <v>30595525172</v>
      </c>
      <c r="B1977" s="34" t="s">
        <v>6531</v>
      </c>
      <c r="C1977" s="34" t="s">
        <v>77</v>
      </c>
      <c r="E1977" s="30" t="s">
        <v>6448</v>
      </c>
      <c r="F1977" s="34" t="n">
        <f aca="false">IFERROR(VLOOKUP($A1977,'319'!$B:$H,7,0),0)</f>
        <v>0</v>
      </c>
      <c r="G1977" s="34" t="n">
        <f aca="false">SUMIFS('12.326ana'!$C:$C,'12.326ana'!$M:$M,redes!A1977)</f>
        <v>0</v>
      </c>
    </row>
    <row r="1978" customFormat="false" ht="14.4" hidden="true" customHeight="false" outlineLevel="0" collapsed="false">
      <c r="A1978" s="34" t="n">
        <v>30596149115</v>
      </c>
      <c r="B1978" s="34" t="s">
        <v>6532</v>
      </c>
      <c r="C1978" s="34" t="s">
        <v>77</v>
      </c>
      <c r="E1978" s="30" t="s">
        <v>6533</v>
      </c>
      <c r="F1978" s="34" t="n">
        <f aca="false">IFERROR(VLOOKUP($A1978,'319'!$B:$H,7,0),0)</f>
        <v>0</v>
      </c>
      <c r="G1978" s="34" t="n">
        <f aca="false">SUMIFS('12.326ana'!$C:$C,'12.326ana'!$M:$M,redes!A1978)</f>
        <v>0</v>
      </c>
    </row>
    <row r="1979" customFormat="false" ht="14.4" hidden="true" customHeight="false" outlineLevel="0" collapsed="false">
      <c r="A1979" s="34" t="n">
        <v>30675982880</v>
      </c>
      <c r="B1979" s="34" t="s">
        <v>6534</v>
      </c>
      <c r="C1979" s="34" t="s">
        <v>107</v>
      </c>
      <c r="E1979" s="30" t="s">
        <v>6535</v>
      </c>
      <c r="F1979" s="34" t="n">
        <f aca="false">IFERROR(VLOOKUP($A1979,'319'!$B:$H,7,0),0)</f>
        <v>0</v>
      </c>
      <c r="G1979" s="34" t="n">
        <f aca="false">SUMIFS('12.326ana'!$C:$C,'12.326ana'!$M:$M,redes!A1979)</f>
        <v>0</v>
      </c>
    </row>
    <row r="1980" customFormat="false" ht="14.4" hidden="true" customHeight="false" outlineLevel="0" collapsed="false">
      <c r="A1980" s="34" t="n">
        <v>30684605813</v>
      </c>
      <c r="B1980" s="34" t="s">
        <v>6536</v>
      </c>
      <c r="C1980" s="34" t="s">
        <v>107</v>
      </c>
      <c r="E1980" s="30" t="s">
        <v>6537</v>
      </c>
      <c r="F1980" s="34" t="n">
        <f aca="false">IFERROR(VLOOKUP($A1980,'319'!$B:$H,7,0),0)</f>
        <v>0</v>
      </c>
      <c r="G1980" s="34" t="n">
        <f aca="false">SUMIFS('12.326ana'!$C:$C,'12.326ana'!$M:$M,redes!A1980)</f>
        <v>0</v>
      </c>
    </row>
    <row r="1981" customFormat="false" ht="14.4" hidden="true" customHeight="false" outlineLevel="0" collapsed="false">
      <c r="A1981" s="34" t="n">
        <v>30804418349</v>
      </c>
      <c r="B1981" s="34" t="s">
        <v>6538</v>
      </c>
      <c r="C1981" s="34" t="s">
        <v>77</v>
      </c>
      <c r="E1981" s="30" t="s">
        <v>6539</v>
      </c>
      <c r="F1981" s="34" t="n">
        <f aca="false">IFERROR(VLOOKUP($A1981,'319'!$B:$H,7,0),0)</f>
        <v>0</v>
      </c>
      <c r="G1981" s="34" t="n">
        <f aca="false">SUMIFS('12.326ana'!$C:$C,'12.326ana'!$M:$M,redes!A1981)</f>
        <v>0</v>
      </c>
    </row>
    <row r="1982" customFormat="false" ht="14.4" hidden="true" customHeight="false" outlineLevel="0" collapsed="false">
      <c r="A1982" s="34" t="n">
        <v>30810507153</v>
      </c>
      <c r="B1982" s="34" t="s">
        <v>6540</v>
      </c>
      <c r="C1982" s="34" t="s">
        <v>77</v>
      </c>
      <c r="E1982" s="30" t="s">
        <v>6450</v>
      </c>
      <c r="F1982" s="34" t="n">
        <f aca="false">IFERROR(VLOOKUP($A1982,'319'!$B:$H,7,0),0)</f>
        <v>0</v>
      </c>
      <c r="G1982" s="34" t="n">
        <f aca="false">SUMIFS('12.326ana'!$C:$C,'12.326ana'!$M:$M,redes!A1982)</f>
        <v>0</v>
      </c>
    </row>
    <row r="1983" customFormat="false" ht="14.4" hidden="true" customHeight="false" outlineLevel="0" collapsed="false">
      <c r="A1983" s="34" t="n">
        <v>30830451072</v>
      </c>
      <c r="B1983" s="34" t="s">
        <v>6541</v>
      </c>
      <c r="C1983" s="34" t="s">
        <v>117</v>
      </c>
      <c r="E1983" s="30" t="s">
        <v>6542</v>
      </c>
      <c r="F1983" s="34" t="n">
        <f aca="false">IFERROR(VLOOKUP($A1983,'319'!$B:$H,7,0),0)</f>
        <v>0</v>
      </c>
      <c r="G1983" s="34" t="n">
        <f aca="false">SUMIFS('12.326ana'!$C:$C,'12.326ana'!$M:$M,redes!A1983)</f>
        <v>0</v>
      </c>
    </row>
    <row r="1984" customFormat="false" ht="14.4" hidden="true" customHeight="false" outlineLevel="0" collapsed="false">
      <c r="A1984" s="34" t="n">
        <v>30872472191</v>
      </c>
      <c r="B1984" s="34" t="s">
        <v>6543</v>
      </c>
      <c r="C1984" s="34" t="s">
        <v>377</v>
      </c>
      <c r="E1984" s="30" t="s">
        <v>6544</v>
      </c>
      <c r="F1984" s="34" t="n">
        <f aca="false">IFERROR(VLOOKUP($A1984,'319'!$B:$H,7,0),0)</f>
        <v>0</v>
      </c>
      <c r="G1984" s="34" t="n">
        <f aca="false">SUMIFS('12.326ana'!$C:$C,'12.326ana'!$M:$M,redes!A1984)</f>
        <v>0</v>
      </c>
    </row>
    <row r="1985" customFormat="false" ht="14.4" hidden="true" customHeight="false" outlineLevel="0" collapsed="false">
      <c r="A1985" s="34" t="n">
        <v>30874440149</v>
      </c>
      <c r="B1985" s="34" t="s">
        <v>6545</v>
      </c>
      <c r="C1985" s="34" t="s">
        <v>77</v>
      </c>
      <c r="E1985" s="30" t="s">
        <v>6546</v>
      </c>
      <c r="F1985" s="34" t="n">
        <f aca="false">IFERROR(VLOOKUP($A1985,'319'!$B:$H,7,0),0)</f>
        <v>0</v>
      </c>
      <c r="G1985" s="34" t="n">
        <f aca="false">SUMIFS('12.326ana'!$C:$C,'12.326ana'!$M:$M,redes!A1985)</f>
        <v>0</v>
      </c>
    </row>
    <row r="1986" customFormat="false" ht="14.4" hidden="true" customHeight="false" outlineLevel="0" collapsed="false">
      <c r="A1986" s="34" t="n">
        <v>30878667172</v>
      </c>
      <c r="B1986" s="34" t="s">
        <v>6547</v>
      </c>
      <c r="C1986" s="34" t="s">
        <v>107</v>
      </c>
      <c r="E1986" s="30" t="s">
        <v>6548</v>
      </c>
      <c r="F1986" s="34" t="n">
        <f aca="false">IFERROR(VLOOKUP($A1986,'319'!$B:$H,7,0),0)</f>
        <v>0</v>
      </c>
      <c r="G1986" s="34" t="n">
        <f aca="false">SUMIFS('12.326ana'!$C:$C,'12.326ana'!$M:$M,redes!A1986)</f>
        <v>0</v>
      </c>
    </row>
    <row r="1987" customFormat="false" ht="14.4" hidden="true" customHeight="false" outlineLevel="0" collapsed="false">
      <c r="A1987" s="34" t="n">
        <v>30879060182</v>
      </c>
      <c r="B1987" s="34" t="s">
        <v>6549</v>
      </c>
      <c r="C1987" s="34" t="s">
        <v>77</v>
      </c>
      <c r="E1987" s="30" t="s">
        <v>6550</v>
      </c>
      <c r="F1987" s="34" t="n">
        <f aca="false">IFERROR(VLOOKUP($A1987,'319'!$B:$H,7,0),0)</f>
        <v>0</v>
      </c>
      <c r="G1987" s="34" t="n">
        <f aca="false">SUMIFS('12.326ana'!$C:$C,'12.326ana'!$M:$M,redes!A1987)</f>
        <v>0</v>
      </c>
    </row>
    <row r="1988" customFormat="false" ht="14.4" hidden="true" customHeight="false" outlineLevel="0" collapsed="false">
      <c r="A1988" s="34" t="n">
        <v>30891922172</v>
      </c>
      <c r="B1988" s="34" t="s">
        <v>6551</v>
      </c>
      <c r="C1988" s="34" t="s">
        <v>139</v>
      </c>
      <c r="E1988" s="30" t="s">
        <v>6552</v>
      </c>
      <c r="F1988" s="34" t="n">
        <f aca="false">IFERROR(VLOOKUP($A1988,'319'!$B:$H,7,0),0)</f>
        <v>0</v>
      </c>
      <c r="G1988" s="34" t="n">
        <f aca="false">SUMIFS('12.326ana'!$C:$C,'12.326ana'!$M:$M,redes!A1988)</f>
        <v>0</v>
      </c>
    </row>
    <row r="1989" customFormat="false" ht="14.4" hidden="true" customHeight="false" outlineLevel="0" collapsed="false">
      <c r="A1989" s="34" t="n">
        <v>30894808168</v>
      </c>
      <c r="B1989" s="34" t="s">
        <v>6553</v>
      </c>
      <c r="C1989" s="34" t="s">
        <v>89</v>
      </c>
      <c r="E1989" s="30" t="s">
        <v>6554</v>
      </c>
      <c r="F1989" s="34" t="n">
        <f aca="false">IFERROR(VLOOKUP($A1989,'319'!$B:$H,7,0),0)</f>
        <v>0</v>
      </c>
      <c r="G1989" s="34" t="n">
        <f aca="false">SUMIFS('12.326ana'!$C:$C,'12.326ana'!$M:$M,redes!A1989)</f>
        <v>0</v>
      </c>
    </row>
    <row r="1990" customFormat="false" ht="14.4" hidden="true" customHeight="false" outlineLevel="0" collapsed="false">
      <c r="A1990" s="34" t="n">
        <v>30906440106</v>
      </c>
      <c r="B1990" s="34" t="s">
        <v>6555</v>
      </c>
      <c r="C1990" s="34" t="s">
        <v>77</v>
      </c>
      <c r="E1990" s="30" t="s">
        <v>3664</v>
      </c>
      <c r="F1990" s="34" t="n">
        <f aca="false">IFERROR(VLOOKUP($A1990,'319'!$B:$H,7,0),0)</f>
        <v>0</v>
      </c>
      <c r="G1990" s="34" t="n">
        <f aca="false">SUMIFS('12.326ana'!$C:$C,'12.326ana'!$M:$M,redes!A1990)</f>
        <v>0</v>
      </c>
    </row>
    <row r="1991" customFormat="false" ht="14.4" hidden="true" customHeight="false" outlineLevel="0" collapsed="false">
      <c r="A1991" s="34" t="n">
        <v>30908086172</v>
      </c>
      <c r="B1991" s="34" t="s">
        <v>6556</v>
      </c>
      <c r="C1991" s="34" t="s">
        <v>77</v>
      </c>
      <c r="E1991" s="30" t="s">
        <v>5123</v>
      </c>
      <c r="F1991" s="34" t="n">
        <f aca="false">IFERROR(VLOOKUP($A1991,'319'!$B:$H,7,0),0)</f>
        <v>0</v>
      </c>
      <c r="G1991" s="34" t="n">
        <f aca="false">SUMIFS('12.326ana'!$C:$C,'12.326ana'!$M:$M,redes!A1991)</f>
        <v>0</v>
      </c>
    </row>
    <row r="1992" customFormat="false" ht="14.4" hidden="true" customHeight="false" outlineLevel="0" collapsed="false">
      <c r="A1992" s="34" t="n">
        <v>30911320130</v>
      </c>
      <c r="B1992" s="34" t="s">
        <v>6557</v>
      </c>
      <c r="C1992" s="34" t="s">
        <v>1680</v>
      </c>
      <c r="E1992" s="30" t="s">
        <v>6557</v>
      </c>
      <c r="F1992" s="34" t="n">
        <f aca="false">IFERROR(VLOOKUP($A1992,'319'!$B:$H,7,0),0)</f>
        <v>0</v>
      </c>
      <c r="G1992" s="34" t="n">
        <f aca="false">SUMIFS('12.326ana'!$C:$C,'12.326ana'!$M:$M,redes!A1992)</f>
        <v>0</v>
      </c>
    </row>
    <row r="1993" customFormat="false" ht="14.4" hidden="true" customHeight="false" outlineLevel="0" collapsed="false">
      <c r="A1993" s="34" t="n">
        <v>30915201100</v>
      </c>
      <c r="B1993" s="34" t="s">
        <v>6558</v>
      </c>
      <c r="C1993" s="34" t="s">
        <v>77</v>
      </c>
      <c r="E1993" s="30" t="s">
        <v>6559</v>
      </c>
      <c r="F1993" s="34" t="n">
        <f aca="false">IFERROR(VLOOKUP($A1993,'319'!$B:$H,7,0),0)</f>
        <v>0</v>
      </c>
      <c r="G1993" s="34" t="n">
        <f aca="false">SUMIFS('12.326ana'!$C:$C,'12.326ana'!$M:$M,redes!A1993)</f>
        <v>0</v>
      </c>
    </row>
    <row r="1994" customFormat="false" ht="14.4" hidden="true" customHeight="false" outlineLevel="0" collapsed="false">
      <c r="A1994" s="34" t="n">
        <v>30915597187</v>
      </c>
      <c r="B1994" s="34" t="s">
        <v>6560</v>
      </c>
      <c r="C1994" s="34" t="s">
        <v>89</v>
      </c>
      <c r="E1994" s="30" t="s">
        <v>5413</v>
      </c>
      <c r="F1994" s="34" t="n">
        <f aca="false">IFERROR(VLOOKUP($A1994,'319'!$B:$H,7,0),0)</f>
        <v>0</v>
      </c>
      <c r="G1994" s="34" t="n">
        <f aca="false">SUMIFS('12.326ana'!$C:$C,'12.326ana'!$M:$M,redes!A1994)</f>
        <v>0</v>
      </c>
    </row>
    <row r="1995" customFormat="false" ht="14.4" hidden="true" customHeight="false" outlineLevel="0" collapsed="false">
      <c r="A1995" s="34" t="n">
        <v>30916178153</v>
      </c>
      <c r="B1995" s="34" t="s">
        <v>6561</v>
      </c>
      <c r="C1995" s="34" t="s">
        <v>336</v>
      </c>
      <c r="E1995" s="30" t="s">
        <v>6562</v>
      </c>
      <c r="F1995" s="34" t="n">
        <f aca="false">IFERROR(VLOOKUP($A1995,'319'!$B:$H,7,0),0)</f>
        <v>0</v>
      </c>
      <c r="G1995" s="34" t="n">
        <f aca="false">SUMIFS('12.326ana'!$C:$C,'12.326ana'!$M:$M,redes!A1995)</f>
        <v>0</v>
      </c>
    </row>
    <row r="1996" customFormat="false" ht="14.4" hidden="true" customHeight="false" outlineLevel="0" collapsed="false">
      <c r="A1996" s="34" t="n">
        <v>30916305104</v>
      </c>
      <c r="B1996" s="34" t="s">
        <v>6563</v>
      </c>
      <c r="C1996" s="34" t="s">
        <v>336</v>
      </c>
      <c r="E1996" s="30" t="s">
        <v>6564</v>
      </c>
      <c r="F1996" s="34" t="n">
        <f aca="false">IFERROR(VLOOKUP($A1996,'319'!$B:$H,7,0),0)</f>
        <v>0</v>
      </c>
      <c r="G1996" s="34" t="n">
        <f aca="false">SUMIFS('12.326ana'!$C:$C,'12.326ana'!$M:$M,redes!A1996)</f>
        <v>0</v>
      </c>
    </row>
    <row r="1997" customFormat="false" ht="14.4" hidden="true" customHeight="false" outlineLevel="0" collapsed="false">
      <c r="A1997" s="34" t="n">
        <v>30917441168</v>
      </c>
      <c r="B1997" s="34" t="s">
        <v>6565</v>
      </c>
      <c r="C1997" s="34" t="s">
        <v>197</v>
      </c>
      <c r="E1997" s="30" t="s">
        <v>5613</v>
      </c>
      <c r="F1997" s="34" t="n">
        <f aca="false">IFERROR(VLOOKUP($A1997,'319'!$B:$H,7,0),0)</f>
        <v>0</v>
      </c>
      <c r="G1997" s="34" t="n">
        <f aca="false">SUMIFS('12.326ana'!$C:$C,'12.326ana'!$M:$M,redes!A1997)</f>
        <v>0</v>
      </c>
    </row>
    <row r="1998" customFormat="false" ht="14.4" hidden="true" customHeight="false" outlineLevel="0" collapsed="false">
      <c r="A1998" s="34" t="n">
        <v>30920434134</v>
      </c>
      <c r="B1998" s="34" t="s">
        <v>6566</v>
      </c>
      <c r="C1998" s="34" t="s">
        <v>77</v>
      </c>
      <c r="E1998" s="30" t="s">
        <v>5131</v>
      </c>
      <c r="F1998" s="34" t="n">
        <f aca="false">IFERROR(VLOOKUP($A1998,'319'!$B:$H,7,0),0)</f>
        <v>0</v>
      </c>
      <c r="G1998" s="34" t="n">
        <f aca="false">SUMIFS('12.326ana'!$C:$C,'12.326ana'!$M:$M,redes!A1998)</f>
        <v>0</v>
      </c>
    </row>
    <row r="1999" customFormat="false" ht="14.4" hidden="true" customHeight="false" outlineLevel="0" collapsed="false">
      <c r="A1999" s="34" t="n">
        <v>30920540163</v>
      </c>
      <c r="B1999" s="34" t="s">
        <v>6567</v>
      </c>
      <c r="C1999" s="34" t="s">
        <v>77</v>
      </c>
      <c r="E1999" s="30" t="s">
        <v>6568</v>
      </c>
      <c r="F1999" s="34" t="n">
        <f aca="false">IFERROR(VLOOKUP($A1999,'319'!$B:$H,7,0),0)</f>
        <v>0</v>
      </c>
      <c r="G1999" s="34" t="n">
        <f aca="false">SUMIFS('12.326ana'!$C:$C,'12.326ana'!$M:$M,redes!A1999)</f>
        <v>0</v>
      </c>
    </row>
    <row r="2000" customFormat="false" ht="14.4" hidden="true" customHeight="false" outlineLevel="0" collapsed="false">
      <c r="A2000" s="34" t="n">
        <v>30926513168</v>
      </c>
      <c r="B2000" s="34" t="s">
        <v>6569</v>
      </c>
      <c r="C2000" s="34" t="s">
        <v>77</v>
      </c>
      <c r="E2000" s="30" t="s">
        <v>6570</v>
      </c>
      <c r="F2000" s="34" t="n">
        <f aca="false">IFERROR(VLOOKUP($A2000,'319'!$B:$H,7,0),0)</f>
        <v>0</v>
      </c>
      <c r="G2000" s="34" t="n">
        <f aca="false">SUMIFS('12.326ana'!$C:$C,'12.326ana'!$M:$M,redes!A2000)</f>
        <v>0</v>
      </c>
    </row>
    <row r="2001" customFormat="false" ht="14.4" hidden="true" customHeight="false" outlineLevel="0" collapsed="false">
      <c r="A2001" s="34" t="n">
        <v>30926971115</v>
      </c>
      <c r="B2001" s="34" t="s">
        <v>6571</v>
      </c>
      <c r="C2001" s="34" t="s">
        <v>77</v>
      </c>
      <c r="E2001" s="30" t="s">
        <v>6572</v>
      </c>
      <c r="F2001" s="34" t="n">
        <f aca="false">IFERROR(VLOOKUP($A2001,'319'!$B:$H,7,0),0)</f>
        <v>0</v>
      </c>
      <c r="G2001" s="34" t="n">
        <f aca="false">SUMIFS('12.326ana'!$C:$C,'12.326ana'!$M:$M,redes!A2001)</f>
        <v>0</v>
      </c>
    </row>
    <row r="2002" customFormat="false" ht="14.4" hidden="true" customHeight="false" outlineLevel="0" collapsed="false">
      <c r="A2002" s="34" t="n">
        <v>30927110172</v>
      </c>
      <c r="B2002" s="34" t="s">
        <v>6573</v>
      </c>
      <c r="C2002" s="34" t="s">
        <v>77</v>
      </c>
      <c r="E2002" s="30" t="s">
        <v>6574</v>
      </c>
      <c r="F2002" s="34" t="n">
        <f aca="false">IFERROR(VLOOKUP($A2002,'319'!$B:$H,7,0),0)</f>
        <v>0</v>
      </c>
      <c r="G2002" s="34" t="n">
        <f aca="false">SUMIFS('12.326ana'!$C:$C,'12.326ana'!$M:$M,redes!A2002)</f>
        <v>0</v>
      </c>
    </row>
    <row r="2003" customFormat="false" ht="14.4" hidden="true" customHeight="false" outlineLevel="0" collapsed="false">
      <c r="A2003" s="34" t="n">
        <v>30929997115</v>
      </c>
      <c r="B2003" s="34" t="s">
        <v>4282</v>
      </c>
      <c r="C2003" s="34" t="s">
        <v>77</v>
      </c>
      <c r="E2003" s="30" t="s">
        <v>6437</v>
      </c>
      <c r="F2003" s="34" t="n">
        <f aca="false">IFERROR(VLOOKUP($A2003,'319'!$B:$H,7,0),0)</f>
        <v>0</v>
      </c>
      <c r="G2003" s="34" t="n">
        <f aca="false">SUMIFS('12.326ana'!$C:$C,'12.326ana'!$M:$M,redes!A2003)</f>
        <v>0</v>
      </c>
    </row>
    <row r="2004" customFormat="false" ht="14.4" hidden="true" customHeight="false" outlineLevel="0" collapsed="false">
      <c r="A2004" s="34" t="n">
        <v>31011290871</v>
      </c>
      <c r="B2004" s="34" t="s">
        <v>6575</v>
      </c>
      <c r="C2004" s="34" t="s">
        <v>77</v>
      </c>
      <c r="E2004" s="30" t="s">
        <v>6576</v>
      </c>
      <c r="F2004" s="34" t="n">
        <f aca="false">IFERROR(VLOOKUP($A2004,'319'!$B:$H,7,0),0)</f>
        <v>0</v>
      </c>
      <c r="G2004" s="34" t="n">
        <f aca="false">SUMIFS('12.326ana'!$C:$C,'12.326ana'!$M:$M,redes!A2004)</f>
        <v>0</v>
      </c>
    </row>
    <row r="2005" customFormat="false" ht="14.4" hidden="true" customHeight="false" outlineLevel="0" collapsed="false">
      <c r="A2005" s="34" t="n">
        <v>31075196850</v>
      </c>
      <c r="B2005" s="34" t="s">
        <v>6577</v>
      </c>
      <c r="C2005" s="34" t="s">
        <v>107</v>
      </c>
      <c r="E2005" s="30" t="s">
        <v>6578</v>
      </c>
      <c r="F2005" s="34" t="n">
        <f aca="false">IFERROR(VLOOKUP($A2005,'319'!$B:$H,7,0),0)</f>
        <v>0</v>
      </c>
      <c r="G2005" s="34" t="n">
        <f aca="false">SUMIFS('12.326ana'!$C:$C,'12.326ana'!$M:$M,redes!A2005)</f>
        <v>0</v>
      </c>
    </row>
    <row r="2006" customFormat="false" ht="14.4" hidden="true" customHeight="false" outlineLevel="0" collapsed="false">
      <c r="A2006" s="34" t="n">
        <v>31185070125</v>
      </c>
      <c r="B2006" s="34" t="s">
        <v>6579</v>
      </c>
      <c r="C2006" s="34" t="s">
        <v>77</v>
      </c>
      <c r="E2006" s="30" t="s">
        <v>6580</v>
      </c>
      <c r="F2006" s="34" t="n">
        <f aca="false">IFERROR(VLOOKUP($A2006,'319'!$B:$H,7,0),0)</f>
        <v>0</v>
      </c>
      <c r="G2006" s="34" t="n">
        <f aca="false">SUMIFS('12.326ana'!$C:$C,'12.326ana'!$M:$M,redes!A2006)</f>
        <v>0</v>
      </c>
    </row>
    <row r="2007" customFormat="false" ht="14.4" hidden="true" customHeight="false" outlineLevel="0" collapsed="false">
      <c r="A2007" s="34" t="n">
        <v>31192130120</v>
      </c>
      <c r="B2007" s="34" t="s">
        <v>6581</v>
      </c>
      <c r="C2007" s="34" t="s">
        <v>77</v>
      </c>
      <c r="E2007" s="30" t="s">
        <v>4276</v>
      </c>
      <c r="F2007" s="34" t="n">
        <f aca="false">IFERROR(VLOOKUP($A2007,'319'!$B:$H,7,0),0)</f>
        <v>0</v>
      </c>
      <c r="G2007" s="34" t="n">
        <f aca="false">SUMIFS('12.326ana'!$C:$C,'12.326ana'!$M:$M,redes!A2007)</f>
        <v>0</v>
      </c>
    </row>
    <row r="2008" customFormat="false" ht="14.4" hidden="true" customHeight="false" outlineLevel="0" collapsed="false">
      <c r="A2008" s="34" t="n">
        <v>31197558187</v>
      </c>
      <c r="B2008" s="34" t="s">
        <v>6582</v>
      </c>
      <c r="C2008" s="34" t="s">
        <v>77</v>
      </c>
      <c r="E2008" s="30" t="s">
        <v>6583</v>
      </c>
      <c r="F2008" s="34" t="n">
        <f aca="false">IFERROR(VLOOKUP($A2008,'319'!$B:$H,7,0),0)</f>
        <v>0</v>
      </c>
      <c r="G2008" s="34" t="n">
        <f aca="false">SUMIFS('12.326ana'!$C:$C,'12.326ana'!$M:$M,redes!A2008)</f>
        <v>0</v>
      </c>
    </row>
    <row r="2009" customFormat="false" ht="14.4" hidden="true" customHeight="false" outlineLevel="0" collapsed="false">
      <c r="A2009" s="34" t="n">
        <v>31199577120</v>
      </c>
      <c r="B2009" s="34" t="s">
        <v>6584</v>
      </c>
      <c r="C2009" s="34" t="s">
        <v>117</v>
      </c>
      <c r="E2009" s="30" t="s">
        <v>6585</v>
      </c>
      <c r="F2009" s="34" t="n">
        <f aca="false">IFERROR(VLOOKUP($A2009,'319'!$B:$H,7,0),0)</f>
        <v>0</v>
      </c>
      <c r="G2009" s="34" t="n">
        <f aca="false">SUMIFS('12.326ana'!$C:$C,'12.326ana'!$M:$M,redes!A2009)</f>
        <v>0</v>
      </c>
    </row>
    <row r="2010" customFormat="false" ht="14.4" hidden="true" customHeight="false" outlineLevel="0" collapsed="false">
      <c r="A2010" s="34" t="n">
        <v>31203019815</v>
      </c>
      <c r="B2010" s="34" t="s">
        <v>6586</v>
      </c>
      <c r="C2010" s="34" t="s">
        <v>77</v>
      </c>
      <c r="E2010" s="30"/>
      <c r="F2010" s="34" t="n">
        <f aca="false">IFERROR(VLOOKUP($A2010,'319'!$B:$H,7,0),0)</f>
        <v>0</v>
      </c>
      <c r="G2010" s="34" t="n">
        <f aca="false">SUMIFS('12.326ana'!$C:$C,'12.326ana'!$M:$M,redes!A2010)</f>
        <v>0</v>
      </c>
    </row>
    <row r="2011" customFormat="false" ht="14.4" hidden="true" customHeight="false" outlineLevel="0" collapsed="false">
      <c r="A2011" s="34" t="n">
        <v>31214428134</v>
      </c>
      <c r="B2011" s="34" t="s">
        <v>6587</v>
      </c>
      <c r="C2011" s="34" t="s">
        <v>107</v>
      </c>
      <c r="E2011" s="30"/>
      <c r="F2011" s="34" t="n">
        <f aca="false">IFERROR(VLOOKUP($A2011,'319'!$B:$H,7,0),0)</f>
        <v>0</v>
      </c>
      <c r="G2011" s="34" t="n">
        <f aca="false">SUMIFS('12.326ana'!$C:$C,'12.326ana'!$M:$M,redes!A2011)</f>
        <v>0</v>
      </c>
    </row>
    <row r="2012" customFormat="false" ht="14.4" hidden="true" customHeight="false" outlineLevel="0" collapsed="false">
      <c r="A2012" s="34" t="n">
        <v>31223400115</v>
      </c>
      <c r="B2012" s="34" t="s">
        <v>6588</v>
      </c>
      <c r="C2012" s="34" t="s">
        <v>77</v>
      </c>
      <c r="E2012" s="30" t="s">
        <v>6589</v>
      </c>
      <c r="F2012" s="34" t="n">
        <f aca="false">IFERROR(VLOOKUP($A2012,'319'!$B:$H,7,0),0)</f>
        <v>0</v>
      </c>
      <c r="G2012" s="34" t="n">
        <f aca="false">SUMIFS('12.326ana'!$C:$C,'12.326ana'!$M:$M,redes!A2012)</f>
        <v>0</v>
      </c>
    </row>
    <row r="2013" customFormat="false" ht="14.4" hidden="true" customHeight="false" outlineLevel="0" collapsed="false">
      <c r="A2013" s="34" t="n">
        <v>31224270100</v>
      </c>
      <c r="B2013" s="34" t="s">
        <v>6590</v>
      </c>
      <c r="C2013" s="34" t="s">
        <v>77</v>
      </c>
      <c r="E2013" s="30" t="s">
        <v>6591</v>
      </c>
      <c r="F2013" s="34" t="n">
        <f aca="false">IFERROR(VLOOKUP($A2013,'319'!$B:$H,7,0),0)</f>
        <v>0</v>
      </c>
      <c r="G2013" s="34" t="n">
        <f aca="false">SUMIFS('12.326ana'!$C:$C,'12.326ana'!$M:$M,redes!A2013)</f>
        <v>0</v>
      </c>
    </row>
    <row r="2014" customFormat="false" ht="14.4" hidden="true" customHeight="false" outlineLevel="0" collapsed="false">
      <c r="A2014" s="34" t="n">
        <v>31226914187</v>
      </c>
      <c r="B2014" s="34" t="s">
        <v>6592</v>
      </c>
      <c r="C2014" s="34" t="s">
        <v>737</v>
      </c>
      <c r="E2014" s="30" t="s">
        <v>6593</v>
      </c>
      <c r="F2014" s="34" t="n">
        <f aca="false">IFERROR(VLOOKUP($A2014,'319'!$B:$H,7,0),0)</f>
        <v>0</v>
      </c>
      <c r="G2014" s="34" t="n">
        <f aca="false">SUMIFS('12.326ana'!$C:$C,'12.326ana'!$M:$M,redes!A2014)</f>
        <v>0</v>
      </c>
    </row>
    <row r="2015" customFormat="false" ht="14.4" hidden="true" customHeight="false" outlineLevel="0" collapsed="false">
      <c r="A2015" s="34" t="n">
        <v>31227473168</v>
      </c>
      <c r="B2015" s="34" t="s">
        <v>6594</v>
      </c>
      <c r="C2015" s="34" t="s">
        <v>737</v>
      </c>
      <c r="E2015" s="30" t="s">
        <v>6595</v>
      </c>
      <c r="F2015" s="34" t="n">
        <f aca="false">IFERROR(VLOOKUP($A2015,'319'!$B:$H,7,0),0)</f>
        <v>0</v>
      </c>
      <c r="G2015" s="34" t="n">
        <f aca="false">SUMIFS('12.326ana'!$C:$C,'12.326ana'!$M:$M,redes!A2015)</f>
        <v>0</v>
      </c>
    </row>
    <row r="2016" customFormat="false" ht="14.4" hidden="true" customHeight="false" outlineLevel="0" collapsed="false">
      <c r="A2016" s="34" t="n">
        <v>31230091068</v>
      </c>
      <c r="B2016" s="34" t="s">
        <v>6596</v>
      </c>
      <c r="C2016" s="34" t="s">
        <v>77</v>
      </c>
      <c r="E2016" s="30" t="s">
        <v>6597</v>
      </c>
      <c r="F2016" s="34" t="n">
        <f aca="false">IFERROR(VLOOKUP($A2016,'319'!$B:$H,7,0),0)</f>
        <v>0</v>
      </c>
      <c r="G2016" s="34" t="n">
        <f aca="false">SUMIFS('12.326ana'!$C:$C,'12.326ana'!$M:$M,redes!A2016)</f>
        <v>0</v>
      </c>
    </row>
    <row r="2017" customFormat="false" ht="14.4" hidden="true" customHeight="false" outlineLevel="0" collapsed="false">
      <c r="A2017" s="34" t="n">
        <v>31232884120</v>
      </c>
      <c r="B2017" s="34" t="s">
        <v>6598</v>
      </c>
      <c r="C2017" s="34" t="s">
        <v>781</v>
      </c>
      <c r="E2017" s="30" t="s">
        <v>6599</v>
      </c>
      <c r="F2017" s="34" t="n">
        <f aca="false">IFERROR(VLOOKUP($A2017,'319'!$B:$H,7,0),0)</f>
        <v>0</v>
      </c>
      <c r="G2017" s="34" t="n">
        <f aca="false">SUMIFS('12.326ana'!$C:$C,'12.326ana'!$M:$M,redes!A2017)</f>
        <v>0</v>
      </c>
    </row>
    <row r="2018" customFormat="false" ht="14.4" hidden="true" customHeight="false" outlineLevel="0" collapsed="false">
      <c r="A2018" s="34" t="n">
        <v>31233961004</v>
      </c>
      <c r="B2018" s="34" t="s">
        <v>6600</v>
      </c>
      <c r="C2018" s="34" t="s">
        <v>377</v>
      </c>
      <c r="E2018" s="30" t="s">
        <v>6601</v>
      </c>
      <c r="F2018" s="34" t="n">
        <f aca="false">IFERROR(VLOOKUP($A2018,'319'!$B:$H,7,0),0)</f>
        <v>0</v>
      </c>
      <c r="G2018" s="34" t="n">
        <f aca="false">SUMIFS('12.326ana'!$C:$C,'12.326ana'!$M:$M,redes!A2018)</f>
        <v>0</v>
      </c>
    </row>
    <row r="2019" customFormat="false" ht="14.4" hidden="true" customHeight="false" outlineLevel="0" collapsed="false">
      <c r="A2019" s="34" t="n">
        <v>31235476120</v>
      </c>
      <c r="B2019" s="34" t="s">
        <v>6602</v>
      </c>
      <c r="C2019" s="34" t="s">
        <v>631</v>
      </c>
      <c r="E2019" s="30" t="s">
        <v>6603</v>
      </c>
      <c r="F2019" s="34" t="n">
        <f aca="false">IFERROR(VLOOKUP($A2019,'319'!$B:$H,7,0),0)</f>
        <v>0</v>
      </c>
      <c r="G2019" s="34" t="n">
        <f aca="false">SUMIFS('12.326ana'!$C:$C,'12.326ana'!$M:$M,redes!A2019)</f>
        <v>0</v>
      </c>
    </row>
    <row r="2020" customFormat="false" ht="14.4" hidden="true" customHeight="false" outlineLevel="0" collapsed="false">
      <c r="A2020" s="34" t="n">
        <v>31236197100</v>
      </c>
      <c r="B2020" s="34" t="s">
        <v>6604</v>
      </c>
      <c r="C2020" s="34" t="s">
        <v>207</v>
      </c>
      <c r="E2020" s="30" t="s">
        <v>6605</v>
      </c>
      <c r="F2020" s="34" t="n">
        <f aca="false">IFERROR(VLOOKUP($A2020,'319'!$B:$H,7,0),0)</f>
        <v>0</v>
      </c>
      <c r="G2020" s="34" t="n">
        <f aca="false">SUMIFS('12.326ana'!$C:$C,'12.326ana'!$M:$M,redes!A2020)</f>
        <v>0</v>
      </c>
    </row>
    <row r="2021" customFormat="false" ht="14.4" hidden="true" customHeight="false" outlineLevel="0" collapsed="false">
      <c r="A2021" s="34" t="n">
        <v>31239528191</v>
      </c>
      <c r="B2021" s="34" t="s">
        <v>6606</v>
      </c>
      <c r="C2021" s="34" t="s">
        <v>604</v>
      </c>
      <c r="E2021" s="30" t="s">
        <v>6607</v>
      </c>
      <c r="F2021" s="34" t="n">
        <f aca="false">IFERROR(VLOOKUP($A2021,'319'!$B:$H,7,0),0)</f>
        <v>0</v>
      </c>
      <c r="G2021" s="34" t="n">
        <f aca="false">SUMIFS('12.326ana'!$C:$C,'12.326ana'!$M:$M,redes!A2021)</f>
        <v>0</v>
      </c>
    </row>
    <row r="2022" customFormat="false" ht="14.4" hidden="true" customHeight="false" outlineLevel="0" collapsed="false">
      <c r="A2022" s="34" t="n">
        <v>31244831115</v>
      </c>
      <c r="B2022" s="34" t="s">
        <v>6608</v>
      </c>
      <c r="C2022" s="34" t="s">
        <v>77</v>
      </c>
      <c r="E2022" s="30" t="s">
        <v>4197</v>
      </c>
      <c r="F2022" s="34" t="n">
        <f aca="false">IFERROR(VLOOKUP($A2022,'319'!$B:$H,7,0),0)</f>
        <v>0</v>
      </c>
      <c r="G2022" s="34" t="n">
        <f aca="false">SUMIFS('12.326ana'!$C:$C,'12.326ana'!$M:$M,redes!A2022)</f>
        <v>0</v>
      </c>
    </row>
    <row r="2023" customFormat="false" ht="14.4" hidden="true" customHeight="false" outlineLevel="0" collapsed="false">
      <c r="A2023" s="34" t="n">
        <v>31248721187</v>
      </c>
      <c r="B2023" s="34" t="s">
        <v>6609</v>
      </c>
      <c r="C2023" s="34" t="s">
        <v>463</v>
      </c>
      <c r="E2023" s="30" t="s">
        <v>6610</v>
      </c>
      <c r="F2023" s="34" t="n">
        <f aca="false">IFERROR(VLOOKUP($A2023,'319'!$B:$H,7,0),0)</f>
        <v>0</v>
      </c>
      <c r="G2023" s="34" t="n">
        <f aca="false">SUMIFS('12.326ana'!$C:$C,'12.326ana'!$M:$M,redes!A2023)</f>
        <v>0</v>
      </c>
    </row>
    <row r="2024" customFormat="false" ht="14.4" hidden="true" customHeight="false" outlineLevel="0" collapsed="false">
      <c r="A2024" s="34" t="n">
        <v>31249299187</v>
      </c>
      <c r="B2024" s="34" t="s">
        <v>6611</v>
      </c>
      <c r="C2024" s="34" t="s">
        <v>463</v>
      </c>
      <c r="E2024" s="30" t="s">
        <v>6612</v>
      </c>
      <c r="F2024" s="34" t="n">
        <f aca="false">IFERROR(VLOOKUP($A2024,'319'!$B:$H,7,0),0)</f>
        <v>0</v>
      </c>
      <c r="G2024" s="34" t="n">
        <f aca="false">SUMIFS('12.326ana'!$C:$C,'12.326ana'!$M:$M,redes!A2024)</f>
        <v>0</v>
      </c>
    </row>
    <row r="2025" customFormat="false" ht="14.4" hidden="true" customHeight="false" outlineLevel="0" collapsed="false">
      <c r="A2025" s="34" t="n">
        <v>31249892104</v>
      </c>
      <c r="B2025" s="34" t="s">
        <v>6613</v>
      </c>
      <c r="C2025" s="34" t="s">
        <v>77</v>
      </c>
      <c r="E2025" s="30" t="s">
        <v>6614</v>
      </c>
      <c r="F2025" s="34" t="n">
        <f aca="false">IFERROR(VLOOKUP($A2025,'319'!$B:$H,7,0),0)</f>
        <v>0</v>
      </c>
      <c r="G2025" s="34" t="n">
        <f aca="false">SUMIFS('12.326ana'!$C:$C,'12.326ana'!$M:$M,redes!A2025)</f>
        <v>0</v>
      </c>
    </row>
    <row r="2026" customFormat="false" ht="14.4" hidden="true" customHeight="false" outlineLevel="0" collapsed="false">
      <c r="A2026" s="34" t="n">
        <v>31263127134</v>
      </c>
      <c r="B2026" s="34" t="s">
        <v>6615</v>
      </c>
      <c r="C2026" s="34" t="s">
        <v>77</v>
      </c>
      <c r="E2026" s="30" t="s">
        <v>6616</v>
      </c>
      <c r="F2026" s="34" t="n">
        <f aca="false">IFERROR(VLOOKUP($A2026,'319'!$B:$H,7,0),0)</f>
        <v>0</v>
      </c>
      <c r="G2026" s="34" t="n">
        <f aca="false">SUMIFS('12.326ana'!$C:$C,'12.326ana'!$M:$M,redes!A2026)</f>
        <v>0</v>
      </c>
    </row>
    <row r="2027" customFormat="false" ht="14.4" hidden="true" customHeight="false" outlineLevel="0" collapsed="false">
      <c r="A2027" s="34" t="n">
        <v>31272037053</v>
      </c>
      <c r="B2027" s="34" t="s">
        <v>6617</v>
      </c>
      <c r="C2027" s="34" t="s">
        <v>117</v>
      </c>
      <c r="E2027" s="30" t="s">
        <v>6618</v>
      </c>
      <c r="F2027" s="34" t="n">
        <f aca="false">IFERROR(VLOOKUP($A2027,'319'!$B:$H,7,0),0)</f>
        <v>0</v>
      </c>
      <c r="G2027" s="34" t="n">
        <f aca="false">SUMIFS('12.326ana'!$C:$C,'12.326ana'!$M:$M,redes!A2027)</f>
        <v>0</v>
      </c>
    </row>
    <row r="2028" customFormat="false" ht="14.4" hidden="true" customHeight="false" outlineLevel="0" collapsed="false">
      <c r="A2028" s="34" t="n">
        <v>31279783168</v>
      </c>
      <c r="B2028" s="34" t="s">
        <v>6619</v>
      </c>
      <c r="C2028" s="34" t="s">
        <v>77</v>
      </c>
      <c r="E2028" s="30" t="s">
        <v>3463</v>
      </c>
      <c r="F2028" s="34" t="n">
        <f aca="false">IFERROR(VLOOKUP($A2028,'319'!$B:$H,7,0),0)</f>
        <v>0</v>
      </c>
      <c r="G2028" s="34" t="n">
        <f aca="false">SUMIFS('12.326ana'!$C:$C,'12.326ana'!$M:$M,redes!A2028)</f>
        <v>0</v>
      </c>
    </row>
    <row r="2029" customFormat="false" ht="14.4" hidden="true" customHeight="false" outlineLevel="0" collapsed="false">
      <c r="A2029" s="34" t="n">
        <v>31284361187</v>
      </c>
      <c r="B2029" s="34" t="s">
        <v>6620</v>
      </c>
      <c r="C2029" s="34" t="s">
        <v>979</v>
      </c>
      <c r="E2029" s="30" t="s">
        <v>6621</v>
      </c>
      <c r="F2029" s="34" t="n">
        <f aca="false">IFERROR(VLOOKUP($A2029,'319'!$B:$H,7,0),0)</f>
        <v>0</v>
      </c>
      <c r="G2029" s="34" t="n">
        <f aca="false">SUMIFS('12.326ana'!$C:$C,'12.326ana'!$M:$M,redes!A2029)</f>
        <v>0</v>
      </c>
    </row>
    <row r="2030" customFormat="false" ht="14.4" hidden="true" customHeight="false" outlineLevel="0" collapsed="false">
      <c r="A2030" s="34" t="n">
        <v>31286950163</v>
      </c>
      <c r="B2030" s="34" t="s">
        <v>6622</v>
      </c>
      <c r="C2030" s="34" t="s">
        <v>107</v>
      </c>
      <c r="E2030" s="30" t="s">
        <v>6623</v>
      </c>
      <c r="F2030" s="34" t="n">
        <f aca="false">IFERROR(VLOOKUP($A2030,'319'!$B:$H,7,0),0)</f>
        <v>0</v>
      </c>
      <c r="G2030" s="34" t="n">
        <f aca="false">SUMIFS('12.326ana'!$C:$C,'12.326ana'!$M:$M,redes!A2030)</f>
        <v>0</v>
      </c>
    </row>
    <row r="2031" customFormat="false" ht="14.4" hidden="true" customHeight="false" outlineLevel="0" collapsed="false">
      <c r="A2031" s="34" t="n">
        <v>31303528134</v>
      </c>
      <c r="B2031" s="34" t="s">
        <v>6624</v>
      </c>
      <c r="C2031" s="34" t="s">
        <v>77</v>
      </c>
      <c r="E2031" s="30" t="s">
        <v>6625</v>
      </c>
      <c r="F2031" s="34" t="n">
        <f aca="false">IFERROR(VLOOKUP($A2031,'319'!$B:$H,7,0),0)</f>
        <v>0</v>
      </c>
      <c r="G2031" s="34" t="n">
        <f aca="false">SUMIFS('12.326ana'!$C:$C,'12.326ana'!$M:$M,redes!A2031)</f>
        <v>0</v>
      </c>
    </row>
    <row r="2032" customFormat="false" ht="14.4" hidden="true" customHeight="false" outlineLevel="0" collapsed="false">
      <c r="A2032" s="34" t="n">
        <v>31304540120</v>
      </c>
      <c r="B2032" s="34" t="s">
        <v>6626</v>
      </c>
      <c r="C2032" s="34" t="s">
        <v>77</v>
      </c>
      <c r="E2032" s="30" t="s">
        <v>6627</v>
      </c>
      <c r="F2032" s="34" t="n">
        <f aca="false">IFERROR(VLOOKUP($A2032,'319'!$B:$H,7,0),0)</f>
        <v>0</v>
      </c>
      <c r="G2032" s="34" t="n">
        <f aca="false">SUMIFS('12.326ana'!$C:$C,'12.326ana'!$M:$M,redes!A2032)</f>
        <v>0</v>
      </c>
    </row>
    <row r="2033" customFormat="false" ht="14.4" hidden="true" customHeight="false" outlineLevel="0" collapsed="false">
      <c r="A2033" s="34" t="n">
        <v>31305032187</v>
      </c>
      <c r="B2033" s="34" t="s">
        <v>6628</v>
      </c>
      <c r="C2033" s="34" t="s">
        <v>77</v>
      </c>
      <c r="E2033" s="30" t="s">
        <v>6629</v>
      </c>
      <c r="F2033" s="34" t="n">
        <f aca="false">IFERROR(VLOOKUP($A2033,'319'!$B:$H,7,0),0)</f>
        <v>0</v>
      </c>
      <c r="G2033" s="34" t="n">
        <f aca="false">SUMIFS('12.326ana'!$C:$C,'12.326ana'!$M:$M,redes!A2033)</f>
        <v>0</v>
      </c>
    </row>
    <row r="2034" customFormat="false" ht="14.4" hidden="true" customHeight="false" outlineLevel="0" collapsed="false">
      <c r="A2034" s="34" t="n">
        <v>31309100187</v>
      </c>
      <c r="B2034" s="34" t="s">
        <v>6630</v>
      </c>
      <c r="C2034" s="34" t="s">
        <v>77</v>
      </c>
      <c r="E2034" s="30" t="s">
        <v>6631</v>
      </c>
      <c r="F2034" s="34" t="n">
        <f aca="false">IFERROR(VLOOKUP($A2034,'319'!$B:$H,7,0),0)</f>
        <v>0</v>
      </c>
      <c r="G2034" s="34" t="n">
        <f aca="false">SUMIFS('12.326ana'!$C:$C,'12.326ana'!$M:$M,redes!A2034)</f>
        <v>0</v>
      </c>
    </row>
    <row r="2035" customFormat="false" ht="14.4" hidden="true" customHeight="false" outlineLevel="0" collapsed="false">
      <c r="A2035" s="34" t="n">
        <v>31311040153</v>
      </c>
      <c r="B2035" s="34" t="s">
        <v>6632</v>
      </c>
      <c r="C2035" s="34" t="s">
        <v>77</v>
      </c>
      <c r="E2035" s="30" t="s">
        <v>6633</v>
      </c>
      <c r="F2035" s="34" t="n">
        <f aca="false">IFERROR(VLOOKUP($A2035,'319'!$B:$H,7,0),0)</f>
        <v>0</v>
      </c>
      <c r="G2035" s="34" t="n">
        <f aca="false">SUMIFS('12.326ana'!$C:$C,'12.326ana'!$M:$M,redes!A2035)</f>
        <v>0</v>
      </c>
    </row>
    <row r="2036" customFormat="false" ht="14.4" hidden="true" customHeight="false" outlineLevel="0" collapsed="false">
      <c r="A2036" s="34" t="n">
        <v>31311890106</v>
      </c>
      <c r="B2036" s="34" t="s">
        <v>6634</v>
      </c>
      <c r="C2036" s="34" t="s">
        <v>77</v>
      </c>
      <c r="E2036" s="30" t="s">
        <v>4445</v>
      </c>
      <c r="F2036" s="34" t="n">
        <f aca="false">IFERROR(VLOOKUP($A2036,'319'!$B:$H,7,0),0)</f>
        <v>0</v>
      </c>
      <c r="G2036" s="34" t="n">
        <f aca="false">SUMIFS('12.326ana'!$C:$C,'12.326ana'!$M:$M,redes!A2036)</f>
        <v>0</v>
      </c>
    </row>
    <row r="2037" customFormat="false" ht="14.4" hidden="true" customHeight="false" outlineLevel="0" collapsed="false">
      <c r="A2037" s="34" t="n">
        <v>31315020106</v>
      </c>
      <c r="B2037" s="34" t="s">
        <v>6635</v>
      </c>
      <c r="C2037" s="34" t="s">
        <v>77</v>
      </c>
      <c r="E2037" s="30" t="s">
        <v>4301</v>
      </c>
      <c r="F2037" s="34" t="n">
        <f aca="false">IFERROR(VLOOKUP($A2037,'319'!$B:$H,7,0),0)</f>
        <v>0</v>
      </c>
      <c r="G2037" s="34" t="n">
        <f aca="false">SUMIFS('12.326ana'!$C:$C,'12.326ana'!$M:$M,redes!A2037)</f>
        <v>0</v>
      </c>
    </row>
    <row r="2038" customFormat="false" ht="14.4" hidden="true" customHeight="false" outlineLevel="0" collapsed="false">
      <c r="A2038" s="34" t="n">
        <v>31316425134</v>
      </c>
      <c r="B2038" s="34" t="s">
        <v>6636</v>
      </c>
      <c r="C2038" s="34" t="s">
        <v>77</v>
      </c>
      <c r="E2038" s="30" t="s">
        <v>6637</v>
      </c>
      <c r="F2038" s="34" t="n">
        <f aca="false">IFERROR(VLOOKUP($A2038,'319'!$B:$H,7,0),0)</f>
        <v>0</v>
      </c>
      <c r="G2038" s="34" t="n">
        <f aca="false">SUMIFS('12.326ana'!$C:$C,'12.326ana'!$M:$M,redes!A2038)</f>
        <v>0</v>
      </c>
    </row>
    <row r="2039" customFormat="false" ht="14.4" hidden="true" customHeight="false" outlineLevel="0" collapsed="false">
      <c r="A2039" s="34" t="n">
        <v>31318703115</v>
      </c>
      <c r="B2039" s="34" t="s">
        <v>6638</v>
      </c>
      <c r="C2039" s="34" t="s">
        <v>463</v>
      </c>
      <c r="E2039" s="30" t="s">
        <v>6376</v>
      </c>
      <c r="F2039" s="34" t="n">
        <f aca="false">IFERROR(VLOOKUP($A2039,'319'!$B:$H,7,0),0)</f>
        <v>0</v>
      </c>
      <c r="G2039" s="34" t="n">
        <f aca="false">SUMIFS('12.326ana'!$C:$C,'12.326ana'!$M:$M,redes!A2039)</f>
        <v>0</v>
      </c>
    </row>
    <row r="2040" customFormat="false" ht="14.4" hidden="true" customHeight="false" outlineLevel="0" collapsed="false">
      <c r="A2040" s="34" t="n">
        <v>31318932149</v>
      </c>
      <c r="B2040" s="34" t="s">
        <v>6639</v>
      </c>
      <c r="C2040" s="34" t="s">
        <v>107</v>
      </c>
      <c r="E2040" s="30" t="s">
        <v>6640</v>
      </c>
      <c r="F2040" s="34" t="n">
        <f aca="false">IFERROR(VLOOKUP($A2040,'319'!$B:$H,7,0),0)</f>
        <v>0</v>
      </c>
      <c r="G2040" s="34" t="n">
        <f aca="false">SUMIFS('12.326ana'!$C:$C,'12.326ana'!$M:$M,redes!A2040)</f>
        <v>0</v>
      </c>
    </row>
    <row r="2041" customFormat="false" ht="14.4" hidden="true" customHeight="false" outlineLevel="0" collapsed="false">
      <c r="A2041" s="34" t="n">
        <v>31321402104</v>
      </c>
      <c r="B2041" s="34" t="s">
        <v>6641</v>
      </c>
      <c r="C2041" s="34" t="s">
        <v>107</v>
      </c>
      <c r="E2041" s="30" t="s">
        <v>6642</v>
      </c>
      <c r="F2041" s="34" t="n">
        <f aca="false">IFERROR(VLOOKUP($A2041,'319'!$B:$H,7,0),0)</f>
        <v>0</v>
      </c>
      <c r="G2041" s="34" t="n">
        <f aca="false">SUMIFS('12.326ana'!$C:$C,'12.326ana'!$M:$M,redes!A2041)</f>
        <v>0</v>
      </c>
    </row>
    <row r="2042" customFormat="false" ht="14.4" hidden="true" customHeight="false" outlineLevel="0" collapsed="false">
      <c r="A2042" s="34" t="n">
        <v>31324207191</v>
      </c>
      <c r="B2042" s="34" t="s">
        <v>6643</v>
      </c>
      <c r="C2042" s="34" t="s">
        <v>107</v>
      </c>
      <c r="E2042" s="30" t="s">
        <v>6643</v>
      </c>
      <c r="F2042" s="34" t="n">
        <f aca="false">IFERROR(VLOOKUP($A2042,'319'!$B:$H,7,0),0)</f>
        <v>0</v>
      </c>
      <c r="G2042" s="34" t="n">
        <f aca="false">SUMIFS('12.326ana'!$C:$C,'12.326ana'!$M:$M,redes!A2042)</f>
        <v>0</v>
      </c>
    </row>
    <row r="2043" customFormat="false" ht="14.4" hidden="true" customHeight="false" outlineLevel="0" collapsed="false">
      <c r="A2043" s="34" t="n">
        <v>31324371153</v>
      </c>
      <c r="B2043" s="34" t="s">
        <v>6644</v>
      </c>
      <c r="C2043" s="34" t="s">
        <v>342</v>
      </c>
      <c r="E2043" s="30" t="s">
        <v>6645</v>
      </c>
      <c r="F2043" s="34" t="n">
        <f aca="false">IFERROR(VLOOKUP($A2043,'319'!$B:$H,7,0),0)</f>
        <v>0</v>
      </c>
      <c r="G2043" s="34" t="n">
        <f aca="false">SUMIFS('12.326ana'!$C:$C,'12.326ana'!$M:$M,redes!A2043)</f>
        <v>0</v>
      </c>
    </row>
    <row r="2044" customFormat="false" ht="14.4" hidden="true" customHeight="false" outlineLevel="0" collapsed="false">
      <c r="A2044" s="34" t="n">
        <v>31328695115</v>
      </c>
      <c r="B2044" s="34" t="s">
        <v>6646</v>
      </c>
      <c r="C2044" s="34" t="s">
        <v>107</v>
      </c>
      <c r="E2044" s="30" t="s">
        <v>4676</v>
      </c>
      <c r="F2044" s="34" t="n">
        <f aca="false">IFERROR(VLOOKUP($A2044,'319'!$B:$H,7,0),0)</f>
        <v>0</v>
      </c>
      <c r="G2044" s="34" t="n">
        <f aca="false">SUMIFS('12.326ana'!$C:$C,'12.326ana'!$M:$M,redes!A2044)</f>
        <v>0</v>
      </c>
    </row>
    <row r="2045" customFormat="false" ht="14.4" hidden="true" customHeight="false" outlineLevel="0" collapsed="false">
      <c r="A2045" s="34" t="n">
        <v>31391818172</v>
      </c>
      <c r="B2045" s="34" t="s">
        <v>6647</v>
      </c>
      <c r="C2045" s="34" t="s">
        <v>139</v>
      </c>
      <c r="E2045" s="30" t="s">
        <v>6648</v>
      </c>
      <c r="F2045" s="34" t="n">
        <f aca="false">IFERROR(VLOOKUP($A2045,'319'!$B:$H,7,0),0)</f>
        <v>0</v>
      </c>
      <c r="G2045" s="34" t="n">
        <f aca="false">SUMIFS('12.326ana'!$C:$C,'12.326ana'!$M:$M,redes!A2045)</f>
        <v>0</v>
      </c>
    </row>
    <row r="2046" customFormat="false" ht="14.4" hidden="true" customHeight="false" outlineLevel="0" collapsed="false">
      <c r="A2046" s="34" t="n">
        <v>31567320287</v>
      </c>
      <c r="B2046" s="34" t="s">
        <v>6649</v>
      </c>
      <c r="C2046" s="34" t="s">
        <v>77</v>
      </c>
      <c r="E2046" s="30" t="s">
        <v>6650</v>
      </c>
      <c r="F2046" s="34" t="n">
        <f aca="false">IFERROR(VLOOKUP($A2046,'319'!$B:$H,7,0),0)</f>
        <v>0</v>
      </c>
      <c r="G2046" s="34" t="n">
        <f aca="false">SUMIFS('12.326ana'!$C:$C,'12.326ana'!$M:$M,redes!A2046)</f>
        <v>0</v>
      </c>
    </row>
    <row r="2047" customFormat="false" ht="14.4" hidden="true" customHeight="false" outlineLevel="0" collapsed="false">
      <c r="A2047" s="34" t="n">
        <v>31654746215</v>
      </c>
      <c r="B2047" s="34" t="s">
        <v>6651</v>
      </c>
      <c r="C2047" s="34" t="s">
        <v>77</v>
      </c>
      <c r="E2047" s="30" t="s">
        <v>6651</v>
      </c>
      <c r="F2047" s="34" t="n">
        <f aca="false">IFERROR(VLOOKUP($A2047,'319'!$B:$H,7,0),0)</f>
        <v>0</v>
      </c>
      <c r="G2047" s="34" t="n">
        <f aca="false">SUMIFS('12.326ana'!$C:$C,'12.326ana'!$M:$M,redes!A2047)</f>
        <v>0</v>
      </c>
    </row>
    <row r="2048" customFormat="false" ht="14.4" hidden="true" customHeight="false" outlineLevel="0" collapsed="false">
      <c r="A2048" s="34" t="n">
        <v>31686192991</v>
      </c>
      <c r="B2048" s="34" t="s">
        <v>6652</v>
      </c>
      <c r="C2048" s="34" t="s">
        <v>77</v>
      </c>
      <c r="E2048" s="30" t="s">
        <v>6653</v>
      </c>
      <c r="F2048" s="34" t="n">
        <f aca="false">IFERROR(VLOOKUP($A2048,'319'!$B:$H,7,0),0)</f>
        <v>0</v>
      </c>
      <c r="G2048" s="34" t="n">
        <f aca="false">SUMIFS('12.326ana'!$C:$C,'12.326ana'!$M:$M,redes!A2048)</f>
        <v>0</v>
      </c>
    </row>
    <row r="2049" customFormat="false" ht="14.4" hidden="true" customHeight="false" outlineLevel="0" collapsed="false">
      <c r="A2049" s="34" t="n">
        <v>31703956885</v>
      </c>
      <c r="B2049" s="34" t="s">
        <v>6654</v>
      </c>
      <c r="C2049" s="34" t="s">
        <v>77</v>
      </c>
      <c r="E2049" s="30" t="s">
        <v>6655</v>
      </c>
      <c r="F2049" s="34" t="n">
        <f aca="false">IFERROR(VLOOKUP($A2049,'319'!$B:$H,7,0),0)</f>
        <v>0</v>
      </c>
      <c r="G2049" s="34" t="n">
        <f aca="false">SUMIFS('12.326ana'!$C:$C,'12.326ana'!$M:$M,redes!A2049)</f>
        <v>0</v>
      </c>
    </row>
    <row r="2050" customFormat="false" ht="14.4" hidden="true" customHeight="false" outlineLevel="0" collapsed="false">
      <c r="A2050" s="34" t="n">
        <v>31833071115</v>
      </c>
      <c r="B2050" s="34" t="s">
        <v>6656</v>
      </c>
      <c r="C2050" s="34" t="s">
        <v>77</v>
      </c>
      <c r="E2050" s="30" t="s">
        <v>6657</v>
      </c>
      <c r="F2050" s="34" t="n">
        <f aca="false">IFERROR(VLOOKUP($A2050,'319'!$B:$H,7,0),0)</f>
        <v>0</v>
      </c>
      <c r="G2050" s="34" t="n">
        <f aca="false">SUMIFS('12.326ana'!$C:$C,'12.326ana'!$M:$M,redes!A2050)</f>
        <v>0</v>
      </c>
    </row>
    <row r="2051" customFormat="false" ht="14.4" hidden="true" customHeight="false" outlineLevel="0" collapsed="false">
      <c r="A2051" s="34" t="n">
        <v>32103964853</v>
      </c>
      <c r="B2051" s="34" t="s">
        <v>6658</v>
      </c>
      <c r="C2051" s="34" t="s">
        <v>77</v>
      </c>
      <c r="E2051" s="30" t="s">
        <v>6659</v>
      </c>
      <c r="F2051" s="34" t="n">
        <f aca="false">IFERROR(VLOOKUP($A2051,'319'!$B:$H,7,0),0)</f>
        <v>0</v>
      </c>
      <c r="G2051" s="34" t="n">
        <f aca="false">SUMIFS('12.326ana'!$C:$C,'12.326ana'!$M:$M,redes!A2051)</f>
        <v>0</v>
      </c>
    </row>
    <row r="2052" customFormat="false" ht="14.4" hidden="true" customHeight="false" outlineLevel="0" collapsed="false">
      <c r="A2052" s="34" t="n">
        <v>32104120144</v>
      </c>
      <c r="B2052" s="34" t="s">
        <v>6660</v>
      </c>
      <c r="C2052" s="34" t="s">
        <v>77</v>
      </c>
      <c r="E2052" s="30" t="s">
        <v>6661</v>
      </c>
      <c r="F2052" s="34" t="n">
        <f aca="false">IFERROR(VLOOKUP($A2052,'319'!$B:$H,7,0),0)</f>
        <v>0</v>
      </c>
      <c r="G2052" s="34" t="n">
        <f aca="false">SUMIFS('12.326ana'!$C:$C,'12.326ana'!$M:$M,redes!A2052)</f>
        <v>0</v>
      </c>
    </row>
    <row r="2053" customFormat="false" ht="14.4" hidden="true" customHeight="false" outlineLevel="0" collapsed="false">
      <c r="A2053" s="34" t="n">
        <v>32112106104</v>
      </c>
      <c r="B2053" s="34" t="s">
        <v>6662</v>
      </c>
      <c r="C2053" s="34" t="s">
        <v>117</v>
      </c>
      <c r="E2053" s="30" t="s">
        <v>6663</v>
      </c>
      <c r="F2053" s="34" t="n">
        <f aca="false">IFERROR(VLOOKUP($A2053,'319'!$B:$H,7,0),0)</f>
        <v>0</v>
      </c>
      <c r="G2053" s="34" t="n">
        <f aca="false">SUMIFS('12.326ana'!$C:$C,'12.326ana'!$M:$M,redes!A2053)</f>
        <v>0</v>
      </c>
    </row>
    <row r="2054" customFormat="false" ht="14.4" hidden="true" customHeight="false" outlineLevel="0" collapsed="false">
      <c r="A2054" s="34" t="n">
        <v>32112840100</v>
      </c>
      <c r="B2054" s="34" t="s">
        <v>6664</v>
      </c>
      <c r="C2054" s="34" t="s">
        <v>77</v>
      </c>
      <c r="E2054" s="30" t="s">
        <v>6665</v>
      </c>
      <c r="F2054" s="34" t="n">
        <f aca="false">IFERROR(VLOOKUP($A2054,'319'!$B:$H,7,0),0)</f>
        <v>0</v>
      </c>
      <c r="G2054" s="34" t="n">
        <f aca="false">SUMIFS('12.326ana'!$C:$C,'12.326ana'!$M:$M,redes!A2054)</f>
        <v>0</v>
      </c>
    </row>
    <row r="2055" customFormat="false" ht="14.4" hidden="true" customHeight="false" outlineLevel="0" collapsed="false">
      <c r="A2055" s="34" t="n">
        <v>32113226120</v>
      </c>
      <c r="B2055" s="34" t="s">
        <v>6666</v>
      </c>
      <c r="C2055" s="34" t="s">
        <v>107</v>
      </c>
      <c r="E2055" s="30" t="s">
        <v>6667</v>
      </c>
      <c r="F2055" s="34" t="n">
        <f aca="false">IFERROR(VLOOKUP($A2055,'319'!$B:$H,7,0),0)</f>
        <v>0</v>
      </c>
      <c r="G2055" s="34" t="n">
        <f aca="false">SUMIFS('12.326ana'!$C:$C,'12.326ana'!$M:$M,redes!A2055)</f>
        <v>0</v>
      </c>
    </row>
    <row r="2056" customFormat="false" ht="14.4" hidden="true" customHeight="false" outlineLevel="0" collapsed="false">
      <c r="A2056" s="34" t="n">
        <v>32113269104</v>
      </c>
      <c r="B2056" s="34" t="s">
        <v>6668</v>
      </c>
      <c r="C2056" s="34" t="s">
        <v>77</v>
      </c>
      <c r="E2056" s="30" t="s">
        <v>6669</v>
      </c>
      <c r="F2056" s="34" t="n">
        <f aca="false">IFERROR(VLOOKUP($A2056,'319'!$B:$H,7,0),0)</f>
        <v>0</v>
      </c>
      <c r="G2056" s="34" t="n">
        <f aca="false">SUMIFS('12.326ana'!$C:$C,'12.326ana'!$M:$M,redes!A2056)</f>
        <v>0</v>
      </c>
    </row>
    <row r="2057" customFormat="false" ht="14.4" hidden="true" customHeight="false" outlineLevel="0" collapsed="false">
      <c r="A2057" s="34" t="n">
        <v>32124090100</v>
      </c>
      <c r="B2057" s="34" t="s">
        <v>6670</v>
      </c>
      <c r="C2057" s="34" t="s">
        <v>77</v>
      </c>
      <c r="E2057" s="30" t="s">
        <v>6671</v>
      </c>
      <c r="F2057" s="34" t="n">
        <f aca="false">IFERROR(VLOOKUP($A2057,'319'!$B:$H,7,0),0)</f>
        <v>0</v>
      </c>
      <c r="G2057" s="34" t="n">
        <f aca="false">SUMIFS('12.326ana'!$C:$C,'12.326ana'!$M:$M,redes!A2057)</f>
        <v>0</v>
      </c>
    </row>
    <row r="2058" customFormat="false" ht="14.4" hidden="true" customHeight="false" outlineLevel="0" collapsed="false">
      <c r="A2058" s="34" t="n">
        <v>32128975115</v>
      </c>
      <c r="B2058" s="34" t="s">
        <v>6672</v>
      </c>
      <c r="C2058" s="34" t="s">
        <v>77</v>
      </c>
      <c r="E2058" s="30" t="s">
        <v>6673</v>
      </c>
      <c r="F2058" s="34" t="n">
        <f aca="false">IFERROR(VLOOKUP($A2058,'319'!$B:$H,7,0),0)</f>
        <v>0</v>
      </c>
      <c r="G2058" s="34" t="n">
        <f aca="false">SUMIFS('12.326ana'!$C:$C,'12.326ana'!$M:$M,redes!A2058)</f>
        <v>0</v>
      </c>
    </row>
    <row r="2059" customFormat="false" ht="14.4" hidden="true" customHeight="false" outlineLevel="0" collapsed="false">
      <c r="A2059" s="34" t="n">
        <v>32139349172</v>
      </c>
      <c r="B2059" s="34" t="s">
        <v>6674</v>
      </c>
      <c r="C2059" s="34" t="s">
        <v>77</v>
      </c>
      <c r="E2059" s="30" t="s">
        <v>6675</v>
      </c>
      <c r="F2059" s="34" t="n">
        <f aca="false">IFERROR(VLOOKUP($A2059,'319'!$B:$H,7,0),0)</f>
        <v>0</v>
      </c>
      <c r="G2059" s="34" t="n">
        <f aca="false">SUMIFS('12.326ana'!$C:$C,'12.326ana'!$M:$M,redes!A2059)</f>
        <v>0</v>
      </c>
    </row>
    <row r="2060" customFormat="false" ht="14.4" hidden="true" customHeight="false" outlineLevel="0" collapsed="false">
      <c r="A2060" s="34" t="n">
        <v>32145624104</v>
      </c>
      <c r="B2060" s="34" t="s">
        <v>6676</v>
      </c>
      <c r="C2060" s="34" t="s">
        <v>77</v>
      </c>
      <c r="E2060" s="30" t="s">
        <v>6677</v>
      </c>
      <c r="F2060" s="34" t="n">
        <f aca="false">IFERROR(VLOOKUP($A2060,'319'!$B:$H,7,0),0)</f>
        <v>0</v>
      </c>
      <c r="G2060" s="34" t="n">
        <f aca="false">SUMIFS('12.326ana'!$C:$C,'12.326ana'!$M:$M,redes!A2060)</f>
        <v>0</v>
      </c>
    </row>
    <row r="2061" customFormat="false" ht="14.4" hidden="true" customHeight="false" outlineLevel="0" collapsed="false">
      <c r="A2061" s="34" t="n">
        <v>32146558172</v>
      </c>
      <c r="B2061" s="34" t="s">
        <v>6678</v>
      </c>
      <c r="C2061" s="34" t="s">
        <v>77</v>
      </c>
      <c r="E2061" s="30" t="s">
        <v>4630</v>
      </c>
      <c r="F2061" s="34" t="n">
        <f aca="false">IFERROR(VLOOKUP($A2061,'319'!$B:$H,7,0),0)</f>
        <v>0</v>
      </c>
      <c r="G2061" s="34" t="n">
        <f aca="false">SUMIFS('12.326ana'!$C:$C,'12.326ana'!$M:$M,redes!A2061)</f>
        <v>0</v>
      </c>
    </row>
    <row r="2062" customFormat="false" ht="14.4" hidden="true" customHeight="false" outlineLevel="0" collapsed="false">
      <c r="A2062" s="34" t="n">
        <v>32151829120</v>
      </c>
      <c r="B2062" s="34" t="s">
        <v>6679</v>
      </c>
      <c r="C2062" s="34" t="s">
        <v>103</v>
      </c>
      <c r="E2062" s="30" t="s">
        <v>6680</v>
      </c>
      <c r="F2062" s="34" t="n">
        <f aca="false">IFERROR(VLOOKUP($A2062,'319'!$B:$H,7,0),0)</f>
        <v>0</v>
      </c>
      <c r="G2062" s="34" t="n">
        <f aca="false">SUMIFS('12.326ana'!$C:$C,'12.326ana'!$M:$M,redes!A2062)</f>
        <v>0</v>
      </c>
    </row>
    <row r="2063" customFormat="false" ht="14.4" hidden="true" customHeight="false" outlineLevel="0" collapsed="false">
      <c r="A2063" s="34" t="n">
        <v>32158989172</v>
      </c>
      <c r="B2063" s="34" t="s">
        <v>6681</v>
      </c>
      <c r="C2063" s="34" t="s">
        <v>77</v>
      </c>
      <c r="E2063" s="30" t="s">
        <v>6682</v>
      </c>
      <c r="F2063" s="34" t="n">
        <f aca="false">IFERROR(VLOOKUP($A2063,'319'!$B:$H,7,0),0)</f>
        <v>0</v>
      </c>
      <c r="G2063" s="34" t="n">
        <f aca="false">SUMIFS('12.326ana'!$C:$C,'12.326ana'!$M:$M,redes!A2063)</f>
        <v>0</v>
      </c>
    </row>
    <row r="2064" customFormat="false" ht="14.4" hidden="true" customHeight="false" outlineLevel="0" collapsed="false">
      <c r="A2064" s="34" t="n">
        <v>32162090163</v>
      </c>
      <c r="B2064" s="34" t="s">
        <v>6683</v>
      </c>
      <c r="C2064" s="34" t="s">
        <v>77</v>
      </c>
      <c r="E2064" s="30" t="s">
        <v>6684</v>
      </c>
      <c r="F2064" s="34" t="n">
        <f aca="false">IFERROR(VLOOKUP($A2064,'319'!$B:$H,7,0),0)</f>
        <v>0</v>
      </c>
      <c r="G2064" s="34" t="n">
        <f aca="false">SUMIFS('12.326ana'!$C:$C,'12.326ana'!$M:$M,redes!A2064)</f>
        <v>0</v>
      </c>
    </row>
    <row r="2065" customFormat="false" ht="14.4" hidden="true" customHeight="false" outlineLevel="0" collapsed="false">
      <c r="A2065" s="34" t="n">
        <v>32163592120</v>
      </c>
      <c r="B2065" s="34" t="s">
        <v>6685</v>
      </c>
      <c r="C2065" s="34" t="s">
        <v>77</v>
      </c>
      <c r="E2065" s="30" t="s">
        <v>6686</v>
      </c>
      <c r="F2065" s="34" t="n">
        <f aca="false">IFERROR(VLOOKUP($A2065,'319'!$B:$H,7,0),0)</f>
        <v>0</v>
      </c>
      <c r="G2065" s="34" t="n">
        <f aca="false">SUMIFS('12.326ana'!$C:$C,'12.326ana'!$M:$M,redes!A2065)</f>
        <v>0</v>
      </c>
    </row>
    <row r="2066" customFormat="false" ht="14.4" hidden="true" customHeight="false" outlineLevel="0" collapsed="false">
      <c r="A2066" s="34" t="n">
        <v>32166168191</v>
      </c>
      <c r="B2066" s="34" t="s">
        <v>6687</v>
      </c>
      <c r="C2066" s="34" t="s">
        <v>77</v>
      </c>
      <c r="E2066" s="30" t="s">
        <v>6355</v>
      </c>
      <c r="F2066" s="34" t="n">
        <f aca="false">IFERROR(VLOOKUP($A2066,'319'!$B:$H,7,0),0)</f>
        <v>0</v>
      </c>
      <c r="G2066" s="34" t="n">
        <f aca="false">SUMIFS('12.326ana'!$C:$C,'12.326ana'!$M:$M,redes!A2066)</f>
        <v>0</v>
      </c>
    </row>
    <row r="2067" customFormat="false" ht="14.4" hidden="true" customHeight="false" outlineLevel="0" collapsed="false">
      <c r="A2067" s="34" t="n">
        <v>32176708172</v>
      </c>
      <c r="B2067" s="34" t="s">
        <v>6688</v>
      </c>
      <c r="C2067" s="34" t="s">
        <v>4139</v>
      </c>
      <c r="E2067" s="30"/>
      <c r="F2067" s="34" t="n">
        <f aca="false">IFERROR(VLOOKUP($A2067,'319'!$B:$H,7,0),0)</f>
        <v>0</v>
      </c>
      <c r="G2067" s="34" t="n">
        <f aca="false">SUMIFS('12.326ana'!$C:$C,'12.326ana'!$M:$M,redes!A2067)</f>
        <v>0</v>
      </c>
    </row>
    <row r="2068" customFormat="false" ht="14.4" hidden="true" customHeight="false" outlineLevel="0" collapsed="false">
      <c r="A2068" s="34" t="n">
        <v>32179480172</v>
      </c>
      <c r="B2068" s="34" t="s">
        <v>6689</v>
      </c>
      <c r="C2068" s="34" t="s">
        <v>77</v>
      </c>
      <c r="E2068" s="30" t="s">
        <v>6690</v>
      </c>
      <c r="F2068" s="34" t="n">
        <f aca="false">IFERROR(VLOOKUP($A2068,'319'!$B:$H,7,0),0)</f>
        <v>0</v>
      </c>
      <c r="G2068" s="34" t="n">
        <f aca="false">SUMIFS('12.326ana'!$C:$C,'12.326ana'!$M:$M,redes!A2068)</f>
        <v>0</v>
      </c>
    </row>
    <row r="2069" customFormat="false" ht="14.4" hidden="true" customHeight="false" outlineLevel="0" collapsed="false">
      <c r="A2069" s="34" t="n">
        <v>32181892172</v>
      </c>
      <c r="B2069" s="34" t="s">
        <v>6691</v>
      </c>
      <c r="C2069" s="34" t="s">
        <v>77</v>
      </c>
      <c r="E2069" s="30" t="s">
        <v>6692</v>
      </c>
      <c r="F2069" s="34" t="n">
        <f aca="false">IFERROR(VLOOKUP($A2069,'319'!$B:$H,7,0),0)</f>
        <v>0</v>
      </c>
      <c r="G2069" s="34" t="n">
        <f aca="false">SUMIFS('12.326ana'!$C:$C,'12.326ana'!$M:$M,redes!A2069)</f>
        <v>0</v>
      </c>
    </row>
    <row r="2070" customFormat="false" ht="14.4" hidden="true" customHeight="false" outlineLevel="0" collapsed="false">
      <c r="A2070" s="34" t="n">
        <v>32188781104</v>
      </c>
      <c r="B2070" s="34" t="s">
        <v>6693</v>
      </c>
      <c r="C2070" s="34" t="s">
        <v>631</v>
      </c>
      <c r="E2070" s="30" t="s">
        <v>6694</v>
      </c>
      <c r="F2070" s="34" t="n">
        <f aca="false">IFERROR(VLOOKUP($A2070,'319'!$B:$H,7,0),0)</f>
        <v>0</v>
      </c>
      <c r="G2070" s="34" t="n">
        <f aca="false">SUMIFS('12.326ana'!$C:$C,'12.326ana'!$M:$M,redes!A2070)</f>
        <v>0</v>
      </c>
    </row>
    <row r="2071" customFormat="false" ht="14.4" hidden="true" customHeight="false" outlineLevel="0" collapsed="false">
      <c r="A2071" s="34" t="n">
        <v>32193866104</v>
      </c>
      <c r="B2071" s="34" t="s">
        <v>6695</v>
      </c>
      <c r="C2071" s="34" t="s">
        <v>77</v>
      </c>
      <c r="E2071" s="30" t="s">
        <v>6696</v>
      </c>
      <c r="F2071" s="34" t="n">
        <f aca="false">IFERROR(VLOOKUP($A2071,'319'!$B:$H,7,0),0)</f>
        <v>0</v>
      </c>
      <c r="G2071" s="34" t="n">
        <f aca="false">SUMIFS('12.326ana'!$C:$C,'12.326ana'!$M:$M,redes!A2071)</f>
        <v>0</v>
      </c>
    </row>
    <row r="2072" customFormat="false" ht="14.4" hidden="true" customHeight="false" outlineLevel="0" collapsed="false">
      <c r="A2072" s="34" t="n">
        <v>32195567104</v>
      </c>
      <c r="B2072" s="34" t="s">
        <v>6697</v>
      </c>
      <c r="C2072" s="34" t="s">
        <v>463</v>
      </c>
      <c r="E2072" s="30" t="s">
        <v>6698</v>
      </c>
      <c r="F2072" s="34" t="n">
        <f aca="false">IFERROR(VLOOKUP($A2072,'319'!$B:$H,7,0),0)</f>
        <v>0</v>
      </c>
      <c r="G2072" s="34" t="n">
        <f aca="false">SUMIFS('12.326ana'!$C:$C,'12.326ana'!$M:$M,redes!A2072)</f>
        <v>0</v>
      </c>
    </row>
    <row r="2073" customFormat="false" ht="14.4" hidden="true" customHeight="false" outlineLevel="0" collapsed="false">
      <c r="A2073" s="34" t="n">
        <v>32202024115</v>
      </c>
      <c r="B2073" s="34" t="s">
        <v>6699</v>
      </c>
      <c r="C2073" s="34" t="s">
        <v>77</v>
      </c>
      <c r="E2073" s="30" t="s">
        <v>6700</v>
      </c>
      <c r="F2073" s="34" t="n">
        <f aca="false">IFERROR(VLOOKUP($A2073,'319'!$B:$H,7,0),0)</f>
        <v>0</v>
      </c>
      <c r="G2073" s="34" t="n">
        <f aca="false">SUMIFS('12.326ana'!$C:$C,'12.326ana'!$M:$M,redes!A2073)</f>
        <v>0</v>
      </c>
    </row>
    <row r="2074" customFormat="false" ht="14.4" hidden="true" customHeight="false" outlineLevel="0" collapsed="false">
      <c r="A2074" s="34" t="n">
        <v>32203080159</v>
      </c>
      <c r="B2074" s="34" t="s">
        <v>6701</v>
      </c>
      <c r="C2074" s="34" t="s">
        <v>77</v>
      </c>
      <c r="E2074" s="30" t="s">
        <v>6702</v>
      </c>
      <c r="F2074" s="34" t="n">
        <f aca="false">IFERROR(VLOOKUP($A2074,'319'!$B:$H,7,0),0)</f>
        <v>0</v>
      </c>
      <c r="G2074" s="34" t="n">
        <f aca="false">SUMIFS('12.326ana'!$C:$C,'12.326ana'!$M:$M,redes!A2074)</f>
        <v>0</v>
      </c>
    </row>
    <row r="2075" customFormat="false" ht="14.4" hidden="true" customHeight="false" outlineLevel="0" collapsed="false">
      <c r="A2075" s="34" t="n">
        <v>32203179104</v>
      </c>
      <c r="B2075" s="34" t="s">
        <v>6703</v>
      </c>
      <c r="C2075" s="34" t="s">
        <v>77</v>
      </c>
      <c r="E2075" s="30"/>
      <c r="F2075" s="34" t="n">
        <f aca="false">IFERROR(VLOOKUP($A2075,'319'!$B:$H,7,0),0)</f>
        <v>0</v>
      </c>
      <c r="G2075" s="34" t="n">
        <f aca="false">SUMIFS('12.326ana'!$C:$C,'12.326ana'!$M:$M,redes!A2075)</f>
        <v>0</v>
      </c>
    </row>
    <row r="2076" customFormat="false" ht="14.4" hidden="true" customHeight="false" outlineLevel="0" collapsed="false">
      <c r="A2076" s="34" t="n">
        <v>32209053153</v>
      </c>
      <c r="B2076" s="34" t="s">
        <v>6704</v>
      </c>
      <c r="C2076" s="34" t="s">
        <v>77</v>
      </c>
      <c r="E2076" s="30" t="s">
        <v>6705</v>
      </c>
      <c r="F2076" s="34" t="n">
        <f aca="false">IFERROR(VLOOKUP($A2076,'319'!$B:$H,7,0),0)</f>
        <v>0</v>
      </c>
      <c r="G2076" s="34" t="n">
        <f aca="false">SUMIFS('12.326ana'!$C:$C,'12.326ana'!$M:$M,redes!A2076)</f>
        <v>0</v>
      </c>
    </row>
    <row r="2077" customFormat="false" ht="14.4" hidden="true" customHeight="false" outlineLevel="0" collapsed="false">
      <c r="A2077" s="34" t="n">
        <v>32211503187</v>
      </c>
      <c r="B2077" s="34" t="s">
        <v>6706</v>
      </c>
      <c r="C2077" s="34" t="s">
        <v>77</v>
      </c>
      <c r="E2077" s="30" t="s">
        <v>6707</v>
      </c>
      <c r="F2077" s="34" t="n">
        <f aca="false">IFERROR(VLOOKUP($A2077,'319'!$B:$H,7,0),0)</f>
        <v>0</v>
      </c>
      <c r="G2077" s="34" t="n">
        <f aca="false">SUMIFS('12.326ana'!$C:$C,'12.326ana'!$M:$M,redes!A2077)</f>
        <v>0</v>
      </c>
    </row>
    <row r="2078" customFormat="false" ht="14.4" hidden="true" customHeight="false" outlineLevel="0" collapsed="false">
      <c r="A2078" s="34" t="n">
        <v>32212380100</v>
      </c>
      <c r="B2078" s="34" t="s">
        <v>6708</v>
      </c>
      <c r="C2078" s="34" t="s">
        <v>77</v>
      </c>
      <c r="E2078" s="30" t="s">
        <v>6709</v>
      </c>
      <c r="F2078" s="34" t="n">
        <f aca="false">IFERROR(VLOOKUP($A2078,'319'!$B:$H,7,0),0)</f>
        <v>0</v>
      </c>
      <c r="G2078" s="34" t="n">
        <f aca="false">SUMIFS('12.326ana'!$C:$C,'12.326ana'!$M:$M,redes!A2078)</f>
        <v>0</v>
      </c>
    </row>
    <row r="2079" customFormat="false" ht="14.4" hidden="true" customHeight="false" outlineLevel="0" collapsed="false">
      <c r="A2079" s="34" t="n">
        <v>32220987191</v>
      </c>
      <c r="B2079" s="34" t="s">
        <v>6710</v>
      </c>
      <c r="C2079" s="34" t="s">
        <v>77</v>
      </c>
      <c r="E2079" s="30" t="s">
        <v>6711</v>
      </c>
      <c r="F2079" s="34" t="n">
        <f aca="false">IFERROR(VLOOKUP($A2079,'319'!$B:$H,7,0),0)</f>
        <v>0</v>
      </c>
      <c r="G2079" s="34" t="n">
        <f aca="false">SUMIFS('12.326ana'!$C:$C,'12.326ana'!$M:$M,redes!A2079)</f>
        <v>0</v>
      </c>
    </row>
    <row r="2080" customFormat="false" ht="14.4" hidden="true" customHeight="false" outlineLevel="0" collapsed="false">
      <c r="A2080" s="34" t="n">
        <v>32223102115</v>
      </c>
      <c r="B2080" s="34" t="s">
        <v>6712</v>
      </c>
      <c r="C2080" s="34" t="s">
        <v>377</v>
      </c>
      <c r="E2080" s="30" t="s">
        <v>6713</v>
      </c>
      <c r="F2080" s="34" t="n">
        <f aca="false">IFERROR(VLOOKUP($A2080,'319'!$B:$H,7,0),0)</f>
        <v>0</v>
      </c>
      <c r="G2080" s="34" t="n">
        <f aca="false">SUMIFS('12.326ana'!$C:$C,'12.326ana'!$M:$M,redes!A2080)</f>
        <v>0</v>
      </c>
    </row>
    <row r="2081" customFormat="false" ht="14.4" hidden="true" customHeight="false" outlineLevel="0" collapsed="false">
      <c r="A2081" s="34" t="n">
        <v>32225342172</v>
      </c>
      <c r="B2081" s="34" t="s">
        <v>6714</v>
      </c>
      <c r="C2081" s="34" t="s">
        <v>299</v>
      </c>
      <c r="E2081" s="30" t="s">
        <v>6715</v>
      </c>
      <c r="F2081" s="34" t="n">
        <f aca="false">IFERROR(VLOOKUP($A2081,'319'!$B:$H,7,0),0)</f>
        <v>0</v>
      </c>
      <c r="G2081" s="34" t="n">
        <f aca="false">SUMIFS('12.326ana'!$C:$C,'12.326ana'!$M:$M,redes!A2081)</f>
        <v>0</v>
      </c>
    </row>
    <row r="2082" customFormat="false" ht="14.4" hidden="true" customHeight="false" outlineLevel="0" collapsed="false">
      <c r="A2082" s="34" t="n">
        <v>32229208187</v>
      </c>
      <c r="B2082" s="34" t="s">
        <v>5449</v>
      </c>
      <c r="C2082" s="34" t="s">
        <v>598</v>
      </c>
      <c r="E2082" s="30" t="s">
        <v>6716</v>
      </c>
      <c r="F2082" s="34" t="n">
        <f aca="false">IFERROR(VLOOKUP($A2082,'319'!$B:$H,7,0),0)</f>
        <v>0</v>
      </c>
      <c r="G2082" s="34" t="n">
        <f aca="false">SUMIFS('12.326ana'!$C:$C,'12.326ana'!$M:$M,redes!A2082)</f>
        <v>0</v>
      </c>
    </row>
    <row r="2083" customFormat="false" ht="14.4" hidden="true" customHeight="false" outlineLevel="0" collapsed="false">
      <c r="A2083" s="34" t="n">
        <v>32232362876</v>
      </c>
      <c r="B2083" s="34" t="s">
        <v>6717</v>
      </c>
      <c r="C2083" s="34" t="s">
        <v>77</v>
      </c>
      <c r="E2083" s="30" t="s">
        <v>6718</v>
      </c>
      <c r="F2083" s="34" t="n">
        <f aca="false">IFERROR(VLOOKUP($A2083,'319'!$B:$H,7,0),0)</f>
        <v>0</v>
      </c>
      <c r="G2083" s="34" t="n">
        <f aca="false">SUMIFS('12.326ana'!$C:$C,'12.326ana'!$M:$M,redes!A2083)</f>
        <v>0</v>
      </c>
    </row>
    <row r="2084" customFormat="false" ht="14.4" hidden="true" customHeight="false" outlineLevel="0" collapsed="false">
      <c r="A2084" s="34" t="n">
        <v>32236069120</v>
      </c>
      <c r="B2084" s="34" t="s">
        <v>6719</v>
      </c>
      <c r="C2084" s="34" t="s">
        <v>77</v>
      </c>
      <c r="D2084" s="34" t="s">
        <v>5602</v>
      </c>
      <c r="E2084" s="30" t="s">
        <v>6720</v>
      </c>
      <c r="F2084" s="34" t="n">
        <f aca="false">IFERROR(VLOOKUP($A2084,'319'!$B:$H,7,0),0)</f>
        <v>0</v>
      </c>
      <c r="G2084" s="34" t="n">
        <f aca="false">SUMIFS('12.326ana'!$C:$C,'12.326ana'!$M:$M,redes!A2084)</f>
        <v>0</v>
      </c>
    </row>
    <row r="2085" customFormat="false" ht="14.4" hidden="true" customHeight="false" outlineLevel="0" collapsed="false">
      <c r="A2085" s="34" t="n">
        <v>32236735120</v>
      </c>
      <c r="B2085" s="34" t="s">
        <v>6721</v>
      </c>
      <c r="C2085" s="34" t="s">
        <v>77</v>
      </c>
      <c r="E2085" s="30" t="s">
        <v>6722</v>
      </c>
      <c r="F2085" s="34" t="n">
        <f aca="false">IFERROR(VLOOKUP($A2085,'319'!$B:$H,7,0),0)</f>
        <v>0</v>
      </c>
      <c r="G2085" s="34" t="n">
        <f aca="false">SUMIFS('12.326ana'!$C:$C,'12.326ana'!$M:$M,redes!A2085)</f>
        <v>0</v>
      </c>
    </row>
    <row r="2086" customFormat="false" ht="14.4" hidden="true" customHeight="false" outlineLevel="0" collapsed="false">
      <c r="A2086" s="34" t="n">
        <v>32247532187</v>
      </c>
      <c r="B2086" s="34" t="s">
        <v>6723</v>
      </c>
      <c r="C2086" s="34" t="s">
        <v>77</v>
      </c>
      <c r="E2086" s="30" t="s">
        <v>6724</v>
      </c>
      <c r="F2086" s="34" t="n">
        <f aca="false">IFERROR(VLOOKUP($A2086,'319'!$B:$H,7,0),0)</f>
        <v>0</v>
      </c>
      <c r="G2086" s="34" t="n">
        <f aca="false">SUMIFS('12.326ana'!$C:$C,'12.326ana'!$M:$M,redes!A2086)</f>
        <v>0</v>
      </c>
    </row>
    <row r="2087" customFormat="false" ht="14.4" hidden="true" customHeight="false" outlineLevel="0" collapsed="false">
      <c r="A2087" s="34" t="n">
        <v>32248172168</v>
      </c>
      <c r="B2087" s="34" t="s">
        <v>6725</v>
      </c>
      <c r="C2087" s="34" t="s">
        <v>77</v>
      </c>
      <c r="E2087" s="30" t="s">
        <v>6726</v>
      </c>
      <c r="F2087" s="34" t="n">
        <f aca="false">IFERROR(VLOOKUP($A2087,'319'!$B:$H,7,0),0)</f>
        <v>0</v>
      </c>
      <c r="G2087" s="34" t="n">
        <f aca="false">SUMIFS('12.326ana'!$C:$C,'12.326ana'!$M:$M,redes!A2087)</f>
        <v>0</v>
      </c>
    </row>
    <row r="2088" customFormat="false" ht="14.4" hidden="true" customHeight="false" outlineLevel="0" collapsed="false">
      <c r="A2088" s="34" t="n">
        <v>32263040110</v>
      </c>
      <c r="B2088" s="34" t="s">
        <v>6727</v>
      </c>
      <c r="C2088" s="34" t="s">
        <v>77</v>
      </c>
      <c r="E2088" s="30" t="s">
        <v>4604</v>
      </c>
      <c r="F2088" s="34" t="n">
        <f aca="false">IFERROR(VLOOKUP($A2088,'319'!$B:$H,7,0),0)</f>
        <v>0</v>
      </c>
      <c r="G2088" s="34" t="n">
        <f aca="false">SUMIFS('12.326ana'!$C:$C,'12.326ana'!$M:$M,redes!A2088)</f>
        <v>0</v>
      </c>
    </row>
    <row r="2089" customFormat="false" ht="14.4" hidden="true" customHeight="false" outlineLevel="0" collapsed="false">
      <c r="A2089" s="34" t="n">
        <v>32263449191</v>
      </c>
      <c r="B2089" s="34" t="s">
        <v>6728</v>
      </c>
      <c r="C2089" s="34" t="s">
        <v>357</v>
      </c>
      <c r="E2089" s="30" t="s">
        <v>6729</v>
      </c>
      <c r="F2089" s="34" t="n">
        <f aca="false">IFERROR(VLOOKUP($A2089,'319'!$B:$H,7,0),0)</f>
        <v>0</v>
      </c>
      <c r="G2089" s="34" t="n">
        <f aca="false">SUMIFS('12.326ana'!$C:$C,'12.326ana'!$M:$M,redes!A2089)</f>
        <v>0</v>
      </c>
    </row>
    <row r="2090" customFormat="false" ht="14.4" hidden="true" customHeight="false" outlineLevel="0" collapsed="false">
      <c r="A2090" s="34" t="n">
        <v>32267517191</v>
      </c>
      <c r="B2090" s="34" t="s">
        <v>6730</v>
      </c>
      <c r="C2090" s="34" t="s">
        <v>77</v>
      </c>
      <c r="E2090" s="30" t="s">
        <v>6731</v>
      </c>
      <c r="F2090" s="34" t="n">
        <f aca="false">IFERROR(VLOOKUP($A2090,'319'!$B:$H,7,0),0)</f>
        <v>0</v>
      </c>
      <c r="G2090" s="34" t="n">
        <f aca="false">SUMIFS('12.326ana'!$C:$C,'12.326ana'!$M:$M,redes!A2090)</f>
        <v>0</v>
      </c>
    </row>
    <row r="2091" customFormat="false" ht="14.4" hidden="true" customHeight="false" outlineLevel="0" collapsed="false">
      <c r="A2091" s="34" t="n">
        <v>32270909100</v>
      </c>
      <c r="B2091" s="34" t="s">
        <v>6732</v>
      </c>
      <c r="C2091" s="34" t="s">
        <v>77</v>
      </c>
      <c r="E2091" s="30" t="s">
        <v>6733</v>
      </c>
      <c r="F2091" s="34" t="n">
        <f aca="false">IFERROR(VLOOKUP($A2091,'319'!$B:$H,7,0),0)</f>
        <v>0</v>
      </c>
      <c r="G2091" s="34" t="n">
        <f aca="false">SUMIFS('12.326ana'!$C:$C,'12.326ana'!$M:$M,redes!A2091)</f>
        <v>0</v>
      </c>
    </row>
    <row r="2092" customFormat="false" ht="14.4" hidden="true" customHeight="false" outlineLevel="0" collapsed="false">
      <c r="A2092" s="34" t="n">
        <v>32273860110</v>
      </c>
      <c r="B2092" s="34" t="s">
        <v>6734</v>
      </c>
      <c r="C2092" s="34" t="s">
        <v>77</v>
      </c>
      <c r="E2092" s="30" t="s">
        <v>6735</v>
      </c>
      <c r="F2092" s="34" t="n">
        <f aca="false">IFERROR(VLOOKUP($A2092,'319'!$B:$H,7,0),0)</f>
        <v>0</v>
      </c>
      <c r="G2092" s="34" t="n">
        <f aca="false">SUMIFS('12.326ana'!$C:$C,'12.326ana'!$M:$M,redes!A2092)</f>
        <v>0</v>
      </c>
    </row>
    <row r="2093" customFormat="false" ht="14.4" hidden="true" customHeight="false" outlineLevel="0" collapsed="false">
      <c r="A2093" s="34" t="n">
        <v>32274530106</v>
      </c>
      <c r="B2093" s="34" t="s">
        <v>6736</v>
      </c>
      <c r="C2093" s="34" t="s">
        <v>77</v>
      </c>
      <c r="E2093" s="30" t="s">
        <v>6737</v>
      </c>
      <c r="F2093" s="34" t="n">
        <f aca="false">IFERROR(VLOOKUP($A2093,'319'!$B:$H,7,0),0)</f>
        <v>0</v>
      </c>
      <c r="G2093" s="34" t="n">
        <f aca="false">SUMIFS('12.326ana'!$C:$C,'12.326ana'!$M:$M,redes!A2093)</f>
        <v>0</v>
      </c>
    </row>
    <row r="2094" customFormat="false" ht="14.4" hidden="true" customHeight="false" outlineLevel="0" collapsed="false">
      <c r="A2094" s="34" t="n">
        <v>32291398873</v>
      </c>
      <c r="B2094" s="34" t="s">
        <v>6738</v>
      </c>
      <c r="C2094" s="34" t="s">
        <v>77</v>
      </c>
      <c r="E2094" s="30" t="s">
        <v>6739</v>
      </c>
      <c r="F2094" s="34" t="n">
        <f aca="false">IFERROR(VLOOKUP($A2094,'319'!$B:$H,7,0),0)</f>
        <v>0</v>
      </c>
      <c r="G2094" s="34" t="n">
        <f aca="false">SUMIFS('12.326ana'!$C:$C,'12.326ana'!$M:$M,redes!A2094)</f>
        <v>0</v>
      </c>
    </row>
    <row r="2095" customFormat="false" ht="14.4" hidden="true" customHeight="false" outlineLevel="0" collapsed="false">
      <c r="A2095" s="34" t="n">
        <v>32391129220</v>
      </c>
      <c r="B2095" s="34" t="s">
        <v>6740</v>
      </c>
      <c r="C2095" s="34" t="s">
        <v>77</v>
      </c>
      <c r="E2095" s="30" t="s">
        <v>6741</v>
      </c>
      <c r="F2095" s="34" t="n">
        <f aca="false">IFERROR(VLOOKUP($A2095,'319'!$B:$H,7,0),0)</f>
        <v>0</v>
      </c>
      <c r="G2095" s="34" t="n">
        <f aca="false">SUMIFS('12.326ana'!$C:$C,'12.326ana'!$M:$M,redes!A2095)</f>
        <v>0</v>
      </c>
    </row>
    <row r="2096" customFormat="false" ht="14.4" hidden="true" customHeight="false" outlineLevel="0" collapsed="false">
      <c r="A2096" s="34" t="n">
        <v>32410617875</v>
      </c>
      <c r="B2096" s="34" t="s">
        <v>6742</v>
      </c>
      <c r="C2096" s="34" t="s">
        <v>464</v>
      </c>
      <c r="E2096" s="30" t="s">
        <v>6743</v>
      </c>
      <c r="F2096" s="34" t="n">
        <f aca="false">IFERROR(VLOOKUP($A2096,'319'!$B:$H,7,0),0)</f>
        <v>0</v>
      </c>
      <c r="G2096" s="34" t="n">
        <f aca="false">SUMIFS('12.326ana'!$C:$C,'12.326ana'!$M:$M,redes!A2096)</f>
        <v>0</v>
      </c>
    </row>
    <row r="2097" customFormat="false" ht="14.4" hidden="true" customHeight="false" outlineLevel="0" collapsed="false">
      <c r="A2097" s="34" t="n">
        <v>32428367820</v>
      </c>
      <c r="B2097" s="34" t="s">
        <v>6744</v>
      </c>
      <c r="C2097" s="34" t="s">
        <v>77</v>
      </c>
      <c r="E2097" s="30"/>
      <c r="F2097" s="34" t="n">
        <f aca="false">IFERROR(VLOOKUP($A2097,'319'!$B:$H,7,0),0)</f>
        <v>0</v>
      </c>
      <c r="G2097" s="34" t="n">
        <f aca="false">SUMIFS('12.326ana'!$C:$C,'12.326ana'!$M:$M,redes!A2097)</f>
        <v>0</v>
      </c>
    </row>
    <row r="2098" customFormat="false" ht="14.4" hidden="true" customHeight="false" outlineLevel="0" collapsed="false">
      <c r="A2098" s="34" t="n">
        <v>32510640020</v>
      </c>
      <c r="B2098" s="34" t="s">
        <v>6745</v>
      </c>
      <c r="C2098" s="34" t="s">
        <v>77</v>
      </c>
      <c r="E2098" s="30" t="s">
        <v>6746</v>
      </c>
      <c r="F2098" s="34" t="n">
        <f aca="false">IFERROR(VLOOKUP($A2098,'319'!$B:$H,7,0),0)</f>
        <v>0</v>
      </c>
      <c r="G2098" s="34" t="n">
        <f aca="false">SUMIFS('12.326ana'!$C:$C,'12.326ana'!$M:$M,redes!A2098)</f>
        <v>0</v>
      </c>
    </row>
    <row r="2099" customFormat="false" ht="14.4" hidden="true" customHeight="false" outlineLevel="0" collapsed="false">
      <c r="A2099" s="34" t="n">
        <v>32516088191</v>
      </c>
      <c r="B2099" s="34" t="s">
        <v>6747</v>
      </c>
      <c r="C2099" s="34" t="s">
        <v>103</v>
      </c>
      <c r="E2099" s="30" t="s">
        <v>6748</v>
      </c>
      <c r="F2099" s="34" t="n">
        <f aca="false">IFERROR(VLOOKUP($A2099,'319'!$B:$H,7,0),0)</f>
        <v>0</v>
      </c>
      <c r="G2099" s="34" t="n">
        <f aca="false">SUMIFS('12.326ana'!$C:$C,'12.326ana'!$M:$M,redes!A2099)</f>
        <v>0</v>
      </c>
    </row>
    <row r="2100" customFormat="false" ht="14.4" hidden="true" customHeight="false" outlineLevel="0" collapsed="false">
      <c r="A2100" s="34" t="n">
        <v>32523106191</v>
      </c>
      <c r="B2100" s="34" t="s">
        <v>6749</v>
      </c>
      <c r="C2100" s="34" t="s">
        <v>77</v>
      </c>
      <c r="E2100" s="30" t="s">
        <v>6750</v>
      </c>
      <c r="F2100" s="34" t="n">
        <f aca="false">IFERROR(VLOOKUP($A2100,'319'!$B:$H,7,0),0)</f>
        <v>0</v>
      </c>
      <c r="G2100" s="34" t="n">
        <f aca="false">SUMIFS('12.326ana'!$C:$C,'12.326ana'!$M:$M,redes!A2100)</f>
        <v>0</v>
      </c>
    </row>
    <row r="2101" customFormat="false" ht="14.4" hidden="true" customHeight="false" outlineLevel="0" collapsed="false">
      <c r="A2101" s="34" t="n">
        <v>32531370072</v>
      </c>
      <c r="B2101" s="34" t="s">
        <v>6751</v>
      </c>
      <c r="C2101" s="34" t="s">
        <v>77</v>
      </c>
      <c r="E2101" s="30" t="s">
        <v>6752</v>
      </c>
      <c r="F2101" s="34" t="n">
        <f aca="false">IFERROR(VLOOKUP($A2101,'319'!$B:$H,7,0),0)</f>
        <v>0</v>
      </c>
      <c r="G2101" s="34" t="n">
        <f aca="false">SUMIFS('12.326ana'!$C:$C,'12.326ana'!$M:$M,redes!A2101)</f>
        <v>0</v>
      </c>
    </row>
    <row r="2102" customFormat="false" ht="14.4" hidden="true" customHeight="false" outlineLevel="0" collapsed="false">
      <c r="A2102" s="34" t="n">
        <v>32542674191</v>
      </c>
      <c r="B2102" s="34" t="s">
        <v>6753</v>
      </c>
      <c r="C2102" s="34" t="s">
        <v>103</v>
      </c>
      <c r="E2102" s="30" t="s">
        <v>6754</v>
      </c>
      <c r="F2102" s="34" t="n">
        <f aca="false">IFERROR(VLOOKUP($A2102,'319'!$B:$H,7,0),0)</f>
        <v>0</v>
      </c>
      <c r="G2102" s="34" t="n">
        <f aca="false">SUMIFS('12.326ana'!$C:$C,'12.326ana'!$M:$M,redes!A2102)</f>
        <v>0</v>
      </c>
    </row>
    <row r="2103" customFormat="false" ht="14.4" hidden="true" customHeight="false" outlineLevel="0" collapsed="false">
      <c r="A2103" s="34" t="n">
        <v>32548621120</v>
      </c>
      <c r="B2103" s="34" t="s">
        <v>6755</v>
      </c>
      <c r="C2103" s="34" t="s">
        <v>706</v>
      </c>
      <c r="E2103" s="30" t="s">
        <v>6756</v>
      </c>
      <c r="F2103" s="34" t="n">
        <f aca="false">IFERROR(VLOOKUP($A2103,'319'!$B:$H,7,0),0)</f>
        <v>0</v>
      </c>
      <c r="G2103" s="34" t="n">
        <f aca="false">SUMIFS('12.326ana'!$C:$C,'12.326ana'!$M:$M,redes!A2103)</f>
        <v>0</v>
      </c>
    </row>
    <row r="2104" customFormat="false" ht="14.4" hidden="true" customHeight="false" outlineLevel="0" collapsed="false">
      <c r="A2104" s="34" t="n">
        <v>32555512187</v>
      </c>
      <c r="B2104" s="34" t="s">
        <v>6757</v>
      </c>
      <c r="C2104" s="34" t="s">
        <v>77</v>
      </c>
      <c r="E2104" s="30" t="s">
        <v>6758</v>
      </c>
      <c r="F2104" s="34" t="n">
        <f aca="false">IFERROR(VLOOKUP($A2104,'319'!$B:$H,7,0),0)</f>
        <v>0</v>
      </c>
      <c r="G2104" s="34" t="n">
        <f aca="false">SUMIFS('12.326ana'!$C:$C,'12.326ana'!$M:$M,redes!A2104)</f>
        <v>0</v>
      </c>
    </row>
    <row r="2105" customFormat="false" ht="14.4" hidden="true" customHeight="false" outlineLevel="0" collapsed="false">
      <c r="A2105" s="34" t="n">
        <v>32597029034</v>
      </c>
      <c r="B2105" s="34" t="s">
        <v>6759</v>
      </c>
      <c r="C2105" s="34" t="s">
        <v>103</v>
      </c>
      <c r="E2105" s="30" t="s">
        <v>6760</v>
      </c>
      <c r="F2105" s="34" t="n">
        <f aca="false">IFERROR(VLOOKUP($A2105,'319'!$B:$H,7,0),0)</f>
        <v>0</v>
      </c>
      <c r="G2105" s="34" t="n">
        <f aca="false">SUMIFS('12.326ana'!$C:$C,'12.326ana'!$M:$M,redes!A2105)</f>
        <v>0</v>
      </c>
    </row>
    <row r="2106" customFormat="false" ht="14.4" hidden="true" customHeight="false" outlineLevel="0" collapsed="false">
      <c r="A2106" s="34" t="n">
        <v>32607911249</v>
      </c>
      <c r="B2106" s="34" t="s">
        <v>6761</v>
      </c>
      <c r="C2106" s="34" t="s">
        <v>77</v>
      </c>
      <c r="E2106" s="30"/>
      <c r="F2106" s="34" t="n">
        <f aca="false">IFERROR(VLOOKUP($A2106,'319'!$B:$H,7,0),0)</f>
        <v>0</v>
      </c>
      <c r="G2106" s="34" t="n">
        <f aca="false">SUMIFS('12.326ana'!$C:$C,'12.326ana'!$M:$M,redes!A2106)</f>
        <v>0</v>
      </c>
    </row>
    <row r="2107" customFormat="false" ht="14.4" hidden="true" customHeight="false" outlineLevel="0" collapsed="false">
      <c r="A2107" s="34" t="n">
        <v>32635109087</v>
      </c>
      <c r="B2107" s="34" t="s">
        <v>6762</v>
      </c>
      <c r="C2107" s="34" t="s">
        <v>127</v>
      </c>
      <c r="E2107" s="30"/>
      <c r="F2107" s="34" t="n">
        <f aca="false">IFERROR(VLOOKUP($A2107,'319'!$B:$H,7,0),0)</f>
        <v>0</v>
      </c>
      <c r="G2107" s="34" t="n">
        <f aca="false">SUMIFS('12.326ana'!$C:$C,'12.326ana'!$M:$M,redes!A2107)</f>
        <v>0</v>
      </c>
    </row>
    <row r="2108" customFormat="false" ht="14.4" hidden="true" customHeight="false" outlineLevel="0" collapsed="false">
      <c r="A2108" s="34" t="n">
        <v>32639335820</v>
      </c>
      <c r="B2108" s="34" t="s">
        <v>6763</v>
      </c>
      <c r="C2108" s="34" t="s">
        <v>1272</v>
      </c>
      <c r="E2108" s="30" t="s">
        <v>6764</v>
      </c>
      <c r="F2108" s="34" t="n">
        <f aca="false">IFERROR(VLOOKUP($A2108,'319'!$B:$H,7,0),0)</f>
        <v>0</v>
      </c>
      <c r="G2108" s="34" t="n">
        <f aca="false">SUMIFS('12.326ana'!$C:$C,'12.326ana'!$M:$M,redes!A2108)</f>
        <v>0</v>
      </c>
    </row>
    <row r="2109" customFormat="false" ht="14.4" hidden="true" customHeight="false" outlineLevel="0" collapsed="false">
      <c r="A2109" s="34" t="n">
        <v>32662629134</v>
      </c>
      <c r="B2109" s="34" t="s">
        <v>6765</v>
      </c>
      <c r="C2109" s="34" t="s">
        <v>598</v>
      </c>
      <c r="E2109" s="30" t="s">
        <v>4807</v>
      </c>
      <c r="F2109" s="34" t="n">
        <f aca="false">IFERROR(VLOOKUP($A2109,'319'!$B:$H,7,0),0)</f>
        <v>0</v>
      </c>
      <c r="G2109" s="34" t="n">
        <f aca="false">SUMIFS('12.326ana'!$C:$C,'12.326ana'!$M:$M,redes!A2109)</f>
        <v>0</v>
      </c>
    </row>
    <row r="2110" customFormat="false" ht="14.4" hidden="true" customHeight="false" outlineLevel="0" collapsed="false">
      <c r="A2110" s="34" t="n">
        <v>32684126291</v>
      </c>
      <c r="B2110" s="34" t="s">
        <v>6766</v>
      </c>
      <c r="C2110" s="34" t="s">
        <v>77</v>
      </c>
      <c r="E2110" s="30" t="s">
        <v>6766</v>
      </c>
      <c r="F2110" s="34" t="n">
        <f aca="false">IFERROR(VLOOKUP($A2110,'319'!$B:$H,7,0),0)</f>
        <v>0</v>
      </c>
      <c r="G2110" s="34" t="n">
        <f aca="false">SUMIFS('12.326ana'!$C:$C,'12.326ana'!$M:$M,redes!A2110)</f>
        <v>0</v>
      </c>
    </row>
    <row r="2111" customFormat="false" ht="14.4" hidden="true" customHeight="false" outlineLevel="0" collapsed="false">
      <c r="A2111" s="34" t="n">
        <v>32804547434</v>
      </c>
      <c r="B2111" s="34" t="s">
        <v>6767</v>
      </c>
      <c r="C2111" s="34" t="s">
        <v>357</v>
      </c>
      <c r="E2111" s="30" t="s">
        <v>6768</v>
      </c>
      <c r="F2111" s="34" t="n">
        <f aca="false">IFERROR(VLOOKUP($A2111,'319'!$B:$H,7,0),0)</f>
        <v>0</v>
      </c>
      <c r="G2111" s="34" t="n">
        <f aca="false">SUMIFS('12.326ana'!$C:$C,'12.326ana'!$M:$M,redes!A2111)</f>
        <v>0</v>
      </c>
    </row>
    <row r="2112" customFormat="false" ht="14.4" hidden="true" customHeight="false" outlineLevel="0" collapsed="false">
      <c r="A2112" s="34" t="n">
        <v>33105227172</v>
      </c>
      <c r="B2112" s="34" t="s">
        <v>6769</v>
      </c>
      <c r="C2112" s="34" t="s">
        <v>1272</v>
      </c>
      <c r="E2112" s="30" t="s">
        <v>6770</v>
      </c>
      <c r="F2112" s="34" t="n">
        <f aca="false">IFERROR(VLOOKUP($A2112,'319'!$B:$H,7,0),0)</f>
        <v>0</v>
      </c>
      <c r="G2112" s="34" t="n">
        <f aca="false">SUMIFS('12.326ana'!$C:$C,'12.326ana'!$M:$M,redes!A2112)</f>
        <v>0</v>
      </c>
    </row>
    <row r="2113" customFormat="false" ht="14.4" hidden="true" customHeight="false" outlineLevel="0" collapsed="false">
      <c r="A2113" s="34" t="n">
        <v>33111928934</v>
      </c>
      <c r="B2113" s="34" t="s">
        <v>6771</v>
      </c>
      <c r="C2113" s="34" t="s">
        <v>77</v>
      </c>
      <c r="E2113" s="30" t="s">
        <v>4499</v>
      </c>
      <c r="F2113" s="34" t="n">
        <f aca="false">IFERROR(VLOOKUP($A2113,'319'!$B:$H,7,0),0)</f>
        <v>0</v>
      </c>
      <c r="G2113" s="34" t="n">
        <f aca="false">SUMIFS('12.326ana'!$C:$C,'12.326ana'!$M:$M,redes!A2113)</f>
        <v>0</v>
      </c>
    </row>
    <row r="2114" customFormat="false" ht="14.4" hidden="true" customHeight="false" outlineLevel="0" collapsed="false">
      <c r="A2114" s="34" t="n">
        <v>33113459087</v>
      </c>
      <c r="B2114" s="34" t="s">
        <v>6772</v>
      </c>
      <c r="C2114" s="34" t="s">
        <v>77</v>
      </c>
      <c r="E2114" s="30" t="s">
        <v>6773</v>
      </c>
      <c r="F2114" s="34" t="n">
        <f aca="false">IFERROR(VLOOKUP($A2114,'319'!$B:$H,7,0),0)</f>
        <v>0</v>
      </c>
      <c r="G2114" s="34" t="n">
        <f aca="false">SUMIFS('12.326ana'!$C:$C,'12.326ana'!$M:$M,redes!A2114)</f>
        <v>0</v>
      </c>
    </row>
    <row r="2115" customFormat="false" ht="14.4" hidden="true" customHeight="false" outlineLevel="0" collapsed="false">
      <c r="A2115" s="34" t="n">
        <v>33157200968</v>
      </c>
      <c r="B2115" s="34" t="s">
        <v>6774</v>
      </c>
      <c r="C2115" s="34" t="s">
        <v>77</v>
      </c>
      <c r="E2115" s="30"/>
      <c r="F2115" s="34" t="n">
        <f aca="false">IFERROR(VLOOKUP($A2115,'319'!$B:$H,7,0),0)</f>
        <v>0</v>
      </c>
      <c r="G2115" s="34" t="n">
        <f aca="false">SUMIFS('12.326ana'!$C:$C,'12.326ana'!$M:$M,redes!A2115)</f>
        <v>0</v>
      </c>
    </row>
    <row r="2116" customFormat="false" ht="14.4" hidden="true" customHeight="false" outlineLevel="0" collapsed="false">
      <c r="A2116" s="34" t="n">
        <v>33163138691</v>
      </c>
      <c r="B2116" s="34" t="s">
        <v>6775</v>
      </c>
      <c r="C2116" s="34" t="s">
        <v>77</v>
      </c>
      <c r="E2116" s="30" t="s">
        <v>6776</v>
      </c>
      <c r="F2116" s="34" t="n">
        <f aca="false">IFERROR(VLOOKUP($A2116,'319'!$B:$H,7,0),0)</f>
        <v>0</v>
      </c>
      <c r="G2116" s="34" t="n">
        <f aca="false">SUMIFS('12.326ana'!$C:$C,'12.326ana'!$M:$M,redes!A2116)</f>
        <v>0</v>
      </c>
    </row>
    <row r="2117" customFormat="false" ht="14.4" hidden="true" customHeight="false" outlineLevel="0" collapsed="false">
      <c r="A2117" s="34" t="n">
        <v>33250863904</v>
      </c>
      <c r="B2117" s="34" t="s">
        <v>6777</v>
      </c>
      <c r="C2117" s="34" t="s">
        <v>103</v>
      </c>
      <c r="E2117" s="30" t="s">
        <v>6778</v>
      </c>
      <c r="F2117" s="34" t="n">
        <f aca="false">IFERROR(VLOOKUP($A2117,'319'!$B:$H,7,0),0)</f>
        <v>0</v>
      </c>
      <c r="G2117" s="34" t="n">
        <f aca="false">SUMIFS('12.326ana'!$C:$C,'12.326ana'!$M:$M,redes!A2117)</f>
        <v>0</v>
      </c>
    </row>
    <row r="2118" customFormat="false" ht="14.4" hidden="true" customHeight="false" outlineLevel="0" collapsed="false">
      <c r="A2118" s="34" t="n">
        <v>33287473972</v>
      </c>
      <c r="B2118" s="34" t="s">
        <v>6779</v>
      </c>
      <c r="C2118" s="34" t="s">
        <v>351</v>
      </c>
      <c r="E2118" s="30" t="s">
        <v>6780</v>
      </c>
      <c r="F2118" s="34" t="n">
        <f aca="false">IFERROR(VLOOKUP($A2118,'319'!$B:$H,7,0),0)</f>
        <v>0</v>
      </c>
      <c r="G2118" s="34" t="n">
        <f aca="false">SUMIFS('12.326ana'!$C:$C,'12.326ana'!$M:$M,redes!A2118)</f>
        <v>0</v>
      </c>
    </row>
    <row r="2119" customFormat="false" ht="14.4" hidden="true" customHeight="false" outlineLevel="0" collapsed="false">
      <c r="A2119" s="34" t="n">
        <v>33295190968</v>
      </c>
      <c r="B2119" s="34" t="s">
        <v>6781</v>
      </c>
      <c r="C2119" s="34" t="s">
        <v>77</v>
      </c>
      <c r="E2119" s="30"/>
      <c r="F2119" s="34" t="n">
        <f aca="false">IFERROR(VLOOKUP($A2119,'319'!$B:$H,7,0),0)</f>
        <v>0</v>
      </c>
      <c r="G2119" s="34" t="n">
        <f aca="false">SUMIFS('12.326ana'!$C:$C,'12.326ana'!$M:$M,redes!A2119)</f>
        <v>0</v>
      </c>
    </row>
    <row r="2120" customFormat="false" ht="14.4" hidden="true" customHeight="false" outlineLevel="0" collapsed="false">
      <c r="A2120" s="34" t="n">
        <v>33305480963</v>
      </c>
      <c r="B2120" s="34" t="s">
        <v>6782</v>
      </c>
      <c r="C2120" s="34" t="s">
        <v>77</v>
      </c>
      <c r="E2120" s="30" t="s">
        <v>6783</v>
      </c>
      <c r="F2120" s="34" t="n">
        <f aca="false">IFERROR(VLOOKUP($A2120,'319'!$B:$H,7,0),0)</f>
        <v>0</v>
      </c>
      <c r="G2120" s="34" t="n">
        <f aca="false">SUMIFS('12.326ana'!$C:$C,'12.326ana'!$M:$M,redes!A2120)</f>
        <v>0</v>
      </c>
    </row>
    <row r="2121" customFormat="false" ht="14.4" hidden="true" customHeight="false" outlineLevel="0" collapsed="false">
      <c r="A2121" s="34" t="n">
        <v>33308870959</v>
      </c>
      <c r="B2121" s="34" t="s">
        <v>6784</v>
      </c>
      <c r="C2121" s="34" t="s">
        <v>107</v>
      </c>
      <c r="E2121" s="30" t="s">
        <v>6785</v>
      </c>
      <c r="F2121" s="34" t="n">
        <f aca="false">IFERROR(VLOOKUP($A2121,'319'!$B:$H,7,0),0)</f>
        <v>0</v>
      </c>
      <c r="G2121" s="34" t="n">
        <f aca="false">SUMIFS('12.326ana'!$C:$C,'12.326ana'!$M:$M,redes!A2121)</f>
        <v>0</v>
      </c>
    </row>
    <row r="2122" customFormat="false" ht="14.4" hidden="true" customHeight="false" outlineLevel="0" collapsed="false">
      <c r="A2122" s="34" t="n">
        <v>33449049810</v>
      </c>
      <c r="B2122" s="34" t="s">
        <v>6786</v>
      </c>
      <c r="C2122" s="34" t="s">
        <v>77</v>
      </c>
      <c r="E2122" s="30" t="s">
        <v>6787</v>
      </c>
      <c r="F2122" s="34" t="n">
        <f aca="false">IFERROR(VLOOKUP($A2122,'319'!$B:$H,7,0),0)</f>
        <v>0</v>
      </c>
      <c r="G2122" s="34" t="n">
        <f aca="false">SUMIFS('12.326ana'!$C:$C,'12.326ana'!$M:$M,redes!A2122)</f>
        <v>0</v>
      </c>
    </row>
    <row r="2123" customFormat="false" ht="14.4" hidden="true" customHeight="false" outlineLevel="0" collapsed="false">
      <c r="A2123" s="34" t="n">
        <v>33553785772</v>
      </c>
      <c r="B2123" s="34" t="s">
        <v>6788</v>
      </c>
      <c r="C2123" s="34" t="s">
        <v>77</v>
      </c>
      <c r="E2123" s="30" t="s">
        <v>6789</v>
      </c>
      <c r="F2123" s="34" t="n">
        <f aca="false">IFERROR(VLOOKUP($A2123,'319'!$B:$H,7,0),0)</f>
        <v>0</v>
      </c>
      <c r="G2123" s="34" t="n">
        <f aca="false">SUMIFS('12.326ana'!$C:$C,'12.326ana'!$M:$M,redes!A2123)</f>
        <v>0</v>
      </c>
    </row>
    <row r="2124" customFormat="false" ht="14.4" hidden="true" customHeight="false" outlineLevel="0" collapsed="false">
      <c r="A2124" s="34" t="n">
        <v>33719500187</v>
      </c>
      <c r="B2124" s="34" t="s">
        <v>6790</v>
      </c>
      <c r="C2124" s="34" t="s">
        <v>77</v>
      </c>
      <c r="E2124" s="30" t="s">
        <v>6791</v>
      </c>
      <c r="F2124" s="34" t="n">
        <f aca="false">IFERROR(VLOOKUP($A2124,'319'!$B:$H,7,0),0)</f>
        <v>0</v>
      </c>
      <c r="G2124" s="34" t="n">
        <f aca="false">SUMIFS('12.326ana'!$C:$C,'12.326ana'!$M:$M,redes!A2124)</f>
        <v>0</v>
      </c>
    </row>
    <row r="2125" customFormat="false" ht="14.4" hidden="true" customHeight="false" outlineLevel="0" collapsed="false">
      <c r="A2125" s="34" t="n">
        <v>33722641187</v>
      </c>
      <c r="B2125" s="34" t="s">
        <v>6792</v>
      </c>
      <c r="C2125" s="34" t="s">
        <v>77</v>
      </c>
      <c r="E2125" s="30" t="s">
        <v>6793</v>
      </c>
      <c r="F2125" s="34" t="n">
        <f aca="false">IFERROR(VLOOKUP($A2125,'319'!$B:$H,7,0),0)</f>
        <v>0</v>
      </c>
      <c r="G2125" s="34" t="n">
        <f aca="false">SUMIFS('12.326ana'!$C:$C,'12.326ana'!$M:$M,redes!A2125)</f>
        <v>0</v>
      </c>
    </row>
    <row r="2126" customFormat="false" ht="14.4" hidden="true" customHeight="false" outlineLevel="0" collapsed="false">
      <c r="A2126" s="34" t="n">
        <v>33723303153</v>
      </c>
      <c r="B2126" s="34" t="s">
        <v>6794</v>
      </c>
      <c r="C2126" s="34" t="s">
        <v>77</v>
      </c>
      <c r="E2126" s="30"/>
      <c r="F2126" s="34" t="n">
        <f aca="false">IFERROR(VLOOKUP($A2126,'319'!$B:$H,7,0),0)</f>
        <v>0</v>
      </c>
      <c r="G2126" s="34" t="n">
        <f aca="false">SUMIFS('12.326ana'!$C:$C,'12.326ana'!$M:$M,redes!A2126)</f>
        <v>0</v>
      </c>
    </row>
    <row r="2127" customFormat="false" ht="14.4" hidden="true" customHeight="false" outlineLevel="0" collapsed="false">
      <c r="A2127" s="34" t="n">
        <v>33729735187</v>
      </c>
      <c r="B2127" s="34" t="s">
        <v>6795</v>
      </c>
      <c r="C2127" s="34" t="s">
        <v>77</v>
      </c>
      <c r="E2127" s="30" t="s">
        <v>6796</v>
      </c>
      <c r="F2127" s="34" t="n">
        <f aca="false">IFERROR(VLOOKUP($A2127,'319'!$B:$H,7,0),0)</f>
        <v>0</v>
      </c>
      <c r="G2127" s="34" t="n">
        <f aca="false">SUMIFS('12.326ana'!$C:$C,'12.326ana'!$M:$M,redes!A2127)</f>
        <v>0</v>
      </c>
    </row>
    <row r="2128" customFormat="false" ht="14.4" hidden="true" customHeight="false" outlineLevel="0" collapsed="false">
      <c r="A2128" s="34" t="n">
        <v>33730318187</v>
      </c>
      <c r="B2128" s="34" t="s">
        <v>6797</v>
      </c>
      <c r="C2128" s="34" t="s">
        <v>77</v>
      </c>
      <c r="E2128" s="30" t="s">
        <v>6798</v>
      </c>
      <c r="F2128" s="34" t="n">
        <f aca="false">IFERROR(VLOOKUP($A2128,'319'!$B:$H,7,0),0)</f>
        <v>0</v>
      </c>
      <c r="G2128" s="34" t="n">
        <f aca="false">SUMIFS('12.326ana'!$C:$C,'12.326ana'!$M:$M,redes!A2128)</f>
        <v>0</v>
      </c>
    </row>
    <row r="2129" customFormat="false" ht="14.4" hidden="true" customHeight="false" outlineLevel="0" collapsed="false">
      <c r="A2129" s="34" t="n">
        <v>33739544104</v>
      </c>
      <c r="B2129" s="34" t="s">
        <v>6799</v>
      </c>
      <c r="C2129" s="34" t="s">
        <v>77</v>
      </c>
      <c r="E2129" s="30" t="s">
        <v>6800</v>
      </c>
      <c r="F2129" s="34" t="n">
        <f aca="false">IFERROR(VLOOKUP($A2129,'319'!$B:$H,7,0),0)</f>
        <v>0</v>
      </c>
      <c r="G2129" s="34" t="n">
        <f aca="false">SUMIFS('12.326ana'!$C:$C,'12.326ana'!$M:$M,redes!A2129)</f>
        <v>0</v>
      </c>
    </row>
    <row r="2130" customFormat="false" ht="14.4" hidden="true" customHeight="false" outlineLevel="0" collapsed="false">
      <c r="A2130" s="34" t="n">
        <v>33739641134</v>
      </c>
      <c r="B2130" s="34" t="s">
        <v>6801</v>
      </c>
      <c r="C2130" s="34" t="s">
        <v>77</v>
      </c>
      <c r="E2130" s="30" t="s">
        <v>6802</v>
      </c>
      <c r="F2130" s="34" t="n">
        <f aca="false">IFERROR(VLOOKUP($A2130,'319'!$B:$H,7,0),0)</f>
        <v>0</v>
      </c>
      <c r="G2130" s="34" t="n">
        <f aca="false">SUMIFS('12.326ana'!$C:$C,'12.326ana'!$M:$M,redes!A2130)</f>
        <v>0</v>
      </c>
    </row>
    <row r="2131" customFormat="false" ht="14.4" hidden="true" customHeight="false" outlineLevel="0" collapsed="false">
      <c r="A2131" s="34" t="n">
        <v>33753377104</v>
      </c>
      <c r="B2131" s="34" t="s">
        <v>6803</v>
      </c>
      <c r="C2131" s="34" t="s">
        <v>309</v>
      </c>
      <c r="E2131" s="30"/>
      <c r="F2131" s="34" t="n">
        <f aca="false">IFERROR(VLOOKUP($A2131,'319'!$B:$H,7,0),0)</f>
        <v>0</v>
      </c>
      <c r="G2131" s="34" t="n">
        <f aca="false">SUMIFS('12.326ana'!$C:$C,'12.326ana'!$M:$M,redes!A2131)</f>
        <v>0</v>
      </c>
    </row>
    <row r="2132" customFormat="false" ht="14.4" hidden="true" customHeight="false" outlineLevel="0" collapsed="false">
      <c r="A2132" s="34" t="n">
        <v>33757844149</v>
      </c>
      <c r="B2132" s="34" t="s">
        <v>6804</v>
      </c>
      <c r="C2132" s="34" t="s">
        <v>309</v>
      </c>
      <c r="E2132" s="30" t="s">
        <v>6805</v>
      </c>
      <c r="F2132" s="34" t="n">
        <f aca="false">IFERROR(VLOOKUP($A2132,'319'!$B:$H,7,0),0)</f>
        <v>0</v>
      </c>
      <c r="G2132" s="34" t="n">
        <f aca="false">SUMIFS('12.326ana'!$C:$C,'12.326ana'!$M:$M,redes!A2132)</f>
        <v>0</v>
      </c>
    </row>
    <row r="2133" customFormat="false" ht="14.4" hidden="true" customHeight="false" outlineLevel="0" collapsed="false">
      <c r="A2133" s="34" t="n">
        <v>33765022187</v>
      </c>
      <c r="B2133" s="34" t="s">
        <v>6806</v>
      </c>
      <c r="C2133" s="34" t="s">
        <v>77</v>
      </c>
      <c r="E2133" s="30" t="s">
        <v>6807</v>
      </c>
      <c r="F2133" s="34" t="n">
        <f aca="false">IFERROR(VLOOKUP($A2133,'319'!$B:$H,7,0),0)</f>
        <v>0</v>
      </c>
      <c r="G2133" s="34" t="n">
        <f aca="false">SUMIFS('12.326ana'!$C:$C,'12.326ana'!$M:$M,redes!A2133)</f>
        <v>0</v>
      </c>
    </row>
    <row r="2134" customFormat="false" ht="14.4" hidden="true" customHeight="false" outlineLevel="0" collapsed="false">
      <c r="A2134" s="34" t="n">
        <v>33770689100</v>
      </c>
      <c r="B2134" s="34" t="s">
        <v>6808</v>
      </c>
      <c r="C2134" s="34" t="s">
        <v>77</v>
      </c>
      <c r="E2134" s="30" t="s">
        <v>6809</v>
      </c>
      <c r="F2134" s="34" t="n">
        <f aca="false">IFERROR(VLOOKUP($A2134,'319'!$B:$H,7,0),0)</f>
        <v>0</v>
      </c>
      <c r="G2134" s="34" t="n">
        <f aca="false">SUMIFS('12.326ana'!$C:$C,'12.326ana'!$M:$M,redes!A2134)</f>
        <v>0</v>
      </c>
    </row>
    <row r="2135" customFormat="false" ht="14.4" hidden="true" customHeight="false" outlineLevel="0" collapsed="false">
      <c r="A2135" s="34" t="n">
        <v>33775427104</v>
      </c>
      <c r="B2135" s="34" t="s">
        <v>6810</v>
      </c>
      <c r="C2135" s="34" t="s">
        <v>744</v>
      </c>
      <c r="E2135" s="30" t="s">
        <v>6811</v>
      </c>
      <c r="F2135" s="34" t="n">
        <f aca="false">IFERROR(VLOOKUP($A2135,'319'!$B:$H,7,0),0)</f>
        <v>0</v>
      </c>
      <c r="G2135" s="34" t="n">
        <f aca="false">SUMIFS('12.326ana'!$C:$C,'12.326ana'!$M:$M,redes!A2135)</f>
        <v>0</v>
      </c>
    </row>
    <row r="2136" customFormat="false" ht="14.4" hidden="true" customHeight="false" outlineLevel="0" collapsed="false">
      <c r="A2136" s="34" t="n">
        <v>33778825100</v>
      </c>
      <c r="B2136" s="34" t="s">
        <v>6812</v>
      </c>
      <c r="C2136" s="34" t="s">
        <v>77</v>
      </c>
      <c r="E2136" s="30" t="s">
        <v>6813</v>
      </c>
      <c r="F2136" s="34" t="n">
        <f aca="false">IFERROR(VLOOKUP($A2136,'319'!$B:$H,7,0),0)</f>
        <v>0</v>
      </c>
      <c r="G2136" s="34" t="n">
        <f aca="false">SUMIFS('12.326ana'!$C:$C,'12.326ana'!$M:$M,redes!A2136)</f>
        <v>0</v>
      </c>
    </row>
    <row r="2137" customFormat="false" ht="14.4" hidden="true" customHeight="false" outlineLevel="0" collapsed="false">
      <c r="A2137" s="34" t="n">
        <v>33781532615</v>
      </c>
      <c r="B2137" s="34" t="s">
        <v>6814</v>
      </c>
      <c r="C2137" s="34" t="s">
        <v>478</v>
      </c>
      <c r="E2137" s="30" t="s">
        <v>6815</v>
      </c>
      <c r="F2137" s="34" t="n">
        <f aca="false">IFERROR(VLOOKUP($A2137,'319'!$B:$H,7,0),0)</f>
        <v>0</v>
      </c>
      <c r="G2137" s="34" t="n">
        <f aca="false">SUMIFS('12.326ana'!$C:$C,'12.326ana'!$M:$M,redes!A2137)</f>
        <v>0</v>
      </c>
    </row>
    <row r="2138" customFormat="false" ht="14.4" hidden="true" customHeight="false" outlineLevel="0" collapsed="false">
      <c r="A2138" s="34" t="n">
        <v>33782830172</v>
      </c>
      <c r="B2138" s="34" t="s">
        <v>6816</v>
      </c>
      <c r="C2138" s="34" t="s">
        <v>706</v>
      </c>
      <c r="E2138" s="30" t="s">
        <v>6817</v>
      </c>
      <c r="F2138" s="34" t="n">
        <f aca="false">IFERROR(VLOOKUP($A2138,'319'!$B:$H,7,0),0)</f>
        <v>0</v>
      </c>
      <c r="G2138" s="34" t="n">
        <f aca="false">SUMIFS('12.326ana'!$C:$C,'12.326ana'!$M:$M,redes!A2138)</f>
        <v>0</v>
      </c>
    </row>
    <row r="2139" customFormat="false" ht="14.4" hidden="true" customHeight="false" outlineLevel="0" collapsed="false">
      <c r="A2139" s="34" t="n">
        <v>33799652191</v>
      </c>
      <c r="B2139" s="34" t="s">
        <v>6818</v>
      </c>
      <c r="C2139" s="34" t="s">
        <v>475</v>
      </c>
      <c r="E2139" s="30" t="s">
        <v>6819</v>
      </c>
      <c r="F2139" s="34" t="n">
        <f aca="false">IFERROR(VLOOKUP($A2139,'319'!$B:$H,7,0),0)</f>
        <v>0</v>
      </c>
      <c r="G2139" s="34" t="n">
        <f aca="false">SUMIFS('12.326ana'!$C:$C,'12.326ana'!$M:$M,redes!A2139)</f>
        <v>0</v>
      </c>
    </row>
    <row r="2140" customFormat="false" ht="14.4" hidden="true" customHeight="false" outlineLevel="0" collapsed="false">
      <c r="A2140" s="34" t="n">
        <v>33799768149</v>
      </c>
      <c r="B2140" s="34" t="s">
        <v>6820</v>
      </c>
      <c r="C2140" s="34" t="s">
        <v>77</v>
      </c>
      <c r="E2140" s="30" t="s">
        <v>6821</v>
      </c>
      <c r="F2140" s="34" t="n">
        <f aca="false">IFERROR(VLOOKUP($A2140,'319'!$B:$H,7,0),0)</f>
        <v>0</v>
      </c>
      <c r="G2140" s="34" t="n">
        <f aca="false">SUMIFS('12.326ana'!$C:$C,'12.326ana'!$M:$M,redes!A2140)</f>
        <v>0</v>
      </c>
    </row>
    <row r="2141" customFormat="false" ht="14.4" hidden="true" customHeight="false" outlineLevel="0" collapsed="false">
      <c r="A2141" s="34" t="n">
        <v>33800081172</v>
      </c>
      <c r="B2141" s="34" t="s">
        <v>6822</v>
      </c>
      <c r="C2141" s="34" t="s">
        <v>77</v>
      </c>
      <c r="E2141" s="30" t="s">
        <v>6823</v>
      </c>
      <c r="F2141" s="34" t="n">
        <f aca="false">IFERROR(VLOOKUP($A2141,'319'!$B:$H,7,0),0)</f>
        <v>0</v>
      </c>
      <c r="G2141" s="34" t="n">
        <f aca="false">SUMIFS('12.326ana'!$C:$C,'12.326ana'!$M:$M,redes!A2141)</f>
        <v>0</v>
      </c>
    </row>
    <row r="2142" customFormat="false" ht="14.4" hidden="true" customHeight="false" outlineLevel="0" collapsed="false">
      <c r="A2142" s="34" t="n">
        <v>33803900115</v>
      </c>
      <c r="B2142" s="34" t="s">
        <v>6824</v>
      </c>
      <c r="C2142" s="34" t="s">
        <v>77</v>
      </c>
      <c r="E2142" s="30" t="s">
        <v>6825</v>
      </c>
      <c r="F2142" s="34" t="n">
        <f aca="false">IFERROR(VLOOKUP($A2142,'319'!$B:$H,7,0),0)</f>
        <v>0</v>
      </c>
      <c r="G2142" s="34" t="n">
        <f aca="false">SUMIFS('12.326ana'!$C:$C,'12.326ana'!$M:$M,redes!A2142)</f>
        <v>0</v>
      </c>
    </row>
    <row r="2143" customFormat="false" ht="14.4" hidden="true" customHeight="false" outlineLevel="0" collapsed="false">
      <c r="A2143" s="34" t="n">
        <v>33806349134</v>
      </c>
      <c r="B2143" s="34" t="s">
        <v>6826</v>
      </c>
      <c r="C2143" s="34" t="s">
        <v>77</v>
      </c>
      <c r="E2143" s="30" t="s">
        <v>6827</v>
      </c>
      <c r="F2143" s="34" t="n">
        <f aca="false">IFERROR(VLOOKUP($A2143,'319'!$B:$H,7,0),0)</f>
        <v>0</v>
      </c>
      <c r="G2143" s="34" t="n">
        <f aca="false">SUMIFS('12.326ana'!$C:$C,'12.326ana'!$M:$M,redes!A2143)</f>
        <v>0</v>
      </c>
    </row>
    <row r="2144" customFormat="false" ht="14.4" hidden="true" customHeight="false" outlineLevel="0" collapsed="false">
      <c r="A2144" s="34" t="n">
        <v>33806403104</v>
      </c>
      <c r="B2144" s="34" t="s">
        <v>6828</v>
      </c>
      <c r="C2144" s="34" t="s">
        <v>107</v>
      </c>
      <c r="E2144" s="30" t="s">
        <v>6829</v>
      </c>
      <c r="F2144" s="34" t="n">
        <f aca="false">IFERROR(VLOOKUP($A2144,'319'!$B:$H,7,0),0)</f>
        <v>0</v>
      </c>
      <c r="G2144" s="34" t="n">
        <f aca="false">SUMIFS('12.326ana'!$C:$C,'12.326ana'!$M:$M,redes!A2144)</f>
        <v>0</v>
      </c>
    </row>
    <row r="2145" customFormat="false" ht="14.4" hidden="true" customHeight="false" outlineLevel="0" collapsed="false">
      <c r="A2145" s="34" t="n">
        <v>33807060197</v>
      </c>
      <c r="B2145" s="34" t="s">
        <v>6830</v>
      </c>
      <c r="C2145" s="34" t="s">
        <v>77</v>
      </c>
      <c r="E2145" s="30" t="s">
        <v>6831</v>
      </c>
      <c r="F2145" s="34" t="n">
        <f aca="false">IFERROR(VLOOKUP($A2145,'319'!$B:$H,7,0),0)</f>
        <v>0</v>
      </c>
      <c r="G2145" s="34" t="n">
        <f aca="false">SUMIFS('12.326ana'!$C:$C,'12.326ana'!$M:$M,redes!A2145)</f>
        <v>0</v>
      </c>
    </row>
    <row r="2146" customFormat="false" ht="14.4" hidden="true" customHeight="false" outlineLevel="0" collapsed="false">
      <c r="A2146" s="34" t="n">
        <v>33810257168</v>
      </c>
      <c r="B2146" s="34" t="s">
        <v>6832</v>
      </c>
      <c r="C2146" s="34" t="s">
        <v>77</v>
      </c>
      <c r="E2146" s="30" t="s">
        <v>6833</v>
      </c>
      <c r="F2146" s="34" t="n">
        <f aca="false">IFERROR(VLOOKUP($A2146,'319'!$B:$H,7,0),0)</f>
        <v>0</v>
      </c>
      <c r="G2146" s="34" t="n">
        <f aca="false">SUMIFS('12.326ana'!$C:$C,'12.326ana'!$M:$M,redes!A2146)</f>
        <v>0</v>
      </c>
    </row>
    <row r="2147" customFormat="false" ht="14.4" hidden="true" customHeight="false" outlineLevel="0" collapsed="false">
      <c r="A2147" s="34" t="n">
        <v>33813612104</v>
      </c>
      <c r="B2147" s="34" t="s">
        <v>6834</v>
      </c>
      <c r="C2147" s="34" t="s">
        <v>631</v>
      </c>
      <c r="E2147" s="30" t="s">
        <v>6835</v>
      </c>
      <c r="F2147" s="34" t="n">
        <f aca="false">IFERROR(VLOOKUP($A2147,'319'!$B:$H,7,0),0)</f>
        <v>0</v>
      </c>
      <c r="G2147" s="34" t="n">
        <f aca="false">SUMIFS('12.326ana'!$C:$C,'12.326ana'!$M:$M,redes!A2147)</f>
        <v>0</v>
      </c>
    </row>
    <row r="2148" customFormat="false" ht="14.4" hidden="true" customHeight="false" outlineLevel="0" collapsed="false">
      <c r="A2148" s="34" t="n">
        <v>33816972187</v>
      </c>
      <c r="B2148" s="34" t="s">
        <v>6836</v>
      </c>
      <c r="C2148" s="34" t="s">
        <v>77</v>
      </c>
      <c r="E2148" s="30" t="s">
        <v>6807</v>
      </c>
      <c r="F2148" s="34" t="n">
        <f aca="false">IFERROR(VLOOKUP($A2148,'319'!$B:$H,7,0),0)</f>
        <v>0</v>
      </c>
      <c r="G2148" s="34" t="n">
        <f aca="false">SUMIFS('12.326ana'!$C:$C,'12.326ana'!$M:$M,redes!A2148)</f>
        <v>0</v>
      </c>
    </row>
    <row r="2149" customFormat="false" ht="14.4" hidden="true" customHeight="false" outlineLevel="0" collapsed="false">
      <c r="A2149" s="34" t="n">
        <v>33818126100</v>
      </c>
      <c r="B2149" s="34" t="s">
        <v>6837</v>
      </c>
      <c r="C2149" s="34" t="s">
        <v>737</v>
      </c>
      <c r="E2149" s="30" t="s">
        <v>6838</v>
      </c>
      <c r="F2149" s="34" t="n">
        <f aca="false">IFERROR(VLOOKUP($A2149,'319'!$B:$H,7,0),0)</f>
        <v>0</v>
      </c>
      <c r="G2149" s="34" t="n">
        <f aca="false">SUMIFS('12.326ana'!$C:$C,'12.326ana'!$M:$M,redes!A2149)</f>
        <v>0</v>
      </c>
    </row>
    <row r="2150" customFormat="false" ht="14.4" hidden="true" customHeight="false" outlineLevel="0" collapsed="false">
      <c r="A2150" s="34" t="n">
        <v>33819467149</v>
      </c>
      <c r="B2150" s="34" t="s">
        <v>6839</v>
      </c>
      <c r="C2150" s="34" t="s">
        <v>77</v>
      </c>
      <c r="E2150" s="30" t="s">
        <v>6840</v>
      </c>
      <c r="F2150" s="34" t="n">
        <f aca="false">IFERROR(VLOOKUP($A2150,'319'!$B:$H,7,0),0)</f>
        <v>0</v>
      </c>
      <c r="G2150" s="34" t="n">
        <f aca="false">SUMIFS('12.326ana'!$C:$C,'12.326ana'!$M:$M,redes!A2150)</f>
        <v>0</v>
      </c>
    </row>
    <row r="2151" customFormat="false" ht="14.4" hidden="true" customHeight="false" outlineLevel="0" collapsed="false">
      <c r="A2151" s="34" t="n">
        <v>33820368191</v>
      </c>
      <c r="B2151" s="34" t="s">
        <v>6841</v>
      </c>
      <c r="C2151" s="34" t="s">
        <v>77</v>
      </c>
      <c r="E2151" s="30" t="s">
        <v>6365</v>
      </c>
      <c r="F2151" s="34" t="n">
        <f aca="false">IFERROR(VLOOKUP($A2151,'319'!$B:$H,7,0),0)</f>
        <v>0</v>
      </c>
      <c r="G2151" s="34" t="n">
        <f aca="false">SUMIFS('12.326ana'!$C:$C,'12.326ana'!$M:$M,redes!A2151)</f>
        <v>0</v>
      </c>
    </row>
    <row r="2152" customFormat="false" ht="14.4" hidden="true" customHeight="false" outlineLevel="0" collapsed="false">
      <c r="A2152" s="34" t="n">
        <v>33824886120</v>
      </c>
      <c r="B2152" s="34" t="s">
        <v>6842</v>
      </c>
      <c r="C2152" s="34" t="s">
        <v>565</v>
      </c>
      <c r="E2152" s="30"/>
      <c r="F2152" s="34" t="n">
        <f aca="false">IFERROR(VLOOKUP($A2152,'319'!$B:$H,7,0),0)</f>
        <v>0</v>
      </c>
      <c r="G2152" s="34" t="n">
        <f aca="false">SUMIFS('12.326ana'!$C:$C,'12.326ana'!$M:$M,redes!A2152)</f>
        <v>0</v>
      </c>
    </row>
    <row r="2153" customFormat="false" ht="14.4" hidden="true" customHeight="false" outlineLevel="0" collapsed="false">
      <c r="A2153" s="34" t="n">
        <v>33829195168</v>
      </c>
      <c r="B2153" s="34" t="s">
        <v>6843</v>
      </c>
      <c r="C2153" s="34" t="s">
        <v>77</v>
      </c>
      <c r="E2153" s="30" t="s">
        <v>6844</v>
      </c>
      <c r="F2153" s="34" t="n">
        <f aca="false">IFERROR(VLOOKUP($A2153,'319'!$B:$H,7,0),0)</f>
        <v>0</v>
      </c>
      <c r="G2153" s="34" t="n">
        <f aca="false">SUMIFS('12.326ana'!$C:$C,'12.326ana'!$M:$M,redes!A2153)</f>
        <v>0</v>
      </c>
    </row>
    <row r="2154" customFormat="false" ht="14.4" hidden="true" customHeight="false" outlineLevel="0" collapsed="false">
      <c r="A2154" s="34" t="n">
        <v>33835233149</v>
      </c>
      <c r="B2154" s="34" t="s">
        <v>6845</v>
      </c>
      <c r="C2154" s="34" t="s">
        <v>77</v>
      </c>
      <c r="E2154" s="30" t="s">
        <v>5538</v>
      </c>
      <c r="F2154" s="34" t="n">
        <f aca="false">IFERROR(VLOOKUP($A2154,'319'!$B:$H,7,0),0)</f>
        <v>0</v>
      </c>
      <c r="G2154" s="34" t="n">
        <f aca="false">SUMIFS('12.326ana'!$C:$C,'12.326ana'!$M:$M,redes!A2154)</f>
        <v>0</v>
      </c>
    </row>
    <row r="2155" customFormat="false" ht="14.4" hidden="true" customHeight="false" outlineLevel="0" collapsed="false">
      <c r="A2155" s="34" t="n">
        <v>33837961168</v>
      </c>
      <c r="B2155" s="34" t="s">
        <v>6846</v>
      </c>
      <c r="C2155" s="34" t="s">
        <v>77</v>
      </c>
      <c r="E2155" s="30" t="s">
        <v>6847</v>
      </c>
      <c r="F2155" s="34" t="n">
        <f aca="false">IFERROR(VLOOKUP($A2155,'319'!$B:$H,7,0),0)</f>
        <v>0</v>
      </c>
      <c r="G2155" s="34" t="n">
        <f aca="false">SUMIFS('12.326ana'!$C:$C,'12.326ana'!$M:$M,redes!A2155)</f>
        <v>0</v>
      </c>
    </row>
    <row r="2156" customFormat="false" ht="14.4" hidden="true" customHeight="false" outlineLevel="0" collapsed="false">
      <c r="A2156" s="34" t="n">
        <v>33838712153</v>
      </c>
      <c r="B2156" s="34" t="s">
        <v>6848</v>
      </c>
      <c r="C2156" s="34" t="s">
        <v>77</v>
      </c>
      <c r="E2156" s="30" t="s">
        <v>6849</v>
      </c>
      <c r="F2156" s="34" t="n">
        <f aca="false">IFERROR(VLOOKUP($A2156,'319'!$B:$H,7,0),0)</f>
        <v>0</v>
      </c>
      <c r="G2156" s="34" t="n">
        <f aca="false">SUMIFS('12.326ana'!$C:$C,'12.326ana'!$M:$M,redes!A2156)</f>
        <v>0</v>
      </c>
    </row>
    <row r="2157" customFormat="false" ht="14.4" hidden="true" customHeight="false" outlineLevel="0" collapsed="false">
      <c r="A2157" s="34" t="n">
        <v>33839603153</v>
      </c>
      <c r="B2157" s="34" t="s">
        <v>6850</v>
      </c>
      <c r="C2157" s="34" t="s">
        <v>77</v>
      </c>
      <c r="E2157" s="30" t="s">
        <v>6851</v>
      </c>
      <c r="F2157" s="34" t="n">
        <f aca="false">IFERROR(VLOOKUP($A2157,'319'!$B:$H,7,0),0)</f>
        <v>0</v>
      </c>
      <c r="G2157" s="34" t="n">
        <f aca="false">SUMIFS('12.326ana'!$C:$C,'12.326ana'!$M:$M,redes!A2157)</f>
        <v>0</v>
      </c>
    </row>
    <row r="2158" customFormat="false" ht="14.4" hidden="true" customHeight="false" outlineLevel="0" collapsed="false">
      <c r="A2158" s="34" t="n">
        <v>33846588172</v>
      </c>
      <c r="B2158" s="34" t="s">
        <v>6852</v>
      </c>
      <c r="C2158" s="34" t="s">
        <v>77</v>
      </c>
      <c r="E2158" s="30" t="s">
        <v>3902</v>
      </c>
      <c r="F2158" s="34" t="n">
        <f aca="false">IFERROR(VLOOKUP($A2158,'319'!$B:$H,7,0),0)</f>
        <v>0</v>
      </c>
      <c r="G2158" s="34" t="n">
        <f aca="false">SUMIFS('12.326ana'!$C:$C,'12.326ana'!$M:$M,redes!A2158)</f>
        <v>0</v>
      </c>
    </row>
    <row r="2159" customFormat="false" ht="14.4" hidden="true" customHeight="false" outlineLevel="0" collapsed="false">
      <c r="A2159" s="34" t="n">
        <v>33849668134</v>
      </c>
      <c r="B2159" s="34" t="s">
        <v>6853</v>
      </c>
      <c r="C2159" s="34" t="s">
        <v>89</v>
      </c>
      <c r="E2159" s="30" t="s">
        <v>6854</v>
      </c>
      <c r="F2159" s="34" t="n">
        <f aca="false">IFERROR(VLOOKUP($A2159,'319'!$B:$H,7,0),0)</f>
        <v>0</v>
      </c>
      <c r="G2159" s="34" t="n">
        <f aca="false">SUMIFS('12.326ana'!$C:$C,'12.326ana'!$M:$M,redes!A2159)</f>
        <v>0</v>
      </c>
    </row>
    <row r="2160" customFormat="false" ht="14.4" hidden="true" customHeight="false" outlineLevel="0" collapsed="false">
      <c r="A2160" s="34" t="n">
        <v>33856702172</v>
      </c>
      <c r="B2160" s="34" t="s">
        <v>6855</v>
      </c>
      <c r="C2160" s="34" t="s">
        <v>129</v>
      </c>
      <c r="E2160" s="30" t="s">
        <v>6856</v>
      </c>
      <c r="F2160" s="34" t="n">
        <f aca="false">IFERROR(VLOOKUP($A2160,'319'!$B:$H,7,0),0)</f>
        <v>0</v>
      </c>
      <c r="G2160" s="34" t="n">
        <f aca="false">SUMIFS('12.326ana'!$C:$C,'12.326ana'!$M:$M,redes!A2160)</f>
        <v>0</v>
      </c>
    </row>
    <row r="2161" customFormat="false" ht="14.4" hidden="true" customHeight="false" outlineLevel="0" collapsed="false">
      <c r="A2161" s="34" t="n">
        <v>33856923187</v>
      </c>
      <c r="B2161" s="34" t="s">
        <v>6857</v>
      </c>
      <c r="C2161" s="34" t="s">
        <v>721</v>
      </c>
      <c r="E2161" s="30" t="s">
        <v>6858</v>
      </c>
      <c r="F2161" s="34" t="n">
        <f aca="false">IFERROR(VLOOKUP($A2161,'319'!$B:$H,7,0),0)</f>
        <v>0</v>
      </c>
      <c r="G2161" s="34" t="n">
        <f aca="false">SUMIFS('12.326ana'!$C:$C,'12.326ana'!$M:$M,redes!A2161)</f>
        <v>0</v>
      </c>
    </row>
    <row r="2162" customFormat="false" ht="14.4" hidden="true" customHeight="false" outlineLevel="0" collapsed="false">
      <c r="A2162" s="34" t="n">
        <v>33857644168</v>
      </c>
      <c r="B2162" s="34" t="s">
        <v>6859</v>
      </c>
      <c r="C2162" s="34" t="s">
        <v>342</v>
      </c>
      <c r="E2162" s="30" t="s">
        <v>6860</v>
      </c>
      <c r="F2162" s="34" t="n">
        <f aca="false">IFERROR(VLOOKUP($A2162,'319'!$B:$H,7,0),0)</f>
        <v>0</v>
      </c>
      <c r="G2162" s="34" t="n">
        <f aca="false">SUMIFS('12.326ana'!$C:$C,'12.326ana'!$M:$M,redes!A2162)</f>
        <v>0</v>
      </c>
    </row>
    <row r="2163" customFormat="false" ht="14.4" hidden="true" customHeight="false" outlineLevel="0" collapsed="false">
      <c r="A2163" s="34" t="n">
        <v>33859329120</v>
      </c>
      <c r="B2163" s="34" t="s">
        <v>6861</v>
      </c>
      <c r="C2163" s="34" t="s">
        <v>342</v>
      </c>
      <c r="E2163" s="30" t="s">
        <v>6862</v>
      </c>
      <c r="F2163" s="34" t="n">
        <f aca="false">IFERROR(VLOOKUP($A2163,'319'!$B:$H,7,0),0)</f>
        <v>0</v>
      </c>
      <c r="G2163" s="34" t="n">
        <f aca="false">SUMIFS('12.326ana'!$C:$C,'12.326ana'!$M:$M,redes!A2163)</f>
        <v>0</v>
      </c>
    </row>
    <row r="2164" customFormat="false" ht="14.4" hidden="true" customHeight="false" outlineLevel="0" collapsed="false">
      <c r="A2164" s="34" t="n">
        <v>33866171153</v>
      </c>
      <c r="B2164" s="34" t="s">
        <v>6863</v>
      </c>
      <c r="C2164" s="34" t="s">
        <v>89</v>
      </c>
      <c r="E2164" s="30" t="s">
        <v>6864</v>
      </c>
      <c r="F2164" s="34" t="n">
        <f aca="false">IFERROR(VLOOKUP($A2164,'319'!$B:$H,7,0),0)</f>
        <v>0</v>
      </c>
      <c r="G2164" s="34" t="n">
        <f aca="false">SUMIFS('12.326ana'!$C:$C,'12.326ana'!$M:$M,redes!A2164)</f>
        <v>0</v>
      </c>
    </row>
    <row r="2165" customFormat="false" ht="14.4" hidden="true" customHeight="false" outlineLevel="0" collapsed="false">
      <c r="A2165" s="34" t="n">
        <v>33870624191</v>
      </c>
      <c r="B2165" s="34" t="s">
        <v>6865</v>
      </c>
      <c r="C2165" s="34" t="s">
        <v>192</v>
      </c>
      <c r="E2165" s="30" t="s">
        <v>6866</v>
      </c>
      <c r="F2165" s="34" t="n">
        <f aca="false">IFERROR(VLOOKUP($A2165,'319'!$B:$H,7,0),0)</f>
        <v>0</v>
      </c>
      <c r="G2165" s="34" t="n">
        <f aca="false">SUMIFS('12.326ana'!$C:$C,'12.326ana'!$M:$M,redes!A2165)</f>
        <v>0</v>
      </c>
    </row>
    <row r="2166" customFormat="false" ht="14.4" hidden="true" customHeight="false" outlineLevel="0" collapsed="false">
      <c r="A2166" s="34" t="n">
        <v>33872260120</v>
      </c>
      <c r="B2166" s="34" t="s">
        <v>6867</v>
      </c>
      <c r="C2166" s="34" t="s">
        <v>77</v>
      </c>
      <c r="E2166" s="30" t="s">
        <v>6868</v>
      </c>
      <c r="F2166" s="34" t="n">
        <f aca="false">IFERROR(VLOOKUP($A2166,'319'!$B:$H,7,0),0)</f>
        <v>0</v>
      </c>
      <c r="G2166" s="34" t="n">
        <f aca="false">SUMIFS('12.326ana'!$C:$C,'12.326ana'!$M:$M,redes!A2166)</f>
        <v>0</v>
      </c>
    </row>
    <row r="2167" customFormat="false" ht="14.4" hidden="true" customHeight="false" outlineLevel="0" collapsed="false">
      <c r="A2167" s="34" t="n">
        <v>33876606187</v>
      </c>
      <c r="B2167" s="34" t="s">
        <v>6869</v>
      </c>
      <c r="C2167" s="34" t="s">
        <v>89</v>
      </c>
      <c r="E2167" s="30" t="s">
        <v>6870</v>
      </c>
      <c r="F2167" s="34" t="n">
        <f aca="false">IFERROR(VLOOKUP($A2167,'319'!$B:$H,7,0),0)</f>
        <v>0</v>
      </c>
      <c r="G2167" s="34" t="n">
        <f aca="false">SUMIFS('12.326ana'!$C:$C,'12.326ana'!$M:$M,redes!A2167)</f>
        <v>0</v>
      </c>
    </row>
    <row r="2168" customFormat="false" ht="14.4" hidden="true" customHeight="false" outlineLevel="0" collapsed="false">
      <c r="A2168" s="34" t="n">
        <v>33881324100</v>
      </c>
      <c r="B2168" s="34" t="s">
        <v>6871</v>
      </c>
      <c r="C2168" s="34" t="s">
        <v>77</v>
      </c>
      <c r="E2168" s="30" t="s">
        <v>6872</v>
      </c>
      <c r="F2168" s="34" t="n">
        <f aca="false">IFERROR(VLOOKUP($A2168,'319'!$B:$H,7,0),0)</f>
        <v>0</v>
      </c>
      <c r="G2168" s="34" t="n">
        <f aca="false">SUMIFS('12.326ana'!$C:$C,'12.326ana'!$M:$M,redes!A2168)</f>
        <v>0</v>
      </c>
    </row>
    <row r="2169" customFormat="false" ht="14.4" hidden="true" customHeight="false" outlineLevel="0" collapsed="false">
      <c r="A2169" s="34" t="n">
        <v>33886504115</v>
      </c>
      <c r="B2169" s="34" t="s">
        <v>6873</v>
      </c>
      <c r="C2169" s="34" t="s">
        <v>77</v>
      </c>
      <c r="E2169" s="30" t="s">
        <v>6874</v>
      </c>
      <c r="F2169" s="34" t="n">
        <f aca="false">IFERROR(VLOOKUP($A2169,'319'!$B:$H,7,0),0)</f>
        <v>0</v>
      </c>
      <c r="G2169" s="34" t="n">
        <f aca="false">SUMIFS('12.326ana'!$C:$C,'12.326ana'!$M:$M,redes!A2169)</f>
        <v>0</v>
      </c>
    </row>
    <row r="2170" customFormat="false" ht="14.4" hidden="true" customHeight="false" outlineLevel="0" collapsed="false">
      <c r="A2170" s="34" t="n">
        <v>33888027187</v>
      </c>
      <c r="B2170" s="34" t="s">
        <v>6875</v>
      </c>
      <c r="C2170" s="34" t="s">
        <v>1680</v>
      </c>
      <c r="E2170" s="30" t="s">
        <v>6876</v>
      </c>
      <c r="F2170" s="34" t="n">
        <f aca="false">IFERROR(VLOOKUP($A2170,'319'!$B:$H,7,0),0)</f>
        <v>0</v>
      </c>
      <c r="G2170" s="34" t="n">
        <f aca="false">SUMIFS('12.326ana'!$C:$C,'12.326ana'!$M:$M,redes!A2170)</f>
        <v>0</v>
      </c>
    </row>
    <row r="2171" customFormat="false" ht="14.4" hidden="true" customHeight="false" outlineLevel="0" collapsed="false">
      <c r="A2171" s="34" t="n">
        <v>33889104134</v>
      </c>
      <c r="B2171" s="34" t="s">
        <v>6877</v>
      </c>
      <c r="C2171" s="34" t="s">
        <v>77</v>
      </c>
      <c r="E2171" s="30"/>
      <c r="F2171" s="34" t="n">
        <f aca="false">IFERROR(VLOOKUP($A2171,'319'!$B:$H,7,0),0)</f>
        <v>0</v>
      </c>
      <c r="G2171" s="34" t="n">
        <f aca="false">SUMIFS('12.326ana'!$C:$C,'12.326ana'!$M:$M,redes!A2171)</f>
        <v>0</v>
      </c>
    </row>
    <row r="2172" customFormat="false" ht="14.4" hidden="true" customHeight="false" outlineLevel="0" collapsed="false">
      <c r="A2172" s="34" t="n">
        <v>33891605153</v>
      </c>
      <c r="B2172" s="34" t="s">
        <v>6878</v>
      </c>
      <c r="C2172" s="34" t="s">
        <v>77</v>
      </c>
      <c r="E2172" s="30"/>
      <c r="F2172" s="34" t="n">
        <f aca="false">IFERROR(VLOOKUP($A2172,'319'!$B:$H,7,0),0)</f>
        <v>0</v>
      </c>
      <c r="G2172" s="34" t="n">
        <f aca="false">SUMIFS('12.326ana'!$C:$C,'12.326ana'!$M:$M,redes!A2172)</f>
        <v>0</v>
      </c>
    </row>
    <row r="2173" customFormat="false" ht="14.4" hidden="true" customHeight="false" outlineLevel="0" collapsed="false">
      <c r="A2173" s="34" t="n">
        <v>33891907168</v>
      </c>
      <c r="B2173" s="34" t="s">
        <v>6879</v>
      </c>
      <c r="C2173" s="34" t="s">
        <v>77</v>
      </c>
      <c r="E2173" s="30" t="s">
        <v>6198</v>
      </c>
      <c r="F2173" s="34" t="n">
        <f aca="false">IFERROR(VLOOKUP($A2173,'319'!$B:$H,7,0),0)</f>
        <v>0</v>
      </c>
      <c r="G2173" s="34" t="n">
        <f aca="false">SUMIFS('12.326ana'!$C:$C,'12.326ana'!$M:$M,redes!A2173)</f>
        <v>0</v>
      </c>
    </row>
    <row r="2174" customFormat="false" ht="14.4" hidden="true" customHeight="false" outlineLevel="0" collapsed="false">
      <c r="A2174" s="34" t="n">
        <v>33892164134</v>
      </c>
      <c r="B2174" s="34" t="s">
        <v>6880</v>
      </c>
      <c r="C2174" s="34" t="s">
        <v>77</v>
      </c>
      <c r="E2174" s="30" t="s">
        <v>6881</v>
      </c>
      <c r="F2174" s="34" t="n">
        <f aca="false">IFERROR(VLOOKUP($A2174,'319'!$B:$H,7,0),0)</f>
        <v>0</v>
      </c>
      <c r="G2174" s="34" t="n">
        <f aca="false">SUMIFS('12.326ana'!$C:$C,'12.326ana'!$M:$M,redes!A2174)</f>
        <v>0</v>
      </c>
    </row>
    <row r="2175" customFormat="false" ht="14.4" hidden="true" customHeight="false" outlineLevel="0" collapsed="false">
      <c r="A2175" s="34" t="n">
        <v>33897085100</v>
      </c>
      <c r="B2175" s="34" t="s">
        <v>6882</v>
      </c>
      <c r="C2175" s="34" t="s">
        <v>77</v>
      </c>
      <c r="E2175" s="30" t="s">
        <v>6883</v>
      </c>
      <c r="F2175" s="34" t="n">
        <f aca="false">IFERROR(VLOOKUP($A2175,'319'!$B:$H,7,0),0)</f>
        <v>0</v>
      </c>
      <c r="G2175" s="34" t="n">
        <f aca="false">SUMIFS('12.326ana'!$C:$C,'12.326ana'!$M:$M,redes!A2175)</f>
        <v>0</v>
      </c>
    </row>
    <row r="2176" customFormat="false" ht="14.4" hidden="true" customHeight="false" outlineLevel="0" collapsed="false">
      <c r="A2176" s="34" t="n">
        <v>33897310163</v>
      </c>
      <c r="B2176" s="34" t="s">
        <v>6884</v>
      </c>
      <c r="C2176" s="34" t="s">
        <v>77</v>
      </c>
      <c r="E2176" s="30" t="s">
        <v>6885</v>
      </c>
      <c r="F2176" s="34" t="n">
        <f aca="false">IFERROR(VLOOKUP($A2176,'319'!$B:$H,7,0),0)</f>
        <v>0</v>
      </c>
      <c r="G2176" s="34" t="n">
        <f aca="false">SUMIFS('12.326ana'!$C:$C,'12.326ana'!$M:$M,redes!A2176)</f>
        <v>0</v>
      </c>
    </row>
    <row r="2177" customFormat="false" ht="14.4" hidden="true" customHeight="false" outlineLevel="0" collapsed="false">
      <c r="A2177" s="34" t="n">
        <v>33897450178</v>
      </c>
      <c r="B2177" s="34" t="s">
        <v>6886</v>
      </c>
      <c r="C2177" s="34" t="s">
        <v>77</v>
      </c>
      <c r="E2177" s="30" t="s">
        <v>6887</v>
      </c>
      <c r="F2177" s="34" t="n">
        <f aca="false">IFERROR(VLOOKUP($A2177,'319'!$B:$H,7,0),0)</f>
        <v>0</v>
      </c>
      <c r="G2177" s="34" t="n">
        <f aca="false">SUMIFS('12.326ana'!$C:$C,'12.326ana'!$M:$M,redes!A2177)</f>
        <v>0</v>
      </c>
    </row>
    <row r="2178" customFormat="false" ht="14.4" hidden="true" customHeight="false" outlineLevel="0" collapsed="false">
      <c r="A2178" s="34" t="n">
        <v>33920117891</v>
      </c>
      <c r="B2178" s="34" t="s">
        <v>6888</v>
      </c>
      <c r="C2178" s="34" t="s">
        <v>103</v>
      </c>
      <c r="E2178" s="30" t="s">
        <v>6889</v>
      </c>
      <c r="F2178" s="34" t="n">
        <f aca="false">IFERROR(VLOOKUP($A2178,'319'!$B:$H,7,0),0)</f>
        <v>0</v>
      </c>
      <c r="G2178" s="34" t="n">
        <f aca="false">SUMIFS('12.326ana'!$C:$C,'12.326ana'!$M:$M,redes!A2178)</f>
        <v>0</v>
      </c>
    </row>
    <row r="2179" customFormat="false" ht="14.4" hidden="true" customHeight="false" outlineLevel="0" collapsed="false">
      <c r="A2179" s="34" t="n">
        <v>34032840857</v>
      </c>
      <c r="B2179" s="34" t="s">
        <v>6890</v>
      </c>
      <c r="C2179" s="34" t="s">
        <v>342</v>
      </c>
      <c r="E2179" s="30" t="s">
        <v>6533</v>
      </c>
      <c r="F2179" s="34" t="n">
        <f aca="false">IFERROR(VLOOKUP($A2179,'319'!$B:$H,7,0),0)</f>
        <v>0</v>
      </c>
      <c r="G2179" s="34" t="n">
        <f aca="false">SUMIFS('12.326ana'!$C:$C,'12.326ana'!$M:$M,redes!A2179)</f>
        <v>0</v>
      </c>
    </row>
    <row r="2180" customFormat="false" ht="14.4" hidden="true" customHeight="false" outlineLevel="0" collapsed="false">
      <c r="A2180" s="34" t="n">
        <v>34321365791</v>
      </c>
      <c r="B2180" s="34" t="s">
        <v>6891</v>
      </c>
      <c r="C2180" s="34" t="s">
        <v>77</v>
      </c>
      <c r="E2180" s="30" t="s">
        <v>6892</v>
      </c>
      <c r="F2180" s="34" t="n">
        <f aca="false">IFERROR(VLOOKUP($A2180,'319'!$B:$H,7,0),0)</f>
        <v>0</v>
      </c>
      <c r="G2180" s="34" t="n">
        <f aca="false">SUMIFS('12.326ana'!$C:$C,'12.326ana'!$M:$M,redes!A2180)</f>
        <v>0</v>
      </c>
    </row>
    <row r="2181" customFormat="false" ht="14.4" hidden="true" customHeight="false" outlineLevel="0" collapsed="false">
      <c r="A2181" s="34" t="n">
        <v>34343167879</v>
      </c>
      <c r="B2181" s="34" t="s">
        <v>6893</v>
      </c>
      <c r="C2181" s="34" t="s">
        <v>89</v>
      </c>
      <c r="E2181" s="30" t="s">
        <v>6894</v>
      </c>
      <c r="F2181" s="34" t="n">
        <f aca="false">IFERROR(VLOOKUP($A2181,'319'!$B:$H,7,0),0)</f>
        <v>0</v>
      </c>
      <c r="G2181" s="34" t="n">
        <f aca="false">SUMIFS('12.326ana'!$C:$C,'12.326ana'!$M:$M,redes!A2181)</f>
        <v>0</v>
      </c>
    </row>
    <row r="2182" customFormat="false" ht="14.4" hidden="true" customHeight="false" outlineLevel="0" collapsed="false">
      <c r="A2182" s="34" t="n">
        <v>34368973100</v>
      </c>
      <c r="B2182" s="34" t="s">
        <v>6895</v>
      </c>
      <c r="C2182" s="34" t="s">
        <v>139</v>
      </c>
      <c r="E2182" s="30" t="s">
        <v>6896</v>
      </c>
      <c r="F2182" s="34" t="n">
        <f aca="false">IFERROR(VLOOKUP($A2182,'319'!$B:$H,7,0),0)</f>
        <v>0</v>
      </c>
      <c r="G2182" s="34" t="n">
        <f aca="false">SUMIFS('12.326ana'!$C:$C,'12.326ana'!$M:$M,redes!A2182)</f>
        <v>0</v>
      </c>
    </row>
    <row r="2183" customFormat="false" ht="14.4" hidden="true" customHeight="false" outlineLevel="0" collapsed="false">
      <c r="A2183" s="34" t="n">
        <v>34372075120</v>
      </c>
      <c r="B2183" s="34" t="s">
        <v>6897</v>
      </c>
      <c r="C2183" s="34" t="s">
        <v>77</v>
      </c>
      <c r="E2183" s="30" t="s">
        <v>6898</v>
      </c>
      <c r="F2183" s="34" t="n">
        <f aca="false">IFERROR(VLOOKUP($A2183,'319'!$B:$H,7,0),0)</f>
        <v>0</v>
      </c>
      <c r="G2183" s="34" t="n">
        <f aca="false">SUMIFS('12.326ana'!$C:$C,'12.326ana'!$M:$M,redes!A2183)</f>
        <v>0</v>
      </c>
    </row>
    <row r="2184" customFormat="false" ht="14.4" hidden="true" customHeight="false" outlineLevel="0" collapsed="false">
      <c r="A2184" s="34" t="n">
        <v>34387986115</v>
      </c>
      <c r="B2184" s="34" t="s">
        <v>6899</v>
      </c>
      <c r="C2184" s="34" t="s">
        <v>107</v>
      </c>
      <c r="E2184" s="30" t="s">
        <v>6900</v>
      </c>
      <c r="F2184" s="34" t="n">
        <f aca="false">IFERROR(VLOOKUP($A2184,'319'!$B:$H,7,0),0)</f>
        <v>0</v>
      </c>
      <c r="G2184" s="34" t="n">
        <f aca="false">SUMIFS('12.326ana'!$C:$C,'12.326ana'!$M:$M,redes!A2184)</f>
        <v>0</v>
      </c>
    </row>
    <row r="2185" customFormat="false" ht="14.4" hidden="true" customHeight="false" outlineLevel="0" collapsed="false">
      <c r="A2185" s="34" t="n">
        <v>34596798168</v>
      </c>
      <c r="B2185" s="34" t="s">
        <v>6901</v>
      </c>
      <c r="C2185" s="34" t="s">
        <v>77</v>
      </c>
      <c r="E2185" s="30" t="s">
        <v>6902</v>
      </c>
      <c r="F2185" s="34" t="n">
        <f aca="false">IFERROR(VLOOKUP($A2185,'319'!$B:$H,7,0),0)</f>
        <v>0</v>
      </c>
      <c r="G2185" s="34" t="n">
        <f aca="false">SUMIFS('12.326ana'!$C:$C,'12.326ana'!$M:$M,redes!A2185)</f>
        <v>0</v>
      </c>
    </row>
    <row r="2186" customFormat="false" ht="14.4" hidden="true" customHeight="false" outlineLevel="0" collapsed="false">
      <c r="A2186" s="34" t="n">
        <v>34600248953</v>
      </c>
      <c r="B2186" s="34" t="s">
        <v>6903</v>
      </c>
      <c r="C2186" s="34" t="s">
        <v>77</v>
      </c>
      <c r="E2186" s="30" t="s">
        <v>5510</v>
      </c>
      <c r="F2186" s="34" t="n">
        <f aca="false">IFERROR(VLOOKUP($A2186,'319'!$B:$H,7,0),0)</f>
        <v>0</v>
      </c>
      <c r="G2186" s="34" t="n">
        <f aca="false">SUMIFS('12.326ana'!$C:$C,'12.326ana'!$M:$M,redes!A2186)</f>
        <v>0</v>
      </c>
    </row>
    <row r="2187" customFormat="false" ht="14.4" hidden="true" customHeight="false" outlineLevel="0" collapsed="false">
      <c r="A2187" s="34" t="n">
        <v>34604723915</v>
      </c>
      <c r="B2187" s="34" t="s">
        <v>6904</v>
      </c>
      <c r="C2187" s="34" t="s">
        <v>77</v>
      </c>
      <c r="E2187" s="30" t="s">
        <v>6905</v>
      </c>
      <c r="F2187" s="34" t="n">
        <f aca="false">IFERROR(VLOOKUP($A2187,'319'!$B:$H,7,0),0)</f>
        <v>0</v>
      </c>
      <c r="G2187" s="34" t="n">
        <f aca="false">SUMIFS('12.326ana'!$C:$C,'12.326ana'!$M:$M,redes!A2187)</f>
        <v>0</v>
      </c>
    </row>
    <row r="2188" customFormat="false" ht="14.4" hidden="true" customHeight="false" outlineLevel="0" collapsed="false">
      <c r="A2188" s="34" t="n">
        <v>34619674168</v>
      </c>
      <c r="B2188" s="34" t="s">
        <v>6906</v>
      </c>
      <c r="C2188" s="34" t="s">
        <v>77</v>
      </c>
      <c r="E2188" s="30" t="s">
        <v>6907</v>
      </c>
      <c r="F2188" s="34" t="n">
        <f aca="false">IFERROR(VLOOKUP($A2188,'319'!$B:$H,7,0),0)</f>
        <v>0</v>
      </c>
      <c r="G2188" s="34" t="n">
        <f aca="false">SUMIFS('12.326ana'!$C:$C,'12.326ana'!$M:$M,redes!A2188)</f>
        <v>0</v>
      </c>
    </row>
    <row r="2189" customFormat="false" ht="14.4" hidden="true" customHeight="false" outlineLevel="0" collapsed="false">
      <c r="A2189" s="34" t="n">
        <v>34629653104</v>
      </c>
      <c r="B2189" s="34" t="s">
        <v>6908</v>
      </c>
      <c r="C2189" s="34" t="s">
        <v>77</v>
      </c>
      <c r="E2189" s="30" t="s">
        <v>3902</v>
      </c>
      <c r="F2189" s="34" t="n">
        <f aca="false">IFERROR(VLOOKUP($A2189,'319'!$B:$H,7,0),0)</f>
        <v>0</v>
      </c>
      <c r="G2189" s="34" t="n">
        <f aca="false">SUMIFS('12.326ana'!$C:$C,'12.326ana'!$M:$M,redes!A2189)</f>
        <v>0</v>
      </c>
    </row>
    <row r="2190" customFormat="false" ht="14.4" hidden="true" customHeight="false" outlineLevel="0" collapsed="false">
      <c r="A2190" s="34" t="n">
        <v>34929240930</v>
      </c>
      <c r="B2190" s="34" t="s">
        <v>6909</v>
      </c>
      <c r="C2190" s="34" t="s">
        <v>77</v>
      </c>
      <c r="E2190" s="30" t="s">
        <v>4630</v>
      </c>
      <c r="F2190" s="34" t="n">
        <f aca="false">IFERROR(VLOOKUP($A2190,'319'!$B:$H,7,0),0)</f>
        <v>0</v>
      </c>
      <c r="G2190" s="34" t="n">
        <f aca="false">SUMIFS('12.326ana'!$C:$C,'12.326ana'!$M:$M,redes!A2190)</f>
        <v>0</v>
      </c>
    </row>
    <row r="2191" customFormat="false" ht="14.4" hidden="true" customHeight="false" outlineLevel="0" collapsed="false">
      <c r="A2191" s="34" t="n">
        <v>35007516287</v>
      </c>
      <c r="B2191" s="34" t="s">
        <v>5715</v>
      </c>
      <c r="C2191" s="34" t="s">
        <v>77</v>
      </c>
      <c r="E2191" s="30" t="s">
        <v>5715</v>
      </c>
      <c r="F2191" s="34" t="n">
        <f aca="false">IFERROR(VLOOKUP($A2191,'319'!$B:$H,7,0),0)</f>
        <v>0</v>
      </c>
      <c r="G2191" s="34" t="n">
        <f aca="false">SUMIFS('12.326ana'!$C:$C,'12.326ana'!$M:$M,redes!A2191)</f>
        <v>0</v>
      </c>
    </row>
    <row r="2192" customFormat="false" ht="14.4" hidden="true" customHeight="false" outlineLevel="0" collapsed="false">
      <c r="A2192" s="34" t="n">
        <v>35022868920</v>
      </c>
      <c r="B2192" s="34" t="s">
        <v>6910</v>
      </c>
      <c r="C2192" s="34" t="s">
        <v>77</v>
      </c>
      <c r="E2192" s="30" t="s">
        <v>6911</v>
      </c>
      <c r="F2192" s="34" t="n">
        <f aca="false">IFERROR(VLOOKUP($A2192,'319'!$B:$H,7,0),0)</f>
        <v>0</v>
      </c>
      <c r="G2192" s="34" t="n">
        <f aca="false">SUMIFS('12.326ana'!$C:$C,'12.326ana'!$M:$M,redes!A2192)</f>
        <v>0</v>
      </c>
    </row>
    <row r="2193" customFormat="false" ht="14.4" hidden="true" customHeight="false" outlineLevel="0" collapsed="false">
      <c r="A2193" s="34" t="n">
        <v>35024933915</v>
      </c>
      <c r="B2193" s="34" t="s">
        <v>6912</v>
      </c>
      <c r="C2193" s="34" t="s">
        <v>77</v>
      </c>
      <c r="E2193" s="30" t="s">
        <v>6913</v>
      </c>
      <c r="F2193" s="34" t="n">
        <f aca="false">IFERROR(VLOOKUP($A2193,'319'!$B:$H,7,0),0)</f>
        <v>0</v>
      </c>
      <c r="G2193" s="34" t="n">
        <f aca="false">SUMIFS('12.326ana'!$C:$C,'12.326ana'!$M:$M,redes!A2193)</f>
        <v>0</v>
      </c>
    </row>
    <row r="2194" customFormat="false" ht="14.4" hidden="true" customHeight="false" outlineLevel="0" collapsed="false">
      <c r="A2194" s="34" t="n">
        <v>35131047153</v>
      </c>
      <c r="B2194" s="34" t="s">
        <v>6914</v>
      </c>
      <c r="C2194" s="34" t="s">
        <v>77</v>
      </c>
      <c r="E2194" s="30" t="s">
        <v>6915</v>
      </c>
      <c r="F2194" s="34" t="n">
        <f aca="false">IFERROR(VLOOKUP($A2194,'319'!$B:$H,7,0),0)</f>
        <v>0</v>
      </c>
      <c r="G2194" s="34" t="n">
        <f aca="false">SUMIFS('12.326ana'!$C:$C,'12.326ana'!$M:$M,redes!A2194)</f>
        <v>0</v>
      </c>
    </row>
    <row r="2195" customFormat="false" ht="14.4" hidden="true" customHeight="false" outlineLevel="0" collapsed="false">
      <c r="A2195" s="34" t="n">
        <v>35226625391</v>
      </c>
      <c r="B2195" s="34" t="s">
        <v>6916</v>
      </c>
      <c r="C2195" s="34" t="s">
        <v>77</v>
      </c>
      <c r="E2195" s="30" t="s">
        <v>6917</v>
      </c>
      <c r="F2195" s="34" t="n">
        <f aca="false">IFERROR(VLOOKUP($A2195,'319'!$B:$H,7,0),0)</f>
        <v>0</v>
      </c>
      <c r="G2195" s="34" t="n">
        <f aca="false">SUMIFS('12.326ana'!$C:$C,'12.326ana'!$M:$M,redes!A2195)</f>
        <v>0</v>
      </c>
    </row>
    <row r="2196" customFormat="false" ht="14.4" hidden="true" customHeight="false" outlineLevel="0" collapsed="false">
      <c r="A2196" s="34" t="n">
        <v>35270837153</v>
      </c>
      <c r="B2196" s="34" t="s">
        <v>6918</v>
      </c>
      <c r="C2196" s="34" t="s">
        <v>77</v>
      </c>
      <c r="E2196" s="30" t="s">
        <v>6919</v>
      </c>
      <c r="F2196" s="34" t="n">
        <f aca="false">IFERROR(VLOOKUP($A2196,'319'!$B:$H,7,0),0)</f>
        <v>0</v>
      </c>
      <c r="G2196" s="34" t="n">
        <f aca="false">SUMIFS('12.326ana'!$C:$C,'12.326ana'!$M:$M,redes!A2196)</f>
        <v>0</v>
      </c>
    </row>
    <row r="2197" customFormat="false" ht="14.4" hidden="true" customHeight="false" outlineLevel="0" collapsed="false">
      <c r="A2197" s="34" t="n">
        <v>35270853191</v>
      </c>
      <c r="B2197" s="34" t="s">
        <v>6920</v>
      </c>
      <c r="C2197" s="34" t="s">
        <v>77</v>
      </c>
      <c r="E2197" s="30" t="s">
        <v>6921</v>
      </c>
      <c r="F2197" s="34" t="n">
        <f aca="false">IFERROR(VLOOKUP($A2197,'319'!$B:$H,7,0),0)</f>
        <v>0</v>
      </c>
      <c r="G2197" s="34" t="n">
        <f aca="false">SUMIFS('12.326ana'!$C:$C,'12.326ana'!$M:$M,redes!A2197)</f>
        <v>0</v>
      </c>
    </row>
    <row r="2198" customFormat="false" ht="14.4" hidden="true" customHeight="false" outlineLevel="0" collapsed="false">
      <c r="A2198" s="34" t="n">
        <v>35561467468</v>
      </c>
      <c r="B2198" s="34" t="s">
        <v>6922</v>
      </c>
      <c r="C2198" s="34" t="s">
        <v>192</v>
      </c>
      <c r="E2198" s="30" t="s">
        <v>6923</v>
      </c>
      <c r="F2198" s="34" t="n">
        <f aca="false">IFERROR(VLOOKUP($A2198,'319'!$B:$H,7,0),0)</f>
        <v>0</v>
      </c>
      <c r="G2198" s="34" t="n">
        <f aca="false">SUMIFS('12.326ana'!$C:$C,'12.326ana'!$M:$M,redes!A2198)</f>
        <v>0</v>
      </c>
    </row>
    <row r="2199" customFormat="false" ht="14.4" hidden="true" customHeight="false" outlineLevel="0" collapsed="false">
      <c r="A2199" s="34" t="n">
        <v>35599928187</v>
      </c>
      <c r="B2199" s="34" t="s">
        <v>6924</v>
      </c>
      <c r="C2199" s="34" t="s">
        <v>77</v>
      </c>
      <c r="E2199" s="30" t="s">
        <v>6925</v>
      </c>
      <c r="F2199" s="34" t="n">
        <f aca="false">IFERROR(VLOOKUP($A2199,'319'!$B:$H,7,0),0)</f>
        <v>0</v>
      </c>
      <c r="G2199" s="34" t="n">
        <f aca="false">SUMIFS('12.326ana'!$C:$C,'12.326ana'!$M:$M,redes!A2199)</f>
        <v>0</v>
      </c>
    </row>
    <row r="2200" customFormat="false" ht="14.4" hidden="true" customHeight="false" outlineLevel="0" collapsed="false">
      <c r="A2200" s="34" t="n">
        <v>35606169134</v>
      </c>
      <c r="B2200" s="34" t="s">
        <v>6926</v>
      </c>
      <c r="C2200" s="34" t="s">
        <v>478</v>
      </c>
      <c r="E2200" s="30"/>
      <c r="F2200" s="34" t="n">
        <f aca="false">IFERROR(VLOOKUP($A2200,'319'!$B:$H,7,0),0)</f>
        <v>0</v>
      </c>
      <c r="G2200" s="34" t="n">
        <f aca="false">SUMIFS('12.326ana'!$C:$C,'12.326ana'!$M:$M,redes!A2200)</f>
        <v>0</v>
      </c>
    </row>
    <row r="2201" customFormat="false" ht="14.4" hidden="true" customHeight="false" outlineLevel="0" collapsed="false">
      <c r="A2201" s="34" t="n">
        <v>35607092100</v>
      </c>
      <c r="B2201" s="34" t="s">
        <v>6927</v>
      </c>
      <c r="C2201" s="34" t="s">
        <v>89</v>
      </c>
      <c r="E2201" s="30"/>
      <c r="F2201" s="34" t="n">
        <f aca="false">IFERROR(VLOOKUP($A2201,'319'!$B:$H,7,0),0)</f>
        <v>0</v>
      </c>
      <c r="G2201" s="34" t="n">
        <f aca="false">SUMIFS('12.326ana'!$C:$C,'12.326ana'!$M:$M,redes!A2201)</f>
        <v>0</v>
      </c>
    </row>
    <row r="2202" customFormat="false" ht="14.4" hidden="true" customHeight="false" outlineLevel="0" collapsed="false">
      <c r="A2202" s="34" t="n">
        <v>35614730168</v>
      </c>
      <c r="B2202" s="34" t="s">
        <v>6928</v>
      </c>
      <c r="C2202" s="34" t="s">
        <v>631</v>
      </c>
      <c r="E2202" s="30" t="s">
        <v>6929</v>
      </c>
      <c r="F2202" s="34" t="n">
        <f aca="false">IFERROR(VLOOKUP($A2202,'319'!$B:$H,7,0),0)</f>
        <v>0</v>
      </c>
      <c r="G2202" s="34" t="n">
        <f aca="false">SUMIFS('12.326ana'!$C:$C,'12.326ana'!$M:$M,redes!A2202)</f>
        <v>0</v>
      </c>
    </row>
    <row r="2203" customFormat="false" ht="14.4" hidden="true" customHeight="false" outlineLevel="0" collapsed="false">
      <c r="A2203" s="34" t="n">
        <v>35615524120</v>
      </c>
      <c r="B2203" s="34" t="s">
        <v>6930</v>
      </c>
      <c r="C2203" s="34" t="s">
        <v>77</v>
      </c>
      <c r="E2203" s="30" t="s">
        <v>6931</v>
      </c>
      <c r="F2203" s="34" t="n">
        <f aca="false">IFERROR(VLOOKUP($A2203,'319'!$B:$H,7,0),0)</f>
        <v>0</v>
      </c>
      <c r="G2203" s="34" t="n">
        <f aca="false">SUMIFS('12.326ana'!$C:$C,'12.326ana'!$M:$M,redes!A2203)</f>
        <v>0</v>
      </c>
    </row>
    <row r="2204" customFormat="false" ht="14.4" hidden="true" customHeight="false" outlineLevel="0" collapsed="false">
      <c r="A2204" s="34" t="n">
        <v>35617390163</v>
      </c>
      <c r="B2204" s="34" t="s">
        <v>6932</v>
      </c>
      <c r="C2204" s="34" t="s">
        <v>77</v>
      </c>
      <c r="E2204" s="30" t="s">
        <v>6933</v>
      </c>
      <c r="F2204" s="34" t="n">
        <f aca="false">IFERROR(VLOOKUP($A2204,'319'!$B:$H,7,0),0)</f>
        <v>0</v>
      </c>
      <c r="G2204" s="34" t="n">
        <f aca="false">SUMIFS('12.326ana'!$C:$C,'12.326ana'!$M:$M,redes!A2204)</f>
        <v>0</v>
      </c>
    </row>
    <row r="2205" customFormat="false" ht="14.4" hidden="true" customHeight="false" outlineLevel="0" collapsed="false">
      <c r="A2205" s="34" t="n">
        <v>35618515172</v>
      </c>
      <c r="B2205" s="34" t="s">
        <v>6934</v>
      </c>
      <c r="C2205" s="34" t="s">
        <v>77</v>
      </c>
      <c r="E2205" s="30" t="s">
        <v>6935</v>
      </c>
      <c r="F2205" s="34" t="n">
        <f aca="false">IFERROR(VLOOKUP($A2205,'319'!$B:$H,7,0),0)</f>
        <v>0</v>
      </c>
      <c r="G2205" s="34" t="n">
        <f aca="false">SUMIFS('12.326ana'!$C:$C,'12.326ana'!$M:$M,redes!A2205)</f>
        <v>0</v>
      </c>
    </row>
    <row r="2206" customFormat="false" ht="14.4" hidden="true" customHeight="false" outlineLevel="0" collapsed="false">
      <c r="A2206" s="34" t="n">
        <v>35618850125</v>
      </c>
      <c r="B2206" s="34" t="s">
        <v>6936</v>
      </c>
      <c r="C2206" s="34" t="s">
        <v>77</v>
      </c>
      <c r="E2206" s="30" t="s">
        <v>6937</v>
      </c>
      <c r="F2206" s="34" t="n">
        <f aca="false">IFERROR(VLOOKUP($A2206,'319'!$B:$H,7,0),0)</f>
        <v>0</v>
      </c>
      <c r="G2206" s="34" t="n">
        <f aca="false">SUMIFS('12.326ana'!$C:$C,'12.326ana'!$M:$M,redes!A2206)</f>
        <v>0</v>
      </c>
    </row>
    <row r="2207" customFormat="false" ht="14.4" hidden="true" customHeight="false" outlineLevel="0" collapsed="false">
      <c r="A2207" s="34" t="n">
        <v>35624825153</v>
      </c>
      <c r="B2207" s="34" t="s">
        <v>6938</v>
      </c>
      <c r="C2207" s="34" t="s">
        <v>737</v>
      </c>
      <c r="E2207" s="30" t="s">
        <v>6939</v>
      </c>
      <c r="F2207" s="34" t="n">
        <f aca="false">IFERROR(VLOOKUP($A2207,'319'!$B:$H,7,0),0)</f>
        <v>0</v>
      </c>
      <c r="G2207" s="34" t="n">
        <f aca="false">SUMIFS('12.326ana'!$C:$C,'12.326ana'!$M:$M,redes!A2207)</f>
        <v>0</v>
      </c>
    </row>
    <row r="2208" customFormat="false" ht="14.4" hidden="true" customHeight="false" outlineLevel="0" collapsed="false">
      <c r="A2208" s="34" t="n">
        <v>35626003134</v>
      </c>
      <c r="B2208" s="34" t="s">
        <v>6940</v>
      </c>
      <c r="C2208" s="34" t="s">
        <v>77</v>
      </c>
      <c r="E2208" s="30" t="s">
        <v>6941</v>
      </c>
      <c r="F2208" s="34" t="n">
        <f aca="false">IFERROR(VLOOKUP($A2208,'319'!$B:$H,7,0),0)</f>
        <v>0</v>
      </c>
      <c r="G2208" s="34" t="n">
        <f aca="false">SUMIFS('12.326ana'!$C:$C,'12.326ana'!$M:$M,redes!A2208)</f>
        <v>0</v>
      </c>
    </row>
    <row r="2209" customFormat="false" ht="14.4" hidden="true" customHeight="false" outlineLevel="0" collapsed="false">
      <c r="A2209" s="34" t="n">
        <v>35626593187</v>
      </c>
      <c r="B2209" s="34" t="s">
        <v>6942</v>
      </c>
      <c r="C2209" s="34" t="s">
        <v>737</v>
      </c>
      <c r="E2209" s="30" t="s">
        <v>3407</v>
      </c>
      <c r="F2209" s="34" t="n">
        <f aca="false">IFERROR(VLOOKUP($A2209,'319'!$B:$H,7,0),0)</f>
        <v>0</v>
      </c>
      <c r="G2209" s="34" t="n">
        <f aca="false">SUMIFS('12.326ana'!$C:$C,'12.326ana'!$M:$M,redes!A2209)</f>
        <v>0</v>
      </c>
    </row>
    <row r="2210" customFormat="false" ht="14.4" hidden="true" customHeight="false" outlineLevel="0" collapsed="false">
      <c r="A2210" s="34" t="n">
        <v>35627646187</v>
      </c>
      <c r="B2210" s="34" t="s">
        <v>6943</v>
      </c>
      <c r="C2210" s="34" t="s">
        <v>77</v>
      </c>
      <c r="E2210" s="30" t="s">
        <v>6944</v>
      </c>
      <c r="F2210" s="34" t="n">
        <f aca="false">IFERROR(VLOOKUP($A2210,'319'!$B:$H,7,0),0)</f>
        <v>0</v>
      </c>
      <c r="G2210" s="34" t="n">
        <f aca="false">SUMIFS('12.326ana'!$C:$C,'12.326ana'!$M:$M,redes!A2210)</f>
        <v>0</v>
      </c>
    </row>
    <row r="2211" customFormat="false" ht="14.4" hidden="true" customHeight="false" outlineLevel="0" collapsed="false">
      <c r="A2211" s="34" t="n">
        <v>35653957100</v>
      </c>
      <c r="B2211" s="34" t="s">
        <v>6945</v>
      </c>
      <c r="C2211" s="34" t="s">
        <v>77</v>
      </c>
      <c r="E2211" s="30" t="s">
        <v>6946</v>
      </c>
      <c r="F2211" s="34" t="n">
        <f aca="false">IFERROR(VLOOKUP($A2211,'319'!$B:$H,7,0),0)</f>
        <v>0</v>
      </c>
      <c r="G2211" s="34" t="n">
        <f aca="false">SUMIFS('12.326ana'!$C:$C,'12.326ana'!$M:$M,redes!A2211)</f>
        <v>0</v>
      </c>
    </row>
    <row r="2212" customFormat="false" ht="14.4" hidden="true" customHeight="false" outlineLevel="0" collapsed="false">
      <c r="A2212" s="34" t="n">
        <v>35658240182</v>
      </c>
      <c r="B2212" s="34" t="s">
        <v>6947</v>
      </c>
      <c r="C2212" s="34" t="s">
        <v>77</v>
      </c>
      <c r="E2212" s="30" t="s">
        <v>3534</v>
      </c>
      <c r="F2212" s="34" t="n">
        <f aca="false">IFERROR(VLOOKUP($A2212,'319'!$B:$H,7,0),0)</f>
        <v>0</v>
      </c>
      <c r="G2212" s="34" t="n">
        <f aca="false">SUMIFS('12.326ana'!$C:$C,'12.326ana'!$M:$M,redes!A2212)</f>
        <v>0</v>
      </c>
    </row>
    <row r="2213" customFormat="false" ht="14.4" hidden="true" customHeight="false" outlineLevel="0" collapsed="false">
      <c r="A2213" s="34" t="n">
        <v>35673605153</v>
      </c>
      <c r="B2213" s="34" t="s">
        <v>6948</v>
      </c>
      <c r="C2213" s="34" t="s">
        <v>77</v>
      </c>
      <c r="E2213" s="30" t="s">
        <v>6949</v>
      </c>
      <c r="F2213" s="34" t="n">
        <f aca="false">IFERROR(VLOOKUP($A2213,'319'!$B:$H,7,0),0)</f>
        <v>0</v>
      </c>
      <c r="G2213" s="34" t="n">
        <f aca="false">SUMIFS('12.326ana'!$C:$C,'12.326ana'!$M:$M,redes!A2213)</f>
        <v>0</v>
      </c>
    </row>
    <row r="2214" customFormat="false" ht="14.4" hidden="true" customHeight="false" outlineLevel="0" collapsed="false">
      <c r="A2214" s="34" t="n">
        <v>35673818149</v>
      </c>
      <c r="B2214" s="34" t="s">
        <v>6950</v>
      </c>
      <c r="C2214" s="34" t="s">
        <v>77</v>
      </c>
      <c r="E2214" s="30" t="s">
        <v>6951</v>
      </c>
      <c r="F2214" s="34" t="n">
        <f aca="false">IFERROR(VLOOKUP($A2214,'319'!$B:$H,7,0),0)</f>
        <v>0</v>
      </c>
      <c r="G2214" s="34" t="n">
        <f aca="false">SUMIFS('12.326ana'!$C:$C,'12.326ana'!$M:$M,redes!A2214)</f>
        <v>0</v>
      </c>
    </row>
    <row r="2215" customFormat="false" ht="14.4" hidden="true" customHeight="false" outlineLevel="0" collapsed="false">
      <c r="A2215" s="34" t="n">
        <v>35677163104</v>
      </c>
      <c r="B2215" s="34" t="s">
        <v>6952</v>
      </c>
      <c r="C2215" s="34" t="s">
        <v>77</v>
      </c>
      <c r="E2215" s="30" t="s">
        <v>6953</v>
      </c>
      <c r="F2215" s="34" t="n">
        <f aca="false">IFERROR(VLOOKUP($A2215,'319'!$B:$H,7,0),0)</f>
        <v>0</v>
      </c>
      <c r="G2215" s="34" t="n">
        <f aca="false">SUMIFS('12.326ana'!$C:$C,'12.326ana'!$M:$M,redes!A2215)</f>
        <v>0</v>
      </c>
    </row>
    <row r="2216" customFormat="false" ht="14.4" hidden="true" customHeight="false" outlineLevel="0" collapsed="false">
      <c r="A2216" s="34" t="n">
        <v>35677317187</v>
      </c>
      <c r="B2216" s="34" t="s">
        <v>6954</v>
      </c>
      <c r="C2216" s="34" t="s">
        <v>77</v>
      </c>
      <c r="E2216" s="30" t="s">
        <v>6955</v>
      </c>
      <c r="F2216" s="34" t="n">
        <f aca="false">IFERROR(VLOOKUP($A2216,'319'!$B:$H,7,0),0)</f>
        <v>0</v>
      </c>
      <c r="G2216" s="34" t="n">
        <f aca="false">SUMIFS('12.326ana'!$C:$C,'12.326ana'!$M:$M,redes!A2216)</f>
        <v>0</v>
      </c>
    </row>
    <row r="2217" customFormat="false" ht="14.4" hidden="true" customHeight="false" outlineLevel="0" collapsed="false">
      <c r="A2217" s="34" t="n">
        <v>35678283120</v>
      </c>
      <c r="B2217" s="34" t="s">
        <v>6956</v>
      </c>
      <c r="C2217" s="34" t="s">
        <v>77</v>
      </c>
      <c r="E2217" s="30" t="s">
        <v>6957</v>
      </c>
      <c r="F2217" s="34" t="n">
        <f aca="false">IFERROR(VLOOKUP($A2217,'319'!$B:$H,7,0),0)</f>
        <v>0</v>
      </c>
      <c r="G2217" s="34" t="n">
        <f aca="false">SUMIFS('12.326ana'!$C:$C,'12.326ana'!$M:$M,redes!A2217)</f>
        <v>0</v>
      </c>
    </row>
    <row r="2218" customFormat="false" ht="14.4" hidden="true" customHeight="false" outlineLevel="0" collapsed="false">
      <c r="A2218" s="34" t="n">
        <v>35680580144</v>
      </c>
      <c r="B2218" s="34" t="s">
        <v>6958</v>
      </c>
      <c r="C2218" s="34" t="s">
        <v>77</v>
      </c>
      <c r="E2218" s="30" t="s">
        <v>6959</v>
      </c>
      <c r="F2218" s="34" t="n">
        <f aca="false">IFERROR(VLOOKUP($A2218,'319'!$B:$H,7,0),0)</f>
        <v>0</v>
      </c>
      <c r="G2218" s="34" t="n">
        <f aca="false">SUMIFS('12.326ana'!$C:$C,'12.326ana'!$M:$M,redes!A2218)</f>
        <v>0</v>
      </c>
    </row>
    <row r="2219" customFormat="false" ht="14.4" hidden="true" customHeight="false" outlineLevel="0" collapsed="false">
      <c r="A2219" s="34" t="n">
        <v>35683929172</v>
      </c>
      <c r="B2219" s="34" t="s">
        <v>6960</v>
      </c>
      <c r="C2219" s="34" t="s">
        <v>77</v>
      </c>
      <c r="E2219" s="30" t="s">
        <v>6961</v>
      </c>
      <c r="F2219" s="34" t="n">
        <f aca="false">IFERROR(VLOOKUP($A2219,'319'!$B:$H,7,0),0)</f>
        <v>0</v>
      </c>
      <c r="G2219" s="34" t="n">
        <f aca="false">SUMIFS('12.326ana'!$C:$C,'12.326ana'!$M:$M,redes!A2219)</f>
        <v>0</v>
      </c>
    </row>
    <row r="2220" customFormat="false" ht="14.4" hidden="true" customHeight="false" outlineLevel="0" collapsed="false">
      <c r="A2220" s="34" t="n">
        <v>35685190115</v>
      </c>
      <c r="B2220" s="34" t="s">
        <v>6962</v>
      </c>
      <c r="C2220" s="34" t="s">
        <v>197</v>
      </c>
      <c r="E2220" s="30" t="s">
        <v>6963</v>
      </c>
      <c r="F2220" s="34" t="n">
        <f aca="false">IFERROR(VLOOKUP($A2220,'319'!$B:$H,7,0),0)</f>
        <v>0</v>
      </c>
      <c r="G2220" s="34" t="n">
        <f aca="false">SUMIFS('12.326ana'!$C:$C,'12.326ana'!$M:$M,redes!A2220)</f>
        <v>0</v>
      </c>
    </row>
    <row r="2221" customFormat="false" ht="14.4" hidden="true" customHeight="false" outlineLevel="0" collapsed="false">
      <c r="A2221" s="34" t="n">
        <v>35689439134</v>
      </c>
      <c r="B2221" s="34" t="s">
        <v>6964</v>
      </c>
      <c r="C2221" s="34" t="s">
        <v>737</v>
      </c>
      <c r="E2221" s="30" t="s">
        <v>6965</v>
      </c>
      <c r="F2221" s="34" t="n">
        <f aca="false">IFERROR(VLOOKUP($A2221,'319'!$B:$H,7,0),0)</f>
        <v>0</v>
      </c>
      <c r="G2221" s="34" t="n">
        <f aca="false">SUMIFS('12.326ana'!$C:$C,'12.326ana'!$M:$M,redes!A2221)</f>
        <v>0</v>
      </c>
    </row>
    <row r="2222" customFormat="false" ht="14.4" hidden="true" customHeight="false" outlineLevel="0" collapsed="false">
      <c r="A2222" s="34" t="n">
        <v>35691816187</v>
      </c>
      <c r="B2222" s="34" t="s">
        <v>6966</v>
      </c>
      <c r="C2222" s="34" t="s">
        <v>77</v>
      </c>
      <c r="E2222" s="30" t="s">
        <v>6967</v>
      </c>
      <c r="F2222" s="34" t="n">
        <f aca="false">IFERROR(VLOOKUP($A2222,'319'!$B:$H,7,0),0)</f>
        <v>0</v>
      </c>
      <c r="G2222" s="34" t="n">
        <f aca="false">SUMIFS('12.326ana'!$C:$C,'12.326ana'!$M:$M,redes!A2222)</f>
        <v>0</v>
      </c>
    </row>
    <row r="2223" customFormat="false" ht="14.4" hidden="true" customHeight="false" outlineLevel="0" collapsed="false">
      <c r="A2223" s="34" t="n">
        <v>35691883100</v>
      </c>
      <c r="B2223" s="34" t="s">
        <v>6968</v>
      </c>
      <c r="C2223" s="34" t="s">
        <v>77</v>
      </c>
      <c r="E2223" s="30"/>
      <c r="F2223" s="34" t="n">
        <f aca="false">IFERROR(VLOOKUP($A2223,'319'!$B:$H,7,0),0)</f>
        <v>0</v>
      </c>
      <c r="G2223" s="34" t="n">
        <f aca="false">SUMIFS('12.326ana'!$C:$C,'12.326ana'!$M:$M,redes!A2223)</f>
        <v>0</v>
      </c>
    </row>
    <row r="2224" customFormat="false" ht="14.4" hidden="true" customHeight="false" outlineLevel="0" collapsed="false">
      <c r="A2224" s="34" t="n">
        <v>35691972120</v>
      </c>
      <c r="B2224" s="34" t="s">
        <v>6969</v>
      </c>
      <c r="C2224" s="34" t="s">
        <v>77</v>
      </c>
      <c r="E2224" s="30" t="s">
        <v>6970</v>
      </c>
      <c r="F2224" s="34" t="n">
        <f aca="false">IFERROR(VLOOKUP($A2224,'319'!$B:$H,7,0),0)</f>
        <v>0</v>
      </c>
      <c r="G2224" s="34" t="n">
        <f aca="false">SUMIFS('12.326ana'!$C:$C,'12.326ana'!$M:$M,redes!A2224)</f>
        <v>0</v>
      </c>
    </row>
    <row r="2225" customFormat="false" ht="14.4" hidden="true" customHeight="false" outlineLevel="0" collapsed="false">
      <c r="A2225" s="34" t="n">
        <v>35693819191</v>
      </c>
      <c r="B2225" s="34" t="s">
        <v>6971</v>
      </c>
      <c r="C2225" s="34" t="s">
        <v>77</v>
      </c>
      <c r="E2225" s="30" t="s">
        <v>6972</v>
      </c>
      <c r="F2225" s="34" t="n">
        <f aca="false">IFERROR(VLOOKUP($A2225,'319'!$B:$H,7,0),0)</f>
        <v>0</v>
      </c>
      <c r="G2225" s="34" t="n">
        <f aca="false">SUMIFS('12.326ana'!$C:$C,'12.326ana'!$M:$M,redes!A2225)</f>
        <v>0</v>
      </c>
    </row>
    <row r="2226" customFormat="false" ht="14.4" hidden="true" customHeight="false" outlineLevel="0" collapsed="false">
      <c r="A2226" s="34" t="n">
        <v>35694980182</v>
      </c>
      <c r="B2226" s="34" t="s">
        <v>6973</v>
      </c>
      <c r="C2226" s="34" t="s">
        <v>77</v>
      </c>
      <c r="E2226" s="30" t="s">
        <v>6974</v>
      </c>
      <c r="F2226" s="34" t="n">
        <f aca="false">IFERROR(VLOOKUP($A2226,'319'!$B:$H,7,0),0)</f>
        <v>0</v>
      </c>
      <c r="G2226" s="34" t="n">
        <f aca="false">SUMIFS('12.326ana'!$C:$C,'12.326ana'!$M:$M,redes!A2226)</f>
        <v>0</v>
      </c>
    </row>
    <row r="2227" customFormat="false" ht="14.4" hidden="true" customHeight="false" outlineLevel="0" collapsed="false">
      <c r="A2227" s="34" t="n">
        <v>35698667187</v>
      </c>
      <c r="B2227" s="34" t="s">
        <v>6975</v>
      </c>
      <c r="C2227" s="34" t="s">
        <v>77</v>
      </c>
      <c r="E2227" s="30" t="s">
        <v>6976</v>
      </c>
      <c r="F2227" s="34" t="n">
        <f aca="false">IFERROR(VLOOKUP($A2227,'319'!$B:$H,7,0),0)</f>
        <v>0</v>
      </c>
      <c r="G2227" s="34" t="n">
        <f aca="false">SUMIFS('12.326ana'!$C:$C,'12.326ana'!$M:$M,redes!A2227)</f>
        <v>0</v>
      </c>
    </row>
    <row r="2228" customFormat="false" ht="14.4" hidden="true" customHeight="false" outlineLevel="0" collapsed="false">
      <c r="A2228" s="34" t="n">
        <v>35699787100</v>
      </c>
      <c r="B2228" s="34" t="s">
        <v>6977</v>
      </c>
      <c r="C2228" s="34" t="s">
        <v>77</v>
      </c>
      <c r="E2228" s="30" t="s">
        <v>6978</v>
      </c>
      <c r="F2228" s="34" t="n">
        <f aca="false">IFERROR(VLOOKUP($A2228,'319'!$B:$H,7,0),0)</f>
        <v>0</v>
      </c>
      <c r="G2228" s="34" t="n">
        <f aca="false">SUMIFS('12.326ana'!$C:$C,'12.326ana'!$M:$M,redes!A2228)</f>
        <v>0</v>
      </c>
    </row>
    <row r="2229" customFormat="false" ht="14.4" hidden="true" customHeight="false" outlineLevel="0" collapsed="false">
      <c r="A2229" s="34" t="n">
        <v>35700505134</v>
      </c>
      <c r="B2229" s="34" t="s">
        <v>6979</v>
      </c>
      <c r="C2229" s="34" t="s">
        <v>994</v>
      </c>
      <c r="E2229" s="30" t="s">
        <v>6980</v>
      </c>
      <c r="F2229" s="34" t="n">
        <f aca="false">IFERROR(VLOOKUP($A2229,'319'!$B:$H,7,0),0)</f>
        <v>0</v>
      </c>
      <c r="G2229" s="34" t="n">
        <f aca="false">SUMIFS('12.326ana'!$C:$C,'12.326ana'!$M:$M,redes!A2229)</f>
        <v>0</v>
      </c>
    </row>
    <row r="2230" customFormat="false" ht="14.4" hidden="true" customHeight="false" outlineLevel="0" collapsed="false">
      <c r="A2230" s="34" t="n">
        <v>35700580187</v>
      </c>
      <c r="B2230" s="34" t="s">
        <v>6981</v>
      </c>
      <c r="C2230" s="34" t="s">
        <v>77</v>
      </c>
      <c r="E2230" s="30"/>
      <c r="F2230" s="34" t="n">
        <f aca="false">IFERROR(VLOOKUP($A2230,'319'!$B:$H,7,0),0)</f>
        <v>0</v>
      </c>
      <c r="G2230" s="34" t="n">
        <f aca="false">SUMIFS('12.326ana'!$C:$C,'12.326ana'!$M:$M,redes!A2230)</f>
        <v>0</v>
      </c>
    </row>
    <row r="2231" customFormat="false" ht="14.4" hidden="true" customHeight="false" outlineLevel="0" collapsed="false">
      <c r="A2231" s="34" t="n">
        <v>35709995134</v>
      </c>
      <c r="B2231" s="34" t="s">
        <v>6982</v>
      </c>
      <c r="C2231" s="34" t="s">
        <v>77</v>
      </c>
      <c r="E2231" s="30" t="s">
        <v>6983</v>
      </c>
      <c r="F2231" s="34" t="n">
        <f aca="false">IFERROR(VLOOKUP($A2231,'319'!$B:$H,7,0),0)</f>
        <v>0</v>
      </c>
      <c r="G2231" s="34" t="n">
        <f aca="false">SUMIFS('12.326ana'!$C:$C,'12.326ana'!$M:$M,redes!A2231)</f>
        <v>0</v>
      </c>
    </row>
    <row r="2232" customFormat="false" ht="14.4" hidden="true" customHeight="false" outlineLevel="0" collapsed="false">
      <c r="A2232" s="34" t="n">
        <v>35711221191</v>
      </c>
      <c r="B2232" s="34" t="s">
        <v>6984</v>
      </c>
      <c r="C2232" s="34" t="s">
        <v>309</v>
      </c>
      <c r="E2232" s="30" t="s">
        <v>6985</v>
      </c>
      <c r="F2232" s="34" t="n">
        <f aca="false">IFERROR(VLOOKUP($A2232,'319'!$B:$H,7,0),0)</f>
        <v>0</v>
      </c>
      <c r="G2232" s="34" t="n">
        <f aca="false">SUMIFS('12.326ana'!$C:$C,'12.326ana'!$M:$M,redes!A2232)</f>
        <v>0</v>
      </c>
    </row>
    <row r="2233" customFormat="false" ht="14.4" hidden="true" customHeight="false" outlineLevel="0" collapsed="false">
      <c r="A2233" s="34" t="n">
        <v>35717254172</v>
      </c>
      <c r="B2233" s="34" t="s">
        <v>6986</v>
      </c>
      <c r="C2233" s="34" t="s">
        <v>377</v>
      </c>
      <c r="E2233" s="30" t="s">
        <v>6987</v>
      </c>
      <c r="F2233" s="34" t="n">
        <f aca="false">IFERROR(VLOOKUP($A2233,'319'!$B:$H,7,0),0)</f>
        <v>0</v>
      </c>
      <c r="G2233" s="34" t="n">
        <f aca="false">SUMIFS('12.326ana'!$C:$C,'12.326ana'!$M:$M,redes!A2233)</f>
        <v>0</v>
      </c>
    </row>
    <row r="2234" customFormat="false" ht="14.4" hidden="true" customHeight="false" outlineLevel="0" collapsed="false">
      <c r="A2234" s="34" t="n">
        <v>35718277168</v>
      </c>
      <c r="B2234" s="34" t="s">
        <v>6988</v>
      </c>
      <c r="C2234" s="34" t="s">
        <v>77</v>
      </c>
      <c r="E2234" s="30" t="s">
        <v>5028</v>
      </c>
      <c r="F2234" s="34" t="n">
        <f aca="false">IFERROR(VLOOKUP($A2234,'319'!$B:$H,7,0),0)</f>
        <v>0</v>
      </c>
      <c r="G2234" s="34" t="n">
        <f aca="false">SUMIFS('12.326ana'!$C:$C,'12.326ana'!$M:$M,redes!A2234)</f>
        <v>0</v>
      </c>
    </row>
    <row r="2235" customFormat="false" ht="14.4" hidden="true" customHeight="false" outlineLevel="0" collapsed="false">
      <c r="A2235" s="34" t="n">
        <v>35723360159</v>
      </c>
      <c r="B2235" s="34" t="s">
        <v>6989</v>
      </c>
      <c r="C2235" s="34" t="s">
        <v>77</v>
      </c>
      <c r="E2235" s="30" t="s">
        <v>3112</v>
      </c>
      <c r="F2235" s="34" t="n">
        <f aca="false">IFERROR(VLOOKUP($A2235,'319'!$B:$H,7,0),0)</f>
        <v>0</v>
      </c>
      <c r="G2235" s="34" t="n">
        <f aca="false">SUMIFS('12.326ana'!$C:$C,'12.326ana'!$M:$M,redes!A2235)</f>
        <v>0</v>
      </c>
    </row>
    <row r="2236" customFormat="false" ht="14.4" hidden="true" customHeight="false" outlineLevel="0" collapsed="false">
      <c r="A2236" s="34" t="n">
        <v>35733306149</v>
      </c>
      <c r="B2236" s="34" t="s">
        <v>6990</v>
      </c>
      <c r="C2236" s="34" t="s">
        <v>154</v>
      </c>
      <c r="E2236" s="30" t="s">
        <v>6990</v>
      </c>
      <c r="F2236" s="34" t="n">
        <f aca="false">IFERROR(VLOOKUP($A2236,'319'!$B:$H,7,0),0)</f>
        <v>0</v>
      </c>
      <c r="G2236" s="34" t="n">
        <f aca="false">SUMIFS('12.326ana'!$C:$C,'12.326ana'!$M:$M,redes!A2236)</f>
        <v>0</v>
      </c>
    </row>
    <row r="2237" customFormat="false" ht="14.4" hidden="true" customHeight="false" outlineLevel="0" collapsed="false">
      <c r="A2237" s="34" t="n">
        <v>35733594187</v>
      </c>
      <c r="B2237" s="34" t="s">
        <v>6991</v>
      </c>
      <c r="C2237" s="34" t="s">
        <v>737</v>
      </c>
      <c r="E2237" s="30" t="s">
        <v>4453</v>
      </c>
      <c r="F2237" s="34" t="n">
        <f aca="false">IFERROR(VLOOKUP($A2237,'319'!$B:$H,7,0),0)</f>
        <v>0</v>
      </c>
      <c r="G2237" s="34" t="n">
        <f aca="false">SUMIFS('12.326ana'!$C:$C,'12.326ana'!$M:$M,redes!A2237)</f>
        <v>0</v>
      </c>
    </row>
    <row r="2238" customFormat="false" ht="14.4" hidden="true" customHeight="false" outlineLevel="0" collapsed="false">
      <c r="A2238" s="34" t="n">
        <v>35733667168</v>
      </c>
      <c r="B2238" s="34" t="s">
        <v>6992</v>
      </c>
      <c r="C2238" s="34" t="s">
        <v>737</v>
      </c>
      <c r="E2238" s="30" t="s">
        <v>6993</v>
      </c>
      <c r="F2238" s="34" t="n">
        <f aca="false">IFERROR(VLOOKUP($A2238,'319'!$B:$H,7,0),0)</f>
        <v>0</v>
      </c>
      <c r="G2238" s="34" t="n">
        <f aca="false">SUMIFS('12.326ana'!$C:$C,'12.326ana'!$M:$M,redes!A2238)</f>
        <v>0</v>
      </c>
    </row>
    <row r="2239" customFormat="false" ht="14.4" hidden="true" customHeight="false" outlineLevel="0" collapsed="false">
      <c r="A2239" s="34" t="n">
        <v>35734000191</v>
      </c>
      <c r="B2239" s="34" t="s">
        <v>6994</v>
      </c>
      <c r="C2239" s="34" t="s">
        <v>737</v>
      </c>
      <c r="E2239" s="30" t="s">
        <v>6995</v>
      </c>
      <c r="F2239" s="34" t="n">
        <f aca="false">IFERROR(VLOOKUP($A2239,'319'!$B:$H,7,0),0)</f>
        <v>0</v>
      </c>
      <c r="G2239" s="34" t="n">
        <f aca="false">SUMIFS('12.326ana'!$C:$C,'12.326ana'!$M:$M,redes!A2239)</f>
        <v>0</v>
      </c>
    </row>
    <row r="2240" customFormat="false" ht="14.4" hidden="true" customHeight="false" outlineLevel="0" collapsed="false">
      <c r="A2240" s="34" t="n">
        <v>35735007149</v>
      </c>
      <c r="B2240" s="34" t="s">
        <v>6996</v>
      </c>
      <c r="C2240" s="34" t="s">
        <v>129</v>
      </c>
      <c r="E2240" s="30" t="s">
        <v>6997</v>
      </c>
      <c r="F2240" s="34" t="n">
        <f aca="false">IFERROR(VLOOKUP($A2240,'319'!$B:$H,7,0),0)</f>
        <v>0</v>
      </c>
      <c r="G2240" s="34" t="n">
        <f aca="false">SUMIFS('12.326ana'!$C:$C,'12.326ana'!$M:$M,redes!A2240)</f>
        <v>0</v>
      </c>
    </row>
    <row r="2241" customFormat="false" ht="14.4" hidden="true" customHeight="false" outlineLevel="0" collapsed="false">
      <c r="A2241" s="34" t="n">
        <v>35738740106</v>
      </c>
      <c r="B2241" s="34" t="s">
        <v>6998</v>
      </c>
      <c r="C2241" s="34" t="s">
        <v>77</v>
      </c>
      <c r="E2241" s="30" t="s">
        <v>6998</v>
      </c>
      <c r="F2241" s="34" t="n">
        <f aca="false">IFERROR(VLOOKUP($A2241,'319'!$B:$H,7,0),0)</f>
        <v>0</v>
      </c>
      <c r="G2241" s="34" t="n">
        <f aca="false">SUMIFS('12.326ana'!$C:$C,'12.326ana'!$M:$M,redes!A2241)</f>
        <v>0</v>
      </c>
    </row>
    <row r="2242" customFormat="false" ht="14.4" hidden="true" customHeight="false" outlineLevel="0" collapsed="false">
      <c r="A2242" s="34" t="n">
        <v>35740108004</v>
      </c>
      <c r="B2242" s="34" t="s">
        <v>6999</v>
      </c>
      <c r="C2242" s="34" t="s">
        <v>351</v>
      </c>
      <c r="E2242" s="30" t="s">
        <v>6999</v>
      </c>
      <c r="F2242" s="34" t="n">
        <f aca="false">IFERROR(VLOOKUP($A2242,'319'!$B:$H,7,0),0)</f>
        <v>0</v>
      </c>
      <c r="G2242" s="34" t="n">
        <f aca="false">SUMIFS('12.326ana'!$C:$C,'12.326ana'!$M:$M,redes!A2242)</f>
        <v>0</v>
      </c>
    </row>
    <row r="2243" customFormat="false" ht="14.4" hidden="true" customHeight="false" outlineLevel="0" collapsed="false">
      <c r="A2243" s="34" t="n">
        <v>35751207149</v>
      </c>
      <c r="B2243" s="34" t="s">
        <v>7000</v>
      </c>
      <c r="C2243" s="34" t="s">
        <v>89</v>
      </c>
      <c r="E2243" s="30" t="s">
        <v>4223</v>
      </c>
      <c r="F2243" s="34" t="n">
        <f aca="false">IFERROR(VLOOKUP($A2243,'319'!$B:$H,7,0),0)</f>
        <v>0</v>
      </c>
      <c r="G2243" s="34" t="n">
        <f aca="false">SUMIFS('12.326ana'!$C:$C,'12.326ana'!$M:$M,redes!A2243)</f>
        <v>0</v>
      </c>
    </row>
    <row r="2244" customFormat="false" ht="14.4" hidden="true" customHeight="false" outlineLevel="0" collapsed="false">
      <c r="A2244" s="34" t="n">
        <v>35756616187</v>
      </c>
      <c r="B2244" s="34" t="s">
        <v>7001</v>
      </c>
      <c r="C2244" s="34" t="s">
        <v>207</v>
      </c>
      <c r="E2244" s="30"/>
      <c r="F2244" s="34" t="n">
        <f aca="false">IFERROR(VLOOKUP($A2244,'319'!$B:$H,7,0),0)</f>
        <v>0</v>
      </c>
      <c r="G2244" s="34" t="n">
        <f aca="false">SUMIFS('12.326ana'!$C:$C,'12.326ana'!$M:$M,redes!A2244)</f>
        <v>0</v>
      </c>
    </row>
    <row r="2245" customFormat="false" ht="14.4" hidden="true" customHeight="false" outlineLevel="0" collapsed="false">
      <c r="A2245" s="34" t="n">
        <v>35759119168</v>
      </c>
      <c r="B2245" s="34" t="s">
        <v>7002</v>
      </c>
      <c r="C2245" s="34" t="s">
        <v>77</v>
      </c>
      <c r="E2245" s="30" t="s">
        <v>7003</v>
      </c>
      <c r="F2245" s="34" t="n">
        <f aca="false">IFERROR(VLOOKUP($A2245,'319'!$B:$H,7,0),0)</f>
        <v>0</v>
      </c>
      <c r="G2245" s="34" t="n">
        <f aca="false">SUMIFS('12.326ana'!$C:$C,'12.326ana'!$M:$M,redes!A2245)</f>
        <v>0</v>
      </c>
    </row>
    <row r="2246" customFormat="false" ht="14.4" hidden="true" customHeight="false" outlineLevel="0" collapsed="false">
      <c r="A2246" s="34" t="n">
        <v>35764953120</v>
      </c>
      <c r="B2246" s="34" t="s">
        <v>7004</v>
      </c>
      <c r="C2246" s="34" t="s">
        <v>77</v>
      </c>
      <c r="E2246" s="30" t="s">
        <v>7005</v>
      </c>
      <c r="F2246" s="34" t="n">
        <f aca="false">IFERROR(VLOOKUP($A2246,'319'!$B:$H,7,0),0)</f>
        <v>0</v>
      </c>
      <c r="G2246" s="34" t="n">
        <f aca="false">SUMIFS('12.326ana'!$C:$C,'12.326ana'!$M:$M,redes!A2246)</f>
        <v>0</v>
      </c>
    </row>
    <row r="2247" customFormat="false" ht="14.4" hidden="true" customHeight="false" outlineLevel="0" collapsed="false">
      <c r="A2247" s="34" t="n">
        <v>35824751153</v>
      </c>
      <c r="B2247" s="34" t="s">
        <v>7006</v>
      </c>
      <c r="C2247" s="34" t="s">
        <v>464</v>
      </c>
      <c r="E2247" s="30" t="s">
        <v>7007</v>
      </c>
      <c r="F2247" s="34" t="n">
        <f aca="false">IFERROR(VLOOKUP($A2247,'319'!$B:$H,7,0),0)</f>
        <v>0</v>
      </c>
      <c r="G2247" s="34" t="n">
        <f aca="false">SUMIFS('12.326ana'!$C:$C,'12.326ana'!$M:$M,redes!A2247)</f>
        <v>0</v>
      </c>
    </row>
    <row r="2248" customFormat="false" ht="14.4" hidden="true" customHeight="false" outlineLevel="0" collapsed="false">
      <c r="A2248" s="34" t="n">
        <v>35852860972</v>
      </c>
      <c r="B2248" s="34" t="s">
        <v>1390</v>
      </c>
      <c r="C2248" s="34" t="s">
        <v>804</v>
      </c>
      <c r="E2248" s="30" t="s">
        <v>7008</v>
      </c>
      <c r="F2248" s="34" t="n">
        <f aca="false">IFERROR(VLOOKUP($A2248,'319'!$B:$H,7,0),0)</f>
        <v>0</v>
      </c>
      <c r="G2248" s="34" t="n">
        <f aca="false">SUMIFS('12.326ana'!$C:$C,'12.326ana'!$M:$M,redes!A2248)</f>
        <v>0</v>
      </c>
    </row>
    <row r="2249" customFormat="false" ht="14.4" hidden="true" customHeight="false" outlineLevel="0" collapsed="false">
      <c r="A2249" s="34" t="n">
        <v>35861649120</v>
      </c>
      <c r="B2249" s="34" t="s">
        <v>7009</v>
      </c>
      <c r="C2249" s="34" t="s">
        <v>77</v>
      </c>
      <c r="E2249" s="30" t="s">
        <v>7010</v>
      </c>
      <c r="F2249" s="34" t="n">
        <f aca="false">IFERROR(VLOOKUP($A2249,'319'!$B:$H,7,0),0)</f>
        <v>0</v>
      </c>
      <c r="G2249" s="34" t="n">
        <f aca="false">SUMIFS('12.326ana'!$C:$C,'12.326ana'!$M:$M,redes!A2249)</f>
        <v>0</v>
      </c>
    </row>
    <row r="2250" customFormat="false" ht="14.4" hidden="true" customHeight="false" outlineLevel="0" collapsed="false">
      <c r="A2250" s="34" t="n">
        <v>35952839886</v>
      </c>
      <c r="B2250" s="34" t="s">
        <v>7011</v>
      </c>
      <c r="C2250" s="34" t="s">
        <v>77</v>
      </c>
      <c r="E2250" s="30" t="s">
        <v>7011</v>
      </c>
      <c r="F2250" s="34" t="n">
        <f aca="false">IFERROR(VLOOKUP($A2250,'319'!$B:$H,7,0),0)</f>
        <v>0</v>
      </c>
      <c r="G2250" s="34" t="n">
        <f aca="false">SUMIFS('12.326ana'!$C:$C,'12.326ana'!$M:$M,redes!A2250)</f>
        <v>0</v>
      </c>
    </row>
    <row r="2251" customFormat="false" ht="14.4" hidden="true" customHeight="false" outlineLevel="0" collapsed="false">
      <c r="A2251" s="34" t="n">
        <v>35972114534</v>
      </c>
      <c r="B2251" s="34" t="s">
        <v>7012</v>
      </c>
      <c r="C2251" s="34" t="s">
        <v>77</v>
      </c>
      <c r="E2251" s="30" t="s">
        <v>7013</v>
      </c>
      <c r="F2251" s="34" t="n">
        <f aca="false">IFERROR(VLOOKUP($A2251,'319'!$B:$H,7,0),0)</f>
        <v>0</v>
      </c>
      <c r="G2251" s="34" t="n">
        <f aca="false">SUMIFS('12.326ana'!$C:$C,'12.326ana'!$M:$M,redes!A2251)</f>
        <v>0</v>
      </c>
    </row>
    <row r="2252" customFormat="false" ht="14.4" hidden="true" customHeight="false" outlineLevel="0" collapsed="false">
      <c r="A2252" s="34" t="n">
        <v>36054000163</v>
      </c>
      <c r="B2252" s="34" t="s">
        <v>7014</v>
      </c>
      <c r="C2252" s="34" t="s">
        <v>781</v>
      </c>
      <c r="E2252" s="30" t="s">
        <v>7015</v>
      </c>
      <c r="F2252" s="34" t="n">
        <f aca="false">IFERROR(VLOOKUP($A2252,'319'!$B:$H,7,0),0)</f>
        <v>0</v>
      </c>
      <c r="G2252" s="34" t="n">
        <f aca="false">SUMIFS('12.326ana'!$C:$C,'12.326ana'!$M:$M,redes!A2252)</f>
        <v>0</v>
      </c>
    </row>
    <row r="2253" customFormat="false" ht="14.4" hidden="true" customHeight="false" outlineLevel="0" collapsed="false">
      <c r="A2253" s="34" t="n">
        <v>36145025034</v>
      </c>
      <c r="B2253" s="34" t="s">
        <v>7016</v>
      </c>
      <c r="C2253" s="34" t="s">
        <v>117</v>
      </c>
      <c r="E2253" s="30" t="s">
        <v>7017</v>
      </c>
      <c r="F2253" s="34" t="n">
        <f aca="false">IFERROR(VLOOKUP($A2253,'319'!$B:$H,7,0),0)</f>
        <v>0</v>
      </c>
      <c r="G2253" s="34" t="n">
        <f aca="false">SUMIFS('12.326ana'!$C:$C,'12.326ana'!$M:$M,redes!A2253)</f>
        <v>0</v>
      </c>
    </row>
    <row r="2254" customFormat="false" ht="14.4" hidden="true" customHeight="false" outlineLevel="0" collapsed="false">
      <c r="A2254" s="34" t="n">
        <v>36248599866</v>
      </c>
      <c r="B2254" s="34" t="s">
        <v>7018</v>
      </c>
      <c r="C2254" s="34" t="s">
        <v>77</v>
      </c>
      <c r="E2254" s="30" t="s">
        <v>7019</v>
      </c>
      <c r="F2254" s="34" t="n">
        <f aca="false">IFERROR(VLOOKUP($A2254,'319'!$B:$H,7,0),0)</f>
        <v>0</v>
      </c>
      <c r="G2254" s="34" t="n">
        <f aca="false">SUMIFS('12.326ana'!$C:$C,'12.326ana'!$M:$M,redes!A2254)</f>
        <v>0</v>
      </c>
    </row>
    <row r="2255" customFormat="false" ht="14.4" hidden="true" customHeight="false" outlineLevel="0" collapsed="false">
      <c r="A2255" s="34" t="n">
        <v>36260789572</v>
      </c>
      <c r="B2255" s="34" t="s">
        <v>7020</v>
      </c>
      <c r="C2255" s="34" t="s">
        <v>103</v>
      </c>
      <c r="E2255" s="30" t="s">
        <v>7021</v>
      </c>
      <c r="F2255" s="34" t="n">
        <f aca="false">IFERROR(VLOOKUP($A2255,'319'!$B:$H,7,0),0)</f>
        <v>0</v>
      </c>
      <c r="G2255" s="34" t="n">
        <f aca="false">SUMIFS('12.326ana'!$C:$C,'12.326ana'!$M:$M,redes!A2255)</f>
        <v>0</v>
      </c>
    </row>
    <row r="2256" customFormat="false" ht="14.4" hidden="true" customHeight="false" outlineLevel="0" collapsed="false">
      <c r="A2256" s="34" t="n">
        <v>36262820906</v>
      </c>
      <c r="B2256" s="34" t="s">
        <v>7022</v>
      </c>
      <c r="C2256" s="34" t="s">
        <v>299</v>
      </c>
      <c r="E2256" s="30" t="s">
        <v>7023</v>
      </c>
      <c r="F2256" s="34" t="n">
        <f aca="false">IFERROR(VLOOKUP($A2256,'319'!$B:$H,7,0),0)</f>
        <v>0</v>
      </c>
      <c r="G2256" s="34" t="n">
        <f aca="false">SUMIFS('12.326ana'!$C:$C,'12.326ana'!$M:$M,redes!A2256)</f>
        <v>0</v>
      </c>
    </row>
    <row r="2257" customFormat="false" ht="14.4" hidden="true" customHeight="false" outlineLevel="0" collapsed="false">
      <c r="A2257" s="34" t="n">
        <v>36327093949</v>
      </c>
      <c r="B2257" s="34" t="s">
        <v>7024</v>
      </c>
      <c r="C2257" s="34" t="s">
        <v>77</v>
      </c>
      <c r="E2257" s="30" t="s">
        <v>7025</v>
      </c>
      <c r="F2257" s="34" t="n">
        <f aca="false">IFERROR(VLOOKUP($A2257,'319'!$B:$H,7,0),0)</f>
        <v>0</v>
      </c>
      <c r="G2257" s="34" t="n">
        <f aca="false">SUMIFS('12.326ana'!$C:$C,'12.326ana'!$M:$M,redes!A2257)</f>
        <v>0</v>
      </c>
    </row>
    <row r="2258" customFormat="false" ht="14.4" hidden="true" customHeight="false" outlineLevel="0" collapsed="false">
      <c r="A2258" s="34" t="n">
        <v>36473880178</v>
      </c>
      <c r="B2258" s="34" t="s">
        <v>7026</v>
      </c>
      <c r="C2258" s="34" t="s">
        <v>1680</v>
      </c>
      <c r="E2258" s="30" t="s">
        <v>7027</v>
      </c>
      <c r="F2258" s="34" t="n">
        <f aca="false">IFERROR(VLOOKUP($A2258,'319'!$B:$H,7,0),0)</f>
        <v>0</v>
      </c>
      <c r="G2258" s="34" t="n">
        <f aca="false">SUMIFS('12.326ana'!$C:$C,'12.326ana'!$M:$M,redes!A2258)</f>
        <v>0</v>
      </c>
    </row>
    <row r="2259" customFormat="false" ht="14.4" hidden="true" customHeight="false" outlineLevel="0" collapsed="false">
      <c r="A2259" s="34" t="n">
        <v>36517321187</v>
      </c>
      <c r="B2259" s="34" t="s">
        <v>7028</v>
      </c>
      <c r="C2259" s="34" t="s">
        <v>77</v>
      </c>
      <c r="E2259" s="30" t="s">
        <v>7029</v>
      </c>
      <c r="F2259" s="34" t="n">
        <f aca="false">IFERROR(VLOOKUP($A2259,'319'!$B:$H,7,0),0)</f>
        <v>0</v>
      </c>
      <c r="G2259" s="34" t="n">
        <f aca="false">SUMIFS('12.326ana'!$C:$C,'12.326ana'!$M:$M,redes!A2259)</f>
        <v>0</v>
      </c>
    </row>
    <row r="2260" customFormat="false" ht="14.4" hidden="true" customHeight="false" outlineLevel="0" collapsed="false">
      <c r="A2260" s="34" t="n">
        <v>36517801120</v>
      </c>
      <c r="B2260" s="34" t="s">
        <v>7030</v>
      </c>
      <c r="C2260" s="34" t="s">
        <v>77</v>
      </c>
      <c r="E2260" s="30" t="s">
        <v>7031</v>
      </c>
      <c r="F2260" s="34" t="n">
        <f aca="false">IFERROR(VLOOKUP($A2260,'319'!$B:$H,7,0),0)</f>
        <v>0</v>
      </c>
      <c r="G2260" s="34" t="n">
        <f aca="false">SUMIFS('12.326ana'!$C:$C,'12.326ana'!$M:$M,redes!A2260)</f>
        <v>0</v>
      </c>
    </row>
    <row r="2261" customFormat="false" ht="14.4" hidden="true" customHeight="false" outlineLevel="0" collapsed="false">
      <c r="A2261" s="34" t="n">
        <v>36520616168</v>
      </c>
      <c r="B2261" s="34" t="s">
        <v>7032</v>
      </c>
      <c r="C2261" s="34" t="s">
        <v>77</v>
      </c>
      <c r="E2261" s="30" t="s">
        <v>7033</v>
      </c>
      <c r="F2261" s="34" t="n">
        <f aca="false">IFERROR(VLOOKUP($A2261,'319'!$B:$H,7,0),0)</f>
        <v>0</v>
      </c>
      <c r="G2261" s="34" t="n">
        <f aca="false">SUMIFS('12.326ana'!$C:$C,'12.326ana'!$M:$M,redes!A2261)</f>
        <v>0</v>
      </c>
    </row>
    <row r="2262" customFormat="false" ht="14.4" hidden="true" customHeight="false" outlineLevel="0" collapsed="false">
      <c r="A2262" s="34" t="n">
        <v>36523810178</v>
      </c>
      <c r="B2262" s="34" t="s">
        <v>7034</v>
      </c>
      <c r="C2262" s="34" t="s">
        <v>77</v>
      </c>
      <c r="E2262" s="30" t="s">
        <v>7035</v>
      </c>
      <c r="F2262" s="34" t="n">
        <f aca="false">IFERROR(VLOOKUP($A2262,'319'!$B:$H,7,0),0)</f>
        <v>0</v>
      </c>
      <c r="G2262" s="34" t="n">
        <f aca="false">SUMIFS('12.326ana'!$C:$C,'12.326ana'!$M:$M,redes!A2262)</f>
        <v>0</v>
      </c>
    </row>
    <row r="2263" customFormat="false" ht="14.4" hidden="true" customHeight="false" outlineLevel="0" collapsed="false">
      <c r="A2263" s="34" t="n">
        <v>36525340187</v>
      </c>
      <c r="B2263" s="34" t="s">
        <v>7036</v>
      </c>
      <c r="C2263" s="34" t="s">
        <v>804</v>
      </c>
      <c r="E2263" s="30" t="s">
        <v>7037</v>
      </c>
      <c r="F2263" s="34" t="n">
        <f aca="false">IFERROR(VLOOKUP($A2263,'319'!$B:$H,7,0),0)</f>
        <v>0</v>
      </c>
      <c r="G2263" s="34" t="n">
        <f aca="false">SUMIFS('12.326ana'!$C:$C,'12.326ana'!$M:$M,redes!A2263)</f>
        <v>0</v>
      </c>
    </row>
    <row r="2264" customFormat="false" ht="14.4" hidden="true" customHeight="false" outlineLevel="0" collapsed="false">
      <c r="A2264" s="34" t="n">
        <v>36528412120</v>
      </c>
      <c r="B2264" s="34" t="s">
        <v>7038</v>
      </c>
      <c r="C2264" s="34" t="s">
        <v>77</v>
      </c>
      <c r="E2264" s="30" t="s">
        <v>7039</v>
      </c>
      <c r="F2264" s="34" t="n">
        <f aca="false">IFERROR(VLOOKUP($A2264,'319'!$B:$H,7,0),0)</f>
        <v>0</v>
      </c>
      <c r="G2264" s="34" t="n">
        <f aca="false">SUMIFS('12.326ana'!$C:$C,'12.326ana'!$M:$M,redes!A2264)</f>
        <v>0</v>
      </c>
    </row>
    <row r="2265" customFormat="false" ht="14.4" hidden="true" customHeight="false" outlineLevel="0" collapsed="false">
      <c r="A2265" s="34" t="n">
        <v>36532835153</v>
      </c>
      <c r="B2265" s="34" t="s">
        <v>7040</v>
      </c>
      <c r="C2265" s="34" t="s">
        <v>77</v>
      </c>
      <c r="E2265" s="30" t="s">
        <v>7041</v>
      </c>
      <c r="F2265" s="34" t="n">
        <f aca="false">IFERROR(VLOOKUP($A2265,'319'!$B:$H,7,0),0)</f>
        <v>0</v>
      </c>
      <c r="G2265" s="34" t="n">
        <f aca="false">SUMIFS('12.326ana'!$C:$C,'12.326ana'!$M:$M,redes!A2265)</f>
        <v>0</v>
      </c>
    </row>
    <row r="2266" customFormat="false" ht="14.4" hidden="true" customHeight="false" outlineLevel="0" collapsed="false">
      <c r="A2266" s="34" t="n">
        <v>36538973191</v>
      </c>
      <c r="B2266" s="34" t="s">
        <v>7042</v>
      </c>
      <c r="C2266" s="34" t="s">
        <v>77</v>
      </c>
      <c r="E2266" s="30" t="s">
        <v>7043</v>
      </c>
      <c r="F2266" s="34" t="n">
        <f aca="false">IFERROR(VLOOKUP($A2266,'319'!$B:$H,7,0),0)</f>
        <v>0</v>
      </c>
      <c r="G2266" s="34" t="n">
        <f aca="false">SUMIFS('12.326ana'!$C:$C,'12.326ana'!$M:$M,redes!A2266)</f>
        <v>0</v>
      </c>
    </row>
    <row r="2267" customFormat="false" ht="14.4" hidden="true" customHeight="false" outlineLevel="0" collapsed="false">
      <c r="A2267" s="34" t="n">
        <v>36539651104</v>
      </c>
      <c r="B2267" s="34" t="s">
        <v>7044</v>
      </c>
      <c r="C2267" s="34" t="s">
        <v>77</v>
      </c>
      <c r="E2267" s="30" t="s">
        <v>7045</v>
      </c>
      <c r="F2267" s="34" t="n">
        <f aca="false">IFERROR(VLOOKUP($A2267,'319'!$B:$H,7,0),0)</f>
        <v>0</v>
      </c>
      <c r="G2267" s="34" t="n">
        <f aca="false">SUMIFS('12.326ana'!$C:$C,'12.326ana'!$M:$M,redes!A2267)</f>
        <v>0</v>
      </c>
    </row>
    <row r="2268" customFormat="false" ht="14.4" hidden="true" customHeight="false" outlineLevel="0" collapsed="false">
      <c r="A2268" s="34" t="n">
        <v>36542032134</v>
      </c>
      <c r="B2268" s="34" t="s">
        <v>7046</v>
      </c>
      <c r="C2268" s="34" t="s">
        <v>77</v>
      </c>
      <c r="E2268" s="30"/>
      <c r="F2268" s="34" t="n">
        <f aca="false">IFERROR(VLOOKUP($A2268,'319'!$B:$H,7,0),0)</f>
        <v>0</v>
      </c>
      <c r="G2268" s="34" t="n">
        <f aca="false">SUMIFS('12.326ana'!$C:$C,'12.326ana'!$M:$M,redes!A2268)</f>
        <v>0</v>
      </c>
    </row>
    <row r="2269" customFormat="false" ht="14.4" hidden="true" customHeight="false" outlineLevel="0" collapsed="false">
      <c r="A2269" s="34" t="n">
        <v>36546666120</v>
      </c>
      <c r="B2269" s="34" t="s">
        <v>7047</v>
      </c>
      <c r="C2269" s="34" t="s">
        <v>77</v>
      </c>
      <c r="E2269" s="30" t="s">
        <v>7048</v>
      </c>
      <c r="F2269" s="34" t="n">
        <f aca="false">IFERROR(VLOOKUP($A2269,'319'!$B:$H,7,0),0)</f>
        <v>0</v>
      </c>
      <c r="G2269" s="34" t="n">
        <f aca="false">SUMIFS('12.326ana'!$C:$C,'12.326ana'!$M:$M,redes!A2269)</f>
        <v>0</v>
      </c>
    </row>
    <row r="2270" customFormat="false" ht="14.4" hidden="true" customHeight="false" outlineLevel="0" collapsed="false">
      <c r="A2270" s="34" t="n">
        <v>36549967104</v>
      </c>
      <c r="B2270" s="34" t="s">
        <v>7049</v>
      </c>
      <c r="C2270" s="34" t="s">
        <v>77</v>
      </c>
      <c r="E2270" s="30"/>
      <c r="F2270" s="34" t="n">
        <f aca="false">IFERROR(VLOOKUP($A2270,'319'!$B:$H,7,0),0)</f>
        <v>0</v>
      </c>
      <c r="G2270" s="34" t="n">
        <f aca="false">SUMIFS('12.326ana'!$C:$C,'12.326ana'!$M:$M,redes!A2270)</f>
        <v>0</v>
      </c>
    </row>
    <row r="2271" customFormat="false" ht="14.4" hidden="true" customHeight="false" outlineLevel="0" collapsed="false">
      <c r="A2271" s="34" t="n">
        <v>36551546153</v>
      </c>
      <c r="B2271" s="34" t="s">
        <v>7050</v>
      </c>
      <c r="C2271" s="34" t="s">
        <v>77</v>
      </c>
      <c r="E2271" s="30" t="s">
        <v>4552</v>
      </c>
      <c r="F2271" s="34" t="n">
        <f aca="false">IFERROR(VLOOKUP($A2271,'319'!$B:$H,7,0),0)</f>
        <v>0</v>
      </c>
      <c r="G2271" s="34" t="n">
        <f aca="false">SUMIFS('12.326ana'!$C:$C,'12.326ana'!$M:$M,redes!A2271)</f>
        <v>0</v>
      </c>
    </row>
    <row r="2272" customFormat="false" ht="14.4" hidden="true" customHeight="false" outlineLevel="0" collapsed="false">
      <c r="A2272" s="34" t="n">
        <v>36556408115</v>
      </c>
      <c r="B2272" s="34" t="s">
        <v>7051</v>
      </c>
      <c r="C2272" s="34" t="s">
        <v>77</v>
      </c>
      <c r="E2272" s="30" t="s">
        <v>7052</v>
      </c>
      <c r="F2272" s="34" t="n">
        <f aca="false">IFERROR(VLOOKUP($A2272,'319'!$B:$H,7,0),0)</f>
        <v>0</v>
      </c>
      <c r="G2272" s="34" t="n">
        <f aca="false">SUMIFS('12.326ana'!$C:$C,'12.326ana'!$M:$M,redes!A2272)</f>
        <v>0</v>
      </c>
    </row>
    <row r="2273" customFormat="false" ht="14.4" hidden="true" customHeight="false" outlineLevel="0" collapsed="false">
      <c r="A2273" s="34" t="n">
        <v>36560820149</v>
      </c>
      <c r="B2273" s="34" t="s">
        <v>7053</v>
      </c>
      <c r="C2273" s="34" t="s">
        <v>107</v>
      </c>
      <c r="E2273" s="30" t="s">
        <v>7054</v>
      </c>
      <c r="F2273" s="34" t="n">
        <f aca="false">IFERROR(VLOOKUP($A2273,'319'!$B:$H,7,0),0)</f>
        <v>0</v>
      </c>
      <c r="G2273" s="34" t="n">
        <f aca="false">SUMIFS('12.326ana'!$C:$C,'12.326ana'!$M:$M,redes!A2273)</f>
        <v>0</v>
      </c>
    </row>
    <row r="2274" customFormat="false" ht="14.4" hidden="true" customHeight="false" outlineLevel="0" collapsed="false">
      <c r="A2274" s="34" t="n">
        <v>36569518100</v>
      </c>
      <c r="B2274" s="34" t="s">
        <v>7055</v>
      </c>
      <c r="C2274" s="34" t="s">
        <v>604</v>
      </c>
      <c r="E2274" s="30" t="s">
        <v>7056</v>
      </c>
      <c r="F2274" s="34" t="n">
        <f aca="false">IFERROR(VLOOKUP($A2274,'319'!$B:$H,7,0),0)</f>
        <v>0</v>
      </c>
      <c r="G2274" s="34" t="n">
        <f aca="false">SUMIFS('12.326ana'!$C:$C,'12.326ana'!$M:$M,redes!A2274)</f>
        <v>0</v>
      </c>
    </row>
    <row r="2275" customFormat="false" ht="14.4" hidden="true" customHeight="false" outlineLevel="0" collapsed="false">
      <c r="A2275" s="34" t="n">
        <v>36570869191</v>
      </c>
      <c r="B2275" s="34" t="s">
        <v>7057</v>
      </c>
      <c r="C2275" s="34" t="s">
        <v>107</v>
      </c>
      <c r="E2275" s="30" t="s">
        <v>7058</v>
      </c>
      <c r="F2275" s="34" t="n">
        <f aca="false">IFERROR(VLOOKUP($A2275,'319'!$B:$H,7,0),0)</f>
        <v>0</v>
      </c>
      <c r="G2275" s="34" t="n">
        <f aca="false">SUMIFS('12.326ana'!$C:$C,'12.326ana'!$M:$M,redes!A2275)</f>
        <v>0</v>
      </c>
    </row>
    <row r="2276" customFormat="false" ht="14.4" hidden="true" customHeight="false" outlineLevel="0" collapsed="false">
      <c r="A2276" s="34" t="n">
        <v>36579939168</v>
      </c>
      <c r="B2276" s="34" t="s">
        <v>7059</v>
      </c>
      <c r="C2276" s="34" t="s">
        <v>77</v>
      </c>
      <c r="E2276" s="30" t="s">
        <v>4233</v>
      </c>
      <c r="F2276" s="34" t="n">
        <f aca="false">IFERROR(VLOOKUP($A2276,'319'!$B:$H,7,0),0)</f>
        <v>0</v>
      </c>
      <c r="G2276" s="34" t="n">
        <f aca="false">SUMIFS('12.326ana'!$C:$C,'12.326ana'!$M:$M,redes!A2276)</f>
        <v>0</v>
      </c>
    </row>
    <row r="2277" customFormat="false" ht="14.4" hidden="true" customHeight="false" outlineLevel="0" collapsed="false">
      <c r="A2277" s="34" t="n">
        <v>36581500178</v>
      </c>
      <c r="B2277" s="34" t="s">
        <v>7060</v>
      </c>
      <c r="C2277" s="34" t="s">
        <v>77</v>
      </c>
      <c r="E2277" s="30"/>
      <c r="F2277" s="34" t="n">
        <f aca="false">IFERROR(VLOOKUP($A2277,'319'!$B:$H,7,0),0)</f>
        <v>0</v>
      </c>
      <c r="G2277" s="34" t="n">
        <f aca="false">SUMIFS('12.326ana'!$C:$C,'12.326ana'!$M:$M,redes!A2277)</f>
        <v>0</v>
      </c>
    </row>
    <row r="2278" customFormat="false" ht="14.4" hidden="true" customHeight="false" outlineLevel="0" collapsed="false">
      <c r="A2278" s="34" t="n">
        <v>36582522191</v>
      </c>
      <c r="B2278" s="34" t="s">
        <v>7061</v>
      </c>
      <c r="C2278" s="34" t="s">
        <v>77</v>
      </c>
      <c r="E2278" s="30" t="s">
        <v>7062</v>
      </c>
      <c r="F2278" s="34" t="n">
        <f aca="false">IFERROR(VLOOKUP($A2278,'319'!$B:$H,7,0),0)</f>
        <v>0</v>
      </c>
      <c r="G2278" s="34" t="n">
        <f aca="false">SUMIFS('12.326ana'!$C:$C,'12.326ana'!$M:$M,redes!A2278)</f>
        <v>0</v>
      </c>
    </row>
    <row r="2279" customFormat="false" ht="14.4" hidden="true" customHeight="false" outlineLevel="0" collapsed="false">
      <c r="A2279" s="34" t="n">
        <v>36585971191</v>
      </c>
      <c r="B2279" s="34" t="s">
        <v>7063</v>
      </c>
      <c r="C2279" s="34" t="s">
        <v>192</v>
      </c>
      <c r="E2279" s="30" t="s">
        <v>7064</v>
      </c>
      <c r="F2279" s="34" t="n">
        <f aca="false">IFERROR(VLOOKUP($A2279,'319'!$B:$H,7,0),0)</f>
        <v>0</v>
      </c>
      <c r="G2279" s="34" t="n">
        <f aca="false">SUMIFS('12.326ana'!$C:$C,'12.326ana'!$M:$M,redes!A2279)</f>
        <v>0</v>
      </c>
    </row>
    <row r="2280" customFormat="false" ht="14.4" hidden="true" customHeight="false" outlineLevel="0" collapsed="false">
      <c r="A2280" s="34" t="n">
        <v>36586064104</v>
      </c>
      <c r="B2280" s="34" t="s">
        <v>7065</v>
      </c>
      <c r="C2280" s="34" t="s">
        <v>77</v>
      </c>
      <c r="E2280" s="30"/>
      <c r="F2280" s="34" t="n">
        <f aca="false">IFERROR(VLOOKUP($A2280,'319'!$B:$H,7,0),0)</f>
        <v>0</v>
      </c>
      <c r="G2280" s="34" t="n">
        <f aca="false">SUMIFS('12.326ana'!$C:$C,'12.326ana'!$M:$M,redes!A2280)</f>
        <v>0</v>
      </c>
    </row>
    <row r="2281" customFormat="false" ht="14.4" hidden="true" customHeight="false" outlineLevel="0" collapsed="false">
      <c r="A2281" s="34" t="n">
        <v>36593630144</v>
      </c>
      <c r="B2281" s="34" t="s">
        <v>7066</v>
      </c>
      <c r="C2281" s="34" t="s">
        <v>77</v>
      </c>
      <c r="E2281" s="30" t="s">
        <v>7067</v>
      </c>
      <c r="F2281" s="34" t="n">
        <f aca="false">IFERROR(VLOOKUP($A2281,'319'!$B:$H,7,0),0)</f>
        <v>0</v>
      </c>
      <c r="G2281" s="34" t="n">
        <f aca="false">SUMIFS('12.326ana'!$C:$C,'12.326ana'!$M:$M,redes!A2281)</f>
        <v>0</v>
      </c>
    </row>
    <row r="2282" customFormat="false" ht="14.4" hidden="true" customHeight="false" outlineLevel="0" collapsed="false">
      <c r="A2282" s="34" t="n">
        <v>36603104172</v>
      </c>
      <c r="B2282" s="34" t="s">
        <v>7068</v>
      </c>
      <c r="C2282" s="34" t="s">
        <v>77</v>
      </c>
      <c r="E2282" s="30" t="s">
        <v>7069</v>
      </c>
      <c r="F2282" s="34" t="n">
        <f aca="false">IFERROR(VLOOKUP($A2282,'319'!$B:$H,7,0),0)</f>
        <v>0</v>
      </c>
      <c r="G2282" s="34" t="n">
        <f aca="false">SUMIFS('12.326ana'!$C:$C,'12.326ana'!$M:$M,redes!A2282)</f>
        <v>0</v>
      </c>
    </row>
    <row r="2283" customFormat="false" ht="14.4" hidden="true" customHeight="false" outlineLevel="0" collapsed="false">
      <c r="A2283" s="34" t="n">
        <v>36605794168</v>
      </c>
      <c r="B2283" s="34" t="s">
        <v>7070</v>
      </c>
      <c r="C2283" s="34" t="s">
        <v>77</v>
      </c>
      <c r="E2283" s="30" t="s">
        <v>7071</v>
      </c>
      <c r="F2283" s="34" t="n">
        <f aca="false">IFERROR(VLOOKUP($A2283,'319'!$B:$H,7,0),0)</f>
        <v>0</v>
      </c>
      <c r="G2283" s="34" t="n">
        <f aca="false">SUMIFS('12.326ana'!$C:$C,'12.326ana'!$M:$M,redes!A2283)</f>
        <v>0</v>
      </c>
    </row>
    <row r="2284" customFormat="false" ht="14.4" hidden="true" customHeight="false" outlineLevel="0" collapsed="false">
      <c r="A2284" s="34" t="n">
        <v>36606197104</v>
      </c>
      <c r="B2284" s="34" t="s">
        <v>7072</v>
      </c>
      <c r="C2284" s="34" t="s">
        <v>77</v>
      </c>
      <c r="E2284" s="30" t="s">
        <v>7073</v>
      </c>
      <c r="F2284" s="34" t="n">
        <f aca="false">IFERROR(VLOOKUP($A2284,'319'!$B:$H,7,0),0)</f>
        <v>0</v>
      </c>
      <c r="G2284" s="34" t="n">
        <f aca="false">SUMIFS('12.326ana'!$C:$C,'12.326ana'!$M:$M,redes!A2284)</f>
        <v>0</v>
      </c>
    </row>
    <row r="2285" customFormat="false" ht="14.4" hidden="true" customHeight="false" outlineLevel="0" collapsed="false">
      <c r="A2285" s="34" t="n">
        <v>36606901120</v>
      </c>
      <c r="B2285" s="34" t="s">
        <v>7074</v>
      </c>
      <c r="C2285" s="34" t="s">
        <v>3594</v>
      </c>
      <c r="E2285" s="30" t="s">
        <v>7075</v>
      </c>
      <c r="F2285" s="34" t="n">
        <f aca="false">IFERROR(VLOOKUP($A2285,'319'!$B:$H,7,0),0)</f>
        <v>0</v>
      </c>
      <c r="G2285" s="34" t="n">
        <f aca="false">SUMIFS('12.326ana'!$C:$C,'12.326ana'!$M:$M,redes!A2285)</f>
        <v>0</v>
      </c>
    </row>
    <row r="2286" customFormat="false" ht="14.4" hidden="true" customHeight="false" outlineLevel="0" collapsed="false">
      <c r="A2286" s="34" t="n">
        <v>36608246153</v>
      </c>
      <c r="B2286" s="34" t="s">
        <v>7076</v>
      </c>
      <c r="C2286" s="34" t="s">
        <v>139</v>
      </c>
      <c r="E2286" s="30" t="s">
        <v>7077</v>
      </c>
      <c r="F2286" s="34" t="n">
        <f aca="false">IFERROR(VLOOKUP($A2286,'319'!$B:$H,7,0),0)</f>
        <v>0</v>
      </c>
      <c r="G2286" s="34" t="n">
        <f aca="false">SUMIFS('12.326ana'!$C:$C,'12.326ana'!$M:$M,redes!A2286)</f>
        <v>0</v>
      </c>
    </row>
    <row r="2287" customFormat="false" ht="14.4" hidden="true" customHeight="false" outlineLevel="0" collapsed="false">
      <c r="A2287" s="34" t="n">
        <v>36613630187</v>
      </c>
      <c r="B2287" s="34" t="s">
        <v>7078</v>
      </c>
      <c r="C2287" s="34" t="s">
        <v>107</v>
      </c>
      <c r="E2287" s="30" t="s">
        <v>7079</v>
      </c>
      <c r="F2287" s="34" t="n">
        <f aca="false">IFERROR(VLOOKUP($A2287,'319'!$B:$H,7,0),0)</f>
        <v>0</v>
      </c>
      <c r="G2287" s="34" t="n">
        <f aca="false">SUMIFS('12.326ana'!$C:$C,'12.326ana'!$M:$M,redes!A2287)</f>
        <v>0</v>
      </c>
    </row>
    <row r="2288" customFormat="false" ht="14.4" hidden="true" customHeight="false" outlineLevel="0" collapsed="false">
      <c r="A2288" s="34" t="n">
        <v>36617580125</v>
      </c>
      <c r="B2288" s="34" t="s">
        <v>7080</v>
      </c>
      <c r="C2288" s="34" t="s">
        <v>342</v>
      </c>
      <c r="E2288" s="30"/>
      <c r="F2288" s="34" t="n">
        <f aca="false">IFERROR(VLOOKUP($A2288,'319'!$B:$H,7,0),0)</f>
        <v>0</v>
      </c>
      <c r="G2288" s="34" t="n">
        <f aca="false">SUMIFS('12.326ana'!$C:$C,'12.326ana'!$M:$M,redes!A2288)</f>
        <v>0</v>
      </c>
    </row>
    <row r="2289" customFormat="false" ht="14.4" hidden="true" customHeight="false" outlineLevel="0" collapsed="false">
      <c r="A2289" s="34" t="n">
        <v>36617822153</v>
      </c>
      <c r="B2289" s="34" t="s">
        <v>7081</v>
      </c>
      <c r="C2289" s="34" t="s">
        <v>77</v>
      </c>
      <c r="E2289" s="30" t="s">
        <v>7082</v>
      </c>
      <c r="F2289" s="34" t="n">
        <f aca="false">IFERROR(VLOOKUP($A2289,'319'!$B:$H,7,0),0)</f>
        <v>0</v>
      </c>
      <c r="G2289" s="34" t="n">
        <f aca="false">SUMIFS('12.326ana'!$C:$C,'12.326ana'!$M:$M,redes!A2289)</f>
        <v>0</v>
      </c>
    </row>
    <row r="2290" customFormat="false" ht="14.4" hidden="true" customHeight="false" outlineLevel="0" collapsed="false">
      <c r="A2290" s="34" t="n">
        <v>36620815120</v>
      </c>
      <c r="B2290" s="34" t="s">
        <v>7083</v>
      </c>
      <c r="C2290" s="34" t="s">
        <v>89</v>
      </c>
      <c r="E2290" s="30" t="s">
        <v>7084</v>
      </c>
      <c r="F2290" s="34" t="n">
        <f aca="false">IFERROR(VLOOKUP($A2290,'319'!$B:$H,7,0),0)</f>
        <v>0</v>
      </c>
      <c r="G2290" s="34" t="n">
        <f aca="false">SUMIFS('12.326ana'!$C:$C,'12.326ana'!$M:$M,redes!A2290)</f>
        <v>0</v>
      </c>
    </row>
    <row r="2291" customFormat="false" ht="14.4" hidden="true" customHeight="false" outlineLevel="0" collapsed="false">
      <c r="A2291" s="34" t="n">
        <v>36625990159</v>
      </c>
      <c r="B2291" s="34" t="s">
        <v>7085</v>
      </c>
      <c r="C2291" s="34" t="s">
        <v>737</v>
      </c>
      <c r="E2291" s="30" t="s">
        <v>7086</v>
      </c>
      <c r="F2291" s="34" t="n">
        <f aca="false">IFERROR(VLOOKUP($A2291,'319'!$B:$H,7,0),0)</f>
        <v>0</v>
      </c>
      <c r="G2291" s="34" t="n">
        <f aca="false">SUMIFS('12.326ana'!$C:$C,'12.326ana'!$M:$M,redes!A2291)</f>
        <v>0</v>
      </c>
    </row>
    <row r="2292" customFormat="false" ht="14.4" hidden="true" customHeight="false" outlineLevel="0" collapsed="false">
      <c r="A2292" s="34" t="n">
        <v>36628760197</v>
      </c>
      <c r="B2292" s="34" t="s">
        <v>7087</v>
      </c>
      <c r="C2292" s="34" t="s">
        <v>77</v>
      </c>
      <c r="E2292" s="30" t="s">
        <v>7088</v>
      </c>
      <c r="F2292" s="34" t="n">
        <f aca="false">IFERROR(VLOOKUP($A2292,'319'!$B:$H,7,0),0)</f>
        <v>0</v>
      </c>
      <c r="G2292" s="34" t="n">
        <f aca="false">SUMIFS('12.326ana'!$C:$C,'12.326ana'!$M:$M,redes!A2292)</f>
        <v>0</v>
      </c>
    </row>
    <row r="2293" customFormat="false" ht="14.4" hidden="true" customHeight="false" outlineLevel="0" collapsed="false">
      <c r="A2293" s="34" t="n">
        <v>36633666187</v>
      </c>
      <c r="B2293" s="34" t="s">
        <v>7089</v>
      </c>
      <c r="C2293" s="34" t="s">
        <v>77</v>
      </c>
      <c r="E2293" s="30" t="s">
        <v>7090</v>
      </c>
      <c r="F2293" s="34" t="n">
        <f aca="false">IFERROR(VLOOKUP($A2293,'319'!$B:$H,7,0),0)</f>
        <v>0</v>
      </c>
      <c r="G2293" s="34" t="n">
        <f aca="false">SUMIFS('12.326ana'!$C:$C,'12.326ana'!$M:$M,redes!A2293)</f>
        <v>0</v>
      </c>
    </row>
    <row r="2294" customFormat="false" ht="14.4" hidden="true" customHeight="false" outlineLevel="0" collapsed="false">
      <c r="A2294" s="34" t="n">
        <v>36643769191</v>
      </c>
      <c r="B2294" s="34" t="s">
        <v>7091</v>
      </c>
      <c r="C2294" s="34" t="s">
        <v>103</v>
      </c>
      <c r="E2294" s="30" t="s">
        <v>7092</v>
      </c>
      <c r="F2294" s="34" t="n">
        <f aca="false">IFERROR(VLOOKUP($A2294,'319'!$B:$H,7,0),0)</f>
        <v>0</v>
      </c>
      <c r="G2294" s="34" t="n">
        <f aca="false">SUMIFS('12.326ana'!$C:$C,'12.326ana'!$M:$M,redes!A2294)</f>
        <v>0</v>
      </c>
    </row>
    <row r="2295" customFormat="false" ht="14.4" hidden="true" customHeight="false" outlineLevel="0" collapsed="false">
      <c r="A2295" s="34" t="n">
        <v>36651583115</v>
      </c>
      <c r="B2295" s="34" t="s">
        <v>7093</v>
      </c>
      <c r="C2295" s="34" t="s">
        <v>103</v>
      </c>
      <c r="E2295" s="30"/>
      <c r="F2295" s="34" t="n">
        <f aca="false">IFERROR(VLOOKUP($A2295,'319'!$B:$H,7,0),0)</f>
        <v>0</v>
      </c>
      <c r="G2295" s="34" t="n">
        <f aca="false">SUMIFS('12.326ana'!$C:$C,'12.326ana'!$M:$M,redes!A2295)</f>
        <v>0</v>
      </c>
    </row>
    <row r="2296" customFormat="false" ht="14.4" hidden="true" customHeight="false" outlineLevel="0" collapsed="false">
      <c r="A2296" s="34" t="n">
        <v>36661643153</v>
      </c>
      <c r="B2296" s="34" t="s">
        <v>7094</v>
      </c>
      <c r="C2296" s="34" t="s">
        <v>107</v>
      </c>
      <c r="E2296" s="30" t="s">
        <v>7095</v>
      </c>
      <c r="F2296" s="34" t="n">
        <f aca="false">IFERROR(VLOOKUP($A2296,'319'!$B:$H,7,0),0)</f>
        <v>0</v>
      </c>
      <c r="G2296" s="34" t="n">
        <f aca="false">SUMIFS('12.326ana'!$C:$C,'12.326ana'!$M:$M,redes!A2296)</f>
        <v>0</v>
      </c>
    </row>
    <row r="2297" customFormat="false" ht="14.4" hidden="true" customHeight="false" outlineLevel="0" collapsed="false">
      <c r="A2297" s="34" t="n">
        <v>36663824104</v>
      </c>
      <c r="B2297" s="34" t="s">
        <v>7096</v>
      </c>
      <c r="C2297" s="34" t="s">
        <v>77</v>
      </c>
      <c r="E2297" s="30" t="s">
        <v>7097</v>
      </c>
      <c r="F2297" s="34" t="n">
        <f aca="false">IFERROR(VLOOKUP($A2297,'319'!$B:$H,7,0),0)</f>
        <v>0</v>
      </c>
      <c r="G2297" s="34" t="n">
        <f aca="false">SUMIFS('12.326ana'!$C:$C,'12.326ana'!$M:$M,redes!A2297)</f>
        <v>0</v>
      </c>
    </row>
    <row r="2298" customFormat="false" ht="14.4" hidden="true" customHeight="false" outlineLevel="0" collapsed="false">
      <c r="A2298" s="34" t="n">
        <v>36696943153</v>
      </c>
      <c r="B2298" s="34" t="s">
        <v>7098</v>
      </c>
      <c r="C2298" s="34" t="s">
        <v>935</v>
      </c>
      <c r="E2298" s="30" t="s">
        <v>7099</v>
      </c>
      <c r="F2298" s="34" t="n">
        <f aca="false">IFERROR(VLOOKUP($A2298,'319'!$B:$H,7,0),0)</f>
        <v>0</v>
      </c>
      <c r="G2298" s="34" t="n">
        <f aca="false">SUMIFS('12.326ana'!$C:$C,'12.326ana'!$M:$M,redes!A2298)</f>
        <v>0</v>
      </c>
    </row>
    <row r="2299" customFormat="false" ht="14.4" hidden="true" customHeight="false" outlineLevel="0" collapsed="false">
      <c r="A2299" s="34" t="n">
        <v>36704725172</v>
      </c>
      <c r="B2299" s="34" t="s">
        <v>7100</v>
      </c>
      <c r="C2299" s="34" t="s">
        <v>77</v>
      </c>
      <c r="E2299" s="30"/>
      <c r="F2299" s="34" t="n">
        <f aca="false">IFERROR(VLOOKUP($A2299,'319'!$B:$H,7,0),0)</f>
        <v>0</v>
      </c>
      <c r="G2299" s="34" t="n">
        <f aca="false">SUMIFS('12.326ana'!$C:$C,'12.326ana'!$M:$M,redes!A2299)</f>
        <v>0</v>
      </c>
    </row>
    <row r="2300" customFormat="false" ht="14.4" hidden="true" customHeight="false" outlineLevel="0" collapsed="false">
      <c r="A2300" s="34" t="n">
        <v>36706329134</v>
      </c>
      <c r="B2300" s="34" t="s">
        <v>7101</v>
      </c>
      <c r="C2300" s="34" t="s">
        <v>77</v>
      </c>
      <c r="E2300" s="30"/>
      <c r="F2300" s="34" t="n">
        <f aca="false">IFERROR(VLOOKUP($A2300,'319'!$B:$H,7,0),0)</f>
        <v>0</v>
      </c>
      <c r="G2300" s="34" t="n">
        <f aca="false">SUMIFS('12.326ana'!$C:$C,'12.326ana'!$M:$M,redes!A2300)</f>
        <v>0</v>
      </c>
    </row>
    <row r="2301" customFormat="false" ht="14.4" hidden="true" customHeight="false" outlineLevel="0" collapsed="false">
      <c r="A2301" s="34" t="n">
        <v>36708623153</v>
      </c>
      <c r="B2301" s="34" t="s">
        <v>7102</v>
      </c>
      <c r="C2301" s="34" t="s">
        <v>463</v>
      </c>
      <c r="E2301" s="30" t="s">
        <v>7103</v>
      </c>
      <c r="F2301" s="34" t="n">
        <f aca="false">IFERROR(VLOOKUP($A2301,'319'!$B:$H,7,0),0)</f>
        <v>0</v>
      </c>
      <c r="G2301" s="34" t="n">
        <f aca="false">SUMIFS('12.326ana'!$C:$C,'12.326ana'!$M:$M,redes!A2301)</f>
        <v>0</v>
      </c>
    </row>
    <row r="2302" customFormat="false" ht="14.4" hidden="true" customHeight="false" outlineLevel="0" collapsed="false">
      <c r="A2302" s="34" t="n">
        <v>36715344191</v>
      </c>
      <c r="B2302" s="34" t="s">
        <v>7104</v>
      </c>
      <c r="C2302" s="34" t="s">
        <v>1272</v>
      </c>
      <c r="E2302" s="30" t="s">
        <v>7105</v>
      </c>
      <c r="F2302" s="34" t="n">
        <f aca="false">IFERROR(VLOOKUP($A2302,'319'!$B:$H,7,0),0)</f>
        <v>0</v>
      </c>
      <c r="G2302" s="34" t="n">
        <f aca="false">SUMIFS('12.326ana'!$C:$C,'12.326ana'!$M:$M,redes!A2302)</f>
        <v>0</v>
      </c>
    </row>
    <row r="2303" customFormat="false" ht="14.4" hidden="true" customHeight="false" outlineLevel="0" collapsed="false">
      <c r="A2303" s="34" t="n">
        <v>36715654115</v>
      </c>
      <c r="B2303" s="34" t="s">
        <v>7106</v>
      </c>
      <c r="C2303" s="34" t="s">
        <v>2998</v>
      </c>
      <c r="E2303" s="30" t="s">
        <v>7107</v>
      </c>
      <c r="F2303" s="34" t="n">
        <f aca="false">IFERROR(VLOOKUP($A2303,'319'!$B:$H,7,0),0)</f>
        <v>0</v>
      </c>
      <c r="G2303" s="34" t="n">
        <f aca="false">SUMIFS('12.326ana'!$C:$C,'12.326ana'!$M:$M,redes!A2303)</f>
        <v>0</v>
      </c>
    </row>
    <row r="2304" customFormat="false" ht="14.4" hidden="true" customHeight="false" outlineLevel="0" collapsed="false">
      <c r="A2304" s="34" t="n">
        <v>36718890120</v>
      </c>
      <c r="B2304" s="34" t="s">
        <v>7108</v>
      </c>
      <c r="C2304" s="34" t="s">
        <v>77</v>
      </c>
      <c r="E2304" s="30" t="s">
        <v>7109</v>
      </c>
      <c r="F2304" s="34" t="n">
        <f aca="false">IFERROR(VLOOKUP($A2304,'319'!$B:$H,7,0),0)</f>
        <v>0</v>
      </c>
      <c r="G2304" s="34" t="n">
        <f aca="false">SUMIFS('12.326ana'!$C:$C,'12.326ana'!$M:$M,redes!A2304)</f>
        <v>0</v>
      </c>
    </row>
    <row r="2305" customFormat="false" ht="14.4" hidden="true" customHeight="false" outlineLevel="0" collapsed="false">
      <c r="A2305" s="34" t="n">
        <v>36720011120</v>
      </c>
      <c r="B2305" s="34" t="s">
        <v>7110</v>
      </c>
      <c r="C2305" s="34" t="s">
        <v>77</v>
      </c>
      <c r="E2305" s="30" t="s">
        <v>4051</v>
      </c>
      <c r="F2305" s="34" t="n">
        <f aca="false">IFERROR(VLOOKUP($A2305,'319'!$B:$H,7,0),0)</f>
        <v>0</v>
      </c>
      <c r="G2305" s="34" t="n">
        <f aca="false">SUMIFS('12.326ana'!$C:$C,'12.326ana'!$M:$M,redes!A2305)</f>
        <v>0</v>
      </c>
    </row>
    <row r="2306" customFormat="false" ht="14.4" hidden="true" customHeight="false" outlineLevel="0" collapsed="false">
      <c r="A2306" s="34" t="n">
        <v>36720500163</v>
      </c>
      <c r="B2306" s="34" t="s">
        <v>7111</v>
      </c>
      <c r="C2306" s="34" t="s">
        <v>77</v>
      </c>
      <c r="E2306" s="30" t="s">
        <v>7112</v>
      </c>
      <c r="F2306" s="34" t="n">
        <f aca="false">IFERROR(VLOOKUP($A2306,'319'!$B:$H,7,0),0)</f>
        <v>0</v>
      </c>
      <c r="G2306" s="34" t="n">
        <f aca="false">SUMIFS('12.326ana'!$C:$C,'12.326ana'!$M:$M,redes!A2306)</f>
        <v>0</v>
      </c>
    </row>
    <row r="2307" customFormat="false" ht="14.4" hidden="true" customHeight="false" outlineLevel="0" collapsed="false">
      <c r="A2307" s="34" t="n">
        <v>36721980134</v>
      </c>
      <c r="B2307" s="34" t="s">
        <v>7113</v>
      </c>
      <c r="C2307" s="34" t="s">
        <v>357</v>
      </c>
      <c r="E2307" s="30" t="s">
        <v>7114</v>
      </c>
      <c r="F2307" s="34" t="n">
        <f aca="false">IFERROR(VLOOKUP($A2307,'319'!$B:$H,7,0),0)</f>
        <v>0</v>
      </c>
      <c r="G2307" s="34" t="n">
        <f aca="false">SUMIFS('12.326ana'!$C:$C,'12.326ana'!$M:$M,redes!A2307)</f>
        <v>0</v>
      </c>
    </row>
    <row r="2308" customFormat="false" ht="14.4" hidden="true" customHeight="false" outlineLevel="0" collapsed="false">
      <c r="A2308" s="34" t="n">
        <v>36723045149</v>
      </c>
      <c r="B2308" s="34" t="s">
        <v>7115</v>
      </c>
      <c r="C2308" s="34" t="s">
        <v>77</v>
      </c>
      <c r="E2308" s="30" t="s">
        <v>7116</v>
      </c>
      <c r="F2308" s="34" t="n">
        <f aca="false">IFERROR(VLOOKUP($A2308,'319'!$B:$H,7,0),0)</f>
        <v>0</v>
      </c>
      <c r="G2308" s="34" t="n">
        <f aca="false">SUMIFS('12.326ana'!$C:$C,'12.326ana'!$M:$M,redes!A2308)</f>
        <v>0</v>
      </c>
    </row>
    <row r="2309" customFormat="false" ht="14.4" hidden="true" customHeight="false" outlineLevel="0" collapsed="false">
      <c r="A2309" s="34" t="n">
        <v>36724750172</v>
      </c>
      <c r="B2309" s="34" t="s">
        <v>7117</v>
      </c>
      <c r="C2309" s="34" t="s">
        <v>103</v>
      </c>
      <c r="E2309" s="30" t="s">
        <v>7118</v>
      </c>
      <c r="F2309" s="34" t="n">
        <f aca="false">IFERROR(VLOOKUP($A2309,'319'!$B:$H,7,0),0)</f>
        <v>0</v>
      </c>
      <c r="G2309" s="34" t="n">
        <f aca="false">SUMIFS('12.326ana'!$C:$C,'12.326ana'!$M:$M,redes!A2309)</f>
        <v>0</v>
      </c>
    </row>
    <row r="2310" customFormat="false" ht="14.4" hidden="true" customHeight="false" outlineLevel="0" collapsed="false">
      <c r="A2310" s="34" t="n">
        <v>36724769191</v>
      </c>
      <c r="B2310" s="34" t="s">
        <v>7119</v>
      </c>
      <c r="C2310" s="34" t="s">
        <v>107</v>
      </c>
      <c r="E2310" s="30" t="s">
        <v>7120</v>
      </c>
      <c r="F2310" s="34" t="n">
        <f aca="false">IFERROR(VLOOKUP($A2310,'319'!$B:$H,7,0),0)</f>
        <v>0</v>
      </c>
      <c r="G2310" s="34" t="n">
        <f aca="false">SUMIFS('12.326ana'!$C:$C,'12.326ana'!$M:$M,redes!A2310)</f>
        <v>0</v>
      </c>
    </row>
    <row r="2311" customFormat="false" ht="14.4" hidden="true" customHeight="false" outlineLevel="0" collapsed="false">
      <c r="A2311" s="34" t="n">
        <v>36727075115</v>
      </c>
      <c r="B2311" s="34" t="s">
        <v>7121</v>
      </c>
      <c r="C2311" s="34" t="s">
        <v>309</v>
      </c>
      <c r="E2311" s="30" t="s">
        <v>7122</v>
      </c>
      <c r="F2311" s="34" t="n">
        <f aca="false">IFERROR(VLOOKUP($A2311,'319'!$B:$H,7,0),0)</f>
        <v>0</v>
      </c>
      <c r="G2311" s="34" t="n">
        <f aca="false">SUMIFS('12.326ana'!$C:$C,'12.326ana'!$M:$M,redes!A2311)</f>
        <v>0</v>
      </c>
    </row>
    <row r="2312" customFormat="false" ht="14.4" hidden="true" customHeight="false" outlineLevel="0" collapsed="false">
      <c r="A2312" s="34" t="n">
        <v>36730866187</v>
      </c>
      <c r="B2312" s="34" t="s">
        <v>7123</v>
      </c>
      <c r="C2312" s="34" t="s">
        <v>309</v>
      </c>
      <c r="E2312" s="30" t="s">
        <v>3588</v>
      </c>
      <c r="F2312" s="34" t="n">
        <f aca="false">IFERROR(VLOOKUP($A2312,'319'!$B:$H,7,0),0)</f>
        <v>0</v>
      </c>
      <c r="G2312" s="34" t="n">
        <f aca="false">SUMIFS('12.326ana'!$C:$C,'12.326ana'!$M:$M,redes!A2312)</f>
        <v>0</v>
      </c>
    </row>
    <row r="2313" customFormat="false" ht="14.4" hidden="true" customHeight="false" outlineLevel="0" collapsed="false">
      <c r="A2313" s="34" t="n">
        <v>36734462153</v>
      </c>
      <c r="B2313" s="34" t="s">
        <v>7124</v>
      </c>
      <c r="C2313" s="34" t="s">
        <v>77</v>
      </c>
      <c r="E2313" s="30" t="s">
        <v>7125</v>
      </c>
      <c r="F2313" s="34" t="n">
        <f aca="false">IFERROR(VLOOKUP($A2313,'319'!$B:$H,7,0),0)</f>
        <v>0</v>
      </c>
      <c r="G2313" s="34" t="n">
        <f aca="false">SUMIFS('12.326ana'!$C:$C,'12.326ana'!$M:$M,redes!A2313)</f>
        <v>0</v>
      </c>
    </row>
    <row r="2314" customFormat="false" ht="14.4" hidden="true" customHeight="false" outlineLevel="0" collapsed="false">
      <c r="A2314" s="34" t="n">
        <v>36736848172</v>
      </c>
      <c r="B2314" s="34" t="s">
        <v>7126</v>
      </c>
      <c r="C2314" s="34" t="s">
        <v>77</v>
      </c>
      <c r="E2314" s="30" t="s">
        <v>4741</v>
      </c>
      <c r="F2314" s="34" t="n">
        <f aca="false">IFERROR(VLOOKUP($A2314,'319'!$B:$H,7,0),0)</f>
        <v>0</v>
      </c>
      <c r="G2314" s="34" t="n">
        <f aca="false">SUMIFS('12.326ana'!$C:$C,'12.326ana'!$M:$M,redes!A2314)</f>
        <v>0</v>
      </c>
    </row>
    <row r="2315" customFormat="false" ht="14.4" hidden="true" customHeight="false" outlineLevel="0" collapsed="false">
      <c r="A2315" s="34" t="n">
        <v>36739464120</v>
      </c>
      <c r="B2315" s="34" t="s">
        <v>7127</v>
      </c>
      <c r="C2315" s="34" t="s">
        <v>77</v>
      </c>
      <c r="E2315" s="30" t="s">
        <v>7128</v>
      </c>
      <c r="F2315" s="34" t="n">
        <f aca="false">IFERROR(VLOOKUP($A2315,'319'!$B:$H,7,0),0)</f>
        <v>0</v>
      </c>
      <c r="G2315" s="34" t="n">
        <f aca="false">SUMIFS('12.326ana'!$C:$C,'12.326ana'!$M:$M,redes!A2315)</f>
        <v>0</v>
      </c>
    </row>
    <row r="2316" customFormat="false" ht="14.4" hidden="true" customHeight="false" outlineLevel="0" collapsed="false">
      <c r="A2316" s="34" t="n">
        <v>36744670115</v>
      </c>
      <c r="B2316" s="34" t="s">
        <v>7129</v>
      </c>
      <c r="C2316" s="34" t="s">
        <v>77</v>
      </c>
      <c r="E2316" s="30"/>
      <c r="F2316" s="34" t="n">
        <f aca="false">IFERROR(VLOOKUP($A2316,'319'!$B:$H,7,0),0)</f>
        <v>0</v>
      </c>
      <c r="G2316" s="34" t="n">
        <f aca="false">SUMIFS('12.326ana'!$C:$C,'12.326ana'!$M:$M,redes!A2316)</f>
        <v>0</v>
      </c>
    </row>
    <row r="2317" customFormat="false" ht="14.4" hidden="true" customHeight="false" outlineLevel="0" collapsed="false">
      <c r="A2317" s="34" t="n">
        <v>36752916187</v>
      </c>
      <c r="B2317" s="34" t="s">
        <v>7130</v>
      </c>
      <c r="C2317" s="34" t="s">
        <v>478</v>
      </c>
      <c r="E2317" s="30" t="s">
        <v>7131</v>
      </c>
      <c r="F2317" s="34" t="n">
        <f aca="false">IFERROR(VLOOKUP($A2317,'319'!$B:$H,7,0),0)</f>
        <v>0</v>
      </c>
      <c r="G2317" s="34" t="n">
        <f aca="false">SUMIFS('12.326ana'!$C:$C,'12.326ana'!$M:$M,redes!A2317)</f>
        <v>0</v>
      </c>
    </row>
    <row r="2318" customFormat="false" ht="14.4" hidden="true" customHeight="false" outlineLevel="0" collapsed="false">
      <c r="A2318" s="34" t="n">
        <v>36753556168</v>
      </c>
      <c r="B2318" s="34" t="s">
        <v>7132</v>
      </c>
      <c r="C2318" s="34" t="s">
        <v>77</v>
      </c>
      <c r="E2318" s="30" t="s">
        <v>7133</v>
      </c>
      <c r="F2318" s="34" t="n">
        <f aca="false">IFERROR(VLOOKUP($A2318,'319'!$B:$H,7,0),0)</f>
        <v>0</v>
      </c>
      <c r="G2318" s="34" t="n">
        <f aca="false">SUMIFS('12.326ana'!$C:$C,'12.326ana'!$M:$M,redes!A2318)</f>
        <v>0</v>
      </c>
    </row>
    <row r="2319" customFormat="false" ht="14.4" hidden="true" customHeight="false" outlineLevel="0" collapsed="false">
      <c r="A2319" s="34" t="n">
        <v>36758973115</v>
      </c>
      <c r="B2319" s="34" t="s">
        <v>7134</v>
      </c>
      <c r="C2319" s="34" t="s">
        <v>77</v>
      </c>
      <c r="E2319" s="30" t="s">
        <v>7135</v>
      </c>
      <c r="F2319" s="34" t="n">
        <f aca="false">IFERROR(VLOOKUP($A2319,'319'!$B:$H,7,0),0)</f>
        <v>0</v>
      </c>
      <c r="G2319" s="34" t="n">
        <f aca="false">SUMIFS('12.326ana'!$C:$C,'12.326ana'!$M:$M,redes!A2319)</f>
        <v>0</v>
      </c>
    </row>
    <row r="2320" customFormat="false" ht="14.4" hidden="true" customHeight="false" outlineLevel="0" collapsed="false">
      <c r="A2320" s="34" t="n">
        <v>36764264104</v>
      </c>
      <c r="B2320" s="34" t="s">
        <v>7136</v>
      </c>
      <c r="C2320" s="34" t="s">
        <v>631</v>
      </c>
      <c r="E2320" s="30" t="s">
        <v>7137</v>
      </c>
      <c r="F2320" s="34" t="n">
        <f aca="false">IFERROR(VLOOKUP($A2320,'319'!$B:$H,7,0),0)</f>
        <v>0</v>
      </c>
      <c r="G2320" s="34" t="n">
        <f aca="false">SUMIFS('12.326ana'!$C:$C,'12.326ana'!$M:$M,redes!A2320)</f>
        <v>0</v>
      </c>
    </row>
    <row r="2321" customFormat="false" ht="14.4" hidden="true" customHeight="false" outlineLevel="0" collapsed="false">
      <c r="A2321" s="34" t="n">
        <v>36764728100</v>
      </c>
      <c r="B2321" s="34" t="s">
        <v>7138</v>
      </c>
      <c r="C2321" s="34" t="s">
        <v>77</v>
      </c>
      <c r="E2321" s="30" t="s">
        <v>7139</v>
      </c>
      <c r="F2321" s="34" t="n">
        <f aca="false">IFERROR(VLOOKUP($A2321,'319'!$B:$H,7,0),0)</f>
        <v>0</v>
      </c>
      <c r="G2321" s="34" t="n">
        <f aca="false">SUMIFS('12.326ana'!$C:$C,'12.326ana'!$M:$M,redes!A2321)</f>
        <v>0</v>
      </c>
    </row>
    <row r="2322" customFormat="false" ht="14.4" hidden="true" customHeight="false" outlineLevel="0" collapsed="false">
      <c r="A2322" s="34" t="n">
        <v>36767034134</v>
      </c>
      <c r="B2322" s="34" t="s">
        <v>969</v>
      </c>
      <c r="C2322" s="34" t="s">
        <v>77</v>
      </c>
      <c r="E2322" s="30" t="s">
        <v>3794</v>
      </c>
      <c r="F2322" s="34" t="n">
        <f aca="false">IFERROR(VLOOKUP($A2322,'319'!$B:$H,7,0),0)</f>
        <v>0</v>
      </c>
      <c r="G2322" s="34" t="n">
        <f aca="false">SUMIFS('12.326ana'!$C:$C,'12.326ana'!$M:$M,redes!A2322)</f>
        <v>0</v>
      </c>
    </row>
    <row r="2323" customFormat="false" ht="14.4" hidden="true" customHeight="false" outlineLevel="0" collapsed="false">
      <c r="A2323" s="34" t="n">
        <v>36773905168</v>
      </c>
      <c r="B2323" s="34" t="s">
        <v>7140</v>
      </c>
      <c r="C2323" s="34" t="s">
        <v>464</v>
      </c>
      <c r="E2323" s="30" t="s">
        <v>7141</v>
      </c>
      <c r="F2323" s="34" t="n">
        <f aca="false">IFERROR(VLOOKUP($A2323,'319'!$B:$H,7,0),0)</f>
        <v>0</v>
      </c>
      <c r="G2323" s="34" t="n">
        <f aca="false">SUMIFS('12.326ana'!$C:$C,'12.326ana'!$M:$M,redes!A2323)</f>
        <v>0</v>
      </c>
    </row>
    <row r="2324" customFormat="false" ht="14.4" hidden="true" customHeight="false" outlineLevel="0" collapsed="false">
      <c r="A2324" s="34" t="n">
        <v>36774405134</v>
      </c>
      <c r="B2324" s="34" t="s">
        <v>7142</v>
      </c>
      <c r="C2324" s="34" t="s">
        <v>77</v>
      </c>
      <c r="E2324" s="30" t="s">
        <v>7143</v>
      </c>
      <c r="F2324" s="34" t="n">
        <f aca="false">IFERROR(VLOOKUP($A2324,'319'!$B:$H,7,0),0)</f>
        <v>0</v>
      </c>
      <c r="G2324" s="34" t="n">
        <f aca="false">SUMIFS('12.326ana'!$C:$C,'12.326ana'!$M:$M,redes!A2324)</f>
        <v>0</v>
      </c>
    </row>
    <row r="2325" customFormat="false" ht="14.4" hidden="true" customHeight="false" outlineLevel="0" collapsed="false">
      <c r="A2325" s="34" t="n">
        <v>36776726191</v>
      </c>
      <c r="B2325" s="34" t="s">
        <v>7144</v>
      </c>
      <c r="C2325" s="34" t="s">
        <v>77</v>
      </c>
      <c r="E2325" s="30" t="s">
        <v>7145</v>
      </c>
      <c r="F2325" s="34" t="n">
        <f aca="false">IFERROR(VLOOKUP($A2325,'319'!$B:$H,7,0),0)</f>
        <v>0</v>
      </c>
      <c r="G2325" s="34" t="n">
        <f aca="false">SUMIFS('12.326ana'!$C:$C,'12.326ana'!$M:$M,redes!A2325)</f>
        <v>0</v>
      </c>
    </row>
    <row r="2326" customFormat="false" ht="14.4" hidden="true" customHeight="false" outlineLevel="0" collapsed="false">
      <c r="A2326" s="34" t="n">
        <v>36776904120</v>
      </c>
      <c r="B2326" s="34" t="s">
        <v>7146</v>
      </c>
      <c r="C2326" s="34" t="s">
        <v>77</v>
      </c>
      <c r="E2326" s="30" t="s">
        <v>7147</v>
      </c>
      <c r="F2326" s="34" t="n">
        <f aca="false">IFERROR(VLOOKUP($A2326,'319'!$B:$H,7,0),0)</f>
        <v>0</v>
      </c>
      <c r="G2326" s="34" t="n">
        <f aca="false">SUMIFS('12.326ana'!$C:$C,'12.326ana'!$M:$M,redes!A2326)</f>
        <v>0</v>
      </c>
    </row>
    <row r="2327" customFormat="false" ht="14.4" hidden="true" customHeight="false" outlineLevel="0" collapsed="false">
      <c r="A2327" s="34" t="n">
        <v>36777110100</v>
      </c>
      <c r="B2327" s="34" t="s">
        <v>7148</v>
      </c>
      <c r="C2327" s="34" t="s">
        <v>77</v>
      </c>
      <c r="E2327" s="30" t="s">
        <v>7149</v>
      </c>
      <c r="F2327" s="34" t="n">
        <f aca="false">IFERROR(VLOOKUP($A2327,'319'!$B:$H,7,0),0)</f>
        <v>0</v>
      </c>
      <c r="G2327" s="34" t="n">
        <f aca="false">SUMIFS('12.326ana'!$C:$C,'12.326ana'!$M:$M,redes!A2327)</f>
        <v>0</v>
      </c>
    </row>
    <row r="2328" customFormat="false" ht="14.4" hidden="true" customHeight="false" outlineLevel="0" collapsed="false">
      <c r="A2328" s="34" t="n">
        <v>36779520187</v>
      </c>
      <c r="B2328" s="34" t="s">
        <v>7150</v>
      </c>
      <c r="C2328" s="34" t="s">
        <v>77</v>
      </c>
      <c r="E2328" s="30" t="s">
        <v>7151</v>
      </c>
      <c r="F2328" s="34" t="n">
        <f aca="false">IFERROR(VLOOKUP($A2328,'319'!$B:$H,7,0),0)</f>
        <v>0</v>
      </c>
      <c r="G2328" s="34" t="n">
        <f aca="false">SUMIFS('12.326ana'!$C:$C,'12.326ana'!$M:$M,redes!A2328)</f>
        <v>0</v>
      </c>
    </row>
    <row r="2329" customFormat="false" ht="14.4" hidden="true" customHeight="false" outlineLevel="0" collapsed="false">
      <c r="A2329" s="34" t="n">
        <v>36782947153</v>
      </c>
      <c r="B2329" s="34" t="s">
        <v>7152</v>
      </c>
      <c r="C2329" s="34" t="s">
        <v>954</v>
      </c>
      <c r="E2329" s="30" t="s">
        <v>7153</v>
      </c>
      <c r="F2329" s="34" t="n">
        <f aca="false">IFERROR(VLOOKUP($A2329,'319'!$B:$H,7,0),0)</f>
        <v>0</v>
      </c>
      <c r="G2329" s="34" t="n">
        <f aca="false">SUMIFS('12.326ana'!$C:$C,'12.326ana'!$M:$M,redes!A2329)</f>
        <v>0</v>
      </c>
    </row>
    <row r="2330" customFormat="false" ht="14.4" hidden="true" customHeight="false" outlineLevel="0" collapsed="false">
      <c r="A2330" s="34" t="n">
        <v>36784583191</v>
      </c>
      <c r="B2330" s="34" t="s">
        <v>7154</v>
      </c>
      <c r="C2330" s="34" t="s">
        <v>77</v>
      </c>
      <c r="E2330" s="30" t="s">
        <v>5266</v>
      </c>
      <c r="F2330" s="34" t="n">
        <f aca="false">IFERROR(VLOOKUP($A2330,'319'!$B:$H,7,0),0)</f>
        <v>0</v>
      </c>
      <c r="G2330" s="34" t="n">
        <f aca="false">SUMIFS('12.326ana'!$C:$C,'12.326ana'!$M:$M,redes!A2330)</f>
        <v>0</v>
      </c>
    </row>
    <row r="2331" customFormat="false" ht="14.4" hidden="true" customHeight="false" outlineLevel="0" collapsed="false">
      <c r="A2331" s="34" t="n">
        <v>36797073120</v>
      </c>
      <c r="B2331" s="34" t="s">
        <v>7155</v>
      </c>
      <c r="C2331" s="34" t="s">
        <v>6278</v>
      </c>
      <c r="E2331" s="30" t="s">
        <v>7156</v>
      </c>
      <c r="F2331" s="34" t="n">
        <f aca="false">IFERROR(VLOOKUP($A2331,'319'!$B:$H,7,0),0)</f>
        <v>0</v>
      </c>
      <c r="G2331" s="34" t="n">
        <f aca="false">SUMIFS('12.326ana'!$C:$C,'12.326ana'!$M:$M,redes!A2331)</f>
        <v>0</v>
      </c>
    </row>
    <row r="2332" customFormat="false" ht="14.4" hidden="true" customHeight="false" outlineLevel="0" collapsed="false">
      <c r="A2332" s="34" t="n">
        <v>36800422134</v>
      </c>
      <c r="B2332" s="34" t="s">
        <v>7157</v>
      </c>
      <c r="C2332" s="34" t="s">
        <v>197</v>
      </c>
      <c r="E2332" s="30" t="s">
        <v>7157</v>
      </c>
      <c r="F2332" s="34" t="n">
        <f aca="false">IFERROR(VLOOKUP($A2332,'319'!$B:$H,7,0),0)</f>
        <v>0</v>
      </c>
      <c r="G2332" s="34" t="n">
        <f aca="false">SUMIFS('12.326ana'!$C:$C,'12.326ana'!$M:$M,redes!A2332)</f>
        <v>0</v>
      </c>
    </row>
    <row r="2333" customFormat="false" ht="14.4" hidden="true" customHeight="false" outlineLevel="0" collapsed="false">
      <c r="A2333" s="34" t="n">
        <v>36800805149</v>
      </c>
      <c r="B2333" s="34" t="s">
        <v>7158</v>
      </c>
      <c r="C2333" s="34" t="s">
        <v>463</v>
      </c>
      <c r="E2333" s="30" t="s">
        <v>5613</v>
      </c>
      <c r="F2333" s="34" t="n">
        <f aca="false">IFERROR(VLOOKUP($A2333,'319'!$B:$H,7,0),0)</f>
        <v>0</v>
      </c>
      <c r="G2333" s="34" t="n">
        <f aca="false">SUMIFS('12.326ana'!$C:$C,'12.326ana'!$M:$M,redes!A2333)</f>
        <v>0</v>
      </c>
    </row>
    <row r="2334" customFormat="false" ht="14.4" hidden="true" customHeight="false" outlineLevel="0" collapsed="false">
      <c r="A2334" s="34" t="n">
        <v>36801909134</v>
      </c>
      <c r="B2334" s="34" t="s">
        <v>7159</v>
      </c>
      <c r="C2334" s="34" t="s">
        <v>77</v>
      </c>
      <c r="E2334" s="30" t="s">
        <v>7160</v>
      </c>
      <c r="F2334" s="34" t="n">
        <f aca="false">IFERROR(VLOOKUP($A2334,'319'!$B:$H,7,0),0)</f>
        <v>0</v>
      </c>
      <c r="G2334" s="34" t="n">
        <f aca="false">SUMIFS('12.326ana'!$C:$C,'12.326ana'!$M:$M,redes!A2334)</f>
        <v>0</v>
      </c>
    </row>
    <row r="2335" customFormat="false" ht="14.4" hidden="true" customHeight="false" outlineLevel="0" collapsed="false">
      <c r="A2335" s="34" t="n">
        <v>36810967168</v>
      </c>
      <c r="B2335" s="34" t="s">
        <v>7161</v>
      </c>
      <c r="C2335" s="34" t="s">
        <v>107</v>
      </c>
      <c r="E2335" s="30" t="s">
        <v>7162</v>
      </c>
      <c r="F2335" s="34" t="n">
        <f aca="false">IFERROR(VLOOKUP($A2335,'319'!$B:$H,7,0),0)</f>
        <v>0</v>
      </c>
      <c r="G2335" s="34" t="n">
        <f aca="false">SUMIFS('12.326ana'!$C:$C,'12.326ana'!$M:$M,redes!A2335)</f>
        <v>0</v>
      </c>
    </row>
    <row r="2336" customFormat="false" ht="14.4" hidden="true" customHeight="false" outlineLevel="0" collapsed="false">
      <c r="A2336" s="34" t="n">
        <v>36815217191</v>
      </c>
      <c r="B2336" s="34" t="s">
        <v>7163</v>
      </c>
      <c r="C2336" s="34" t="s">
        <v>107</v>
      </c>
      <c r="E2336" s="30" t="s">
        <v>7164</v>
      </c>
      <c r="F2336" s="34" t="n">
        <f aca="false">IFERROR(VLOOKUP($A2336,'319'!$B:$H,7,0),0)</f>
        <v>0</v>
      </c>
      <c r="G2336" s="34" t="n">
        <f aca="false">SUMIFS('12.326ana'!$C:$C,'12.326ana'!$M:$M,redes!A2336)</f>
        <v>0</v>
      </c>
    </row>
    <row r="2337" customFormat="false" ht="14.4" hidden="true" customHeight="false" outlineLevel="0" collapsed="false">
      <c r="A2337" s="34" t="n">
        <v>36819654120</v>
      </c>
      <c r="B2337" s="34" t="s">
        <v>7165</v>
      </c>
      <c r="C2337" s="34" t="s">
        <v>107</v>
      </c>
      <c r="E2337" s="30" t="s">
        <v>7166</v>
      </c>
      <c r="F2337" s="34" t="n">
        <f aca="false">IFERROR(VLOOKUP($A2337,'319'!$B:$H,7,0),0)</f>
        <v>0</v>
      </c>
      <c r="G2337" s="34" t="n">
        <f aca="false">SUMIFS('12.326ana'!$C:$C,'12.326ana'!$M:$M,redes!A2337)</f>
        <v>0</v>
      </c>
    </row>
    <row r="2338" customFormat="false" ht="14.4" hidden="true" customHeight="false" outlineLevel="0" collapsed="false">
      <c r="A2338" s="34" t="n">
        <v>36820644191</v>
      </c>
      <c r="B2338" s="34" t="s">
        <v>7167</v>
      </c>
      <c r="C2338" s="34" t="s">
        <v>77</v>
      </c>
      <c r="E2338" s="30" t="s">
        <v>7168</v>
      </c>
      <c r="F2338" s="34" t="n">
        <f aca="false">IFERROR(VLOOKUP($A2338,'319'!$B:$H,7,0),0)</f>
        <v>0</v>
      </c>
      <c r="G2338" s="34" t="n">
        <f aca="false">SUMIFS('12.326ana'!$C:$C,'12.326ana'!$M:$M,redes!A2338)</f>
        <v>0</v>
      </c>
    </row>
    <row r="2339" customFormat="false" ht="14.4" hidden="true" customHeight="false" outlineLevel="0" collapsed="false">
      <c r="A2339" s="34" t="n">
        <v>36830542804</v>
      </c>
      <c r="B2339" s="34" t="s">
        <v>7169</v>
      </c>
      <c r="C2339" s="34" t="s">
        <v>77</v>
      </c>
      <c r="E2339" s="30" t="s">
        <v>7170</v>
      </c>
      <c r="F2339" s="34" t="n">
        <f aca="false">IFERROR(VLOOKUP($A2339,'319'!$B:$H,7,0),0)</f>
        <v>0</v>
      </c>
      <c r="G2339" s="34" t="n">
        <f aca="false">SUMIFS('12.326ana'!$C:$C,'12.326ana'!$M:$M,redes!A2339)</f>
        <v>0</v>
      </c>
    </row>
    <row r="2340" customFormat="false" ht="14.4" hidden="true" customHeight="false" outlineLevel="0" collapsed="false">
      <c r="A2340" s="34" t="n">
        <v>36834297120</v>
      </c>
      <c r="B2340" s="34" t="s">
        <v>7171</v>
      </c>
      <c r="C2340" s="34" t="s">
        <v>89</v>
      </c>
      <c r="E2340" s="30" t="s">
        <v>7172</v>
      </c>
      <c r="F2340" s="34" t="n">
        <f aca="false">IFERROR(VLOOKUP($A2340,'319'!$B:$H,7,0),0)</f>
        <v>0</v>
      </c>
      <c r="G2340" s="34" t="n">
        <f aca="false">SUMIFS('12.326ana'!$C:$C,'12.326ana'!$M:$M,redes!A2340)</f>
        <v>0</v>
      </c>
    </row>
    <row r="2341" customFormat="false" ht="14.4" hidden="true" customHeight="false" outlineLevel="0" collapsed="false">
      <c r="A2341" s="34" t="n">
        <v>36835072172</v>
      </c>
      <c r="B2341" s="34" t="s">
        <v>7173</v>
      </c>
      <c r="C2341" s="34" t="s">
        <v>89</v>
      </c>
      <c r="E2341" s="30" t="s">
        <v>7174</v>
      </c>
      <c r="F2341" s="34" t="n">
        <f aca="false">IFERROR(VLOOKUP($A2341,'319'!$B:$H,7,0),0)</f>
        <v>0</v>
      </c>
      <c r="G2341" s="34" t="n">
        <f aca="false">SUMIFS('12.326ana'!$C:$C,'12.326ana'!$M:$M,redes!A2341)</f>
        <v>0</v>
      </c>
    </row>
    <row r="2342" customFormat="false" ht="14.4" hidden="true" customHeight="false" outlineLevel="0" collapsed="false">
      <c r="A2342" s="34" t="n">
        <v>36842664187</v>
      </c>
      <c r="B2342" s="34" t="s">
        <v>7175</v>
      </c>
      <c r="C2342" s="34" t="s">
        <v>77</v>
      </c>
      <c r="E2342" s="30" t="s">
        <v>7175</v>
      </c>
      <c r="F2342" s="34" t="n">
        <f aca="false">IFERROR(VLOOKUP($A2342,'319'!$B:$H,7,0),0)</f>
        <v>0</v>
      </c>
      <c r="G2342" s="34" t="n">
        <f aca="false">SUMIFS('12.326ana'!$C:$C,'12.326ana'!$M:$M,redes!A2342)</f>
        <v>0</v>
      </c>
    </row>
    <row r="2343" customFormat="false" ht="14.4" hidden="true" customHeight="false" outlineLevel="0" collapsed="false">
      <c r="A2343" s="34" t="n">
        <v>36843300197</v>
      </c>
      <c r="B2343" s="34" t="s">
        <v>7176</v>
      </c>
      <c r="C2343" s="34" t="s">
        <v>77</v>
      </c>
      <c r="E2343" s="30" t="s">
        <v>7177</v>
      </c>
      <c r="F2343" s="34" t="n">
        <f aca="false">IFERROR(VLOOKUP($A2343,'319'!$B:$H,7,0),0)</f>
        <v>0</v>
      </c>
      <c r="G2343" s="34" t="n">
        <f aca="false">SUMIFS('12.326ana'!$C:$C,'12.326ana'!$M:$M,redes!A2343)</f>
        <v>0</v>
      </c>
    </row>
    <row r="2344" customFormat="false" ht="14.4" hidden="true" customHeight="false" outlineLevel="0" collapsed="false">
      <c r="A2344" s="34" t="n">
        <v>36843377149</v>
      </c>
      <c r="B2344" s="34" t="s">
        <v>7178</v>
      </c>
      <c r="C2344" s="34" t="s">
        <v>77</v>
      </c>
      <c r="E2344" s="30" t="s">
        <v>7179</v>
      </c>
      <c r="F2344" s="34" t="n">
        <f aca="false">IFERROR(VLOOKUP($A2344,'319'!$B:$H,7,0),0)</f>
        <v>0</v>
      </c>
      <c r="G2344" s="34" t="n">
        <f aca="false">SUMIFS('12.326ana'!$C:$C,'12.326ana'!$M:$M,redes!A2344)</f>
        <v>0</v>
      </c>
    </row>
    <row r="2345" customFormat="false" ht="14.4" hidden="true" customHeight="false" outlineLevel="0" collapsed="false">
      <c r="A2345" s="34" t="n">
        <v>36847518120</v>
      </c>
      <c r="B2345" s="34" t="s">
        <v>7180</v>
      </c>
      <c r="C2345" s="34" t="s">
        <v>1591</v>
      </c>
      <c r="E2345" s="30" t="s">
        <v>5266</v>
      </c>
      <c r="F2345" s="34" t="n">
        <f aca="false">IFERROR(VLOOKUP($A2345,'319'!$B:$H,7,0),0)</f>
        <v>0</v>
      </c>
      <c r="G2345" s="34" t="n">
        <f aca="false">SUMIFS('12.326ana'!$C:$C,'12.326ana'!$M:$M,redes!A2345)</f>
        <v>0</v>
      </c>
    </row>
    <row r="2346" customFormat="false" ht="14.4" hidden="true" customHeight="false" outlineLevel="0" collapsed="false">
      <c r="A2346" s="34" t="n">
        <v>36850454153</v>
      </c>
      <c r="B2346" s="34" t="s">
        <v>7181</v>
      </c>
      <c r="C2346" s="34" t="s">
        <v>357</v>
      </c>
      <c r="E2346" s="30" t="s">
        <v>7182</v>
      </c>
      <c r="F2346" s="34" t="n">
        <f aca="false">IFERROR(VLOOKUP($A2346,'319'!$B:$H,7,0),0)</f>
        <v>0</v>
      </c>
      <c r="G2346" s="34" t="n">
        <f aca="false">SUMIFS('12.326ana'!$C:$C,'12.326ana'!$M:$M,redes!A2346)</f>
        <v>0</v>
      </c>
    </row>
    <row r="2347" customFormat="false" ht="14.4" hidden="true" customHeight="false" outlineLevel="0" collapsed="false">
      <c r="A2347" s="34" t="n">
        <v>36850675168</v>
      </c>
      <c r="B2347" s="34" t="s">
        <v>7183</v>
      </c>
      <c r="C2347" s="34" t="s">
        <v>357</v>
      </c>
      <c r="E2347" s="30" t="s">
        <v>4993</v>
      </c>
      <c r="F2347" s="34" t="n">
        <f aca="false">IFERROR(VLOOKUP($A2347,'319'!$B:$H,7,0),0)</f>
        <v>0</v>
      </c>
      <c r="G2347" s="34" t="n">
        <f aca="false">SUMIFS('12.326ana'!$C:$C,'12.326ana'!$M:$M,redes!A2347)</f>
        <v>0</v>
      </c>
    </row>
    <row r="2348" customFormat="false" ht="14.4" hidden="true" customHeight="false" outlineLevel="0" collapsed="false">
      <c r="A2348" s="34" t="n">
        <v>36852570134</v>
      </c>
      <c r="B2348" s="34" t="s">
        <v>7184</v>
      </c>
      <c r="C2348" s="34" t="s">
        <v>77</v>
      </c>
      <c r="E2348" s="30"/>
      <c r="F2348" s="34" t="n">
        <f aca="false">IFERROR(VLOOKUP($A2348,'319'!$B:$H,7,0),0)</f>
        <v>0</v>
      </c>
      <c r="G2348" s="34" t="n">
        <f aca="false">SUMIFS('12.326ana'!$C:$C,'12.326ana'!$M:$M,redes!A2348)</f>
        <v>0</v>
      </c>
    </row>
    <row r="2349" customFormat="false" ht="14.4" hidden="true" customHeight="false" outlineLevel="0" collapsed="false">
      <c r="A2349" s="34" t="n">
        <v>36854603153</v>
      </c>
      <c r="B2349" s="34" t="s">
        <v>7185</v>
      </c>
      <c r="C2349" s="34" t="s">
        <v>77</v>
      </c>
      <c r="E2349" s="30" t="s">
        <v>4121</v>
      </c>
      <c r="F2349" s="34" t="n">
        <f aca="false">IFERROR(VLOOKUP($A2349,'319'!$B:$H,7,0),0)</f>
        <v>0</v>
      </c>
      <c r="G2349" s="34" t="n">
        <f aca="false">SUMIFS('12.326ana'!$C:$C,'12.326ana'!$M:$M,redes!A2349)</f>
        <v>0</v>
      </c>
    </row>
    <row r="2350" customFormat="false" ht="14.4" hidden="true" customHeight="false" outlineLevel="0" collapsed="false">
      <c r="A2350" s="34" t="n">
        <v>36856398115</v>
      </c>
      <c r="B2350" s="34" t="s">
        <v>7186</v>
      </c>
      <c r="C2350" s="34" t="s">
        <v>129</v>
      </c>
      <c r="E2350" s="30" t="s">
        <v>2912</v>
      </c>
      <c r="F2350" s="34" t="n">
        <f aca="false">IFERROR(VLOOKUP($A2350,'319'!$B:$H,7,0),0)</f>
        <v>0</v>
      </c>
      <c r="G2350" s="34" t="n">
        <f aca="false">SUMIFS('12.326ana'!$C:$C,'12.326ana'!$M:$M,redes!A2350)</f>
        <v>0</v>
      </c>
    </row>
    <row r="2351" customFormat="false" ht="14.4" hidden="true" customHeight="false" outlineLevel="0" collapsed="false">
      <c r="A2351" s="34" t="n">
        <v>36862118153</v>
      </c>
      <c r="B2351" s="34" t="s">
        <v>7187</v>
      </c>
      <c r="C2351" s="34" t="s">
        <v>77</v>
      </c>
      <c r="E2351" s="30" t="s">
        <v>3084</v>
      </c>
      <c r="F2351" s="34" t="n">
        <f aca="false">IFERROR(VLOOKUP($A2351,'319'!$B:$H,7,0),0)</f>
        <v>0</v>
      </c>
      <c r="G2351" s="34" t="n">
        <f aca="false">SUMIFS('12.326ana'!$C:$C,'12.326ana'!$M:$M,redes!A2351)</f>
        <v>0</v>
      </c>
    </row>
    <row r="2352" customFormat="false" ht="14.4" hidden="true" customHeight="false" outlineLevel="0" collapsed="false">
      <c r="A2352" s="34" t="n">
        <v>36866180104</v>
      </c>
      <c r="B2352" s="34" t="s">
        <v>7188</v>
      </c>
      <c r="C2352" s="34" t="s">
        <v>737</v>
      </c>
      <c r="E2352" s="30" t="s">
        <v>7189</v>
      </c>
      <c r="F2352" s="34" t="n">
        <f aca="false">IFERROR(VLOOKUP($A2352,'319'!$B:$H,7,0),0)</f>
        <v>0</v>
      </c>
      <c r="G2352" s="34" t="n">
        <f aca="false">SUMIFS('12.326ana'!$C:$C,'12.326ana'!$M:$M,redes!A2352)</f>
        <v>0</v>
      </c>
    </row>
    <row r="2353" customFormat="false" ht="14.4" hidden="true" customHeight="false" outlineLevel="0" collapsed="false">
      <c r="A2353" s="34" t="n">
        <v>36897302872</v>
      </c>
      <c r="B2353" s="34" t="s">
        <v>7190</v>
      </c>
      <c r="C2353" s="34" t="s">
        <v>475</v>
      </c>
      <c r="E2353" s="30" t="s">
        <v>4387</v>
      </c>
      <c r="F2353" s="34" t="n">
        <f aca="false">IFERROR(VLOOKUP($A2353,'319'!$B:$H,7,0),0)</f>
        <v>0</v>
      </c>
      <c r="G2353" s="34" t="n">
        <f aca="false">SUMIFS('12.326ana'!$C:$C,'12.326ana'!$M:$M,redes!A2353)</f>
        <v>0</v>
      </c>
    </row>
    <row r="2354" customFormat="false" ht="14.4" hidden="true" customHeight="false" outlineLevel="0" collapsed="false">
      <c r="A2354" s="34" t="n">
        <v>36928577134</v>
      </c>
      <c r="B2354" s="34" t="s">
        <v>7191</v>
      </c>
      <c r="C2354" s="34" t="s">
        <v>77</v>
      </c>
      <c r="E2354" s="30" t="s">
        <v>6690</v>
      </c>
      <c r="F2354" s="34" t="n">
        <f aca="false">IFERROR(VLOOKUP($A2354,'319'!$B:$H,7,0),0)</f>
        <v>0</v>
      </c>
      <c r="G2354" s="34" t="n">
        <f aca="false">SUMIFS('12.326ana'!$C:$C,'12.326ana'!$M:$M,redes!A2354)</f>
        <v>0</v>
      </c>
    </row>
    <row r="2355" customFormat="false" ht="14.4" hidden="true" customHeight="false" outlineLevel="0" collapsed="false">
      <c r="A2355" s="34" t="n">
        <v>36936693920</v>
      </c>
      <c r="B2355" s="34" t="s">
        <v>7192</v>
      </c>
      <c r="C2355" s="34" t="s">
        <v>604</v>
      </c>
      <c r="E2355" s="30" t="s">
        <v>7193</v>
      </c>
      <c r="F2355" s="34" t="n">
        <f aca="false">IFERROR(VLOOKUP($A2355,'319'!$B:$H,7,0),0)</f>
        <v>0</v>
      </c>
      <c r="G2355" s="34" t="n">
        <f aca="false">SUMIFS('12.326ana'!$C:$C,'12.326ana'!$M:$M,redes!A2355)</f>
        <v>0</v>
      </c>
    </row>
    <row r="2356" customFormat="false" ht="14.4" hidden="true" customHeight="false" outlineLevel="0" collapsed="false">
      <c r="A2356" s="34" t="n">
        <v>36951196249</v>
      </c>
      <c r="B2356" s="34" t="s">
        <v>1282</v>
      </c>
      <c r="C2356" s="34" t="s">
        <v>77</v>
      </c>
      <c r="E2356" s="30" t="s">
        <v>4373</v>
      </c>
      <c r="F2356" s="34" t="n">
        <f aca="false">IFERROR(VLOOKUP($A2356,'319'!$B:$H,7,0),0)</f>
        <v>0</v>
      </c>
      <c r="G2356" s="34" t="n">
        <f aca="false">SUMIFS('12.326ana'!$C:$C,'12.326ana'!$M:$M,redes!A2356)</f>
        <v>0</v>
      </c>
    </row>
    <row r="2357" customFormat="false" ht="14.4" hidden="true" customHeight="false" outlineLevel="0" collapsed="false">
      <c r="A2357" s="34" t="n">
        <v>36958115953</v>
      </c>
      <c r="B2357" s="34" t="s">
        <v>7194</v>
      </c>
      <c r="C2357" s="34" t="s">
        <v>764</v>
      </c>
      <c r="E2357" s="30" t="s">
        <v>7195</v>
      </c>
      <c r="F2357" s="34" t="n">
        <f aca="false">IFERROR(VLOOKUP($A2357,'319'!$B:$H,7,0),0)</f>
        <v>0</v>
      </c>
      <c r="G2357" s="34" t="n">
        <f aca="false">SUMIFS('12.326ana'!$C:$C,'12.326ana'!$M:$M,redes!A2357)</f>
        <v>0</v>
      </c>
    </row>
    <row r="2358" customFormat="false" ht="14.4" hidden="true" customHeight="false" outlineLevel="0" collapsed="false">
      <c r="A2358" s="34" t="n">
        <v>36979210963</v>
      </c>
      <c r="B2358" s="34" t="s">
        <v>7196</v>
      </c>
      <c r="C2358" s="34" t="s">
        <v>77</v>
      </c>
      <c r="E2358" s="30" t="s">
        <v>7197</v>
      </c>
      <c r="F2358" s="34" t="n">
        <f aca="false">IFERROR(VLOOKUP($A2358,'319'!$B:$H,7,0),0)</f>
        <v>0</v>
      </c>
      <c r="G2358" s="34" t="n">
        <f aca="false">SUMIFS('12.326ana'!$C:$C,'12.326ana'!$M:$M,redes!A2358)</f>
        <v>0</v>
      </c>
    </row>
    <row r="2359" customFormat="false" ht="14.4" hidden="true" customHeight="false" outlineLevel="0" collapsed="false">
      <c r="A2359" s="34" t="n">
        <v>36997579353</v>
      </c>
      <c r="B2359" s="34" t="s">
        <v>7198</v>
      </c>
      <c r="C2359" s="34" t="s">
        <v>77</v>
      </c>
      <c r="E2359" s="30" t="s">
        <v>7199</v>
      </c>
      <c r="F2359" s="34" t="n">
        <f aca="false">IFERROR(VLOOKUP($A2359,'319'!$B:$H,7,0),0)</f>
        <v>0</v>
      </c>
      <c r="G2359" s="34" t="n">
        <f aca="false">SUMIFS('12.326ana'!$C:$C,'12.326ana'!$M:$M,redes!A2359)</f>
        <v>0</v>
      </c>
    </row>
    <row r="2360" customFormat="false" ht="14.4" hidden="true" customHeight="false" outlineLevel="0" collapsed="false">
      <c r="A2360" s="34" t="n">
        <v>37043692849</v>
      </c>
      <c r="B2360" s="34" t="s">
        <v>7200</v>
      </c>
      <c r="C2360" s="34" t="s">
        <v>77</v>
      </c>
      <c r="E2360" s="30" t="s">
        <v>7201</v>
      </c>
      <c r="F2360" s="34" t="n">
        <f aca="false">IFERROR(VLOOKUP($A2360,'319'!$B:$H,7,0),0)</f>
        <v>0</v>
      </c>
      <c r="G2360" s="34" t="n">
        <f aca="false">SUMIFS('12.326ana'!$C:$C,'12.326ana'!$M:$M,redes!A2360)</f>
        <v>0</v>
      </c>
    </row>
    <row r="2361" customFormat="false" ht="14.4" hidden="true" customHeight="false" outlineLevel="0" collapsed="false">
      <c r="A2361" s="34" t="n">
        <v>37254529115</v>
      </c>
      <c r="B2361" s="34" t="s">
        <v>7202</v>
      </c>
      <c r="C2361" s="34" t="s">
        <v>103</v>
      </c>
      <c r="E2361" s="30" t="s">
        <v>3337</v>
      </c>
      <c r="F2361" s="34" t="n">
        <f aca="false">IFERROR(VLOOKUP($A2361,'319'!$B:$H,7,0),0)</f>
        <v>0</v>
      </c>
      <c r="G2361" s="34" t="n">
        <f aca="false">SUMIFS('12.326ana'!$C:$C,'12.326ana'!$M:$M,redes!A2361)</f>
        <v>0</v>
      </c>
    </row>
    <row r="2362" customFormat="false" ht="14.4" hidden="true" customHeight="false" outlineLevel="0" collapsed="false">
      <c r="A2362" s="34" t="n">
        <v>37256920172</v>
      </c>
      <c r="B2362" s="34" t="s">
        <v>7203</v>
      </c>
      <c r="C2362" s="34" t="s">
        <v>117</v>
      </c>
      <c r="E2362" s="30" t="s">
        <v>4676</v>
      </c>
      <c r="F2362" s="34" t="n">
        <f aca="false">IFERROR(VLOOKUP($A2362,'319'!$B:$H,7,0),0)</f>
        <v>0</v>
      </c>
      <c r="G2362" s="34" t="n">
        <f aca="false">SUMIFS('12.326ana'!$C:$C,'12.326ana'!$M:$M,redes!A2362)</f>
        <v>0</v>
      </c>
    </row>
    <row r="2363" customFormat="false" ht="14.4" hidden="true" customHeight="false" outlineLevel="0" collapsed="false">
      <c r="A2363" s="34" t="n">
        <v>37269658153</v>
      </c>
      <c r="B2363" s="34" t="s">
        <v>7204</v>
      </c>
      <c r="C2363" s="34" t="s">
        <v>103</v>
      </c>
      <c r="E2363" s="30" t="s">
        <v>7205</v>
      </c>
      <c r="F2363" s="34" t="n">
        <f aca="false">IFERROR(VLOOKUP($A2363,'319'!$B:$H,7,0),0)</f>
        <v>0</v>
      </c>
      <c r="G2363" s="34" t="n">
        <f aca="false">SUMIFS('12.326ana'!$C:$C,'12.326ana'!$M:$M,redes!A2363)</f>
        <v>0</v>
      </c>
    </row>
    <row r="2364" customFormat="false" ht="14.4" hidden="true" customHeight="false" outlineLevel="0" collapsed="false">
      <c r="A2364" s="34" t="n">
        <v>37276883191</v>
      </c>
      <c r="B2364" s="34" t="s">
        <v>7206</v>
      </c>
      <c r="C2364" s="34" t="s">
        <v>107</v>
      </c>
      <c r="E2364" s="30" t="s">
        <v>7207</v>
      </c>
      <c r="F2364" s="34" t="n">
        <f aca="false">IFERROR(VLOOKUP($A2364,'319'!$B:$H,7,0),0)</f>
        <v>0</v>
      </c>
      <c r="G2364" s="34" t="n">
        <f aca="false">SUMIFS('12.326ana'!$C:$C,'12.326ana'!$M:$M,redes!A2364)</f>
        <v>0</v>
      </c>
    </row>
    <row r="2365" customFormat="false" ht="14.4" hidden="true" customHeight="false" outlineLevel="0" collapsed="false">
      <c r="A2365" s="34" t="n">
        <v>37374702353</v>
      </c>
      <c r="B2365" s="34" t="s">
        <v>7208</v>
      </c>
      <c r="C2365" s="34" t="s">
        <v>77</v>
      </c>
      <c r="E2365" s="30"/>
      <c r="F2365" s="34" t="n">
        <f aca="false">IFERROR(VLOOKUP($A2365,'319'!$B:$H,7,0),0)</f>
        <v>0</v>
      </c>
      <c r="G2365" s="34" t="n">
        <f aca="false">SUMIFS('12.326ana'!$C:$C,'12.326ana'!$M:$M,redes!A2365)</f>
        <v>0</v>
      </c>
    </row>
    <row r="2366" customFormat="false" ht="14.4" hidden="true" customHeight="false" outlineLevel="0" collapsed="false">
      <c r="A2366" s="34" t="n">
        <v>37379984187</v>
      </c>
      <c r="B2366" s="34" t="s">
        <v>7209</v>
      </c>
      <c r="C2366" s="34" t="s">
        <v>77</v>
      </c>
      <c r="E2366" s="30" t="s">
        <v>7210</v>
      </c>
      <c r="F2366" s="34" t="n">
        <f aca="false">IFERROR(VLOOKUP($A2366,'319'!$B:$H,7,0),0)</f>
        <v>0</v>
      </c>
      <c r="G2366" s="34" t="n">
        <f aca="false">SUMIFS('12.326ana'!$C:$C,'12.326ana'!$M:$M,redes!A2366)</f>
        <v>0</v>
      </c>
    </row>
    <row r="2367" customFormat="false" ht="14.4" hidden="true" customHeight="false" outlineLevel="0" collapsed="false">
      <c r="A2367" s="34" t="n">
        <v>37384430100</v>
      </c>
      <c r="B2367" s="34" t="s">
        <v>7211</v>
      </c>
      <c r="C2367" s="34" t="s">
        <v>77</v>
      </c>
      <c r="E2367" s="30"/>
      <c r="F2367" s="34" t="n">
        <f aca="false">IFERROR(VLOOKUP($A2367,'319'!$B:$H,7,0),0)</f>
        <v>0</v>
      </c>
      <c r="G2367" s="34" t="n">
        <f aca="false">SUMIFS('12.326ana'!$C:$C,'12.326ana'!$M:$M,redes!A2367)</f>
        <v>0</v>
      </c>
    </row>
    <row r="2368" customFormat="false" ht="14.4" hidden="true" customHeight="false" outlineLevel="0" collapsed="false">
      <c r="A2368" s="34" t="n">
        <v>37386611153</v>
      </c>
      <c r="B2368" s="34" t="s">
        <v>7212</v>
      </c>
      <c r="C2368" s="34" t="s">
        <v>103</v>
      </c>
      <c r="E2368" s="30" t="s">
        <v>7213</v>
      </c>
      <c r="F2368" s="34" t="n">
        <f aca="false">IFERROR(VLOOKUP($A2368,'319'!$B:$H,7,0),0)</f>
        <v>0</v>
      </c>
      <c r="G2368" s="34" t="n">
        <f aca="false">SUMIFS('12.326ana'!$C:$C,'12.326ana'!$M:$M,redes!A2368)</f>
        <v>0</v>
      </c>
    </row>
    <row r="2369" customFormat="false" ht="14.4" hidden="true" customHeight="false" outlineLevel="0" collapsed="false">
      <c r="A2369" s="34" t="n">
        <v>37388738720</v>
      </c>
      <c r="B2369" s="34" t="s">
        <v>7214</v>
      </c>
      <c r="C2369" s="34" t="s">
        <v>77</v>
      </c>
      <c r="E2369" s="30" t="s">
        <v>7215</v>
      </c>
      <c r="F2369" s="34" t="n">
        <f aca="false">IFERROR(VLOOKUP($A2369,'319'!$B:$H,7,0),0)</f>
        <v>0</v>
      </c>
      <c r="G2369" s="34" t="n">
        <f aca="false">SUMIFS('12.326ana'!$C:$C,'12.326ana'!$M:$M,redes!A2369)</f>
        <v>0</v>
      </c>
    </row>
    <row r="2370" customFormat="false" ht="14.4" hidden="true" customHeight="false" outlineLevel="0" collapsed="false">
      <c r="A2370" s="34" t="n">
        <v>37390953187</v>
      </c>
      <c r="B2370" s="34" t="s">
        <v>7216</v>
      </c>
      <c r="C2370" s="34" t="s">
        <v>77</v>
      </c>
      <c r="E2370" s="30" t="s">
        <v>7217</v>
      </c>
      <c r="F2370" s="34" t="n">
        <f aca="false">IFERROR(VLOOKUP($A2370,'319'!$B:$H,7,0),0)</f>
        <v>0</v>
      </c>
      <c r="G2370" s="34" t="n">
        <f aca="false">SUMIFS('12.326ana'!$C:$C,'12.326ana'!$M:$M,redes!A2370)</f>
        <v>0</v>
      </c>
    </row>
    <row r="2371" customFormat="false" ht="14.4" hidden="true" customHeight="false" outlineLevel="0" collapsed="false">
      <c r="A2371" s="34" t="n">
        <v>37391224120</v>
      </c>
      <c r="B2371" s="34" t="s">
        <v>7218</v>
      </c>
      <c r="C2371" s="34" t="s">
        <v>77</v>
      </c>
      <c r="E2371" s="30"/>
      <c r="F2371" s="34" t="n">
        <f aca="false">IFERROR(VLOOKUP($A2371,'319'!$B:$H,7,0),0)</f>
        <v>0</v>
      </c>
      <c r="G2371" s="34" t="n">
        <f aca="false">SUMIFS('12.326ana'!$C:$C,'12.326ana'!$M:$M,redes!A2371)</f>
        <v>0</v>
      </c>
    </row>
    <row r="2372" customFormat="false" ht="14.4" hidden="true" customHeight="false" outlineLevel="0" collapsed="false">
      <c r="A2372" s="34" t="n">
        <v>37424742000</v>
      </c>
      <c r="B2372" s="34" t="s">
        <v>7219</v>
      </c>
      <c r="C2372" s="34" t="s">
        <v>77</v>
      </c>
      <c r="E2372" s="30"/>
      <c r="F2372" s="34" t="n">
        <f aca="false">IFERROR(VLOOKUP($A2372,'319'!$B:$H,7,0),0)</f>
        <v>0</v>
      </c>
      <c r="G2372" s="34" t="n">
        <f aca="false">SUMIFS('12.326ana'!$C:$C,'12.326ana'!$M:$M,redes!A2372)</f>
        <v>0</v>
      </c>
    </row>
    <row r="2373" customFormat="false" ht="14.4" hidden="true" customHeight="false" outlineLevel="0" collapsed="false">
      <c r="A2373" s="34" t="n">
        <v>37607774068</v>
      </c>
      <c r="B2373" s="34" t="s">
        <v>7220</v>
      </c>
      <c r="C2373" s="34" t="s">
        <v>103</v>
      </c>
      <c r="E2373" s="30" t="s">
        <v>7221</v>
      </c>
      <c r="F2373" s="34" t="n">
        <f aca="false">IFERROR(VLOOKUP($A2373,'319'!$B:$H,7,0),0)</f>
        <v>0</v>
      </c>
      <c r="G2373" s="34" t="n">
        <f aca="false">SUMIFS('12.326ana'!$C:$C,'12.326ana'!$M:$M,redes!A2373)</f>
        <v>0</v>
      </c>
    </row>
    <row r="2374" customFormat="false" ht="14.4" hidden="true" customHeight="false" outlineLevel="0" collapsed="false">
      <c r="A2374" s="34" t="n">
        <v>37891642168</v>
      </c>
      <c r="B2374" s="34" t="s">
        <v>7222</v>
      </c>
      <c r="C2374" s="34" t="s">
        <v>139</v>
      </c>
      <c r="E2374" s="30" t="s">
        <v>7223</v>
      </c>
      <c r="F2374" s="34" t="n">
        <f aca="false">IFERROR(VLOOKUP($A2374,'319'!$B:$H,7,0),0)</f>
        <v>0</v>
      </c>
      <c r="G2374" s="34" t="n">
        <f aca="false">SUMIFS('12.326ana'!$C:$C,'12.326ana'!$M:$M,redes!A2374)</f>
        <v>0</v>
      </c>
    </row>
    <row r="2375" customFormat="false" ht="14.4" hidden="true" customHeight="false" outlineLevel="0" collapsed="false">
      <c r="A2375" s="34" t="n">
        <v>37894188115</v>
      </c>
      <c r="B2375" s="34" t="s">
        <v>7224</v>
      </c>
      <c r="C2375" s="34" t="s">
        <v>139</v>
      </c>
      <c r="E2375" s="30" t="s">
        <v>7225</v>
      </c>
      <c r="F2375" s="34" t="n">
        <f aca="false">IFERROR(VLOOKUP($A2375,'319'!$B:$H,7,0),0)</f>
        <v>0</v>
      </c>
      <c r="G2375" s="34" t="n">
        <f aca="false">SUMIFS('12.326ana'!$C:$C,'12.326ana'!$M:$M,redes!A2375)</f>
        <v>0</v>
      </c>
    </row>
    <row r="2376" customFormat="false" ht="14.4" hidden="true" customHeight="false" outlineLevel="0" collapsed="false">
      <c r="A2376" s="34" t="n">
        <v>37898680197</v>
      </c>
      <c r="B2376" s="34" t="s">
        <v>7226</v>
      </c>
      <c r="C2376" s="34" t="s">
        <v>680</v>
      </c>
      <c r="E2376" s="30" t="s">
        <v>7227</v>
      </c>
      <c r="F2376" s="34" t="n">
        <f aca="false">IFERROR(VLOOKUP($A2376,'319'!$B:$H,7,0),0)</f>
        <v>0</v>
      </c>
      <c r="G2376" s="34" t="n">
        <f aca="false">SUMIFS('12.326ana'!$C:$C,'12.326ana'!$M:$M,redes!A2376)</f>
        <v>0</v>
      </c>
    </row>
    <row r="2377" customFormat="false" ht="14.4" hidden="true" customHeight="false" outlineLevel="0" collapsed="false">
      <c r="A2377" s="34" t="n">
        <v>37901117168</v>
      </c>
      <c r="B2377" s="34" t="s">
        <v>7228</v>
      </c>
      <c r="C2377" s="34" t="s">
        <v>139</v>
      </c>
      <c r="E2377" s="30" t="s">
        <v>7229</v>
      </c>
      <c r="F2377" s="34" t="n">
        <f aca="false">IFERROR(VLOOKUP($A2377,'319'!$B:$H,7,0),0)</f>
        <v>0</v>
      </c>
      <c r="G2377" s="34" t="n">
        <f aca="false">SUMIFS('12.326ana'!$C:$C,'12.326ana'!$M:$M,redes!A2377)</f>
        <v>0</v>
      </c>
    </row>
    <row r="2378" customFormat="false" ht="14.4" hidden="true" customHeight="false" outlineLevel="0" collapsed="false">
      <c r="A2378" s="34" t="n">
        <v>37919687187</v>
      </c>
      <c r="B2378" s="34" t="s">
        <v>7230</v>
      </c>
      <c r="C2378" s="34" t="s">
        <v>139</v>
      </c>
      <c r="E2378" s="30" t="s">
        <v>7231</v>
      </c>
      <c r="F2378" s="34" t="n">
        <f aca="false">IFERROR(VLOOKUP($A2378,'319'!$B:$H,7,0),0)</f>
        <v>0</v>
      </c>
      <c r="G2378" s="34" t="n">
        <f aca="false">SUMIFS('12.326ana'!$C:$C,'12.326ana'!$M:$M,redes!A2378)</f>
        <v>0</v>
      </c>
    </row>
    <row r="2379" customFormat="false" ht="14.4" hidden="true" customHeight="false" outlineLevel="0" collapsed="false">
      <c r="A2379" s="34" t="n">
        <v>38061368315</v>
      </c>
      <c r="B2379" s="34" t="s">
        <v>7232</v>
      </c>
      <c r="C2379" s="34" t="s">
        <v>77</v>
      </c>
      <c r="E2379" s="30" t="s">
        <v>7233</v>
      </c>
      <c r="F2379" s="34" t="n">
        <f aca="false">IFERROR(VLOOKUP($A2379,'319'!$B:$H,7,0),0)</f>
        <v>0</v>
      </c>
      <c r="G2379" s="34" t="n">
        <f aca="false">SUMIFS('12.326ana'!$C:$C,'12.326ana'!$M:$M,redes!A2379)</f>
        <v>0</v>
      </c>
    </row>
    <row r="2380" customFormat="false" ht="14.4" hidden="true" customHeight="false" outlineLevel="0" collapsed="false">
      <c r="A2380" s="34" t="n">
        <v>38446081920</v>
      </c>
      <c r="B2380" s="34" t="s">
        <v>7234</v>
      </c>
      <c r="C2380" s="34" t="s">
        <v>351</v>
      </c>
      <c r="E2380" s="30" t="s">
        <v>7235</v>
      </c>
      <c r="F2380" s="34" t="n">
        <f aca="false">IFERROR(VLOOKUP($A2380,'319'!$B:$H,7,0),0)</f>
        <v>0</v>
      </c>
      <c r="G2380" s="34" t="n">
        <f aca="false">SUMIFS('12.326ana'!$C:$C,'12.326ana'!$M:$M,redes!A2380)</f>
        <v>0</v>
      </c>
    </row>
    <row r="2381" customFormat="false" ht="14.4" hidden="true" customHeight="false" outlineLevel="0" collapsed="false">
      <c r="A2381" s="34" t="n">
        <v>38515296004</v>
      </c>
      <c r="B2381" s="34" t="s">
        <v>7236</v>
      </c>
      <c r="C2381" s="34" t="s">
        <v>107</v>
      </c>
      <c r="E2381" s="30" t="s">
        <v>7237</v>
      </c>
      <c r="F2381" s="34" t="n">
        <f aca="false">IFERROR(VLOOKUP($A2381,'319'!$B:$H,7,0),0)</f>
        <v>0</v>
      </c>
      <c r="G2381" s="34" t="n">
        <f aca="false">SUMIFS('12.326ana'!$C:$C,'12.326ana'!$M:$M,redes!A2381)</f>
        <v>0</v>
      </c>
    </row>
    <row r="2382" customFormat="false" ht="14.4" hidden="true" customHeight="false" outlineLevel="0" collapsed="false">
      <c r="A2382" s="34" t="n">
        <v>38566656172</v>
      </c>
      <c r="B2382" s="34" t="s">
        <v>7238</v>
      </c>
      <c r="C2382" s="34" t="s">
        <v>107</v>
      </c>
      <c r="E2382" s="30" t="s">
        <v>7239</v>
      </c>
      <c r="F2382" s="34" t="n">
        <f aca="false">IFERROR(VLOOKUP($A2382,'319'!$B:$H,7,0),0)</f>
        <v>0</v>
      </c>
      <c r="G2382" s="34" t="n">
        <f aca="false">SUMIFS('12.326ana'!$C:$C,'12.326ana'!$M:$M,redes!A2382)</f>
        <v>0</v>
      </c>
    </row>
    <row r="2383" customFormat="false" ht="14.4" hidden="true" customHeight="false" outlineLevel="0" collapsed="false">
      <c r="A2383" s="34" t="n">
        <v>38581450920</v>
      </c>
      <c r="B2383" s="34" t="s">
        <v>7240</v>
      </c>
      <c r="C2383" s="34" t="s">
        <v>77</v>
      </c>
      <c r="E2383" s="30" t="s">
        <v>7241</v>
      </c>
      <c r="F2383" s="34" t="n">
        <f aca="false">IFERROR(VLOOKUP($A2383,'319'!$B:$H,7,0),0)</f>
        <v>0</v>
      </c>
      <c r="G2383" s="34" t="n">
        <f aca="false">SUMIFS('12.326ana'!$C:$C,'12.326ana'!$M:$M,redes!A2383)</f>
        <v>0</v>
      </c>
    </row>
    <row r="2384" customFormat="false" ht="14.4" hidden="true" customHeight="false" outlineLevel="0" collapsed="false">
      <c r="A2384" s="34" t="n">
        <v>38590034291</v>
      </c>
      <c r="B2384" s="34" t="s">
        <v>7242</v>
      </c>
      <c r="C2384" s="34" t="s">
        <v>77</v>
      </c>
      <c r="E2384" s="30" t="s">
        <v>7243</v>
      </c>
      <c r="F2384" s="34" t="n">
        <f aca="false">IFERROR(VLOOKUP($A2384,'319'!$B:$H,7,0),0)</f>
        <v>0</v>
      </c>
      <c r="G2384" s="34" t="n">
        <f aca="false">SUMIFS('12.326ana'!$C:$C,'12.326ana'!$M:$M,redes!A2384)</f>
        <v>0</v>
      </c>
    </row>
    <row r="2385" customFormat="false" ht="14.4" hidden="true" customHeight="false" outlineLevel="0" collapsed="false">
      <c r="A2385" s="34" t="n">
        <v>38634481204</v>
      </c>
      <c r="B2385" s="34" t="s">
        <v>7244</v>
      </c>
      <c r="C2385" s="34" t="s">
        <v>77</v>
      </c>
      <c r="E2385" s="30" t="s">
        <v>7244</v>
      </c>
      <c r="F2385" s="34" t="n">
        <f aca="false">IFERROR(VLOOKUP($A2385,'319'!$B:$H,7,0),0)</f>
        <v>0</v>
      </c>
      <c r="G2385" s="34" t="n">
        <f aca="false">SUMIFS('12.326ana'!$C:$C,'12.326ana'!$M:$M,redes!A2385)</f>
        <v>0</v>
      </c>
    </row>
    <row r="2386" customFormat="false" ht="14.4" hidden="true" customHeight="false" outlineLevel="0" collapsed="false">
      <c r="A2386" s="34" t="n">
        <v>38641127291</v>
      </c>
      <c r="B2386" s="34" t="s">
        <v>7245</v>
      </c>
      <c r="C2386" s="34" t="s">
        <v>77</v>
      </c>
      <c r="E2386" s="30" t="s">
        <v>7246</v>
      </c>
      <c r="F2386" s="34" t="n">
        <f aca="false">IFERROR(VLOOKUP($A2386,'319'!$B:$H,7,0),0)</f>
        <v>0</v>
      </c>
      <c r="G2386" s="34" t="n">
        <f aca="false">SUMIFS('12.326ana'!$C:$C,'12.326ana'!$M:$M,redes!A2386)</f>
        <v>0</v>
      </c>
    </row>
    <row r="2387" customFormat="false" ht="14.4" hidden="true" customHeight="false" outlineLevel="0" collapsed="false">
      <c r="A2387" s="34" t="n">
        <v>38685671191</v>
      </c>
      <c r="B2387" s="34" t="s">
        <v>7247</v>
      </c>
      <c r="C2387" s="34" t="s">
        <v>107</v>
      </c>
      <c r="E2387" s="30" t="s">
        <v>7248</v>
      </c>
      <c r="F2387" s="34" t="n">
        <f aca="false">IFERROR(VLOOKUP($A2387,'319'!$B:$H,7,0),0)</f>
        <v>0</v>
      </c>
      <c r="G2387" s="34" t="n">
        <f aca="false">SUMIFS('12.326ana'!$C:$C,'12.326ana'!$M:$M,redes!A2387)</f>
        <v>0</v>
      </c>
    </row>
    <row r="2388" customFormat="false" ht="14.4" hidden="true" customHeight="false" outlineLevel="0" collapsed="false">
      <c r="A2388" s="34" t="n">
        <v>38707675291</v>
      </c>
      <c r="B2388" s="34" t="s">
        <v>1544</v>
      </c>
      <c r="C2388" s="34" t="s">
        <v>77</v>
      </c>
      <c r="E2388" s="30" t="s">
        <v>4499</v>
      </c>
      <c r="F2388" s="34" t="n">
        <f aca="false">IFERROR(VLOOKUP($A2388,'319'!$B:$H,7,0),0)</f>
        <v>0</v>
      </c>
      <c r="G2388" s="34" t="n">
        <f aca="false">SUMIFS('12.326ana'!$C:$C,'12.326ana'!$M:$M,redes!A2388)</f>
        <v>0</v>
      </c>
    </row>
    <row r="2389" customFormat="false" ht="14.4" hidden="true" customHeight="false" outlineLevel="0" collapsed="false">
      <c r="A2389" s="34" t="n">
        <v>38725681915</v>
      </c>
      <c r="B2389" s="34" t="s">
        <v>7249</v>
      </c>
      <c r="C2389" s="34" t="s">
        <v>7250</v>
      </c>
      <c r="E2389" s="30"/>
      <c r="F2389" s="34" t="n">
        <f aca="false">IFERROR(VLOOKUP($A2389,'319'!$B:$H,7,0),0)</f>
        <v>0</v>
      </c>
      <c r="G2389" s="34" t="n">
        <f aca="false">SUMIFS('12.326ana'!$C:$C,'12.326ana'!$M:$M,redes!A2389)</f>
        <v>0</v>
      </c>
    </row>
    <row r="2390" customFormat="false" ht="14.4" hidden="true" customHeight="false" outlineLevel="0" collapsed="false">
      <c r="A2390" s="34" t="n">
        <v>38826011168</v>
      </c>
      <c r="B2390" s="34" t="s">
        <v>7251</v>
      </c>
      <c r="C2390" s="34" t="s">
        <v>77</v>
      </c>
      <c r="E2390" s="30" t="s">
        <v>7251</v>
      </c>
      <c r="F2390" s="34" t="n">
        <f aca="false">IFERROR(VLOOKUP($A2390,'319'!$B:$H,7,0),0)</f>
        <v>0</v>
      </c>
      <c r="G2390" s="34" t="n">
        <f aca="false">SUMIFS('12.326ana'!$C:$C,'12.326ana'!$M:$M,redes!A2390)</f>
        <v>0</v>
      </c>
    </row>
    <row r="2391" customFormat="false" ht="14.4" hidden="true" customHeight="false" outlineLevel="0" collapsed="false">
      <c r="A2391" s="34" t="n">
        <v>38923245991</v>
      </c>
      <c r="B2391" s="34" t="s">
        <v>7252</v>
      </c>
      <c r="C2391" s="34" t="s">
        <v>77</v>
      </c>
      <c r="E2391" s="30" t="s">
        <v>7253</v>
      </c>
      <c r="F2391" s="34" t="n">
        <f aca="false">IFERROR(VLOOKUP($A2391,'319'!$B:$H,7,0),0)</f>
        <v>0</v>
      </c>
      <c r="G2391" s="34" t="n">
        <f aca="false">SUMIFS('12.326ana'!$C:$C,'12.326ana'!$M:$M,redes!A2391)</f>
        <v>0</v>
      </c>
    </row>
    <row r="2392" customFormat="false" ht="14.4" hidden="true" customHeight="false" outlineLevel="0" collapsed="false">
      <c r="A2392" s="34" t="n">
        <v>38979152000</v>
      </c>
      <c r="B2392" s="34" t="s">
        <v>1393</v>
      </c>
      <c r="C2392" s="34" t="s">
        <v>351</v>
      </c>
      <c r="E2392" s="30" t="s">
        <v>7254</v>
      </c>
      <c r="F2392" s="34" t="n">
        <f aca="false">IFERROR(VLOOKUP($A2392,'319'!$B:$H,7,0),0)</f>
        <v>0</v>
      </c>
      <c r="G2392" s="34" t="n">
        <f aca="false">SUMIFS('12.326ana'!$C:$C,'12.326ana'!$M:$M,redes!A2392)</f>
        <v>0</v>
      </c>
    </row>
    <row r="2393" customFormat="false" ht="14.4" hidden="true" customHeight="false" outlineLevel="0" collapsed="false">
      <c r="A2393" s="34" t="n">
        <v>38989000106</v>
      </c>
      <c r="B2393" s="34" t="s">
        <v>7255</v>
      </c>
      <c r="C2393" s="34" t="s">
        <v>77</v>
      </c>
      <c r="E2393" s="30" t="s">
        <v>7256</v>
      </c>
      <c r="F2393" s="34" t="n">
        <f aca="false">IFERROR(VLOOKUP($A2393,'319'!$B:$H,7,0),0)</f>
        <v>0</v>
      </c>
      <c r="G2393" s="34" t="n">
        <f aca="false">SUMIFS('12.326ana'!$C:$C,'12.326ana'!$M:$M,redes!A2393)</f>
        <v>0</v>
      </c>
    </row>
    <row r="2394" customFormat="false" ht="14.4" hidden="true" customHeight="false" outlineLevel="0" collapsed="false">
      <c r="A2394" s="34" t="n">
        <v>38989492149</v>
      </c>
      <c r="B2394" s="34" t="s">
        <v>7257</v>
      </c>
      <c r="C2394" s="34" t="s">
        <v>405</v>
      </c>
      <c r="E2394" s="30" t="s">
        <v>7258</v>
      </c>
      <c r="F2394" s="34" t="n">
        <f aca="false">IFERROR(VLOOKUP($A2394,'319'!$B:$H,7,0),0)</f>
        <v>0</v>
      </c>
      <c r="G2394" s="34" t="n">
        <f aca="false">SUMIFS('12.326ana'!$C:$C,'12.326ana'!$M:$M,redes!A2394)</f>
        <v>0</v>
      </c>
    </row>
    <row r="2395" customFormat="false" ht="14.4" hidden="true" customHeight="false" outlineLevel="0" collapsed="false">
      <c r="A2395" s="34" t="n">
        <v>38999560104</v>
      </c>
      <c r="B2395" s="34" t="s">
        <v>7259</v>
      </c>
      <c r="C2395" s="34" t="s">
        <v>994</v>
      </c>
      <c r="E2395" s="30" t="s">
        <v>7260</v>
      </c>
      <c r="F2395" s="34" t="n">
        <f aca="false">IFERROR(VLOOKUP($A2395,'319'!$B:$H,7,0),0)</f>
        <v>0</v>
      </c>
      <c r="G2395" s="34" t="n">
        <f aca="false">SUMIFS('12.326ana'!$C:$C,'12.326ana'!$M:$M,redes!A2395)</f>
        <v>0</v>
      </c>
    </row>
    <row r="2396" customFormat="false" ht="14.4" hidden="true" customHeight="false" outlineLevel="0" collapsed="false">
      <c r="A2396" s="34" t="n">
        <v>39000540100</v>
      </c>
      <c r="B2396" s="34" t="s">
        <v>7261</v>
      </c>
      <c r="C2396" s="34" t="s">
        <v>103</v>
      </c>
      <c r="E2396" s="30" t="s">
        <v>7262</v>
      </c>
      <c r="F2396" s="34" t="n">
        <f aca="false">IFERROR(VLOOKUP($A2396,'319'!$B:$H,7,0),0)</f>
        <v>0</v>
      </c>
      <c r="G2396" s="34" t="n">
        <f aca="false">SUMIFS('12.326ana'!$C:$C,'12.326ana'!$M:$M,redes!A2396)</f>
        <v>0</v>
      </c>
    </row>
    <row r="2397" customFormat="false" ht="14.4" hidden="true" customHeight="false" outlineLevel="0" collapsed="false">
      <c r="A2397" s="34" t="n">
        <v>39001881220</v>
      </c>
      <c r="B2397" s="34" t="s">
        <v>7263</v>
      </c>
      <c r="C2397" s="34" t="s">
        <v>207</v>
      </c>
      <c r="E2397" s="30" t="s">
        <v>7264</v>
      </c>
      <c r="F2397" s="34" t="n">
        <f aca="false">IFERROR(VLOOKUP($A2397,'319'!$B:$H,7,0),0)</f>
        <v>0</v>
      </c>
      <c r="G2397" s="34" t="n">
        <f aca="false">SUMIFS('12.326ana'!$C:$C,'12.326ana'!$M:$M,redes!A2397)</f>
        <v>0</v>
      </c>
    </row>
    <row r="2398" customFormat="false" ht="14.4" hidden="true" customHeight="false" outlineLevel="0" collapsed="false">
      <c r="A2398" s="34" t="n">
        <v>39007103172</v>
      </c>
      <c r="B2398" s="34" t="s">
        <v>7265</v>
      </c>
      <c r="C2398" s="34" t="s">
        <v>713</v>
      </c>
      <c r="E2398" s="30" t="s">
        <v>7266</v>
      </c>
      <c r="F2398" s="34" t="n">
        <f aca="false">IFERROR(VLOOKUP($A2398,'319'!$B:$H,7,0),0)</f>
        <v>0</v>
      </c>
      <c r="G2398" s="34" t="n">
        <f aca="false">SUMIFS('12.326ana'!$C:$C,'12.326ana'!$M:$M,redes!A2398)</f>
        <v>0</v>
      </c>
    </row>
    <row r="2399" customFormat="false" ht="14.4" hidden="true" customHeight="false" outlineLevel="0" collapsed="false">
      <c r="A2399" s="34" t="n">
        <v>39009114104</v>
      </c>
      <c r="B2399" s="34" t="s">
        <v>7267</v>
      </c>
      <c r="C2399" s="34" t="s">
        <v>781</v>
      </c>
      <c r="E2399" s="30" t="s">
        <v>7268</v>
      </c>
      <c r="F2399" s="34" t="n">
        <f aca="false">IFERROR(VLOOKUP($A2399,'319'!$B:$H,7,0),0)</f>
        <v>0</v>
      </c>
      <c r="G2399" s="34" t="n">
        <f aca="false">SUMIFS('12.326ana'!$C:$C,'12.326ana'!$M:$M,redes!A2399)</f>
        <v>0</v>
      </c>
    </row>
    <row r="2400" customFormat="false" ht="14.4" hidden="true" customHeight="false" outlineLevel="0" collapsed="false">
      <c r="A2400" s="34" t="n">
        <v>39010120104</v>
      </c>
      <c r="B2400" s="34" t="s">
        <v>7269</v>
      </c>
      <c r="C2400" s="34" t="s">
        <v>197</v>
      </c>
      <c r="E2400" s="30" t="s">
        <v>7270</v>
      </c>
      <c r="F2400" s="34" t="n">
        <f aca="false">IFERROR(VLOOKUP($A2400,'319'!$B:$H,7,0),0)</f>
        <v>0</v>
      </c>
      <c r="G2400" s="34" t="n">
        <f aca="false">SUMIFS('12.326ana'!$C:$C,'12.326ana'!$M:$M,redes!A2400)</f>
        <v>0</v>
      </c>
    </row>
    <row r="2401" customFormat="false" ht="14.4" hidden="true" customHeight="false" outlineLevel="0" collapsed="false">
      <c r="A2401" s="34" t="n">
        <v>39012409187</v>
      </c>
      <c r="B2401" s="34" t="s">
        <v>7271</v>
      </c>
      <c r="C2401" s="34" t="s">
        <v>464</v>
      </c>
      <c r="E2401" s="30" t="s">
        <v>7272</v>
      </c>
      <c r="F2401" s="34" t="n">
        <f aca="false">IFERROR(VLOOKUP($A2401,'319'!$B:$H,7,0),0)</f>
        <v>0</v>
      </c>
      <c r="G2401" s="34" t="n">
        <f aca="false">SUMIFS('12.326ana'!$C:$C,'12.326ana'!$M:$M,redes!A2401)</f>
        <v>0</v>
      </c>
    </row>
    <row r="2402" customFormat="false" ht="14.4" hidden="true" customHeight="false" outlineLevel="0" collapsed="false">
      <c r="A2402" s="34" t="n">
        <v>39013235115</v>
      </c>
      <c r="B2402" s="34" t="s">
        <v>7273</v>
      </c>
      <c r="C2402" s="34" t="s">
        <v>107</v>
      </c>
      <c r="E2402" s="30" t="s">
        <v>4552</v>
      </c>
      <c r="F2402" s="34" t="n">
        <f aca="false">IFERROR(VLOOKUP($A2402,'319'!$B:$H,7,0),0)</f>
        <v>0</v>
      </c>
      <c r="G2402" s="34" t="n">
        <f aca="false">SUMIFS('12.326ana'!$C:$C,'12.326ana'!$M:$M,redes!A2402)</f>
        <v>0</v>
      </c>
    </row>
    <row r="2403" customFormat="false" ht="14.4" hidden="true" customHeight="false" outlineLevel="0" collapsed="false">
      <c r="A2403" s="34" t="n">
        <v>39013448100</v>
      </c>
      <c r="B2403" s="34" t="s">
        <v>7274</v>
      </c>
      <c r="C2403" s="34" t="s">
        <v>107</v>
      </c>
      <c r="E2403" s="30" t="s">
        <v>7275</v>
      </c>
      <c r="F2403" s="34" t="n">
        <f aca="false">IFERROR(VLOOKUP($A2403,'319'!$B:$H,7,0),0)</f>
        <v>0</v>
      </c>
      <c r="G2403" s="34" t="n">
        <f aca="false">SUMIFS('12.326ana'!$C:$C,'12.326ana'!$M:$M,redes!A2403)</f>
        <v>0</v>
      </c>
    </row>
    <row r="2404" customFormat="false" ht="14.4" hidden="true" customHeight="false" outlineLevel="0" collapsed="false">
      <c r="A2404" s="34" t="n">
        <v>39014711115</v>
      </c>
      <c r="B2404" s="34" t="s">
        <v>7276</v>
      </c>
      <c r="C2404" s="34" t="s">
        <v>77</v>
      </c>
      <c r="E2404" s="30" t="s">
        <v>7277</v>
      </c>
      <c r="F2404" s="34" t="n">
        <f aca="false">IFERROR(VLOOKUP($A2404,'319'!$B:$H,7,0),0)</f>
        <v>0</v>
      </c>
      <c r="G2404" s="34" t="n">
        <f aca="false">SUMIFS('12.326ana'!$C:$C,'12.326ana'!$M:$M,redes!A2404)</f>
        <v>0</v>
      </c>
    </row>
    <row r="2405" customFormat="false" ht="14.4" hidden="true" customHeight="false" outlineLevel="0" collapsed="false">
      <c r="A2405" s="34" t="n">
        <v>39015130191</v>
      </c>
      <c r="B2405" s="34" t="s">
        <v>7278</v>
      </c>
      <c r="C2405" s="34" t="s">
        <v>309</v>
      </c>
      <c r="E2405" s="30" t="s">
        <v>7279</v>
      </c>
      <c r="F2405" s="34" t="n">
        <f aca="false">IFERROR(VLOOKUP($A2405,'319'!$B:$H,7,0),0)</f>
        <v>0</v>
      </c>
      <c r="G2405" s="34" t="n">
        <f aca="false">SUMIFS('12.326ana'!$C:$C,'12.326ana'!$M:$M,redes!A2405)</f>
        <v>0</v>
      </c>
    </row>
    <row r="2406" customFormat="false" ht="14.4" hidden="true" customHeight="false" outlineLevel="0" collapsed="false">
      <c r="A2406" s="34" t="n">
        <v>39017087153</v>
      </c>
      <c r="B2406" s="34" t="s">
        <v>7280</v>
      </c>
      <c r="C2406" s="34" t="s">
        <v>77</v>
      </c>
      <c r="E2406" s="30" t="s">
        <v>7281</v>
      </c>
      <c r="F2406" s="34" t="n">
        <f aca="false">IFERROR(VLOOKUP($A2406,'319'!$B:$H,7,0),0)</f>
        <v>0</v>
      </c>
      <c r="G2406" s="34" t="n">
        <f aca="false">SUMIFS('12.326ana'!$C:$C,'12.326ana'!$M:$M,redes!A2406)</f>
        <v>0</v>
      </c>
    </row>
    <row r="2407" customFormat="false" ht="14.4" hidden="true" customHeight="false" outlineLevel="0" collapsed="false">
      <c r="A2407" s="34" t="n">
        <v>39018687804</v>
      </c>
      <c r="B2407" s="34" t="s">
        <v>7282</v>
      </c>
      <c r="C2407" s="34" t="s">
        <v>77</v>
      </c>
      <c r="E2407" s="30" t="s">
        <v>7283</v>
      </c>
      <c r="F2407" s="34" t="n">
        <f aca="false">IFERROR(VLOOKUP($A2407,'319'!$B:$H,7,0),0)</f>
        <v>0</v>
      </c>
      <c r="G2407" s="34" t="n">
        <f aca="false">SUMIFS('12.326ana'!$C:$C,'12.326ana'!$M:$M,redes!A2407)</f>
        <v>0</v>
      </c>
    </row>
    <row r="2408" customFormat="false" ht="14.4" hidden="true" customHeight="false" outlineLevel="0" collapsed="false">
      <c r="A2408" s="34" t="n">
        <v>39020622153</v>
      </c>
      <c r="B2408" s="34" t="s">
        <v>7284</v>
      </c>
      <c r="C2408" s="34" t="s">
        <v>342</v>
      </c>
      <c r="E2408" s="30" t="s">
        <v>4499</v>
      </c>
      <c r="F2408" s="34" t="n">
        <f aca="false">IFERROR(VLOOKUP($A2408,'319'!$B:$H,7,0),0)</f>
        <v>0</v>
      </c>
      <c r="G2408" s="34" t="n">
        <f aca="false">SUMIFS('12.326ana'!$C:$C,'12.326ana'!$M:$M,redes!A2408)</f>
        <v>0</v>
      </c>
    </row>
    <row r="2409" customFormat="false" ht="14.4" hidden="true" customHeight="false" outlineLevel="0" collapsed="false">
      <c r="A2409" s="34" t="n">
        <v>39020762168</v>
      </c>
      <c r="B2409" s="34" t="s">
        <v>7285</v>
      </c>
      <c r="C2409" s="34" t="s">
        <v>342</v>
      </c>
      <c r="E2409" s="30" t="s">
        <v>7286</v>
      </c>
      <c r="F2409" s="34" t="n">
        <f aca="false">IFERROR(VLOOKUP($A2409,'319'!$B:$H,7,0),0)</f>
        <v>0</v>
      </c>
      <c r="G2409" s="34" t="n">
        <f aca="false">SUMIFS('12.326ana'!$C:$C,'12.326ana'!$M:$M,redes!A2409)</f>
        <v>0</v>
      </c>
    </row>
    <row r="2410" customFormat="false" ht="14.4" hidden="true" customHeight="false" outlineLevel="0" collapsed="false">
      <c r="A2410" s="34" t="n">
        <v>39022307115</v>
      </c>
      <c r="B2410" s="34" t="s">
        <v>7287</v>
      </c>
      <c r="C2410" s="34" t="s">
        <v>336</v>
      </c>
      <c r="E2410" s="30" t="s">
        <v>7288</v>
      </c>
      <c r="F2410" s="34" t="n">
        <f aca="false">IFERROR(VLOOKUP($A2410,'319'!$B:$H,7,0),0)</f>
        <v>0</v>
      </c>
      <c r="G2410" s="34" t="n">
        <f aca="false">SUMIFS('12.326ana'!$C:$C,'12.326ana'!$M:$M,redes!A2410)</f>
        <v>0</v>
      </c>
    </row>
    <row r="2411" customFormat="false" ht="14.4" hidden="true" customHeight="false" outlineLevel="0" collapsed="false">
      <c r="A2411" s="34" t="n">
        <v>39025683134</v>
      </c>
      <c r="B2411" s="34" t="s">
        <v>7289</v>
      </c>
      <c r="C2411" s="34" t="s">
        <v>342</v>
      </c>
      <c r="E2411" s="30" t="s">
        <v>7290</v>
      </c>
      <c r="F2411" s="34" t="n">
        <f aca="false">IFERROR(VLOOKUP($A2411,'319'!$B:$H,7,0),0)</f>
        <v>0</v>
      </c>
      <c r="G2411" s="34" t="n">
        <f aca="false">SUMIFS('12.326ana'!$C:$C,'12.326ana'!$M:$M,redes!A2411)</f>
        <v>0</v>
      </c>
    </row>
    <row r="2412" customFormat="false" ht="14.4" hidden="true" customHeight="false" outlineLevel="0" collapsed="false">
      <c r="A2412" s="34" t="n">
        <v>39028291172</v>
      </c>
      <c r="B2412" s="34" t="s">
        <v>7291</v>
      </c>
      <c r="C2412" s="34" t="s">
        <v>475</v>
      </c>
      <c r="E2412" s="30" t="s">
        <v>7292</v>
      </c>
      <c r="F2412" s="34" t="n">
        <f aca="false">IFERROR(VLOOKUP($A2412,'319'!$B:$H,7,0),0)</f>
        <v>0</v>
      </c>
      <c r="G2412" s="34" t="n">
        <f aca="false">SUMIFS('12.326ana'!$C:$C,'12.326ana'!$M:$M,redes!A2412)</f>
        <v>0</v>
      </c>
    </row>
    <row r="2413" customFormat="false" ht="14.4" hidden="true" customHeight="false" outlineLevel="0" collapsed="false">
      <c r="A2413" s="34" t="n">
        <v>39038815115</v>
      </c>
      <c r="B2413" s="34" t="s">
        <v>7293</v>
      </c>
      <c r="C2413" s="34" t="s">
        <v>77</v>
      </c>
      <c r="E2413" s="30" t="s">
        <v>7294</v>
      </c>
      <c r="F2413" s="34" t="n">
        <f aca="false">IFERROR(VLOOKUP($A2413,'319'!$B:$H,7,0),0)</f>
        <v>0</v>
      </c>
      <c r="G2413" s="34" t="n">
        <f aca="false">SUMIFS('12.326ana'!$C:$C,'12.326ana'!$M:$M,redes!A2413)</f>
        <v>0</v>
      </c>
    </row>
    <row r="2414" customFormat="false" ht="14.4" hidden="true" customHeight="false" outlineLevel="0" collapsed="false">
      <c r="A2414" s="34" t="n">
        <v>39040941149</v>
      </c>
      <c r="B2414" s="34" t="s">
        <v>7295</v>
      </c>
      <c r="C2414" s="34" t="s">
        <v>77</v>
      </c>
      <c r="E2414" s="30" t="s">
        <v>7296</v>
      </c>
      <c r="F2414" s="34" t="n">
        <f aca="false">IFERROR(VLOOKUP($A2414,'319'!$B:$H,7,0),0)</f>
        <v>0</v>
      </c>
      <c r="G2414" s="34" t="n">
        <f aca="false">SUMIFS('12.326ana'!$C:$C,'12.326ana'!$M:$M,redes!A2414)</f>
        <v>0</v>
      </c>
    </row>
    <row r="2415" customFormat="false" ht="14.4" hidden="true" customHeight="false" outlineLevel="0" collapsed="false">
      <c r="A2415" s="34" t="n">
        <v>39041328149</v>
      </c>
      <c r="B2415" s="34" t="s">
        <v>7297</v>
      </c>
      <c r="C2415" s="34" t="s">
        <v>77</v>
      </c>
      <c r="E2415" s="30" t="s">
        <v>7298</v>
      </c>
      <c r="F2415" s="34" t="n">
        <f aca="false">IFERROR(VLOOKUP($A2415,'319'!$B:$H,7,0),0)</f>
        <v>0</v>
      </c>
      <c r="G2415" s="34" t="n">
        <f aca="false">SUMIFS('12.326ana'!$C:$C,'12.326ana'!$M:$M,redes!A2415)</f>
        <v>0</v>
      </c>
    </row>
    <row r="2416" customFormat="false" ht="14.4" hidden="true" customHeight="false" outlineLevel="0" collapsed="false">
      <c r="A2416" s="34" t="n">
        <v>39042324104</v>
      </c>
      <c r="B2416" s="34" t="s">
        <v>7299</v>
      </c>
      <c r="C2416" s="34" t="s">
        <v>77</v>
      </c>
      <c r="E2416" s="30" t="s">
        <v>7300</v>
      </c>
      <c r="F2416" s="34" t="n">
        <f aca="false">IFERROR(VLOOKUP($A2416,'319'!$B:$H,7,0),0)</f>
        <v>0</v>
      </c>
      <c r="G2416" s="34" t="n">
        <f aca="false">SUMIFS('12.326ana'!$C:$C,'12.326ana'!$M:$M,redes!A2416)</f>
        <v>0</v>
      </c>
    </row>
    <row r="2417" customFormat="false" ht="14.4" hidden="true" customHeight="false" outlineLevel="0" collapsed="false">
      <c r="A2417" s="34" t="n">
        <v>39047598172</v>
      </c>
      <c r="B2417" s="34" t="s">
        <v>7301</v>
      </c>
      <c r="C2417" s="34" t="s">
        <v>77</v>
      </c>
      <c r="E2417" s="30" t="s">
        <v>7302</v>
      </c>
      <c r="F2417" s="34" t="n">
        <f aca="false">IFERROR(VLOOKUP($A2417,'319'!$B:$H,7,0),0)</f>
        <v>0</v>
      </c>
      <c r="G2417" s="34" t="n">
        <f aca="false">SUMIFS('12.326ana'!$C:$C,'12.326ana'!$M:$M,redes!A2417)</f>
        <v>0</v>
      </c>
    </row>
    <row r="2418" customFormat="false" ht="14.4" hidden="true" customHeight="false" outlineLevel="0" collapsed="false">
      <c r="A2418" s="34" t="n">
        <v>39048810191</v>
      </c>
      <c r="B2418" s="34" t="s">
        <v>7303</v>
      </c>
      <c r="C2418" s="34" t="s">
        <v>77</v>
      </c>
      <c r="E2418" s="30" t="s">
        <v>7304</v>
      </c>
      <c r="F2418" s="34" t="n">
        <f aca="false">IFERROR(VLOOKUP($A2418,'319'!$B:$H,7,0),0)</f>
        <v>0</v>
      </c>
      <c r="G2418" s="34" t="n">
        <f aca="false">SUMIFS('12.326ana'!$C:$C,'12.326ana'!$M:$M,redes!A2418)</f>
        <v>0</v>
      </c>
    </row>
    <row r="2419" customFormat="false" ht="14.4" hidden="true" customHeight="false" outlineLevel="0" collapsed="false">
      <c r="A2419" s="34" t="n">
        <v>39049043100</v>
      </c>
      <c r="B2419" s="34" t="s">
        <v>7305</v>
      </c>
      <c r="C2419" s="34" t="s">
        <v>77</v>
      </c>
      <c r="E2419" s="30" t="s">
        <v>7306</v>
      </c>
      <c r="F2419" s="34" t="n">
        <f aca="false">IFERROR(VLOOKUP($A2419,'319'!$B:$H,7,0),0)</f>
        <v>0</v>
      </c>
      <c r="G2419" s="34" t="n">
        <f aca="false">SUMIFS('12.326ana'!$C:$C,'12.326ana'!$M:$M,redes!A2419)</f>
        <v>0</v>
      </c>
    </row>
    <row r="2420" customFormat="false" ht="14.4" hidden="true" customHeight="false" outlineLevel="0" collapsed="false">
      <c r="A2420" s="34" t="n">
        <v>39049582168</v>
      </c>
      <c r="B2420" s="34" t="s">
        <v>7307</v>
      </c>
      <c r="C2420" s="34" t="s">
        <v>77</v>
      </c>
      <c r="E2420" s="30" t="s">
        <v>7308</v>
      </c>
      <c r="F2420" s="34" t="n">
        <f aca="false">IFERROR(VLOOKUP($A2420,'319'!$B:$H,7,0),0)</f>
        <v>0</v>
      </c>
      <c r="G2420" s="34" t="n">
        <f aca="false">SUMIFS('12.326ana'!$C:$C,'12.326ana'!$M:$M,redes!A2420)</f>
        <v>0</v>
      </c>
    </row>
    <row r="2421" customFormat="false" ht="14.4" hidden="true" customHeight="false" outlineLevel="0" collapsed="false">
      <c r="A2421" s="34" t="n">
        <v>39050130100</v>
      </c>
      <c r="B2421" s="34" t="s">
        <v>7309</v>
      </c>
      <c r="C2421" s="34" t="s">
        <v>77</v>
      </c>
      <c r="E2421" s="30" t="s">
        <v>7310</v>
      </c>
      <c r="F2421" s="34" t="n">
        <f aca="false">IFERROR(VLOOKUP($A2421,'319'!$B:$H,7,0),0)</f>
        <v>0</v>
      </c>
      <c r="G2421" s="34" t="n">
        <f aca="false">SUMIFS('12.326ana'!$C:$C,'12.326ana'!$M:$M,redes!A2421)</f>
        <v>0</v>
      </c>
    </row>
    <row r="2422" customFormat="false" ht="14.4" hidden="true" customHeight="false" outlineLevel="0" collapsed="false">
      <c r="A2422" s="34" t="n">
        <v>39054780134</v>
      </c>
      <c r="B2422" s="34" t="s">
        <v>7311</v>
      </c>
      <c r="C2422" s="34" t="s">
        <v>77</v>
      </c>
      <c r="E2422" s="30" t="s">
        <v>7312</v>
      </c>
      <c r="F2422" s="34" t="n">
        <f aca="false">IFERROR(VLOOKUP($A2422,'319'!$B:$H,7,0),0)</f>
        <v>0</v>
      </c>
      <c r="G2422" s="34" t="n">
        <f aca="false">SUMIFS('12.326ana'!$C:$C,'12.326ana'!$M:$M,redes!A2422)</f>
        <v>0</v>
      </c>
    </row>
    <row r="2423" customFormat="false" ht="14.4" hidden="true" customHeight="false" outlineLevel="0" collapsed="false">
      <c r="A2423" s="34" t="n">
        <v>39056880187</v>
      </c>
      <c r="B2423" s="34" t="s">
        <v>7313</v>
      </c>
      <c r="C2423" s="34" t="s">
        <v>342</v>
      </c>
      <c r="E2423" s="30" t="s">
        <v>7314</v>
      </c>
      <c r="F2423" s="34" t="n">
        <f aca="false">IFERROR(VLOOKUP($A2423,'319'!$B:$H,7,0),0)</f>
        <v>0</v>
      </c>
      <c r="G2423" s="34" t="n">
        <f aca="false">SUMIFS('12.326ana'!$C:$C,'12.326ana'!$M:$M,redes!A2423)</f>
        <v>0</v>
      </c>
    </row>
    <row r="2424" customFormat="false" ht="14.4" hidden="true" customHeight="false" outlineLevel="0" collapsed="false">
      <c r="A2424" s="34" t="n">
        <v>39061140153</v>
      </c>
      <c r="B2424" s="34" t="s">
        <v>7315</v>
      </c>
      <c r="C2424" s="34" t="s">
        <v>77</v>
      </c>
      <c r="E2424" s="30" t="s">
        <v>6060</v>
      </c>
      <c r="F2424" s="34" t="n">
        <f aca="false">IFERROR(VLOOKUP($A2424,'319'!$B:$H,7,0),0)</f>
        <v>0</v>
      </c>
      <c r="G2424" s="34" t="n">
        <f aca="false">SUMIFS('12.326ana'!$C:$C,'12.326ana'!$M:$M,redes!A2424)</f>
        <v>0</v>
      </c>
    </row>
    <row r="2425" customFormat="false" ht="14.4" hidden="true" customHeight="false" outlineLevel="0" collapsed="false">
      <c r="A2425" s="34" t="n">
        <v>39061205115</v>
      </c>
      <c r="B2425" s="34" t="s">
        <v>7316</v>
      </c>
      <c r="C2425" s="34" t="s">
        <v>77</v>
      </c>
      <c r="E2425" s="30" t="s">
        <v>7317</v>
      </c>
      <c r="F2425" s="34" t="n">
        <f aca="false">IFERROR(VLOOKUP($A2425,'319'!$B:$H,7,0),0)</f>
        <v>0</v>
      </c>
      <c r="G2425" s="34" t="n">
        <f aca="false">SUMIFS('12.326ana'!$C:$C,'12.326ana'!$M:$M,redes!A2425)</f>
        <v>0</v>
      </c>
    </row>
    <row r="2426" customFormat="false" ht="14.4" hidden="true" customHeight="false" outlineLevel="0" collapsed="false">
      <c r="A2426" s="34" t="n">
        <v>39064840172</v>
      </c>
      <c r="B2426" s="34" t="s">
        <v>7318</v>
      </c>
      <c r="C2426" s="34" t="s">
        <v>463</v>
      </c>
      <c r="E2426" s="30" t="s">
        <v>7319</v>
      </c>
      <c r="F2426" s="34" t="n">
        <f aca="false">IFERROR(VLOOKUP($A2426,'319'!$B:$H,7,0),0)</f>
        <v>0</v>
      </c>
      <c r="G2426" s="34" t="n">
        <f aca="false">SUMIFS('12.326ana'!$C:$C,'12.326ana'!$M:$M,redes!A2426)</f>
        <v>0</v>
      </c>
    </row>
    <row r="2427" customFormat="false" ht="14.4" hidden="true" customHeight="false" outlineLevel="0" collapsed="false">
      <c r="A2427" s="34" t="n">
        <v>39067130168</v>
      </c>
      <c r="B2427" s="34" t="s">
        <v>7320</v>
      </c>
      <c r="C2427" s="34" t="s">
        <v>89</v>
      </c>
      <c r="E2427" s="30" t="s">
        <v>7321</v>
      </c>
      <c r="F2427" s="34" t="n">
        <f aca="false">IFERROR(VLOOKUP($A2427,'319'!$B:$H,7,0),0)</f>
        <v>0</v>
      </c>
      <c r="G2427" s="34" t="n">
        <f aca="false">SUMIFS('12.326ana'!$C:$C,'12.326ana'!$M:$M,redes!A2427)</f>
        <v>0</v>
      </c>
    </row>
    <row r="2428" customFormat="false" ht="14.4" hidden="true" customHeight="false" outlineLevel="0" collapsed="false">
      <c r="A2428" s="34" t="n">
        <v>39069818191</v>
      </c>
      <c r="B2428" s="34" t="s">
        <v>7322</v>
      </c>
      <c r="C2428" s="34" t="s">
        <v>117</v>
      </c>
      <c r="E2428" s="30" t="s">
        <v>7323</v>
      </c>
      <c r="F2428" s="34" t="n">
        <f aca="false">IFERROR(VLOOKUP($A2428,'319'!$B:$H,7,0),0)</f>
        <v>0</v>
      </c>
      <c r="G2428" s="34" t="n">
        <f aca="false">SUMIFS('12.326ana'!$C:$C,'12.326ana'!$M:$M,redes!A2428)</f>
        <v>0</v>
      </c>
    </row>
    <row r="2429" customFormat="false" ht="14.4" hidden="true" customHeight="false" outlineLevel="0" collapsed="false">
      <c r="A2429" s="34" t="n">
        <v>39074617115</v>
      </c>
      <c r="B2429" s="34" t="s">
        <v>7324</v>
      </c>
      <c r="C2429" s="34" t="s">
        <v>77</v>
      </c>
      <c r="E2429" s="30" t="s">
        <v>7325</v>
      </c>
      <c r="F2429" s="34" t="n">
        <f aca="false">IFERROR(VLOOKUP($A2429,'319'!$B:$H,7,0),0)</f>
        <v>0</v>
      </c>
      <c r="G2429" s="34" t="n">
        <f aca="false">SUMIFS('12.326ana'!$C:$C,'12.326ana'!$M:$M,redes!A2429)</f>
        <v>0</v>
      </c>
    </row>
    <row r="2430" customFormat="false" ht="14.4" hidden="true" customHeight="false" outlineLevel="0" collapsed="false">
      <c r="A2430" s="34" t="n">
        <v>39076555168</v>
      </c>
      <c r="B2430" s="34" t="s">
        <v>7326</v>
      </c>
      <c r="C2430" s="34" t="s">
        <v>979</v>
      </c>
      <c r="E2430" s="30" t="s">
        <v>7327</v>
      </c>
      <c r="F2430" s="34" t="n">
        <f aca="false">IFERROR(VLOOKUP($A2430,'319'!$B:$H,7,0),0)</f>
        <v>0</v>
      </c>
      <c r="G2430" s="34" t="n">
        <f aca="false">SUMIFS('12.326ana'!$C:$C,'12.326ana'!$M:$M,redes!A2430)</f>
        <v>0</v>
      </c>
    </row>
    <row r="2431" customFormat="false" ht="14.4" hidden="true" customHeight="false" outlineLevel="0" collapsed="false">
      <c r="A2431" s="34" t="n">
        <v>39077080163</v>
      </c>
      <c r="B2431" s="34" t="s">
        <v>7328</v>
      </c>
      <c r="C2431" s="34" t="s">
        <v>309</v>
      </c>
      <c r="E2431" s="30" t="s">
        <v>7329</v>
      </c>
      <c r="F2431" s="34" t="n">
        <f aca="false">IFERROR(VLOOKUP($A2431,'319'!$B:$H,7,0),0)</f>
        <v>0</v>
      </c>
      <c r="G2431" s="34" t="n">
        <f aca="false">SUMIFS('12.326ana'!$C:$C,'12.326ana'!$M:$M,redes!A2431)</f>
        <v>0</v>
      </c>
    </row>
    <row r="2432" customFormat="false" ht="14.4" hidden="true" customHeight="false" outlineLevel="0" collapsed="false">
      <c r="A2432" s="34" t="n">
        <v>39078590149</v>
      </c>
      <c r="B2432" s="34" t="s">
        <v>7330</v>
      </c>
      <c r="C2432" s="34" t="s">
        <v>309</v>
      </c>
      <c r="E2432" s="30" t="s">
        <v>7331</v>
      </c>
      <c r="F2432" s="34" t="n">
        <f aca="false">IFERROR(VLOOKUP($A2432,'319'!$B:$H,7,0),0)</f>
        <v>0</v>
      </c>
      <c r="G2432" s="34" t="n">
        <f aca="false">SUMIFS('12.326ana'!$C:$C,'12.326ana'!$M:$M,redes!A2432)</f>
        <v>0</v>
      </c>
    </row>
    <row r="2433" customFormat="false" ht="14.4" hidden="true" customHeight="false" outlineLevel="0" collapsed="false">
      <c r="A2433" s="34" t="n">
        <v>39079139149</v>
      </c>
      <c r="B2433" s="34" t="s">
        <v>7332</v>
      </c>
      <c r="C2433" s="34" t="s">
        <v>77</v>
      </c>
      <c r="E2433" s="30" t="s">
        <v>7333</v>
      </c>
      <c r="F2433" s="34" t="n">
        <f aca="false">IFERROR(VLOOKUP($A2433,'319'!$B:$H,7,0),0)</f>
        <v>0</v>
      </c>
      <c r="G2433" s="34" t="n">
        <f aca="false">SUMIFS('12.326ana'!$C:$C,'12.326ana'!$M:$M,redes!A2433)</f>
        <v>0</v>
      </c>
    </row>
    <row r="2434" customFormat="false" ht="14.4" hidden="true" customHeight="false" outlineLevel="0" collapsed="false">
      <c r="A2434" s="34" t="n">
        <v>39082016168</v>
      </c>
      <c r="B2434" s="34" t="s">
        <v>7334</v>
      </c>
      <c r="C2434" s="34" t="s">
        <v>107</v>
      </c>
      <c r="E2434" s="30" t="s">
        <v>7335</v>
      </c>
      <c r="F2434" s="34" t="n">
        <f aca="false">IFERROR(VLOOKUP($A2434,'319'!$B:$H,7,0),0)</f>
        <v>0</v>
      </c>
      <c r="G2434" s="34" t="n">
        <f aca="false">SUMIFS('12.326ana'!$C:$C,'12.326ana'!$M:$M,redes!A2434)</f>
        <v>0</v>
      </c>
    </row>
    <row r="2435" customFormat="false" ht="14.4" hidden="true" customHeight="false" outlineLevel="0" collapsed="false">
      <c r="A2435" s="34" t="n">
        <v>39082741172</v>
      </c>
      <c r="B2435" s="34" t="s">
        <v>7336</v>
      </c>
      <c r="C2435" s="34" t="s">
        <v>309</v>
      </c>
      <c r="E2435" s="30" t="s">
        <v>7337</v>
      </c>
      <c r="F2435" s="34" t="n">
        <f aca="false">IFERROR(VLOOKUP($A2435,'319'!$B:$H,7,0),0)</f>
        <v>0</v>
      </c>
      <c r="G2435" s="34" t="n">
        <f aca="false">SUMIFS('12.326ana'!$C:$C,'12.326ana'!$M:$M,redes!A2435)</f>
        <v>0</v>
      </c>
    </row>
    <row r="2436" customFormat="false" ht="14.4" hidden="true" customHeight="false" outlineLevel="0" collapsed="false">
      <c r="A2436" s="34" t="n">
        <v>39091295104</v>
      </c>
      <c r="B2436" s="34" t="s">
        <v>7338</v>
      </c>
      <c r="C2436" s="34" t="s">
        <v>77</v>
      </c>
      <c r="E2436" s="30" t="s">
        <v>7339</v>
      </c>
      <c r="F2436" s="34" t="n">
        <f aca="false">IFERROR(VLOOKUP($A2436,'319'!$B:$H,7,0),0)</f>
        <v>0</v>
      </c>
      <c r="G2436" s="34" t="n">
        <f aca="false">SUMIFS('12.326ana'!$C:$C,'12.326ana'!$M:$M,redes!A2436)</f>
        <v>0</v>
      </c>
    </row>
    <row r="2437" customFormat="false" ht="14.4" hidden="true" customHeight="false" outlineLevel="0" collapsed="false">
      <c r="A2437" s="34" t="n">
        <v>39095312100</v>
      </c>
      <c r="B2437" s="34" t="s">
        <v>7340</v>
      </c>
      <c r="C2437" s="34" t="s">
        <v>77</v>
      </c>
      <c r="D2437" s="34" t="s">
        <v>4797</v>
      </c>
      <c r="E2437" s="30"/>
      <c r="F2437" s="34" t="n">
        <f aca="false">IFERROR(VLOOKUP($A2437,'319'!$B:$H,7,0),0)</f>
        <v>0</v>
      </c>
      <c r="G2437" s="34" t="n">
        <f aca="false">SUMIFS('12.326ana'!$C:$C,'12.326ana'!$M:$M,redes!A2437)</f>
        <v>0</v>
      </c>
    </row>
    <row r="2438" customFormat="false" ht="14.4" hidden="true" customHeight="false" outlineLevel="0" collapsed="false">
      <c r="A2438" s="34" t="n">
        <v>39101444115</v>
      </c>
      <c r="B2438" s="34" t="s">
        <v>7341</v>
      </c>
      <c r="C2438" s="34" t="s">
        <v>77</v>
      </c>
      <c r="E2438" s="30" t="s">
        <v>7341</v>
      </c>
      <c r="F2438" s="34" t="n">
        <f aca="false">IFERROR(VLOOKUP($A2438,'319'!$B:$H,7,0),0)</f>
        <v>0</v>
      </c>
      <c r="G2438" s="34" t="n">
        <f aca="false">SUMIFS('12.326ana'!$C:$C,'12.326ana'!$M:$M,redes!A2438)</f>
        <v>0</v>
      </c>
    </row>
    <row r="2439" customFormat="false" ht="14.4" hidden="true" customHeight="false" outlineLevel="0" collapsed="false">
      <c r="A2439" s="34" t="n">
        <v>39106004172</v>
      </c>
      <c r="B2439" s="34" t="s">
        <v>7342</v>
      </c>
      <c r="C2439" s="34" t="s">
        <v>107</v>
      </c>
      <c r="E2439" s="30" t="s">
        <v>7343</v>
      </c>
      <c r="F2439" s="34" t="n">
        <f aca="false">IFERROR(VLOOKUP($A2439,'319'!$B:$H,7,0),0)</f>
        <v>0</v>
      </c>
      <c r="G2439" s="34" t="n">
        <f aca="false">SUMIFS('12.326ana'!$C:$C,'12.326ana'!$M:$M,redes!A2439)</f>
        <v>0</v>
      </c>
    </row>
    <row r="2440" customFormat="false" ht="14.4" hidden="true" customHeight="false" outlineLevel="0" collapsed="false">
      <c r="A2440" s="34" t="n">
        <v>39106918115</v>
      </c>
      <c r="B2440" s="34" t="s">
        <v>7344</v>
      </c>
      <c r="C2440" s="34" t="s">
        <v>581</v>
      </c>
      <c r="E2440" s="30"/>
      <c r="F2440" s="34" t="n">
        <f aca="false">IFERROR(VLOOKUP($A2440,'319'!$B:$H,7,0),0)</f>
        <v>0</v>
      </c>
      <c r="G2440" s="34" t="n">
        <f aca="false">SUMIFS('12.326ana'!$C:$C,'12.326ana'!$M:$M,redes!A2440)</f>
        <v>0</v>
      </c>
    </row>
    <row r="2441" customFormat="false" ht="14.4" hidden="true" customHeight="false" outlineLevel="0" collapsed="false">
      <c r="A2441" s="34" t="n">
        <v>39126668149</v>
      </c>
      <c r="B2441" s="34" t="s">
        <v>7345</v>
      </c>
      <c r="C2441" s="34" t="s">
        <v>89</v>
      </c>
      <c r="E2441" s="30" t="s">
        <v>7346</v>
      </c>
      <c r="F2441" s="34" t="n">
        <f aca="false">IFERROR(VLOOKUP($A2441,'319'!$B:$H,7,0),0)</f>
        <v>0</v>
      </c>
      <c r="G2441" s="34" t="n">
        <f aca="false">SUMIFS('12.326ana'!$C:$C,'12.326ana'!$M:$M,redes!A2441)</f>
        <v>0</v>
      </c>
    </row>
    <row r="2442" customFormat="false" ht="14.4" hidden="true" customHeight="false" outlineLevel="0" collapsed="false">
      <c r="A2442" s="34" t="n">
        <v>39188418120</v>
      </c>
      <c r="B2442" s="34" t="s">
        <v>7347</v>
      </c>
      <c r="C2442" s="34" t="s">
        <v>77</v>
      </c>
      <c r="E2442" s="30" t="s">
        <v>7348</v>
      </c>
      <c r="F2442" s="34" t="n">
        <f aca="false">IFERROR(VLOOKUP($A2442,'319'!$B:$H,7,0),0)</f>
        <v>0</v>
      </c>
      <c r="G2442" s="34" t="n">
        <f aca="false">SUMIFS('12.326ana'!$C:$C,'12.326ana'!$M:$M,redes!A2442)</f>
        <v>0</v>
      </c>
    </row>
    <row r="2443" customFormat="false" ht="14.4" hidden="true" customHeight="false" outlineLevel="0" collapsed="false">
      <c r="A2443" s="34" t="n">
        <v>39330176372</v>
      </c>
      <c r="B2443" s="34" t="s">
        <v>7349</v>
      </c>
      <c r="C2443" s="34" t="s">
        <v>351</v>
      </c>
      <c r="E2443" s="30" t="s">
        <v>7350</v>
      </c>
      <c r="F2443" s="34" t="n">
        <f aca="false">IFERROR(VLOOKUP($A2443,'319'!$B:$H,7,0),0)</f>
        <v>0</v>
      </c>
      <c r="G2443" s="34" t="n">
        <f aca="false">SUMIFS('12.326ana'!$C:$C,'12.326ana'!$M:$M,redes!A2443)</f>
        <v>0</v>
      </c>
    </row>
    <row r="2444" customFormat="false" ht="14.4" hidden="true" customHeight="false" outlineLevel="0" collapsed="false">
      <c r="A2444" s="34" t="n">
        <v>39345378120</v>
      </c>
      <c r="B2444" s="34" t="s">
        <v>7351</v>
      </c>
      <c r="C2444" s="34" t="s">
        <v>77</v>
      </c>
      <c r="E2444" s="30" t="s">
        <v>7352</v>
      </c>
      <c r="F2444" s="34" t="n">
        <f aca="false">IFERROR(VLOOKUP($A2444,'319'!$B:$H,7,0),0)</f>
        <v>0</v>
      </c>
      <c r="G2444" s="34" t="n">
        <f aca="false">SUMIFS('12.326ana'!$C:$C,'12.326ana'!$M:$M,redes!A2444)</f>
        <v>0</v>
      </c>
    </row>
    <row r="2445" customFormat="false" ht="14.4" hidden="true" customHeight="false" outlineLevel="0" collapsed="false">
      <c r="A2445" s="34" t="n">
        <v>39373835149</v>
      </c>
      <c r="B2445" s="34" t="s">
        <v>7353</v>
      </c>
      <c r="C2445" s="34" t="s">
        <v>77</v>
      </c>
      <c r="E2445" s="30" t="s">
        <v>7354</v>
      </c>
      <c r="F2445" s="34" t="n">
        <f aca="false">IFERROR(VLOOKUP($A2445,'319'!$B:$H,7,0),0)</f>
        <v>0</v>
      </c>
      <c r="G2445" s="34" t="n">
        <f aca="false">SUMIFS('12.326ana'!$C:$C,'12.326ana'!$M:$M,redes!A2445)</f>
        <v>0</v>
      </c>
    </row>
    <row r="2446" customFormat="false" ht="14.4" hidden="true" customHeight="false" outlineLevel="0" collapsed="false">
      <c r="A2446" s="34" t="n">
        <v>39585387115</v>
      </c>
      <c r="B2446" s="34" t="s">
        <v>7355</v>
      </c>
      <c r="C2446" s="34" t="s">
        <v>473</v>
      </c>
      <c r="E2446" s="30" t="s">
        <v>7356</v>
      </c>
      <c r="F2446" s="34" t="n">
        <f aca="false">IFERROR(VLOOKUP($A2446,'319'!$B:$H,7,0),0)</f>
        <v>0</v>
      </c>
      <c r="G2446" s="34" t="n">
        <f aca="false">SUMIFS('12.326ana'!$C:$C,'12.326ana'!$M:$M,redes!A2446)</f>
        <v>0</v>
      </c>
    </row>
    <row r="2447" customFormat="false" ht="14.4" hidden="true" customHeight="false" outlineLevel="0" collapsed="false">
      <c r="A2447" s="34" t="n">
        <v>39601218149</v>
      </c>
      <c r="B2447" s="34" t="s">
        <v>7357</v>
      </c>
      <c r="C2447" s="34" t="s">
        <v>77</v>
      </c>
      <c r="E2447" s="30" t="s">
        <v>7358</v>
      </c>
      <c r="F2447" s="34" t="n">
        <f aca="false">IFERROR(VLOOKUP($A2447,'319'!$B:$H,7,0),0)</f>
        <v>0</v>
      </c>
      <c r="G2447" s="34" t="n">
        <f aca="false">SUMIFS('12.326ana'!$C:$C,'12.326ana'!$M:$M,redes!A2447)</f>
        <v>0</v>
      </c>
    </row>
    <row r="2448" customFormat="false" ht="14.4" hidden="true" customHeight="false" outlineLevel="0" collapsed="false">
      <c r="A2448" s="34" t="n">
        <v>39645576172</v>
      </c>
      <c r="B2448" s="34" t="s">
        <v>7359</v>
      </c>
      <c r="C2448" s="34" t="s">
        <v>77</v>
      </c>
      <c r="E2448" s="30"/>
      <c r="F2448" s="34" t="n">
        <f aca="false">IFERROR(VLOOKUP($A2448,'319'!$B:$H,7,0),0)</f>
        <v>0</v>
      </c>
      <c r="G2448" s="34" t="n">
        <f aca="false">SUMIFS('12.326ana'!$C:$C,'12.326ana'!$M:$M,redes!A2448)</f>
        <v>0</v>
      </c>
    </row>
    <row r="2449" customFormat="false" ht="14.4" hidden="true" customHeight="false" outlineLevel="0" collapsed="false">
      <c r="A2449" s="34" t="n">
        <v>39663159120</v>
      </c>
      <c r="B2449" s="34" t="s">
        <v>7360</v>
      </c>
      <c r="C2449" s="34" t="s">
        <v>89</v>
      </c>
      <c r="E2449" s="30" t="s">
        <v>7361</v>
      </c>
      <c r="F2449" s="34" t="n">
        <f aca="false">IFERROR(VLOOKUP($A2449,'319'!$B:$H,7,0),0)</f>
        <v>0</v>
      </c>
      <c r="G2449" s="34" t="n">
        <f aca="false">SUMIFS('12.326ana'!$C:$C,'12.326ana'!$M:$M,redes!A2449)</f>
        <v>0</v>
      </c>
    </row>
    <row r="2450" customFormat="false" ht="14.4" hidden="true" customHeight="false" outlineLevel="0" collapsed="false">
      <c r="A2450" s="34" t="n">
        <v>39665240153</v>
      </c>
      <c r="B2450" s="34" t="s">
        <v>7362</v>
      </c>
      <c r="C2450" s="34" t="s">
        <v>77</v>
      </c>
      <c r="E2450" s="30" t="s">
        <v>7363</v>
      </c>
      <c r="F2450" s="34" t="n">
        <f aca="false">IFERROR(VLOOKUP($A2450,'319'!$B:$H,7,0),0)</f>
        <v>0</v>
      </c>
      <c r="G2450" s="34" t="n">
        <f aca="false">SUMIFS('12.326ana'!$C:$C,'12.326ana'!$M:$M,redes!A2450)</f>
        <v>0</v>
      </c>
    </row>
    <row r="2451" customFormat="false" ht="14.4" hidden="true" customHeight="false" outlineLevel="0" collapsed="false">
      <c r="A2451" s="34" t="n">
        <v>39665470159</v>
      </c>
      <c r="B2451" s="34" t="s">
        <v>7364</v>
      </c>
      <c r="C2451" s="34" t="s">
        <v>706</v>
      </c>
      <c r="E2451" s="30" t="s">
        <v>7365</v>
      </c>
      <c r="F2451" s="34" t="n">
        <f aca="false">IFERROR(VLOOKUP($A2451,'319'!$B:$H,7,0),0)</f>
        <v>0</v>
      </c>
      <c r="G2451" s="34" t="n">
        <f aca="false">SUMIFS('12.326ana'!$C:$C,'12.326ana'!$M:$M,redes!A2451)</f>
        <v>0</v>
      </c>
    </row>
    <row r="2452" customFormat="false" ht="14.4" hidden="true" customHeight="false" outlineLevel="0" collapsed="false">
      <c r="A2452" s="34" t="n">
        <v>39665577115</v>
      </c>
      <c r="B2452" s="34" t="s">
        <v>7366</v>
      </c>
      <c r="C2452" s="34" t="s">
        <v>103</v>
      </c>
      <c r="E2452" s="30" t="s">
        <v>6310</v>
      </c>
      <c r="F2452" s="34" t="n">
        <f aca="false">IFERROR(VLOOKUP($A2452,'319'!$B:$H,7,0),0)</f>
        <v>0</v>
      </c>
      <c r="G2452" s="34" t="n">
        <f aca="false">SUMIFS('12.326ana'!$C:$C,'12.326ana'!$M:$M,redes!A2452)</f>
        <v>0</v>
      </c>
    </row>
    <row r="2453" customFormat="false" ht="14.4" hidden="true" customHeight="false" outlineLevel="0" collapsed="false">
      <c r="A2453" s="34" t="n">
        <v>39667278115</v>
      </c>
      <c r="B2453" s="34" t="s">
        <v>7367</v>
      </c>
      <c r="C2453" s="34" t="s">
        <v>77</v>
      </c>
      <c r="D2453" s="34" t="s">
        <v>4797</v>
      </c>
      <c r="E2453" s="30" t="s">
        <v>7368</v>
      </c>
      <c r="F2453" s="34" t="n">
        <f aca="false">IFERROR(VLOOKUP($A2453,'319'!$B:$H,7,0),0)</f>
        <v>0</v>
      </c>
      <c r="G2453" s="34" t="n">
        <f aca="false">SUMIFS('12.326ana'!$C:$C,'12.326ana'!$M:$M,redes!A2453)</f>
        <v>0</v>
      </c>
    </row>
    <row r="2454" customFormat="false" ht="14.4" hidden="true" customHeight="false" outlineLevel="0" collapsed="false">
      <c r="A2454" s="34" t="n">
        <v>39668533100</v>
      </c>
      <c r="B2454" s="34" t="s">
        <v>7369</v>
      </c>
      <c r="C2454" s="34" t="s">
        <v>103</v>
      </c>
      <c r="E2454" s="30" t="s">
        <v>7370</v>
      </c>
      <c r="F2454" s="34" t="n">
        <f aca="false">IFERROR(VLOOKUP($A2454,'319'!$B:$H,7,0),0)</f>
        <v>0</v>
      </c>
      <c r="G2454" s="34" t="n">
        <f aca="false">SUMIFS('12.326ana'!$C:$C,'12.326ana'!$M:$M,redes!A2454)</f>
        <v>0</v>
      </c>
    </row>
    <row r="2455" customFormat="false" ht="14.4" hidden="true" customHeight="false" outlineLevel="0" collapsed="false">
      <c r="A2455" s="34" t="n">
        <v>39773302172</v>
      </c>
      <c r="B2455" s="34" t="s">
        <v>7371</v>
      </c>
      <c r="C2455" s="34" t="s">
        <v>77</v>
      </c>
      <c r="E2455" s="30" t="s">
        <v>7372</v>
      </c>
      <c r="F2455" s="34" t="n">
        <f aca="false">IFERROR(VLOOKUP($A2455,'319'!$B:$H,7,0),0)</f>
        <v>0</v>
      </c>
      <c r="G2455" s="34" t="n">
        <f aca="false">SUMIFS('12.326ana'!$C:$C,'12.326ana'!$M:$M,redes!A2455)</f>
        <v>0</v>
      </c>
    </row>
    <row r="2456" customFormat="false" ht="14.4" hidden="true" customHeight="false" outlineLevel="0" collapsed="false">
      <c r="A2456" s="34" t="n">
        <v>39941752168</v>
      </c>
      <c r="B2456" s="34" t="s">
        <v>7373</v>
      </c>
      <c r="C2456" s="34" t="s">
        <v>77</v>
      </c>
      <c r="E2456" s="30" t="s">
        <v>7374</v>
      </c>
      <c r="F2456" s="34" t="n">
        <f aca="false">IFERROR(VLOOKUP($A2456,'319'!$B:$H,7,0),0)</f>
        <v>0</v>
      </c>
      <c r="G2456" s="34" t="n">
        <f aca="false">SUMIFS('12.326ana'!$C:$C,'12.326ana'!$M:$M,redes!A2456)</f>
        <v>0</v>
      </c>
    </row>
    <row r="2457" customFormat="false" ht="14.4" hidden="true" customHeight="false" outlineLevel="0" collapsed="false">
      <c r="A2457" s="34" t="n">
        <v>40048063304</v>
      </c>
      <c r="B2457" s="34" t="s">
        <v>7375</v>
      </c>
      <c r="C2457" s="34" t="s">
        <v>4829</v>
      </c>
      <c r="E2457" s="30" t="s">
        <v>7376</v>
      </c>
      <c r="F2457" s="34" t="n">
        <f aca="false">IFERROR(VLOOKUP($A2457,'319'!$B:$H,7,0),0)</f>
        <v>0</v>
      </c>
      <c r="G2457" s="34" t="n">
        <f aca="false">SUMIFS('12.326ana'!$C:$C,'12.326ana'!$M:$M,redes!A2457)</f>
        <v>0</v>
      </c>
    </row>
    <row r="2458" customFormat="false" ht="14.4" hidden="true" customHeight="false" outlineLevel="0" collapsed="false">
      <c r="A2458" s="34" t="n">
        <v>40315355115</v>
      </c>
      <c r="B2458" s="34" t="s">
        <v>7377</v>
      </c>
      <c r="C2458" s="34" t="s">
        <v>139</v>
      </c>
      <c r="E2458" s="30" t="s">
        <v>7378</v>
      </c>
      <c r="F2458" s="34" t="n">
        <f aca="false">IFERROR(VLOOKUP($A2458,'319'!$B:$H,7,0),0)</f>
        <v>0</v>
      </c>
      <c r="G2458" s="34" t="n">
        <f aca="false">SUMIFS('12.326ana'!$C:$C,'12.326ana'!$M:$M,redes!A2458)</f>
        <v>0</v>
      </c>
    </row>
    <row r="2459" customFormat="false" ht="14.4" hidden="true" customHeight="false" outlineLevel="0" collapsed="false">
      <c r="A2459" s="34" t="n">
        <v>40316866172</v>
      </c>
      <c r="B2459" s="34" t="s">
        <v>7379</v>
      </c>
      <c r="C2459" s="34" t="s">
        <v>77</v>
      </c>
      <c r="E2459" s="30" t="s">
        <v>7380</v>
      </c>
      <c r="F2459" s="34" t="n">
        <f aca="false">IFERROR(VLOOKUP($A2459,'319'!$B:$H,7,0),0)</f>
        <v>0</v>
      </c>
      <c r="G2459" s="34" t="n">
        <f aca="false">SUMIFS('12.326ana'!$C:$C,'12.326ana'!$M:$M,redes!A2459)</f>
        <v>0</v>
      </c>
    </row>
    <row r="2460" customFormat="false" ht="14.4" hidden="true" customHeight="false" outlineLevel="0" collapsed="false">
      <c r="A2460" s="34" t="n">
        <v>40317030159</v>
      </c>
      <c r="B2460" s="34" t="s">
        <v>7381</v>
      </c>
      <c r="C2460" s="34" t="s">
        <v>77</v>
      </c>
      <c r="E2460" s="30" t="s">
        <v>7382</v>
      </c>
      <c r="F2460" s="34" t="n">
        <f aca="false">IFERROR(VLOOKUP($A2460,'319'!$B:$H,7,0),0)</f>
        <v>0</v>
      </c>
      <c r="G2460" s="34" t="n">
        <f aca="false">SUMIFS('12.326ana'!$C:$C,'12.326ana'!$M:$M,redes!A2460)</f>
        <v>0</v>
      </c>
    </row>
    <row r="2461" customFormat="false" ht="14.4" hidden="true" customHeight="false" outlineLevel="0" collapsed="false">
      <c r="A2461" s="34" t="n">
        <v>40321851153</v>
      </c>
      <c r="B2461" s="34" t="s">
        <v>7383</v>
      </c>
      <c r="C2461" s="34" t="s">
        <v>77</v>
      </c>
      <c r="E2461" s="30" t="s">
        <v>7384</v>
      </c>
      <c r="F2461" s="34" t="n">
        <f aca="false">IFERROR(VLOOKUP($A2461,'319'!$B:$H,7,0),0)</f>
        <v>0</v>
      </c>
      <c r="G2461" s="34" t="n">
        <f aca="false">SUMIFS('12.326ana'!$C:$C,'12.326ana'!$M:$M,redes!A2461)</f>
        <v>0</v>
      </c>
    </row>
    <row r="2462" customFormat="false" ht="14.4" hidden="true" customHeight="false" outlineLevel="0" collapsed="false">
      <c r="A2462" s="34" t="n">
        <v>40328821187</v>
      </c>
      <c r="B2462" s="34" t="s">
        <v>7385</v>
      </c>
      <c r="C2462" s="34" t="s">
        <v>631</v>
      </c>
      <c r="E2462" s="30" t="s">
        <v>7386</v>
      </c>
      <c r="F2462" s="34" t="n">
        <f aca="false">IFERROR(VLOOKUP($A2462,'319'!$B:$H,7,0),0)</f>
        <v>0</v>
      </c>
      <c r="G2462" s="34" t="n">
        <f aca="false">SUMIFS('12.326ana'!$C:$C,'12.326ana'!$M:$M,redes!A2462)</f>
        <v>0</v>
      </c>
    </row>
    <row r="2463" customFormat="false" ht="14.4" hidden="true" customHeight="false" outlineLevel="0" collapsed="false">
      <c r="A2463" s="34" t="n">
        <v>40338738134</v>
      </c>
      <c r="B2463" s="34" t="s">
        <v>7387</v>
      </c>
      <c r="C2463" s="34" t="s">
        <v>565</v>
      </c>
      <c r="E2463" s="30" t="s">
        <v>7388</v>
      </c>
      <c r="F2463" s="34" t="n">
        <f aca="false">IFERROR(VLOOKUP($A2463,'319'!$B:$H,7,0),0)</f>
        <v>0</v>
      </c>
      <c r="G2463" s="34" t="n">
        <f aca="false">SUMIFS('12.326ana'!$C:$C,'12.326ana'!$M:$M,redes!A2463)</f>
        <v>0</v>
      </c>
    </row>
    <row r="2464" customFormat="false" ht="14.4" hidden="true" customHeight="false" outlineLevel="0" collapsed="false">
      <c r="A2464" s="34" t="n">
        <v>40340023104</v>
      </c>
      <c r="B2464" s="34" t="s">
        <v>7389</v>
      </c>
      <c r="C2464" s="34" t="s">
        <v>77</v>
      </c>
      <c r="E2464" s="30" t="s">
        <v>4519</v>
      </c>
      <c r="F2464" s="34" t="n">
        <f aca="false">IFERROR(VLOOKUP($A2464,'319'!$B:$H,7,0),0)</f>
        <v>0</v>
      </c>
      <c r="G2464" s="34" t="n">
        <f aca="false">SUMIFS('12.326ana'!$C:$C,'12.326ana'!$M:$M,redes!A2464)</f>
        <v>0</v>
      </c>
    </row>
    <row r="2465" customFormat="false" ht="14.4" hidden="true" customHeight="false" outlineLevel="0" collapsed="false">
      <c r="A2465" s="34" t="n">
        <v>40345416104</v>
      </c>
      <c r="B2465" s="34" t="s">
        <v>7390</v>
      </c>
      <c r="C2465" s="34" t="s">
        <v>77</v>
      </c>
      <c r="E2465" s="30" t="s">
        <v>5045</v>
      </c>
      <c r="F2465" s="34" t="n">
        <f aca="false">IFERROR(VLOOKUP($A2465,'319'!$B:$H,7,0),0)</f>
        <v>0</v>
      </c>
      <c r="G2465" s="34" t="n">
        <f aca="false">SUMIFS('12.326ana'!$C:$C,'12.326ana'!$M:$M,redes!A2465)</f>
        <v>0</v>
      </c>
    </row>
    <row r="2466" customFormat="false" ht="14.4" hidden="true" customHeight="false" outlineLevel="0" collapsed="false">
      <c r="A2466" s="34" t="n">
        <v>40347370187</v>
      </c>
      <c r="B2466" s="34" t="s">
        <v>7391</v>
      </c>
      <c r="C2466" s="34" t="s">
        <v>1272</v>
      </c>
      <c r="E2466" s="30" t="s">
        <v>7392</v>
      </c>
      <c r="F2466" s="34" t="n">
        <f aca="false">IFERROR(VLOOKUP($A2466,'319'!$B:$H,7,0),0)</f>
        <v>0</v>
      </c>
      <c r="G2466" s="34" t="n">
        <f aca="false">SUMIFS('12.326ana'!$C:$C,'12.326ana'!$M:$M,redes!A2466)</f>
        <v>0</v>
      </c>
    </row>
    <row r="2467" customFormat="false" ht="14.4" hidden="true" customHeight="false" outlineLevel="0" collapsed="false">
      <c r="A2467" s="34" t="n">
        <v>40348695187</v>
      </c>
      <c r="B2467" s="34" t="s">
        <v>7393</v>
      </c>
      <c r="C2467" s="34" t="s">
        <v>77</v>
      </c>
      <c r="E2467" s="30" t="s">
        <v>7199</v>
      </c>
      <c r="F2467" s="34" t="n">
        <f aca="false">IFERROR(VLOOKUP($A2467,'319'!$B:$H,7,0),0)</f>
        <v>0</v>
      </c>
      <c r="G2467" s="34" t="n">
        <f aca="false">SUMIFS('12.326ana'!$C:$C,'12.326ana'!$M:$M,redes!A2467)</f>
        <v>0</v>
      </c>
    </row>
    <row r="2468" customFormat="false" ht="14.4" hidden="true" customHeight="false" outlineLevel="0" collapsed="false">
      <c r="A2468" s="34" t="n">
        <v>40355772191</v>
      </c>
      <c r="B2468" s="34" t="s">
        <v>5505</v>
      </c>
      <c r="C2468" s="34" t="s">
        <v>336</v>
      </c>
      <c r="E2468" s="30" t="s">
        <v>7394</v>
      </c>
      <c r="F2468" s="34" t="n">
        <f aca="false">IFERROR(VLOOKUP($A2468,'319'!$B:$H,7,0),0)</f>
        <v>0</v>
      </c>
      <c r="G2468" s="34" t="n">
        <f aca="false">SUMIFS('12.326ana'!$C:$C,'12.326ana'!$M:$M,redes!A2468)</f>
        <v>0</v>
      </c>
    </row>
    <row r="2469" customFormat="false" ht="14.4" hidden="true" customHeight="false" outlineLevel="0" collapsed="false">
      <c r="A2469" s="34" t="n">
        <v>40361004168</v>
      </c>
      <c r="B2469" s="34" t="s">
        <v>7395</v>
      </c>
      <c r="C2469" s="34" t="s">
        <v>89</v>
      </c>
      <c r="E2469" s="30" t="s">
        <v>7396</v>
      </c>
      <c r="F2469" s="34" t="n">
        <f aca="false">IFERROR(VLOOKUP($A2469,'319'!$B:$H,7,0),0)</f>
        <v>0</v>
      </c>
      <c r="G2469" s="34" t="n">
        <f aca="false">SUMIFS('12.326ana'!$C:$C,'12.326ana'!$M:$M,redes!A2469)</f>
        <v>0</v>
      </c>
    </row>
    <row r="2470" customFormat="false" ht="14.4" hidden="true" customHeight="false" outlineLevel="0" collapsed="false">
      <c r="A2470" s="34" t="n">
        <v>40361390106</v>
      </c>
      <c r="B2470" s="34" t="s">
        <v>7397</v>
      </c>
      <c r="C2470" s="34" t="s">
        <v>842</v>
      </c>
      <c r="E2470" s="30" t="s">
        <v>5545</v>
      </c>
      <c r="F2470" s="34" t="n">
        <f aca="false">IFERROR(VLOOKUP($A2470,'319'!$B:$H,7,0),0)</f>
        <v>0</v>
      </c>
      <c r="G2470" s="34" t="n">
        <f aca="false">SUMIFS('12.326ana'!$C:$C,'12.326ana'!$M:$M,redes!A2470)</f>
        <v>0</v>
      </c>
    </row>
    <row r="2471" customFormat="false" ht="14.4" hidden="true" customHeight="false" outlineLevel="0" collapsed="false">
      <c r="A2471" s="34" t="n">
        <v>40364402172</v>
      </c>
      <c r="B2471" s="34" t="s">
        <v>7398</v>
      </c>
      <c r="C2471" s="34" t="s">
        <v>77</v>
      </c>
      <c r="E2471" s="30" t="s">
        <v>7399</v>
      </c>
      <c r="F2471" s="34" t="n">
        <f aca="false">IFERROR(VLOOKUP($A2471,'319'!$B:$H,7,0),0)</f>
        <v>0</v>
      </c>
      <c r="G2471" s="34" t="n">
        <f aca="false">SUMIFS('12.326ana'!$C:$C,'12.326ana'!$M:$M,redes!A2471)</f>
        <v>0</v>
      </c>
    </row>
    <row r="2472" customFormat="false" ht="14.4" hidden="true" customHeight="false" outlineLevel="0" collapsed="false">
      <c r="A2472" s="34" t="n">
        <v>40364690100</v>
      </c>
      <c r="B2472" s="34" t="s">
        <v>7400</v>
      </c>
      <c r="C2472" s="34" t="s">
        <v>77</v>
      </c>
      <c r="E2472" s="30" t="s">
        <v>7401</v>
      </c>
      <c r="F2472" s="34" t="n">
        <f aca="false">IFERROR(VLOOKUP($A2472,'319'!$B:$H,7,0),0)</f>
        <v>0</v>
      </c>
      <c r="G2472" s="34" t="n">
        <f aca="false">SUMIFS('12.326ana'!$C:$C,'12.326ana'!$M:$M,redes!A2472)</f>
        <v>0</v>
      </c>
    </row>
    <row r="2473" customFormat="false" ht="14.4" hidden="true" customHeight="false" outlineLevel="0" collapsed="false">
      <c r="A2473" s="34" t="n">
        <v>40370887115</v>
      </c>
      <c r="B2473" s="34" t="s">
        <v>7402</v>
      </c>
      <c r="C2473" s="34" t="s">
        <v>192</v>
      </c>
      <c r="E2473" s="30" t="s">
        <v>7403</v>
      </c>
      <c r="F2473" s="34" t="n">
        <f aca="false">IFERROR(VLOOKUP($A2473,'319'!$B:$H,7,0),0)</f>
        <v>0</v>
      </c>
      <c r="G2473" s="34" t="n">
        <f aca="false">SUMIFS('12.326ana'!$C:$C,'12.326ana'!$M:$M,redes!A2473)</f>
        <v>0</v>
      </c>
    </row>
    <row r="2474" customFormat="false" ht="14.4" hidden="true" customHeight="false" outlineLevel="0" collapsed="false">
      <c r="A2474" s="34" t="n">
        <v>40375650130</v>
      </c>
      <c r="B2474" s="34" t="s">
        <v>7404</v>
      </c>
      <c r="C2474" s="34" t="s">
        <v>77</v>
      </c>
      <c r="E2474" s="30" t="s">
        <v>7405</v>
      </c>
      <c r="F2474" s="34" t="n">
        <f aca="false">IFERROR(VLOOKUP($A2474,'319'!$B:$H,7,0),0)</f>
        <v>0</v>
      </c>
      <c r="G2474" s="34" t="n">
        <f aca="false">SUMIFS('12.326ana'!$C:$C,'12.326ana'!$M:$M,redes!A2474)</f>
        <v>0</v>
      </c>
    </row>
    <row r="2475" customFormat="false" ht="14.4" hidden="true" customHeight="false" outlineLevel="0" collapsed="false">
      <c r="A2475" s="34" t="n">
        <v>40384276172</v>
      </c>
      <c r="B2475" s="34" t="s">
        <v>7406</v>
      </c>
      <c r="C2475" s="34" t="s">
        <v>979</v>
      </c>
      <c r="E2475" s="30" t="s">
        <v>7407</v>
      </c>
      <c r="F2475" s="34" t="n">
        <f aca="false">IFERROR(VLOOKUP($A2475,'319'!$B:$H,7,0),0)</f>
        <v>0</v>
      </c>
      <c r="G2475" s="34" t="n">
        <f aca="false">SUMIFS('12.326ana'!$C:$C,'12.326ana'!$M:$M,redes!A2475)</f>
        <v>0</v>
      </c>
    </row>
    <row r="2476" customFormat="false" ht="14.4" hidden="true" customHeight="false" outlineLevel="0" collapsed="false">
      <c r="A2476" s="34" t="n">
        <v>40387380191</v>
      </c>
      <c r="B2476" s="34" t="s">
        <v>7408</v>
      </c>
      <c r="C2476" s="34" t="s">
        <v>463</v>
      </c>
      <c r="E2476" s="30" t="s">
        <v>7409</v>
      </c>
      <c r="F2476" s="34" t="n">
        <f aca="false">IFERROR(VLOOKUP($A2476,'319'!$B:$H,7,0),0)</f>
        <v>0</v>
      </c>
      <c r="G2476" s="34" t="n">
        <f aca="false">SUMIFS('12.326ana'!$C:$C,'12.326ana'!$M:$M,redes!A2476)</f>
        <v>0</v>
      </c>
    </row>
    <row r="2477" customFormat="false" ht="14.4" hidden="true" customHeight="false" outlineLevel="0" collapsed="false">
      <c r="A2477" s="34" t="n">
        <v>40388352191</v>
      </c>
      <c r="B2477" s="34" t="s">
        <v>7410</v>
      </c>
      <c r="C2477" s="34" t="s">
        <v>594</v>
      </c>
      <c r="E2477" s="30" t="s">
        <v>3337</v>
      </c>
      <c r="F2477" s="34" t="n">
        <f aca="false">IFERROR(VLOOKUP($A2477,'319'!$B:$H,7,0),0)</f>
        <v>0</v>
      </c>
      <c r="G2477" s="34" t="n">
        <f aca="false">SUMIFS('12.326ana'!$C:$C,'12.326ana'!$M:$M,redes!A2477)</f>
        <v>0</v>
      </c>
    </row>
    <row r="2478" customFormat="false" ht="14.4" hidden="true" customHeight="false" outlineLevel="0" collapsed="false">
      <c r="A2478" s="34" t="n">
        <v>40399630163</v>
      </c>
      <c r="B2478" s="34" t="s">
        <v>7411</v>
      </c>
      <c r="C2478" s="34" t="s">
        <v>77</v>
      </c>
      <c r="E2478" s="30" t="s">
        <v>7412</v>
      </c>
      <c r="F2478" s="34" t="n">
        <f aca="false">IFERROR(VLOOKUP($A2478,'319'!$B:$H,7,0),0)</f>
        <v>0</v>
      </c>
      <c r="G2478" s="34" t="n">
        <f aca="false">SUMIFS('12.326ana'!$C:$C,'12.326ana'!$M:$M,redes!A2478)</f>
        <v>0</v>
      </c>
    </row>
    <row r="2479" customFormat="false" ht="14.4" hidden="true" customHeight="false" outlineLevel="0" collapsed="false">
      <c r="A2479" s="34" t="n">
        <v>40401499120</v>
      </c>
      <c r="B2479" s="34" t="s">
        <v>7413</v>
      </c>
      <c r="C2479" s="34" t="s">
        <v>77</v>
      </c>
      <c r="E2479" s="30" t="s">
        <v>6029</v>
      </c>
      <c r="F2479" s="34" t="n">
        <f aca="false">IFERROR(VLOOKUP($A2479,'319'!$B:$H,7,0),0)</f>
        <v>0</v>
      </c>
      <c r="G2479" s="34" t="n">
        <f aca="false">SUMIFS('12.326ana'!$C:$C,'12.326ana'!$M:$M,redes!A2479)</f>
        <v>0</v>
      </c>
    </row>
    <row r="2480" customFormat="false" ht="14.4" hidden="true" customHeight="false" outlineLevel="0" collapsed="false">
      <c r="A2480" s="34" t="n">
        <v>40402495187</v>
      </c>
      <c r="B2480" s="34" t="s">
        <v>7414</v>
      </c>
      <c r="C2480" s="34" t="s">
        <v>77</v>
      </c>
      <c r="E2480" s="30" t="s">
        <v>7415</v>
      </c>
      <c r="F2480" s="34" t="n">
        <f aca="false">IFERROR(VLOOKUP($A2480,'319'!$B:$H,7,0),0)</f>
        <v>0</v>
      </c>
      <c r="G2480" s="34" t="n">
        <f aca="false">SUMIFS('12.326ana'!$C:$C,'12.326ana'!$M:$M,redes!A2480)</f>
        <v>0</v>
      </c>
    </row>
    <row r="2481" customFormat="false" ht="14.4" hidden="true" customHeight="false" outlineLevel="0" collapsed="false">
      <c r="A2481" s="34" t="n">
        <v>40402932153</v>
      </c>
      <c r="B2481" s="34" t="s">
        <v>7416</v>
      </c>
      <c r="C2481" s="34" t="s">
        <v>77</v>
      </c>
      <c r="E2481" s="30" t="s">
        <v>7417</v>
      </c>
      <c r="F2481" s="34" t="n">
        <f aca="false">IFERROR(VLOOKUP($A2481,'319'!$B:$H,7,0),0)</f>
        <v>0</v>
      </c>
      <c r="G2481" s="34" t="n">
        <f aca="false">SUMIFS('12.326ana'!$C:$C,'12.326ana'!$M:$M,redes!A2481)</f>
        <v>0</v>
      </c>
    </row>
    <row r="2482" customFormat="false" ht="14.4" hidden="true" customHeight="false" outlineLevel="0" collapsed="false">
      <c r="A2482" s="34" t="n">
        <v>40408752149</v>
      </c>
      <c r="B2482" s="34" t="s">
        <v>7418</v>
      </c>
      <c r="C2482" s="34" t="s">
        <v>77</v>
      </c>
      <c r="E2482" s="30" t="s">
        <v>7419</v>
      </c>
      <c r="F2482" s="34" t="n">
        <f aca="false">IFERROR(VLOOKUP($A2482,'319'!$B:$H,7,0),0)</f>
        <v>0</v>
      </c>
      <c r="G2482" s="34" t="n">
        <f aca="false">SUMIFS('12.326ana'!$C:$C,'12.326ana'!$M:$M,redes!A2482)</f>
        <v>0</v>
      </c>
    </row>
    <row r="2483" customFormat="false" ht="14.4" hidden="true" customHeight="false" outlineLevel="0" collapsed="false">
      <c r="A2483" s="34" t="n">
        <v>40410838187</v>
      </c>
      <c r="B2483" s="34" t="s">
        <v>7420</v>
      </c>
      <c r="C2483" s="34" t="s">
        <v>357</v>
      </c>
      <c r="E2483" s="30" t="s">
        <v>7421</v>
      </c>
      <c r="F2483" s="34" t="n">
        <f aca="false">IFERROR(VLOOKUP($A2483,'319'!$B:$H,7,0),0)</f>
        <v>0</v>
      </c>
      <c r="G2483" s="34" t="n">
        <f aca="false">SUMIFS('12.326ana'!$C:$C,'12.326ana'!$M:$M,redes!A2483)</f>
        <v>0</v>
      </c>
    </row>
    <row r="2484" customFormat="false" ht="14.4" hidden="true" customHeight="false" outlineLevel="0" collapsed="false">
      <c r="A2484" s="34" t="n">
        <v>40416321100</v>
      </c>
      <c r="B2484" s="34" t="s">
        <v>7422</v>
      </c>
      <c r="C2484" s="34" t="s">
        <v>77</v>
      </c>
      <c r="E2484" s="30" t="s">
        <v>7423</v>
      </c>
      <c r="F2484" s="34" t="n">
        <f aca="false">IFERROR(VLOOKUP($A2484,'319'!$B:$H,7,0),0)</f>
        <v>0</v>
      </c>
      <c r="G2484" s="34" t="n">
        <f aca="false">SUMIFS('12.326ana'!$C:$C,'12.326ana'!$M:$M,redes!A2484)</f>
        <v>0</v>
      </c>
    </row>
    <row r="2485" customFormat="false" ht="14.4" hidden="true" customHeight="false" outlineLevel="0" collapsed="false">
      <c r="A2485" s="34" t="n">
        <v>40425509168</v>
      </c>
      <c r="B2485" s="34" t="s">
        <v>7424</v>
      </c>
      <c r="C2485" s="34" t="s">
        <v>89</v>
      </c>
      <c r="E2485" s="30" t="s">
        <v>7425</v>
      </c>
      <c r="F2485" s="34" t="n">
        <f aca="false">IFERROR(VLOOKUP($A2485,'319'!$B:$H,7,0),0)</f>
        <v>0</v>
      </c>
      <c r="G2485" s="34" t="n">
        <f aca="false">SUMIFS('12.326ana'!$C:$C,'12.326ana'!$M:$M,redes!A2485)</f>
        <v>0</v>
      </c>
    </row>
    <row r="2486" customFormat="false" ht="14.4" hidden="true" customHeight="false" outlineLevel="0" collapsed="false">
      <c r="A2486" s="34" t="n">
        <v>40430332149</v>
      </c>
      <c r="B2486" s="34" t="s">
        <v>7426</v>
      </c>
      <c r="C2486" s="34" t="s">
        <v>77</v>
      </c>
      <c r="E2486" s="30" t="s">
        <v>7427</v>
      </c>
      <c r="F2486" s="34" t="n">
        <f aca="false">IFERROR(VLOOKUP($A2486,'319'!$B:$H,7,0),0)</f>
        <v>0</v>
      </c>
      <c r="G2486" s="34" t="n">
        <f aca="false">SUMIFS('12.326ana'!$C:$C,'12.326ana'!$M:$M,redes!A2486)</f>
        <v>0</v>
      </c>
    </row>
    <row r="2487" customFormat="false" ht="14.4" hidden="true" customHeight="false" outlineLevel="0" collapsed="false">
      <c r="A2487" s="34" t="n">
        <v>40434737100</v>
      </c>
      <c r="B2487" s="34" t="s">
        <v>7428</v>
      </c>
      <c r="C2487" s="34" t="s">
        <v>77</v>
      </c>
      <c r="E2487" s="30" t="s">
        <v>7429</v>
      </c>
      <c r="F2487" s="34" t="n">
        <f aca="false">IFERROR(VLOOKUP($A2487,'319'!$B:$H,7,0),0)</f>
        <v>0</v>
      </c>
      <c r="G2487" s="34" t="n">
        <f aca="false">SUMIFS('12.326ana'!$C:$C,'12.326ana'!$M:$M,redes!A2487)</f>
        <v>0</v>
      </c>
    </row>
    <row r="2488" customFormat="false" ht="14.4" hidden="true" customHeight="false" outlineLevel="0" collapsed="false">
      <c r="A2488" s="34" t="n">
        <v>40441040187</v>
      </c>
      <c r="B2488" s="34" t="s">
        <v>7430</v>
      </c>
      <c r="C2488" s="34" t="s">
        <v>737</v>
      </c>
      <c r="E2488" s="30" t="s">
        <v>7431</v>
      </c>
      <c r="F2488" s="34" t="n">
        <f aca="false">IFERROR(VLOOKUP($A2488,'319'!$B:$H,7,0),0)</f>
        <v>0</v>
      </c>
      <c r="G2488" s="34" t="n">
        <f aca="false">SUMIFS('12.326ana'!$C:$C,'12.326ana'!$M:$M,redes!A2488)</f>
        <v>0</v>
      </c>
    </row>
    <row r="2489" customFormat="false" ht="14.4" hidden="true" customHeight="false" outlineLevel="0" collapsed="false">
      <c r="A2489" s="34" t="n">
        <v>40442349149</v>
      </c>
      <c r="B2489" s="34" t="s">
        <v>7432</v>
      </c>
      <c r="C2489" s="34" t="s">
        <v>77</v>
      </c>
      <c r="E2489" s="30" t="s">
        <v>7027</v>
      </c>
      <c r="F2489" s="34" t="n">
        <f aca="false">IFERROR(VLOOKUP($A2489,'319'!$B:$H,7,0),0)</f>
        <v>0</v>
      </c>
      <c r="G2489" s="34" t="n">
        <f aca="false">SUMIFS('12.326ana'!$C:$C,'12.326ana'!$M:$M,redes!A2489)</f>
        <v>0</v>
      </c>
    </row>
    <row r="2490" customFormat="false" ht="14.4" hidden="true" customHeight="false" outlineLevel="0" collapsed="false">
      <c r="A2490" s="34" t="n">
        <v>40442748191</v>
      </c>
      <c r="B2490" s="34" t="s">
        <v>7433</v>
      </c>
      <c r="C2490" s="34" t="s">
        <v>77</v>
      </c>
      <c r="E2490" s="30" t="s">
        <v>7434</v>
      </c>
      <c r="F2490" s="34" t="n">
        <f aca="false">IFERROR(VLOOKUP($A2490,'319'!$B:$H,7,0),0)</f>
        <v>0</v>
      </c>
      <c r="G2490" s="34" t="n">
        <f aca="false">SUMIFS('12.326ana'!$C:$C,'12.326ana'!$M:$M,redes!A2490)</f>
        <v>0</v>
      </c>
    </row>
    <row r="2491" customFormat="false" ht="14.4" hidden="true" customHeight="false" outlineLevel="0" collapsed="false">
      <c r="A2491" s="34" t="n">
        <v>40443000115</v>
      </c>
      <c r="B2491" s="34" t="s">
        <v>7435</v>
      </c>
      <c r="C2491" s="34" t="s">
        <v>77</v>
      </c>
      <c r="E2491" s="30"/>
      <c r="F2491" s="34" t="n">
        <f aca="false">IFERROR(VLOOKUP($A2491,'319'!$B:$H,7,0),0)</f>
        <v>0</v>
      </c>
      <c r="G2491" s="34" t="n">
        <f aca="false">SUMIFS('12.326ana'!$C:$C,'12.326ana'!$M:$M,redes!A2491)</f>
        <v>0</v>
      </c>
    </row>
    <row r="2492" customFormat="false" ht="14.4" hidden="true" customHeight="false" outlineLevel="0" collapsed="false">
      <c r="A2492" s="34" t="n">
        <v>40445038187</v>
      </c>
      <c r="B2492" s="34" t="s">
        <v>7436</v>
      </c>
      <c r="C2492" s="34" t="s">
        <v>117</v>
      </c>
      <c r="E2492" s="30" t="s">
        <v>7437</v>
      </c>
      <c r="F2492" s="34" t="n">
        <f aca="false">IFERROR(VLOOKUP($A2492,'319'!$B:$H,7,0),0)</f>
        <v>0</v>
      </c>
      <c r="G2492" s="34" t="n">
        <f aca="false">SUMIFS('12.326ana'!$C:$C,'12.326ana'!$M:$M,redes!A2492)</f>
        <v>0</v>
      </c>
    </row>
    <row r="2493" customFormat="false" ht="14.4" hidden="true" customHeight="false" outlineLevel="0" collapsed="false">
      <c r="A2493" s="34" t="n">
        <v>40446654191</v>
      </c>
      <c r="B2493" s="34" t="s">
        <v>7438</v>
      </c>
      <c r="C2493" s="34" t="s">
        <v>77</v>
      </c>
      <c r="E2493" s="30" t="s">
        <v>7439</v>
      </c>
      <c r="F2493" s="34" t="n">
        <f aca="false">IFERROR(VLOOKUP($A2493,'319'!$B:$H,7,0),0)</f>
        <v>0</v>
      </c>
      <c r="G2493" s="34" t="n">
        <f aca="false">SUMIFS('12.326ana'!$C:$C,'12.326ana'!$M:$M,redes!A2493)</f>
        <v>0</v>
      </c>
    </row>
    <row r="2494" customFormat="false" ht="14.4" hidden="true" customHeight="false" outlineLevel="0" collapsed="false">
      <c r="A2494" s="34" t="n">
        <v>40448584115</v>
      </c>
      <c r="B2494" s="34" t="s">
        <v>7440</v>
      </c>
      <c r="C2494" s="34" t="s">
        <v>357</v>
      </c>
      <c r="E2494" s="30" t="s">
        <v>7441</v>
      </c>
      <c r="F2494" s="34" t="n">
        <f aca="false">IFERROR(VLOOKUP($A2494,'319'!$B:$H,7,0),0)</f>
        <v>0</v>
      </c>
      <c r="G2494" s="34" t="n">
        <f aca="false">SUMIFS('12.326ana'!$C:$C,'12.326ana'!$M:$M,redes!A2494)</f>
        <v>0</v>
      </c>
    </row>
    <row r="2495" customFormat="false" ht="14.4" hidden="true" customHeight="false" outlineLevel="0" collapsed="false">
      <c r="A2495" s="34" t="n">
        <v>40449750191</v>
      </c>
      <c r="B2495" s="34" t="s">
        <v>7442</v>
      </c>
      <c r="C2495" s="34" t="s">
        <v>77</v>
      </c>
      <c r="E2495" s="30" t="s">
        <v>7443</v>
      </c>
      <c r="F2495" s="34" t="n">
        <f aca="false">IFERROR(VLOOKUP($A2495,'319'!$B:$H,7,0),0)</f>
        <v>0</v>
      </c>
      <c r="G2495" s="34" t="n">
        <f aca="false">SUMIFS('12.326ana'!$C:$C,'12.326ana'!$M:$M,redes!A2495)</f>
        <v>0</v>
      </c>
    </row>
    <row r="2496" customFormat="false" ht="14.4" hidden="true" customHeight="false" outlineLevel="0" collapsed="false">
      <c r="A2496" s="34" t="n">
        <v>40457923172</v>
      </c>
      <c r="B2496" s="34" t="s">
        <v>7444</v>
      </c>
      <c r="C2496" s="34" t="s">
        <v>299</v>
      </c>
      <c r="E2496" s="30" t="s">
        <v>7445</v>
      </c>
      <c r="F2496" s="34" t="n">
        <f aca="false">IFERROR(VLOOKUP($A2496,'319'!$B:$H,7,0),0)</f>
        <v>0</v>
      </c>
      <c r="G2496" s="34" t="n">
        <f aca="false">SUMIFS('12.326ana'!$C:$C,'12.326ana'!$M:$M,redes!A2496)</f>
        <v>0</v>
      </c>
    </row>
    <row r="2497" customFormat="false" ht="14.4" hidden="true" customHeight="false" outlineLevel="0" collapsed="false">
      <c r="A2497" s="34" t="n">
        <v>40459730100</v>
      </c>
      <c r="B2497" s="34" t="s">
        <v>7446</v>
      </c>
      <c r="C2497" s="34" t="s">
        <v>744</v>
      </c>
      <c r="E2497" s="30" t="s">
        <v>7447</v>
      </c>
      <c r="F2497" s="34" t="n">
        <f aca="false">IFERROR(VLOOKUP($A2497,'319'!$B:$H,7,0),0)</f>
        <v>0</v>
      </c>
      <c r="G2497" s="34" t="n">
        <f aca="false">SUMIFS('12.326ana'!$C:$C,'12.326ana'!$M:$M,redes!A2497)</f>
        <v>0</v>
      </c>
    </row>
    <row r="2498" customFormat="false" ht="14.4" hidden="true" customHeight="false" outlineLevel="0" collapsed="false">
      <c r="A2498" s="34" t="n">
        <v>40460312120</v>
      </c>
      <c r="B2498" s="34" t="s">
        <v>7448</v>
      </c>
      <c r="C2498" s="34" t="s">
        <v>77</v>
      </c>
      <c r="E2498" s="30" t="s">
        <v>7448</v>
      </c>
      <c r="F2498" s="34" t="n">
        <f aca="false">IFERROR(VLOOKUP($A2498,'319'!$B:$H,7,0),0)</f>
        <v>0</v>
      </c>
      <c r="G2498" s="34" t="n">
        <f aca="false">SUMIFS('12.326ana'!$C:$C,'12.326ana'!$M:$M,redes!A2498)</f>
        <v>0</v>
      </c>
    </row>
    <row r="2499" customFormat="false" ht="14.4" hidden="true" customHeight="false" outlineLevel="0" collapsed="false">
      <c r="A2499" s="34" t="n">
        <v>40460681168</v>
      </c>
      <c r="B2499" s="34" t="s">
        <v>3886</v>
      </c>
      <c r="C2499" s="34" t="s">
        <v>377</v>
      </c>
      <c r="E2499" s="30" t="s">
        <v>3887</v>
      </c>
      <c r="F2499" s="34" t="n">
        <f aca="false">IFERROR(VLOOKUP($A2499,'319'!$B:$H,7,0),0)</f>
        <v>0</v>
      </c>
      <c r="G2499" s="34" t="n">
        <f aca="false">SUMIFS('12.326ana'!$C:$C,'12.326ana'!$M:$M,redes!A2499)</f>
        <v>0</v>
      </c>
    </row>
    <row r="2500" customFormat="false" ht="14.4" hidden="true" customHeight="false" outlineLevel="0" collapsed="false">
      <c r="A2500" s="34" t="n">
        <v>40462373168</v>
      </c>
      <c r="B2500" s="34" t="s">
        <v>7449</v>
      </c>
      <c r="C2500" s="34" t="s">
        <v>781</v>
      </c>
      <c r="E2500" s="30" t="s">
        <v>7450</v>
      </c>
      <c r="F2500" s="34" t="n">
        <f aca="false">IFERROR(VLOOKUP($A2500,'319'!$B:$H,7,0),0)</f>
        <v>0</v>
      </c>
      <c r="G2500" s="34" t="n">
        <f aca="false">SUMIFS('12.326ana'!$C:$C,'12.326ana'!$M:$M,redes!A2500)</f>
        <v>0</v>
      </c>
    </row>
    <row r="2501" customFormat="false" ht="14.4" hidden="true" customHeight="false" outlineLevel="0" collapsed="false">
      <c r="A2501" s="34" t="n">
        <v>40463451104</v>
      </c>
      <c r="B2501" s="34" t="s">
        <v>7451</v>
      </c>
      <c r="C2501" s="34" t="s">
        <v>463</v>
      </c>
      <c r="E2501" s="30" t="s">
        <v>5963</v>
      </c>
      <c r="F2501" s="34" t="n">
        <f aca="false">IFERROR(VLOOKUP($A2501,'319'!$B:$H,7,0),0)</f>
        <v>0</v>
      </c>
      <c r="G2501" s="34" t="n">
        <f aca="false">SUMIFS('12.326ana'!$C:$C,'12.326ana'!$M:$M,redes!A2501)</f>
        <v>0</v>
      </c>
    </row>
    <row r="2502" customFormat="false" ht="14.4" hidden="true" customHeight="false" outlineLevel="0" collapsed="false">
      <c r="A2502" s="34" t="n">
        <v>40471543187</v>
      </c>
      <c r="B2502" s="34" t="s">
        <v>7452</v>
      </c>
      <c r="C2502" s="34" t="s">
        <v>77</v>
      </c>
      <c r="E2502" s="30"/>
      <c r="F2502" s="34" t="n">
        <f aca="false">IFERROR(VLOOKUP($A2502,'319'!$B:$H,7,0),0)</f>
        <v>0</v>
      </c>
      <c r="G2502" s="34" t="n">
        <f aca="false">SUMIFS('12.326ana'!$C:$C,'12.326ana'!$M:$M,redes!A2502)</f>
        <v>0</v>
      </c>
    </row>
    <row r="2503" customFormat="false" ht="14.4" hidden="true" customHeight="false" outlineLevel="0" collapsed="false">
      <c r="A2503" s="34" t="n">
        <v>40472442104</v>
      </c>
      <c r="B2503" s="34" t="s">
        <v>7453</v>
      </c>
      <c r="C2503" s="34" t="s">
        <v>77</v>
      </c>
      <c r="E2503" s="30" t="s">
        <v>7454</v>
      </c>
      <c r="F2503" s="34" t="n">
        <f aca="false">IFERROR(VLOOKUP($A2503,'319'!$B:$H,7,0),0)</f>
        <v>0</v>
      </c>
      <c r="G2503" s="34" t="n">
        <f aca="false">SUMIFS('12.326ana'!$C:$C,'12.326ana'!$M:$M,redes!A2503)</f>
        <v>0</v>
      </c>
    </row>
    <row r="2504" customFormat="false" ht="14.4" hidden="true" customHeight="false" outlineLevel="0" collapsed="false">
      <c r="A2504" s="34" t="n">
        <v>40482260106</v>
      </c>
      <c r="B2504" s="34" t="s">
        <v>7455</v>
      </c>
      <c r="C2504" s="34" t="s">
        <v>107</v>
      </c>
      <c r="E2504" s="30"/>
      <c r="F2504" s="34" t="n">
        <f aca="false">IFERROR(VLOOKUP($A2504,'319'!$B:$H,7,0),0)</f>
        <v>0</v>
      </c>
      <c r="G2504" s="34" t="n">
        <f aca="false">SUMIFS('12.326ana'!$C:$C,'12.326ana'!$M:$M,redes!A2504)</f>
        <v>0</v>
      </c>
    </row>
    <row r="2505" customFormat="false" ht="14.4" hidden="true" customHeight="false" outlineLevel="0" collapsed="false">
      <c r="A2505" s="34" t="n">
        <v>40484572172</v>
      </c>
      <c r="B2505" s="34" t="s">
        <v>7456</v>
      </c>
      <c r="C2505" s="34" t="s">
        <v>309</v>
      </c>
      <c r="E2505" s="30"/>
      <c r="F2505" s="34" t="n">
        <f aca="false">IFERROR(VLOOKUP($A2505,'319'!$B:$H,7,0),0)</f>
        <v>0</v>
      </c>
      <c r="G2505" s="34" t="n">
        <f aca="false">SUMIFS('12.326ana'!$C:$C,'12.326ana'!$M:$M,redes!A2505)</f>
        <v>0</v>
      </c>
    </row>
    <row r="2506" customFormat="false" ht="14.4" hidden="true" customHeight="false" outlineLevel="0" collapsed="false">
      <c r="A2506" s="34" t="n">
        <v>40485536153</v>
      </c>
      <c r="B2506" s="34" t="s">
        <v>7457</v>
      </c>
      <c r="C2506" s="34" t="s">
        <v>77</v>
      </c>
      <c r="E2506" s="30"/>
      <c r="F2506" s="34" t="n">
        <f aca="false">IFERROR(VLOOKUP($A2506,'319'!$B:$H,7,0),0)</f>
        <v>0</v>
      </c>
      <c r="G2506" s="34" t="n">
        <f aca="false">SUMIFS('12.326ana'!$C:$C,'12.326ana'!$M:$M,redes!A2506)</f>
        <v>0</v>
      </c>
    </row>
    <row r="2507" customFormat="false" ht="14.4" hidden="true" customHeight="false" outlineLevel="0" collapsed="false">
      <c r="A2507" s="34" t="n">
        <v>40495582115</v>
      </c>
      <c r="B2507" s="34" t="s">
        <v>7458</v>
      </c>
      <c r="C2507" s="34" t="s">
        <v>309</v>
      </c>
      <c r="E2507" s="30" t="s">
        <v>4812</v>
      </c>
      <c r="F2507" s="34" t="n">
        <f aca="false">IFERROR(VLOOKUP($A2507,'319'!$B:$H,7,0),0)</f>
        <v>0</v>
      </c>
      <c r="G2507" s="34" t="n">
        <f aca="false">SUMIFS('12.326ana'!$C:$C,'12.326ana'!$M:$M,redes!A2507)</f>
        <v>0</v>
      </c>
    </row>
    <row r="2508" customFormat="false" ht="14.4" hidden="true" customHeight="false" outlineLevel="0" collapsed="false">
      <c r="A2508" s="34" t="n">
        <v>40497011115</v>
      </c>
      <c r="B2508" s="34" t="s">
        <v>7459</v>
      </c>
      <c r="C2508" s="34" t="s">
        <v>935</v>
      </c>
      <c r="E2508" s="30" t="s">
        <v>7460</v>
      </c>
      <c r="F2508" s="34" t="n">
        <f aca="false">IFERROR(VLOOKUP($A2508,'319'!$B:$H,7,0),0)</f>
        <v>0</v>
      </c>
      <c r="G2508" s="34" t="n">
        <f aca="false">SUMIFS('12.326ana'!$C:$C,'12.326ana'!$M:$M,redes!A2508)</f>
        <v>0</v>
      </c>
    </row>
    <row r="2509" customFormat="false" ht="14.4" hidden="true" customHeight="false" outlineLevel="0" collapsed="false">
      <c r="A2509" s="34" t="n">
        <v>40506754120</v>
      </c>
      <c r="B2509" s="34" t="s">
        <v>7461</v>
      </c>
      <c r="C2509" s="34" t="s">
        <v>77</v>
      </c>
      <c r="E2509" s="30" t="s">
        <v>7462</v>
      </c>
      <c r="F2509" s="34" t="n">
        <f aca="false">IFERROR(VLOOKUP($A2509,'319'!$B:$H,7,0),0)</f>
        <v>0</v>
      </c>
      <c r="G2509" s="34" t="n">
        <f aca="false">SUMIFS('12.326ana'!$C:$C,'12.326ana'!$M:$M,redes!A2509)</f>
        <v>0</v>
      </c>
    </row>
    <row r="2510" customFormat="false" ht="14.4" hidden="true" customHeight="false" outlineLevel="0" collapsed="false">
      <c r="A2510" s="34" t="n">
        <v>40510107168</v>
      </c>
      <c r="B2510" s="34" t="s">
        <v>7463</v>
      </c>
      <c r="C2510" s="34" t="s">
        <v>77</v>
      </c>
      <c r="E2510" s="30" t="s">
        <v>7086</v>
      </c>
      <c r="F2510" s="34" t="n">
        <f aca="false">IFERROR(VLOOKUP($A2510,'319'!$B:$H,7,0),0)</f>
        <v>0</v>
      </c>
      <c r="G2510" s="34" t="n">
        <f aca="false">SUMIFS('12.326ana'!$C:$C,'12.326ana'!$M:$M,redes!A2510)</f>
        <v>0</v>
      </c>
    </row>
    <row r="2511" customFormat="false" ht="14.4" hidden="true" customHeight="false" outlineLevel="0" collapsed="false">
      <c r="A2511" s="34" t="n">
        <v>40511782187</v>
      </c>
      <c r="B2511" s="34" t="s">
        <v>7464</v>
      </c>
      <c r="C2511" s="34" t="s">
        <v>342</v>
      </c>
      <c r="E2511" s="30" t="s">
        <v>7465</v>
      </c>
      <c r="F2511" s="34" t="n">
        <f aca="false">IFERROR(VLOOKUP($A2511,'319'!$B:$H,7,0),0)</f>
        <v>0</v>
      </c>
      <c r="G2511" s="34" t="n">
        <f aca="false">SUMIFS('12.326ana'!$C:$C,'12.326ana'!$M:$M,redes!A2511)</f>
        <v>0</v>
      </c>
    </row>
    <row r="2512" customFormat="false" ht="14.4" hidden="true" customHeight="false" outlineLevel="0" collapsed="false">
      <c r="A2512" s="34" t="n">
        <v>40550583149</v>
      </c>
      <c r="B2512" s="34" t="s">
        <v>7466</v>
      </c>
      <c r="C2512" s="34" t="s">
        <v>77</v>
      </c>
      <c r="E2512" s="30" t="s">
        <v>7467</v>
      </c>
      <c r="F2512" s="34" t="n">
        <f aca="false">IFERROR(VLOOKUP($A2512,'319'!$B:$H,7,0),0)</f>
        <v>0</v>
      </c>
      <c r="G2512" s="34" t="n">
        <f aca="false">SUMIFS('12.326ana'!$C:$C,'12.326ana'!$M:$M,redes!A2512)</f>
        <v>0</v>
      </c>
    </row>
    <row r="2513" customFormat="false" ht="14.4" hidden="true" customHeight="false" outlineLevel="0" collapsed="false">
      <c r="A2513" s="34" t="n">
        <v>40551580178</v>
      </c>
      <c r="B2513" s="34" t="s">
        <v>7468</v>
      </c>
      <c r="C2513" s="34" t="s">
        <v>107</v>
      </c>
      <c r="E2513" s="30" t="s">
        <v>7469</v>
      </c>
      <c r="F2513" s="34" t="n">
        <f aca="false">IFERROR(VLOOKUP($A2513,'319'!$B:$H,7,0),0)</f>
        <v>0</v>
      </c>
      <c r="G2513" s="34" t="n">
        <f aca="false">SUMIFS('12.326ana'!$C:$C,'12.326ana'!$M:$M,redes!A2513)</f>
        <v>0</v>
      </c>
    </row>
    <row r="2514" customFormat="false" ht="14.4" hidden="true" customHeight="false" outlineLevel="0" collapsed="false">
      <c r="A2514" s="34" t="n">
        <v>40590232134</v>
      </c>
      <c r="B2514" s="34" t="s">
        <v>7470</v>
      </c>
      <c r="C2514" s="34" t="s">
        <v>77</v>
      </c>
      <c r="E2514" s="30" t="s">
        <v>7471</v>
      </c>
      <c r="F2514" s="34" t="n">
        <f aca="false">IFERROR(VLOOKUP($A2514,'319'!$B:$H,7,0),0)</f>
        <v>0</v>
      </c>
      <c r="G2514" s="34" t="n">
        <f aca="false">SUMIFS('12.326ana'!$C:$C,'12.326ana'!$M:$M,redes!A2514)</f>
        <v>0</v>
      </c>
    </row>
    <row r="2515" customFormat="false" ht="14.4" hidden="true" customHeight="false" outlineLevel="0" collapsed="false">
      <c r="A2515" s="34" t="n">
        <v>40625125053</v>
      </c>
      <c r="B2515" s="34" t="s">
        <v>7472</v>
      </c>
      <c r="C2515" s="34" t="s">
        <v>207</v>
      </c>
      <c r="E2515" s="30" t="s">
        <v>7473</v>
      </c>
      <c r="F2515" s="34" t="n">
        <f aca="false">IFERROR(VLOOKUP($A2515,'319'!$B:$H,7,0),0)</f>
        <v>0</v>
      </c>
      <c r="G2515" s="34" t="n">
        <f aca="false">SUMIFS('12.326ana'!$C:$C,'12.326ana'!$M:$M,redes!A2515)</f>
        <v>0</v>
      </c>
    </row>
    <row r="2516" customFormat="false" ht="14.4" hidden="true" customHeight="false" outlineLevel="0" collapsed="false">
      <c r="A2516" s="34" t="n">
        <v>40625338120</v>
      </c>
      <c r="B2516" s="34" t="s">
        <v>7474</v>
      </c>
      <c r="C2516" s="34" t="s">
        <v>342</v>
      </c>
      <c r="E2516" s="30" t="s">
        <v>7475</v>
      </c>
      <c r="F2516" s="34" t="n">
        <f aca="false">IFERROR(VLOOKUP($A2516,'319'!$B:$H,7,0),0)</f>
        <v>0</v>
      </c>
      <c r="G2516" s="34" t="n">
        <f aca="false">SUMIFS('12.326ana'!$C:$C,'12.326ana'!$M:$M,redes!A2516)</f>
        <v>0</v>
      </c>
    </row>
    <row r="2517" customFormat="false" ht="14.4" hidden="true" customHeight="false" outlineLevel="0" collapsed="false">
      <c r="A2517" s="34" t="n">
        <v>40636984168</v>
      </c>
      <c r="B2517" s="34" t="s">
        <v>7476</v>
      </c>
      <c r="C2517" s="34" t="s">
        <v>77</v>
      </c>
      <c r="E2517" s="30" t="s">
        <v>7477</v>
      </c>
      <c r="F2517" s="34" t="n">
        <f aca="false">IFERROR(VLOOKUP($A2517,'319'!$B:$H,7,0),0)</f>
        <v>0</v>
      </c>
      <c r="G2517" s="34" t="n">
        <f aca="false">SUMIFS('12.326ana'!$C:$C,'12.326ana'!$M:$M,redes!A2517)</f>
        <v>0</v>
      </c>
    </row>
    <row r="2518" customFormat="false" ht="14.4" hidden="true" customHeight="false" outlineLevel="0" collapsed="false">
      <c r="A2518" s="34" t="n">
        <v>40666360634</v>
      </c>
      <c r="B2518" s="34" t="s">
        <v>7478</v>
      </c>
      <c r="C2518" s="34" t="s">
        <v>478</v>
      </c>
      <c r="E2518" s="30" t="s">
        <v>7478</v>
      </c>
      <c r="F2518" s="34" t="n">
        <f aca="false">IFERROR(VLOOKUP($A2518,'319'!$B:$H,7,0),0)</f>
        <v>0</v>
      </c>
      <c r="G2518" s="34" t="n">
        <f aca="false">SUMIFS('12.326ana'!$C:$C,'12.326ana'!$M:$M,redes!A2518)</f>
        <v>0</v>
      </c>
    </row>
    <row r="2519" customFormat="false" ht="14.4" hidden="true" customHeight="false" outlineLevel="0" collapsed="false">
      <c r="A2519" s="34" t="n">
        <v>40675068134</v>
      </c>
      <c r="B2519" s="34" t="s">
        <v>7479</v>
      </c>
      <c r="C2519" s="34" t="s">
        <v>463</v>
      </c>
      <c r="E2519" s="30" t="s">
        <v>3765</v>
      </c>
      <c r="F2519" s="34" t="n">
        <f aca="false">IFERROR(VLOOKUP($A2519,'319'!$B:$H,7,0),0)</f>
        <v>0</v>
      </c>
      <c r="G2519" s="34" t="n">
        <f aca="false">SUMIFS('12.326ana'!$C:$C,'12.326ana'!$M:$M,redes!A2519)</f>
        <v>0</v>
      </c>
    </row>
    <row r="2520" customFormat="false" ht="14.4" hidden="true" customHeight="false" outlineLevel="0" collapsed="false">
      <c r="A2520" s="34" t="n">
        <v>40715221191</v>
      </c>
      <c r="B2520" s="34" t="s">
        <v>7480</v>
      </c>
      <c r="C2520" s="34" t="s">
        <v>77</v>
      </c>
      <c r="E2520" s="30" t="s">
        <v>7481</v>
      </c>
      <c r="F2520" s="34" t="n">
        <f aca="false">IFERROR(VLOOKUP($A2520,'319'!$B:$H,7,0),0)</f>
        <v>0</v>
      </c>
      <c r="G2520" s="34" t="n">
        <f aca="false">SUMIFS('12.326ana'!$C:$C,'12.326ana'!$M:$M,redes!A2520)</f>
        <v>0</v>
      </c>
    </row>
    <row r="2521" customFormat="false" ht="14.4" hidden="true" customHeight="false" outlineLevel="0" collapsed="false">
      <c r="A2521" s="34" t="n">
        <v>40715299115</v>
      </c>
      <c r="B2521" s="34" t="s">
        <v>7482</v>
      </c>
      <c r="C2521" s="34" t="s">
        <v>103</v>
      </c>
      <c r="E2521" s="30" t="s">
        <v>7483</v>
      </c>
      <c r="F2521" s="34" t="n">
        <f aca="false">IFERROR(VLOOKUP($A2521,'319'!$B:$H,7,0),0)</f>
        <v>0</v>
      </c>
      <c r="G2521" s="34" t="n">
        <f aca="false">SUMIFS('12.326ana'!$C:$C,'12.326ana'!$M:$M,redes!A2521)</f>
        <v>0</v>
      </c>
    </row>
    <row r="2522" customFormat="false" ht="14.4" hidden="true" customHeight="false" outlineLevel="0" collapsed="false">
      <c r="A2522" s="34" t="n">
        <v>40723178100</v>
      </c>
      <c r="B2522" s="34" t="s">
        <v>7484</v>
      </c>
      <c r="C2522" s="34" t="s">
        <v>103</v>
      </c>
      <c r="E2522" s="30" t="s">
        <v>7485</v>
      </c>
      <c r="F2522" s="34" t="n">
        <f aca="false">IFERROR(VLOOKUP($A2522,'319'!$B:$H,7,0),0)</f>
        <v>0</v>
      </c>
      <c r="G2522" s="34" t="n">
        <f aca="false">SUMIFS('12.326ana'!$C:$C,'12.326ana'!$M:$M,redes!A2522)</f>
        <v>0</v>
      </c>
    </row>
    <row r="2523" customFormat="false" ht="14.4" hidden="true" customHeight="false" outlineLevel="0" collapsed="false">
      <c r="A2523" s="34" t="n">
        <v>40733530125</v>
      </c>
      <c r="B2523" s="34" t="s">
        <v>7486</v>
      </c>
      <c r="C2523" s="34" t="s">
        <v>706</v>
      </c>
      <c r="E2523" s="30" t="s">
        <v>7487</v>
      </c>
      <c r="F2523" s="34" t="n">
        <f aca="false">IFERROR(VLOOKUP($A2523,'319'!$B:$H,7,0),0)</f>
        <v>0</v>
      </c>
      <c r="G2523" s="34" t="n">
        <f aca="false">SUMIFS('12.326ana'!$C:$C,'12.326ana'!$M:$M,redes!A2523)</f>
        <v>0</v>
      </c>
    </row>
    <row r="2524" customFormat="false" ht="14.4" hidden="true" customHeight="false" outlineLevel="0" collapsed="false">
      <c r="A2524" s="34" t="n">
        <v>40742016153</v>
      </c>
      <c r="B2524" s="34" t="s">
        <v>7488</v>
      </c>
      <c r="C2524" s="34" t="s">
        <v>103</v>
      </c>
      <c r="E2524" s="30" t="s">
        <v>7489</v>
      </c>
      <c r="F2524" s="34" t="n">
        <f aca="false">IFERROR(VLOOKUP($A2524,'319'!$B:$H,7,0),0)</f>
        <v>0</v>
      </c>
      <c r="G2524" s="34" t="n">
        <f aca="false">SUMIFS('12.326ana'!$C:$C,'12.326ana'!$M:$M,redes!A2524)</f>
        <v>0</v>
      </c>
    </row>
    <row r="2525" customFormat="false" ht="14.4" hidden="true" customHeight="false" outlineLevel="0" collapsed="false">
      <c r="A2525" s="34" t="n">
        <v>40751457191</v>
      </c>
      <c r="B2525" s="34" t="s">
        <v>7490</v>
      </c>
      <c r="C2525" s="34" t="s">
        <v>103</v>
      </c>
      <c r="E2525" s="30" t="s">
        <v>7491</v>
      </c>
      <c r="F2525" s="34" t="n">
        <f aca="false">IFERROR(VLOOKUP($A2525,'319'!$B:$H,7,0),0)</f>
        <v>0</v>
      </c>
      <c r="G2525" s="34" t="n">
        <f aca="false">SUMIFS('12.326ana'!$C:$C,'12.326ana'!$M:$M,redes!A2525)</f>
        <v>0</v>
      </c>
    </row>
    <row r="2526" customFormat="false" ht="14.4" hidden="true" customHeight="false" outlineLevel="0" collapsed="false">
      <c r="A2526" s="34" t="n">
        <v>40764044168</v>
      </c>
      <c r="B2526" s="34" t="s">
        <v>7492</v>
      </c>
      <c r="C2526" s="34" t="s">
        <v>107</v>
      </c>
      <c r="E2526" s="30" t="s">
        <v>7493</v>
      </c>
      <c r="F2526" s="34" t="n">
        <f aca="false">IFERROR(VLOOKUP($A2526,'319'!$B:$H,7,0),0)</f>
        <v>0</v>
      </c>
      <c r="G2526" s="34" t="n">
        <f aca="false">SUMIFS('12.326ana'!$C:$C,'12.326ana'!$M:$M,redes!A2526)</f>
        <v>0</v>
      </c>
    </row>
    <row r="2527" customFormat="false" ht="14.4" hidden="true" customHeight="false" outlineLevel="0" collapsed="false">
      <c r="A2527" s="34" t="n">
        <v>40768171172</v>
      </c>
      <c r="B2527" s="34" t="s">
        <v>7494</v>
      </c>
      <c r="C2527" s="34" t="s">
        <v>77</v>
      </c>
      <c r="E2527" s="30" t="s">
        <v>7495</v>
      </c>
      <c r="F2527" s="34" t="n">
        <f aca="false">IFERROR(VLOOKUP($A2527,'319'!$B:$H,7,0),0)</f>
        <v>0</v>
      </c>
      <c r="G2527" s="34" t="n">
        <f aca="false">SUMIFS('12.326ana'!$C:$C,'12.326ana'!$M:$M,redes!A2527)</f>
        <v>0</v>
      </c>
    </row>
    <row r="2528" customFormat="false" ht="14.4" hidden="true" customHeight="false" outlineLevel="0" collapsed="false">
      <c r="A2528" s="34" t="n">
        <v>40770362168</v>
      </c>
      <c r="B2528" s="34" t="s">
        <v>7496</v>
      </c>
      <c r="C2528" s="34" t="s">
        <v>77</v>
      </c>
      <c r="E2528" s="30" t="s">
        <v>7496</v>
      </c>
      <c r="F2528" s="34" t="n">
        <f aca="false">IFERROR(VLOOKUP($A2528,'319'!$B:$H,7,0),0)</f>
        <v>0</v>
      </c>
      <c r="G2528" s="34" t="n">
        <f aca="false">SUMIFS('12.326ana'!$C:$C,'12.326ana'!$M:$M,redes!A2528)</f>
        <v>0</v>
      </c>
    </row>
    <row r="2529" customFormat="false" ht="14.4" hidden="true" customHeight="false" outlineLevel="0" collapsed="false">
      <c r="A2529" s="34" t="n">
        <v>40771350104</v>
      </c>
      <c r="B2529" s="34" t="s">
        <v>7497</v>
      </c>
      <c r="C2529" s="34" t="s">
        <v>706</v>
      </c>
      <c r="E2529" s="30" t="s">
        <v>7498</v>
      </c>
      <c r="F2529" s="34" t="n">
        <f aca="false">IFERROR(VLOOKUP($A2529,'319'!$B:$H,7,0),0)</f>
        <v>0</v>
      </c>
      <c r="G2529" s="34" t="n">
        <f aca="false">SUMIFS('12.326ana'!$C:$C,'12.326ana'!$M:$M,redes!A2529)</f>
        <v>0</v>
      </c>
    </row>
    <row r="2530" customFormat="false" ht="14.4" hidden="true" customHeight="false" outlineLevel="0" collapsed="false">
      <c r="A2530" s="34" t="n">
        <v>40771385153</v>
      </c>
      <c r="B2530" s="34" t="s">
        <v>7499</v>
      </c>
      <c r="C2530" s="34" t="s">
        <v>103</v>
      </c>
      <c r="E2530" s="30" t="s">
        <v>7500</v>
      </c>
      <c r="F2530" s="34" t="n">
        <f aca="false">IFERROR(VLOOKUP($A2530,'319'!$B:$H,7,0),0)</f>
        <v>0</v>
      </c>
      <c r="G2530" s="34" t="n">
        <f aca="false">SUMIFS('12.326ana'!$C:$C,'12.326ana'!$M:$M,redes!A2530)</f>
        <v>0</v>
      </c>
    </row>
    <row r="2531" customFormat="false" ht="14.4" hidden="true" customHeight="false" outlineLevel="0" collapsed="false">
      <c r="A2531" s="34" t="n">
        <v>40771850100</v>
      </c>
      <c r="B2531" s="34" t="s">
        <v>6816</v>
      </c>
      <c r="C2531" s="34" t="s">
        <v>706</v>
      </c>
      <c r="E2531" s="30" t="s">
        <v>6817</v>
      </c>
      <c r="F2531" s="34" t="n">
        <f aca="false">IFERROR(VLOOKUP($A2531,'319'!$B:$H,7,0),0)</f>
        <v>0</v>
      </c>
      <c r="G2531" s="34" t="n">
        <f aca="false">SUMIFS('12.326ana'!$C:$C,'12.326ana'!$M:$M,redes!A2531)</f>
        <v>0</v>
      </c>
    </row>
    <row r="2532" customFormat="false" ht="14.4" hidden="true" customHeight="false" outlineLevel="0" collapsed="false">
      <c r="A2532" s="34" t="n">
        <v>40787761168</v>
      </c>
      <c r="B2532" s="34" t="s">
        <v>7501</v>
      </c>
      <c r="C2532" s="34" t="s">
        <v>103</v>
      </c>
      <c r="E2532" s="30" t="s">
        <v>7502</v>
      </c>
      <c r="F2532" s="34" t="n">
        <f aca="false">IFERROR(VLOOKUP($A2532,'319'!$B:$H,7,0),0)</f>
        <v>0</v>
      </c>
      <c r="G2532" s="34" t="n">
        <f aca="false">SUMIFS('12.326ana'!$C:$C,'12.326ana'!$M:$M,redes!A2532)</f>
        <v>0</v>
      </c>
    </row>
    <row r="2533" customFormat="false" ht="14.4" hidden="true" customHeight="false" outlineLevel="0" collapsed="false">
      <c r="A2533" s="34" t="n">
        <v>40795470134</v>
      </c>
      <c r="B2533" s="34" t="s">
        <v>7503</v>
      </c>
      <c r="C2533" s="34" t="s">
        <v>77</v>
      </c>
      <c r="E2533" s="30" t="s">
        <v>7504</v>
      </c>
      <c r="F2533" s="34" t="n">
        <f aca="false">IFERROR(VLOOKUP($A2533,'319'!$B:$H,7,0),0)</f>
        <v>0</v>
      </c>
      <c r="G2533" s="34" t="n">
        <f aca="false">SUMIFS('12.326ana'!$C:$C,'12.326ana'!$M:$M,redes!A2533)</f>
        <v>0</v>
      </c>
    </row>
    <row r="2534" customFormat="false" ht="14.4" hidden="true" customHeight="false" outlineLevel="0" collapsed="false">
      <c r="A2534" s="34" t="n">
        <v>40797775153</v>
      </c>
      <c r="B2534" s="34" t="s">
        <v>7505</v>
      </c>
      <c r="C2534" s="34" t="s">
        <v>103</v>
      </c>
      <c r="E2534" s="30" t="s">
        <v>7506</v>
      </c>
      <c r="F2534" s="34" t="n">
        <f aca="false">IFERROR(VLOOKUP($A2534,'319'!$B:$H,7,0),0)</f>
        <v>0</v>
      </c>
      <c r="G2534" s="34" t="n">
        <f aca="false">SUMIFS('12.326ana'!$C:$C,'12.326ana'!$M:$M,redes!A2534)</f>
        <v>0</v>
      </c>
    </row>
    <row r="2535" customFormat="false" ht="14.4" hidden="true" customHeight="false" outlineLevel="0" collapsed="false">
      <c r="A2535" s="34" t="n">
        <v>40797880100</v>
      </c>
      <c r="B2535" s="34" t="s">
        <v>7507</v>
      </c>
      <c r="C2535" s="34" t="s">
        <v>994</v>
      </c>
      <c r="E2535" s="30" t="s">
        <v>7508</v>
      </c>
      <c r="F2535" s="34" t="n">
        <f aca="false">IFERROR(VLOOKUP($A2535,'319'!$B:$H,7,0),0)</f>
        <v>0</v>
      </c>
      <c r="G2535" s="34" t="n">
        <f aca="false">SUMIFS('12.326ana'!$C:$C,'12.326ana'!$M:$M,redes!A2535)</f>
        <v>0</v>
      </c>
    </row>
    <row r="2536" customFormat="false" ht="14.4" hidden="true" customHeight="false" outlineLevel="0" collapsed="false">
      <c r="A2536" s="34" t="n">
        <v>40805271104</v>
      </c>
      <c r="B2536" s="34" t="s">
        <v>7509</v>
      </c>
      <c r="C2536" s="34" t="s">
        <v>994</v>
      </c>
      <c r="E2536" s="30" t="s">
        <v>7510</v>
      </c>
      <c r="F2536" s="34" t="n">
        <f aca="false">IFERROR(VLOOKUP($A2536,'319'!$B:$H,7,0),0)</f>
        <v>0</v>
      </c>
      <c r="G2536" s="34" t="n">
        <f aca="false">SUMIFS('12.326ana'!$C:$C,'12.326ana'!$M:$M,redes!A2536)</f>
        <v>0</v>
      </c>
    </row>
    <row r="2537" customFormat="false" ht="14.4" hidden="true" customHeight="false" outlineLevel="0" collapsed="false">
      <c r="A2537" s="34" t="n">
        <v>40805379134</v>
      </c>
      <c r="B2537" s="34" t="s">
        <v>7511</v>
      </c>
      <c r="C2537" s="34" t="s">
        <v>77</v>
      </c>
      <c r="E2537" s="30" t="s">
        <v>7512</v>
      </c>
      <c r="F2537" s="34" t="n">
        <f aca="false">IFERROR(VLOOKUP($A2537,'319'!$B:$H,7,0),0)</f>
        <v>0</v>
      </c>
      <c r="G2537" s="34" t="n">
        <f aca="false">SUMIFS('12.326ana'!$C:$C,'12.326ana'!$M:$M,redes!A2537)</f>
        <v>0</v>
      </c>
    </row>
    <row r="2538" customFormat="false" ht="14.4" hidden="true" customHeight="false" outlineLevel="0" collapsed="false">
      <c r="A2538" s="34" t="n">
        <v>40811670104</v>
      </c>
      <c r="B2538" s="34" t="s">
        <v>7513</v>
      </c>
      <c r="C2538" s="34" t="s">
        <v>77</v>
      </c>
      <c r="E2538" s="30" t="s">
        <v>4741</v>
      </c>
      <c r="F2538" s="34" t="n">
        <f aca="false">IFERROR(VLOOKUP($A2538,'319'!$B:$H,7,0),0)</f>
        <v>0</v>
      </c>
      <c r="G2538" s="34" t="n">
        <f aca="false">SUMIFS('12.326ana'!$C:$C,'12.326ana'!$M:$M,redes!A2538)</f>
        <v>0</v>
      </c>
    </row>
    <row r="2539" customFormat="false" ht="14.4" hidden="true" customHeight="false" outlineLevel="0" collapsed="false">
      <c r="A2539" s="34" t="n">
        <v>40811999149</v>
      </c>
      <c r="B2539" s="34" t="s">
        <v>7514</v>
      </c>
      <c r="C2539" s="34" t="s">
        <v>77</v>
      </c>
      <c r="E2539" s="30" t="s">
        <v>7515</v>
      </c>
      <c r="F2539" s="34" t="n">
        <f aca="false">IFERROR(VLOOKUP($A2539,'319'!$B:$H,7,0),0)</f>
        <v>0</v>
      </c>
      <c r="G2539" s="34" t="n">
        <f aca="false">SUMIFS('12.326ana'!$C:$C,'12.326ana'!$M:$M,redes!A2539)</f>
        <v>0</v>
      </c>
    </row>
    <row r="2540" customFormat="false" ht="14.4" hidden="true" customHeight="false" outlineLevel="0" collapsed="false">
      <c r="A2540" s="34" t="n">
        <v>40831086220</v>
      </c>
      <c r="B2540" s="34" t="s">
        <v>7516</v>
      </c>
      <c r="C2540" s="34" t="s">
        <v>107</v>
      </c>
      <c r="E2540" s="30" t="s">
        <v>7517</v>
      </c>
      <c r="F2540" s="34" t="n">
        <f aca="false">IFERROR(VLOOKUP($A2540,'319'!$B:$H,7,0),0)</f>
        <v>0</v>
      </c>
      <c r="G2540" s="34" t="n">
        <f aca="false">SUMIFS('12.326ana'!$C:$C,'12.326ana'!$M:$M,redes!A2540)</f>
        <v>0</v>
      </c>
    </row>
    <row r="2541" customFormat="false" ht="14.4" hidden="true" customHeight="false" outlineLevel="0" collapsed="false">
      <c r="A2541" s="34" t="n">
        <v>40835030253</v>
      </c>
      <c r="B2541" s="34" t="s">
        <v>7518</v>
      </c>
      <c r="C2541" s="34" t="s">
        <v>77</v>
      </c>
      <c r="E2541" s="30" t="s">
        <v>7519</v>
      </c>
      <c r="F2541" s="34" t="n">
        <f aca="false">IFERROR(VLOOKUP($A2541,'319'!$B:$H,7,0),0)</f>
        <v>0</v>
      </c>
      <c r="G2541" s="34" t="n">
        <f aca="false">SUMIFS('12.326ana'!$C:$C,'12.326ana'!$M:$M,redes!A2541)</f>
        <v>0</v>
      </c>
    </row>
    <row r="2542" customFormat="false" ht="14.4" hidden="true" customHeight="false" outlineLevel="0" collapsed="false">
      <c r="A2542" s="34" t="n">
        <v>40849651115</v>
      </c>
      <c r="B2542" s="34" t="s">
        <v>7520</v>
      </c>
      <c r="C2542" s="34" t="s">
        <v>77</v>
      </c>
      <c r="E2542" s="30" t="s">
        <v>7521</v>
      </c>
      <c r="F2542" s="34" t="n">
        <f aca="false">IFERROR(VLOOKUP($A2542,'319'!$B:$H,7,0),0)</f>
        <v>0</v>
      </c>
      <c r="G2542" s="34" t="n">
        <f aca="false">SUMIFS('12.326ana'!$C:$C,'12.326ana'!$M:$M,redes!A2542)</f>
        <v>0</v>
      </c>
    </row>
    <row r="2543" customFormat="false" ht="14.4" hidden="true" customHeight="false" outlineLevel="0" collapsed="false">
      <c r="A2543" s="34" t="n">
        <v>40869113100</v>
      </c>
      <c r="B2543" s="34" t="s">
        <v>7522</v>
      </c>
      <c r="C2543" s="34" t="s">
        <v>77</v>
      </c>
      <c r="E2543" s="30" t="s">
        <v>7523</v>
      </c>
      <c r="F2543" s="34" t="n">
        <f aca="false">IFERROR(VLOOKUP($A2543,'319'!$B:$H,7,0),0)</f>
        <v>0</v>
      </c>
      <c r="G2543" s="34" t="n">
        <f aca="false">SUMIFS('12.326ana'!$C:$C,'12.326ana'!$M:$M,redes!A2543)</f>
        <v>0</v>
      </c>
    </row>
    <row r="2544" customFormat="false" ht="14.4" hidden="true" customHeight="false" outlineLevel="0" collapsed="false">
      <c r="A2544" s="34" t="n">
        <v>40872025187</v>
      </c>
      <c r="B2544" s="34" t="s">
        <v>6890</v>
      </c>
      <c r="C2544" s="34" t="s">
        <v>342</v>
      </c>
      <c r="E2544" s="30" t="s">
        <v>6276</v>
      </c>
      <c r="F2544" s="34" t="n">
        <f aca="false">IFERROR(VLOOKUP($A2544,'319'!$B:$H,7,0),0)</f>
        <v>0</v>
      </c>
      <c r="G2544" s="34" t="n">
        <f aca="false">SUMIFS('12.326ana'!$C:$C,'12.326ana'!$M:$M,redes!A2544)</f>
        <v>0</v>
      </c>
    </row>
    <row r="2545" customFormat="false" ht="14.4" hidden="true" customHeight="false" outlineLevel="0" collapsed="false">
      <c r="A2545" s="34" t="n">
        <v>40889920834</v>
      </c>
      <c r="B2545" s="34" t="s">
        <v>7524</v>
      </c>
      <c r="C2545" s="34" t="s">
        <v>77</v>
      </c>
      <c r="E2545" s="30" t="s">
        <v>7525</v>
      </c>
      <c r="F2545" s="34" t="n">
        <f aca="false">IFERROR(VLOOKUP($A2545,'319'!$B:$H,7,0),0)</f>
        <v>0</v>
      </c>
      <c r="G2545" s="34" t="n">
        <f aca="false">SUMIFS('12.326ana'!$C:$C,'12.326ana'!$M:$M,redes!A2545)</f>
        <v>0</v>
      </c>
    </row>
    <row r="2546" customFormat="false" ht="14.4" hidden="true" customHeight="false" outlineLevel="0" collapsed="false">
      <c r="A2546" s="34" t="n">
        <v>40911500120</v>
      </c>
      <c r="B2546" s="34" t="s">
        <v>7526</v>
      </c>
      <c r="C2546" s="34" t="s">
        <v>139</v>
      </c>
      <c r="E2546" s="30" t="s">
        <v>7527</v>
      </c>
      <c r="F2546" s="34" t="n">
        <f aca="false">IFERROR(VLOOKUP($A2546,'319'!$B:$H,7,0),0)</f>
        <v>0</v>
      </c>
      <c r="G2546" s="34" t="n">
        <f aca="false">SUMIFS('12.326ana'!$C:$C,'12.326ana'!$M:$M,redes!A2546)</f>
        <v>0</v>
      </c>
    </row>
    <row r="2547" customFormat="false" ht="14.4" hidden="true" customHeight="false" outlineLevel="0" collapsed="false">
      <c r="A2547" s="34" t="n">
        <v>41094352004</v>
      </c>
      <c r="B2547" s="34" t="s">
        <v>7528</v>
      </c>
      <c r="C2547" s="34" t="s">
        <v>77</v>
      </c>
      <c r="E2547" s="30" t="s">
        <v>3293</v>
      </c>
      <c r="F2547" s="34" t="n">
        <f aca="false">IFERROR(VLOOKUP($A2547,'319'!$B:$H,7,0),0)</f>
        <v>0</v>
      </c>
      <c r="G2547" s="34" t="n">
        <f aca="false">SUMIFS('12.326ana'!$C:$C,'12.326ana'!$M:$M,redes!A2547)</f>
        <v>0</v>
      </c>
    </row>
    <row r="2548" customFormat="false" ht="14.4" hidden="true" customHeight="false" outlineLevel="0" collapsed="false">
      <c r="A2548" s="34" t="n">
        <v>41251008020</v>
      </c>
      <c r="B2548" s="34" t="s">
        <v>7529</v>
      </c>
      <c r="C2548" s="34" t="s">
        <v>594</v>
      </c>
      <c r="E2548" s="30" t="s">
        <v>7530</v>
      </c>
      <c r="F2548" s="34" t="n">
        <f aca="false">IFERROR(VLOOKUP($A2548,'319'!$B:$H,7,0),0)</f>
        <v>0</v>
      </c>
      <c r="G2548" s="34" t="n">
        <f aca="false">SUMIFS('12.326ana'!$C:$C,'12.326ana'!$M:$M,redes!A2548)</f>
        <v>0</v>
      </c>
    </row>
    <row r="2549" customFormat="false" ht="14.4" hidden="true" customHeight="false" outlineLevel="0" collapsed="false">
      <c r="A2549" s="34" t="n">
        <v>41270533991</v>
      </c>
      <c r="B2549" s="34" t="s">
        <v>7531</v>
      </c>
      <c r="C2549" s="34" t="s">
        <v>77</v>
      </c>
      <c r="E2549" s="30"/>
      <c r="F2549" s="34" t="n">
        <f aca="false">IFERROR(VLOOKUP($A2549,'319'!$B:$H,7,0),0)</f>
        <v>0</v>
      </c>
      <c r="G2549" s="34" t="n">
        <f aca="false">SUMIFS('12.326ana'!$C:$C,'12.326ana'!$M:$M,redes!A2549)</f>
        <v>0</v>
      </c>
    </row>
    <row r="2550" customFormat="false" ht="14.4" hidden="true" customHeight="false" outlineLevel="0" collapsed="false">
      <c r="A2550" s="34" t="n">
        <v>41424042968</v>
      </c>
      <c r="B2550" s="34" t="s">
        <v>7532</v>
      </c>
      <c r="C2550" s="34" t="s">
        <v>77</v>
      </c>
      <c r="E2550" s="30" t="s">
        <v>3112</v>
      </c>
      <c r="F2550" s="34" t="n">
        <f aca="false">IFERROR(VLOOKUP($A2550,'319'!$B:$H,7,0),0)</f>
        <v>0</v>
      </c>
      <c r="G2550" s="34" t="n">
        <f aca="false">SUMIFS('12.326ana'!$C:$C,'12.326ana'!$M:$M,redes!A2550)</f>
        <v>0</v>
      </c>
    </row>
    <row r="2551" customFormat="false" ht="14.4" hidden="true" customHeight="false" outlineLevel="0" collapsed="false">
      <c r="A2551" s="34" t="n">
        <v>41425529968</v>
      </c>
      <c r="B2551" s="34" t="s">
        <v>7533</v>
      </c>
      <c r="C2551" s="34" t="s">
        <v>631</v>
      </c>
      <c r="E2551" s="30" t="s">
        <v>7534</v>
      </c>
      <c r="F2551" s="34" t="n">
        <f aca="false">IFERROR(VLOOKUP($A2551,'319'!$B:$H,7,0),0)</f>
        <v>0</v>
      </c>
      <c r="G2551" s="34" t="n">
        <f aca="false">SUMIFS('12.326ana'!$C:$C,'12.326ana'!$M:$M,redes!A2551)</f>
        <v>0</v>
      </c>
    </row>
    <row r="2552" customFormat="false" ht="14.4" hidden="true" customHeight="false" outlineLevel="0" collapsed="false">
      <c r="A2552" s="34" t="n">
        <v>41559779829</v>
      </c>
      <c r="B2552" s="34" t="s">
        <v>7535</v>
      </c>
      <c r="C2552" s="34" t="s">
        <v>89</v>
      </c>
      <c r="E2552" s="30" t="s">
        <v>7536</v>
      </c>
      <c r="F2552" s="34" t="n">
        <f aca="false">IFERROR(VLOOKUP($A2552,'319'!$B:$H,7,0),0)</f>
        <v>0</v>
      </c>
      <c r="G2552" s="34" t="n">
        <f aca="false">SUMIFS('12.326ana'!$C:$C,'12.326ana'!$M:$M,redes!A2552)</f>
        <v>0</v>
      </c>
    </row>
    <row r="2553" customFormat="false" ht="14.4" hidden="true" customHeight="false" outlineLevel="0" collapsed="false">
      <c r="A2553" s="34" t="n">
        <v>41564812120</v>
      </c>
      <c r="B2553" s="34" t="s">
        <v>7537</v>
      </c>
      <c r="C2553" s="34" t="s">
        <v>77</v>
      </c>
      <c r="E2553" s="30" t="s">
        <v>7538</v>
      </c>
      <c r="F2553" s="34" t="n">
        <f aca="false">IFERROR(VLOOKUP($A2553,'319'!$B:$H,7,0),0)</f>
        <v>0</v>
      </c>
      <c r="G2553" s="34" t="n">
        <f aca="false">SUMIFS('12.326ana'!$C:$C,'12.326ana'!$M:$M,redes!A2553)</f>
        <v>0</v>
      </c>
    </row>
    <row r="2554" customFormat="false" ht="14.4" hidden="true" customHeight="false" outlineLevel="0" collapsed="false">
      <c r="A2554" s="34" t="n">
        <v>41771235870</v>
      </c>
      <c r="B2554" s="34" t="s">
        <v>7539</v>
      </c>
      <c r="C2554" s="34" t="s">
        <v>77</v>
      </c>
      <c r="E2554" s="30" t="s">
        <v>7539</v>
      </c>
      <c r="F2554" s="34" t="n">
        <f aca="false">IFERROR(VLOOKUP($A2554,'319'!$B:$H,7,0),0)</f>
        <v>0</v>
      </c>
      <c r="G2554" s="34" t="n">
        <f aca="false">SUMIFS('12.326ana'!$C:$C,'12.326ana'!$M:$M,redes!A2554)</f>
        <v>0</v>
      </c>
    </row>
    <row r="2555" customFormat="false" ht="14.4" hidden="true" customHeight="false" outlineLevel="0" collapsed="false">
      <c r="A2555" s="34" t="n">
        <v>41837169004</v>
      </c>
      <c r="B2555" s="34" t="s">
        <v>7540</v>
      </c>
      <c r="C2555" s="34" t="s">
        <v>377</v>
      </c>
      <c r="E2555" s="30" t="s">
        <v>7541</v>
      </c>
      <c r="F2555" s="34" t="n">
        <f aca="false">IFERROR(VLOOKUP($A2555,'319'!$B:$H,7,0),0)</f>
        <v>0</v>
      </c>
      <c r="G2555" s="34" t="n">
        <f aca="false">SUMIFS('12.326ana'!$C:$C,'12.326ana'!$M:$M,redes!A2555)</f>
        <v>0</v>
      </c>
    </row>
    <row r="2556" customFormat="false" ht="14.4" hidden="true" customHeight="false" outlineLevel="0" collapsed="false">
      <c r="A2556" s="34" t="n">
        <v>41885775253</v>
      </c>
      <c r="B2556" s="34" t="s">
        <v>7542</v>
      </c>
      <c r="C2556" s="34" t="s">
        <v>77</v>
      </c>
      <c r="E2556" s="30" t="s">
        <v>3038</v>
      </c>
      <c r="F2556" s="34" t="n">
        <f aca="false">IFERROR(VLOOKUP($A2556,'319'!$B:$H,7,0),0)</f>
        <v>0</v>
      </c>
      <c r="G2556" s="34" t="n">
        <f aca="false">SUMIFS('12.326ana'!$C:$C,'12.326ana'!$M:$M,redes!A2556)</f>
        <v>0</v>
      </c>
    </row>
    <row r="2557" customFormat="false" ht="14.4" hidden="true" customHeight="false" outlineLevel="0" collapsed="false">
      <c r="A2557" s="34" t="n">
        <v>41918282234</v>
      </c>
      <c r="B2557" s="34" t="s">
        <v>7543</v>
      </c>
      <c r="C2557" s="34" t="s">
        <v>77</v>
      </c>
      <c r="E2557" s="30"/>
      <c r="F2557" s="34" t="n">
        <f aca="false">IFERROR(VLOOKUP($A2557,'319'!$B:$H,7,0),0)</f>
        <v>0</v>
      </c>
      <c r="G2557" s="34" t="n">
        <f aca="false">SUMIFS('12.326ana'!$C:$C,'12.326ana'!$M:$M,redes!A2557)</f>
        <v>0</v>
      </c>
    </row>
    <row r="2558" customFormat="false" ht="14.4" hidden="true" customHeight="false" outlineLevel="0" collapsed="false">
      <c r="A2558" s="34" t="n">
        <v>41946324272</v>
      </c>
      <c r="B2558" s="34" t="s">
        <v>7544</v>
      </c>
      <c r="C2558" s="34" t="s">
        <v>77</v>
      </c>
      <c r="E2558" s="30" t="s">
        <v>7545</v>
      </c>
      <c r="F2558" s="34" t="n">
        <f aca="false">IFERROR(VLOOKUP($A2558,'319'!$B:$H,7,0),0)</f>
        <v>0</v>
      </c>
      <c r="G2558" s="34" t="n">
        <f aca="false">SUMIFS('12.326ana'!$C:$C,'12.326ana'!$M:$M,redes!A2558)</f>
        <v>0</v>
      </c>
    </row>
    <row r="2559" customFormat="false" ht="14.4" hidden="true" customHeight="false" outlineLevel="0" collapsed="false">
      <c r="A2559" s="34" t="n">
        <v>41967569134</v>
      </c>
      <c r="B2559" s="34" t="s">
        <v>7546</v>
      </c>
      <c r="C2559" s="34" t="s">
        <v>107</v>
      </c>
      <c r="E2559" s="30" t="s">
        <v>7547</v>
      </c>
      <c r="F2559" s="34" t="n">
        <f aca="false">IFERROR(VLOOKUP($A2559,'319'!$B:$H,7,0),0)</f>
        <v>0</v>
      </c>
      <c r="G2559" s="34" t="n">
        <f aca="false">SUMIFS('12.326ana'!$C:$C,'12.326ana'!$M:$M,redes!A2559)</f>
        <v>0</v>
      </c>
    </row>
    <row r="2560" customFormat="false" ht="14.4" hidden="true" customHeight="false" outlineLevel="0" collapsed="false">
      <c r="A2560" s="34" t="n">
        <v>42033373215</v>
      </c>
      <c r="B2560" s="34" t="s">
        <v>7548</v>
      </c>
      <c r="C2560" s="34" t="s">
        <v>77</v>
      </c>
      <c r="E2560" s="30" t="s">
        <v>7549</v>
      </c>
      <c r="F2560" s="34" t="n">
        <f aca="false">IFERROR(VLOOKUP($A2560,'319'!$B:$H,7,0),0)</f>
        <v>0</v>
      </c>
      <c r="G2560" s="34" t="n">
        <f aca="false">SUMIFS('12.326ana'!$C:$C,'12.326ana'!$M:$M,redes!A2560)</f>
        <v>0</v>
      </c>
    </row>
    <row r="2561" customFormat="false" ht="14.4" hidden="true" customHeight="false" outlineLevel="0" collapsed="false">
      <c r="A2561" s="34" t="n">
        <v>42036933149</v>
      </c>
      <c r="B2561" s="34" t="s">
        <v>7550</v>
      </c>
      <c r="C2561" s="34" t="s">
        <v>77</v>
      </c>
      <c r="E2561" s="30" t="s">
        <v>7550</v>
      </c>
      <c r="F2561" s="34" t="n">
        <f aca="false">IFERROR(VLOOKUP($A2561,'319'!$B:$H,7,0),0)</f>
        <v>0</v>
      </c>
      <c r="G2561" s="34" t="n">
        <f aca="false">SUMIFS('12.326ana'!$C:$C,'12.326ana'!$M:$M,redes!A2561)</f>
        <v>0</v>
      </c>
    </row>
    <row r="2562" customFormat="false" ht="14.4" hidden="true" customHeight="false" outlineLevel="0" collapsed="false">
      <c r="A2562" s="34" t="n">
        <v>42068614120</v>
      </c>
      <c r="B2562" s="34" t="s">
        <v>7551</v>
      </c>
      <c r="C2562" s="34" t="s">
        <v>117</v>
      </c>
      <c r="E2562" s="30" t="s">
        <v>7552</v>
      </c>
      <c r="F2562" s="34" t="n">
        <f aca="false">IFERROR(VLOOKUP($A2562,'319'!$B:$H,7,0),0)</f>
        <v>0</v>
      </c>
      <c r="G2562" s="34" t="n">
        <f aca="false">SUMIFS('12.326ana'!$C:$C,'12.326ana'!$M:$M,redes!A2562)</f>
        <v>0</v>
      </c>
    </row>
    <row r="2563" customFormat="false" ht="14.4" hidden="true" customHeight="false" outlineLevel="0" collapsed="false">
      <c r="A2563" s="34" t="n">
        <v>42070031187</v>
      </c>
      <c r="B2563" s="34" t="s">
        <v>7553</v>
      </c>
      <c r="C2563" s="34" t="s">
        <v>77</v>
      </c>
      <c r="E2563" s="30" t="s">
        <v>7554</v>
      </c>
      <c r="F2563" s="34" t="n">
        <f aca="false">IFERROR(VLOOKUP($A2563,'319'!$B:$H,7,0),0)</f>
        <v>0</v>
      </c>
      <c r="G2563" s="34" t="n">
        <f aca="false">SUMIFS('12.326ana'!$C:$C,'12.326ana'!$M:$M,redes!A2563)</f>
        <v>0</v>
      </c>
    </row>
    <row r="2564" customFormat="false" ht="14.4" hidden="true" customHeight="false" outlineLevel="0" collapsed="false">
      <c r="A2564" s="34" t="n">
        <v>42070228134</v>
      </c>
      <c r="B2564" s="34" t="s">
        <v>7555</v>
      </c>
      <c r="C2564" s="34" t="s">
        <v>77</v>
      </c>
      <c r="E2564" s="30" t="s">
        <v>7556</v>
      </c>
      <c r="F2564" s="34" t="n">
        <f aca="false">IFERROR(VLOOKUP($A2564,'319'!$B:$H,7,0),0)</f>
        <v>0</v>
      </c>
      <c r="G2564" s="34" t="n">
        <f aca="false">SUMIFS('12.326ana'!$C:$C,'12.326ana'!$M:$M,redes!A2564)</f>
        <v>0</v>
      </c>
    </row>
    <row r="2565" customFormat="false" ht="14.4" hidden="true" customHeight="false" outlineLevel="0" collapsed="false">
      <c r="A2565" s="34" t="n">
        <v>42076463100</v>
      </c>
      <c r="B2565" s="34" t="s">
        <v>7557</v>
      </c>
      <c r="C2565" s="34" t="s">
        <v>764</v>
      </c>
      <c r="E2565" s="30" t="s">
        <v>7558</v>
      </c>
      <c r="F2565" s="34" t="n">
        <f aca="false">IFERROR(VLOOKUP($A2565,'319'!$B:$H,7,0),0)</f>
        <v>0</v>
      </c>
      <c r="G2565" s="34" t="n">
        <f aca="false">SUMIFS('12.326ana'!$C:$C,'12.326ana'!$M:$M,redes!A2565)</f>
        <v>0</v>
      </c>
    </row>
    <row r="2566" customFormat="false" ht="14.4" hidden="true" customHeight="false" outlineLevel="0" collapsed="false">
      <c r="A2566" s="34" t="n">
        <v>42086787120</v>
      </c>
      <c r="B2566" s="34" t="s">
        <v>7559</v>
      </c>
      <c r="C2566" s="34" t="s">
        <v>77</v>
      </c>
      <c r="E2566" s="30" t="s">
        <v>7560</v>
      </c>
      <c r="F2566" s="34" t="n">
        <f aca="false">IFERROR(VLOOKUP($A2566,'319'!$B:$H,7,0),0)</f>
        <v>0</v>
      </c>
      <c r="G2566" s="34" t="n">
        <f aca="false">SUMIFS('12.326ana'!$C:$C,'12.326ana'!$M:$M,redes!A2566)</f>
        <v>0</v>
      </c>
    </row>
    <row r="2567" customFormat="false" ht="14.4" hidden="true" customHeight="false" outlineLevel="0" collapsed="false">
      <c r="A2567" s="34" t="n">
        <v>42086906153</v>
      </c>
      <c r="B2567" s="34" t="s">
        <v>7561</v>
      </c>
      <c r="C2567" s="34" t="s">
        <v>77</v>
      </c>
      <c r="E2567" s="30" t="s">
        <v>4338</v>
      </c>
      <c r="F2567" s="34" t="n">
        <f aca="false">IFERROR(VLOOKUP($A2567,'319'!$B:$H,7,0),0)</f>
        <v>0</v>
      </c>
      <c r="G2567" s="34" t="n">
        <f aca="false">SUMIFS('12.326ana'!$C:$C,'12.326ana'!$M:$M,redes!A2567)</f>
        <v>0</v>
      </c>
    </row>
    <row r="2568" customFormat="false" ht="14.4" hidden="true" customHeight="false" outlineLevel="0" collapsed="false">
      <c r="A2568" s="34" t="n">
        <v>42087651191</v>
      </c>
      <c r="B2568" s="34" t="s">
        <v>7562</v>
      </c>
      <c r="C2568" s="34" t="s">
        <v>77</v>
      </c>
      <c r="E2568" s="30" t="s">
        <v>7563</v>
      </c>
      <c r="F2568" s="34" t="n">
        <f aca="false">IFERROR(VLOOKUP($A2568,'319'!$B:$H,7,0),0)</f>
        <v>0</v>
      </c>
      <c r="G2568" s="34" t="n">
        <f aca="false">SUMIFS('12.326ana'!$C:$C,'12.326ana'!$M:$M,redes!A2568)</f>
        <v>0</v>
      </c>
    </row>
    <row r="2569" customFormat="false" ht="14.4" hidden="true" customHeight="false" outlineLevel="0" collapsed="false">
      <c r="A2569" s="34" t="n">
        <v>42091403172</v>
      </c>
      <c r="B2569" s="34" t="s">
        <v>7564</v>
      </c>
      <c r="C2569" s="34" t="s">
        <v>77</v>
      </c>
      <c r="E2569" s="30" t="s">
        <v>7565</v>
      </c>
      <c r="F2569" s="34" t="n">
        <f aca="false">IFERROR(VLOOKUP($A2569,'319'!$B:$H,7,0),0)</f>
        <v>0</v>
      </c>
      <c r="G2569" s="34" t="n">
        <f aca="false">SUMIFS('12.326ana'!$C:$C,'12.326ana'!$M:$M,redes!A2569)</f>
        <v>0</v>
      </c>
    </row>
    <row r="2570" customFormat="false" ht="14.4" hidden="true" customHeight="false" outlineLevel="0" collapsed="false">
      <c r="A2570" s="34" t="n">
        <v>42099510130</v>
      </c>
      <c r="B2570" s="34" t="s">
        <v>7566</v>
      </c>
      <c r="C2570" s="34" t="s">
        <v>631</v>
      </c>
      <c r="E2570" s="30" t="s">
        <v>7567</v>
      </c>
      <c r="F2570" s="34" t="n">
        <f aca="false">IFERROR(VLOOKUP($A2570,'319'!$B:$H,7,0),0)</f>
        <v>0</v>
      </c>
      <c r="G2570" s="34" t="n">
        <f aca="false">SUMIFS('12.326ana'!$C:$C,'12.326ana'!$M:$M,redes!A2570)</f>
        <v>0</v>
      </c>
    </row>
    <row r="2571" customFormat="false" ht="14.4" hidden="true" customHeight="false" outlineLevel="0" collapsed="false">
      <c r="A2571" s="34" t="n">
        <v>42107288100</v>
      </c>
      <c r="B2571" s="34" t="s">
        <v>7568</v>
      </c>
      <c r="C2571" s="34" t="s">
        <v>77</v>
      </c>
      <c r="E2571" s="30" t="s">
        <v>4499</v>
      </c>
      <c r="F2571" s="34" t="n">
        <f aca="false">IFERROR(VLOOKUP($A2571,'319'!$B:$H,7,0),0)</f>
        <v>0</v>
      </c>
      <c r="G2571" s="34" t="n">
        <f aca="false">SUMIFS('12.326ana'!$C:$C,'12.326ana'!$M:$M,redes!A2571)</f>
        <v>0</v>
      </c>
    </row>
    <row r="2572" customFormat="false" ht="14.4" hidden="true" customHeight="false" outlineLevel="0" collapsed="false">
      <c r="A2572" s="34" t="n">
        <v>42113482134</v>
      </c>
      <c r="B2572" s="34" t="s">
        <v>7569</v>
      </c>
      <c r="C2572" s="34" t="s">
        <v>77</v>
      </c>
      <c r="E2572" s="30" t="s">
        <v>7570</v>
      </c>
      <c r="F2572" s="34" t="n">
        <f aca="false">IFERROR(VLOOKUP($A2572,'319'!$B:$H,7,0),0)</f>
        <v>0</v>
      </c>
      <c r="G2572" s="34" t="n">
        <f aca="false">SUMIFS('12.326ana'!$C:$C,'12.326ana'!$M:$M,redes!A2572)</f>
        <v>0</v>
      </c>
    </row>
    <row r="2573" customFormat="false" ht="14.4" hidden="true" customHeight="false" outlineLevel="0" collapsed="false">
      <c r="A2573" s="34" t="n">
        <v>42116180163</v>
      </c>
      <c r="B2573" s="34" t="s">
        <v>7571</v>
      </c>
      <c r="C2573" s="34" t="s">
        <v>565</v>
      </c>
      <c r="E2573" s="30" t="s">
        <v>7572</v>
      </c>
      <c r="F2573" s="34" t="n">
        <f aca="false">IFERROR(VLOOKUP($A2573,'319'!$B:$H,7,0),0)</f>
        <v>0</v>
      </c>
      <c r="G2573" s="34" t="n">
        <f aca="false">SUMIFS('12.326ana'!$C:$C,'12.326ana'!$M:$M,redes!A2573)</f>
        <v>0</v>
      </c>
    </row>
    <row r="2574" customFormat="false" ht="14.4" hidden="true" customHeight="false" outlineLevel="0" collapsed="false">
      <c r="A2574" s="34" t="n">
        <v>42132258104</v>
      </c>
      <c r="B2574" s="34" t="s">
        <v>7573</v>
      </c>
      <c r="C2574" s="34" t="s">
        <v>357</v>
      </c>
      <c r="E2574" s="30" t="s">
        <v>7574</v>
      </c>
      <c r="F2574" s="34" t="n">
        <f aca="false">IFERROR(VLOOKUP($A2574,'319'!$B:$H,7,0),0)</f>
        <v>0</v>
      </c>
      <c r="G2574" s="34" t="n">
        <f aca="false">SUMIFS('12.326ana'!$C:$C,'12.326ana'!$M:$M,redes!A2574)</f>
        <v>0</v>
      </c>
    </row>
    <row r="2575" customFormat="false" ht="14.4" hidden="true" customHeight="false" outlineLevel="0" collapsed="false">
      <c r="A2575" s="34" t="n">
        <v>42136440144</v>
      </c>
      <c r="B2575" s="34" t="s">
        <v>7575</v>
      </c>
      <c r="C2575" s="34" t="s">
        <v>77</v>
      </c>
      <c r="E2575" s="30" t="s">
        <v>7576</v>
      </c>
      <c r="F2575" s="34" t="n">
        <f aca="false">IFERROR(VLOOKUP($A2575,'319'!$B:$H,7,0),0)</f>
        <v>0</v>
      </c>
      <c r="G2575" s="34" t="n">
        <f aca="false">SUMIFS('12.326ana'!$C:$C,'12.326ana'!$M:$M,redes!A2575)</f>
        <v>0</v>
      </c>
    </row>
    <row r="2576" customFormat="false" ht="14.4" hidden="true" customHeight="false" outlineLevel="0" collapsed="false">
      <c r="A2576" s="34" t="n">
        <v>42137977168</v>
      </c>
      <c r="B2576" s="34" t="s">
        <v>7577</v>
      </c>
      <c r="C2576" s="34" t="s">
        <v>77</v>
      </c>
      <c r="E2576" s="30" t="s">
        <v>7578</v>
      </c>
      <c r="F2576" s="34" t="n">
        <f aca="false">IFERROR(VLOOKUP($A2576,'319'!$B:$H,7,0),0)</f>
        <v>0</v>
      </c>
      <c r="G2576" s="34" t="n">
        <f aca="false">SUMIFS('12.326ana'!$C:$C,'12.326ana'!$M:$M,redes!A2576)</f>
        <v>0</v>
      </c>
    </row>
    <row r="2577" customFormat="false" ht="14.4" hidden="true" customHeight="false" outlineLevel="0" collapsed="false">
      <c r="A2577" s="34" t="n">
        <v>42145244115</v>
      </c>
      <c r="B2577" s="34" t="s">
        <v>7579</v>
      </c>
      <c r="C2577" s="34" t="s">
        <v>336</v>
      </c>
      <c r="E2577" s="30" t="s">
        <v>7580</v>
      </c>
      <c r="F2577" s="34" t="n">
        <f aca="false">IFERROR(VLOOKUP($A2577,'319'!$B:$H,7,0),0)</f>
        <v>0</v>
      </c>
      <c r="G2577" s="34" t="n">
        <f aca="false">SUMIFS('12.326ana'!$C:$C,'12.326ana'!$M:$M,redes!A2577)</f>
        <v>0</v>
      </c>
    </row>
    <row r="2578" customFormat="false" ht="14.4" hidden="true" customHeight="false" outlineLevel="0" collapsed="false">
      <c r="A2578" s="34" t="n">
        <v>42149533120</v>
      </c>
      <c r="B2578" s="34" t="s">
        <v>7581</v>
      </c>
      <c r="C2578" s="34" t="s">
        <v>77</v>
      </c>
      <c r="E2578" s="30" t="s">
        <v>7582</v>
      </c>
      <c r="F2578" s="34" t="n">
        <f aca="false">IFERROR(VLOOKUP($A2578,'319'!$B:$H,7,0),0)</f>
        <v>0</v>
      </c>
      <c r="G2578" s="34" t="n">
        <f aca="false">SUMIFS('12.326ana'!$C:$C,'12.326ana'!$M:$M,redes!A2578)</f>
        <v>0</v>
      </c>
    </row>
    <row r="2579" customFormat="false" ht="14.4" hidden="true" customHeight="false" outlineLevel="0" collapsed="false">
      <c r="A2579" s="34" t="n">
        <v>42149568187</v>
      </c>
      <c r="B2579" s="34" t="s">
        <v>7583</v>
      </c>
      <c r="C2579" s="34" t="s">
        <v>77</v>
      </c>
      <c r="E2579" s="30" t="s">
        <v>7584</v>
      </c>
      <c r="F2579" s="34" t="n">
        <f aca="false">IFERROR(VLOOKUP($A2579,'319'!$B:$H,7,0),0)</f>
        <v>0</v>
      </c>
      <c r="G2579" s="34" t="n">
        <f aca="false">SUMIFS('12.326ana'!$C:$C,'12.326ana'!$M:$M,redes!A2579)</f>
        <v>0</v>
      </c>
    </row>
    <row r="2580" customFormat="false" ht="14.4" hidden="true" customHeight="false" outlineLevel="0" collapsed="false">
      <c r="A2580" s="34" t="n">
        <v>42154260144</v>
      </c>
      <c r="B2580" s="34" t="s">
        <v>7585</v>
      </c>
      <c r="C2580" s="34" t="s">
        <v>77</v>
      </c>
      <c r="E2580" s="30" t="s">
        <v>7586</v>
      </c>
      <c r="F2580" s="34" t="n">
        <f aca="false">IFERROR(VLOOKUP($A2580,'319'!$B:$H,7,0),0)</f>
        <v>0</v>
      </c>
      <c r="G2580" s="34" t="n">
        <f aca="false">SUMIFS('12.326ana'!$C:$C,'12.326ana'!$M:$M,redes!A2580)</f>
        <v>0</v>
      </c>
    </row>
    <row r="2581" customFormat="false" ht="14.4" hidden="true" customHeight="false" outlineLevel="0" collapsed="false">
      <c r="A2581" s="34" t="n">
        <v>42161444115</v>
      </c>
      <c r="B2581" s="34" t="s">
        <v>7587</v>
      </c>
      <c r="C2581" s="34" t="s">
        <v>107</v>
      </c>
      <c r="E2581" s="30" t="s">
        <v>7588</v>
      </c>
      <c r="F2581" s="34" t="n">
        <f aca="false">IFERROR(VLOOKUP($A2581,'319'!$B:$H,7,0),0)</f>
        <v>0</v>
      </c>
      <c r="G2581" s="34" t="n">
        <f aca="false">SUMIFS('12.326ana'!$C:$C,'12.326ana'!$M:$M,redes!A2581)</f>
        <v>0</v>
      </c>
    </row>
    <row r="2582" customFormat="false" ht="14.4" hidden="true" customHeight="false" outlineLevel="0" collapsed="false">
      <c r="A2582" s="34" t="n">
        <v>42165172187</v>
      </c>
      <c r="B2582" s="34" t="s">
        <v>7589</v>
      </c>
      <c r="C2582" s="34" t="s">
        <v>103</v>
      </c>
      <c r="E2582" s="30" t="s">
        <v>3674</v>
      </c>
      <c r="F2582" s="34" t="n">
        <f aca="false">IFERROR(VLOOKUP($A2582,'319'!$B:$H,7,0),0)</f>
        <v>0</v>
      </c>
      <c r="G2582" s="34" t="n">
        <f aca="false">SUMIFS('12.326ana'!$C:$C,'12.326ana'!$M:$M,redes!A2582)</f>
        <v>0</v>
      </c>
    </row>
    <row r="2583" customFormat="false" ht="14.4" hidden="true" customHeight="false" outlineLevel="0" collapsed="false">
      <c r="A2583" s="34" t="n">
        <v>42166349153</v>
      </c>
      <c r="B2583" s="34" t="s">
        <v>7590</v>
      </c>
      <c r="C2583" s="34" t="s">
        <v>107</v>
      </c>
      <c r="E2583" s="30" t="s">
        <v>7467</v>
      </c>
      <c r="F2583" s="34" t="n">
        <f aca="false">IFERROR(VLOOKUP($A2583,'319'!$B:$H,7,0),0)</f>
        <v>0</v>
      </c>
      <c r="G2583" s="34" t="n">
        <f aca="false">SUMIFS('12.326ana'!$C:$C,'12.326ana'!$M:$M,redes!A2583)</f>
        <v>0</v>
      </c>
    </row>
    <row r="2584" customFormat="false" ht="14.4" hidden="true" customHeight="false" outlineLevel="0" collapsed="false">
      <c r="A2584" s="34" t="n">
        <v>42175739104</v>
      </c>
      <c r="B2584" s="34" t="s">
        <v>7591</v>
      </c>
      <c r="C2584" s="34" t="s">
        <v>706</v>
      </c>
      <c r="E2584" s="30" t="s">
        <v>7592</v>
      </c>
      <c r="F2584" s="34" t="n">
        <f aca="false">IFERROR(VLOOKUP($A2584,'319'!$B:$H,7,0),0)</f>
        <v>0</v>
      </c>
      <c r="G2584" s="34" t="n">
        <f aca="false">SUMIFS('12.326ana'!$C:$C,'12.326ana'!$M:$M,redes!A2584)</f>
        <v>0</v>
      </c>
    </row>
    <row r="2585" customFormat="false" ht="14.4" hidden="true" customHeight="false" outlineLevel="0" collapsed="false">
      <c r="A2585" s="34" t="n">
        <v>42178525172</v>
      </c>
      <c r="B2585" s="34" t="s">
        <v>7593</v>
      </c>
      <c r="C2585" s="34" t="s">
        <v>77</v>
      </c>
      <c r="E2585" s="30" t="s">
        <v>7594</v>
      </c>
      <c r="F2585" s="34" t="n">
        <f aca="false">IFERROR(VLOOKUP($A2585,'319'!$B:$H,7,0),0)</f>
        <v>0</v>
      </c>
      <c r="G2585" s="34" t="n">
        <f aca="false">SUMIFS('12.326ana'!$C:$C,'12.326ana'!$M:$M,redes!A2585)</f>
        <v>0</v>
      </c>
    </row>
    <row r="2586" customFormat="false" ht="14.4" hidden="true" customHeight="false" outlineLevel="0" collapsed="false">
      <c r="A2586" s="34" t="n">
        <v>42183022191</v>
      </c>
      <c r="B2586" s="34" t="s">
        <v>7595</v>
      </c>
      <c r="C2586" s="34" t="s">
        <v>77</v>
      </c>
      <c r="E2586" s="30" t="s">
        <v>7596</v>
      </c>
      <c r="F2586" s="34" t="n">
        <f aca="false">IFERROR(VLOOKUP($A2586,'319'!$B:$H,7,0),0)</f>
        <v>0</v>
      </c>
      <c r="G2586" s="34" t="n">
        <f aca="false">SUMIFS('12.326ana'!$C:$C,'12.326ana'!$M:$M,redes!A2586)</f>
        <v>0</v>
      </c>
    </row>
    <row r="2587" customFormat="false" ht="14.4" hidden="true" customHeight="false" outlineLevel="0" collapsed="false">
      <c r="A2587" s="34" t="n">
        <v>42187168115</v>
      </c>
      <c r="B2587" s="34" t="s">
        <v>7597</v>
      </c>
      <c r="C2587" s="34" t="s">
        <v>77</v>
      </c>
      <c r="E2587" s="30" t="s">
        <v>7598</v>
      </c>
      <c r="F2587" s="34" t="n">
        <f aca="false">IFERROR(VLOOKUP($A2587,'319'!$B:$H,7,0),0)</f>
        <v>0</v>
      </c>
      <c r="G2587" s="34" t="n">
        <f aca="false">SUMIFS('12.326ana'!$C:$C,'12.326ana'!$M:$M,redes!A2587)</f>
        <v>0</v>
      </c>
    </row>
    <row r="2588" customFormat="false" ht="14.4" hidden="true" customHeight="false" outlineLevel="0" collapsed="false">
      <c r="A2588" s="34" t="n">
        <v>42187346153</v>
      </c>
      <c r="B2588" s="34" t="s">
        <v>7599</v>
      </c>
      <c r="C2588" s="34" t="s">
        <v>77</v>
      </c>
      <c r="E2588" s="30" t="s">
        <v>7600</v>
      </c>
      <c r="F2588" s="34" t="n">
        <f aca="false">IFERROR(VLOOKUP($A2588,'319'!$B:$H,7,0),0)</f>
        <v>0</v>
      </c>
      <c r="G2588" s="34" t="n">
        <f aca="false">SUMIFS('12.326ana'!$C:$C,'12.326ana'!$M:$M,redes!A2588)</f>
        <v>0</v>
      </c>
    </row>
    <row r="2589" customFormat="false" ht="14.4" hidden="true" customHeight="false" outlineLevel="0" collapsed="false">
      <c r="A2589" s="34" t="n">
        <v>42193109168</v>
      </c>
      <c r="B2589" s="34" t="s">
        <v>7601</v>
      </c>
      <c r="C2589" s="34" t="s">
        <v>1272</v>
      </c>
      <c r="E2589" s="30" t="s">
        <v>7602</v>
      </c>
      <c r="F2589" s="34" t="n">
        <f aca="false">IFERROR(VLOOKUP($A2589,'319'!$B:$H,7,0),0)</f>
        <v>0</v>
      </c>
      <c r="G2589" s="34" t="n">
        <f aca="false">SUMIFS('12.326ana'!$C:$C,'12.326ana'!$M:$M,redes!A2589)</f>
        <v>0</v>
      </c>
    </row>
    <row r="2590" customFormat="false" ht="14.4" hidden="true" customHeight="false" outlineLevel="0" collapsed="false">
      <c r="A2590" s="34" t="n">
        <v>42193206104</v>
      </c>
      <c r="B2590" s="34" t="s">
        <v>7603</v>
      </c>
      <c r="C2590" s="34" t="s">
        <v>213</v>
      </c>
      <c r="E2590" s="30" t="s">
        <v>7604</v>
      </c>
      <c r="F2590" s="34" t="n">
        <f aca="false">IFERROR(VLOOKUP($A2590,'319'!$B:$H,7,0),0)</f>
        <v>0</v>
      </c>
      <c r="G2590" s="34" t="n">
        <f aca="false">SUMIFS('12.326ana'!$C:$C,'12.326ana'!$M:$M,redes!A2590)</f>
        <v>0</v>
      </c>
    </row>
    <row r="2591" customFormat="false" ht="14.4" hidden="true" customHeight="false" outlineLevel="0" collapsed="false">
      <c r="A2591" s="34" t="n">
        <v>42194318100</v>
      </c>
      <c r="B2591" s="34" t="s">
        <v>7605</v>
      </c>
      <c r="C2591" s="34" t="s">
        <v>1272</v>
      </c>
      <c r="E2591" s="30" t="s">
        <v>7606</v>
      </c>
      <c r="F2591" s="34" t="n">
        <f aca="false">IFERROR(VLOOKUP($A2591,'319'!$B:$H,7,0),0)</f>
        <v>0</v>
      </c>
      <c r="G2591" s="34" t="n">
        <f aca="false">SUMIFS('12.326ana'!$C:$C,'12.326ana'!$M:$M,redes!A2591)</f>
        <v>0</v>
      </c>
    </row>
    <row r="2592" customFormat="false" ht="14.4" hidden="true" customHeight="false" outlineLevel="0" collapsed="false">
      <c r="A2592" s="34" t="n">
        <v>42201225168</v>
      </c>
      <c r="B2592" s="34" t="s">
        <v>7607</v>
      </c>
      <c r="C2592" s="34" t="s">
        <v>213</v>
      </c>
      <c r="E2592" s="30" t="s">
        <v>7608</v>
      </c>
      <c r="F2592" s="34" t="n">
        <f aca="false">IFERROR(VLOOKUP($A2592,'319'!$B:$H,7,0),0)</f>
        <v>0</v>
      </c>
      <c r="G2592" s="34" t="n">
        <f aca="false">SUMIFS('12.326ana'!$C:$C,'12.326ana'!$M:$M,redes!A2592)</f>
        <v>0</v>
      </c>
    </row>
    <row r="2593" customFormat="false" ht="14.4" hidden="true" customHeight="false" outlineLevel="0" collapsed="false">
      <c r="A2593" s="34" t="n">
        <v>42201632120</v>
      </c>
      <c r="B2593" s="34" t="s">
        <v>7609</v>
      </c>
      <c r="C2593" s="34" t="s">
        <v>77</v>
      </c>
      <c r="E2593" s="30" t="s">
        <v>7610</v>
      </c>
      <c r="F2593" s="34" t="n">
        <f aca="false">IFERROR(VLOOKUP($A2593,'319'!$B:$H,7,0),0)</f>
        <v>0</v>
      </c>
      <c r="G2593" s="34" t="n">
        <f aca="false">SUMIFS('12.326ana'!$C:$C,'12.326ana'!$M:$M,redes!A2593)</f>
        <v>0</v>
      </c>
    </row>
    <row r="2594" customFormat="false" ht="14.4" hidden="true" customHeight="false" outlineLevel="0" collapsed="false">
      <c r="A2594" s="34" t="n">
        <v>42203449187</v>
      </c>
      <c r="B2594" s="34" t="s">
        <v>7611</v>
      </c>
      <c r="C2594" s="34" t="s">
        <v>89</v>
      </c>
      <c r="E2594" s="30"/>
      <c r="F2594" s="34" t="n">
        <f aca="false">IFERROR(VLOOKUP($A2594,'319'!$B:$H,7,0),0)</f>
        <v>0</v>
      </c>
      <c r="G2594" s="34" t="n">
        <f aca="false">SUMIFS('12.326ana'!$C:$C,'12.326ana'!$M:$M,redes!A2594)</f>
        <v>0</v>
      </c>
    </row>
    <row r="2595" customFormat="false" ht="14.4" hidden="true" customHeight="false" outlineLevel="0" collapsed="false">
      <c r="A2595" s="34" t="n">
        <v>42207894134</v>
      </c>
      <c r="B2595" s="34" t="s">
        <v>7612</v>
      </c>
      <c r="C2595" s="34" t="s">
        <v>77</v>
      </c>
      <c r="E2595" s="30" t="s">
        <v>7613</v>
      </c>
      <c r="F2595" s="34" t="n">
        <f aca="false">IFERROR(VLOOKUP($A2595,'319'!$B:$H,7,0),0)</f>
        <v>0</v>
      </c>
      <c r="G2595" s="34" t="n">
        <f aca="false">SUMIFS('12.326ana'!$C:$C,'12.326ana'!$M:$M,redes!A2595)</f>
        <v>0</v>
      </c>
    </row>
    <row r="2596" customFormat="false" ht="14.4" hidden="true" customHeight="false" outlineLevel="0" collapsed="false">
      <c r="A2596" s="34" t="n">
        <v>42441919920</v>
      </c>
      <c r="B2596" s="34" t="s">
        <v>7614</v>
      </c>
      <c r="C2596" s="34" t="s">
        <v>77</v>
      </c>
      <c r="E2596" s="30" t="s">
        <v>7615</v>
      </c>
      <c r="F2596" s="34" t="n">
        <f aca="false">IFERROR(VLOOKUP($A2596,'319'!$B:$H,7,0),0)</f>
        <v>0</v>
      </c>
      <c r="G2596" s="34" t="n">
        <f aca="false">SUMIFS('12.326ana'!$C:$C,'12.326ana'!$M:$M,redes!A2596)</f>
        <v>0</v>
      </c>
    </row>
    <row r="2597" customFormat="false" ht="14.4" hidden="true" customHeight="false" outlineLevel="0" collapsed="false">
      <c r="A2597" s="34" t="n">
        <v>42447135149</v>
      </c>
      <c r="B2597" s="34" t="s">
        <v>7616</v>
      </c>
      <c r="C2597" s="34" t="s">
        <v>77</v>
      </c>
      <c r="E2597" s="30" t="s">
        <v>7617</v>
      </c>
      <c r="F2597" s="34" t="n">
        <f aca="false">IFERROR(VLOOKUP($A2597,'319'!$B:$H,7,0),0)</f>
        <v>0</v>
      </c>
      <c r="G2597" s="34" t="n">
        <f aca="false">SUMIFS('12.326ana'!$C:$C,'12.326ana'!$M:$M,redes!A2597)</f>
        <v>0</v>
      </c>
    </row>
    <row r="2598" customFormat="false" ht="14.4" hidden="true" customHeight="false" outlineLevel="0" collapsed="false">
      <c r="A2598" s="34" t="n">
        <v>42490030949</v>
      </c>
      <c r="B2598" s="34" t="s">
        <v>7618</v>
      </c>
      <c r="C2598" s="34" t="s">
        <v>77</v>
      </c>
      <c r="E2598" s="30" t="s">
        <v>3436</v>
      </c>
      <c r="F2598" s="34" t="n">
        <f aca="false">IFERROR(VLOOKUP($A2598,'319'!$B:$H,7,0),0)</f>
        <v>0</v>
      </c>
      <c r="G2598" s="34" t="n">
        <f aca="false">SUMIFS('12.326ana'!$C:$C,'12.326ana'!$M:$M,redes!A2598)</f>
        <v>0</v>
      </c>
    </row>
    <row r="2599" customFormat="false" ht="14.4" hidden="true" customHeight="false" outlineLevel="0" collapsed="false">
      <c r="A2599" s="34" t="n">
        <v>42505488991</v>
      </c>
      <c r="B2599" s="34" t="s">
        <v>7619</v>
      </c>
      <c r="C2599" s="34" t="s">
        <v>77</v>
      </c>
      <c r="E2599" s="30" t="s">
        <v>5028</v>
      </c>
      <c r="F2599" s="34" t="n">
        <f aca="false">IFERROR(VLOOKUP($A2599,'319'!$B:$H,7,0),0)</f>
        <v>0</v>
      </c>
      <c r="G2599" s="34" t="n">
        <f aca="false">SUMIFS('12.326ana'!$C:$C,'12.326ana'!$M:$M,redes!A2599)</f>
        <v>0</v>
      </c>
    </row>
    <row r="2600" customFormat="false" ht="14.4" hidden="true" customHeight="false" outlineLevel="0" collapsed="false">
      <c r="A2600" s="34" t="n">
        <v>42539889387</v>
      </c>
      <c r="B2600" s="34" t="s">
        <v>7620</v>
      </c>
      <c r="C2600" s="34" t="s">
        <v>478</v>
      </c>
      <c r="E2600" s="30" t="s">
        <v>5121</v>
      </c>
      <c r="F2600" s="34" t="n">
        <f aca="false">IFERROR(VLOOKUP($A2600,'319'!$B:$H,7,0),0)</f>
        <v>0</v>
      </c>
      <c r="G2600" s="34" t="n">
        <f aca="false">SUMIFS('12.326ana'!$C:$C,'12.326ana'!$M:$M,redes!A2600)</f>
        <v>0</v>
      </c>
    </row>
    <row r="2601" customFormat="false" ht="14.4" hidden="true" customHeight="false" outlineLevel="0" collapsed="false">
      <c r="A2601" s="34" t="n">
        <v>42814570978</v>
      </c>
      <c r="B2601" s="34" t="s">
        <v>7621</v>
      </c>
      <c r="C2601" s="34" t="s">
        <v>107</v>
      </c>
      <c r="E2601" s="30" t="s">
        <v>881</v>
      </c>
      <c r="F2601" s="34" t="n">
        <f aca="false">IFERROR(VLOOKUP($A2601,'319'!$B:$H,7,0),0)</f>
        <v>0</v>
      </c>
      <c r="G2601" s="34" t="n">
        <f aca="false">SUMIFS('12.326ana'!$C:$C,'12.326ana'!$M:$M,redes!A2601)</f>
        <v>0</v>
      </c>
    </row>
    <row r="2602" customFormat="false" ht="14.4" hidden="true" customHeight="false" outlineLevel="0" collapsed="false">
      <c r="A2602" s="34" t="n">
        <v>43058992168</v>
      </c>
      <c r="B2602" s="34" t="s">
        <v>7622</v>
      </c>
      <c r="C2602" s="34" t="s">
        <v>77</v>
      </c>
      <c r="E2602" s="30" t="s">
        <v>7622</v>
      </c>
      <c r="F2602" s="34" t="n">
        <f aca="false">IFERROR(VLOOKUP($A2602,'319'!$B:$H,7,0),0)</f>
        <v>0</v>
      </c>
      <c r="G2602" s="34" t="n">
        <f aca="false">SUMIFS('12.326ana'!$C:$C,'12.326ana'!$M:$M,redes!A2602)</f>
        <v>0</v>
      </c>
    </row>
    <row r="2603" customFormat="false" ht="14.4" hidden="true" customHeight="false" outlineLevel="0" collapsed="false">
      <c r="A2603" s="34" t="n">
        <v>43064000934</v>
      </c>
      <c r="B2603" s="34" t="s">
        <v>7623</v>
      </c>
      <c r="C2603" s="34" t="s">
        <v>77</v>
      </c>
      <c r="E2603" s="30" t="s">
        <v>7624</v>
      </c>
      <c r="F2603" s="34" t="n">
        <f aca="false">IFERROR(VLOOKUP($A2603,'319'!$B:$H,7,0),0)</f>
        <v>0</v>
      </c>
      <c r="G2603" s="34" t="n">
        <f aca="false">SUMIFS('12.326ana'!$C:$C,'12.326ana'!$M:$M,redes!A2603)</f>
        <v>0</v>
      </c>
    </row>
    <row r="2604" customFormat="false" ht="14.4" hidden="true" customHeight="false" outlineLevel="0" collapsed="false">
      <c r="A2604" s="34" t="n">
        <v>43122213915</v>
      </c>
      <c r="B2604" s="34" t="s">
        <v>1418</v>
      </c>
      <c r="C2604" s="34" t="s">
        <v>351</v>
      </c>
      <c r="E2604" s="30" t="s">
        <v>7625</v>
      </c>
      <c r="F2604" s="34" t="n">
        <f aca="false">IFERROR(VLOOKUP($A2604,'319'!$B:$H,7,0),0)</f>
        <v>0</v>
      </c>
      <c r="G2604" s="34" t="n">
        <f aca="false">SUMIFS('12.326ana'!$C:$C,'12.326ana'!$M:$M,redes!A2604)</f>
        <v>0</v>
      </c>
    </row>
    <row r="2605" customFormat="false" ht="14.4" hidden="true" customHeight="false" outlineLevel="0" collapsed="false">
      <c r="A2605" s="34" t="n">
        <v>43339557004</v>
      </c>
      <c r="B2605" s="34" t="s">
        <v>7626</v>
      </c>
      <c r="C2605" s="34" t="s">
        <v>107</v>
      </c>
      <c r="E2605" s="30" t="s">
        <v>7627</v>
      </c>
      <c r="F2605" s="34" t="n">
        <f aca="false">IFERROR(VLOOKUP($A2605,'319'!$B:$H,7,0),0)</f>
        <v>0</v>
      </c>
      <c r="G2605" s="34" t="n">
        <f aca="false">SUMIFS('12.326ana'!$C:$C,'12.326ana'!$M:$M,redes!A2605)</f>
        <v>0</v>
      </c>
    </row>
    <row r="2606" customFormat="false" ht="14.4" hidden="true" customHeight="false" outlineLevel="0" collapsed="false">
      <c r="A2606" s="34" t="n">
        <v>43375154968</v>
      </c>
      <c r="B2606" s="34" t="s">
        <v>7628</v>
      </c>
      <c r="C2606" s="34" t="s">
        <v>309</v>
      </c>
      <c r="E2606" s="30" t="s">
        <v>7629</v>
      </c>
      <c r="F2606" s="34" t="n">
        <f aca="false">IFERROR(VLOOKUP($A2606,'319'!$B:$H,7,0),0)</f>
        <v>0</v>
      </c>
      <c r="G2606" s="34" t="n">
        <f aca="false">SUMIFS('12.326ana'!$C:$C,'12.326ana'!$M:$M,redes!A2606)</f>
        <v>0</v>
      </c>
    </row>
    <row r="2607" customFormat="false" ht="14.4" hidden="true" customHeight="false" outlineLevel="0" collapsed="false">
      <c r="A2607" s="34" t="n">
        <v>43378943904</v>
      </c>
      <c r="B2607" s="34" t="s">
        <v>7630</v>
      </c>
      <c r="C2607" s="34" t="s">
        <v>103</v>
      </c>
      <c r="E2607" s="30" t="s">
        <v>7631</v>
      </c>
      <c r="F2607" s="34" t="n">
        <f aca="false">IFERROR(VLOOKUP($A2607,'319'!$B:$H,7,0),0)</f>
        <v>0</v>
      </c>
      <c r="G2607" s="34" t="n">
        <f aca="false">SUMIFS('12.326ana'!$C:$C,'12.326ana'!$M:$M,redes!A2607)</f>
        <v>0</v>
      </c>
    </row>
    <row r="2608" customFormat="false" ht="14.4" hidden="true" customHeight="false" outlineLevel="0" collapsed="false">
      <c r="A2608" s="34" t="n">
        <v>43550940491</v>
      </c>
      <c r="B2608" s="34" t="s">
        <v>7632</v>
      </c>
      <c r="C2608" s="34" t="s">
        <v>77</v>
      </c>
      <c r="E2608" s="30" t="s">
        <v>7633</v>
      </c>
      <c r="F2608" s="34" t="n">
        <f aca="false">IFERROR(VLOOKUP($A2608,'319'!$B:$H,7,0),0)</f>
        <v>0</v>
      </c>
      <c r="G2608" s="34" t="n">
        <f aca="false">SUMIFS('12.326ana'!$C:$C,'12.326ana'!$M:$M,redes!A2608)</f>
        <v>0</v>
      </c>
    </row>
    <row r="2609" customFormat="false" ht="14.4" hidden="true" customHeight="false" outlineLevel="0" collapsed="false">
      <c r="A2609" s="34" t="n">
        <v>43609872004</v>
      </c>
      <c r="B2609" s="34" t="s">
        <v>7634</v>
      </c>
      <c r="C2609" s="34" t="s">
        <v>604</v>
      </c>
      <c r="E2609" s="30" t="s">
        <v>7635</v>
      </c>
      <c r="F2609" s="34" t="n">
        <f aca="false">IFERROR(VLOOKUP($A2609,'319'!$B:$H,7,0),0)</f>
        <v>0</v>
      </c>
      <c r="G2609" s="34" t="n">
        <f aca="false">SUMIFS('12.326ana'!$C:$C,'12.326ana'!$M:$M,redes!A2609)</f>
        <v>0</v>
      </c>
    </row>
    <row r="2610" customFormat="false" ht="14.4" hidden="true" customHeight="false" outlineLevel="0" collapsed="false">
      <c r="A2610" s="34" t="n">
        <v>43622690100</v>
      </c>
      <c r="B2610" s="34" t="s">
        <v>7636</v>
      </c>
      <c r="C2610" s="34" t="s">
        <v>77</v>
      </c>
      <c r="E2610" s="30" t="s">
        <v>3632</v>
      </c>
      <c r="F2610" s="34" t="n">
        <f aca="false">IFERROR(VLOOKUP($A2610,'319'!$B:$H,7,0),0)</f>
        <v>0</v>
      </c>
      <c r="G2610" s="34" t="n">
        <f aca="false">SUMIFS('12.326ana'!$C:$C,'12.326ana'!$M:$M,redes!A2610)</f>
        <v>0</v>
      </c>
    </row>
    <row r="2611" customFormat="false" ht="14.4" hidden="true" customHeight="false" outlineLevel="0" collapsed="false">
      <c r="A2611" s="34" t="n">
        <v>43628559120</v>
      </c>
      <c r="B2611" s="34" t="s">
        <v>7637</v>
      </c>
      <c r="C2611" s="34" t="s">
        <v>77</v>
      </c>
      <c r="E2611" s="30" t="s">
        <v>7638</v>
      </c>
      <c r="F2611" s="34" t="n">
        <f aca="false">IFERROR(VLOOKUP($A2611,'319'!$B:$H,7,0),0)</f>
        <v>0</v>
      </c>
      <c r="G2611" s="34" t="n">
        <f aca="false">SUMIFS('12.326ana'!$C:$C,'12.326ana'!$M:$M,redes!A2611)</f>
        <v>0</v>
      </c>
    </row>
    <row r="2612" customFormat="false" ht="14.4" hidden="true" customHeight="false" outlineLevel="0" collapsed="false">
      <c r="A2612" s="34" t="n">
        <v>43634281120</v>
      </c>
      <c r="B2612" s="34" t="s">
        <v>7639</v>
      </c>
      <c r="C2612" s="34" t="s">
        <v>781</v>
      </c>
      <c r="E2612" s="30" t="s">
        <v>7640</v>
      </c>
      <c r="F2612" s="34" t="n">
        <f aca="false">IFERROR(VLOOKUP($A2612,'319'!$B:$H,7,0),0)</f>
        <v>0</v>
      </c>
      <c r="G2612" s="34" t="n">
        <f aca="false">SUMIFS('12.326ana'!$C:$C,'12.326ana'!$M:$M,redes!A2612)</f>
        <v>0</v>
      </c>
    </row>
    <row r="2613" customFormat="false" ht="14.4" hidden="true" customHeight="false" outlineLevel="0" collapsed="false">
      <c r="A2613" s="34" t="n">
        <v>43635024104</v>
      </c>
      <c r="B2613" s="34" t="s">
        <v>7641</v>
      </c>
      <c r="C2613" s="34" t="s">
        <v>781</v>
      </c>
      <c r="E2613" s="30" t="s">
        <v>7642</v>
      </c>
      <c r="F2613" s="34" t="n">
        <f aca="false">IFERROR(VLOOKUP($A2613,'319'!$B:$H,7,0),0)</f>
        <v>0</v>
      </c>
      <c r="G2613" s="34" t="n">
        <f aca="false">SUMIFS('12.326ana'!$C:$C,'12.326ana'!$M:$M,redes!A2613)</f>
        <v>0</v>
      </c>
    </row>
    <row r="2614" customFormat="false" ht="14.4" hidden="true" customHeight="false" outlineLevel="0" collapsed="false">
      <c r="A2614" s="34" t="n">
        <v>43635687120</v>
      </c>
      <c r="B2614" s="34" t="s">
        <v>7643</v>
      </c>
      <c r="C2614" s="34" t="s">
        <v>781</v>
      </c>
      <c r="E2614" s="30" t="s">
        <v>7523</v>
      </c>
      <c r="F2614" s="34" t="n">
        <f aca="false">IFERROR(VLOOKUP($A2614,'319'!$B:$H,7,0),0)</f>
        <v>0</v>
      </c>
      <c r="G2614" s="34" t="n">
        <f aca="false">SUMIFS('12.326ana'!$C:$C,'12.326ana'!$M:$M,redes!A2614)</f>
        <v>0</v>
      </c>
    </row>
    <row r="2615" customFormat="false" ht="14.4" hidden="true" customHeight="false" outlineLevel="0" collapsed="false">
      <c r="A2615" s="34" t="n">
        <v>43637302187</v>
      </c>
      <c r="B2615" s="34" t="s">
        <v>7644</v>
      </c>
      <c r="C2615" s="34" t="s">
        <v>77</v>
      </c>
      <c r="E2615" s="30" t="s">
        <v>7645</v>
      </c>
      <c r="F2615" s="34" t="n">
        <f aca="false">IFERROR(VLOOKUP($A2615,'319'!$B:$H,7,0),0)</f>
        <v>0</v>
      </c>
      <c r="G2615" s="34" t="n">
        <f aca="false">SUMIFS('12.326ana'!$C:$C,'12.326ana'!$M:$M,redes!A2615)</f>
        <v>0</v>
      </c>
    </row>
    <row r="2616" customFormat="false" ht="14.4" hidden="true" customHeight="false" outlineLevel="0" collapsed="false">
      <c r="A2616" s="34" t="n">
        <v>43637736187</v>
      </c>
      <c r="B2616" s="34" t="s">
        <v>7646</v>
      </c>
      <c r="C2616" s="34" t="s">
        <v>77</v>
      </c>
      <c r="E2616" s="30" t="s">
        <v>7647</v>
      </c>
      <c r="F2616" s="34" t="n">
        <f aca="false">IFERROR(VLOOKUP($A2616,'319'!$B:$H,7,0),0)</f>
        <v>0</v>
      </c>
      <c r="G2616" s="34" t="n">
        <f aca="false">SUMIFS('12.326ana'!$C:$C,'12.326ana'!$M:$M,redes!A2616)</f>
        <v>0</v>
      </c>
    </row>
    <row r="2617" customFormat="false" ht="14.4" hidden="true" customHeight="false" outlineLevel="0" collapsed="false">
      <c r="A2617" s="34" t="n">
        <v>43645925104</v>
      </c>
      <c r="B2617" s="34" t="s">
        <v>7648</v>
      </c>
      <c r="C2617" s="34" t="s">
        <v>77</v>
      </c>
      <c r="E2617" s="30" t="s">
        <v>7649</v>
      </c>
      <c r="F2617" s="34" t="n">
        <f aca="false">IFERROR(VLOOKUP($A2617,'319'!$B:$H,7,0),0)</f>
        <v>0</v>
      </c>
      <c r="G2617" s="34" t="n">
        <f aca="false">SUMIFS('12.326ana'!$C:$C,'12.326ana'!$M:$M,redes!A2617)</f>
        <v>0</v>
      </c>
    </row>
    <row r="2618" customFormat="false" ht="14.4" hidden="true" customHeight="false" outlineLevel="0" collapsed="false">
      <c r="A2618" s="34" t="n">
        <v>43646352191</v>
      </c>
      <c r="B2618" s="34" t="s">
        <v>7650</v>
      </c>
      <c r="C2618" s="34" t="s">
        <v>117</v>
      </c>
      <c r="E2618" s="30" t="s">
        <v>5180</v>
      </c>
      <c r="F2618" s="34" t="n">
        <f aca="false">IFERROR(VLOOKUP($A2618,'319'!$B:$H,7,0),0)</f>
        <v>0</v>
      </c>
      <c r="G2618" s="34" t="n">
        <f aca="false">SUMIFS('12.326ana'!$C:$C,'12.326ana'!$M:$M,redes!A2618)</f>
        <v>0</v>
      </c>
    </row>
    <row r="2619" customFormat="false" ht="14.4" hidden="true" customHeight="false" outlineLevel="0" collapsed="false">
      <c r="A2619" s="34" t="n">
        <v>43646905115</v>
      </c>
      <c r="B2619" s="34" t="s">
        <v>7651</v>
      </c>
      <c r="C2619" s="34" t="s">
        <v>77</v>
      </c>
      <c r="E2619" s="30" t="s">
        <v>7652</v>
      </c>
      <c r="F2619" s="34" t="n">
        <f aca="false">IFERROR(VLOOKUP($A2619,'319'!$B:$H,7,0),0)</f>
        <v>0</v>
      </c>
      <c r="G2619" s="34" t="n">
        <f aca="false">SUMIFS('12.326ana'!$C:$C,'12.326ana'!$M:$M,redes!A2619)</f>
        <v>0</v>
      </c>
    </row>
    <row r="2620" customFormat="false" ht="14.4" hidden="true" customHeight="false" outlineLevel="0" collapsed="false">
      <c r="A2620" s="34" t="n">
        <v>43651739104</v>
      </c>
      <c r="B2620" s="34" t="s">
        <v>7653</v>
      </c>
      <c r="C2620" s="34" t="s">
        <v>478</v>
      </c>
      <c r="E2620" s="30" t="s">
        <v>7654</v>
      </c>
      <c r="F2620" s="34" t="n">
        <f aca="false">IFERROR(VLOOKUP($A2620,'319'!$B:$H,7,0),0)</f>
        <v>0</v>
      </c>
      <c r="G2620" s="34" t="n">
        <f aca="false">SUMIFS('12.326ana'!$C:$C,'12.326ana'!$M:$M,redes!A2620)</f>
        <v>0</v>
      </c>
    </row>
    <row r="2621" customFormat="false" ht="14.4" hidden="true" customHeight="false" outlineLevel="0" collapsed="false">
      <c r="A2621" s="34" t="n">
        <v>43652611187</v>
      </c>
      <c r="B2621" s="34" t="s">
        <v>7655</v>
      </c>
      <c r="C2621" s="34" t="s">
        <v>478</v>
      </c>
      <c r="E2621" s="30" t="s">
        <v>7656</v>
      </c>
      <c r="F2621" s="34" t="n">
        <f aca="false">IFERROR(VLOOKUP($A2621,'319'!$B:$H,7,0),0)</f>
        <v>0</v>
      </c>
      <c r="G2621" s="34" t="n">
        <f aca="false">SUMIFS('12.326ana'!$C:$C,'12.326ana'!$M:$M,redes!A2621)</f>
        <v>0</v>
      </c>
    </row>
    <row r="2622" customFormat="false" ht="14.4" hidden="true" customHeight="false" outlineLevel="0" collapsed="false">
      <c r="A2622" s="34" t="n">
        <v>43653804191</v>
      </c>
      <c r="B2622" s="34" t="s">
        <v>7657</v>
      </c>
      <c r="C2622" s="34" t="s">
        <v>77</v>
      </c>
      <c r="E2622" s="30" t="s">
        <v>7658</v>
      </c>
      <c r="F2622" s="34" t="n">
        <f aca="false">IFERROR(VLOOKUP($A2622,'319'!$B:$H,7,0),0)</f>
        <v>0</v>
      </c>
      <c r="G2622" s="34" t="n">
        <f aca="false">SUMIFS('12.326ana'!$C:$C,'12.326ana'!$M:$M,redes!A2622)</f>
        <v>0</v>
      </c>
    </row>
    <row r="2623" customFormat="false" ht="14.4" hidden="true" customHeight="false" outlineLevel="0" collapsed="false">
      <c r="A2623" s="34" t="n">
        <v>43653880106</v>
      </c>
      <c r="B2623" s="34" t="s">
        <v>7659</v>
      </c>
      <c r="C2623" s="34" t="s">
        <v>77</v>
      </c>
      <c r="E2623" s="30"/>
      <c r="F2623" s="34" t="n">
        <f aca="false">IFERROR(VLOOKUP($A2623,'319'!$B:$H,7,0),0)</f>
        <v>0</v>
      </c>
      <c r="G2623" s="34" t="n">
        <f aca="false">SUMIFS('12.326ana'!$C:$C,'12.326ana'!$M:$M,redes!A2623)</f>
        <v>0</v>
      </c>
    </row>
    <row r="2624" customFormat="false" ht="14.4" hidden="true" customHeight="false" outlineLevel="0" collapsed="false">
      <c r="A2624" s="34" t="n">
        <v>43658555149</v>
      </c>
      <c r="B2624" s="34" t="s">
        <v>7660</v>
      </c>
      <c r="C2624" s="34" t="s">
        <v>107</v>
      </c>
      <c r="E2624" s="30" t="s">
        <v>7661</v>
      </c>
      <c r="F2624" s="34" t="n">
        <f aca="false">IFERROR(VLOOKUP($A2624,'319'!$B:$H,7,0),0)</f>
        <v>0</v>
      </c>
      <c r="G2624" s="34" t="n">
        <f aca="false">SUMIFS('12.326ana'!$C:$C,'12.326ana'!$M:$M,redes!A2624)</f>
        <v>0</v>
      </c>
    </row>
    <row r="2625" customFormat="false" ht="14.4" hidden="true" customHeight="false" outlineLevel="0" collapsed="false">
      <c r="A2625" s="34" t="n">
        <v>43661971115</v>
      </c>
      <c r="B2625" s="34" t="s">
        <v>7662</v>
      </c>
      <c r="C2625" s="34" t="s">
        <v>192</v>
      </c>
      <c r="E2625" s="30" t="s">
        <v>7663</v>
      </c>
      <c r="F2625" s="34" t="n">
        <f aca="false">IFERROR(VLOOKUP($A2625,'319'!$B:$H,7,0),0)</f>
        <v>0</v>
      </c>
      <c r="G2625" s="34" t="n">
        <f aca="false">SUMIFS('12.326ana'!$C:$C,'12.326ana'!$M:$M,redes!A2625)</f>
        <v>0</v>
      </c>
    </row>
    <row r="2626" customFormat="false" ht="14.4" hidden="true" customHeight="false" outlineLevel="0" collapsed="false">
      <c r="A2626" s="34" t="n">
        <v>43662790025</v>
      </c>
      <c r="B2626" s="34" t="s">
        <v>7664</v>
      </c>
      <c r="C2626" s="34" t="s">
        <v>594</v>
      </c>
      <c r="E2626" s="30" t="s">
        <v>7665</v>
      </c>
      <c r="F2626" s="34" t="n">
        <f aca="false">IFERROR(VLOOKUP($A2626,'319'!$B:$H,7,0),0)</f>
        <v>0</v>
      </c>
      <c r="G2626" s="34" t="n">
        <f aca="false">SUMIFS('12.326ana'!$C:$C,'12.326ana'!$M:$M,redes!A2626)</f>
        <v>0</v>
      </c>
    </row>
    <row r="2627" customFormat="false" ht="14.4" hidden="true" customHeight="false" outlineLevel="0" collapsed="false">
      <c r="A2627" s="34" t="n">
        <v>43666809120</v>
      </c>
      <c r="B2627" s="34" t="s">
        <v>7666</v>
      </c>
      <c r="C2627" s="34" t="s">
        <v>129</v>
      </c>
      <c r="E2627" s="30" t="s">
        <v>7667</v>
      </c>
      <c r="F2627" s="34" t="n">
        <f aca="false">IFERROR(VLOOKUP($A2627,'319'!$B:$H,7,0),0)</f>
        <v>0</v>
      </c>
      <c r="G2627" s="34" t="n">
        <f aca="false">SUMIFS('12.326ana'!$C:$C,'12.326ana'!$M:$M,redes!A2627)</f>
        <v>0</v>
      </c>
    </row>
    <row r="2628" customFormat="false" ht="14.4" hidden="true" customHeight="false" outlineLevel="0" collapsed="false">
      <c r="A2628" s="34" t="n">
        <v>43675026191</v>
      </c>
      <c r="B2628" s="34" t="s">
        <v>7668</v>
      </c>
      <c r="C2628" s="34" t="s">
        <v>107</v>
      </c>
      <c r="E2628" s="30" t="s">
        <v>4445</v>
      </c>
      <c r="F2628" s="34" t="n">
        <f aca="false">IFERROR(VLOOKUP($A2628,'319'!$B:$H,7,0),0)</f>
        <v>0</v>
      </c>
      <c r="G2628" s="34" t="n">
        <f aca="false">SUMIFS('12.326ana'!$C:$C,'12.326ana'!$M:$M,redes!A2628)</f>
        <v>0</v>
      </c>
    </row>
    <row r="2629" customFormat="false" ht="14.4" hidden="true" customHeight="false" outlineLevel="0" collapsed="false">
      <c r="A2629" s="34" t="n">
        <v>43677428149</v>
      </c>
      <c r="B2629" s="34" t="s">
        <v>7669</v>
      </c>
      <c r="C2629" s="34" t="s">
        <v>77</v>
      </c>
      <c r="E2629" s="30"/>
      <c r="F2629" s="34" t="n">
        <f aca="false">IFERROR(VLOOKUP($A2629,'319'!$B:$H,7,0),0)</f>
        <v>0</v>
      </c>
      <c r="G2629" s="34" t="n">
        <f aca="false">SUMIFS('12.326ana'!$C:$C,'12.326ana'!$M:$M,redes!A2629)</f>
        <v>0</v>
      </c>
    </row>
    <row r="2630" customFormat="false" ht="14.4" hidden="true" customHeight="false" outlineLevel="0" collapsed="false">
      <c r="A2630" s="34" t="n">
        <v>43681190100</v>
      </c>
      <c r="B2630" s="34" t="s">
        <v>7621</v>
      </c>
      <c r="C2630" s="34" t="s">
        <v>7250</v>
      </c>
      <c r="E2630" s="30" t="s">
        <v>7670</v>
      </c>
      <c r="F2630" s="34" t="n">
        <f aca="false">IFERROR(VLOOKUP($A2630,'319'!$B:$H,7,0),0)</f>
        <v>0</v>
      </c>
      <c r="G2630" s="34" t="n">
        <f aca="false">SUMIFS('12.326ana'!$C:$C,'12.326ana'!$M:$M,redes!A2630)</f>
        <v>0</v>
      </c>
    </row>
    <row r="2631" customFormat="false" ht="14.4" hidden="true" customHeight="false" outlineLevel="0" collapsed="false">
      <c r="A2631" s="34" t="n">
        <v>43681662134</v>
      </c>
      <c r="B2631" s="34" t="s">
        <v>7671</v>
      </c>
      <c r="C2631" s="34" t="s">
        <v>107</v>
      </c>
      <c r="E2631" s="30" t="s">
        <v>7672</v>
      </c>
      <c r="F2631" s="34" t="n">
        <f aca="false">IFERROR(VLOOKUP($A2631,'319'!$B:$H,7,0),0)</f>
        <v>0</v>
      </c>
      <c r="G2631" s="34" t="n">
        <f aca="false">SUMIFS('12.326ana'!$C:$C,'12.326ana'!$M:$M,redes!A2631)</f>
        <v>0</v>
      </c>
    </row>
    <row r="2632" customFormat="false" ht="14.4" hidden="true" customHeight="false" outlineLevel="0" collapsed="false">
      <c r="A2632" s="34" t="n">
        <v>43687695115</v>
      </c>
      <c r="B2632" s="34" t="s">
        <v>7673</v>
      </c>
      <c r="C2632" s="34" t="s">
        <v>77</v>
      </c>
      <c r="E2632" s="30" t="s">
        <v>7674</v>
      </c>
      <c r="F2632" s="34" t="n">
        <f aca="false">IFERROR(VLOOKUP($A2632,'319'!$B:$H,7,0),0)</f>
        <v>0</v>
      </c>
      <c r="G2632" s="34" t="n">
        <f aca="false">SUMIFS('12.326ana'!$C:$C,'12.326ana'!$M:$M,redes!A2632)</f>
        <v>0</v>
      </c>
    </row>
    <row r="2633" customFormat="false" ht="14.4" hidden="true" customHeight="false" outlineLevel="0" collapsed="false">
      <c r="A2633" s="34" t="n">
        <v>43691064191</v>
      </c>
      <c r="B2633" s="34" t="s">
        <v>3207</v>
      </c>
      <c r="C2633" s="34" t="s">
        <v>309</v>
      </c>
      <c r="E2633" s="30" t="s">
        <v>7675</v>
      </c>
      <c r="F2633" s="34" t="n">
        <f aca="false">IFERROR(VLOOKUP($A2633,'319'!$B:$H,7,0),0)</f>
        <v>0</v>
      </c>
      <c r="G2633" s="34" t="n">
        <f aca="false">SUMIFS('12.326ana'!$C:$C,'12.326ana'!$M:$M,redes!A2633)</f>
        <v>0</v>
      </c>
    </row>
    <row r="2634" customFormat="false" ht="14.4" hidden="true" customHeight="false" outlineLevel="0" collapsed="false">
      <c r="A2634" s="34" t="n">
        <v>43693334153</v>
      </c>
      <c r="B2634" s="34" t="s">
        <v>7676</v>
      </c>
      <c r="C2634" s="34" t="s">
        <v>89</v>
      </c>
      <c r="E2634" s="30" t="s">
        <v>1405</v>
      </c>
      <c r="F2634" s="34" t="n">
        <f aca="false">IFERROR(VLOOKUP($A2634,'319'!$B:$H,7,0),0)</f>
        <v>0</v>
      </c>
      <c r="G2634" s="34" t="n">
        <f aca="false">SUMIFS('12.326ana'!$C:$C,'12.326ana'!$M:$M,redes!A2634)</f>
        <v>0</v>
      </c>
    </row>
    <row r="2635" customFormat="false" ht="14.4" hidden="true" customHeight="false" outlineLevel="0" collapsed="false">
      <c r="A2635" s="34" t="n">
        <v>43693458120</v>
      </c>
      <c r="B2635" s="34" t="s">
        <v>7677</v>
      </c>
      <c r="C2635" s="34" t="s">
        <v>77</v>
      </c>
      <c r="E2635" s="30" t="s">
        <v>3076</v>
      </c>
      <c r="F2635" s="34" t="n">
        <f aca="false">IFERROR(VLOOKUP($A2635,'319'!$B:$H,7,0),0)</f>
        <v>0</v>
      </c>
      <c r="G2635" s="34" t="n">
        <f aca="false">SUMIFS('12.326ana'!$C:$C,'12.326ana'!$M:$M,redes!A2635)</f>
        <v>0</v>
      </c>
    </row>
    <row r="2636" customFormat="false" ht="14.4" hidden="true" customHeight="false" outlineLevel="0" collapsed="false">
      <c r="A2636" s="34" t="n">
        <v>43695159120</v>
      </c>
      <c r="B2636" s="34" t="s">
        <v>7678</v>
      </c>
      <c r="C2636" s="34" t="s">
        <v>154</v>
      </c>
      <c r="E2636" s="30" t="s">
        <v>7679</v>
      </c>
      <c r="F2636" s="34" t="n">
        <f aca="false">IFERROR(VLOOKUP($A2636,'319'!$B:$H,7,0),0)</f>
        <v>0</v>
      </c>
      <c r="G2636" s="34" t="n">
        <f aca="false">SUMIFS('12.326ana'!$C:$C,'12.326ana'!$M:$M,redes!A2636)</f>
        <v>0</v>
      </c>
    </row>
    <row r="2637" customFormat="false" ht="14.4" hidden="true" customHeight="false" outlineLevel="0" collapsed="false">
      <c r="A2637" s="34" t="n">
        <v>43704077100</v>
      </c>
      <c r="B2637" s="34" t="s">
        <v>7680</v>
      </c>
      <c r="C2637" s="34" t="s">
        <v>89</v>
      </c>
      <c r="E2637" s="30" t="s">
        <v>7681</v>
      </c>
      <c r="F2637" s="34" t="n">
        <f aca="false">IFERROR(VLOOKUP($A2637,'319'!$B:$H,7,0),0)</f>
        <v>0</v>
      </c>
      <c r="G2637" s="34" t="n">
        <f aca="false">SUMIFS('12.326ana'!$C:$C,'12.326ana'!$M:$M,redes!A2637)</f>
        <v>0</v>
      </c>
    </row>
    <row r="2638" customFormat="false" ht="14.4" hidden="true" customHeight="false" outlineLevel="0" collapsed="false">
      <c r="A2638" s="34" t="n">
        <v>43704689149</v>
      </c>
      <c r="B2638" s="34" t="s">
        <v>7682</v>
      </c>
      <c r="C2638" s="34" t="s">
        <v>89</v>
      </c>
      <c r="E2638" s="30" t="s">
        <v>7683</v>
      </c>
      <c r="F2638" s="34" t="n">
        <f aca="false">IFERROR(VLOOKUP($A2638,'319'!$B:$H,7,0),0)</f>
        <v>0</v>
      </c>
      <c r="G2638" s="34" t="n">
        <f aca="false">SUMIFS('12.326ana'!$C:$C,'12.326ana'!$M:$M,redes!A2638)</f>
        <v>0</v>
      </c>
    </row>
    <row r="2639" customFormat="false" ht="14.4" hidden="true" customHeight="false" outlineLevel="0" collapsed="false">
      <c r="A2639" s="34" t="n">
        <v>43704700134</v>
      </c>
      <c r="B2639" s="34" t="s">
        <v>7684</v>
      </c>
      <c r="C2639" s="34" t="s">
        <v>213</v>
      </c>
      <c r="E2639" s="30" t="s">
        <v>7685</v>
      </c>
      <c r="F2639" s="34" t="n">
        <f aca="false">IFERROR(VLOOKUP($A2639,'319'!$B:$H,7,0),0)</f>
        <v>0</v>
      </c>
      <c r="G2639" s="34" t="n">
        <f aca="false">SUMIFS('12.326ana'!$C:$C,'12.326ana'!$M:$M,redes!A2639)</f>
        <v>0</v>
      </c>
    </row>
    <row r="2640" customFormat="false" ht="14.4" hidden="true" customHeight="false" outlineLevel="0" collapsed="false">
      <c r="A2640" s="34" t="n">
        <v>43707050106</v>
      </c>
      <c r="B2640" s="34" t="s">
        <v>7686</v>
      </c>
      <c r="C2640" s="34" t="s">
        <v>77</v>
      </c>
      <c r="E2640" s="30" t="s">
        <v>7687</v>
      </c>
      <c r="F2640" s="34" t="n">
        <f aca="false">IFERROR(VLOOKUP($A2640,'319'!$B:$H,7,0),0)</f>
        <v>0</v>
      </c>
      <c r="G2640" s="34" t="n">
        <f aca="false">SUMIFS('12.326ana'!$C:$C,'12.326ana'!$M:$M,redes!A2640)</f>
        <v>0</v>
      </c>
    </row>
    <row r="2641" customFormat="false" ht="14.4" hidden="true" customHeight="false" outlineLevel="0" collapsed="false">
      <c r="A2641" s="34" t="n">
        <v>43712169191</v>
      </c>
      <c r="B2641" s="34" t="s">
        <v>7688</v>
      </c>
      <c r="C2641" s="34" t="s">
        <v>1591</v>
      </c>
      <c r="E2641" s="30" t="s">
        <v>4504</v>
      </c>
      <c r="F2641" s="34" t="n">
        <f aca="false">IFERROR(VLOOKUP($A2641,'319'!$B:$H,7,0),0)</f>
        <v>0</v>
      </c>
      <c r="G2641" s="34" t="n">
        <f aca="false">SUMIFS('12.326ana'!$C:$C,'12.326ana'!$M:$M,redes!A2641)</f>
        <v>0</v>
      </c>
    </row>
    <row r="2642" customFormat="false" ht="14.4" hidden="true" customHeight="false" outlineLevel="0" collapsed="false">
      <c r="A2642" s="34" t="n">
        <v>43717918168</v>
      </c>
      <c r="B2642" s="34" t="s">
        <v>7689</v>
      </c>
      <c r="C2642" s="34" t="s">
        <v>342</v>
      </c>
      <c r="E2642" s="30" t="s">
        <v>7690</v>
      </c>
      <c r="F2642" s="34" t="n">
        <f aca="false">IFERROR(VLOOKUP($A2642,'319'!$B:$H,7,0),0)</f>
        <v>0</v>
      </c>
      <c r="G2642" s="34" t="n">
        <f aca="false">SUMIFS('12.326ana'!$C:$C,'12.326ana'!$M:$M,redes!A2642)</f>
        <v>0</v>
      </c>
    </row>
    <row r="2643" customFormat="false" ht="14.4" hidden="true" customHeight="false" outlineLevel="0" collapsed="false">
      <c r="A2643" s="34" t="n">
        <v>43721133153</v>
      </c>
      <c r="B2643" s="34" t="s">
        <v>7691</v>
      </c>
      <c r="C2643" s="34" t="s">
        <v>77</v>
      </c>
      <c r="E2643" s="30" t="s">
        <v>7692</v>
      </c>
      <c r="F2643" s="34" t="n">
        <f aca="false">IFERROR(VLOOKUP($A2643,'319'!$B:$H,7,0),0)</f>
        <v>0</v>
      </c>
      <c r="G2643" s="34" t="n">
        <f aca="false">SUMIFS('12.326ana'!$C:$C,'12.326ana'!$M:$M,redes!A2643)</f>
        <v>0</v>
      </c>
    </row>
    <row r="2644" customFormat="false" ht="14.4" hidden="true" customHeight="false" outlineLevel="0" collapsed="false">
      <c r="A2644" s="34" t="n">
        <v>43730159100</v>
      </c>
      <c r="B2644" s="34" t="s">
        <v>7693</v>
      </c>
      <c r="C2644" s="34" t="s">
        <v>192</v>
      </c>
      <c r="E2644" s="30"/>
      <c r="F2644" s="34" t="n">
        <f aca="false">IFERROR(VLOOKUP($A2644,'319'!$B:$H,7,0),0)</f>
        <v>0</v>
      </c>
      <c r="G2644" s="34" t="n">
        <f aca="false">SUMIFS('12.326ana'!$C:$C,'12.326ana'!$M:$M,redes!A2644)</f>
        <v>0</v>
      </c>
    </row>
    <row r="2645" customFormat="false" ht="14.4" hidden="true" customHeight="false" outlineLevel="0" collapsed="false">
      <c r="A2645" s="34" t="n">
        <v>43731856115</v>
      </c>
      <c r="B2645" s="34" t="s">
        <v>7694</v>
      </c>
      <c r="C2645" s="34" t="s">
        <v>737</v>
      </c>
      <c r="E2645" s="30" t="s">
        <v>7695</v>
      </c>
      <c r="F2645" s="34" t="n">
        <f aca="false">IFERROR(VLOOKUP($A2645,'319'!$B:$H,7,0),0)</f>
        <v>0</v>
      </c>
      <c r="G2645" s="34" t="n">
        <f aca="false">SUMIFS('12.326ana'!$C:$C,'12.326ana'!$M:$M,redes!A2645)</f>
        <v>0</v>
      </c>
    </row>
    <row r="2646" customFormat="false" ht="14.4" hidden="true" customHeight="false" outlineLevel="0" collapsed="false">
      <c r="A2646" s="34" t="n">
        <v>43734766168</v>
      </c>
      <c r="B2646" s="34" t="s">
        <v>7696</v>
      </c>
      <c r="C2646" s="34" t="s">
        <v>77</v>
      </c>
      <c r="E2646" s="30" t="s">
        <v>7697</v>
      </c>
      <c r="F2646" s="34" t="n">
        <f aca="false">IFERROR(VLOOKUP($A2646,'319'!$B:$H,7,0),0)</f>
        <v>0</v>
      </c>
      <c r="G2646" s="34" t="n">
        <f aca="false">SUMIFS('12.326ana'!$C:$C,'12.326ana'!$M:$M,redes!A2646)</f>
        <v>0</v>
      </c>
    </row>
    <row r="2647" customFormat="false" ht="14.4" hidden="true" customHeight="false" outlineLevel="0" collapsed="false">
      <c r="A2647" s="34" t="n">
        <v>43755186187</v>
      </c>
      <c r="B2647" s="34" t="s">
        <v>7698</v>
      </c>
      <c r="C2647" s="34" t="s">
        <v>296</v>
      </c>
      <c r="E2647" s="30" t="s">
        <v>7699</v>
      </c>
      <c r="F2647" s="34" t="n">
        <f aca="false">IFERROR(VLOOKUP($A2647,'319'!$B:$H,7,0),0)</f>
        <v>0</v>
      </c>
      <c r="G2647" s="34" t="n">
        <f aca="false">SUMIFS('12.326ana'!$C:$C,'12.326ana'!$M:$M,redes!A2647)</f>
        <v>0</v>
      </c>
    </row>
    <row r="2648" customFormat="false" ht="14.4" hidden="true" customHeight="false" outlineLevel="0" collapsed="false">
      <c r="A2648" s="34" t="n">
        <v>43755950197</v>
      </c>
      <c r="B2648" s="34" t="s">
        <v>7700</v>
      </c>
      <c r="C2648" s="34" t="s">
        <v>207</v>
      </c>
      <c r="E2648" s="30" t="s">
        <v>7701</v>
      </c>
      <c r="F2648" s="34" t="n">
        <f aca="false">IFERROR(VLOOKUP($A2648,'319'!$B:$H,7,0),0)</f>
        <v>0</v>
      </c>
      <c r="G2648" s="34" t="n">
        <f aca="false">SUMIFS('12.326ana'!$C:$C,'12.326ana'!$M:$M,redes!A2648)</f>
        <v>0</v>
      </c>
    </row>
    <row r="2649" customFormat="false" ht="14.4" hidden="true" customHeight="false" outlineLevel="0" collapsed="false">
      <c r="A2649" s="34" t="n">
        <v>43760384153</v>
      </c>
      <c r="B2649" s="34" t="s">
        <v>969</v>
      </c>
      <c r="C2649" s="34" t="s">
        <v>107</v>
      </c>
      <c r="E2649" s="30" t="s">
        <v>7702</v>
      </c>
      <c r="F2649" s="34" t="n">
        <f aca="false">IFERROR(VLOOKUP($A2649,'319'!$B:$H,7,0),0)</f>
        <v>0</v>
      </c>
      <c r="G2649" s="34" t="n">
        <f aca="false">SUMIFS('12.326ana'!$C:$C,'12.326ana'!$M:$M,redes!A2649)</f>
        <v>0</v>
      </c>
    </row>
    <row r="2650" customFormat="false" ht="14.4" hidden="true" customHeight="false" outlineLevel="0" collapsed="false">
      <c r="A2650" s="34" t="n">
        <v>43761259115</v>
      </c>
      <c r="B2650" s="34" t="s">
        <v>7703</v>
      </c>
      <c r="C2650" s="34" t="s">
        <v>781</v>
      </c>
      <c r="E2650" s="30" t="s">
        <v>7704</v>
      </c>
      <c r="F2650" s="34" t="n">
        <f aca="false">IFERROR(VLOOKUP($A2650,'319'!$B:$H,7,0),0)</f>
        <v>0</v>
      </c>
      <c r="G2650" s="34" t="n">
        <f aca="false">SUMIFS('12.326ana'!$C:$C,'12.326ana'!$M:$M,redes!A2650)</f>
        <v>0</v>
      </c>
    </row>
    <row r="2651" customFormat="false" ht="14.4" hidden="true" customHeight="false" outlineLevel="0" collapsed="false">
      <c r="A2651" s="34" t="n">
        <v>43762336172</v>
      </c>
      <c r="B2651" s="34" t="s">
        <v>7705</v>
      </c>
      <c r="C2651" s="34" t="s">
        <v>77</v>
      </c>
      <c r="E2651" s="30" t="s">
        <v>7705</v>
      </c>
      <c r="F2651" s="34" t="n">
        <f aca="false">IFERROR(VLOOKUP($A2651,'319'!$B:$H,7,0),0)</f>
        <v>0</v>
      </c>
      <c r="G2651" s="34" t="n">
        <f aca="false">SUMIFS('12.326ana'!$C:$C,'12.326ana'!$M:$M,redes!A2651)</f>
        <v>0</v>
      </c>
    </row>
    <row r="2652" customFormat="false" ht="14.4" hidden="true" customHeight="false" outlineLevel="0" collapsed="false">
      <c r="A2652" s="34" t="n">
        <v>43762751153</v>
      </c>
      <c r="B2652" s="34" t="s">
        <v>7706</v>
      </c>
      <c r="C2652" s="34" t="s">
        <v>994</v>
      </c>
      <c r="E2652" s="30"/>
      <c r="F2652" s="34" t="n">
        <f aca="false">IFERROR(VLOOKUP($A2652,'319'!$B:$H,7,0),0)</f>
        <v>0</v>
      </c>
      <c r="G2652" s="34" t="n">
        <f aca="false">SUMIFS('12.326ana'!$C:$C,'12.326ana'!$M:$M,redes!A2652)</f>
        <v>0</v>
      </c>
    </row>
    <row r="2653" customFormat="false" ht="14.4" hidden="true" customHeight="false" outlineLevel="0" collapsed="false">
      <c r="A2653" s="34" t="n">
        <v>43763162100</v>
      </c>
      <c r="B2653" s="34" t="s">
        <v>7707</v>
      </c>
      <c r="C2653" s="34" t="s">
        <v>737</v>
      </c>
      <c r="E2653" s="30" t="s">
        <v>7708</v>
      </c>
      <c r="F2653" s="34" t="n">
        <f aca="false">IFERROR(VLOOKUP($A2653,'319'!$B:$H,7,0),0)</f>
        <v>0</v>
      </c>
      <c r="G2653" s="34" t="n">
        <f aca="false">SUMIFS('12.326ana'!$C:$C,'12.326ana'!$M:$M,redes!A2653)</f>
        <v>0</v>
      </c>
    </row>
    <row r="2654" customFormat="false" ht="14.4" hidden="true" customHeight="false" outlineLevel="0" collapsed="false">
      <c r="A2654" s="34" t="n">
        <v>43763820191</v>
      </c>
      <c r="B2654" s="34" t="s">
        <v>7709</v>
      </c>
      <c r="C2654" s="34" t="s">
        <v>737</v>
      </c>
      <c r="E2654" s="30" t="s">
        <v>7710</v>
      </c>
      <c r="F2654" s="34" t="n">
        <f aca="false">IFERROR(VLOOKUP($A2654,'319'!$B:$H,7,0),0)</f>
        <v>0</v>
      </c>
      <c r="G2654" s="34" t="n">
        <f aca="false">SUMIFS('12.326ana'!$C:$C,'12.326ana'!$M:$M,redes!A2654)</f>
        <v>0</v>
      </c>
    </row>
    <row r="2655" customFormat="false" ht="14.4" hidden="true" customHeight="false" outlineLevel="0" collapsed="false">
      <c r="A2655" s="34" t="n">
        <v>43764142120</v>
      </c>
      <c r="B2655" s="34" t="s">
        <v>7711</v>
      </c>
      <c r="C2655" s="34" t="s">
        <v>737</v>
      </c>
      <c r="E2655" s="30" t="s">
        <v>7712</v>
      </c>
      <c r="F2655" s="34" t="n">
        <f aca="false">IFERROR(VLOOKUP($A2655,'319'!$B:$H,7,0),0)</f>
        <v>0</v>
      </c>
      <c r="G2655" s="34" t="n">
        <f aca="false">SUMIFS('12.326ana'!$C:$C,'12.326ana'!$M:$M,redes!A2655)</f>
        <v>0</v>
      </c>
    </row>
    <row r="2656" customFormat="false" ht="14.4" hidden="true" customHeight="false" outlineLevel="0" collapsed="false">
      <c r="A2656" s="34" t="n">
        <v>43870260068</v>
      </c>
      <c r="B2656" s="34" t="s">
        <v>7713</v>
      </c>
      <c r="C2656" s="34" t="s">
        <v>213</v>
      </c>
      <c r="E2656" s="30" t="s">
        <v>7714</v>
      </c>
      <c r="F2656" s="34" t="n">
        <f aca="false">IFERROR(VLOOKUP($A2656,'319'!$B:$H,7,0),0)</f>
        <v>0</v>
      </c>
      <c r="G2656" s="34" t="n">
        <f aca="false">SUMIFS('12.326ana'!$C:$C,'12.326ana'!$M:$M,redes!A2656)</f>
        <v>0</v>
      </c>
    </row>
    <row r="2657" customFormat="false" ht="14.4" hidden="true" customHeight="false" outlineLevel="0" collapsed="false">
      <c r="A2657" s="34" t="n">
        <v>43906222187</v>
      </c>
      <c r="B2657" s="34" t="s">
        <v>7715</v>
      </c>
      <c r="C2657" s="34" t="s">
        <v>77</v>
      </c>
      <c r="E2657" s="30" t="s">
        <v>3001</v>
      </c>
      <c r="F2657" s="34" t="n">
        <f aca="false">IFERROR(VLOOKUP($A2657,'319'!$B:$H,7,0),0)</f>
        <v>0</v>
      </c>
      <c r="G2657" s="34" t="n">
        <f aca="false">SUMIFS('12.326ana'!$C:$C,'12.326ana'!$M:$M,redes!A2657)</f>
        <v>0</v>
      </c>
    </row>
    <row r="2658" customFormat="false" ht="14.4" hidden="true" customHeight="false" outlineLevel="0" collapsed="false">
      <c r="A2658" s="34" t="n">
        <v>43948960020</v>
      </c>
      <c r="B2658" s="34" t="s">
        <v>7716</v>
      </c>
      <c r="C2658" s="34" t="s">
        <v>77</v>
      </c>
      <c r="E2658" s="30" t="s">
        <v>7717</v>
      </c>
      <c r="F2658" s="34" t="n">
        <f aca="false">IFERROR(VLOOKUP($A2658,'319'!$B:$H,7,0),0)</f>
        <v>0</v>
      </c>
      <c r="G2658" s="34" t="n">
        <f aca="false">SUMIFS('12.326ana'!$C:$C,'12.326ana'!$M:$M,redes!A2658)</f>
        <v>0</v>
      </c>
    </row>
    <row r="2659" customFormat="false" ht="14.4" hidden="true" customHeight="false" outlineLevel="0" collapsed="false">
      <c r="A2659" s="34" t="n">
        <v>44095635304</v>
      </c>
      <c r="B2659" s="34" t="s">
        <v>7718</v>
      </c>
      <c r="C2659" s="34" t="s">
        <v>77</v>
      </c>
      <c r="E2659" s="30"/>
      <c r="F2659" s="34" t="n">
        <f aca="false">IFERROR(VLOOKUP($A2659,'319'!$B:$H,7,0),0)</f>
        <v>0</v>
      </c>
      <c r="G2659" s="34" t="n">
        <f aca="false">SUMIFS('12.326ana'!$C:$C,'12.326ana'!$M:$M,redes!A2659)</f>
        <v>0</v>
      </c>
    </row>
    <row r="2660" customFormat="false" ht="14.4" hidden="true" customHeight="false" outlineLevel="0" collapsed="false">
      <c r="A2660" s="34" t="n">
        <v>44192355191</v>
      </c>
      <c r="B2660" s="34" t="s">
        <v>7719</v>
      </c>
      <c r="C2660" s="34" t="s">
        <v>77</v>
      </c>
      <c r="E2660" s="30" t="s">
        <v>7720</v>
      </c>
      <c r="F2660" s="34" t="n">
        <f aca="false">IFERROR(VLOOKUP($A2660,'319'!$B:$H,7,0),0)</f>
        <v>0</v>
      </c>
      <c r="G2660" s="34" t="n">
        <f aca="false">SUMIFS('12.326ana'!$C:$C,'12.326ana'!$M:$M,redes!A2660)</f>
        <v>0</v>
      </c>
    </row>
    <row r="2661" customFormat="false" ht="14.4" hidden="true" customHeight="false" outlineLevel="0" collapsed="false">
      <c r="A2661" s="34" t="n">
        <v>44216351115</v>
      </c>
      <c r="B2661" s="34" t="s">
        <v>7721</v>
      </c>
      <c r="C2661" s="34" t="s">
        <v>107</v>
      </c>
      <c r="E2661" s="30" t="s">
        <v>4950</v>
      </c>
      <c r="F2661" s="34" t="n">
        <f aca="false">IFERROR(VLOOKUP($A2661,'319'!$B:$H,7,0),0)</f>
        <v>0</v>
      </c>
      <c r="G2661" s="34" t="n">
        <f aca="false">SUMIFS('12.326ana'!$C:$C,'12.326ana'!$M:$M,redes!A2661)</f>
        <v>0</v>
      </c>
    </row>
    <row r="2662" customFormat="false" ht="14.4" hidden="true" customHeight="false" outlineLevel="0" collapsed="false">
      <c r="A2662" s="34" t="n">
        <v>44229755953</v>
      </c>
      <c r="B2662" s="34" t="s">
        <v>7722</v>
      </c>
      <c r="C2662" s="34" t="s">
        <v>77</v>
      </c>
      <c r="E2662" s="30" t="s">
        <v>7723</v>
      </c>
      <c r="F2662" s="34" t="n">
        <f aca="false">IFERROR(VLOOKUP($A2662,'319'!$B:$H,7,0),0)</f>
        <v>0</v>
      </c>
      <c r="G2662" s="34" t="n">
        <f aca="false">SUMIFS('12.326ana'!$C:$C,'12.326ana'!$M:$M,redes!A2662)</f>
        <v>0</v>
      </c>
    </row>
    <row r="2663" customFormat="false" ht="14.4" hidden="true" customHeight="false" outlineLevel="0" collapsed="false">
      <c r="A2663" s="34" t="n">
        <v>44314507004</v>
      </c>
      <c r="B2663" s="34" t="s">
        <v>7724</v>
      </c>
      <c r="C2663" s="34" t="s">
        <v>1680</v>
      </c>
      <c r="E2663" s="30" t="s">
        <v>6461</v>
      </c>
      <c r="F2663" s="34" t="n">
        <f aca="false">IFERROR(VLOOKUP($A2663,'319'!$B:$H,7,0),0)</f>
        <v>0</v>
      </c>
      <c r="G2663" s="34" t="n">
        <f aca="false">SUMIFS('12.326ana'!$C:$C,'12.326ana'!$M:$M,redes!A2663)</f>
        <v>0</v>
      </c>
    </row>
    <row r="2664" customFormat="false" ht="14.4" hidden="true" customHeight="false" outlineLevel="0" collapsed="false">
      <c r="A2664" s="34" t="n">
        <v>44314779187</v>
      </c>
      <c r="B2664" s="34" t="s">
        <v>7725</v>
      </c>
      <c r="C2664" s="34" t="s">
        <v>77</v>
      </c>
      <c r="E2664" s="30" t="s">
        <v>7726</v>
      </c>
      <c r="F2664" s="34" t="n">
        <f aca="false">IFERROR(VLOOKUP($A2664,'319'!$B:$H,7,0),0)</f>
        <v>0</v>
      </c>
      <c r="G2664" s="34" t="n">
        <f aca="false">SUMIFS('12.326ana'!$C:$C,'12.326ana'!$M:$M,redes!A2664)</f>
        <v>0</v>
      </c>
    </row>
    <row r="2665" customFormat="false" ht="14.4" hidden="true" customHeight="false" outlineLevel="0" collapsed="false">
      <c r="A2665" s="34" t="n">
        <v>44405502900</v>
      </c>
      <c r="B2665" s="34" t="s">
        <v>7727</v>
      </c>
      <c r="C2665" s="34" t="s">
        <v>309</v>
      </c>
      <c r="E2665" s="30" t="s">
        <v>7728</v>
      </c>
      <c r="F2665" s="34" t="n">
        <f aca="false">IFERROR(VLOOKUP($A2665,'319'!$B:$H,7,0),0)</f>
        <v>0</v>
      </c>
      <c r="G2665" s="34" t="n">
        <f aca="false">SUMIFS('12.326ana'!$C:$C,'12.326ana'!$M:$M,redes!A2665)</f>
        <v>0</v>
      </c>
    </row>
    <row r="2666" customFormat="false" ht="14.4" hidden="true" customHeight="false" outlineLevel="0" collapsed="false">
      <c r="A2666" s="34" t="n">
        <v>44473753115</v>
      </c>
      <c r="B2666" s="34" t="s">
        <v>7729</v>
      </c>
      <c r="C2666" s="34" t="s">
        <v>77</v>
      </c>
      <c r="E2666" s="30" t="s">
        <v>7730</v>
      </c>
      <c r="F2666" s="34" t="n">
        <f aca="false">IFERROR(VLOOKUP($A2666,'319'!$B:$H,7,0),0)</f>
        <v>0</v>
      </c>
      <c r="G2666" s="34" t="n">
        <f aca="false">SUMIFS('12.326ana'!$C:$C,'12.326ana'!$M:$M,redes!A2666)</f>
        <v>0</v>
      </c>
    </row>
    <row r="2667" customFormat="false" ht="14.4" hidden="true" customHeight="false" outlineLevel="0" collapsed="false">
      <c r="A2667" s="34" t="n">
        <v>44476310168</v>
      </c>
      <c r="B2667" s="34" t="s">
        <v>7731</v>
      </c>
      <c r="C2667" s="34" t="s">
        <v>77</v>
      </c>
      <c r="E2667" s="30" t="s">
        <v>7732</v>
      </c>
      <c r="F2667" s="34" t="n">
        <f aca="false">IFERROR(VLOOKUP($A2667,'319'!$B:$H,7,0),0)</f>
        <v>0</v>
      </c>
      <c r="G2667" s="34" t="n">
        <f aca="false">SUMIFS('12.326ana'!$C:$C,'12.326ana'!$M:$M,redes!A2667)</f>
        <v>0</v>
      </c>
    </row>
    <row r="2668" customFormat="false" ht="14.4" hidden="true" customHeight="false" outlineLevel="0" collapsed="false">
      <c r="A2668" s="34" t="n">
        <v>44478178100</v>
      </c>
      <c r="B2668" s="34" t="s">
        <v>7733</v>
      </c>
      <c r="C2668" s="34" t="s">
        <v>77</v>
      </c>
      <c r="E2668" s="30" t="s">
        <v>7734</v>
      </c>
      <c r="F2668" s="34" t="n">
        <f aca="false">IFERROR(VLOOKUP($A2668,'319'!$B:$H,7,0),0)</f>
        <v>0</v>
      </c>
      <c r="G2668" s="34" t="n">
        <f aca="false">SUMIFS('12.326ana'!$C:$C,'12.326ana'!$M:$M,redes!A2668)</f>
        <v>0</v>
      </c>
    </row>
    <row r="2669" customFormat="false" ht="14.4" hidden="true" customHeight="false" outlineLevel="0" collapsed="false">
      <c r="A2669" s="34" t="n">
        <v>44483015168</v>
      </c>
      <c r="B2669" s="34" t="s">
        <v>7735</v>
      </c>
      <c r="C2669" s="34" t="s">
        <v>351</v>
      </c>
      <c r="E2669" s="30" t="s">
        <v>7735</v>
      </c>
      <c r="F2669" s="34" t="n">
        <f aca="false">IFERROR(VLOOKUP($A2669,'319'!$B:$H,7,0),0)</f>
        <v>0</v>
      </c>
      <c r="G2669" s="34" t="n">
        <f aca="false">SUMIFS('12.326ana'!$C:$C,'12.326ana'!$M:$M,redes!A2669)</f>
        <v>0</v>
      </c>
    </row>
    <row r="2670" customFormat="false" ht="14.4" hidden="true" customHeight="false" outlineLevel="0" collapsed="false">
      <c r="A2670" s="34" t="n">
        <v>44489285191</v>
      </c>
      <c r="B2670" s="34" t="s">
        <v>7736</v>
      </c>
      <c r="C2670" s="34" t="s">
        <v>351</v>
      </c>
      <c r="E2670" s="30" t="s">
        <v>5781</v>
      </c>
      <c r="F2670" s="34" t="n">
        <f aca="false">IFERROR(VLOOKUP($A2670,'319'!$B:$H,7,0),0)</f>
        <v>0</v>
      </c>
      <c r="G2670" s="34" t="n">
        <f aca="false">SUMIFS('12.326ana'!$C:$C,'12.326ana'!$M:$M,redes!A2670)</f>
        <v>0</v>
      </c>
    </row>
    <row r="2671" customFormat="false" ht="14.4" hidden="true" customHeight="false" outlineLevel="0" collapsed="false">
      <c r="A2671" s="34" t="n">
        <v>44495641115</v>
      </c>
      <c r="B2671" s="34" t="s">
        <v>7737</v>
      </c>
      <c r="C2671" s="34" t="s">
        <v>77</v>
      </c>
      <c r="E2671" s="30" t="s">
        <v>7738</v>
      </c>
      <c r="F2671" s="34" t="n">
        <f aca="false">IFERROR(VLOOKUP($A2671,'319'!$B:$H,7,0),0)</f>
        <v>0</v>
      </c>
      <c r="G2671" s="34" t="n">
        <f aca="false">SUMIFS('12.326ana'!$C:$C,'12.326ana'!$M:$M,redes!A2671)</f>
        <v>0</v>
      </c>
    </row>
    <row r="2672" customFormat="false" ht="14.4" hidden="true" customHeight="false" outlineLevel="0" collapsed="false">
      <c r="A2672" s="34" t="n">
        <v>44496125153</v>
      </c>
      <c r="B2672" s="34" t="s">
        <v>7739</v>
      </c>
      <c r="C2672" s="34" t="s">
        <v>139</v>
      </c>
      <c r="E2672" s="30"/>
      <c r="F2672" s="34" t="n">
        <f aca="false">IFERROR(VLOOKUP($A2672,'319'!$B:$H,7,0),0)</f>
        <v>0</v>
      </c>
      <c r="G2672" s="34" t="n">
        <f aca="false">SUMIFS('12.326ana'!$C:$C,'12.326ana'!$M:$M,redes!A2672)</f>
        <v>0</v>
      </c>
    </row>
    <row r="2673" customFormat="false" ht="14.4" hidden="true" customHeight="false" outlineLevel="0" collapsed="false">
      <c r="A2673" s="34" t="n">
        <v>44508000100</v>
      </c>
      <c r="B2673" s="34" t="s">
        <v>7740</v>
      </c>
      <c r="C2673" s="34" t="s">
        <v>77</v>
      </c>
      <c r="E2673" s="30" t="s">
        <v>7741</v>
      </c>
      <c r="F2673" s="34" t="n">
        <f aca="false">IFERROR(VLOOKUP($A2673,'319'!$B:$H,7,0),0)</f>
        <v>0</v>
      </c>
      <c r="G2673" s="34" t="n">
        <f aca="false">SUMIFS('12.326ana'!$C:$C,'12.326ana'!$M:$M,redes!A2673)</f>
        <v>0</v>
      </c>
    </row>
    <row r="2674" customFormat="false" ht="14.4" hidden="true" customHeight="false" outlineLevel="0" collapsed="false">
      <c r="A2674" s="34" t="n">
        <v>44509383134</v>
      </c>
      <c r="B2674" s="34" t="s">
        <v>7742</v>
      </c>
      <c r="C2674" s="34" t="s">
        <v>77</v>
      </c>
      <c r="E2674" s="30" t="s">
        <v>3162</v>
      </c>
      <c r="F2674" s="34" t="n">
        <f aca="false">IFERROR(VLOOKUP($A2674,'319'!$B:$H,7,0),0)</f>
        <v>0</v>
      </c>
      <c r="G2674" s="34" t="n">
        <f aca="false">SUMIFS('12.326ana'!$C:$C,'12.326ana'!$M:$M,redes!A2674)</f>
        <v>0</v>
      </c>
    </row>
    <row r="2675" customFormat="false" ht="14.4" hidden="true" customHeight="false" outlineLevel="0" collapsed="false">
      <c r="A2675" s="34" t="n">
        <v>44509952104</v>
      </c>
      <c r="B2675" s="34" t="s">
        <v>7743</v>
      </c>
      <c r="C2675" s="34" t="s">
        <v>77</v>
      </c>
      <c r="E2675" s="30"/>
      <c r="F2675" s="34" t="n">
        <f aca="false">IFERROR(VLOOKUP($A2675,'319'!$B:$H,7,0),0)</f>
        <v>0</v>
      </c>
      <c r="G2675" s="34" t="n">
        <f aca="false">SUMIFS('12.326ana'!$C:$C,'12.326ana'!$M:$M,redes!A2675)</f>
        <v>0</v>
      </c>
    </row>
    <row r="2676" customFormat="false" ht="14.4" hidden="true" customHeight="false" outlineLevel="0" collapsed="false">
      <c r="A2676" s="34" t="n">
        <v>44510730810</v>
      </c>
      <c r="B2676" s="34" t="s">
        <v>7744</v>
      </c>
      <c r="C2676" s="34" t="s">
        <v>77</v>
      </c>
      <c r="E2676" s="30"/>
      <c r="F2676" s="34" t="n">
        <f aca="false">IFERROR(VLOOKUP($A2676,'319'!$B:$H,7,0),0)</f>
        <v>0</v>
      </c>
      <c r="G2676" s="34" t="n">
        <f aca="false">SUMIFS('12.326ana'!$C:$C,'12.326ana'!$M:$M,redes!A2676)</f>
        <v>0</v>
      </c>
    </row>
    <row r="2677" customFormat="false" ht="14.4" hidden="true" customHeight="false" outlineLevel="0" collapsed="false">
      <c r="A2677" s="34" t="n">
        <v>44515456172</v>
      </c>
      <c r="B2677" s="34" t="s">
        <v>7745</v>
      </c>
      <c r="C2677" s="34" t="s">
        <v>377</v>
      </c>
      <c r="E2677" s="30" t="s">
        <v>7746</v>
      </c>
      <c r="F2677" s="34" t="n">
        <f aca="false">IFERROR(VLOOKUP($A2677,'319'!$B:$H,7,0),0)</f>
        <v>0</v>
      </c>
      <c r="G2677" s="34" t="n">
        <f aca="false">SUMIFS('12.326ana'!$C:$C,'12.326ana'!$M:$M,redes!A2677)</f>
        <v>0</v>
      </c>
    </row>
    <row r="2678" customFormat="false" ht="14.4" hidden="true" customHeight="false" outlineLevel="0" collapsed="false">
      <c r="A2678" s="34" t="n">
        <v>44515731149</v>
      </c>
      <c r="B2678" s="34" t="s">
        <v>7747</v>
      </c>
      <c r="C2678" s="34" t="s">
        <v>77</v>
      </c>
      <c r="E2678" s="30" t="s">
        <v>7748</v>
      </c>
      <c r="F2678" s="34" t="n">
        <f aca="false">IFERROR(VLOOKUP($A2678,'319'!$B:$H,7,0),0)</f>
        <v>0</v>
      </c>
      <c r="G2678" s="34" t="n">
        <f aca="false">SUMIFS('12.326ana'!$C:$C,'12.326ana'!$M:$M,redes!A2678)</f>
        <v>0</v>
      </c>
    </row>
    <row r="2679" customFormat="false" ht="14.4" hidden="true" customHeight="false" outlineLevel="0" collapsed="false">
      <c r="A2679" s="34" t="n">
        <v>44517939120</v>
      </c>
      <c r="B2679" s="34" t="s">
        <v>7749</v>
      </c>
      <c r="C2679" s="34" t="s">
        <v>77</v>
      </c>
      <c r="E2679" s="30" t="s">
        <v>7750</v>
      </c>
      <c r="F2679" s="34" t="n">
        <f aca="false">IFERROR(VLOOKUP($A2679,'319'!$B:$H,7,0),0)</f>
        <v>0</v>
      </c>
      <c r="G2679" s="34" t="n">
        <f aca="false">SUMIFS('12.326ana'!$C:$C,'12.326ana'!$M:$M,redes!A2679)</f>
        <v>0</v>
      </c>
    </row>
    <row r="2680" customFormat="false" ht="14.4" hidden="true" customHeight="false" outlineLevel="0" collapsed="false">
      <c r="A2680" s="34" t="n">
        <v>44519141168</v>
      </c>
      <c r="B2680" s="34" t="s">
        <v>7751</v>
      </c>
      <c r="C2680" s="34" t="s">
        <v>154</v>
      </c>
      <c r="E2680" s="30" t="s">
        <v>7752</v>
      </c>
      <c r="F2680" s="34" t="n">
        <f aca="false">IFERROR(VLOOKUP($A2680,'319'!$B:$H,7,0),0)</f>
        <v>0</v>
      </c>
      <c r="G2680" s="34" t="n">
        <f aca="false">SUMIFS('12.326ana'!$C:$C,'12.326ana'!$M:$M,redes!A2680)</f>
        <v>0</v>
      </c>
    </row>
    <row r="2681" customFormat="false" ht="14.4" hidden="true" customHeight="false" outlineLevel="0" collapsed="false">
      <c r="A2681" s="34" t="n">
        <v>44521740197</v>
      </c>
      <c r="B2681" s="34" t="s">
        <v>7753</v>
      </c>
      <c r="C2681" s="34" t="s">
        <v>77</v>
      </c>
      <c r="E2681" s="30" t="s">
        <v>7467</v>
      </c>
      <c r="F2681" s="34" t="n">
        <f aca="false">IFERROR(VLOOKUP($A2681,'319'!$B:$H,7,0),0)</f>
        <v>0</v>
      </c>
      <c r="G2681" s="34" t="n">
        <f aca="false">SUMIFS('12.326ana'!$C:$C,'12.326ana'!$M:$M,redes!A2681)</f>
        <v>0</v>
      </c>
    </row>
    <row r="2682" customFormat="false" ht="14.4" hidden="true" customHeight="false" outlineLevel="0" collapsed="false">
      <c r="A2682" s="34" t="n">
        <v>44523572100</v>
      </c>
      <c r="B2682" s="34" t="s">
        <v>7754</v>
      </c>
      <c r="C2682" s="34" t="s">
        <v>129</v>
      </c>
      <c r="E2682" s="30" t="s">
        <v>7755</v>
      </c>
      <c r="F2682" s="34" t="n">
        <f aca="false">IFERROR(VLOOKUP($A2682,'319'!$B:$H,7,0),0)</f>
        <v>0</v>
      </c>
      <c r="G2682" s="34" t="n">
        <f aca="false">SUMIFS('12.326ana'!$C:$C,'12.326ana'!$M:$M,redes!A2682)</f>
        <v>0</v>
      </c>
    </row>
    <row r="2683" customFormat="false" ht="14.4" hidden="true" customHeight="false" outlineLevel="0" collapsed="false">
      <c r="A2683" s="34" t="n">
        <v>44529074153</v>
      </c>
      <c r="B2683" s="34" t="s">
        <v>7756</v>
      </c>
      <c r="C2683" s="34" t="s">
        <v>77</v>
      </c>
      <c r="E2683" s="30" t="s">
        <v>7757</v>
      </c>
      <c r="F2683" s="34" t="n">
        <f aca="false">IFERROR(VLOOKUP($A2683,'319'!$B:$H,7,0),0)</f>
        <v>0</v>
      </c>
      <c r="G2683" s="34" t="n">
        <f aca="false">SUMIFS('12.326ana'!$C:$C,'12.326ana'!$M:$M,redes!A2683)</f>
        <v>0</v>
      </c>
    </row>
    <row r="2684" customFormat="false" ht="14.4" hidden="true" customHeight="false" outlineLevel="0" collapsed="false">
      <c r="A2684" s="34" t="n">
        <v>44530706168</v>
      </c>
      <c r="B2684" s="34" t="s">
        <v>7758</v>
      </c>
      <c r="C2684" s="34" t="s">
        <v>463</v>
      </c>
      <c r="E2684" s="30" t="s">
        <v>7759</v>
      </c>
      <c r="F2684" s="34" t="n">
        <f aca="false">IFERROR(VLOOKUP($A2684,'319'!$B:$H,7,0),0)</f>
        <v>0</v>
      </c>
      <c r="G2684" s="34" t="n">
        <f aca="false">SUMIFS('12.326ana'!$C:$C,'12.326ana'!$M:$M,redes!A2684)</f>
        <v>0</v>
      </c>
    </row>
    <row r="2685" customFormat="false" ht="14.4" hidden="true" customHeight="false" outlineLevel="0" collapsed="false">
      <c r="A2685" s="34" t="n">
        <v>44530919153</v>
      </c>
      <c r="B2685" s="34" t="s">
        <v>7760</v>
      </c>
      <c r="C2685" s="34" t="s">
        <v>77</v>
      </c>
      <c r="E2685" s="30" t="s">
        <v>7761</v>
      </c>
      <c r="F2685" s="34" t="n">
        <f aca="false">IFERROR(VLOOKUP($A2685,'319'!$B:$H,7,0),0)</f>
        <v>0</v>
      </c>
      <c r="G2685" s="34" t="n">
        <f aca="false">SUMIFS('12.326ana'!$C:$C,'12.326ana'!$M:$M,redes!A2685)</f>
        <v>0</v>
      </c>
    </row>
    <row r="2686" customFormat="false" ht="14.4" hidden="true" customHeight="false" outlineLevel="0" collapsed="false">
      <c r="A2686" s="34" t="n">
        <v>44533454100</v>
      </c>
      <c r="B2686" s="34" t="s">
        <v>7762</v>
      </c>
      <c r="C2686" s="34" t="s">
        <v>77</v>
      </c>
      <c r="E2686" s="30" t="s">
        <v>4942</v>
      </c>
      <c r="F2686" s="34" t="n">
        <f aca="false">IFERROR(VLOOKUP($A2686,'319'!$B:$H,7,0),0)</f>
        <v>0</v>
      </c>
      <c r="G2686" s="34" t="n">
        <f aca="false">SUMIFS('12.326ana'!$C:$C,'12.326ana'!$M:$M,redes!A2686)</f>
        <v>0</v>
      </c>
    </row>
    <row r="2687" customFormat="false" ht="14.4" hidden="true" customHeight="false" outlineLevel="0" collapsed="false">
      <c r="A2687" s="34" t="n">
        <v>44534485972</v>
      </c>
      <c r="B2687" s="34" t="s">
        <v>7763</v>
      </c>
      <c r="C2687" s="34" t="s">
        <v>77</v>
      </c>
      <c r="E2687" s="30" t="s">
        <v>7764</v>
      </c>
      <c r="F2687" s="34" t="n">
        <f aca="false">IFERROR(VLOOKUP($A2687,'319'!$B:$H,7,0),0)</f>
        <v>0</v>
      </c>
      <c r="G2687" s="34" t="n">
        <f aca="false">SUMIFS('12.326ana'!$C:$C,'12.326ana'!$M:$M,redes!A2687)</f>
        <v>0</v>
      </c>
    </row>
    <row r="2688" customFormat="false" ht="14.4" hidden="true" customHeight="false" outlineLevel="0" collapsed="false">
      <c r="A2688" s="34" t="n">
        <v>44537930144</v>
      </c>
      <c r="B2688" s="34" t="s">
        <v>7765</v>
      </c>
      <c r="C2688" s="34" t="s">
        <v>77</v>
      </c>
      <c r="E2688" s="30" t="s">
        <v>7766</v>
      </c>
      <c r="F2688" s="34" t="n">
        <f aca="false">IFERROR(VLOOKUP($A2688,'319'!$B:$H,7,0),0)</f>
        <v>0</v>
      </c>
      <c r="G2688" s="34" t="n">
        <f aca="false">SUMIFS('12.326ana'!$C:$C,'12.326ana'!$M:$M,redes!A2688)</f>
        <v>0</v>
      </c>
    </row>
    <row r="2689" customFormat="false" ht="14.4" hidden="true" customHeight="false" outlineLevel="0" collapsed="false">
      <c r="A2689" s="34" t="n">
        <v>44545592104</v>
      </c>
      <c r="B2689" s="34" t="s">
        <v>7767</v>
      </c>
      <c r="C2689" s="34" t="s">
        <v>77</v>
      </c>
      <c r="E2689" s="30" t="s">
        <v>7768</v>
      </c>
      <c r="F2689" s="34" t="n">
        <f aca="false">IFERROR(VLOOKUP($A2689,'319'!$B:$H,7,0),0)</f>
        <v>0</v>
      </c>
      <c r="G2689" s="34" t="n">
        <f aca="false">SUMIFS('12.326ana'!$C:$C,'12.326ana'!$M:$M,redes!A2689)</f>
        <v>0</v>
      </c>
    </row>
    <row r="2690" customFormat="false" ht="14.4" hidden="true" customHeight="false" outlineLevel="0" collapsed="false">
      <c r="A2690" s="34" t="n">
        <v>44548982191</v>
      </c>
      <c r="B2690" s="34" t="s">
        <v>7769</v>
      </c>
      <c r="C2690" s="34" t="s">
        <v>77</v>
      </c>
      <c r="E2690" s="30" t="s">
        <v>7770</v>
      </c>
      <c r="F2690" s="34" t="n">
        <f aca="false">IFERROR(VLOOKUP($A2690,'319'!$B:$H,7,0),0)</f>
        <v>0</v>
      </c>
      <c r="G2690" s="34" t="n">
        <f aca="false">SUMIFS('12.326ana'!$C:$C,'12.326ana'!$M:$M,redes!A2690)</f>
        <v>0</v>
      </c>
    </row>
    <row r="2691" customFormat="false" ht="14.4" hidden="true" customHeight="false" outlineLevel="0" collapsed="false">
      <c r="A2691" s="34" t="n">
        <v>44551843172</v>
      </c>
      <c r="B2691" s="34" t="s">
        <v>7771</v>
      </c>
      <c r="C2691" s="34" t="s">
        <v>77</v>
      </c>
      <c r="E2691" s="30" t="s">
        <v>7772</v>
      </c>
      <c r="F2691" s="34" t="n">
        <f aca="false">IFERROR(VLOOKUP($A2691,'319'!$B:$H,7,0),0)</f>
        <v>0</v>
      </c>
      <c r="G2691" s="34" t="n">
        <f aca="false">SUMIFS('12.326ana'!$C:$C,'12.326ana'!$M:$M,redes!A2691)</f>
        <v>0</v>
      </c>
    </row>
    <row r="2692" customFormat="false" ht="14.4" hidden="true" customHeight="false" outlineLevel="0" collapsed="false">
      <c r="A2692" s="34" t="n">
        <v>44554923134</v>
      </c>
      <c r="B2692" s="34" t="s">
        <v>7773</v>
      </c>
      <c r="C2692" s="34" t="s">
        <v>89</v>
      </c>
      <c r="E2692" s="30" t="s">
        <v>7774</v>
      </c>
      <c r="F2692" s="34" t="n">
        <f aca="false">IFERROR(VLOOKUP($A2692,'319'!$B:$H,7,0),0)</f>
        <v>0</v>
      </c>
      <c r="G2692" s="34" t="n">
        <f aca="false">SUMIFS('12.326ana'!$C:$C,'12.326ana'!$M:$M,redes!A2692)</f>
        <v>0</v>
      </c>
    </row>
    <row r="2693" customFormat="false" ht="14.4" hidden="true" customHeight="false" outlineLevel="0" collapsed="false">
      <c r="A2693" s="34" t="n">
        <v>44561229191</v>
      </c>
      <c r="B2693" s="34" t="s">
        <v>7775</v>
      </c>
      <c r="C2693" s="34" t="s">
        <v>77</v>
      </c>
      <c r="E2693" s="30"/>
      <c r="F2693" s="34" t="n">
        <f aca="false">IFERROR(VLOOKUP($A2693,'319'!$B:$H,7,0),0)</f>
        <v>0</v>
      </c>
      <c r="G2693" s="34" t="n">
        <f aca="false">SUMIFS('12.326ana'!$C:$C,'12.326ana'!$M:$M,redes!A2693)</f>
        <v>0</v>
      </c>
    </row>
    <row r="2694" customFormat="false" ht="14.4" hidden="true" customHeight="false" outlineLevel="0" collapsed="false">
      <c r="A2694" s="34" t="n">
        <v>44566182134</v>
      </c>
      <c r="B2694" s="34" t="s">
        <v>7776</v>
      </c>
      <c r="C2694" s="34" t="s">
        <v>77</v>
      </c>
      <c r="E2694" s="30" t="s">
        <v>7777</v>
      </c>
      <c r="F2694" s="34" t="n">
        <f aca="false">IFERROR(VLOOKUP($A2694,'319'!$B:$H,7,0),0)</f>
        <v>0</v>
      </c>
      <c r="G2694" s="34" t="n">
        <f aca="false">SUMIFS('12.326ana'!$C:$C,'12.326ana'!$M:$M,redes!A2694)</f>
        <v>0</v>
      </c>
    </row>
    <row r="2695" customFormat="false" ht="14.4" hidden="true" customHeight="false" outlineLevel="0" collapsed="false">
      <c r="A2695" s="34" t="n">
        <v>44573782168</v>
      </c>
      <c r="B2695" s="34" t="s">
        <v>7778</v>
      </c>
      <c r="C2695" s="34" t="s">
        <v>117</v>
      </c>
      <c r="E2695" s="30" t="s">
        <v>7779</v>
      </c>
      <c r="F2695" s="34" t="n">
        <f aca="false">IFERROR(VLOOKUP($A2695,'319'!$B:$H,7,0),0)</f>
        <v>0</v>
      </c>
      <c r="G2695" s="34" t="n">
        <f aca="false">SUMIFS('12.326ana'!$C:$C,'12.326ana'!$M:$M,redes!A2695)</f>
        <v>0</v>
      </c>
    </row>
    <row r="2696" customFormat="false" ht="14.4" hidden="true" customHeight="false" outlineLevel="0" collapsed="false">
      <c r="A2696" s="34" t="n">
        <v>44576846191</v>
      </c>
      <c r="B2696" s="34" t="s">
        <v>7780</v>
      </c>
      <c r="C2696" s="34" t="s">
        <v>77</v>
      </c>
      <c r="E2696" s="30" t="s">
        <v>7781</v>
      </c>
      <c r="F2696" s="34" t="n">
        <f aca="false">IFERROR(VLOOKUP($A2696,'319'!$B:$H,7,0),0)</f>
        <v>0</v>
      </c>
      <c r="G2696" s="34" t="n">
        <f aca="false">SUMIFS('12.326ana'!$C:$C,'12.326ana'!$M:$M,redes!A2696)</f>
        <v>0</v>
      </c>
    </row>
    <row r="2697" customFormat="false" ht="14.4" hidden="true" customHeight="false" outlineLevel="0" collapsed="false">
      <c r="A2697" s="34" t="n">
        <v>44585705104</v>
      </c>
      <c r="B2697" s="34" t="s">
        <v>7782</v>
      </c>
      <c r="C2697" s="34" t="s">
        <v>77</v>
      </c>
      <c r="E2697" s="30" t="s">
        <v>7783</v>
      </c>
      <c r="F2697" s="34" t="n">
        <f aca="false">IFERROR(VLOOKUP($A2697,'319'!$B:$H,7,0),0)</f>
        <v>0</v>
      </c>
      <c r="G2697" s="34" t="n">
        <f aca="false">SUMIFS('12.326ana'!$C:$C,'12.326ana'!$M:$M,redes!A2697)</f>
        <v>0</v>
      </c>
    </row>
    <row r="2698" customFormat="false" ht="14.4" hidden="true" customHeight="false" outlineLevel="0" collapsed="false">
      <c r="A2698" s="34" t="n">
        <v>44591292134</v>
      </c>
      <c r="B2698" s="34" t="s">
        <v>7784</v>
      </c>
      <c r="C2698" s="34" t="s">
        <v>77</v>
      </c>
      <c r="E2698" s="30" t="s">
        <v>7785</v>
      </c>
      <c r="F2698" s="34" t="n">
        <f aca="false">IFERROR(VLOOKUP($A2698,'319'!$B:$H,7,0),0)</f>
        <v>0</v>
      </c>
      <c r="G2698" s="34" t="n">
        <f aca="false">SUMIFS('12.326ana'!$C:$C,'12.326ana'!$M:$M,redes!A2698)</f>
        <v>0</v>
      </c>
    </row>
    <row r="2699" customFormat="false" ht="14.4" hidden="true" customHeight="false" outlineLevel="0" collapsed="false">
      <c r="A2699" s="34" t="n">
        <v>44592175115</v>
      </c>
      <c r="B2699" s="34" t="s">
        <v>7786</v>
      </c>
      <c r="C2699" s="34" t="s">
        <v>77</v>
      </c>
      <c r="E2699" s="30" t="s">
        <v>7787</v>
      </c>
      <c r="F2699" s="34" t="n">
        <f aca="false">IFERROR(VLOOKUP($A2699,'319'!$B:$H,7,0),0)</f>
        <v>0</v>
      </c>
      <c r="G2699" s="34" t="n">
        <f aca="false">SUMIFS('12.326ana'!$C:$C,'12.326ana'!$M:$M,redes!A2699)</f>
        <v>0</v>
      </c>
    </row>
    <row r="2700" customFormat="false" ht="14.4" hidden="true" customHeight="false" outlineLevel="0" collapsed="false">
      <c r="A2700" s="34" t="n">
        <v>44593481104</v>
      </c>
      <c r="B2700" s="34" t="s">
        <v>7788</v>
      </c>
      <c r="C2700" s="34" t="s">
        <v>77</v>
      </c>
      <c r="E2700" s="30" t="s">
        <v>7789</v>
      </c>
      <c r="F2700" s="34" t="n">
        <f aca="false">IFERROR(VLOOKUP($A2700,'319'!$B:$H,7,0),0)</f>
        <v>0</v>
      </c>
      <c r="G2700" s="34" t="n">
        <f aca="false">SUMIFS('12.326ana'!$C:$C,'12.326ana'!$M:$M,redes!A2700)</f>
        <v>0</v>
      </c>
    </row>
    <row r="2701" customFormat="false" ht="14.4" hidden="true" customHeight="false" outlineLevel="0" collapsed="false">
      <c r="A2701" s="34" t="n">
        <v>44594291104</v>
      </c>
      <c r="B2701" s="34" t="s">
        <v>7790</v>
      </c>
      <c r="C2701" s="34" t="s">
        <v>77</v>
      </c>
      <c r="E2701" s="30" t="s">
        <v>7791</v>
      </c>
      <c r="F2701" s="34" t="n">
        <f aca="false">IFERROR(VLOOKUP($A2701,'319'!$B:$H,7,0),0)</f>
        <v>0</v>
      </c>
      <c r="G2701" s="34" t="n">
        <f aca="false">SUMIFS('12.326ana'!$C:$C,'12.326ana'!$M:$M,redes!A2701)</f>
        <v>0</v>
      </c>
    </row>
    <row r="2702" customFormat="false" ht="14.4" hidden="true" customHeight="false" outlineLevel="0" collapsed="false">
      <c r="A2702" s="34" t="n">
        <v>44601832187</v>
      </c>
      <c r="B2702" s="34" t="s">
        <v>7792</v>
      </c>
      <c r="C2702" s="34" t="s">
        <v>77</v>
      </c>
      <c r="E2702" s="30" t="s">
        <v>7793</v>
      </c>
      <c r="F2702" s="34" t="n">
        <f aca="false">IFERROR(VLOOKUP($A2702,'319'!$B:$H,7,0),0)</f>
        <v>0</v>
      </c>
      <c r="G2702" s="34" t="n">
        <f aca="false">SUMIFS('12.326ana'!$C:$C,'12.326ana'!$M:$M,redes!A2702)</f>
        <v>0</v>
      </c>
    </row>
    <row r="2703" customFormat="false" ht="14.4" hidden="true" customHeight="false" outlineLevel="0" collapsed="false">
      <c r="A2703" s="34" t="n">
        <v>44603444915</v>
      </c>
      <c r="B2703" s="34" t="s">
        <v>7794</v>
      </c>
      <c r="C2703" s="34" t="s">
        <v>77</v>
      </c>
      <c r="E2703" s="30" t="s">
        <v>7795</v>
      </c>
      <c r="F2703" s="34" t="n">
        <f aca="false">IFERROR(VLOOKUP($A2703,'319'!$B:$H,7,0),0)</f>
        <v>0</v>
      </c>
      <c r="G2703" s="34" t="n">
        <f aca="false">SUMIFS('12.326ana'!$C:$C,'12.326ana'!$M:$M,redes!A2703)</f>
        <v>0</v>
      </c>
    </row>
    <row r="2704" customFormat="false" ht="14.4" hidden="true" customHeight="false" outlineLevel="0" collapsed="false">
      <c r="A2704" s="34" t="n">
        <v>44604734100</v>
      </c>
      <c r="B2704" s="34" t="s">
        <v>7796</v>
      </c>
      <c r="C2704" s="34" t="s">
        <v>77</v>
      </c>
      <c r="E2704" s="30" t="s">
        <v>7797</v>
      </c>
      <c r="F2704" s="34" t="n">
        <f aca="false">IFERROR(VLOOKUP($A2704,'319'!$B:$H,7,0),0)</f>
        <v>0</v>
      </c>
      <c r="G2704" s="34" t="n">
        <f aca="false">SUMIFS('12.326ana'!$C:$C,'12.326ana'!$M:$M,redes!A2704)</f>
        <v>0</v>
      </c>
    </row>
    <row r="2705" customFormat="false" ht="14.4" hidden="true" customHeight="false" outlineLevel="0" collapsed="false">
      <c r="A2705" s="34" t="n">
        <v>44604939934</v>
      </c>
      <c r="B2705" s="34" t="s">
        <v>7798</v>
      </c>
      <c r="C2705" s="34" t="s">
        <v>309</v>
      </c>
      <c r="E2705" s="30" t="s">
        <v>7799</v>
      </c>
      <c r="F2705" s="34" t="n">
        <f aca="false">IFERROR(VLOOKUP($A2705,'319'!$B:$H,7,0),0)</f>
        <v>0</v>
      </c>
      <c r="G2705" s="34" t="n">
        <f aca="false">SUMIFS('12.326ana'!$C:$C,'12.326ana'!$M:$M,redes!A2705)</f>
        <v>0</v>
      </c>
    </row>
    <row r="2706" customFormat="false" ht="14.4" hidden="true" customHeight="false" outlineLevel="0" collapsed="false">
      <c r="A2706" s="34" t="n">
        <v>44615132115</v>
      </c>
      <c r="B2706" s="34" t="s">
        <v>7800</v>
      </c>
      <c r="C2706" s="34" t="s">
        <v>77</v>
      </c>
      <c r="E2706" s="30" t="s">
        <v>7801</v>
      </c>
      <c r="F2706" s="34" t="n">
        <f aca="false">IFERROR(VLOOKUP($A2706,'319'!$B:$H,7,0),0)</f>
        <v>0</v>
      </c>
      <c r="G2706" s="34" t="n">
        <f aca="false">SUMIFS('12.326ana'!$C:$C,'12.326ana'!$M:$M,redes!A2706)</f>
        <v>0</v>
      </c>
    </row>
    <row r="2707" customFormat="false" ht="14.4" hidden="true" customHeight="false" outlineLevel="0" collapsed="false">
      <c r="A2707" s="34" t="n">
        <v>44615418191</v>
      </c>
      <c r="B2707" s="34" t="s">
        <v>7802</v>
      </c>
      <c r="C2707" s="34" t="s">
        <v>77</v>
      </c>
      <c r="E2707" s="30" t="s">
        <v>7803</v>
      </c>
      <c r="F2707" s="34" t="n">
        <f aca="false">IFERROR(VLOOKUP($A2707,'319'!$B:$H,7,0),0)</f>
        <v>0</v>
      </c>
      <c r="G2707" s="34" t="n">
        <f aca="false">SUMIFS('12.326ana'!$C:$C,'12.326ana'!$M:$M,redes!A2707)</f>
        <v>0</v>
      </c>
    </row>
    <row r="2708" customFormat="false" ht="14.4" hidden="true" customHeight="false" outlineLevel="0" collapsed="false">
      <c r="A2708" s="34" t="n">
        <v>44616007187</v>
      </c>
      <c r="B2708" s="34" t="s">
        <v>1679</v>
      </c>
      <c r="C2708" s="34" t="s">
        <v>77</v>
      </c>
      <c r="E2708" s="30"/>
      <c r="F2708" s="34" t="n">
        <f aca="false">IFERROR(VLOOKUP($A2708,'319'!$B:$H,7,0),0)</f>
        <v>0</v>
      </c>
      <c r="G2708" s="34" t="n">
        <f aca="false">SUMIFS('12.326ana'!$C:$C,'12.326ana'!$M:$M,redes!A2708)</f>
        <v>0</v>
      </c>
    </row>
    <row r="2709" customFormat="false" ht="14.4" hidden="true" customHeight="false" outlineLevel="0" collapsed="false">
      <c r="A2709" s="34" t="n">
        <v>44616260168</v>
      </c>
      <c r="B2709" s="34" t="s">
        <v>7804</v>
      </c>
      <c r="C2709" s="34" t="s">
        <v>351</v>
      </c>
      <c r="E2709" s="30" t="s">
        <v>7805</v>
      </c>
      <c r="F2709" s="34" t="n">
        <f aca="false">IFERROR(VLOOKUP($A2709,'319'!$B:$H,7,0),0)</f>
        <v>0</v>
      </c>
      <c r="G2709" s="34" t="n">
        <f aca="false">SUMIFS('12.326ana'!$C:$C,'12.326ana'!$M:$M,redes!A2709)</f>
        <v>0</v>
      </c>
    </row>
    <row r="2710" customFormat="false" ht="14.4" hidden="true" customHeight="false" outlineLevel="0" collapsed="false">
      <c r="A2710" s="34" t="n">
        <v>44617011153</v>
      </c>
      <c r="B2710" s="34" t="s">
        <v>7806</v>
      </c>
      <c r="C2710" s="34" t="s">
        <v>77</v>
      </c>
      <c r="E2710" s="30" t="s">
        <v>7807</v>
      </c>
      <c r="F2710" s="34" t="n">
        <f aca="false">IFERROR(VLOOKUP($A2710,'319'!$B:$H,7,0),0)</f>
        <v>0</v>
      </c>
      <c r="G2710" s="34" t="n">
        <f aca="false">SUMIFS('12.326ana'!$C:$C,'12.326ana'!$M:$M,redes!A2710)</f>
        <v>0</v>
      </c>
    </row>
    <row r="2711" customFormat="false" ht="14.4" hidden="true" customHeight="false" outlineLevel="0" collapsed="false">
      <c r="A2711" s="34" t="n">
        <v>44617739149</v>
      </c>
      <c r="B2711" s="34" t="s">
        <v>7808</v>
      </c>
      <c r="C2711" s="34" t="s">
        <v>107</v>
      </c>
      <c r="E2711" s="30" t="s">
        <v>7809</v>
      </c>
      <c r="F2711" s="34" t="n">
        <f aca="false">IFERROR(VLOOKUP($A2711,'319'!$B:$H,7,0),0)</f>
        <v>0</v>
      </c>
      <c r="G2711" s="34" t="n">
        <f aca="false">SUMIFS('12.326ana'!$C:$C,'12.326ana'!$M:$M,redes!A2711)</f>
        <v>0</v>
      </c>
    </row>
    <row r="2712" customFormat="false" ht="14.4" hidden="true" customHeight="false" outlineLevel="0" collapsed="false">
      <c r="A2712" s="34" t="n">
        <v>44620764191</v>
      </c>
      <c r="B2712" s="34" t="s">
        <v>7810</v>
      </c>
      <c r="C2712" s="34" t="s">
        <v>89</v>
      </c>
      <c r="E2712" s="30" t="s">
        <v>7811</v>
      </c>
      <c r="F2712" s="34" t="n">
        <f aca="false">IFERROR(VLOOKUP($A2712,'319'!$B:$H,7,0),0)</f>
        <v>0</v>
      </c>
      <c r="G2712" s="34" t="n">
        <f aca="false">SUMIFS('12.326ana'!$C:$C,'12.326ana'!$M:$M,redes!A2712)</f>
        <v>0</v>
      </c>
    </row>
    <row r="2713" customFormat="false" ht="14.4" hidden="true" customHeight="false" outlineLevel="0" collapsed="false">
      <c r="A2713" s="34" t="n">
        <v>44622988100</v>
      </c>
      <c r="B2713" s="34" t="s">
        <v>7812</v>
      </c>
      <c r="C2713" s="34" t="s">
        <v>1272</v>
      </c>
      <c r="E2713" s="30"/>
      <c r="F2713" s="34" t="n">
        <f aca="false">IFERROR(VLOOKUP($A2713,'319'!$B:$H,7,0),0)</f>
        <v>0</v>
      </c>
      <c r="G2713" s="34" t="n">
        <f aca="false">SUMIFS('12.326ana'!$C:$C,'12.326ana'!$M:$M,redes!A2713)</f>
        <v>0</v>
      </c>
    </row>
    <row r="2714" customFormat="false" ht="14.4" hidden="true" customHeight="false" outlineLevel="0" collapsed="false">
      <c r="A2714" s="34" t="n">
        <v>44628242100</v>
      </c>
      <c r="B2714" s="34" t="s">
        <v>7813</v>
      </c>
      <c r="C2714" s="34" t="s">
        <v>706</v>
      </c>
      <c r="E2714" s="30" t="s">
        <v>7813</v>
      </c>
      <c r="F2714" s="34" t="n">
        <f aca="false">IFERROR(VLOOKUP($A2714,'319'!$B:$H,7,0),0)</f>
        <v>0</v>
      </c>
      <c r="G2714" s="34" t="n">
        <f aca="false">SUMIFS('12.326ana'!$C:$C,'12.326ana'!$M:$M,redes!A2714)</f>
        <v>0</v>
      </c>
    </row>
    <row r="2715" customFormat="false" ht="14.4" hidden="true" customHeight="false" outlineLevel="0" collapsed="false">
      <c r="A2715" s="34" t="n">
        <v>44631383100</v>
      </c>
      <c r="B2715" s="34" t="s">
        <v>7814</v>
      </c>
      <c r="C2715" s="34" t="s">
        <v>107</v>
      </c>
      <c r="E2715" s="30"/>
      <c r="F2715" s="34" t="n">
        <f aca="false">IFERROR(VLOOKUP($A2715,'319'!$B:$H,7,0),0)</f>
        <v>0</v>
      </c>
      <c r="G2715" s="34" t="n">
        <f aca="false">SUMIFS('12.326ana'!$C:$C,'12.326ana'!$M:$M,redes!A2715)</f>
        <v>0</v>
      </c>
    </row>
    <row r="2716" customFormat="false" ht="14.4" hidden="true" customHeight="false" outlineLevel="0" collapsed="false">
      <c r="A2716" s="34" t="n">
        <v>44642776168</v>
      </c>
      <c r="B2716" s="34" t="s">
        <v>7815</v>
      </c>
      <c r="C2716" s="34" t="s">
        <v>107</v>
      </c>
      <c r="E2716" s="30" t="s">
        <v>4326</v>
      </c>
      <c r="F2716" s="34" t="n">
        <f aca="false">IFERROR(VLOOKUP($A2716,'319'!$B:$H,7,0),0)</f>
        <v>0</v>
      </c>
      <c r="G2716" s="34" t="n">
        <f aca="false">SUMIFS('12.326ana'!$C:$C,'12.326ana'!$M:$M,redes!A2716)</f>
        <v>0</v>
      </c>
    </row>
    <row r="2717" customFormat="false" ht="14.4" hidden="true" customHeight="false" outlineLevel="0" collapsed="false">
      <c r="A2717" s="34" t="n">
        <v>44654979115</v>
      </c>
      <c r="B2717" s="34" t="s">
        <v>7816</v>
      </c>
      <c r="C2717" s="34" t="s">
        <v>77</v>
      </c>
      <c r="E2717" s="30" t="s">
        <v>7817</v>
      </c>
      <c r="F2717" s="34" t="n">
        <f aca="false">IFERROR(VLOOKUP($A2717,'319'!$B:$H,7,0),0)</f>
        <v>0</v>
      </c>
      <c r="G2717" s="34" t="n">
        <f aca="false">SUMIFS('12.326ana'!$C:$C,'12.326ana'!$M:$M,redes!A2717)</f>
        <v>0</v>
      </c>
    </row>
    <row r="2718" customFormat="false" ht="14.4" hidden="true" customHeight="false" outlineLevel="0" collapsed="false">
      <c r="A2718" s="34" t="n">
        <v>44655142120</v>
      </c>
      <c r="B2718" s="34" t="s">
        <v>7818</v>
      </c>
      <c r="C2718" s="34" t="s">
        <v>77</v>
      </c>
      <c r="E2718" s="30" t="s">
        <v>5750</v>
      </c>
      <c r="F2718" s="34" t="n">
        <f aca="false">IFERROR(VLOOKUP($A2718,'319'!$B:$H,7,0),0)</f>
        <v>0</v>
      </c>
      <c r="G2718" s="34" t="n">
        <f aca="false">SUMIFS('12.326ana'!$C:$C,'12.326ana'!$M:$M,redes!A2718)</f>
        <v>0</v>
      </c>
    </row>
    <row r="2719" customFormat="false" ht="14.4" hidden="true" customHeight="false" outlineLevel="0" collapsed="false">
      <c r="A2719" s="34" t="n">
        <v>44669577115</v>
      </c>
      <c r="B2719" s="34" t="s">
        <v>7819</v>
      </c>
      <c r="C2719" s="34" t="s">
        <v>328</v>
      </c>
      <c r="E2719" s="30" t="s">
        <v>7820</v>
      </c>
      <c r="F2719" s="34" t="n">
        <f aca="false">IFERROR(VLOOKUP($A2719,'319'!$B:$H,7,0),0)</f>
        <v>0</v>
      </c>
      <c r="G2719" s="34" t="n">
        <f aca="false">SUMIFS('12.326ana'!$C:$C,'12.326ana'!$M:$M,redes!A2719)</f>
        <v>0</v>
      </c>
    </row>
    <row r="2720" customFormat="false" ht="14.4" hidden="true" customHeight="false" outlineLevel="0" collapsed="false">
      <c r="A2720" s="34" t="n">
        <v>44671563134</v>
      </c>
      <c r="B2720" s="34" t="s">
        <v>7821</v>
      </c>
      <c r="C2720" s="34" t="s">
        <v>77</v>
      </c>
      <c r="E2720" s="30" t="s">
        <v>7822</v>
      </c>
      <c r="F2720" s="34" t="n">
        <f aca="false">IFERROR(VLOOKUP($A2720,'319'!$B:$H,7,0),0)</f>
        <v>0</v>
      </c>
      <c r="G2720" s="34" t="n">
        <f aca="false">SUMIFS('12.326ana'!$C:$C,'12.326ana'!$M:$M,redes!A2720)</f>
        <v>0</v>
      </c>
    </row>
    <row r="2721" customFormat="false" ht="14.4" hidden="true" customHeight="false" outlineLevel="0" collapsed="false">
      <c r="A2721" s="34" t="n">
        <v>44680643153</v>
      </c>
      <c r="B2721" s="34" t="s">
        <v>7823</v>
      </c>
      <c r="C2721" s="34" t="s">
        <v>77</v>
      </c>
      <c r="E2721" s="30" t="s">
        <v>7824</v>
      </c>
      <c r="F2721" s="34" t="n">
        <f aca="false">IFERROR(VLOOKUP($A2721,'319'!$B:$H,7,0),0)</f>
        <v>0</v>
      </c>
      <c r="G2721" s="34" t="n">
        <f aca="false">SUMIFS('12.326ana'!$C:$C,'12.326ana'!$M:$M,redes!A2721)</f>
        <v>0</v>
      </c>
    </row>
    <row r="2722" customFormat="false" ht="14.4" hidden="true" customHeight="false" outlineLevel="0" collapsed="false">
      <c r="A2722" s="34" t="n">
        <v>44685076168</v>
      </c>
      <c r="B2722" s="34" t="s">
        <v>7825</v>
      </c>
      <c r="C2722" s="34" t="s">
        <v>1272</v>
      </c>
      <c r="E2722" s="30" t="s">
        <v>7826</v>
      </c>
      <c r="F2722" s="34" t="n">
        <f aca="false">IFERROR(VLOOKUP($A2722,'319'!$B:$H,7,0),0)</f>
        <v>0</v>
      </c>
      <c r="G2722" s="34" t="n">
        <f aca="false">SUMIFS('12.326ana'!$C:$C,'12.326ana'!$M:$M,redes!A2722)</f>
        <v>0</v>
      </c>
    </row>
    <row r="2723" customFormat="false" ht="14.4" hidden="true" customHeight="false" outlineLevel="0" collapsed="false">
      <c r="A2723" s="34" t="n">
        <v>44694709100</v>
      </c>
      <c r="B2723" s="34" t="s">
        <v>7827</v>
      </c>
      <c r="C2723" s="34" t="s">
        <v>103</v>
      </c>
      <c r="E2723" s="30" t="s">
        <v>7828</v>
      </c>
      <c r="F2723" s="34" t="n">
        <f aca="false">IFERROR(VLOOKUP($A2723,'319'!$B:$H,7,0),0)</f>
        <v>0</v>
      </c>
      <c r="G2723" s="34" t="n">
        <f aca="false">SUMIFS('12.326ana'!$C:$C,'12.326ana'!$M:$M,redes!A2723)</f>
        <v>0</v>
      </c>
    </row>
    <row r="2724" customFormat="false" ht="14.4" hidden="true" customHeight="false" outlineLevel="0" collapsed="false">
      <c r="A2724" s="34" t="n">
        <v>44705905172</v>
      </c>
      <c r="B2724" s="34" t="s">
        <v>7829</v>
      </c>
      <c r="C2724" s="34" t="s">
        <v>1680</v>
      </c>
      <c r="E2724" s="30"/>
      <c r="F2724" s="34" t="n">
        <f aca="false">IFERROR(VLOOKUP($A2724,'319'!$B:$H,7,0),0)</f>
        <v>0</v>
      </c>
      <c r="G2724" s="34" t="n">
        <f aca="false">SUMIFS('12.326ana'!$C:$C,'12.326ana'!$M:$M,redes!A2724)</f>
        <v>0</v>
      </c>
    </row>
    <row r="2725" customFormat="false" ht="14.4" hidden="true" customHeight="false" outlineLevel="0" collapsed="false">
      <c r="A2725" s="34" t="n">
        <v>44707096115</v>
      </c>
      <c r="B2725" s="34" t="s">
        <v>7830</v>
      </c>
      <c r="C2725" s="34" t="s">
        <v>77</v>
      </c>
      <c r="E2725" s="30" t="s">
        <v>5240</v>
      </c>
      <c r="F2725" s="34" t="n">
        <f aca="false">IFERROR(VLOOKUP($A2725,'319'!$B:$H,7,0),0)</f>
        <v>0</v>
      </c>
      <c r="G2725" s="34" t="n">
        <f aca="false">SUMIFS('12.326ana'!$C:$C,'12.326ana'!$M:$M,redes!A2725)</f>
        <v>0</v>
      </c>
    </row>
    <row r="2726" customFormat="false" ht="14.4" hidden="true" customHeight="false" outlineLevel="0" collapsed="false">
      <c r="A2726" s="34" t="n">
        <v>44707118100</v>
      </c>
      <c r="B2726" s="34" t="s">
        <v>7831</v>
      </c>
      <c r="C2726" s="34" t="s">
        <v>139</v>
      </c>
      <c r="E2726" s="30" t="s">
        <v>7832</v>
      </c>
      <c r="F2726" s="34" t="n">
        <f aca="false">IFERROR(VLOOKUP($A2726,'319'!$B:$H,7,0),0)</f>
        <v>0</v>
      </c>
      <c r="G2726" s="34" t="n">
        <f aca="false">SUMIFS('12.326ana'!$C:$C,'12.326ana'!$M:$M,redes!A2726)</f>
        <v>0</v>
      </c>
    </row>
    <row r="2727" customFormat="false" ht="14.4" hidden="true" customHeight="false" outlineLevel="0" collapsed="false">
      <c r="A2727" s="34" t="n">
        <v>44710550115</v>
      </c>
      <c r="B2727" s="34" t="s">
        <v>7833</v>
      </c>
      <c r="C2727" s="34" t="s">
        <v>77</v>
      </c>
      <c r="E2727" s="30"/>
      <c r="F2727" s="34" t="n">
        <f aca="false">IFERROR(VLOOKUP($A2727,'319'!$B:$H,7,0),0)</f>
        <v>0</v>
      </c>
      <c r="G2727" s="34" t="n">
        <f aca="false">SUMIFS('12.326ana'!$C:$C,'12.326ana'!$M:$M,redes!A2727)</f>
        <v>0</v>
      </c>
    </row>
    <row r="2728" customFormat="false" ht="14.4" hidden="true" customHeight="false" outlineLevel="0" collapsed="false">
      <c r="A2728" s="34" t="n">
        <v>44711182187</v>
      </c>
      <c r="B2728" s="34" t="s">
        <v>7834</v>
      </c>
      <c r="C2728" s="34" t="s">
        <v>77</v>
      </c>
      <c r="E2728" s="30" t="s">
        <v>7835</v>
      </c>
      <c r="F2728" s="34" t="n">
        <f aca="false">IFERROR(VLOOKUP($A2728,'319'!$B:$H,7,0),0)</f>
        <v>0</v>
      </c>
      <c r="G2728" s="34" t="n">
        <f aca="false">SUMIFS('12.326ana'!$C:$C,'12.326ana'!$M:$M,redes!A2728)</f>
        <v>0</v>
      </c>
    </row>
    <row r="2729" customFormat="false" ht="14.4" hidden="true" customHeight="false" outlineLevel="0" collapsed="false">
      <c r="A2729" s="34" t="n">
        <v>44711646191</v>
      </c>
      <c r="B2729" s="34" t="s">
        <v>7836</v>
      </c>
      <c r="C2729" s="34" t="s">
        <v>77</v>
      </c>
      <c r="E2729" s="30"/>
      <c r="F2729" s="34" t="n">
        <f aca="false">IFERROR(VLOOKUP($A2729,'319'!$B:$H,7,0),0)</f>
        <v>0</v>
      </c>
      <c r="G2729" s="34" t="n">
        <f aca="false">SUMIFS('12.326ana'!$C:$C,'12.326ana'!$M:$M,redes!A2729)</f>
        <v>0</v>
      </c>
    </row>
    <row r="2730" customFormat="false" ht="14.4" hidden="true" customHeight="false" outlineLevel="0" collapsed="false">
      <c r="A2730" s="34" t="n">
        <v>44717717104</v>
      </c>
      <c r="B2730" s="34" t="s">
        <v>7837</v>
      </c>
      <c r="C2730" s="34" t="s">
        <v>107</v>
      </c>
      <c r="E2730" s="30" t="s">
        <v>3194</v>
      </c>
      <c r="F2730" s="34" t="n">
        <f aca="false">IFERROR(VLOOKUP($A2730,'319'!$B:$H,7,0),0)</f>
        <v>0</v>
      </c>
      <c r="G2730" s="34" t="n">
        <f aca="false">SUMIFS('12.326ana'!$C:$C,'12.326ana'!$M:$M,redes!A2730)</f>
        <v>0</v>
      </c>
    </row>
    <row r="2731" customFormat="false" ht="14.4" hidden="true" customHeight="false" outlineLevel="0" collapsed="false">
      <c r="A2731" s="34" t="n">
        <v>44718080100</v>
      </c>
      <c r="B2731" s="34" t="s">
        <v>7838</v>
      </c>
      <c r="C2731" s="34" t="s">
        <v>107</v>
      </c>
      <c r="E2731" s="30" t="s">
        <v>4276</v>
      </c>
      <c r="F2731" s="34" t="n">
        <f aca="false">IFERROR(VLOOKUP($A2731,'319'!$B:$H,7,0),0)</f>
        <v>0</v>
      </c>
      <c r="G2731" s="34" t="n">
        <f aca="false">SUMIFS('12.326ana'!$C:$C,'12.326ana'!$M:$M,redes!A2731)</f>
        <v>0</v>
      </c>
    </row>
    <row r="2732" customFormat="false" ht="14.4" hidden="true" customHeight="false" outlineLevel="0" collapsed="false">
      <c r="A2732" s="34" t="n">
        <v>44718217172</v>
      </c>
      <c r="B2732" s="34" t="s">
        <v>7839</v>
      </c>
      <c r="C2732" s="34" t="s">
        <v>107</v>
      </c>
      <c r="E2732" s="30" t="s">
        <v>7840</v>
      </c>
      <c r="F2732" s="34" t="n">
        <f aca="false">IFERROR(VLOOKUP($A2732,'319'!$B:$H,7,0),0)</f>
        <v>0</v>
      </c>
      <c r="G2732" s="34" t="n">
        <f aca="false">SUMIFS('12.326ana'!$C:$C,'12.326ana'!$M:$M,redes!A2732)</f>
        <v>0</v>
      </c>
    </row>
    <row r="2733" customFormat="false" ht="14.4" hidden="true" customHeight="false" outlineLevel="0" collapsed="false">
      <c r="A2733" s="34" t="n">
        <v>44722974187</v>
      </c>
      <c r="B2733" s="34" t="s">
        <v>7841</v>
      </c>
      <c r="C2733" s="34" t="s">
        <v>107</v>
      </c>
      <c r="E2733" s="30" t="s">
        <v>7842</v>
      </c>
      <c r="F2733" s="34" t="n">
        <f aca="false">IFERROR(VLOOKUP($A2733,'319'!$B:$H,7,0),0)</f>
        <v>0</v>
      </c>
      <c r="G2733" s="34" t="n">
        <f aca="false">SUMIFS('12.326ana'!$C:$C,'12.326ana'!$M:$M,redes!A2733)</f>
        <v>0</v>
      </c>
    </row>
    <row r="2734" customFormat="false" ht="14.4" hidden="true" customHeight="false" outlineLevel="0" collapsed="false">
      <c r="A2734" s="34" t="n">
        <v>44729154134</v>
      </c>
      <c r="B2734" s="34" t="s">
        <v>7843</v>
      </c>
      <c r="C2734" s="34" t="s">
        <v>77</v>
      </c>
      <c r="E2734" s="30"/>
      <c r="F2734" s="34" t="n">
        <f aca="false">IFERROR(VLOOKUP($A2734,'319'!$B:$H,7,0),0)</f>
        <v>0</v>
      </c>
      <c r="G2734" s="34" t="n">
        <f aca="false">SUMIFS('12.326ana'!$C:$C,'12.326ana'!$M:$M,redes!A2734)</f>
        <v>0</v>
      </c>
    </row>
    <row r="2735" customFormat="false" ht="14.4" hidden="true" customHeight="false" outlineLevel="0" collapsed="false">
      <c r="A2735" s="34" t="n">
        <v>44730721187</v>
      </c>
      <c r="B2735" s="34" t="s">
        <v>7844</v>
      </c>
      <c r="C2735" s="34" t="s">
        <v>107</v>
      </c>
      <c r="E2735" s="30" t="s">
        <v>7845</v>
      </c>
      <c r="F2735" s="34" t="n">
        <f aca="false">IFERROR(VLOOKUP($A2735,'319'!$B:$H,7,0),0)</f>
        <v>0</v>
      </c>
      <c r="G2735" s="34" t="n">
        <f aca="false">SUMIFS('12.326ana'!$C:$C,'12.326ana'!$M:$M,redes!A2735)</f>
        <v>0</v>
      </c>
    </row>
    <row r="2736" customFormat="false" ht="14.4" hidden="true" customHeight="false" outlineLevel="0" collapsed="false">
      <c r="A2736" s="34" t="n">
        <v>44734719187</v>
      </c>
      <c r="B2736" s="34" t="s">
        <v>7846</v>
      </c>
      <c r="C2736" s="34" t="s">
        <v>4139</v>
      </c>
      <c r="E2736" s="30" t="s">
        <v>7847</v>
      </c>
      <c r="F2736" s="34" t="n">
        <f aca="false">IFERROR(VLOOKUP($A2736,'319'!$B:$H,7,0),0)</f>
        <v>0</v>
      </c>
      <c r="G2736" s="34" t="n">
        <f aca="false">SUMIFS('12.326ana'!$C:$C,'12.326ana'!$M:$M,redes!A2736)</f>
        <v>0</v>
      </c>
    </row>
    <row r="2737" customFormat="false" ht="14.4" hidden="true" customHeight="false" outlineLevel="0" collapsed="false">
      <c r="A2737" s="34" t="n">
        <v>44735952187</v>
      </c>
      <c r="B2737" s="34" t="s">
        <v>7848</v>
      </c>
      <c r="C2737" s="34" t="s">
        <v>107</v>
      </c>
      <c r="E2737" s="30" t="s">
        <v>7849</v>
      </c>
      <c r="F2737" s="34" t="n">
        <f aca="false">IFERROR(VLOOKUP($A2737,'319'!$B:$H,7,0),0)</f>
        <v>0</v>
      </c>
      <c r="G2737" s="34" t="n">
        <f aca="false">SUMIFS('12.326ana'!$C:$C,'12.326ana'!$M:$M,redes!A2737)</f>
        <v>0</v>
      </c>
    </row>
    <row r="2738" customFormat="false" ht="14.4" hidden="true" customHeight="false" outlineLevel="0" collapsed="false">
      <c r="A2738" s="34" t="n">
        <v>44749414115</v>
      </c>
      <c r="B2738" s="34" t="s">
        <v>7850</v>
      </c>
      <c r="C2738" s="34" t="s">
        <v>89</v>
      </c>
      <c r="E2738" s="30" t="s">
        <v>7851</v>
      </c>
      <c r="F2738" s="34" t="n">
        <f aca="false">IFERROR(VLOOKUP($A2738,'319'!$B:$H,7,0),0)</f>
        <v>0</v>
      </c>
      <c r="G2738" s="34" t="n">
        <f aca="false">SUMIFS('12.326ana'!$C:$C,'12.326ana'!$M:$M,redes!A2738)</f>
        <v>0</v>
      </c>
    </row>
    <row r="2739" customFormat="false" ht="14.4" hidden="true" customHeight="false" outlineLevel="0" collapsed="false">
      <c r="A2739" s="34" t="n">
        <v>44756615104</v>
      </c>
      <c r="B2739" s="34" t="s">
        <v>7852</v>
      </c>
      <c r="C2739" s="34" t="s">
        <v>475</v>
      </c>
      <c r="E2739" s="30" t="s">
        <v>7853</v>
      </c>
      <c r="F2739" s="34" t="n">
        <f aca="false">IFERROR(VLOOKUP($A2739,'319'!$B:$H,7,0),0)</f>
        <v>0</v>
      </c>
      <c r="G2739" s="34" t="n">
        <f aca="false">SUMIFS('12.326ana'!$C:$C,'12.326ana'!$M:$M,redes!A2739)</f>
        <v>0</v>
      </c>
    </row>
    <row r="2740" customFormat="false" ht="14.4" hidden="true" customHeight="false" outlineLevel="0" collapsed="false">
      <c r="A2740" s="34" t="n">
        <v>44766955153</v>
      </c>
      <c r="B2740" s="34" t="s">
        <v>7854</v>
      </c>
      <c r="C2740" s="34" t="s">
        <v>4261</v>
      </c>
      <c r="E2740" s="30" t="s">
        <v>7855</v>
      </c>
      <c r="F2740" s="34" t="n">
        <f aca="false">IFERROR(VLOOKUP($A2740,'319'!$B:$H,7,0),0)</f>
        <v>0</v>
      </c>
      <c r="G2740" s="34" t="n">
        <f aca="false">SUMIFS('12.326ana'!$C:$C,'12.326ana'!$M:$M,redes!A2740)</f>
        <v>0</v>
      </c>
    </row>
    <row r="2741" customFormat="false" ht="14.4" hidden="true" customHeight="false" outlineLevel="0" collapsed="false">
      <c r="A2741" s="34" t="n">
        <v>44778058100</v>
      </c>
      <c r="B2741" s="34" t="s">
        <v>7856</v>
      </c>
      <c r="C2741" s="34" t="s">
        <v>342</v>
      </c>
      <c r="E2741" s="30" t="s">
        <v>7857</v>
      </c>
      <c r="F2741" s="34" t="n">
        <f aca="false">IFERROR(VLOOKUP($A2741,'319'!$B:$H,7,0),0)</f>
        <v>0</v>
      </c>
      <c r="G2741" s="34" t="n">
        <f aca="false">SUMIFS('12.326ana'!$C:$C,'12.326ana'!$M:$M,redes!A2741)</f>
        <v>0</v>
      </c>
    </row>
    <row r="2742" customFormat="false" ht="14.4" hidden="true" customHeight="false" outlineLevel="0" collapsed="false">
      <c r="A2742" s="34" t="n">
        <v>44782853149</v>
      </c>
      <c r="B2742" s="34" t="s">
        <v>7858</v>
      </c>
      <c r="C2742" s="34" t="s">
        <v>77</v>
      </c>
      <c r="E2742" s="30" t="s">
        <v>7859</v>
      </c>
      <c r="F2742" s="34" t="n">
        <f aca="false">IFERROR(VLOOKUP($A2742,'319'!$B:$H,7,0),0)</f>
        <v>0</v>
      </c>
      <c r="G2742" s="34" t="n">
        <f aca="false">SUMIFS('12.326ana'!$C:$C,'12.326ana'!$M:$M,redes!A2742)</f>
        <v>0</v>
      </c>
    </row>
    <row r="2743" customFormat="false" ht="14.4" hidden="true" customHeight="false" outlineLevel="0" collapsed="false">
      <c r="A2743" s="34" t="n">
        <v>44789416100</v>
      </c>
      <c r="B2743" s="34" t="s">
        <v>7860</v>
      </c>
      <c r="C2743" s="34" t="s">
        <v>77</v>
      </c>
      <c r="E2743" s="30" t="s">
        <v>7861</v>
      </c>
      <c r="F2743" s="34" t="n">
        <f aca="false">IFERROR(VLOOKUP($A2743,'319'!$B:$H,7,0),0)</f>
        <v>0</v>
      </c>
      <c r="G2743" s="34" t="n">
        <f aca="false">SUMIFS('12.326ana'!$C:$C,'12.326ana'!$M:$M,redes!A2743)</f>
        <v>0</v>
      </c>
    </row>
    <row r="2744" customFormat="false" ht="14.4" hidden="true" customHeight="false" outlineLevel="0" collapsed="false">
      <c r="A2744" s="34" t="n">
        <v>44791500130</v>
      </c>
      <c r="B2744" s="34" t="s">
        <v>7862</v>
      </c>
      <c r="C2744" s="34" t="s">
        <v>77</v>
      </c>
      <c r="E2744" s="30" t="s">
        <v>7863</v>
      </c>
      <c r="F2744" s="34" t="n">
        <f aca="false">IFERROR(VLOOKUP($A2744,'319'!$B:$H,7,0),0)</f>
        <v>0</v>
      </c>
      <c r="G2744" s="34" t="n">
        <f aca="false">SUMIFS('12.326ana'!$C:$C,'12.326ana'!$M:$M,redes!A2744)</f>
        <v>0</v>
      </c>
    </row>
    <row r="2745" customFormat="false" ht="14.4" hidden="true" customHeight="false" outlineLevel="0" collapsed="false">
      <c r="A2745" s="34" t="n">
        <v>44791950178</v>
      </c>
      <c r="B2745" s="34" t="s">
        <v>7864</v>
      </c>
      <c r="C2745" s="34" t="s">
        <v>77</v>
      </c>
      <c r="E2745" s="30"/>
      <c r="F2745" s="34" t="n">
        <f aca="false">IFERROR(VLOOKUP($A2745,'319'!$B:$H,7,0),0)</f>
        <v>0</v>
      </c>
      <c r="G2745" s="34" t="n">
        <f aca="false">SUMIFS('12.326ana'!$C:$C,'12.326ana'!$M:$M,redes!A2745)</f>
        <v>0</v>
      </c>
    </row>
    <row r="2746" customFormat="false" ht="14.4" hidden="true" customHeight="false" outlineLevel="0" collapsed="false">
      <c r="A2746" s="34" t="n">
        <v>44799055100</v>
      </c>
      <c r="B2746" s="34" t="s">
        <v>7865</v>
      </c>
      <c r="C2746" s="34" t="s">
        <v>77</v>
      </c>
      <c r="E2746" s="30"/>
      <c r="F2746" s="34" t="n">
        <f aca="false">IFERROR(VLOOKUP($A2746,'319'!$B:$H,7,0),0)</f>
        <v>0</v>
      </c>
      <c r="G2746" s="34" t="n">
        <f aca="false">SUMIFS('12.326ana'!$C:$C,'12.326ana'!$M:$M,redes!A2746)</f>
        <v>0</v>
      </c>
    </row>
    <row r="2747" customFormat="false" ht="14.4" hidden="true" customHeight="false" outlineLevel="0" collapsed="false">
      <c r="A2747" s="34" t="n">
        <v>44805195134</v>
      </c>
      <c r="B2747" s="34" t="s">
        <v>7866</v>
      </c>
      <c r="C2747" s="34" t="s">
        <v>631</v>
      </c>
      <c r="E2747" s="30" t="s">
        <v>7867</v>
      </c>
      <c r="F2747" s="34" t="n">
        <f aca="false">IFERROR(VLOOKUP($A2747,'319'!$B:$H,7,0),0)</f>
        <v>0</v>
      </c>
      <c r="G2747" s="34" t="n">
        <f aca="false">SUMIFS('12.326ana'!$C:$C,'12.326ana'!$M:$M,redes!A2747)</f>
        <v>0</v>
      </c>
    </row>
    <row r="2748" customFormat="false" ht="14.4" hidden="true" customHeight="false" outlineLevel="0" collapsed="false">
      <c r="A2748" s="34" t="n">
        <v>44811101120</v>
      </c>
      <c r="B2748" s="34" t="s">
        <v>7868</v>
      </c>
      <c r="C2748" s="34" t="s">
        <v>107</v>
      </c>
      <c r="E2748" s="30" t="s">
        <v>7869</v>
      </c>
      <c r="F2748" s="34" t="n">
        <f aca="false">IFERROR(VLOOKUP($A2748,'319'!$B:$H,7,0),0)</f>
        <v>0</v>
      </c>
      <c r="G2748" s="34" t="n">
        <f aca="false">SUMIFS('12.326ana'!$C:$C,'12.326ana'!$M:$M,redes!A2748)</f>
        <v>0</v>
      </c>
    </row>
    <row r="2749" customFormat="false" ht="14.4" hidden="true" customHeight="false" outlineLevel="0" collapsed="false">
      <c r="A2749" s="34" t="n">
        <v>44811900197</v>
      </c>
      <c r="B2749" s="34" t="s">
        <v>7870</v>
      </c>
      <c r="C2749" s="34" t="s">
        <v>77</v>
      </c>
      <c r="E2749" s="30" t="s">
        <v>4225</v>
      </c>
      <c r="F2749" s="34" t="n">
        <f aca="false">IFERROR(VLOOKUP($A2749,'319'!$B:$H,7,0),0)</f>
        <v>0</v>
      </c>
      <c r="G2749" s="34" t="n">
        <f aca="false">SUMIFS('12.326ana'!$C:$C,'12.326ana'!$M:$M,redes!A2749)</f>
        <v>0</v>
      </c>
    </row>
    <row r="2750" customFormat="false" ht="14.4" hidden="true" customHeight="false" outlineLevel="0" collapsed="false">
      <c r="A2750" s="34" t="n">
        <v>44814208120</v>
      </c>
      <c r="B2750" s="34" t="s">
        <v>7871</v>
      </c>
      <c r="C2750" s="34" t="s">
        <v>77</v>
      </c>
      <c r="E2750" s="30" t="s">
        <v>7872</v>
      </c>
      <c r="F2750" s="34" t="n">
        <f aca="false">IFERROR(VLOOKUP($A2750,'319'!$B:$H,7,0),0)</f>
        <v>0</v>
      </c>
      <c r="G2750" s="34" t="n">
        <f aca="false">SUMIFS('12.326ana'!$C:$C,'12.326ana'!$M:$M,redes!A2750)</f>
        <v>0</v>
      </c>
    </row>
    <row r="2751" customFormat="false" ht="14.4" hidden="true" customHeight="false" outlineLevel="0" collapsed="false">
      <c r="A2751" s="34" t="n">
        <v>44814887191</v>
      </c>
      <c r="B2751" s="34" t="s">
        <v>7873</v>
      </c>
      <c r="C2751" s="34" t="s">
        <v>107</v>
      </c>
      <c r="E2751" s="30" t="s">
        <v>7874</v>
      </c>
      <c r="F2751" s="34" t="n">
        <f aca="false">IFERROR(VLOOKUP($A2751,'319'!$B:$H,7,0),0)</f>
        <v>0</v>
      </c>
      <c r="G2751" s="34" t="n">
        <f aca="false">SUMIFS('12.326ana'!$C:$C,'12.326ana'!$M:$M,redes!A2751)</f>
        <v>0</v>
      </c>
    </row>
    <row r="2752" customFormat="false" ht="14.4" hidden="true" customHeight="false" outlineLevel="0" collapsed="false">
      <c r="A2752" s="34" t="n">
        <v>44830980152</v>
      </c>
      <c r="B2752" s="34" t="s">
        <v>7875</v>
      </c>
      <c r="C2752" s="34" t="s">
        <v>546</v>
      </c>
      <c r="E2752" s="30" t="s">
        <v>7876</v>
      </c>
      <c r="F2752" s="34" t="n">
        <f aca="false">IFERROR(VLOOKUP($A2752,'319'!$B:$H,7,0),0)</f>
        <v>0</v>
      </c>
      <c r="G2752" s="34" t="n">
        <f aca="false">SUMIFS('12.326ana'!$C:$C,'12.326ana'!$M:$M,redes!A2752)</f>
        <v>0</v>
      </c>
    </row>
    <row r="2753" customFormat="false" ht="14.4" hidden="true" customHeight="false" outlineLevel="0" collapsed="false">
      <c r="A2753" s="34" t="n">
        <v>44833490153</v>
      </c>
      <c r="B2753" s="34" t="s">
        <v>7877</v>
      </c>
      <c r="C2753" s="34" t="s">
        <v>473</v>
      </c>
      <c r="E2753" s="30" t="s">
        <v>7878</v>
      </c>
      <c r="F2753" s="34" t="n">
        <f aca="false">IFERROR(VLOOKUP($A2753,'319'!$B:$H,7,0),0)</f>
        <v>0</v>
      </c>
      <c r="G2753" s="34" t="n">
        <f aca="false">SUMIFS('12.326ana'!$C:$C,'12.326ana'!$M:$M,redes!A2753)</f>
        <v>0</v>
      </c>
    </row>
    <row r="2754" customFormat="false" ht="14.4" hidden="true" customHeight="false" outlineLevel="0" collapsed="false">
      <c r="A2754" s="34" t="n">
        <v>44835159187</v>
      </c>
      <c r="B2754" s="34" t="s">
        <v>7879</v>
      </c>
      <c r="C2754" s="34" t="s">
        <v>103</v>
      </c>
      <c r="E2754" s="30" t="s">
        <v>4999</v>
      </c>
      <c r="F2754" s="34" t="n">
        <f aca="false">IFERROR(VLOOKUP($A2754,'319'!$B:$H,7,0),0)</f>
        <v>0</v>
      </c>
      <c r="G2754" s="34" t="n">
        <f aca="false">SUMIFS('12.326ana'!$C:$C,'12.326ana'!$M:$M,redes!A2754)</f>
        <v>0</v>
      </c>
    </row>
    <row r="2755" customFormat="false" ht="14.4" hidden="true" customHeight="false" outlineLevel="0" collapsed="false">
      <c r="A2755" s="34" t="n">
        <v>44835582187</v>
      </c>
      <c r="B2755" s="34" t="s">
        <v>7880</v>
      </c>
      <c r="C2755" s="34" t="s">
        <v>77</v>
      </c>
      <c r="E2755" s="30" t="s">
        <v>7880</v>
      </c>
      <c r="F2755" s="34" t="n">
        <f aca="false">IFERROR(VLOOKUP($A2755,'319'!$B:$H,7,0),0)</f>
        <v>0</v>
      </c>
      <c r="G2755" s="34" t="n">
        <f aca="false">SUMIFS('12.326ana'!$C:$C,'12.326ana'!$M:$M,redes!A2755)</f>
        <v>0</v>
      </c>
    </row>
    <row r="2756" customFormat="false" ht="14.4" hidden="true" customHeight="false" outlineLevel="0" collapsed="false">
      <c r="A2756" s="34" t="n">
        <v>44847041100</v>
      </c>
      <c r="B2756" s="34" t="s">
        <v>7881</v>
      </c>
      <c r="C2756" s="34" t="s">
        <v>103</v>
      </c>
      <c r="E2756" s="30" t="s">
        <v>7882</v>
      </c>
      <c r="F2756" s="34" t="n">
        <f aca="false">IFERROR(VLOOKUP($A2756,'319'!$B:$H,7,0),0)</f>
        <v>0</v>
      </c>
      <c r="G2756" s="34" t="n">
        <f aca="false">SUMIFS('12.326ana'!$C:$C,'12.326ana'!$M:$M,redes!A2756)</f>
        <v>0</v>
      </c>
    </row>
    <row r="2757" customFormat="false" ht="14.4" hidden="true" customHeight="false" outlineLevel="0" collapsed="false">
      <c r="A2757" s="34" t="n">
        <v>44850247172</v>
      </c>
      <c r="B2757" s="34" t="s">
        <v>7883</v>
      </c>
      <c r="C2757" s="34" t="s">
        <v>77</v>
      </c>
      <c r="E2757" s="30" t="s">
        <v>7884</v>
      </c>
      <c r="F2757" s="34" t="n">
        <f aca="false">IFERROR(VLOOKUP($A2757,'319'!$B:$H,7,0),0)</f>
        <v>0</v>
      </c>
      <c r="G2757" s="34" t="n">
        <f aca="false">SUMIFS('12.326ana'!$C:$C,'12.326ana'!$M:$M,redes!A2757)</f>
        <v>0</v>
      </c>
    </row>
    <row r="2758" customFormat="false" ht="14.4" hidden="true" customHeight="false" outlineLevel="0" collapsed="false">
      <c r="A2758" s="34" t="n">
        <v>44853343172</v>
      </c>
      <c r="B2758" s="34" t="s">
        <v>7885</v>
      </c>
      <c r="C2758" s="34" t="s">
        <v>77</v>
      </c>
      <c r="E2758" s="30" t="s">
        <v>7886</v>
      </c>
      <c r="F2758" s="34" t="n">
        <f aca="false">IFERROR(VLOOKUP($A2758,'319'!$B:$H,7,0),0)</f>
        <v>0</v>
      </c>
      <c r="G2758" s="34" t="n">
        <f aca="false">SUMIFS('12.326ana'!$C:$C,'12.326ana'!$M:$M,redes!A2758)</f>
        <v>0</v>
      </c>
    </row>
    <row r="2759" customFormat="false" ht="14.4" hidden="true" customHeight="false" outlineLevel="0" collapsed="false">
      <c r="A2759" s="34" t="n">
        <v>44857675153</v>
      </c>
      <c r="B2759" s="34" t="s">
        <v>7887</v>
      </c>
      <c r="C2759" s="34" t="s">
        <v>77</v>
      </c>
      <c r="E2759" s="30"/>
      <c r="F2759" s="34" t="n">
        <f aca="false">IFERROR(VLOOKUP($A2759,'319'!$B:$H,7,0),0)</f>
        <v>0</v>
      </c>
      <c r="G2759" s="34" t="n">
        <f aca="false">SUMIFS('12.326ana'!$C:$C,'12.326ana'!$M:$M,redes!A2759)</f>
        <v>0</v>
      </c>
    </row>
    <row r="2760" customFormat="false" ht="14.4" hidden="true" customHeight="false" outlineLevel="0" collapsed="false">
      <c r="A2760" s="34" t="n">
        <v>44863276168</v>
      </c>
      <c r="B2760" s="34" t="s">
        <v>7888</v>
      </c>
      <c r="C2760" s="34" t="s">
        <v>103</v>
      </c>
      <c r="E2760" s="30" t="s">
        <v>7889</v>
      </c>
      <c r="F2760" s="34" t="n">
        <f aca="false">IFERROR(VLOOKUP($A2760,'319'!$B:$H,7,0),0)</f>
        <v>0</v>
      </c>
      <c r="G2760" s="34" t="n">
        <f aca="false">SUMIFS('12.326ana'!$C:$C,'12.326ana'!$M:$M,redes!A2760)</f>
        <v>0</v>
      </c>
    </row>
    <row r="2761" customFormat="false" ht="14.4" hidden="true" customHeight="false" outlineLevel="0" collapsed="false">
      <c r="A2761" s="34" t="n">
        <v>44864612153</v>
      </c>
      <c r="B2761" s="34" t="s">
        <v>7890</v>
      </c>
      <c r="C2761" s="34" t="s">
        <v>77</v>
      </c>
      <c r="E2761" s="30" t="s">
        <v>7891</v>
      </c>
      <c r="F2761" s="34" t="n">
        <f aca="false">IFERROR(VLOOKUP($A2761,'319'!$B:$H,7,0),0)</f>
        <v>0</v>
      </c>
      <c r="G2761" s="34" t="n">
        <f aca="false">SUMIFS('12.326ana'!$C:$C,'12.326ana'!$M:$M,redes!A2761)</f>
        <v>0</v>
      </c>
    </row>
    <row r="2762" customFormat="false" ht="14.4" hidden="true" customHeight="false" outlineLevel="0" collapsed="false">
      <c r="A2762" s="34" t="n">
        <v>44868472100</v>
      </c>
      <c r="B2762" s="34" t="s">
        <v>7892</v>
      </c>
      <c r="C2762" s="34" t="s">
        <v>77</v>
      </c>
      <c r="E2762" s="30" t="s">
        <v>7893</v>
      </c>
      <c r="F2762" s="34" t="n">
        <f aca="false">IFERROR(VLOOKUP($A2762,'319'!$B:$H,7,0),0)</f>
        <v>0</v>
      </c>
      <c r="G2762" s="34" t="n">
        <f aca="false">SUMIFS('12.326ana'!$C:$C,'12.326ana'!$M:$M,redes!A2762)</f>
        <v>0</v>
      </c>
    </row>
    <row r="2763" customFormat="false" ht="14.4" hidden="true" customHeight="false" outlineLevel="0" collapsed="false">
      <c r="A2763" s="34" t="n">
        <v>44869940191</v>
      </c>
      <c r="B2763" s="34" t="s">
        <v>7894</v>
      </c>
      <c r="C2763" s="34" t="s">
        <v>77</v>
      </c>
      <c r="E2763" s="30" t="s">
        <v>7894</v>
      </c>
      <c r="F2763" s="34" t="n">
        <f aca="false">IFERROR(VLOOKUP($A2763,'319'!$B:$H,7,0),0)</f>
        <v>0</v>
      </c>
      <c r="G2763" s="34" t="n">
        <f aca="false">SUMIFS('12.326ana'!$C:$C,'12.326ana'!$M:$M,redes!A2763)</f>
        <v>0</v>
      </c>
    </row>
    <row r="2764" customFormat="false" ht="14.4" hidden="true" customHeight="false" outlineLevel="0" collapsed="false">
      <c r="A2764" s="34" t="n">
        <v>44875070144</v>
      </c>
      <c r="B2764" s="34" t="s">
        <v>7895</v>
      </c>
      <c r="C2764" s="34" t="s">
        <v>473</v>
      </c>
      <c r="E2764" s="30" t="s">
        <v>7896</v>
      </c>
      <c r="F2764" s="34" t="n">
        <f aca="false">IFERROR(VLOOKUP($A2764,'319'!$B:$H,7,0),0)</f>
        <v>0</v>
      </c>
      <c r="G2764" s="34" t="n">
        <f aca="false">SUMIFS('12.326ana'!$C:$C,'12.326ana'!$M:$M,redes!A2764)</f>
        <v>0</v>
      </c>
    </row>
    <row r="2765" customFormat="false" ht="14.4" hidden="true" customHeight="false" outlineLevel="0" collapsed="false">
      <c r="A2765" s="34" t="n">
        <v>44915780872</v>
      </c>
      <c r="B2765" s="34" t="s">
        <v>7897</v>
      </c>
      <c r="C2765" s="34" t="s">
        <v>77</v>
      </c>
      <c r="E2765" s="30" t="s">
        <v>7898</v>
      </c>
      <c r="F2765" s="34" t="n">
        <f aca="false">IFERROR(VLOOKUP($A2765,'319'!$B:$H,7,0),0)</f>
        <v>0</v>
      </c>
      <c r="G2765" s="34" t="n">
        <f aca="false">SUMIFS('12.326ana'!$C:$C,'12.326ana'!$M:$M,redes!A2765)</f>
        <v>0</v>
      </c>
    </row>
    <row r="2766" customFormat="false" ht="14.4" hidden="true" customHeight="false" outlineLevel="0" collapsed="false">
      <c r="A2766" s="34" t="n">
        <v>45053146004</v>
      </c>
      <c r="B2766" s="34" t="s">
        <v>7899</v>
      </c>
      <c r="C2766" s="34" t="s">
        <v>77</v>
      </c>
      <c r="E2766" s="30" t="s">
        <v>7900</v>
      </c>
      <c r="F2766" s="34" t="n">
        <f aca="false">IFERROR(VLOOKUP($A2766,'319'!$B:$H,7,0),0)</f>
        <v>0</v>
      </c>
      <c r="G2766" s="34" t="n">
        <f aca="false">SUMIFS('12.326ana'!$C:$C,'12.326ana'!$M:$M,redes!A2766)</f>
        <v>0</v>
      </c>
    </row>
    <row r="2767" customFormat="false" ht="14.4" hidden="true" customHeight="false" outlineLevel="0" collapsed="false">
      <c r="A2767" s="34" t="n">
        <v>45246394115</v>
      </c>
      <c r="B2767" s="34" t="s">
        <v>7901</v>
      </c>
      <c r="C2767" s="34" t="s">
        <v>77</v>
      </c>
      <c r="E2767" s="30" t="s">
        <v>7902</v>
      </c>
      <c r="F2767" s="34" t="n">
        <f aca="false">IFERROR(VLOOKUP($A2767,'319'!$B:$H,7,0),0)</f>
        <v>0</v>
      </c>
      <c r="G2767" s="34" t="n">
        <f aca="false">SUMIFS('12.326ana'!$C:$C,'12.326ana'!$M:$M,redes!A2767)</f>
        <v>0</v>
      </c>
    </row>
    <row r="2768" customFormat="false" ht="14.4" hidden="true" customHeight="false" outlineLevel="0" collapsed="false">
      <c r="A2768" s="34" t="n">
        <v>45288712115</v>
      </c>
      <c r="B2768" s="34" t="s">
        <v>7903</v>
      </c>
      <c r="C2768" s="34" t="s">
        <v>77</v>
      </c>
      <c r="E2768" s="30" t="s">
        <v>7904</v>
      </c>
      <c r="F2768" s="34" t="n">
        <f aca="false">IFERROR(VLOOKUP($A2768,'319'!$B:$H,7,0),0)</f>
        <v>0</v>
      </c>
      <c r="G2768" s="34" t="n">
        <f aca="false">SUMIFS('12.326ana'!$C:$C,'12.326ana'!$M:$M,redes!A2768)</f>
        <v>0</v>
      </c>
    </row>
    <row r="2769" customFormat="false" ht="14.4" hidden="true" customHeight="false" outlineLevel="0" collapsed="false">
      <c r="A2769" s="34" t="n">
        <v>45305595134</v>
      </c>
      <c r="B2769" s="34" t="s">
        <v>7905</v>
      </c>
      <c r="C2769" s="34" t="s">
        <v>127</v>
      </c>
      <c r="E2769" s="30" t="s">
        <v>7906</v>
      </c>
      <c r="F2769" s="34" t="n">
        <f aca="false">IFERROR(VLOOKUP($A2769,'319'!$B:$H,7,0),0)</f>
        <v>0</v>
      </c>
      <c r="G2769" s="34" t="n">
        <f aca="false">SUMIFS('12.326ana'!$C:$C,'12.326ana'!$M:$M,redes!A2769)</f>
        <v>0</v>
      </c>
    </row>
    <row r="2770" customFormat="false" ht="14.4" hidden="true" customHeight="false" outlineLevel="0" collapsed="false">
      <c r="A2770" s="34" t="n">
        <v>45322414134</v>
      </c>
      <c r="B2770" s="34" t="s">
        <v>7907</v>
      </c>
      <c r="C2770" s="34" t="s">
        <v>77</v>
      </c>
      <c r="E2770" s="30" t="s">
        <v>7908</v>
      </c>
      <c r="F2770" s="34" t="n">
        <f aca="false">IFERROR(VLOOKUP($A2770,'319'!$B:$H,7,0),0)</f>
        <v>0</v>
      </c>
      <c r="G2770" s="34" t="n">
        <f aca="false">SUMIFS('12.326ana'!$C:$C,'12.326ana'!$M:$M,redes!A2770)</f>
        <v>0</v>
      </c>
    </row>
    <row r="2771" customFormat="false" ht="14.4" hidden="true" customHeight="false" outlineLevel="0" collapsed="false">
      <c r="A2771" s="34" t="n">
        <v>45353301153</v>
      </c>
      <c r="B2771" s="34" t="s">
        <v>7909</v>
      </c>
      <c r="C2771" s="34" t="s">
        <v>77</v>
      </c>
      <c r="E2771" s="30" t="s">
        <v>7910</v>
      </c>
      <c r="F2771" s="34" t="n">
        <f aca="false">IFERROR(VLOOKUP($A2771,'319'!$B:$H,7,0),0)</f>
        <v>0</v>
      </c>
      <c r="G2771" s="34" t="n">
        <f aca="false">SUMIFS('12.326ana'!$C:$C,'12.326ana'!$M:$M,redes!A2771)</f>
        <v>0</v>
      </c>
    </row>
    <row r="2772" customFormat="false" ht="14.4" hidden="true" customHeight="false" outlineLevel="0" collapsed="false">
      <c r="A2772" s="34" t="n">
        <v>45490791187</v>
      </c>
      <c r="B2772" s="34" t="s">
        <v>7911</v>
      </c>
      <c r="C2772" s="34" t="s">
        <v>103</v>
      </c>
      <c r="E2772" s="30" t="s">
        <v>6310</v>
      </c>
      <c r="F2772" s="34" t="n">
        <f aca="false">IFERROR(VLOOKUP($A2772,'319'!$B:$H,7,0),0)</f>
        <v>0</v>
      </c>
      <c r="G2772" s="34" t="n">
        <f aca="false">SUMIFS('12.326ana'!$C:$C,'12.326ana'!$M:$M,redes!A2772)</f>
        <v>0</v>
      </c>
    </row>
    <row r="2773" customFormat="false" ht="14.4" hidden="true" customHeight="false" outlineLevel="0" collapsed="false">
      <c r="A2773" s="34" t="n">
        <v>45500045415</v>
      </c>
      <c r="B2773" s="34" t="s">
        <v>7912</v>
      </c>
      <c r="C2773" s="34" t="s">
        <v>935</v>
      </c>
      <c r="E2773" s="30" t="s">
        <v>7913</v>
      </c>
      <c r="F2773" s="34" t="n">
        <f aca="false">IFERROR(VLOOKUP($A2773,'319'!$B:$H,7,0),0)</f>
        <v>0</v>
      </c>
      <c r="G2773" s="34" t="n">
        <f aca="false">SUMIFS('12.326ana'!$C:$C,'12.326ana'!$M:$M,redes!A2773)</f>
        <v>0</v>
      </c>
    </row>
    <row r="2774" customFormat="false" ht="14.4" hidden="true" customHeight="false" outlineLevel="0" collapsed="false">
      <c r="A2774" s="34" t="n">
        <v>45645957172</v>
      </c>
      <c r="B2774" s="34" t="s">
        <v>7914</v>
      </c>
      <c r="C2774" s="34" t="s">
        <v>77</v>
      </c>
      <c r="E2774" s="30" t="s">
        <v>4630</v>
      </c>
      <c r="F2774" s="34" t="n">
        <f aca="false">IFERROR(VLOOKUP($A2774,'319'!$B:$H,7,0),0)</f>
        <v>0</v>
      </c>
      <c r="G2774" s="34" t="n">
        <f aca="false">SUMIFS('12.326ana'!$C:$C,'12.326ana'!$M:$M,redes!A2774)</f>
        <v>0</v>
      </c>
    </row>
    <row r="2775" customFormat="false" ht="14.4" hidden="true" customHeight="false" outlineLevel="0" collapsed="false">
      <c r="A2775" s="34" t="n">
        <v>45647330100</v>
      </c>
      <c r="B2775" s="34" t="s">
        <v>7915</v>
      </c>
      <c r="C2775" s="34" t="s">
        <v>154</v>
      </c>
      <c r="E2775" s="30" t="s">
        <v>7916</v>
      </c>
      <c r="F2775" s="34" t="n">
        <f aca="false">IFERROR(VLOOKUP($A2775,'319'!$B:$H,7,0),0)</f>
        <v>0</v>
      </c>
      <c r="G2775" s="34" t="n">
        <f aca="false">SUMIFS('12.326ana'!$C:$C,'12.326ana'!$M:$M,redes!A2775)</f>
        <v>0</v>
      </c>
    </row>
    <row r="2776" customFormat="false" ht="14.4" hidden="true" customHeight="false" outlineLevel="0" collapsed="false">
      <c r="A2776" s="34" t="n">
        <v>45660654134</v>
      </c>
      <c r="B2776" s="34" t="s">
        <v>7917</v>
      </c>
      <c r="C2776" s="34" t="s">
        <v>89</v>
      </c>
      <c r="E2776" s="30" t="s">
        <v>3705</v>
      </c>
      <c r="F2776" s="34" t="n">
        <f aca="false">IFERROR(VLOOKUP($A2776,'319'!$B:$H,7,0),0)</f>
        <v>0</v>
      </c>
      <c r="G2776" s="34" t="n">
        <f aca="false">SUMIFS('12.326ana'!$C:$C,'12.326ana'!$M:$M,redes!A2776)</f>
        <v>0</v>
      </c>
    </row>
    <row r="2777" customFormat="false" ht="14.4" hidden="true" customHeight="false" outlineLevel="0" collapsed="false">
      <c r="A2777" s="34" t="n">
        <v>45666512153</v>
      </c>
      <c r="B2777" s="34" t="s">
        <v>7918</v>
      </c>
      <c r="C2777" s="34" t="s">
        <v>478</v>
      </c>
      <c r="E2777" s="30" t="s">
        <v>7919</v>
      </c>
      <c r="F2777" s="34" t="n">
        <f aca="false">IFERROR(VLOOKUP($A2777,'319'!$B:$H,7,0),0)</f>
        <v>0</v>
      </c>
      <c r="G2777" s="34" t="n">
        <f aca="false">SUMIFS('12.326ana'!$C:$C,'12.326ana'!$M:$M,redes!A2777)</f>
        <v>0</v>
      </c>
    </row>
    <row r="2778" customFormat="false" ht="14.4" hidden="true" customHeight="false" outlineLevel="0" collapsed="false">
      <c r="A2778" s="34" t="n">
        <v>45670803191</v>
      </c>
      <c r="B2778" s="34" t="s">
        <v>7920</v>
      </c>
      <c r="C2778" s="34" t="s">
        <v>77</v>
      </c>
      <c r="E2778" s="30" t="s">
        <v>7921</v>
      </c>
      <c r="F2778" s="34" t="n">
        <f aca="false">IFERROR(VLOOKUP($A2778,'319'!$B:$H,7,0),0)</f>
        <v>0</v>
      </c>
      <c r="G2778" s="34" t="n">
        <f aca="false">SUMIFS('12.326ana'!$C:$C,'12.326ana'!$M:$M,redes!A2778)</f>
        <v>0</v>
      </c>
    </row>
    <row r="2779" customFormat="false" ht="14.4" hidden="true" customHeight="false" outlineLevel="0" collapsed="false">
      <c r="A2779" s="34" t="n">
        <v>45673314191</v>
      </c>
      <c r="B2779" s="34" t="s">
        <v>7922</v>
      </c>
      <c r="C2779" s="34" t="s">
        <v>77</v>
      </c>
      <c r="E2779" s="30" t="s">
        <v>7923</v>
      </c>
      <c r="F2779" s="34" t="n">
        <f aca="false">IFERROR(VLOOKUP($A2779,'319'!$B:$H,7,0),0)</f>
        <v>0</v>
      </c>
      <c r="G2779" s="34" t="n">
        <f aca="false">SUMIFS('12.326ana'!$C:$C,'12.326ana'!$M:$M,redes!A2779)</f>
        <v>0</v>
      </c>
    </row>
    <row r="2780" customFormat="false" ht="14.4" hidden="true" customHeight="false" outlineLevel="0" collapsed="false">
      <c r="A2780" s="34" t="n">
        <v>45676810106</v>
      </c>
      <c r="B2780" s="34" t="s">
        <v>7924</v>
      </c>
      <c r="C2780" s="34" t="s">
        <v>848</v>
      </c>
      <c r="E2780" s="30" t="s">
        <v>6450</v>
      </c>
      <c r="F2780" s="34" t="n">
        <f aca="false">IFERROR(VLOOKUP($A2780,'319'!$B:$H,7,0),0)</f>
        <v>0</v>
      </c>
      <c r="G2780" s="34" t="n">
        <f aca="false">SUMIFS('12.326ana'!$C:$C,'12.326ana'!$M:$M,redes!A2780)</f>
        <v>0</v>
      </c>
    </row>
    <row r="2781" customFormat="false" ht="14.4" hidden="true" customHeight="false" outlineLevel="0" collapsed="false">
      <c r="A2781" s="34" t="n">
        <v>45681198120</v>
      </c>
      <c r="B2781" s="34" t="s">
        <v>7925</v>
      </c>
      <c r="C2781" s="34" t="s">
        <v>77</v>
      </c>
      <c r="E2781" s="30" t="s">
        <v>7926</v>
      </c>
      <c r="F2781" s="34" t="n">
        <f aca="false">IFERROR(VLOOKUP($A2781,'319'!$B:$H,7,0),0)</f>
        <v>0</v>
      </c>
      <c r="G2781" s="34" t="n">
        <f aca="false">SUMIFS('12.326ana'!$C:$C,'12.326ana'!$M:$M,redes!A2781)</f>
        <v>0</v>
      </c>
    </row>
    <row r="2782" customFormat="false" ht="14.4" hidden="true" customHeight="false" outlineLevel="0" collapsed="false">
      <c r="A2782" s="34" t="n">
        <v>45682607104</v>
      </c>
      <c r="B2782" s="34" t="s">
        <v>7927</v>
      </c>
      <c r="C2782" s="34" t="s">
        <v>1591</v>
      </c>
      <c r="E2782" s="30" t="s">
        <v>7928</v>
      </c>
      <c r="F2782" s="34" t="n">
        <f aca="false">IFERROR(VLOOKUP($A2782,'319'!$B:$H,7,0),0)</f>
        <v>0</v>
      </c>
      <c r="G2782" s="34" t="n">
        <f aca="false">SUMIFS('12.326ana'!$C:$C,'12.326ana'!$M:$M,redes!A2782)</f>
        <v>0</v>
      </c>
    </row>
    <row r="2783" customFormat="false" ht="14.4" hidden="true" customHeight="false" outlineLevel="0" collapsed="false">
      <c r="A2783" s="34" t="n">
        <v>45686181187</v>
      </c>
      <c r="B2783" s="34" t="s">
        <v>7929</v>
      </c>
      <c r="C2783" s="34" t="s">
        <v>4462</v>
      </c>
      <c r="E2783" s="30" t="s">
        <v>4812</v>
      </c>
      <c r="F2783" s="34" t="n">
        <f aca="false">IFERROR(VLOOKUP($A2783,'319'!$B:$H,7,0),0)</f>
        <v>0</v>
      </c>
      <c r="G2783" s="34" t="n">
        <f aca="false">SUMIFS('12.326ana'!$C:$C,'12.326ana'!$M:$M,redes!A2783)</f>
        <v>0</v>
      </c>
    </row>
    <row r="2784" customFormat="false" ht="14.4" hidden="true" customHeight="false" outlineLevel="0" collapsed="false">
      <c r="A2784" s="34" t="n">
        <v>45694400100</v>
      </c>
      <c r="B2784" s="34" t="s">
        <v>7930</v>
      </c>
      <c r="C2784" s="34" t="s">
        <v>77</v>
      </c>
      <c r="E2784" s="30" t="s">
        <v>7931</v>
      </c>
      <c r="F2784" s="34" t="n">
        <f aca="false">IFERROR(VLOOKUP($A2784,'319'!$B:$H,7,0),0)</f>
        <v>0</v>
      </c>
      <c r="G2784" s="34" t="n">
        <f aca="false">SUMIFS('12.326ana'!$C:$C,'12.326ana'!$M:$M,redes!A2784)</f>
        <v>0</v>
      </c>
    </row>
    <row r="2785" customFormat="false" ht="14.4" hidden="true" customHeight="false" outlineLevel="0" collapsed="false">
      <c r="A2785" s="34" t="n">
        <v>45781796053</v>
      </c>
      <c r="B2785" s="34" t="s">
        <v>7932</v>
      </c>
      <c r="C2785" s="34" t="s">
        <v>4156</v>
      </c>
      <c r="E2785" s="30" t="s">
        <v>7933</v>
      </c>
      <c r="F2785" s="34" t="n">
        <f aca="false">IFERROR(VLOOKUP($A2785,'319'!$B:$H,7,0),0)</f>
        <v>0</v>
      </c>
      <c r="G2785" s="34" t="n">
        <f aca="false">SUMIFS('12.326ana'!$C:$C,'12.326ana'!$M:$M,redes!A2785)</f>
        <v>0</v>
      </c>
    </row>
    <row r="2786" customFormat="false" ht="14.4" hidden="true" customHeight="false" outlineLevel="0" collapsed="false">
      <c r="A2786" s="34" t="n">
        <v>45819769104</v>
      </c>
      <c r="B2786" s="34" t="s">
        <v>7934</v>
      </c>
      <c r="C2786" s="34" t="s">
        <v>77</v>
      </c>
      <c r="E2786" s="30" t="s">
        <v>3194</v>
      </c>
      <c r="F2786" s="34" t="n">
        <f aca="false">IFERROR(VLOOKUP($A2786,'319'!$B:$H,7,0),0)</f>
        <v>0</v>
      </c>
      <c r="G2786" s="34" t="n">
        <f aca="false">SUMIFS('12.326ana'!$C:$C,'12.326ana'!$M:$M,redes!A2786)</f>
        <v>0</v>
      </c>
    </row>
    <row r="2787" customFormat="false" ht="14.4" hidden="true" customHeight="false" outlineLevel="0" collapsed="false">
      <c r="A2787" s="34" t="n">
        <v>45846759882</v>
      </c>
      <c r="B2787" s="34" t="s">
        <v>7935</v>
      </c>
      <c r="C2787" s="34" t="s">
        <v>77</v>
      </c>
      <c r="E2787" s="30" t="s">
        <v>7935</v>
      </c>
      <c r="F2787" s="34" t="n">
        <f aca="false">IFERROR(VLOOKUP($A2787,'319'!$B:$H,7,0),0)</f>
        <v>0</v>
      </c>
      <c r="G2787" s="34" t="n">
        <f aca="false">SUMIFS('12.326ana'!$C:$C,'12.326ana'!$M:$M,redes!A2787)</f>
        <v>0</v>
      </c>
    </row>
    <row r="2788" customFormat="false" ht="14.4" hidden="true" customHeight="false" outlineLevel="0" collapsed="false">
      <c r="A2788" s="34" t="n">
        <v>45892920178</v>
      </c>
      <c r="B2788" s="34" t="s">
        <v>7936</v>
      </c>
      <c r="C2788" s="34" t="s">
        <v>192</v>
      </c>
      <c r="E2788" s="30" t="s">
        <v>7937</v>
      </c>
      <c r="F2788" s="34" t="n">
        <f aca="false">IFERROR(VLOOKUP($A2788,'319'!$B:$H,7,0),0)</f>
        <v>0</v>
      </c>
      <c r="G2788" s="34" t="n">
        <f aca="false">SUMIFS('12.326ana'!$C:$C,'12.326ana'!$M:$M,redes!A2788)</f>
        <v>0</v>
      </c>
    </row>
    <row r="2789" customFormat="false" ht="14.4" hidden="true" customHeight="false" outlineLevel="0" collapsed="false">
      <c r="A2789" s="34" t="n">
        <v>45896577168</v>
      </c>
      <c r="B2789" s="34" t="s">
        <v>7938</v>
      </c>
      <c r="C2789" s="34" t="s">
        <v>192</v>
      </c>
      <c r="E2789" s="30" t="s">
        <v>7939</v>
      </c>
      <c r="F2789" s="34" t="n">
        <f aca="false">IFERROR(VLOOKUP($A2789,'319'!$B:$H,7,0),0)</f>
        <v>0</v>
      </c>
      <c r="G2789" s="34" t="n">
        <f aca="false">SUMIFS('12.326ana'!$C:$C,'12.326ana'!$M:$M,redes!A2789)</f>
        <v>0</v>
      </c>
    </row>
    <row r="2790" customFormat="false" ht="14.4" hidden="true" customHeight="false" outlineLevel="0" collapsed="false">
      <c r="A2790" s="34" t="n">
        <v>46021124049</v>
      </c>
      <c r="B2790" s="34" t="s">
        <v>7940</v>
      </c>
      <c r="C2790" s="34" t="s">
        <v>357</v>
      </c>
      <c r="E2790" s="30" t="s">
        <v>7940</v>
      </c>
      <c r="F2790" s="34" t="n">
        <f aca="false">IFERROR(VLOOKUP($A2790,'319'!$B:$H,7,0),0)</f>
        <v>0</v>
      </c>
      <c r="G2790" s="34" t="n">
        <f aca="false">SUMIFS('12.326ana'!$C:$C,'12.326ana'!$M:$M,redes!A2790)</f>
        <v>0</v>
      </c>
    </row>
    <row r="2791" customFormat="false" ht="14.4" hidden="true" customHeight="false" outlineLevel="0" collapsed="false">
      <c r="A2791" s="34" t="n">
        <v>46168788468</v>
      </c>
      <c r="B2791" s="34" t="s">
        <v>7941</v>
      </c>
      <c r="C2791" s="34" t="s">
        <v>342</v>
      </c>
      <c r="E2791" s="30" t="s">
        <v>6974</v>
      </c>
      <c r="F2791" s="34" t="n">
        <f aca="false">IFERROR(VLOOKUP($A2791,'319'!$B:$H,7,0),0)</f>
        <v>0</v>
      </c>
      <c r="G2791" s="34" t="n">
        <f aca="false">SUMIFS('12.326ana'!$C:$C,'12.326ana'!$M:$M,redes!A2791)</f>
        <v>0</v>
      </c>
    </row>
    <row r="2792" customFormat="false" ht="14.4" hidden="true" customHeight="false" outlineLevel="0" collapsed="false">
      <c r="A2792" s="34" t="n">
        <v>46172220900</v>
      </c>
      <c r="B2792" s="34" t="s">
        <v>7942</v>
      </c>
      <c r="C2792" s="34" t="s">
        <v>309</v>
      </c>
      <c r="E2792" s="30" t="s">
        <v>7943</v>
      </c>
      <c r="F2792" s="34" t="n">
        <f aca="false">IFERROR(VLOOKUP($A2792,'319'!$B:$H,7,0),0)</f>
        <v>0</v>
      </c>
      <c r="G2792" s="34" t="n">
        <f aca="false">SUMIFS('12.326ana'!$C:$C,'12.326ana'!$M:$M,redes!A2792)</f>
        <v>0</v>
      </c>
    </row>
    <row r="2793" customFormat="false" ht="14.4" hidden="true" customHeight="false" outlineLevel="0" collapsed="false">
      <c r="A2793" s="34" t="n">
        <v>46358919920</v>
      </c>
      <c r="B2793" s="34" t="s">
        <v>7944</v>
      </c>
      <c r="C2793" s="34" t="s">
        <v>464</v>
      </c>
      <c r="E2793" s="30"/>
      <c r="F2793" s="34" t="n">
        <f aca="false">IFERROR(VLOOKUP($A2793,'319'!$B:$H,7,0),0)</f>
        <v>0</v>
      </c>
      <c r="G2793" s="34" t="n">
        <f aca="false">SUMIFS('12.326ana'!$C:$C,'12.326ana'!$M:$M,redes!A2793)</f>
        <v>0</v>
      </c>
    </row>
    <row r="2794" customFormat="false" ht="14.4" hidden="true" customHeight="false" outlineLevel="0" collapsed="false">
      <c r="A2794" s="34" t="n">
        <v>46388176968</v>
      </c>
      <c r="B2794" s="34" t="s">
        <v>7945</v>
      </c>
      <c r="C2794" s="34" t="s">
        <v>478</v>
      </c>
      <c r="E2794" s="30" t="s">
        <v>7946</v>
      </c>
      <c r="F2794" s="34" t="n">
        <f aca="false">IFERROR(VLOOKUP($A2794,'319'!$B:$H,7,0),0)</f>
        <v>0</v>
      </c>
      <c r="G2794" s="34" t="n">
        <f aca="false">SUMIFS('12.326ana'!$C:$C,'12.326ana'!$M:$M,redes!A2794)</f>
        <v>0</v>
      </c>
    </row>
    <row r="2795" customFormat="false" ht="14.4" hidden="true" customHeight="false" outlineLevel="0" collapsed="false">
      <c r="A2795" s="34" t="n">
        <v>46453334100</v>
      </c>
      <c r="B2795" s="34" t="s">
        <v>7947</v>
      </c>
      <c r="C2795" s="34" t="s">
        <v>77</v>
      </c>
      <c r="E2795" s="30" t="s">
        <v>3001</v>
      </c>
      <c r="F2795" s="34" t="n">
        <f aca="false">IFERROR(VLOOKUP($A2795,'319'!$B:$H,7,0),0)</f>
        <v>0</v>
      </c>
      <c r="G2795" s="34" t="n">
        <f aca="false">SUMIFS('12.326ana'!$C:$C,'12.326ana'!$M:$M,redes!A2795)</f>
        <v>0</v>
      </c>
    </row>
    <row r="2796" customFormat="false" ht="14.4" hidden="true" customHeight="false" outlineLevel="0" collapsed="false">
      <c r="A2796" s="34" t="n">
        <v>46454950115</v>
      </c>
      <c r="B2796" s="34" t="s">
        <v>7948</v>
      </c>
      <c r="C2796" s="34" t="s">
        <v>77</v>
      </c>
      <c r="E2796" s="30" t="s">
        <v>7949</v>
      </c>
      <c r="F2796" s="34" t="n">
        <f aca="false">IFERROR(VLOOKUP($A2796,'319'!$B:$H,7,0),0)</f>
        <v>0</v>
      </c>
      <c r="G2796" s="34" t="n">
        <f aca="false">SUMIFS('12.326ana'!$C:$C,'12.326ana'!$M:$M,redes!A2796)</f>
        <v>0</v>
      </c>
    </row>
    <row r="2797" customFormat="false" ht="14.4" hidden="true" customHeight="false" outlineLevel="0" collapsed="false">
      <c r="A2797" s="34" t="n">
        <v>46459804168</v>
      </c>
      <c r="B2797" s="34" t="s">
        <v>7950</v>
      </c>
      <c r="C2797" s="34" t="s">
        <v>77</v>
      </c>
      <c r="E2797" s="30" t="s">
        <v>7951</v>
      </c>
      <c r="F2797" s="34" t="n">
        <f aca="false">IFERROR(VLOOKUP($A2797,'319'!$B:$H,7,0),0)</f>
        <v>0</v>
      </c>
      <c r="G2797" s="34" t="n">
        <f aca="false">SUMIFS('12.326ana'!$C:$C,'12.326ana'!$M:$M,redes!A2797)</f>
        <v>0</v>
      </c>
    </row>
    <row r="2798" customFormat="false" ht="14.4" hidden="true" customHeight="false" outlineLevel="0" collapsed="false">
      <c r="A2798" s="34" t="n">
        <v>46461124934</v>
      </c>
      <c r="B2798" s="34" t="s">
        <v>7952</v>
      </c>
      <c r="C2798" s="34" t="s">
        <v>77</v>
      </c>
      <c r="E2798" s="30" t="s">
        <v>7953</v>
      </c>
      <c r="F2798" s="34" t="n">
        <f aca="false">IFERROR(VLOOKUP($A2798,'319'!$B:$H,7,0),0)</f>
        <v>0</v>
      </c>
      <c r="G2798" s="34" t="n">
        <f aca="false">SUMIFS('12.326ana'!$C:$C,'12.326ana'!$M:$M,redes!A2798)</f>
        <v>0</v>
      </c>
    </row>
    <row r="2799" customFormat="false" ht="14.4" hidden="true" customHeight="false" outlineLevel="0" collapsed="false">
      <c r="A2799" s="34" t="n">
        <v>46462821191</v>
      </c>
      <c r="B2799" s="34" t="s">
        <v>7954</v>
      </c>
      <c r="C2799" s="34" t="s">
        <v>842</v>
      </c>
      <c r="E2799" s="30" t="s">
        <v>6310</v>
      </c>
      <c r="F2799" s="34" t="n">
        <f aca="false">IFERROR(VLOOKUP($A2799,'319'!$B:$H,7,0),0)</f>
        <v>0</v>
      </c>
      <c r="G2799" s="34" t="n">
        <f aca="false">SUMIFS('12.326ana'!$C:$C,'12.326ana'!$M:$M,redes!A2799)</f>
        <v>0</v>
      </c>
    </row>
    <row r="2800" customFormat="false" ht="14.4" hidden="true" customHeight="false" outlineLevel="0" collapsed="false">
      <c r="A2800" s="34" t="n">
        <v>46463305120</v>
      </c>
      <c r="B2800" s="34" t="s">
        <v>7955</v>
      </c>
      <c r="C2800" s="34" t="s">
        <v>89</v>
      </c>
      <c r="E2800" s="30" t="s">
        <v>7956</v>
      </c>
      <c r="F2800" s="34" t="n">
        <f aca="false">IFERROR(VLOOKUP($A2800,'319'!$B:$H,7,0),0)</f>
        <v>0</v>
      </c>
      <c r="G2800" s="34" t="n">
        <f aca="false">SUMIFS('12.326ana'!$C:$C,'12.326ana'!$M:$M,redes!A2800)</f>
        <v>0</v>
      </c>
    </row>
    <row r="2801" customFormat="false" ht="14.4" hidden="true" customHeight="false" outlineLevel="0" collapsed="false">
      <c r="A2801" s="34" t="n">
        <v>46465197120</v>
      </c>
      <c r="B2801" s="34" t="s">
        <v>7957</v>
      </c>
      <c r="C2801" s="34" t="s">
        <v>77</v>
      </c>
      <c r="E2801" s="30" t="s">
        <v>7958</v>
      </c>
      <c r="F2801" s="34" t="n">
        <f aca="false">IFERROR(VLOOKUP($A2801,'319'!$B:$H,7,0),0)</f>
        <v>0</v>
      </c>
      <c r="G2801" s="34" t="n">
        <f aca="false">SUMIFS('12.326ana'!$C:$C,'12.326ana'!$M:$M,redes!A2801)</f>
        <v>0</v>
      </c>
    </row>
    <row r="2802" customFormat="false" ht="14.4" hidden="true" customHeight="false" outlineLevel="0" collapsed="false">
      <c r="A2802" s="34" t="n">
        <v>46467637100</v>
      </c>
      <c r="B2802" s="34" t="s">
        <v>7959</v>
      </c>
      <c r="C2802" s="34" t="s">
        <v>77</v>
      </c>
      <c r="E2802" s="30" t="s">
        <v>7960</v>
      </c>
      <c r="F2802" s="34" t="n">
        <f aca="false">IFERROR(VLOOKUP($A2802,'319'!$B:$H,7,0),0)</f>
        <v>0</v>
      </c>
      <c r="G2802" s="34" t="n">
        <f aca="false">SUMIFS('12.326ana'!$C:$C,'12.326ana'!$M:$M,redes!A2802)</f>
        <v>0</v>
      </c>
    </row>
    <row r="2803" customFormat="false" ht="14.4" hidden="true" customHeight="false" outlineLevel="0" collapsed="false">
      <c r="A2803" s="34" t="n">
        <v>46476784153</v>
      </c>
      <c r="B2803" s="34" t="s">
        <v>7961</v>
      </c>
      <c r="C2803" s="34" t="s">
        <v>77</v>
      </c>
      <c r="E2803" s="30" t="s">
        <v>7962</v>
      </c>
      <c r="F2803" s="34" t="n">
        <f aca="false">IFERROR(VLOOKUP($A2803,'319'!$B:$H,7,0),0)</f>
        <v>0</v>
      </c>
      <c r="G2803" s="34" t="n">
        <f aca="false">SUMIFS('12.326ana'!$C:$C,'12.326ana'!$M:$M,redes!A2803)</f>
        <v>0</v>
      </c>
    </row>
    <row r="2804" customFormat="false" ht="14.4" hidden="true" customHeight="false" outlineLevel="0" collapsed="false">
      <c r="A2804" s="34" t="n">
        <v>46479953134</v>
      </c>
      <c r="B2804" s="34" t="s">
        <v>7963</v>
      </c>
      <c r="C2804" s="34" t="s">
        <v>464</v>
      </c>
      <c r="E2804" s="30" t="s">
        <v>4445</v>
      </c>
      <c r="F2804" s="34" t="n">
        <f aca="false">IFERROR(VLOOKUP($A2804,'319'!$B:$H,7,0),0)</f>
        <v>0</v>
      </c>
      <c r="G2804" s="34" t="n">
        <f aca="false">SUMIFS('12.326ana'!$C:$C,'12.326ana'!$M:$M,redes!A2804)</f>
        <v>0</v>
      </c>
    </row>
    <row r="2805" customFormat="false" ht="14.4" hidden="true" customHeight="false" outlineLevel="0" collapsed="false">
      <c r="A2805" s="34" t="n">
        <v>46483764120</v>
      </c>
      <c r="B2805" s="34" t="s">
        <v>7964</v>
      </c>
      <c r="C2805" s="34" t="s">
        <v>77</v>
      </c>
      <c r="E2805" s="30" t="s">
        <v>7965</v>
      </c>
      <c r="F2805" s="34" t="n">
        <f aca="false">IFERROR(VLOOKUP($A2805,'319'!$B:$H,7,0),0)</f>
        <v>0</v>
      </c>
      <c r="G2805" s="34" t="n">
        <f aca="false">SUMIFS('12.326ana'!$C:$C,'12.326ana'!$M:$M,redes!A2805)</f>
        <v>0</v>
      </c>
    </row>
    <row r="2806" customFormat="false" ht="14.4" hidden="true" customHeight="false" outlineLevel="0" collapsed="false">
      <c r="A2806" s="34" t="n">
        <v>46488626191</v>
      </c>
      <c r="B2806" s="34" t="s">
        <v>7966</v>
      </c>
      <c r="C2806" s="34" t="s">
        <v>77</v>
      </c>
      <c r="E2806" s="30" t="s">
        <v>3540</v>
      </c>
      <c r="F2806" s="34" t="n">
        <f aca="false">IFERROR(VLOOKUP($A2806,'319'!$B:$H,7,0),0)</f>
        <v>0</v>
      </c>
      <c r="G2806" s="34" t="n">
        <f aca="false">SUMIFS('12.326ana'!$C:$C,'12.326ana'!$M:$M,redes!A2806)</f>
        <v>0</v>
      </c>
    </row>
    <row r="2807" customFormat="false" ht="14.4" hidden="true" customHeight="false" outlineLevel="0" collapsed="false">
      <c r="A2807" s="34" t="n">
        <v>46489290120</v>
      </c>
      <c r="B2807" s="34" t="s">
        <v>7967</v>
      </c>
      <c r="C2807" s="34" t="s">
        <v>77</v>
      </c>
      <c r="E2807" s="30" t="s">
        <v>7968</v>
      </c>
      <c r="F2807" s="34" t="n">
        <f aca="false">IFERROR(VLOOKUP($A2807,'319'!$B:$H,7,0),0)</f>
        <v>0</v>
      </c>
      <c r="G2807" s="34" t="n">
        <f aca="false">SUMIFS('12.326ana'!$C:$C,'12.326ana'!$M:$M,redes!A2807)</f>
        <v>0</v>
      </c>
    </row>
    <row r="2808" customFormat="false" ht="14.4" hidden="true" customHeight="false" outlineLevel="0" collapsed="false">
      <c r="A2808" s="34" t="n">
        <v>46493611172</v>
      </c>
      <c r="B2808" s="34" t="s">
        <v>7969</v>
      </c>
      <c r="C2808" s="34" t="s">
        <v>463</v>
      </c>
      <c r="E2808" s="30" t="s">
        <v>7970</v>
      </c>
      <c r="F2808" s="34" t="n">
        <f aca="false">IFERROR(VLOOKUP($A2808,'319'!$B:$H,7,0),0)</f>
        <v>0</v>
      </c>
      <c r="G2808" s="34" t="n">
        <f aca="false">SUMIFS('12.326ana'!$C:$C,'12.326ana'!$M:$M,redes!A2808)</f>
        <v>0</v>
      </c>
    </row>
    <row r="2809" customFormat="false" ht="14.4" hidden="true" customHeight="false" outlineLevel="0" collapsed="false">
      <c r="A2809" s="34" t="n">
        <v>46501002168</v>
      </c>
      <c r="B2809" s="34" t="s">
        <v>7971</v>
      </c>
      <c r="C2809" s="34" t="s">
        <v>463</v>
      </c>
      <c r="E2809" s="30" t="s">
        <v>7972</v>
      </c>
      <c r="F2809" s="34" t="n">
        <f aca="false">IFERROR(VLOOKUP($A2809,'319'!$B:$H,7,0),0)</f>
        <v>0</v>
      </c>
      <c r="G2809" s="34" t="n">
        <f aca="false">SUMIFS('12.326ana'!$C:$C,'12.326ana'!$M:$M,redes!A2809)</f>
        <v>0</v>
      </c>
    </row>
    <row r="2810" customFormat="false" ht="14.4" hidden="true" customHeight="false" outlineLevel="0" collapsed="false">
      <c r="A2810" s="34" t="n">
        <v>46501282187</v>
      </c>
      <c r="B2810" s="34" t="s">
        <v>7973</v>
      </c>
      <c r="C2810" s="34" t="s">
        <v>781</v>
      </c>
      <c r="E2810" s="30" t="s">
        <v>7974</v>
      </c>
      <c r="F2810" s="34" t="n">
        <f aca="false">IFERROR(VLOOKUP($A2810,'319'!$B:$H,7,0),0)</f>
        <v>0</v>
      </c>
      <c r="G2810" s="34" t="n">
        <f aca="false">SUMIFS('12.326ana'!$C:$C,'12.326ana'!$M:$M,redes!A2810)</f>
        <v>0</v>
      </c>
    </row>
    <row r="2811" customFormat="false" ht="14.4" hidden="true" customHeight="false" outlineLevel="0" collapsed="false">
      <c r="A2811" s="34" t="n">
        <v>46501797187</v>
      </c>
      <c r="B2811" s="34" t="s">
        <v>7975</v>
      </c>
      <c r="C2811" s="34" t="s">
        <v>77</v>
      </c>
      <c r="E2811" s="30" t="s">
        <v>7976</v>
      </c>
      <c r="F2811" s="34" t="n">
        <f aca="false">IFERROR(VLOOKUP($A2811,'319'!$B:$H,7,0),0)</f>
        <v>0</v>
      </c>
      <c r="G2811" s="34" t="n">
        <f aca="false">SUMIFS('12.326ana'!$C:$C,'12.326ana'!$M:$M,redes!A2811)</f>
        <v>0</v>
      </c>
    </row>
    <row r="2812" customFormat="false" ht="14.4" hidden="true" customHeight="false" outlineLevel="0" collapsed="false">
      <c r="A2812" s="34" t="n">
        <v>46501924120</v>
      </c>
      <c r="B2812" s="34" t="s">
        <v>7977</v>
      </c>
      <c r="C2812" s="34" t="s">
        <v>781</v>
      </c>
      <c r="E2812" s="30" t="s">
        <v>7978</v>
      </c>
      <c r="F2812" s="34" t="n">
        <f aca="false">IFERROR(VLOOKUP($A2812,'319'!$B:$H,7,0),0)</f>
        <v>0</v>
      </c>
      <c r="G2812" s="34" t="n">
        <f aca="false">SUMIFS('12.326ana'!$C:$C,'12.326ana'!$M:$M,redes!A2812)</f>
        <v>0</v>
      </c>
    </row>
    <row r="2813" customFormat="false" ht="14.4" hidden="true" customHeight="false" outlineLevel="0" collapsed="false">
      <c r="A2813" s="34" t="n">
        <v>46509496100</v>
      </c>
      <c r="B2813" s="34" t="s">
        <v>7979</v>
      </c>
      <c r="C2813" s="34" t="s">
        <v>77</v>
      </c>
      <c r="E2813" s="30" t="s">
        <v>7980</v>
      </c>
      <c r="F2813" s="34" t="n">
        <f aca="false">IFERROR(VLOOKUP($A2813,'319'!$B:$H,7,0),0)</f>
        <v>0</v>
      </c>
      <c r="G2813" s="34" t="n">
        <f aca="false">SUMIFS('12.326ana'!$C:$C,'12.326ana'!$M:$M,redes!A2813)</f>
        <v>0</v>
      </c>
    </row>
    <row r="2814" customFormat="false" ht="14.4" hidden="true" customHeight="false" outlineLevel="0" collapsed="false">
      <c r="A2814" s="34" t="n">
        <v>46509674149</v>
      </c>
      <c r="B2814" s="34" t="s">
        <v>7981</v>
      </c>
      <c r="C2814" s="34" t="s">
        <v>77</v>
      </c>
      <c r="E2814" s="30" t="s">
        <v>7982</v>
      </c>
      <c r="F2814" s="34" t="n">
        <f aca="false">IFERROR(VLOOKUP($A2814,'319'!$B:$H,7,0),0)</f>
        <v>0</v>
      </c>
      <c r="G2814" s="34" t="n">
        <f aca="false">SUMIFS('12.326ana'!$C:$C,'12.326ana'!$M:$M,redes!A2814)</f>
        <v>0</v>
      </c>
    </row>
    <row r="2815" customFormat="false" ht="14.4" hidden="true" customHeight="false" outlineLevel="0" collapsed="false">
      <c r="A2815" s="34" t="n">
        <v>46510940159</v>
      </c>
      <c r="B2815" s="34" t="s">
        <v>7983</v>
      </c>
      <c r="C2815" s="34" t="s">
        <v>77</v>
      </c>
      <c r="E2815" s="30" t="s">
        <v>7984</v>
      </c>
      <c r="F2815" s="34" t="n">
        <f aca="false">IFERROR(VLOOKUP($A2815,'319'!$B:$H,7,0),0)</f>
        <v>0</v>
      </c>
      <c r="G2815" s="34" t="n">
        <f aca="false">SUMIFS('12.326ana'!$C:$C,'12.326ana'!$M:$M,redes!A2815)</f>
        <v>0</v>
      </c>
    </row>
    <row r="2816" customFormat="false" ht="14.4" hidden="true" customHeight="false" outlineLevel="0" collapsed="false">
      <c r="A2816" s="34" t="n">
        <v>46516190100</v>
      </c>
      <c r="B2816" s="34" t="s">
        <v>7985</v>
      </c>
      <c r="C2816" s="34" t="s">
        <v>77</v>
      </c>
      <c r="E2816" s="30"/>
      <c r="F2816" s="34" t="n">
        <f aca="false">IFERROR(VLOOKUP($A2816,'319'!$B:$H,7,0),0)</f>
        <v>0</v>
      </c>
      <c r="G2816" s="34" t="n">
        <f aca="false">SUMIFS('12.326ana'!$C:$C,'12.326ana'!$M:$M,redes!A2816)</f>
        <v>0</v>
      </c>
    </row>
    <row r="2817" customFormat="false" ht="14.4" hidden="true" customHeight="false" outlineLevel="0" collapsed="false">
      <c r="A2817" s="34" t="n">
        <v>46516670153</v>
      </c>
      <c r="B2817" s="34" t="s">
        <v>7986</v>
      </c>
      <c r="C2817" s="34" t="s">
        <v>604</v>
      </c>
      <c r="E2817" s="30" t="s">
        <v>7987</v>
      </c>
      <c r="F2817" s="34" t="n">
        <f aca="false">IFERROR(VLOOKUP($A2817,'319'!$B:$H,7,0),0)</f>
        <v>0</v>
      </c>
      <c r="G2817" s="34" t="n">
        <f aca="false">SUMIFS('12.326ana'!$C:$C,'12.326ana'!$M:$M,redes!A2817)</f>
        <v>0</v>
      </c>
    </row>
    <row r="2818" customFormat="false" ht="14.4" hidden="true" customHeight="false" outlineLevel="0" collapsed="false">
      <c r="A2818" s="34" t="n">
        <v>46520236187</v>
      </c>
      <c r="B2818" s="34" t="s">
        <v>7988</v>
      </c>
      <c r="C2818" s="34" t="s">
        <v>107</v>
      </c>
      <c r="E2818" s="30" t="s">
        <v>7988</v>
      </c>
      <c r="F2818" s="34" t="n">
        <f aca="false">IFERROR(VLOOKUP($A2818,'319'!$B:$H,7,0),0)</f>
        <v>0</v>
      </c>
      <c r="G2818" s="34" t="n">
        <f aca="false">SUMIFS('12.326ana'!$C:$C,'12.326ana'!$M:$M,redes!A2818)</f>
        <v>0</v>
      </c>
    </row>
    <row r="2819" customFormat="false" ht="14.4" hidden="true" customHeight="false" outlineLevel="0" collapsed="false">
      <c r="A2819" s="34" t="n">
        <v>46523405168</v>
      </c>
      <c r="B2819" s="34" t="s">
        <v>7989</v>
      </c>
      <c r="C2819" s="34" t="s">
        <v>77</v>
      </c>
      <c r="E2819" s="30" t="s">
        <v>7990</v>
      </c>
      <c r="F2819" s="34" t="n">
        <f aca="false">IFERROR(VLOOKUP($A2819,'319'!$B:$H,7,0),0)</f>
        <v>0</v>
      </c>
      <c r="G2819" s="34" t="n">
        <f aca="false">SUMIFS('12.326ana'!$C:$C,'12.326ana'!$M:$M,redes!A2819)</f>
        <v>0</v>
      </c>
    </row>
    <row r="2820" customFormat="false" ht="14.4" hidden="true" customHeight="false" outlineLevel="0" collapsed="false">
      <c r="A2820" s="34" t="n">
        <v>46534679191</v>
      </c>
      <c r="B2820" s="34" t="s">
        <v>7991</v>
      </c>
      <c r="C2820" s="34" t="s">
        <v>473</v>
      </c>
      <c r="E2820" s="30" t="s">
        <v>7992</v>
      </c>
      <c r="F2820" s="34" t="n">
        <f aca="false">IFERROR(VLOOKUP($A2820,'319'!$B:$H,7,0),0)</f>
        <v>0</v>
      </c>
      <c r="G2820" s="34" t="n">
        <f aca="false">SUMIFS('12.326ana'!$C:$C,'12.326ana'!$M:$M,redes!A2820)</f>
        <v>0</v>
      </c>
    </row>
    <row r="2821" customFormat="false" ht="14.4" hidden="true" customHeight="false" outlineLevel="0" collapsed="false">
      <c r="A2821" s="34" t="n">
        <v>46534997134</v>
      </c>
      <c r="B2821" s="34" t="s">
        <v>7993</v>
      </c>
      <c r="C2821" s="34" t="s">
        <v>107</v>
      </c>
      <c r="E2821" s="30" t="s">
        <v>4519</v>
      </c>
      <c r="F2821" s="34" t="n">
        <f aca="false">IFERROR(VLOOKUP($A2821,'319'!$B:$H,7,0),0)</f>
        <v>0</v>
      </c>
      <c r="G2821" s="34" t="n">
        <f aca="false">SUMIFS('12.326ana'!$C:$C,'12.326ana'!$M:$M,redes!A2821)</f>
        <v>0</v>
      </c>
    </row>
    <row r="2822" customFormat="false" ht="14.4" hidden="true" customHeight="false" outlineLevel="0" collapsed="false">
      <c r="A2822" s="34" t="n">
        <v>46540709153</v>
      </c>
      <c r="B2822" s="34" t="s">
        <v>7994</v>
      </c>
      <c r="C2822" s="34" t="s">
        <v>1272</v>
      </c>
      <c r="E2822" s="30" t="s">
        <v>7995</v>
      </c>
      <c r="F2822" s="34" t="n">
        <f aca="false">IFERROR(VLOOKUP($A2822,'319'!$B:$H,7,0),0)</f>
        <v>0</v>
      </c>
      <c r="G2822" s="34" t="n">
        <f aca="false">SUMIFS('12.326ana'!$C:$C,'12.326ana'!$M:$M,redes!A2822)</f>
        <v>0</v>
      </c>
    </row>
    <row r="2823" customFormat="false" ht="14.4" hidden="true" customHeight="false" outlineLevel="0" collapsed="false">
      <c r="A2823" s="34" t="n">
        <v>46542663134</v>
      </c>
      <c r="B2823" s="34" t="s">
        <v>7996</v>
      </c>
      <c r="C2823" s="34" t="s">
        <v>631</v>
      </c>
      <c r="E2823" s="30" t="s">
        <v>7997</v>
      </c>
      <c r="F2823" s="34" t="n">
        <f aca="false">IFERROR(VLOOKUP($A2823,'319'!$B:$H,7,0),0)</f>
        <v>0</v>
      </c>
      <c r="G2823" s="34" t="n">
        <f aca="false">SUMIFS('12.326ana'!$C:$C,'12.326ana'!$M:$M,redes!A2823)</f>
        <v>0</v>
      </c>
    </row>
    <row r="2824" customFormat="false" ht="14.4" hidden="true" customHeight="false" outlineLevel="0" collapsed="false">
      <c r="A2824" s="34" t="n">
        <v>46546650134</v>
      </c>
      <c r="B2824" s="34" t="s">
        <v>7998</v>
      </c>
      <c r="C2824" s="34" t="s">
        <v>309</v>
      </c>
      <c r="E2824" s="30" t="s">
        <v>7999</v>
      </c>
      <c r="F2824" s="34" t="n">
        <f aca="false">IFERROR(VLOOKUP($A2824,'319'!$B:$H,7,0),0)</f>
        <v>0</v>
      </c>
      <c r="G2824" s="34" t="n">
        <f aca="false">SUMIFS('12.326ana'!$C:$C,'12.326ana'!$M:$M,redes!A2824)</f>
        <v>0</v>
      </c>
    </row>
    <row r="2825" customFormat="false" ht="14.4" hidden="true" customHeight="false" outlineLevel="0" collapsed="false">
      <c r="A2825" s="34" t="n">
        <v>46547347168</v>
      </c>
      <c r="B2825" s="34" t="s">
        <v>8000</v>
      </c>
      <c r="C2825" s="34" t="s">
        <v>881</v>
      </c>
      <c r="E2825" s="30" t="s">
        <v>8001</v>
      </c>
      <c r="F2825" s="34" t="n">
        <f aca="false">IFERROR(VLOOKUP($A2825,'319'!$B:$H,7,0),0)</f>
        <v>0</v>
      </c>
      <c r="G2825" s="34" t="n">
        <f aca="false">SUMIFS('12.326ana'!$C:$C,'12.326ana'!$M:$M,redes!A2825)</f>
        <v>0</v>
      </c>
    </row>
    <row r="2826" customFormat="false" ht="14.4" hidden="true" customHeight="false" outlineLevel="0" collapsed="false">
      <c r="A2826" s="34" t="n">
        <v>46548777115</v>
      </c>
      <c r="B2826" s="34" t="s">
        <v>8002</v>
      </c>
      <c r="C2826" s="34" t="s">
        <v>77</v>
      </c>
      <c r="E2826" s="30" t="s">
        <v>3674</v>
      </c>
      <c r="F2826" s="34" t="n">
        <f aca="false">IFERROR(VLOOKUP($A2826,'319'!$B:$H,7,0),0)</f>
        <v>0</v>
      </c>
      <c r="G2826" s="34" t="n">
        <f aca="false">SUMIFS('12.326ana'!$C:$C,'12.326ana'!$M:$M,redes!A2826)</f>
        <v>0</v>
      </c>
    </row>
    <row r="2827" customFormat="false" ht="14.4" hidden="true" customHeight="false" outlineLevel="0" collapsed="false">
      <c r="A2827" s="34" t="n">
        <v>46549820197</v>
      </c>
      <c r="B2827" s="34" t="s">
        <v>8003</v>
      </c>
      <c r="C2827" s="34" t="s">
        <v>309</v>
      </c>
      <c r="E2827" s="30" t="s">
        <v>4499</v>
      </c>
      <c r="F2827" s="34" t="n">
        <f aca="false">IFERROR(VLOOKUP($A2827,'319'!$B:$H,7,0),0)</f>
        <v>0</v>
      </c>
      <c r="G2827" s="34" t="n">
        <f aca="false">SUMIFS('12.326ana'!$C:$C,'12.326ana'!$M:$M,redes!A2827)</f>
        <v>0</v>
      </c>
    </row>
    <row r="2828" customFormat="false" ht="14.4" hidden="true" customHeight="false" outlineLevel="0" collapsed="false">
      <c r="A2828" s="34" t="n">
        <v>46553614172</v>
      </c>
      <c r="B2828" s="34" t="s">
        <v>8004</v>
      </c>
      <c r="C2828" s="34" t="s">
        <v>77</v>
      </c>
      <c r="E2828" s="30" t="s">
        <v>8005</v>
      </c>
      <c r="F2828" s="34" t="n">
        <f aca="false">IFERROR(VLOOKUP($A2828,'319'!$B:$H,7,0),0)</f>
        <v>0</v>
      </c>
      <c r="G2828" s="34" t="n">
        <f aca="false">SUMIFS('12.326ana'!$C:$C,'12.326ana'!$M:$M,redes!A2828)</f>
        <v>0</v>
      </c>
    </row>
    <row r="2829" customFormat="false" ht="14.4" hidden="true" customHeight="false" outlineLevel="0" collapsed="false">
      <c r="A2829" s="34" t="n">
        <v>46561340159</v>
      </c>
      <c r="B2829" s="34" t="s">
        <v>8006</v>
      </c>
      <c r="C2829" s="34" t="s">
        <v>4261</v>
      </c>
      <c r="E2829" s="30" t="s">
        <v>8007</v>
      </c>
      <c r="F2829" s="34" t="n">
        <f aca="false">IFERROR(VLOOKUP($A2829,'319'!$B:$H,7,0),0)</f>
        <v>0</v>
      </c>
      <c r="G2829" s="34" t="n">
        <f aca="false">SUMIFS('12.326ana'!$C:$C,'12.326ana'!$M:$M,redes!A2829)</f>
        <v>0</v>
      </c>
    </row>
    <row r="2830" customFormat="false" ht="14.4" hidden="true" customHeight="false" outlineLevel="0" collapsed="false">
      <c r="A2830" s="34" t="n">
        <v>46564799187</v>
      </c>
      <c r="B2830" s="34" t="s">
        <v>8008</v>
      </c>
      <c r="C2830" s="34" t="s">
        <v>77</v>
      </c>
      <c r="E2830" s="30" t="s">
        <v>8009</v>
      </c>
      <c r="F2830" s="34" t="n">
        <f aca="false">IFERROR(VLOOKUP($A2830,'319'!$B:$H,7,0),0)</f>
        <v>0</v>
      </c>
      <c r="G2830" s="34" t="n">
        <f aca="false">SUMIFS('12.326ana'!$C:$C,'12.326ana'!$M:$M,redes!A2830)</f>
        <v>0</v>
      </c>
    </row>
    <row r="2831" customFormat="false" ht="14.4" hidden="true" customHeight="false" outlineLevel="0" collapsed="false">
      <c r="A2831" s="34" t="n">
        <v>46570438115</v>
      </c>
      <c r="B2831" s="34" t="s">
        <v>8010</v>
      </c>
      <c r="C2831" s="34" t="s">
        <v>744</v>
      </c>
      <c r="E2831" s="30" t="s">
        <v>3112</v>
      </c>
      <c r="F2831" s="34" t="n">
        <f aca="false">IFERROR(VLOOKUP($A2831,'319'!$B:$H,7,0),0)</f>
        <v>0</v>
      </c>
      <c r="G2831" s="34" t="n">
        <f aca="false">SUMIFS('12.326ana'!$C:$C,'12.326ana'!$M:$M,redes!A2831)</f>
        <v>0</v>
      </c>
    </row>
    <row r="2832" customFormat="false" ht="14.4" hidden="true" customHeight="false" outlineLevel="0" collapsed="false">
      <c r="A2832" s="34" t="n">
        <v>46572910172</v>
      </c>
      <c r="B2832" s="34" t="s">
        <v>8011</v>
      </c>
      <c r="C2832" s="34" t="s">
        <v>77</v>
      </c>
      <c r="E2832" s="30"/>
      <c r="F2832" s="34" t="n">
        <f aca="false">IFERROR(VLOOKUP($A2832,'319'!$B:$H,7,0),0)</f>
        <v>0</v>
      </c>
      <c r="G2832" s="34" t="n">
        <f aca="false">SUMIFS('12.326ana'!$C:$C,'12.326ana'!$M:$M,redes!A2832)</f>
        <v>0</v>
      </c>
    </row>
    <row r="2833" customFormat="false" ht="14.4" hidden="true" customHeight="false" outlineLevel="0" collapsed="false">
      <c r="A2833" s="34" t="n">
        <v>46576223153</v>
      </c>
      <c r="B2833" s="34" t="s">
        <v>8012</v>
      </c>
      <c r="C2833" s="34" t="s">
        <v>77</v>
      </c>
      <c r="E2833" s="30" t="s">
        <v>8013</v>
      </c>
      <c r="F2833" s="34" t="n">
        <f aca="false">IFERROR(VLOOKUP($A2833,'319'!$B:$H,7,0),0)</f>
        <v>0</v>
      </c>
      <c r="G2833" s="34" t="n">
        <f aca="false">SUMIFS('12.326ana'!$C:$C,'12.326ana'!$M:$M,redes!A2833)</f>
        <v>0</v>
      </c>
    </row>
    <row r="2834" customFormat="false" ht="14.4" hidden="true" customHeight="false" outlineLevel="0" collapsed="false">
      <c r="A2834" s="34" t="n">
        <v>46579346191</v>
      </c>
      <c r="B2834" s="34" t="s">
        <v>8014</v>
      </c>
      <c r="C2834" s="34" t="s">
        <v>77</v>
      </c>
      <c r="E2834" s="30"/>
      <c r="F2834" s="34" t="n">
        <f aca="false">IFERROR(VLOOKUP($A2834,'319'!$B:$H,7,0),0)</f>
        <v>0</v>
      </c>
      <c r="G2834" s="34" t="n">
        <f aca="false">SUMIFS('12.326ana'!$C:$C,'12.326ana'!$M:$M,redes!A2834)</f>
        <v>0</v>
      </c>
    </row>
    <row r="2835" customFormat="false" ht="14.4" hidden="true" customHeight="false" outlineLevel="0" collapsed="false">
      <c r="A2835" s="34" t="n">
        <v>46589880115</v>
      </c>
      <c r="B2835" s="34" t="s">
        <v>8015</v>
      </c>
      <c r="C2835" s="34" t="s">
        <v>77</v>
      </c>
      <c r="E2835" s="30" t="s">
        <v>8016</v>
      </c>
      <c r="F2835" s="34" t="n">
        <f aca="false">IFERROR(VLOOKUP($A2835,'319'!$B:$H,7,0),0)</f>
        <v>0</v>
      </c>
      <c r="G2835" s="34" t="n">
        <f aca="false">SUMIFS('12.326ana'!$C:$C,'12.326ana'!$M:$M,redes!A2835)</f>
        <v>0</v>
      </c>
    </row>
    <row r="2836" customFormat="false" ht="14.4" hidden="true" customHeight="false" outlineLevel="0" collapsed="false">
      <c r="A2836" s="34" t="n">
        <v>46596445100</v>
      </c>
      <c r="B2836" s="34" t="s">
        <v>8017</v>
      </c>
      <c r="C2836" s="34" t="s">
        <v>77</v>
      </c>
      <c r="E2836" s="30" t="s">
        <v>3601</v>
      </c>
      <c r="F2836" s="34" t="n">
        <f aca="false">IFERROR(VLOOKUP($A2836,'319'!$B:$H,7,0),0)</f>
        <v>0</v>
      </c>
      <c r="G2836" s="34" t="n">
        <f aca="false">SUMIFS('12.326ana'!$C:$C,'12.326ana'!$M:$M,redes!A2836)</f>
        <v>0</v>
      </c>
    </row>
    <row r="2837" customFormat="false" ht="14.4" hidden="true" customHeight="false" outlineLevel="0" collapsed="false">
      <c r="A2837" s="34" t="n">
        <v>46599282172</v>
      </c>
      <c r="B2837" s="34" t="s">
        <v>8018</v>
      </c>
      <c r="C2837" s="34" t="s">
        <v>342</v>
      </c>
      <c r="E2837" s="30" t="s">
        <v>8019</v>
      </c>
      <c r="F2837" s="34" t="n">
        <f aca="false">IFERROR(VLOOKUP($A2837,'319'!$B:$H,7,0),0)</f>
        <v>0</v>
      </c>
      <c r="G2837" s="34" t="n">
        <f aca="false">SUMIFS('12.326ana'!$C:$C,'12.326ana'!$M:$M,redes!A2837)</f>
        <v>0</v>
      </c>
    </row>
    <row r="2838" customFormat="false" ht="14.4" hidden="true" customHeight="false" outlineLevel="0" collapsed="false">
      <c r="A2838" s="34" t="n">
        <v>46600140100</v>
      </c>
      <c r="B2838" s="34" t="s">
        <v>8020</v>
      </c>
      <c r="C2838" s="34" t="s">
        <v>463</v>
      </c>
      <c r="E2838" s="30" t="s">
        <v>8021</v>
      </c>
      <c r="F2838" s="34" t="n">
        <f aca="false">IFERROR(VLOOKUP($A2838,'319'!$B:$H,7,0),0)</f>
        <v>0</v>
      </c>
      <c r="G2838" s="34" t="n">
        <f aca="false">SUMIFS('12.326ana'!$C:$C,'12.326ana'!$M:$M,redes!A2838)</f>
        <v>0</v>
      </c>
    </row>
    <row r="2839" customFormat="false" ht="14.4" hidden="true" customHeight="false" outlineLevel="0" collapsed="false">
      <c r="A2839" s="34" t="n">
        <v>46601422134</v>
      </c>
      <c r="B2839" s="34" t="s">
        <v>8022</v>
      </c>
      <c r="C2839" s="34" t="s">
        <v>77</v>
      </c>
      <c r="E2839" s="30" t="s">
        <v>7043</v>
      </c>
      <c r="F2839" s="34" t="n">
        <f aca="false">IFERROR(VLOOKUP($A2839,'319'!$B:$H,7,0),0)</f>
        <v>0</v>
      </c>
      <c r="G2839" s="34" t="n">
        <f aca="false">SUMIFS('12.326ana'!$C:$C,'12.326ana'!$M:$M,redes!A2839)</f>
        <v>0</v>
      </c>
    </row>
    <row r="2840" customFormat="false" ht="14.4" hidden="true" customHeight="false" outlineLevel="0" collapsed="false">
      <c r="A2840" s="34" t="n">
        <v>46605606191</v>
      </c>
      <c r="B2840" s="34" t="s">
        <v>8023</v>
      </c>
      <c r="C2840" s="34" t="s">
        <v>107</v>
      </c>
      <c r="E2840" s="30" t="s">
        <v>8024</v>
      </c>
      <c r="F2840" s="34" t="n">
        <f aca="false">IFERROR(VLOOKUP($A2840,'319'!$B:$H,7,0),0)</f>
        <v>0</v>
      </c>
      <c r="G2840" s="34" t="n">
        <f aca="false">SUMIFS('12.326ana'!$C:$C,'12.326ana'!$M:$M,redes!A2840)</f>
        <v>0</v>
      </c>
    </row>
    <row r="2841" customFormat="false" ht="14.4" hidden="true" customHeight="false" outlineLevel="0" collapsed="false">
      <c r="A2841" s="34" t="n">
        <v>46608214120</v>
      </c>
      <c r="B2841" s="34" t="s">
        <v>8025</v>
      </c>
      <c r="C2841" s="34" t="s">
        <v>299</v>
      </c>
      <c r="E2841" s="30" t="s">
        <v>5316</v>
      </c>
      <c r="F2841" s="34" t="n">
        <f aca="false">IFERROR(VLOOKUP($A2841,'319'!$B:$H,7,0),0)</f>
        <v>0</v>
      </c>
      <c r="G2841" s="34" t="n">
        <f aca="false">SUMIFS('12.326ana'!$C:$C,'12.326ana'!$M:$M,redes!A2841)</f>
        <v>0</v>
      </c>
    </row>
    <row r="2842" customFormat="false" ht="14.4" hidden="true" customHeight="false" outlineLevel="0" collapsed="false">
      <c r="A2842" s="34" t="n">
        <v>46609857172</v>
      </c>
      <c r="B2842" s="34" t="s">
        <v>8026</v>
      </c>
      <c r="C2842" s="34" t="s">
        <v>77</v>
      </c>
      <c r="E2842" s="30" t="s">
        <v>8027</v>
      </c>
      <c r="F2842" s="34" t="n">
        <f aca="false">IFERROR(VLOOKUP($A2842,'319'!$B:$H,7,0),0)</f>
        <v>0</v>
      </c>
      <c r="G2842" s="34" t="n">
        <f aca="false">SUMIFS('12.326ana'!$C:$C,'12.326ana'!$M:$M,redes!A2842)</f>
        <v>0</v>
      </c>
    </row>
    <row r="2843" customFormat="false" ht="14.4" hidden="true" customHeight="false" outlineLevel="0" collapsed="false">
      <c r="A2843" s="34" t="n">
        <v>46613854115</v>
      </c>
      <c r="B2843" s="34" t="s">
        <v>8028</v>
      </c>
      <c r="C2843" s="34" t="s">
        <v>77</v>
      </c>
      <c r="E2843" s="30" t="s">
        <v>4016</v>
      </c>
      <c r="F2843" s="34" t="n">
        <f aca="false">IFERROR(VLOOKUP($A2843,'319'!$B:$H,7,0),0)</f>
        <v>0</v>
      </c>
      <c r="G2843" s="34" t="n">
        <f aca="false">SUMIFS('12.326ana'!$C:$C,'12.326ana'!$M:$M,redes!A2843)</f>
        <v>0</v>
      </c>
    </row>
    <row r="2844" customFormat="false" ht="14.4" hidden="true" customHeight="false" outlineLevel="0" collapsed="false">
      <c r="A2844" s="34" t="n">
        <v>46614702149</v>
      </c>
      <c r="B2844" s="34" t="s">
        <v>8029</v>
      </c>
      <c r="C2844" s="34" t="s">
        <v>107</v>
      </c>
      <c r="E2844" s="30" t="s">
        <v>8030</v>
      </c>
      <c r="F2844" s="34" t="n">
        <f aca="false">IFERROR(VLOOKUP($A2844,'319'!$B:$H,7,0),0)</f>
        <v>0</v>
      </c>
      <c r="G2844" s="34" t="n">
        <f aca="false">SUMIFS('12.326ana'!$C:$C,'12.326ana'!$M:$M,redes!A2844)</f>
        <v>0</v>
      </c>
    </row>
    <row r="2845" customFormat="false" ht="14.4" hidden="true" customHeight="false" outlineLevel="0" collapsed="false">
      <c r="A2845" s="34" t="n">
        <v>46616322149</v>
      </c>
      <c r="B2845" s="34" t="s">
        <v>8031</v>
      </c>
      <c r="C2845" s="34" t="s">
        <v>197</v>
      </c>
      <c r="E2845" s="30" t="s">
        <v>8032</v>
      </c>
      <c r="F2845" s="34" t="n">
        <f aca="false">IFERROR(VLOOKUP($A2845,'319'!$B:$H,7,0),0)</f>
        <v>0</v>
      </c>
      <c r="G2845" s="34" t="n">
        <f aca="false">SUMIFS('12.326ana'!$C:$C,'12.326ana'!$M:$M,redes!A2845)</f>
        <v>0</v>
      </c>
    </row>
    <row r="2846" customFormat="false" ht="14.4" hidden="true" customHeight="false" outlineLevel="0" collapsed="false">
      <c r="A2846" s="34" t="n">
        <v>46616543153</v>
      </c>
      <c r="B2846" s="34" t="s">
        <v>8033</v>
      </c>
      <c r="C2846" s="34" t="s">
        <v>77</v>
      </c>
      <c r="E2846" s="30" t="s">
        <v>8034</v>
      </c>
      <c r="F2846" s="34" t="n">
        <f aca="false">IFERROR(VLOOKUP($A2846,'319'!$B:$H,7,0),0)</f>
        <v>0</v>
      </c>
      <c r="G2846" s="34" t="n">
        <f aca="false">SUMIFS('12.326ana'!$C:$C,'12.326ana'!$M:$M,redes!A2846)</f>
        <v>0</v>
      </c>
    </row>
    <row r="2847" customFormat="false" ht="14.4" hidden="true" customHeight="false" outlineLevel="0" collapsed="false">
      <c r="A2847" s="34" t="n">
        <v>46616594149</v>
      </c>
      <c r="B2847" s="34" t="s">
        <v>8035</v>
      </c>
      <c r="C2847" s="34" t="s">
        <v>77</v>
      </c>
      <c r="E2847" s="30" t="s">
        <v>8036</v>
      </c>
      <c r="F2847" s="34" t="n">
        <f aca="false">IFERROR(VLOOKUP($A2847,'319'!$B:$H,7,0),0)</f>
        <v>0</v>
      </c>
      <c r="G2847" s="34" t="n">
        <f aca="false">SUMIFS('12.326ana'!$C:$C,'12.326ana'!$M:$M,redes!A2847)</f>
        <v>0</v>
      </c>
    </row>
    <row r="2848" customFormat="false" ht="14.4" hidden="true" customHeight="false" outlineLevel="0" collapsed="false">
      <c r="A2848" s="34" t="n">
        <v>46616713172</v>
      </c>
      <c r="B2848" s="34" t="s">
        <v>8037</v>
      </c>
      <c r="C2848" s="34" t="s">
        <v>463</v>
      </c>
      <c r="E2848" s="30" t="s">
        <v>8038</v>
      </c>
      <c r="F2848" s="34" t="n">
        <f aca="false">IFERROR(VLOOKUP($A2848,'319'!$B:$H,7,0),0)</f>
        <v>0</v>
      </c>
      <c r="G2848" s="34" t="n">
        <f aca="false">SUMIFS('12.326ana'!$C:$C,'12.326ana'!$M:$M,redes!A2848)</f>
        <v>0</v>
      </c>
    </row>
    <row r="2849" customFormat="false" ht="14.4" hidden="true" customHeight="false" outlineLevel="0" collapsed="false">
      <c r="A2849" s="34" t="n">
        <v>46626751115</v>
      </c>
      <c r="B2849" s="34" t="s">
        <v>969</v>
      </c>
      <c r="C2849" s="34" t="s">
        <v>77</v>
      </c>
      <c r="E2849" s="30" t="s">
        <v>8039</v>
      </c>
      <c r="F2849" s="34" t="n">
        <f aca="false">IFERROR(VLOOKUP($A2849,'319'!$B:$H,7,0),0)</f>
        <v>0</v>
      </c>
      <c r="G2849" s="34" t="n">
        <f aca="false">SUMIFS('12.326ana'!$C:$C,'12.326ana'!$M:$M,redes!A2849)</f>
        <v>0</v>
      </c>
    </row>
    <row r="2850" customFormat="false" ht="14.4" hidden="true" customHeight="false" outlineLevel="0" collapsed="false">
      <c r="A2850" s="34" t="n">
        <v>46635769153</v>
      </c>
      <c r="B2850" s="34" t="s">
        <v>8040</v>
      </c>
      <c r="C2850" s="34" t="s">
        <v>77</v>
      </c>
      <c r="E2850" s="30" t="s">
        <v>8041</v>
      </c>
      <c r="F2850" s="34" t="n">
        <f aca="false">IFERROR(VLOOKUP($A2850,'319'!$B:$H,7,0),0)</f>
        <v>0</v>
      </c>
      <c r="G2850" s="34" t="n">
        <f aca="false">SUMIFS('12.326ana'!$C:$C,'12.326ana'!$M:$M,redes!A2850)</f>
        <v>0</v>
      </c>
    </row>
    <row r="2851" customFormat="false" ht="14.4" hidden="true" customHeight="false" outlineLevel="0" collapsed="false">
      <c r="A2851" s="34" t="n">
        <v>46637311120</v>
      </c>
      <c r="B2851" s="34" t="s">
        <v>8042</v>
      </c>
      <c r="C2851" s="34" t="s">
        <v>77</v>
      </c>
      <c r="E2851" s="30" t="s">
        <v>4680</v>
      </c>
      <c r="F2851" s="34" t="n">
        <f aca="false">IFERROR(VLOOKUP($A2851,'319'!$B:$H,7,0),0)</f>
        <v>0</v>
      </c>
      <c r="G2851" s="34" t="n">
        <f aca="false">SUMIFS('12.326ana'!$C:$C,'12.326ana'!$M:$M,redes!A2851)</f>
        <v>0</v>
      </c>
    </row>
    <row r="2852" customFormat="false" ht="14.4" hidden="true" customHeight="false" outlineLevel="0" collapsed="false">
      <c r="A2852" s="34" t="n">
        <v>46642293134</v>
      </c>
      <c r="B2852" s="34" t="s">
        <v>8043</v>
      </c>
      <c r="C2852" s="34" t="s">
        <v>77</v>
      </c>
      <c r="E2852" s="30" t="s">
        <v>8044</v>
      </c>
      <c r="F2852" s="34" t="n">
        <f aca="false">IFERROR(VLOOKUP($A2852,'319'!$B:$H,7,0),0)</f>
        <v>0</v>
      </c>
      <c r="G2852" s="34" t="n">
        <f aca="false">SUMIFS('12.326ana'!$C:$C,'12.326ana'!$M:$M,redes!A2852)</f>
        <v>0</v>
      </c>
    </row>
    <row r="2853" customFormat="false" ht="14.4" hidden="true" customHeight="false" outlineLevel="0" collapsed="false">
      <c r="A2853" s="34" t="n">
        <v>46643877172</v>
      </c>
      <c r="B2853" s="34" t="s">
        <v>8045</v>
      </c>
      <c r="C2853" s="34" t="s">
        <v>117</v>
      </c>
      <c r="E2853" s="30" t="s">
        <v>6972</v>
      </c>
      <c r="F2853" s="34" t="n">
        <f aca="false">IFERROR(VLOOKUP($A2853,'319'!$B:$H,7,0),0)</f>
        <v>0</v>
      </c>
      <c r="G2853" s="34" t="n">
        <f aca="false">SUMIFS('12.326ana'!$C:$C,'12.326ana'!$M:$M,redes!A2853)</f>
        <v>0</v>
      </c>
    </row>
    <row r="2854" customFormat="false" ht="14.4" hidden="true" customHeight="false" outlineLevel="0" collapsed="false">
      <c r="A2854" s="34" t="n">
        <v>46648364149</v>
      </c>
      <c r="B2854" s="34" t="s">
        <v>8046</v>
      </c>
      <c r="C2854" s="34" t="s">
        <v>77</v>
      </c>
      <c r="E2854" s="30" t="s">
        <v>3538</v>
      </c>
      <c r="F2854" s="34" t="n">
        <f aca="false">IFERROR(VLOOKUP($A2854,'319'!$B:$H,7,0),0)</f>
        <v>0</v>
      </c>
      <c r="G2854" s="34" t="n">
        <f aca="false">SUMIFS('12.326ana'!$C:$C,'12.326ana'!$M:$M,redes!A2854)</f>
        <v>0</v>
      </c>
    </row>
    <row r="2855" customFormat="false" ht="14.4" hidden="true" customHeight="false" outlineLevel="0" collapsed="false">
      <c r="A2855" s="34" t="n">
        <v>46789871934</v>
      </c>
      <c r="B2855" s="34" t="s">
        <v>8047</v>
      </c>
      <c r="C2855" s="34" t="s">
        <v>77</v>
      </c>
      <c r="E2855" s="30" t="s">
        <v>8048</v>
      </c>
      <c r="F2855" s="34" t="n">
        <f aca="false">IFERROR(VLOOKUP($A2855,'319'!$B:$H,7,0),0)</f>
        <v>0</v>
      </c>
      <c r="G2855" s="34" t="n">
        <f aca="false">SUMIFS('12.326ana'!$C:$C,'12.326ana'!$M:$M,redes!A2855)</f>
        <v>0</v>
      </c>
    </row>
    <row r="2856" customFormat="false" ht="14.4" hidden="true" customHeight="false" outlineLevel="0" collapsed="false">
      <c r="A2856" s="34" t="n">
        <v>46880666272</v>
      </c>
      <c r="B2856" s="34" t="s">
        <v>8049</v>
      </c>
      <c r="C2856" s="34" t="s">
        <v>1680</v>
      </c>
      <c r="E2856" s="30" t="s">
        <v>8050</v>
      </c>
      <c r="F2856" s="34" t="n">
        <f aca="false">IFERROR(VLOOKUP($A2856,'319'!$B:$H,7,0),0)</f>
        <v>0</v>
      </c>
      <c r="G2856" s="34" t="n">
        <f aca="false">SUMIFS('12.326ana'!$C:$C,'12.326ana'!$M:$M,redes!A2856)</f>
        <v>0</v>
      </c>
    </row>
    <row r="2857" customFormat="false" ht="14.4" hidden="true" customHeight="false" outlineLevel="0" collapsed="false">
      <c r="A2857" s="34" t="n">
        <v>46891285100</v>
      </c>
      <c r="B2857" s="34" t="s">
        <v>8051</v>
      </c>
      <c r="C2857" s="34" t="s">
        <v>77</v>
      </c>
      <c r="E2857" s="30" t="s">
        <v>8052</v>
      </c>
      <c r="F2857" s="34" t="n">
        <f aca="false">IFERROR(VLOOKUP($A2857,'319'!$B:$H,7,0),0)</f>
        <v>0</v>
      </c>
      <c r="G2857" s="34" t="n">
        <f aca="false">SUMIFS('12.326ana'!$C:$C,'12.326ana'!$M:$M,redes!A2857)</f>
        <v>0</v>
      </c>
    </row>
    <row r="2858" customFormat="false" ht="14.4" hidden="true" customHeight="false" outlineLevel="0" collapsed="false">
      <c r="A2858" s="34" t="n">
        <v>47090952053</v>
      </c>
      <c r="B2858" s="34" t="s">
        <v>8053</v>
      </c>
      <c r="C2858" s="34" t="s">
        <v>77</v>
      </c>
      <c r="E2858" s="30"/>
      <c r="F2858" s="34" t="n">
        <f aca="false">IFERROR(VLOOKUP($A2858,'319'!$B:$H,7,0),0)</f>
        <v>0</v>
      </c>
      <c r="G2858" s="34" t="n">
        <f aca="false">SUMIFS('12.326ana'!$C:$C,'12.326ana'!$M:$M,redes!A2858)</f>
        <v>0</v>
      </c>
    </row>
    <row r="2859" customFormat="false" ht="14.4" hidden="true" customHeight="false" outlineLevel="0" collapsed="false">
      <c r="A2859" s="34" t="n">
        <v>47296615915</v>
      </c>
      <c r="B2859" s="34" t="s">
        <v>8054</v>
      </c>
      <c r="C2859" s="34" t="s">
        <v>357</v>
      </c>
      <c r="E2859" s="30" t="s">
        <v>8055</v>
      </c>
      <c r="F2859" s="34" t="n">
        <f aca="false">IFERROR(VLOOKUP($A2859,'319'!$B:$H,7,0),0)</f>
        <v>0</v>
      </c>
      <c r="G2859" s="34" t="n">
        <f aca="false">SUMIFS('12.326ana'!$C:$C,'12.326ana'!$M:$M,redes!A2859)</f>
        <v>0</v>
      </c>
    </row>
    <row r="2860" customFormat="false" ht="14.4" hidden="true" customHeight="false" outlineLevel="0" collapsed="false">
      <c r="A2860" s="34" t="n">
        <v>47327120530</v>
      </c>
      <c r="B2860" s="34" t="s">
        <v>8056</v>
      </c>
      <c r="C2860" s="34" t="s">
        <v>781</v>
      </c>
      <c r="E2860" s="30" t="s">
        <v>8057</v>
      </c>
      <c r="F2860" s="34" t="n">
        <f aca="false">IFERROR(VLOOKUP($A2860,'319'!$B:$H,7,0),0)</f>
        <v>0</v>
      </c>
      <c r="G2860" s="34" t="n">
        <f aca="false">SUMIFS('12.326ana'!$C:$C,'12.326ana'!$M:$M,redes!A2860)</f>
        <v>0</v>
      </c>
    </row>
    <row r="2861" customFormat="false" ht="14.4" hidden="true" customHeight="false" outlineLevel="0" collapsed="false">
      <c r="A2861" s="34" t="n">
        <v>47421223991</v>
      </c>
      <c r="B2861" s="34" t="s">
        <v>8058</v>
      </c>
      <c r="C2861" s="34" t="s">
        <v>881</v>
      </c>
      <c r="E2861" s="30" t="s">
        <v>8059</v>
      </c>
      <c r="F2861" s="34" t="n">
        <f aca="false">IFERROR(VLOOKUP($A2861,'319'!$B:$H,7,0),0)</f>
        <v>0</v>
      </c>
      <c r="G2861" s="34" t="n">
        <f aca="false">SUMIFS('12.326ana'!$C:$C,'12.326ana'!$M:$M,redes!A2861)</f>
        <v>0</v>
      </c>
    </row>
    <row r="2862" customFormat="false" ht="14.4" hidden="true" customHeight="false" outlineLevel="0" collapsed="false">
      <c r="A2862" s="34" t="n">
        <v>47492058187</v>
      </c>
      <c r="B2862" s="34" t="s">
        <v>8060</v>
      </c>
      <c r="C2862" s="34" t="s">
        <v>77</v>
      </c>
      <c r="E2862" s="30" t="s">
        <v>8061</v>
      </c>
      <c r="F2862" s="34" t="n">
        <f aca="false">IFERROR(VLOOKUP($A2862,'319'!$B:$H,7,0),0)</f>
        <v>0</v>
      </c>
      <c r="G2862" s="34" t="n">
        <f aca="false">SUMIFS('12.326ana'!$C:$C,'12.326ana'!$M:$M,redes!A2862)</f>
        <v>0</v>
      </c>
    </row>
    <row r="2863" customFormat="false" ht="14.4" hidden="true" customHeight="false" outlineLevel="0" collapsed="false">
      <c r="A2863" s="34" t="n">
        <v>47494441115</v>
      </c>
      <c r="B2863" s="34" t="s">
        <v>8062</v>
      </c>
      <c r="C2863" s="34" t="s">
        <v>77</v>
      </c>
      <c r="E2863" s="30"/>
      <c r="F2863" s="34" t="n">
        <f aca="false">IFERROR(VLOOKUP($A2863,'319'!$B:$H,7,0),0)</f>
        <v>0</v>
      </c>
      <c r="G2863" s="34" t="n">
        <f aca="false">SUMIFS('12.326ana'!$C:$C,'12.326ana'!$M:$M,redes!A2863)</f>
        <v>0</v>
      </c>
    </row>
    <row r="2864" customFormat="false" ht="14.4" hidden="true" customHeight="false" outlineLevel="0" collapsed="false">
      <c r="A2864" s="34" t="n">
        <v>47497246100</v>
      </c>
      <c r="B2864" s="34" t="s">
        <v>8063</v>
      </c>
      <c r="C2864" s="34" t="s">
        <v>77</v>
      </c>
      <c r="E2864" s="30" t="s">
        <v>8063</v>
      </c>
      <c r="F2864" s="34" t="n">
        <f aca="false">IFERROR(VLOOKUP($A2864,'319'!$B:$H,7,0),0)</f>
        <v>0</v>
      </c>
      <c r="G2864" s="34" t="n">
        <f aca="false">SUMIFS('12.326ana'!$C:$C,'12.326ana'!$M:$M,redes!A2864)</f>
        <v>0</v>
      </c>
    </row>
    <row r="2865" customFormat="false" ht="14.4" hidden="true" customHeight="false" outlineLevel="0" collapsed="false">
      <c r="A2865" s="34" t="n">
        <v>47501669104</v>
      </c>
      <c r="B2865" s="34" t="s">
        <v>8064</v>
      </c>
      <c r="C2865" s="34" t="s">
        <v>77</v>
      </c>
      <c r="E2865" s="30" t="s">
        <v>8065</v>
      </c>
      <c r="F2865" s="34" t="n">
        <f aca="false">IFERROR(VLOOKUP($A2865,'319'!$B:$H,7,0),0)</f>
        <v>0</v>
      </c>
      <c r="G2865" s="34" t="n">
        <f aca="false">SUMIFS('12.326ana'!$C:$C,'12.326ana'!$M:$M,redes!A2865)</f>
        <v>0</v>
      </c>
    </row>
    <row r="2866" customFormat="false" ht="14.4" hidden="true" customHeight="false" outlineLevel="0" collapsed="false">
      <c r="A2866" s="34" t="n">
        <v>47502304134</v>
      </c>
      <c r="B2866" s="34" t="s">
        <v>4031</v>
      </c>
      <c r="C2866" s="34" t="s">
        <v>77</v>
      </c>
      <c r="E2866" s="30" t="s">
        <v>8066</v>
      </c>
      <c r="F2866" s="34" t="n">
        <f aca="false">IFERROR(VLOOKUP($A2866,'319'!$B:$H,7,0),0)</f>
        <v>0</v>
      </c>
      <c r="G2866" s="34" t="n">
        <f aca="false">SUMIFS('12.326ana'!$C:$C,'12.326ana'!$M:$M,redes!A2866)</f>
        <v>0</v>
      </c>
    </row>
    <row r="2867" customFormat="false" ht="14.4" hidden="true" customHeight="false" outlineLevel="0" collapsed="false">
      <c r="A2867" s="34" t="n">
        <v>47505036149</v>
      </c>
      <c r="B2867" s="34" t="s">
        <v>8067</v>
      </c>
      <c r="C2867" s="34" t="s">
        <v>2998</v>
      </c>
      <c r="E2867" s="30" t="s">
        <v>8068</v>
      </c>
      <c r="F2867" s="34" t="n">
        <f aca="false">IFERROR(VLOOKUP($A2867,'319'!$B:$H,7,0),0)</f>
        <v>0</v>
      </c>
      <c r="G2867" s="34" t="n">
        <f aca="false">SUMIFS('12.326ana'!$C:$C,'12.326ana'!$M:$M,redes!A2867)</f>
        <v>0</v>
      </c>
    </row>
    <row r="2868" customFormat="false" ht="14.4" hidden="true" customHeight="false" outlineLevel="0" collapsed="false">
      <c r="A2868" s="34" t="n">
        <v>47512806191</v>
      </c>
      <c r="B2868" s="34" t="s">
        <v>8069</v>
      </c>
      <c r="C2868" s="34" t="s">
        <v>77</v>
      </c>
      <c r="E2868" s="30" t="s">
        <v>8070</v>
      </c>
      <c r="F2868" s="34" t="n">
        <f aca="false">IFERROR(VLOOKUP($A2868,'319'!$B:$H,7,0),0)</f>
        <v>0</v>
      </c>
      <c r="G2868" s="34" t="n">
        <f aca="false">SUMIFS('12.326ana'!$C:$C,'12.326ana'!$M:$M,redes!A2868)</f>
        <v>0</v>
      </c>
    </row>
    <row r="2869" customFormat="false" ht="14.4" hidden="true" customHeight="false" outlineLevel="0" collapsed="false">
      <c r="A2869" s="34" t="n">
        <v>47528621153</v>
      </c>
      <c r="B2869" s="34" t="s">
        <v>8071</v>
      </c>
      <c r="C2869" s="34" t="s">
        <v>89</v>
      </c>
      <c r="E2869" s="30"/>
      <c r="F2869" s="34" t="n">
        <f aca="false">IFERROR(VLOOKUP($A2869,'319'!$B:$H,7,0),0)</f>
        <v>0</v>
      </c>
      <c r="G2869" s="34" t="n">
        <f aca="false">SUMIFS('12.326ana'!$C:$C,'12.326ana'!$M:$M,redes!A2869)</f>
        <v>0</v>
      </c>
    </row>
    <row r="2870" customFormat="false" ht="14.4" hidden="true" customHeight="false" outlineLevel="0" collapsed="false">
      <c r="A2870" s="34" t="n">
        <v>47533110153</v>
      </c>
      <c r="B2870" s="34" t="s">
        <v>8072</v>
      </c>
      <c r="C2870" s="34" t="s">
        <v>77</v>
      </c>
      <c r="E2870" s="30"/>
      <c r="F2870" s="34" t="n">
        <f aca="false">IFERROR(VLOOKUP($A2870,'319'!$B:$H,7,0),0)</f>
        <v>0</v>
      </c>
      <c r="G2870" s="34" t="n">
        <f aca="false">SUMIFS('12.326ana'!$C:$C,'12.326ana'!$M:$M,redes!A2870)</f>
        <v>0</v>
      </c>
    </row>
    <row r="2871" customFormat="false" ht="14.4" hidden="true" customHeight="false" outlineLevel="0" collapsed="false">
      <c r="A2871" s="34" t="n">
        <v>47533170130</v>
      </c>
      <c r="B2871" s="34" t="s">
        <v>8073</v>
      </c>
      <c r="C2871" s="34" t="s">
        <v>77</v>
      </c>
      <c r="E2871" s="30" t="s">
        <v>8074</v>
      </c>
      <c r="F2871" s="34" t="n">
        <f aca="false">IFERROR(VLOOKUP($A2871,'319'!$B:$H,7,0),0)</f>
        <v>0</v>
      </c>
      <c r="G2871" s="34" t="n">
        <f aca="false">SUMIFS('12.326ana'!$C:$C,'12.326ana'!$M:$M,redes!A2871)</f>
        <v>0</v>
      </c>
    </row>
    <row r="2872" customFormat="false" ht="14.4" hidden="true" customHeight="false" outlineLevel="0" collapsed="false">
      <c r="A2872" s="34" t="n">
        <v>47534370191</v>
      </c>
      <c r="B2872" s="34" t="s">
        <v>8075</v>
      </c>
      <c r="C2872" s="34" t="s">
        <v>77</v>
      </c>
      <c r="E2872" s="30" t="s">
        <v>8076</v>
      </c>
      <c r="F2872" s="34" t="n">
        <f aca="false">IFERROR(VLOOKUP($A2872,'319'!$B:$H,7,0),0)</f>
        <v>0</v>
      </c>
      <c r="G2872" s="34" t="n">
        <f aca="false">SUMIFS('12.326ana'!$C:$C,'12.326ana'!$M:$M,redes!A2872)</f>
        <v>0</v>
      </c>
    </row>
    <row r="2873" customFormat="false" ht="14.4" hidden="true" customHeight="false" outlineLevel="0" collapsed="false">
      <c r="A2873" s="34" t="n">
        <v>47534672872</v>
      </c>
      <c r="B2873" s="34" t="s">
        <v>8077</v>
      </c>
      <c r="C2873" s="34" t="s">
        <v>77</v>
      </c>
      <c r="E2873" s="30" t="s">
        <v>8078</v>
      </c>
      <c r="F2873" s="34" t="n">
        <f aca="false">IFERROR(VLOOKUP($A2873,'319'!$B:$H,7,0),0)</f>
        <v>0</v>
      </c>
      <c r="G2873" s="34" t="n">
        <f aca="false">SUMIFS('12.326ana'!$C:$C,'12.326ana'!$M:$M,redes!A2873)</f>
        <v>0</v>
      </c>
    </row>
    <row r="2874" customFormat="false" ht="14.4" hidden="true" customHeight="false" outlineLevel="0" collapsed="false">
      <c r="A2874" s="34" t="n">
        <v>47535709168</v>
      </c>
      <c r="B2874" s="34" t="s">
        <v>8079</v>
      </c>
      <c r="C2874" s="34" t="s">
        <v>77</v>
      </c>
      <c r="E2874" s="30" t="s">
        <v>8080</v>
      </c>
      <c r="F2874" s="34" t="n">
        <f aca="false">IFERROR(VLOOKUP($A2874,'319'!$B:$H,7,0),0)</f>
        <v>0</v>
      </c>
      <c r="G2874" s="34" t="n">
        <f aca="false">SUMIFS('12.326ana'!$C:$C,'12.326ana'!$M:$M,redes!A2874)</f>
        <v>0</v>
      </c>
    </row>
    <row r="2875" customFormat="false" ht="14.4" hidden="true" customHeight="false" outlineLevel="0" collapsed="false">
      <c r="A2875" s="34" t="n">
        <v>47539410191</v>
      </c>
      <c r="B2875" s="34" t="s">
        <v>8081</v>
      </c>
      <c r="C2875" s="34" t="s">
        <v>77</v>
      </c>
      <c r="E2875" s="30" t="s">
        <v>8082</v>
      </c>
      <c r="F2875" s="34" t="n">
        <f aca="false">IFERROR(VLOOKUP($A2875,'319'!$B:$H,7,0),0)</f>
        <v>0</v>
      </c>
      <c r="G2875" s="34" t="n">
        <f aca="false">SUMIFS('12.326ana'!$C:$C,'12.326ana'!$M:$M,redes!A2875)</f>
        <v>0</v>
      </c>
    </row>
    <row r="2876" customFormat="false" ht="14.4" hidden="true" customHeight="false" outlineLevel="0" collapsed="false">
      <c r="A2876" s="34" t="n">
        <v>47539496134</v>
      </c>
      <c r="B2876" s="34" t="s">
        <v>8083</v>
      </c>
      <c r="C2876" s="34" t="s">
        <v>77</v>
      </c>
      <c r="E2876" s="30" t="s">
        <v>8084</v>
      </c>
      <c r="F2876" s="34" t="n">
        <f aca="false">IFERROR(VLOOKUP($A2876,'319'!$B:$H,7,0),0)</f>
        <v>0</v>
      </c>
      <c r="G2876" s="34" t="n">
        <f aca="false">SUMIFS('12.326ana'!$C:$C,'12.326ana'!$M:$M,redes!A2876)</f>
        <v>0</v>
      </c>
    </row>
    <row r="2877" customFormat="false" ht="14.4" hidden="true" customHeight="false" outlineLevel="0" collapsed="false">
      <c r="A2877" s="34" t="n">
        <v>47539569115</v>
      </c>
      <c r="B2877" s="34" t="s">
        <v>8085</v>
      </c>
      <c r="C2877" s="34" t="s">
        <v>77</v>
      </c>
      <c r="E2877" s="30" t="s">
        <v>8086</v>
      </c>
      <c r="F2877" s="34" t="n">
        <f aca="false">IFERROR(VLOOKUP($A2877,'319'!$B:$H,7,0),0)</f>
        <v>0</v>
      </c>
      <c r="G2877" s="34" t="n">
        <f aca="false">SUMIFS('12.326ana'!$C:$C,'12.326ana'!$M:$M,redes!A2877)</f>
        <v>0</v>
      </c>
    </row>
    <row r="2878" customFormat="false" ht="14.4" hidden="true" customHeight="false" outlineLevel="0" collapsed="false">
      <c r="A2878" s="34" t="n">
        <v>47539844868</v>
      </c>
      <c r="B2878" s="34" t="s">
        <v>8087</v>
      </c>
      <c r="C2878" s="34" t="s">
        <v>77</v>
      </c>
      <c r="E2878" s="30" t="s">
        <v>8088</v>
      </c>
      <c r="F2878" s="34" t="n">
        <f aca="false">IFERROR(VLOOKUP($A2878,'319'!$B:$H,7,0),0)</f>
        <v>0</v>
      </c>
      <c r="G2878" s="34" t="n">
        <f aca="false">SUMIFS('12.326ana'!$C:$C,'12.326ana'!$M:$M,redes!A2878)</f>
        <v>0</v>
      </c>
    </row>
    <row r="2879" customFormat="false" ht="14.4" hidden="true" customHeight="false" outlineLevel="0" collapsed="false">
      <c r="A2879" s="34" t="n">
        <v>47541040134</v>
      </c>
      <c r="B2879" s="34" t="s">
        <v>8089</v>
      </c>
      <c r="C2879" s="34" t="s">
        <v>77</v>
      </c>
      <c r="E2879" s="30" t="s">
        <v>8090</v>
      </c>
      <c r="F2879" s="34" t="n">
        <f aca="false">IFERROR(VLOOKUP($A2879,'319'!$B:$H,7,0),0)</f>
        <v>0</v>
      </c>
      <c r="G2879" s="34" t="n">
        <f aca="false">SUMIFS('12.326ana'!$C:$C,'12.326ana'!$M:$M,redes!A2879)</f>
        <v>0</v>
      </c>
    </row>
    <row r="2880" customFormat="false" ht="14.4" hidden="true" customHeight="false" outlineLevel="0" collapsed="false">
      <c r="A2880" s="34" t="n">
        <v>47560444172</v>
      </c>
      <c r="B2880" s="34" t="s">
        <v>8091</v>
      </c>
      <c r="C2880" s="34" t="s">
        <v>309</v>
      </c>
      <c r="E2880" s="30" t="s">
        <v>3935</v>
      </c>
      <c r="F2880" s="34" t="n">
        <f aca="false">IFERROR(VLOOKUP($A2880,'319'!$B:$H,7,0),0)</f>
        <v>0</v>
      </c>
      <c r="G2880" s="34" t="n">
        <f aca="false">SUMIFS('12.326ana'!$C:$C,'12.326ana'!$M:$M,redes!A2880)</f>
        <v>0</v>
      </c>
    </row>
    <row r="2881" customFormat="false" ht="14.4" hidden="true" customHeight="false" outlineLevel="0" collapsed="false">
      <c r="A2881" s="34" t="n">
        <v>47563141120</v>
      </c>
      <c r="B2881" s="34" t="s">
        <v>8092</v>
      </c>
      <c r="C2881" s="34" t="s">
        <v>737</v>
      </c>
      <c r="E2881" s="30" t="s">
        <v>3440</v>
      </c>
      <c r="F2881" s="34" t="n">
        <f aca="false">IFERROR(VLOOKUP($A2881,'319'!$B:$H,7,0),0)</f>
        <v>0</v>
      </c>
      <c r="G2881" s="34" t="n">
        <f aca="false">SUMIFS('12.326ana'!$C:$C,'12.326ana'!$M:$M,redes!A2881)</f>
        <v>0</v>
      </c>
    </row>
    <row r="2882" customFormat="false" ht="14.4" hidden="true" customHeight="false" outlineLevel="0" collapsed="false">
      <c r="A2882" s="34" t="n">
        <v>47579641100</v>
      </c>
      <c r="B2882" s="34" t="s">
        <v>8093</v>
      </c>
      <c r="C2882" s="34" t="s">
        <v>77</v>
      </c>
      <c r="E2882" s="30" t="s">
        <v>8094</v>
      </c>
      <c r="F2882" s="34" t="n">
        <f aca="false">IFERROR(VLOOKUP($A2882,'319'!$B:$H,7,0),0)</f>
        <v>0</v>
      </c>
      <c r="G2882" s="34" t="n">
        <f aca="false">SUMIFS('12.326ana'!$C:$C,'12.326ana'!$M:$M,redes!A2882)</f>
        <v>0</v>
      </c>
    </row>
    <row r="2883" customFormat="false" ht="14.4" hidden="true" customHeight="false" outlineLevel="0" collapsed="false">
      <c r="A2883" s="34" t="n">
        <v>47580658100</v>
      </c>
      <c r="B2883" s="34" t="s">
        <v>8095</v>
      </c>
      <c r="C2883" s="34" t="s">
        <v>77</v>
      </c>
      <c r="E2883" s="30" t="s">
        <v>8095</v>
      </c>
      <c r="F2883" s="34" t="n">
        <f aca="false">IFERROR(VLOOKUP($A2883,'319'!$B:$H,7,0),0)</f>
        <v>0</v>
      </c>
      <c r="G2883" s="34" t="n">
        <f aca="false">SUMIFS('12.326ana'!$C:$C,'12.326ana'!$M:$M,redes!A2883)</f>
        <v>0</v>
      </c>
    </row>
    <row r="2884" customFormat="false" ht="14.4" hidden="true" customHeight="false" outlineLevel="0" collapsed="false">
      <c r="A2884" s="34" t="n">
        <v>47581565149</v>
      </c>
      <c r="B2884" s="34" t="s">
        <v>8096</v>
      </c>
      <c r="C2884" s="34" t="s">
        <v>77</v>
      </c>
      <c r="E2884" s="30" t="s">
        <v>7874</v>
      </c>
      <c r="F2884" s="34" t="n">
        <f aca="false">IFERROR(VLOOKUP($A2884,'319'!$B:$H,7,0),0)</f>
        <v>0</v>
      </c>
      <c r="G2884" s="34" t="n">
        <f aca="false">SUMIFS('12.326ana'!$C:$C,'12.326ana'!$M:$M,redes!A2884)</f>
        <v>0</v>
      </c>
    </row>
    <row r="2885" customFormat="false" ht="14.4" hidden="true" customHeight="false" outlineLevel="0" collapsed="false">
      <c r="A2885" s="34" t="n">
        <v>47582049187</v>
      </c>
      <c r="B2885" s="34" t="s">
        <v>8097</v>
      </c>
      <c r="C2885" s="34" t="s">
        <v>77</v>
      </c>
      <c r="E2885" s="30" t="s">
        <v>8098</v>
      </c>
      <c r="F2885" s="34" t="n">
        <f aca="false">IFERROR(VLOOKUP($A2885,'319'!$B:$H,7,0),0)</f>
        <v>0</v>
      </c>
      <c r="G2885" s="34" t="n">
        <f aca="false">SUMIFS('12.326ana'!$C:$C,'12.326ana'!$M:$M,redes!A2885)</f>
        <v>0</v>
      </c>
    </row>
    <row r="2886" customFormat="false" ht="14.4" hidden="true" customHeight="false" outlineLevel="0" collapsed="false">
      <c r="A2886" s="34" t="n">
        <v>47582790120</v>
      </c>
      <c r="B2886" s="34" t="s">
        <v>8099</v>
      </c>
      <c r="C2886" s="34" t="s">
        <v>77</v>
      </c>
      <c r="E2886" s="30" t="s">
        <v>8100</v>
      </c>
      <c r="F2886" s="34" t="n">
        <f aca="false">IFERROR(VLOOKUP($A2886,'319'!$B:$H,7,0),0)</f>
        <v>0</v>
      </c>
      <c r="G2886" s="34" t="n">
        <f aca="false">SUMIFS('12.326ana'!$C:$C,'12.326ana'!$M:$M,redes!A2886)</f>
        <v>0</v>
      </c>
    </row>
    <row r="2887" customFormat="false" ht="14.4" hidden="true" customHeight="false" outlineLevel="0" collapsed="false">
      <c r="A2887" s="34" t="n">
        <v>47583568153</v>
      </c>
      <c r="B2887" s="34" t="s">
        <v>8101</v>
      </c>
      <c r="C2887" s="34" t="s">
        <v>77</v>
      </c>
      <c r="E2887" s="30" t="s">
        <v>8102</v>
      </c>
      <c r="F2887" s="34" t="n">
        <f aca="false">IFERROR(VLOOKUP($A2887,'319'!$B:$H,7,0),0)</f>
        <v>0</v>
      </c>
      <c r="G2887" s="34" t="n">
        <f aca="false">SUMIFS('12.326ana'!$C:$C,'12.326ana'!$M:$M,redes!A2887)</f>
        <v>0</v>
      </c>
    </row>
    <row r="2888" customFormat="false" ht="14.4" hidden="true" customHeight="false" outlineLevel="0" collapsed="false">
      <c r="A2888" s="34" t="n">
        <v>47588438134</v>
      </c>
      <c r="B2888" s="34" t="s">
        <v>8103</v>
      </c>
      <c r="C2888" s="34" t="s">
        <v>89</v>
      </c>
      <c r="E2888" s="30" t="s">
        <v>8104</v>
      </c>
      <c r="F2888" s="34" t="n">
        <f aca="false">IFERROR(VLOOKUP($A2888,'319'!$B:$H,7,0),0)</f>
        <v>0</v>
      </c>
      <c r="G2888" s="34" t="n">
        <f aca="false">SUMIFS('12.326ana'!$C:$C,'12.326ana'!$M:$M,redes!A2888)</f>
        <v>0</v>
      </c>
    </row>
    <row r="2889" customFormat="false" ht="14.4" hidden="true" customHeight="false" outlineLevel="0" collapsed="false">
      <c r="A2889" s="34" t="n">
        <v>47654511949</v>
      </c>
      <c r="B2889" s="34" t="s">
        <v>8105</v>
      </c>
      <c r="C2889" s="34" t="s">
        <v>77</v>
      </c>
      <c r="E2889" s="30" t="s">
        <v>8106</v>
      </c>
      <c r="F2889" s="34" t="n">
        <f aca="false">IFERROR(VLOOKUP($A2889,'319'!$B:$H,7,0),0)</f>
        <v>0</v>
      </c>
      <c r="G2889" s="34" t="n">
        <f aca="false">SUMIFS('12.326ana'!$C:$C,'12.326ana'!$M:$M,redes!A2889)</f>
        <v>0</v>
      </c>
    </row>
    <row r="2890" customFormat="false" ht="14.4" hidden="true" customHeight="false" outlineLevel="0" collapsed="false">
      <c r="A2890" s="34" t="n">
        <v>47664924987</v>
      </c>
      <c r="B2890" s="34" t="s">
        <v>8107</v>
      </c>
      <c r="C2890" s="34" t="s">
        <v>77</v>
      </c>
      <c r="E2890" s="30" t="s">
        <v>8108</v>
      </c>
      <c r="F2890" s="34" t="n">
        <f aca="false">IFERROR(VLOOKUP($A2890,'319'!$B:$H,7,0),0)</f>
        <v>0</v>
      </c>
      <c r="G2890" s="34" t="n">
        <f aca="false">SUMIFS('12.326ana'!$C:$C,'12.326ana'!$M:$M,redes!A2890)</f>
        <v>0</v>
      </c>
    </row>
    <row r="2891" customFormat="false" ht="14.4" hidden="true" customHeight="false" outlineLevel="0" collapsed="false">
      <c r="A2891" s="34" t="n">
        <v>47812214400</v>
      </c>
      <c r="B2891" s="34" t="s">
        <v>8109</v>
      </c>
      <c r="C2891" s="34" t="s">
        <v>77</v>
      </c>
      <c r="E2891" s="30" t="s">
        <v>8110</v>
      </c>
      <c r="F2891" s="34" t="n">
        <f aca="false">IFERROR(VLOOKUP($A2891,'319'!$B:$H,7,0),0)</f>
        <v>0</v>
      </c>
      <c r="G2891" s="34" t="n">
        <f aca="false">SUMIFS('12.326ana'!$C:$C,'12.326ana'!$M:$M,redes!A2891)</f>
        <v>0</v>
      </c>
    </row>
    <row r="2892" customFormat="false" ht="14.4" hidden="true" customHeight="false" outlineLevel="0" collapsed="false">
      <c r="A2892" s="34" t="n">
        <v>47815191800</v>
      </c>
      <c r="B2892" s="34" t="s">
        <v>8111</v>
      </c>
      <c r="C2892" s="34" t="s">
        <v>77</v>
      </c>
      <c r="E2892" s="30" t="s">
        <v>8112</v>
      </c>
      <c r="F2892" s="34" t="n">
        <f aca="false">IFERROR(VLOOKUP($A2892,'319'!$B:$H,7,0),0)</f>
        <v>0</v>
      </c>
      <c r="G2892" s="34" t="n">
        <f aca="false">SUMIFS('12.326ana'!$C:$C,'12.326ana'!$M:$M,redes!A2892)</f>
        <v>0</v>
      </c>
    </row>
    <row r="2893" customFormat="false" ht="14.4" hidden="true" customHeight="false" outlineLevel="0" collapsed="false">
      <c r="A2893" s="34" t="n">
        <v>47889853220</v>
      </c>
      <c r="B2893" s="34" t="s">
        <v>8113</v>
      </c>
      <c r="C2893" s="34" t="s">
        <v>77</v>
      </c>
      <c r="E2893" s="30" t="s">
        <v>8114</v>
      </c>
      <c r="F2893" s="34" t="n">
        <f aca="false">IFERROR(VLOOKUP($A2893,'319'!$B:$H,7,0),0)</f>
        <v>0</v>
      </c>
      <c r="G2893" s="34" t="n">
        <f aca="false">SUMIFS('12.326ana'!$C:$C,'12.326ana'!$M:$M,redes!A2893)</f>
        <v>0</v>
      </c>
    </row>
    <row r="2894" customFormat="false" ht="14.4" hidden="true" customHeight="false" outlineLevel="0" collapsed="false">
      <c r="A2894" s="34" t="n">
        <v>48035718991</v>
      </c>
      <c r="B2894" s="34" t="s">
        <v>8115</v>
      </c>
      <c r="C2894" s="34" t="s">
        <v>77</v>
      </c>
      <c r="E2894" s="30" t="s">
        <v>8115</v>
      </c>
      <c r="F2894" s="34" t="n">
        <f aca="false">IFERROR(VLOOKUP($A2894,'319'!$B:$H,7,0),0)</f>
        <v>0</v>
      </c>
      <c r="G2894" s="34" t="n">
        <f aca="false">SUMIFS('12.326ana'!$C:$C,'12.326ana'!$M:$M,redes!A2894)</f>
        <v>0</v>
      </c>
    </row>
    <row r="2895" customFormat="false" ht="14.4" hidden="true" customHeight="false" outlineLevel="0" collapsed="false">
      <c r="A2895" s="34" t="n">
        <v>48045411104</v>
      </c>
      <c r="B2895" s="34" t="s">
        <v>8116</v>
      </c>
      <c r="C2895" s="34" t="s">
        <v>77</v>
      </c>
      <c r="E2895" s="30" t="s">
        <v>8117</v>
      </c>
      <c r="F2895" s="34" t="n">
        <f aca="false">IFERROR(VLOOKUP($A2895,'319'!$B:$H,7,0),0)</f>
        <v>0</v>
      </c>
      <c r="G2895" s="34" t="n">
        <f aca="false">SUMIFS('12.326ana'!$C:$C,'12.326ana'!$M:$M,redes!A2895)</f>
        <v>0</v>
      </c>
    </row>
    <row r="2896" customFormat="false" ht="14.4" hidden="true" customHeight="false" outlineLevel="0" collapsed="false">
      <c r="A2896" s="34" t="n">
        <v>48046647187</v>
      </c>
      <c r="B2896" s="34" t="s">
        <v>8118</v>
      </c>
      <c r="C2896" s="34" t="s">
        <v>77</v>
      </c>
      <c r="E2896" s="30" t="s">
        <v>8119</v>
      </c>
      <c r="F2896" s="34" t="n">
        <f aca="false">IFERROR(VLOOKUP($A2896,'319'!$B:$H,7,0),0)</f>
        <v>0</v>
      </c>
      <c r="G2896" s="34" t="n">
        <f aca="false">SUMIFS('12.326ana'!$C:$C,'12.326ana'!$M:$M,redes!A2896)</f>
        <v>0</v>
      </c>
    </row>
    <row r="2897" customFormat="false" ht="14.4" hidden="true" customHeight="false" outlineLevel="0" collapsed="false">
      <c r="A2897" s="34" t="n">
        <v>48048194104</v>
      </c>
      <c r="B2897" s="34" t="s">
        <v>8120</v>
      </c>
      <c r="C2897" s="34" t="s">
        <v>77</v>
      </c>
      <c r="E2897" s="30" t="s">
        <v>8121</v>
      </c>
      <c r="F2897" s="34" t="n">
        <f aca="false">IFERROR(VLOOKUP($A2897,'319'!$B:$H,7,0),0)</f>
        <v>0</v>
      </c>
      <c r="G2897" s="34" t="n">
        <f aca="false">SUMIFS('12.326ana'!$C:$C,'12.326ana'!$M:$M,redes!A2897)</f>
        <v>0</v>
      </c>
    </row>
    <row r="2898" customFormat="false" ht="14.4" hidden="true" customHeight="false" outlineLevel="0" collapsed="false">
      <c r="A2898" s="34" t="n">
        <v>48060712187</v>
      </c>
      <c r="B2898" s="34" t="s">
        <v>8122</v>
      </c>
      <c r="C2898" s="34" t="s">
        <v>89</v>
      </c>
      <c r="E2898" s="30" t="s">
        <v>8123</v>
      </c>
      <c r="F2898" s="34" t="n">
        <f aca="false">IFERROR(VLOOKUP($A2898,'319'!$B:$H,7,0),0)</f>
        <v>0</v>
      </c>
      <c r="G2898" s="34" t="n">
        <f aca="false">SUMIFS('12.326ana'!$C:$C,'12.326ana'!$M:$M,redes!A2898)</f>
        <v>0</v>
      </c>
    </row>
    <row r="2899" customFormat="false" ht="14.4" hidden="true" customHeight="false" outlineLevel="0" collapsed="false">
      <c r="A2899" s="34" t="n">
        <v>48070408120</v>
      </c>
      <c r="B2899" s="34" t="s">
        <v>8124</v>
      </c>
      <c r="C2899" s="34" t="s">
        <v>77</v>
      </c>
      <c r="E2899" s="30"/>
      <c r="F2899" s="34" t="n">
        <f aca="false">IFERROR(VLOOKUP($A2899,'319'!$B:$H,7,0),0)</f>
        <v>0</v>
      </c>
      <c r="G2899" s="34" t="n">
        <f aca="false">SUMIFS('12.326ana'!$C:$C,'12.326ana'!$M:$M,redes!A2899)</f>
        <v>0</v>
      </c>
    </row>
    <row r="2900" customFormat="false" ht="14.4" hidden="true" customHeight="false" outlineLevel="0" collapsed="false">
      <c r="A2900" s="34" t="n">
        <v>48079227187</v>
      </c>
      <c r="B2900" s="34" t="s">
        <v>8125</v>
      </c>
      <c r="C2900" s="34" t="s">
        <v>107</v>
      </c>
      <c r="E2900" s="30" t="s">
        <v>3194</v>
      </c>
      <c r="F2900" s="34" t="n">
        <f aca="false">IFERROR(VLOOKUP($A2900,'319'!$B:$H,7,0),0)</f>
        <v>0</v>
      </c>
      <c r="G2900" s="34" t="n">
        <f aca="false">SUMIFS('12.326ana'!$C:$C,'12.326ana'!$M:$M,redes!A2900)</f>
        <v>0</v>
      </c>
    </row>
    <row r="2901" customFormat="false" ht="14.4" hidden="true" customHeight="false" outlineLevel="0" collapsed="false">
      <c r="A2901" s="34" t="n">
        <v>48082635134</v>
      </c>
      <c r="B2901" s="34" t="s">
        <v>8126</v>
      </c>
      <c r="C2901" s="34" t="s">
        <v>107</v>
      </c>
      <c r="E2901" s="30" t="s">
        <v>8127</v>
      </c>
      <c r="F2901" s="34" t="n">
        <f aca="false">IFERROR(VLOOKUP($A2901,'319'!$B:$H,7,0),0)</f>
        <v>0</v>
      </c>
      <c r="G2901" s="34" t="n">
        <f aca="false">SUMIFS('12.326ana'!$C:$C,'12.326ana'!$M:$M,redes!A2901)</f>
        <v>0</v>
      </c>
    </row>
    <row r="2902" customFormat="false" ht="14.4" hidden="true" customHeight="false" outlineLevel="0" collapsed="false">
      <c r="A2902" s="34" t="n">
        <v>48083933104</v>
      </c>
      <c r="B2902" s="34" t="s">
        <v>8128</v>
      </c>
      <c r="C2902" s="34" t="s">
        <v>594</v>
      </c>
      <c r="E2902" s="30"/>
      <c r="F2902" s="34" t="n">
        <f aca="false">IFERROR(VLOOKUP($A2902,'319'!$B:$H,7,0),0)</f>
        <v>0</v>
      </c>
      <c r="G2902" s="34" t="n">
        <f aca="false">SUMIFS('12.326ana'!$C:$C,'12.326ana'!$M:$M,redes!A2902)</f>
        <v>0</v>
      </c>
    </row>
    <row r="2903" customFormat="false" ht="14.4" hidden="true" customHeight="false" outlineLevel="0" collapsed="false">
      <c r="A2903" s="34" t="n">
        <v>48086304191</v>
      </c>
      <c r="B2903" s="34" t="s">
        <v>8129</v>
      </c>
      <c r="C2903" s="34" t="s">
        <v>979</v>
      </c>
      <c r="E2903" s="30" t="s">
        <v>8130</v>
      </c>
      <c r="F2903" s="34" t="n">
        <f aca="false">IFERROR(VLOOKUP($A2903,'319'!$B:$H,7,0),0)</f>
        <v>0</v>
      </c>
      <c r="G2903" s="34" t="n">
        <f aca="false">SUMIFS('12.326ana'!$C:$C,'12.326ana'!$M:$M,redes!A2903)</f>
        <v>0</v>
      </c>
    </row>
    <row r="2904" customFormat="false" ht="14.4" hidden="true" customHeight="false" outlineLevel="0" collapsed="false">
      <c r="A2904" s="34" t="n">
        <v>48087114191</v>
      </c>
      <c r="B2904" s="34" t="s">
        <v>8131</v>
      </c>
      <c r="C2904" s="34" t="s">
        <v>77</v>
      </c>
      <c r="E2904" s="30" t="s">
        <v>8132</v>
      </c>
      <c r="F2904" s="34" t="n">
        <f aca="false">IFERROR(VLOOKUP($A2904,'319'!$B:$H,7,0),0)</f>
        <v>0</v>
      </c>
      <c r="G2904" s="34" t="n">
        <f aca="false">SUMIFS('12.326ana'!$C:$C,'12.326ana'!$M:$M,redes!A2904)</f>
        <v>0</v>
      </c>
    </row>
    <row r="2905" customFormat="false" ht="14.4" hidden="true" customHeight="false" outlineLevel="0" collapsed="false">
      <c r="A2905" s="34" t="n">
        <v>48091537115</v>
      </c>
      <c r="B2905" s="34" t="s">
        <v>4800</v>
      </c>
      <c r="C2905" s="34" t="s">
        <v>77</v>
      </c>
      <c r="E2905" s="30" t="s">
        <v>8133</v>
      </c>
      <c r="F2905" s="34" t="n">
        <f aca="false">IFERROR(VLOOKUP($A2905,'319'!$B:$H,7,0),0)</f>
        <v>0</v>
      </c>
      <c r="G2905" s="34" t="n">
        <f aca="false">SUMIFS('12.326ana'!$C:$C,'12.326ana'!$M:$M,redes!A2905)</f>
        <v>0</v>
      </c>
    </row>
    <row r="2906" customFormat="false" ht="14.4" hidden="true" customHeight="false" outlineLevel="0" collapsed="false">
      <c r="A2906" s="34" t="n">
        <v>48091669100</v>
      </c>
      <c r="B2906" s="34" t="s">
        <v>8134</v>
      </c>
      <c r="C2906" s="34" t="s">
        <v>107</v>
      </c>
      <c r="E2906" s="30" t="s">
        <v>8135</v>
      </c>
      <c r="F2906" s="34" t="n">
        <f aca="false">IFERROR(VLOOKUP($A2906,'319'!$B:$H,7,0),0)</f>
        <v>0</v>
      </c>
      <c r="G2906" s="34" t="n">
        <f aca="false">SUMIFS('12.326ana'!$C:$C,'12.326ana'!$M:$M,redes!A2906)</f>
        <v>0</v>
      </c>
    </row>
    <row r="2907" customFormat="false" ht="14.4" hidden="true" customHeight="false" outlineLevel="0" collapsed="false">
      <c r="A2907" s="34" t="n">
        <v>48094668172</v>
      </c>
      <c r="B2907" s="34" t="s">
        <v>8136</v>
      </c>
      <c r="C2907" s="34" t="s">
        <v>979</v>
      </c>
      <c r="E2907" s="30" t="s">
        <v>8137</v>
      </c>
      <c r="F2907" s="34" t="n">
        <f aca="false">IFERROR(VLOOKUP($A2907,'319'!$B:$H,7,0),0)</f>
        <v>0</v>
      </c>
      <c r="G2907" s="34" t="n">
        <f aca="false">SUMIFS('12.326ana'!$C:$C,'12.326ana'!$M:$M,redes!A2907)</f>
        <v>0</v>
      </c>
    </row>
    <row r="2908" customFormat="false" ht="14.4" hidden="true" customHeight="false" outlineLevel="0" collapsed="false">
      <c r="A2908" s="34" t="n">
        <v>48095869104</v>
      </c>
      <c r="B2908" s="34" t="s">
        <v>8138</v>
      </c>
      <c r="C2908" s="34" t="s">
        <v>309</v>
      </c>
      <c r="E2908" s="30" t="s">
        <v>8139</v>
      </c>
      <c r="F2908" s="34" t="n">
        <f aca="false">IFERROR(VLOOKUP($A2908,'319'!$B:$H,7,0),0)</f>
        <v>0</v>
      </c>
      <c r="G2908" s="34" t="n">
        <f aca="false">SUMIFS('12.326ana'!$C:$C,'12.326ana'!$M:$M,redes!A2908)</f>
        <v>0</v>
      </c>
    </row>
    <row r="2909" customFormat="false" ht="14.4" hidden="true" customHeight="false" outlineLevel="0" collapsed="false">
      <c r="A2909" s="34" t="n">
        <v>48099082168</v>
      </c>
      <c r="B2909" s="34" t="s">
        <v>8140</v>
      </c>
      <c r="C2909" s="34" t="s">
        <v>103</v>
      </c>
      <c r="E2909" s="30" t="s">
        <v>8141</v>
      </c>
      <c r="F2909" s="34" t="n">
        <f aca="false">IFERROR(VLOOKUP($A2909,'319'!$B:$H,7,0),0)</f>
        <v>0</v>
      </c>
      <c r="G2909" s="34" t="n">
        <f aca="false">SUMIFS('12.326ana'!$C:$C,'12.326ana'!$M:$M,redes!A2909)</f>
        <v>0</v>
      </c>
    </row>
    <row r="2910" customFormat="false" ht="14.4" hidden="true" customHeight="false" outlineLevel="0" collapsed="false">
      <c r="A2910" s="34" t="n">
        <v>48099180178</v>
      </c>
      <c r="B2910" s="34" t="s">
        <v>8142</v>
      </c>
      <c r="C2910" s="34" t="s">
        <v>594</v>
      </c>
      <c r="E2910" s="30" t="s">
        <v>8143</v>
      </c>
      <c r="F2910" s="34" t="n">
        <f aca="false">IFERROR(VLOOKUP($A2910,'319'!$B:$H,7,0),0)</f>
        <v>0</v>
      </c>
      <c r="G2910" s="34" t="n">
        <f aca="false">SUMIFS('12.326ana'!$C:$C,'12.326ana'!$M:$M,redes!A2910)</f>
        <v>0</v>
      </c>
    </row>
    <row r="2911" customFormat="false" ht="14.4" hidden="true" customHeight="false" outlineLevel="0" collapsed="false">
      <c r="A2911" s="34" t="n">
        <v>48108650100</v>
      </c>
      <c r="B2911" s="34" t="s">
        <v>8144</v>
      </c>
      <c r="C2911" s="34" t="s">
        <v>4156</v>
      </c>
      <c r="E2911" s="30" t="s">
        <v>8145</v>
      </c>
      <c r="F2911" s="34" t="n">
        <f aca="false">IFERROR(VLOOKUP($A2911,'319'!$B:$H,7,0),0)</f>
        <v>0</v>
      </c>
      <c r="G2911" s="34" t="n">
        <f aca="false">SUMIFS('12.326ana'!$C:$C,'12.326ana'!$M:$M,redes!A2911)</f>
        <v>0</v>
      </c>
    </row>
    <row r="2912" customFormat="false" ht="14.4" hidden="true" customHeight="false" outlineLevel="0" collapsed="false">
      <c r="A2912" s="34" t="n">
        <v>48117501104</v>
      </c>
      <c r="B2912" s="34" t="s">
        <v>8146</v>
      </c>
      <c r="C2912" s="34" t="s">
        <v>546</v>
      </c>
      <c r="E2912" s="30" t="s">
        <v>5266</v>
      </c>
      <c r="F2912" s="34" t="n">
        <f aca="false">IFERROR(VLOOKUP($A2912,'319'!$B:$H,7,0),0)</f>
        <v>0</v>
      </c>
      <c r="G2912" s="34" t="n">
        <f aca="false">SUMIFS('12.326ana'!$C:$C,'12.326ana'!$M:$M,redes!A2912)</f>
        <v>0</v>
      </c>
    </row>
    <row r="2913" customFormat="false" ht="14.4" hidden="true" customHeight="false" outlineLevel="0" collapsed="false">
      <c r="A2913" s="34" t="n">
        <v>48121878187</v>
      </c>
      <c r="B2913" s="34" t="s">
        <v>8147</v>
      </c>
      <c r="C2913" s="34" t="s">
        <v>881</v>
      </c>
      <c r="E2913" s="30" t="s">
        <v>8148</v>
      </c>
      <c r="F2913" s="34" t="n">
        <f aca="false">IFERROR(VLOOKUP($A2913,'319'!$B:$H,7,0),0)</f>
        <v>0</v>
      </c>
      <c r="G2913" s="34" t="n">
        <f aca="false">SUMIFS('12.326ana'!$C:$C,'12.326ana'!$M:$M,redes!A2913)</f>
        <v>0</v>
      </c>
    </row>
    <row r="2914" customFormat="false" ht="14.4" hidden="true" customHeight="false" outlineLevel="0" collapsed="false">
      <c r="A2914" s="34" t="n">
        <v>48122858104</v>
      </c>
      <c r="B2914" s="34" t="s">
        <v>8149</v>
      </c>
      <c r="C2914" s="34" t="s">
        <v>77</v>
      </c>
      <c r="E2914" s="30"/>
      <c r="F2914" s="34" t="n">
        <f aca="false">IFERROR(VLOOKUP($A2914,'319'!$B:$H,7,0),0)</f>
        <v>0</v>
      </c>
      <c r="G2914" s="34" t="n">
        <f aca="false">SUMIFS('12.326ana'!$C:$C,'12.326ana'!$M:$M,redes!A2914)</f>
        <v>0</v>
      </c>
    </row>
    <row r="2915" customFormat="false" ht="14.4" hidden="true" customHeight="false" outlineLevel="0" collapsed="false">
      <c r="A2915" s="34" t="n">
        <v>48123773153</v>
      </c>
      <c r="B2915" s="34" t="s">
        <v>8150</v>
      </c>
      <c r="C2915" s="34" t="s">
        <v>77</v>
      </c>
      <c r="E2915" s="30" t="s">
        <v>8151</v>
      </c>
      <c r="F2915" s="34" t="n">
        <f aca="false">IFERROR(VLOOKUP($A2915,'319'!$B:$H,7,0),0)</f>
        <v>0</v>
      </c>
      <c r="G2915" s="34" t="n">
        <f aca="false">SUMIFS('12.326ana'!$C:$C,'12.326ana'!$M:$M,redes!A2915)</f>
        <v>0</v>
      </c>
    </row>
    <row r="2916" customFormat="false" ht="14.4" hidden="true" customHeight="false" outlineLevel="0" collapsed="false">
      <c r="A2916" s="34" t="n">
        <v>48128430149</v>
      </c>
      <c r="B2916" s="34" t="s">
        <v>8152</v>
      </c>
      <c r="C2916" s="34" t="s">
        <v>77</v>
      </c>
      <c r="E2916" s="30" t="s">
        <v>8153</v>
      </c>
      <c r="F2916" s="34" t="n">
        <f aca="false">IFERROR(VLOOKUP($A2916,'319'!$B:$H,7,0),0)</f>
        <v>0</v>
      </c>
      <c r="G2916" s="34" t="n">
        <f aca="false">SUMIFS('12.326ana'!$C:$C,'12.326ana'!$M:$M,redes!A2916)</f>
        <v>0</v>
      </c>
    </row>
    <row r="2917" customFormat="false" ht="14.4" hidden="true" customHeight="false" outlineLevel="0" collapsed="false">
      <c r="A2917" s="34" t="n">
        <v>48131717100</v>
      </c>
      <c r="B2917" s="34" t="s">
        <v>8154</v>
      </c>
      <c r="C2917" s="34" t="s">
        <v>77</v>
      </c>
      <c r="E2917" s="30"/>
      <c r="F2917" s="34" t="n">
        <f aca="false">IFERROR(VLOOKUP($A2917,'319'!$B:$H,7,0),0)</f>
        <v>0</v>
      </c>
      <c r="G2917" s="34" t="n">
        <f aca="false">SUMIFS('12.326ana'!$C:$C,'12.326ana'!$M:$M,redes!A2917)</f>
        <v>0</v>
      </c>
    </row>
    <row r="2918" customFormat="false" ht="14.4" hidden="true" customHeight="false" outlineLevel="0" collapsed="false">
      <c r="A2918" s="34" t="n">
        <v>48133264120</v>
      </c>
      <c r="B2918" s="34" t="s">
        <v>8155</v>
      </c>
      <c r="C2918" s="34" t="s">
        <v>77</v>
      </c>
      <c r="E2918" s="30" t="s">
        <v>8156</v>
      </c>
      <c r="F2918" s="34" t="n">
        <f aca="false">IFERROR(VLOOKUP($A2918,'319'!$B:$H,7,0),0)</f>
        <v>0</v>
      </c>
      <c r="G2918" s="34" t="n">
        <f aca="false">SUMIFS('12.326ana'!$C:$C,'12.326ana'!$M:$M,redes!A2918)</f>
        <v>0</v>
      </c>
    </row>
    <row r="2919" customFormat="false" ht="14.4" hidden="true" customHeight="false" outlineLevel="0" collapsed="false">
      <c r="A2919" s="34" t="n">
        <v>48135828187</v>
      </c>
      <c r="B2919" s="34" t="s">
        <v>8157</v>
      </c>
      <c r="C2919" s="34" t="s">
        <v>77</v>
      </c>
      <c r="E2919" s="30" t="s">
        <v>8158</v>
      </c>
      <c r="F2919" s="34" t="n">
        <f aca="false">IFERROR(VLOOKUP($A2919,'319'!$B:$H,7,0),0)</f>
        <v>0</v>
      </c>
      <c r="G2919" s="34" t="n">
        <f aca="false">SUMIFS('12.326ana'!$C:$C,'12.326ana'!$M:$M,redes!A2919)</f>
        <v>0</v>
      </c>
    </row>
    <row r="2920" customFormat="false" ht="14.4" hidden="true" customHeight="false" outlineLevel="0" collapsed="false">
      <c r="A2920" s="34" t="n">
        <v>48138118172</v>
      </c>
      <c r="B2920" s="34" t="s">
        <v>8159</v>
      </c>
      <c r="C2920" s="34" t="s">
        <v>77</v>
      </c>
      <c r="E2920" s="30" t="s">
        <v>5134</v>
      </c>
      <c r="F2920" s="34" t="n">
        <f aca="false">IFERROR(VLOOKUP($A2920,'319'!$B:$H,7,0),0)</f>
        <v>0</v>
      </c>
      <c r="G2920" s="34" t="n">
        <f aca="false">SUMIFS('12.326ana'!$C:$C,'12.326ana'!$M:$M,redes!A2920)</f>
        <v>0</v>
      </c>
    </row>
    <row r="2921" customFormat="false" ht="14.4" hidden="true" customHeight="false" outlineLevel="0" collapsed="false">
      <c r="A2921" s="34" t="n">
        <v>48138720182</v>
      </c>
      <c r="B2921" s="34" t="s">
        <v>8160</v>
      </c>
      <c r="C2921" s="34" t="s">
        <v>77</v>
      </c>
      <c r="E2921" s="30" t="s">
        <v>8161</v>
      </c>
      <c r="F2921" s="34" t="n">
        <f aca="false">IFERROR(VLOOKUP($A2921,'319'!$B:$H,7,0),0)</f>
        <v>0</v>
      </c>
      <c r="G2921" s="34" t="n">
        <f aca="false">SUMIFS('12.326ana'!$C:$C,'12.326ana'!$M:$M,redes!A2921)</f>
        <v>0</v>
      </c>
    </row>
    <row r="2922" customFormat="false" ht="14.4" hidden="true" customHeight="false" outlineLevel="0" collapsed="false">
      <c r="A2922" s="34" t="n">
        <v>48140228168</v>
      </c>
      <c r="B2922" s="34" t="s">
        <v>8162</v>
      </c>
      <c r="C2922" s="34" t="s">
        <v>107</v>
      </c>
      <c r="E2922" s="30" t="s">
        <v>7658</v>
      </c>
      <c r="F2922" s="34" t="n">
        <f aca="false">IFERROR(VLOOKUP($A2922,'319'!$B:$H,7,0),0)</f>
        <v>0</v>
      </c>
      <c r="G2922" s="34" t="n">
        <f aca="false">SUMIFS('12.326ana'!$C:$C,'12.326ana'!$M:$M,redes!A2922)</f>
        <v>0</v>
      </c>
    </row>
    <row r="2923" customFormat="false" ht="14.4" hidden="true" customHeight="false" outlineLevel="0" collapsed="false">
      <c r="A2923" s="34" t="n">
        <v>48144762134</v>
      </c>
      <c r="B2923" s="34" t="s">
        <v>8163</v>
      </c>
      <c r="C2923" s="34" t="s">
        <v>77</v>
      </c>
      <c r="E2923" s="30"/>
      <c r="F2923" s="34" t="n">
        <f aca="false">IFERROR(VLOOKUP($A2923,'319'!$B:$H,7,0),0)</f>
        <v>0</v>
      </c>
      <c r="G2923" s="34" t="n">
        <f aca="false">SUMIFS('12.326ana'!$C:$C,'12.326ana'!$M:$M,redes!A2923)</f>
        <v>0</v>
      </c>
    </row>
    <row r="2924" customFormat="false" ht="14.4" hidden="true" customHeight="false" outlineLevel="0" collapsed="false">
      <c r="A2924" s="34" t="n">
        <v>48146960197</v>
      </c>
      <c r="B2924" s="34" t="s">
        <v>8164</v>
      </c>
      <c r="C2924" s="34" t="s">
        <v>478</v>
      </c>
      <c r="E2924" s="30" t="s">
        <v>8165</v>
      </c>
      <c r="F2924" s="34" t="n">
        <f aca="false">IFERROR(VLOOKUP($A2924,'319'!$B:$H,7,0),0)</f>
        <v>0</v>
      </c>
      <c r="G2924" s="34" t="n">
        <f aca="false">SUMIFS('12.326ana'!$C:$C,'12.326ana'!$M:$M,redes!A2924)</f>
        <v>0</v>
      </c>
    </row>
    <row r="2925" customFormat="false" ht="14.4" hidden="true" customHeight="false" outlineLevel="0" collapsed="false">
      <c r="A2925" s="34" t="n">
        <v>48152374172</v>
      </c>
      <c r="B2925" s="34" t="s">
        <v>8166</v>
      </c>
      <c r="C2925" s="34" t="s">
        <v>77</v>
      </c>
      <c r="E2925" s="30" t="s">
        <v>8167</v>
      </c>
      <c r="F2925" s="34" t="n">
        <f aca="false">IFERROR(VLOOKUP($A2925,'319'!$B:$H,7,0),0)</f>
        <v>0</v>
      </c>
      <c r="G2925" s="34" t="n">
        <f aca="false">SUMIFS('12.326ana'!$C:$C,'12.326ana'!$M:$M,redes!A2925)</f>
        <v>0</v>
      </c>
    </row>
    <row r="2926" customFormat="false" ht="14.4" hidden="true" customHeight="false" outlineLevel="0" collapsed="false">
      <c r="A2926" s="34" t="n">
        <v>48152943134</v>
      </c>
      <c r="B2926" s="34" t="s">
        <v>8168</v>
      </c>
      <c r="C2926" s="34" t="s">
        <v>336</v>
      </c>
      <c r="E2926" s="30" t="s">
        <v>8169</v>
      </c>
      <c r="F2926" s="34" t="n">
        <f aca="false">IFERROR(VLOOKUP($A2926,'319'!$B:$H,7,0),0)</f>
        <v>0</v>
      </c>
      <c r="G2926" s="34" t="n">
        <f aca="false">SUMIFS('12.326ana'!$C:$C,'12.326ana'!$M:$M,redes!A2926)</f>
        <v>0</v>
      </c>
    </row>
    <row r="2927" customFormat="false" ht="14.4" hidden="true" customHeight="false" outlineLevel="0" collapsed="false">
      <c r="A2927" s="34" t="n">
        <v>48158429149</v>
      </c>
      <c r="B2927" s="34" t="s">
        <v>8170</v>
      </c>
      <c r="C2927" s="34" t="s">
        <v>77</v>
      </c>
      <c r="E2927" s="30" t="s">
        <v>3664</v>
      </c>
      <c r="F2927" s="34" t="n">
        <f aca="false">IFERROR(VLOOKUP($A2927,'319'!$B:$H,7,0),0)</f>
        <v>0</v>
      </c>
      <c r="G2927" s="34" t="n">
        <f aca="false">SUMIFS('12.326ana'!$C:$C,'12.326ana'!$M:$M,redes!A2927)</f>
        <v>0</v>
      </c>
    </row>
    <row r="2928" customFormat="false" ht="14.4" hidden="true" customHeight="false" outlineLevel="0" collapsed="false">
      <c r="A2928" s="34" t="n">
        <v>48161063168</v>
      </c>
      <c r="B2928" s="34" t="s">
        <v>8171</v>
      </c>
      <c r="C2928" s="34" t="s">
        <v>77</v>
      </c>
      <c r="E2928" s="30" t="s">
        <v>8171</v>
      </c>
      <c r="F2928" s="34" t="n">
        <f aca="false">IFERROR(VLOOKUP($A2928,'319'!$B:$H,7,0),0)</f>
        <v>0</v>
      </c>
      <c r="G2928" s="34" t="n">
        <f aca="false">SUMIFS('12.326ana'!$C:$C,'12.326ana'!$M:$M,redes!A2928)</f>
        <v>0</v>
      </c>
    </row>
    <row r="2929" customFormat="false" ht="14.4" hidden="true" customHeight="false" outlineLevel="0" collapsed="false">
      <c r="A2929" s="34" t="n">
        <v>48164186104</v>
      </c>
      <c r="B2929" s="34" t="s">
        <v>8172</v>
      </c>
      <c r="C2929" s="34" t="s">
        <v>351</v>
      </c>
      <c r="E2929" s="30" t="s">
        <v>8173</v>
      </c>
      <c r="F2929" s="34" t="n">
        <f aca="false">IFERROR(VLOOKUP($A2929,'319'!$B:$H,7,0),0)</f>
        <v>0</v>
      </c>
      <c r="G2929" s="34" t="n">
        <f aca="false">SUMIFS('12.326ana'!$C:$C,'12.326ana'!$M:$M,redes!A2929)</f>
        <v>0</v>
      </c>
    </row>
    <row r="2930" customFormat="false" ht="14.4" hidden="true" customHeight="false" outlineLevel="0" collapsed="false">
      <c r="A2930" s="34" t="n">
        <v>48170283191</v>
      </c>
      <c r="B2930" s="34" t="s">
        <v>8174</v>
      </c>
      <c r="C2930" s="34" t="s">
        <v>207</v>
      </c>
      <c r="E2930" s="30" t="s">
        <v>8175</v>
      </c>
      <c r="F2930" s="34" t="n">
        <f aca="false">IFERROR(VLOOKUP($A2930,'319'!$B:$H,7,0),0)</f>
        <v>0</v>
      </c>
      <c r="G2930" s="34" t="n">
        <f aca="false">SUMIFS('12.326ana'!$C:$C,'12.326ana'!$M:$M,redes!A2930)</f>
        <v>0</v>
      </c>
    </row>
    <row r="2931" customFormat="false" ht="14.4" hidden="true" customHeight="false" outlineLevel="0" collapsed="false">
      <c r="A2931" s="34" t="n">
        <v>48173940134</v>
      </c>
      <c r="B2931" s="34" t="s">
        <v>8176</v>
      </c>
      <c r="C2931" s="34" t="s">
        <v>77</v>
      </c>
      <c r="E2931" s="30" t="s">
        <v>6283</v>
      </c>
      <c r="F2931" s="34" t="n">
        <f aca="false">IFERROR(VLOOKUP($A2931,'319'!$B:$H,7,0),0)</f>
        <v>0</v>
      </c>
      <c r="G2931" s="34" t="n">
        <f aca="false">SUMIFS('12.326ana'!$C:$C,'12.326ana'!$M:$M,redes!A2931)</f>
        <v>0</v>
      </c>
    </row>
    <row r="2932" customFormat="false" ht="14.4" hidden="true" customHeight="false" outlineLevel="0" collapsed="false">
      <c r="A2932" s="34" t="n">
        <v>48175404191</v>
      </c>
      <c r="B2932" s="34" t="s">
        <v>8177</v>
      </c>
      <c r="C2932" s="34" t="s">
        <v>77</v>
      </c>
      <c r="E2932" s="30" t="s">
        <v>8178</v>
      </c>
      <c r="F2932" s="34" t="n">
        <f aca="false">IFERROR(VLOOKUP($A2932,'319'!$B:$H,7,0),0)</f>
        <v>0</v>
      </c>
      <c r="G2932" s="34" t="n">
        <f aca="false">SUMIFS('12.326ana'!$C:$C,'12.326ana'!$M:$M,redes!A2932)</f>
        <v>0</v>
      </c>
    </row>
    <row r="2933" customFormat="false" ht="14.4" hidden="true" customHeight="false" outlineLevel="0" collapsed="false">
      <c r="A2933" s="34" t="n">
        <v>48433381920</v>
      </c>
      <c r="B2933" s="34" t="s">
        <v>8179</v>
      </c>
      <c r="C2933" s="34" t="s">
        <v>107</v>
      </c>
      <c r="E2933" s="30" t="s">
        <v>8180</v>
      </c>
      <c r="F2933" s="34" t="n">
        <f aca="false">IFERROR(VLOOKUP($A2933,'319'!$B:$H,7,0),0)</f>
        <v>0</v>
      </c>
      <c r="G2933" s="34" t="n">
        <f aca="false">SUMIFS('12.326ana'!$C:$C,'12.326ana'!$M:$M,redes!A2933)</f>
        <v>0</v>
      </c>
    </row>
    <row r="2934" customFormat="false" ht="14.4" hidden="true" customHeight="false" outlineLevel="0" collapsed="false">
      <c r="A2934" s="34" t="n">
        <v>48509710830</v>
      </c>
      <c r="B2934" s="34" t="s">
        <v>8181</v>
      </c>
      <c r="C2934" s="34" t="s">
        <v>213</v>
      </c>
      <c r="E2934" s="30" t="s">
        <v>8182</v>
      </c>
      <c r="F2934" s="34" t="n">
        <f aca="false">IFERROR(VLOOKUP($A2934,'319'!$B:$H,7,0),0)</f>
        <v>0</v>
      </c>
      <c r="G2934" s="34" t="n">
        <f aca="false">SUMIFS('12.326ana'!$C:$C,'12.326ana'!$M:$M,redes!A2934)</f>
        <v>0</v>
      </c>
    </row>
    <row r="2935" customFormat="false" ht="14.4" hidden="true" customHeight="false" outlineLevel="0" collapsed="false">
      <c r="A2935" s="34" t="n">
        <v>48596280987</v>
      </c>
      <c r="B2935" s="34" t="s">
        <v>8183</v>
      </c>
      <c r="C2935" s="34" t="s">
        <v>77</v>
      </c>
      <c r="E2935" s="30" t="s">
        <v>8184</v>
      </c>
      <c r="F2935" s="34" t="n">
        <f aca="false">IFERROR(VLOOKUP($A2935,'319'!$B:$H,7,0),0)</f>
        <v>0</v>
      </c>
      <c r="G2935" s="34" t="n">
        <f aca="false">SUMIFS('12.326ana'!$C:$C,'12.326ana'!$M:$M,redes!A2935)</f>
        <v>0</v>
      </c>
    </row>
    <row r="2936" customFormat="false" ht="14.4" hidden="true" customHeight="false" outlineLevel="0" collapsed="false">
      <c r="A2936" s="34" t="n">
        <v>48674990991</v>
      </c>
      <c r="B2936" s="34" t="s">
        <v>8185</v>
      </c>
      <c r="C2936" s="34" t="s">
        <v>77</v>
      </c>
      <c r="E2936" s="30" t="s">
        <v>8186</v>
      </c>
      <c r="F2936" s="34" t="n">
        <f aca="false">IFERROR(VLOOKUP($A2936,'319'!$B:$H,7,0),0)</f>
        <v>0</v>
      </c>
      <c r="G2936" s="34" t="n">
        <f aca="false">SUMIFS('12.326ana'!$C:$C,'12.326ana'!$M:$M,redes!A2936)</f>
        <v>0</v>
      </c>
    </row>
    <row r="2937" customFormat="false" ht="14.4" hidden="true" customHeight="false" outlineLevel="0" collapsed="false">
      <c r="A2937" s="34" t="n">
        <v>48742937191</v>
      </c>
      <c r="B2937" s="34" t="s">
        <v>8187</v>
      </c>
      <c r="C2937" s="34" t="s">
        <v>107</v>
      </c>
      <c r="E2937" s="30" t="s">
        <v>8188</v>
      </c>
      <c r="F2937" s="34" t="n">
        <f aca="false">IFERROR(VLOOKUP($A2937,'319'!$B:$H,7,0),0)</f>
        <v>0</v>
      </c>
      <c r="G2937" s="34" t="n">
        <f aca="false">SUMIFS('12.326ana'!$C:$C,'12.326ana'!$M:$M,redes!A2937)</f>
        <v>0</v>
      </c>
    </row>
    <row r="2938" customFormat="false" ht="14.4" hidden="true" customHeight="false" outlineLevel="0" collapsed="false">
      <c r="A2938" s="34" t="n">
        <v>48780103049</v>
      </c>
      <c r="B2938" s="34" t="s">
        <v>8189</v>
      </c>
      <c r="C2938" s="34" t="s">
        <v>213</v>
      </c>
      <c r="E2938" s="30"/>
      <c r="F2938" s="34" t="n">
        <f aca="false">IFERROR(VLOOKUP($A2938,'319'!$B:$H,7,0),0)</f>
        <v>0</v>
      </c>
      <c r="G2938" s="34" t="n">
        <f aca="false">SUMIFS('12.326ana'!$C:$C,'12.326ana'!$M:$M,redes!A2938)</f>
        <v>0</v>
      </c>
    </row>
    <row r="2939" customFormat="false" ht="14.4" hidden="true" customHeight="false" outlineLevel="0" collapsed="false">
      <c r="A2939" s="34" t="n">
        <v>48843520920</v>
      </c>
      <c r="B2939" s="34" t="s">
        <v>8190</v>
      </c>
      <c r="C2939" s="34" t="s">
        <v>77</v>
      </c>
      <c r="E2939" s="30" t="s">
        <v>8191</v>
      </c>
      <c r="F2939" s="34" t="n">
        <f aca="false">IFERROR(VLOOKUP($A2939,'319'!$B:$H,7,0),0)</f>
        <v>0</v>
      </c>
      <c r="G2939" s="34" t="n">
        <f aca="false">SUMIFS('12.326ana'!$C:$C,'12.326ana'!$M:$M,redes!A2939)</f>
        <v>0</v>
      </c>
    </row>
    <row r="2940" customFormat="false" ht="14.4" hidden="true" customHeight="false" outlineLevel="0" collapsed="false">
      <c r="A2940" s="34" t="n">
        <v>48894109100</v>
      </c>
      <c r="B2940" s="34" t="s">
        <v>4236</v>
      </c>
      <c r="C2940" s="34" t="s">
        <v>77</v>
      </c>
      <c r="E2940" s="30" t="s">
        <v>8192</v>
      </c>
      <c r="F2940" s="34" t="n">
        <f aca="false">IFERROR(VLOOKUP($A2940,'319'!$B:$H,7,0),0)</f>
        <v>0</v>
      </c>
      <c r="G2940" s="34" t="n">
        <f aca="false">SUMIFS('12.326ana'!$C:$C,'12.326ana'!$M:$M,redes!A2940)</f>
        <v>0</v>
      </c>
    </row>
    <row r="2941" customFormat="false" ht="14.4" hidden="true" customHeight="false" outlineLevel="0" collapsed="false">
      <c r="A2941" s="34" t="n">
        <v>48895903153</v>
      </c>
      <c r="B2941" s="34" t="s">
        <v>8193</v>
      </c>
      <c r="C2941" s="34" t="s">
        <v>77</v>
      </c>
      <c r="E2941" s="30" t="s">
        <v>8194</v>
      </c>
      <c r="F2941" s="34" t="n">
        <f aca="false">IFERROR(VLOOKUP($A2941,'319'!$B:$H,7,0),0)</f>
        <v>0</v>
      </c>
      <c r="G2941" s="34" t="n">
        <f aca="false">SUMIFS('12.326ana'!$C:$C,'12.326ana'!$M:$M,redes!A2941)</f>
        <v>0</v>
      </c>
    </row>
    <row r="2942" customFormat="false" ht="14.4" hidden="true" customHeight="false" outlineLevel="0" collapsed="false">
      <c r="A2942" s="34" t="n">
        <v>48896667100</v>
      </c>
      <c r="B2942" s="34" t="s">
        <v>8195</v>
      </c>
      <c r="C2942" s="34" t="s">
        <v>77</v>
      </c>
      <c r="E2942" s="30"/>
      <c r="F2942" s="34" t="n">
        <f aca="false">IFERROR(VLOOKUP($A2942,'319'!$B:$H,7,0),0)</f>
        <v>0</v>
      </c>
      <c r="G2942" s="34" t="n">
        <f aca="false">SUMIFS('12.326ana'!$C:$C,'12.326ana'!$M:$M,redes!A2942)</f>
        <v>0</v>
      </c>
    </row>
    <row r="2943" customFormat="false" ht="14.4" hidden="true" customHeight="false" outlineLevel="0" collapsed="false">
      <c r="A2943" s="34" t="n">
        <v>48896942187</v>
      </c>
      <c r="B2943" s="34" t="s">
        <v>8196</v>
      </c>
      <c r="C2943" s="34" t="s">
        <v>77</v>
      </c>
      <c r="E2943" s="30" t="s">
        <v>8197</v>
      </c>
      <c r="F2943" s="34" t="n">
        <f aca="false">IFERROR(VLOOKUP($A2943,'319'!$B:$H,7,0),0)</f>
        <v>0</v>
      </c>
      <c r="G2943" s="34" t="n">
        <f aca="false">SUMIFS('12.326ana'!$C:$C,'12.326ana'!$M:$M,redes!A2943)</f>
        <v>0</v>
      </c>
    </row>
    <row r="2944" customFormat="false" ht="14.4" hidden="true" customHeight="false" outlineLevel="0" collapsed="false">
      <c r="A2944" s="34" t="n">
        <v>48898732104</v>
      </c>
      <c r="B2944" s="34" t="s">
        <v>8198</v>
      </c>
      <c r="C2944" s="34" t="s">
        <v>154</v>
      </c>
      <c r="E2944" s="30" t="s">
        <v>8199</v>
      </c>
      <c r="F2944" s="34" t="n">
        <f aca="false">IFERROR(VLOOKUP($A2944,'319'!$B:$H,7,0),0)</f>
        <v>0</v>
      </c>
      <c r="G2944" s="34" t="n">
        <f aca="false">SUMIFS('12.326ana'!$C:$C,'12.326ana'!$M:$M,redes!A2944)</f>
        <v>0</v>
      </c>
    </row>
    <row r="2945" customFormat="false" ht="14.4" hidden="true" customHeight="false" outlineLevel="0" collapsed="false">
      <c r="A2945" s="34" t="n">
        <v>48899500100</v>
      </c>
      <c r="B2945" s="34" t="s">
        <v>8200</v>
      </c>
      <c r="C2945" s="34" t="s">
        <v>77</v>
      </c>
      <c r="E2945" s="30" t="s">
        <v>8201</v>
      </c>
      <c r="F2945" s="34" t="n">
        <f aca="false">IFERROR(VLOOKUP($A2945,'319'!$B:$H,7,0),0)</f>
        <v>0</v>
      </c>
      <c r="G2945" s="34" t="n">
        <f aca="false">SUMIFS('12.326ana'!$C:$C,'12.326ana'!$M:$M,redes!A2945)</f>
        <v>0</v>
      </c>
    </row>
    <row r="2946" customFormat="false" ht="14.4" hidden="true" customHeight="false" outlineLevel="0" collapsed="false">
      <c r="A2946" s="34" t="n">
        <v>48902071120</v>
      </c>
      <c r="B2946" s="34" t="s">
        <v>8202</v>
      </c>
      <c r="C2946" s="34" t="s">
        <v>77</v>
      </c>
      <c r="E2946" s="30" t="s">
        <v>8203</v>
      </c>
      <c r="F2946" s="34" t="n">
        <f aca="false">IFERROR(VLOOKUP($A2946,'319'!$B:$H,7,0),0)</f>
        <v>0</v>
      </c>
      <c r="G2946" s="34" t="n">
        <f aca="false">SUMIFS('12.326ana'!$C:$C,'12.326ana'!$M:$M,redes!A2946)</f>
        <v>0</v>
      </c>
    </row>
    <row r="2947" customFormat="false" ht="14.4" hidden="true" customHeight="false" outlineLevel="0" collapsed="false">
      <c r="A2947" s="34" t="n">
        <v>48902977153</v>
      </c>
      <c r="B2947" s="34" t="s">
        <v>8204</v>
      </c>
      <c r="C2947" s="34" t="s">
        <v>77</v>
      </c>
      <c r="E2947" s="30" t="s">
        <v>8205</v>
      </c>
      <c r="F2947" s="34" t="n">
        <f aca="false">IFERROR(VLOOKUP($A2947,'319'!$B:$H,7,0),0)</f>
        <v>0</v>
      </c>
      <c r="G2947" s="34" t="n">
        <f aca="false">SUMIFS('12.326ana'!$C:$C,'12.326ana'!$M:$M,redes!A2947)</f>
        <v>0</v>
      </c>
    </row>
    <row r="2948" customFormat="false" ht="14.4" hidden="true" customHeight="false" outlineLevel="0" collapsed="false">
      <c r="A2948" s="34" t="n">
        <v>48904325153</v>
      </c>
      <c r="B2948" s="34" t="s">
        <v>8206</v>
      </c>
      <c r="C2948" s="34" t="s">
        <v>77</v>
      </c>
      <c r="E2948" s="30" t="s">
        <v>8207</v>
      </c>
      <c r="F2948" s="34" t="n">
        <f aca="false">IFERROR(VLOOKUP($A2948,'319'!$B:$H,7,0),0)</f>
        <v>0</v>
      </c>
      <c r="G2948" s="34" t="n">
        <f aca="false">SUMIFS('12.326ana'!$C:$C,'12.326ana'!$M:$M,redes!A2948)</f>
        <v>0</v>
      </c>
    </row>
    <row r="2949" customFormat="false" ht="14.4" hidden="true" customHeight="false" outlineLevel="0" collapsed="false">
      <c r="A2949" s="34" t="n">
        <v>48913979187</v>
      </c>
      <c r="B2949" s="34" t="s">
        <v>8208</v>
      </c>
      <c r="C2949" s="34" t="s">
        <v>77</v>
      </c>
      <c r="E2949" s="30" t="s">
        <v>3337</v>
      </c>
      <c r="F2949" s="34" t="n">
        <f aca="false">IFERROR(VLOOKUP($A2949,'319'!$B:$H,7,0),0)</f>
        <v>0</v>
      </c>
      <c r="G2949" s="34" t="n">
        <f aca="false">SUMIFS('12.326ana'!$C:$C,'12.326ana'!$M:$M,redes!A2949)</f>
        <v>0</v>
      </c>
    </row>
    <row r="2950" customFormat="false" ht="14.4" hidden="true" customHeight="false" outlineLevel="0" collapsed="false">
      <c r="A2950" s="34" t="n">
        <v>48919039100</v>
      </c>
      <c r="B2950" s="34" t="s">
        <v>8209</v>
      </c>
      <c r="C2950" s="34" t="s">
        <v>77</v>
      </c>
      <c r="E2950" s="30"/>
      <c r="F2950" s="34" t="n">
        <f aca="false">IFERROR(VLOOKUP($A2950,'319'!$B:$H,7,0),0)</f>
        <v>0</v>
      </c>
      <c r="G2950" s="34" t="n">
        <f aca="false">SUMIFS('12.326ana'!$C:$C,'12.326ana'!$M:$M,redes!A2950)</f>
        <v>0</v>
      </c>
    </row>
    <row r="2951" customFormat="false" ht="14.4" hidden="true" customHeight="false" outlineLevel="0" collapsed="false">
      <c r="A2951" s="34" t="n">
        <v>48922960159</v>
      </c>
      <c r="B2951" s="34" t="s">
        <v>8210</v>
      </c>
      <c r="C2951" s="34" t="s">
        <v>77</v>
      </c>
      <c r="E2951" s="30" t="s">
        <v>8211</v>
      </c>
      <c r="F2951" s="34" t="n">
        <f aca="false">IFERROR(VLOOKUP($A2951,'319'!$B:$H,7,0),0)</f>
        <v>0</v>
      </c>
      <c r="G2951" s="34" t="n">
        <f aca="false">SUMIFS('12.326ana'!$C:$C,'12.326ana'!$M:$M,redes!A2951)</f>
        <v>0</v>
      </c>
    </row>
    <row r="2952" customFormat="false" ht="14.4" hidden="true" customHeight="false" outlineLevel="0" collapsed="false">
      <c r="A2952" s="34" t="n">
        <v>48925613123</v>
      </c>
      <c r="B2952" s="34" t="s">
        <v>8212</v>
      </c>
      <c r="C2952" s="34" t="s">
        <v>842</v>
      </c>
      <c r="E2952" s="30" t="s">
        <v>8213</v>
      </c>
      <c r="F2952" s="34" t="n">
        <f aca="false">IFERROR(VLOOKUP($A2952,'319'!$B:$H,7,0),0)</f>
        <v>0</v>
      </c>
      <c r="G2952" s="34" t="n">
        <f aca="false">SUMIFS('12.326ana'!$C:$C,'12.326ana'!$M:$M,redes!A2952)</f>
        <v>0</v>
      </c>
    </row>
    <row r="2953" customFormat="false" ht="14.4" hidden="true" customHeight="false" outlineLevel="0" collapsed="false">
      <c r="A2953" s="34" t="n">
        <v>48925950120</v>
      </c>
      <c r="B2953" s="34" t="s">
        <v>8214</v>
      </c>
      <c r="C2953" s="34" t="s">
        <v>1272</v>
      </c>
      <c r="E2953" s="30" t="s">
        <v>8215</v>
      </c>
      <c r="F2953" s="34" t="n">
        <f aca="false">IFERROR(VLOOKUP($A2953,'319'!$B:$H,7,0),0)</f>
        <v>0</v>
      </c>
      <c r="G2953" s="34" t="n">
        <f aca="false">SUMIFS('12.326ana'!$C:$C,'12.326ana'!$M:$M,redes!A2953)</f>
        <v>0</v>
      </c>
    </row>
    <row r="2954" customFormat="false" ht="14.4" hidden="true" customHeight="false" outlineLevel="0" collapsed="false">
      <c r="A2954" s="34" t="n">
        <v>48928100100</v>
      </c>
      <c r="B2954" s="34" t="s">
        <v>8216</v>
      </c>
      <c r="C2954" s="34" t="s">
        <v>1272</v>
      </c>
      <c r="E2954" s="30" t="s">
        <v>8217</v>
      </c>
      <c r="F2954" s="34" t="n">
        <f aca="false">IFERROR(VLOOKUP($A2954,'319'!$B:$H,7,0),0)</f>
        <v>0</v>
      </c>
      <c r="G2954" s="34" t="n">
        <f aca="false">SUMIFS('12.326ana'!$C:$C,'12.326ana'!$M:$M,redes!A2954)</f>
        <v>0</v>
      </c>
    </row>
    <row r="2955" customFormat="false" ht="14.4" hidden="true" customHeight="false" outlineLevel="0" collapsed="false">
      <c r="A2955" s="34" t="n">
        <v>48931420110</v>
      </c>
      <c r="B2955" s="34" t="s">
        <v>8218</v>
      </c>
      <c r="C2955" s="34" t="s">
        <v>631</v>
      </c>
      <c r="E2955" s="30" t="s">
        <v>8219</v>
      </c>
      <c r="F2955" s="34" t="n">
        <f aca="false">IFERROR(VLOOKUP($A2955,'319'!$B:$H,7,0),0)</f>
        <v>0</v>
      </c>
      <c r="G2955" s="34" t="n">
        <f aca="false">SUMIFS('12.326ana'!$C:$C,'12.326ana'!$M:$M,redes!A2955)</f>
        <v>0</v>
      </c>
    </row>
    <row r="2956" customFormat="false" ht="14.4" hidden="true" customHeight="false" outlineLevel="0" collapsed="false">
      <c r="A2956" s="34" t="n">
        <v>48932086168</v>
      </c>
      <c r="B2956" s="34" t="s">
        <v>8220</v>
      </c>
      <c r="C2956" s="34" t="s">
        <v>77</v>
      </c>
      <c r="E2956" s="30" t="s">
        <v>8221</v>
      </c>
      <c r="F2956" s="34" t="n">
        <f aca="false">IFERROR(VLOOKUP($A2956,'319'!$B:$H,7,0),0)</f>
        <v>0</v>
      </c>
      <c r="G2956" s="34" t="n">
        <f aca="false">SUMIFS('12.326ana'!$C:$C,'12.326ana'!$M:$M,redes!A2956)</f>
        <v>0</v>
      </c>
    </row>
    <row r="2957" customFormat="false" ht="14.4" hidden="true" customHeight="false" outlineLevel="0" collapsed="false">
      <c r="A2957" s="34" t="n">
        <v>48932647100</v>
      </c>
      <c r="B2957" s="34" t="s">
        <v>8222</v>
      </c>
      <c r="C2957" s="34" t="s">
        <v>77</v>
      </c>
      <c r="E2957" s="30" t="s">
        <v>8223</v>
      </c>
      <c r="F2957" s="34" t="n">
        <f aca="false">IFERROR(VLOOKUP($A2957,'319'!$B:$H,7,0),0)</f>
        <v>0</v>
      </c>
      <c r="G2957" s="34" t="n">
        <f aca="false">SUMIFS('12.326ana'!$C:$C,'12.326ana'!$M:$M,redes!A2957)</f>
        <v>0</v>
      </c>
    </row>
    <row r="2958" customFormat="false" ht="14.4" hidden="true" customHeight="false" outlineLevel="0" collapsed="false">
      <c r="A2958" s="34" t="n">
        <v>48933104100</v>
      </c>
      <c r="B2958" s="34" t="s">
        <v>8224</v>
      </c>
      <c r="C2958" s="34" t="s">
        <v>77</v>
      </c>
      <c r="E2958" s="30" t="s">
        <v>8225</v>
      </c>
      <c r="F2958" s="34" t="n">
        <f aca="false">IFERROR(VLOOKUP($A2958,'319'!$B:$H,7,0),0)</f>
        <v>0</v>
      </c>
      <c r="G2958" s="34" t="n">
        <f aca="false">SUMIFS('12.326ana'!$C:$C,'12.326ana'!$M:$M,redes!A2958)</f>
        <v>0</v>
      </c>
    </row>
    <row r="2959" customFormat="false" ht="14.4" hidden="true" customHeight="false" outlineLevel="0" collapsed="false">
      <c r="A2959" s="34" t="n">
        <v>48939838149</v>
      </c>
      <c r="B2959" s="34" t="s">
        <v>8226</v>
      </c>
      <c r="C2959" s="34" t="s">
        <v>351</v>
      </c>
      <c r="E2959" s="30" t="s">
        <v>4567</v>
      </c>
      <c r="F2959" s="34" t="n">
        <f aca="false">IFERROR(VLOOKUP($A2959,'319'!$B:$H,7,0),0)</f>
        <v>0</v>
      </c>
      <c r="G2959" s="34" t="n">
        <f aca="false">SUMIFS('12.326ana'!$C:$C,'12.326ana'!$M:$M,redes!A2959)</f>
        <v>0</v>
      </c>
    </row>
    <row r="2960" customFormat="false" ht="14.4" hidden="true" customHeight="false" outlineLevel="0" collapsed="false">
      <c r="A2960" s="34" t="n">
        <v>48945943153</v>
      </c>
      <c r="B2960" s="34" t="s">
        <v>8227</v>
      </c>
      <c r="C2960" s="34" t="s">
        <v>77</v>
      </c>
      <c r="E2960" s="30"/>
      <c r="F2960" s="34" t="n">
        <f aca="false">IFERROR(VLOOKUP($A2960,'319'!$B:$H,7,0),0)</f>
        <v>0</v>
      </c>
      <c r="G2960" s="34" t="n">
        <f aca="false">SUMIFS('12.326ana'!$C:$C,'12.326ana'!$M:$M,redes!A2960)</f>
        <v>0</v>
      </c>
    </row>
    <row r="2961" customFormat="false" ht="14.4" hidden="true" customHeight="false" outlineLevel="0" collapsed="false">
      <c r="A2961" s="34" t="n">
        <v>48946591153</v>
      </c>
      <c r="B2961" s="34" t="s">
        <v>8228</v>
      </c>
      <c r="C2961" s="34" t="s">
        <v>77</v>
      </c>
      <c r="E2961" s="30" t="s">
        <v>8229</v>
      </c>
      <c r="F2961" s="34" t="n">
        <f aca="false">IFERROR(VLOOKUP($A2961,'319'!$B:$H,7,0),0)</f>
        <v>0</v>
      </c>
      <c r="G2961" s="34" t="n">
        <f aca="false">SUMIFS('12.326ana'!$C:$C,'12.326ana'!$M:$M,redes!A2961)</f>
        <v>0</v>
      </c>
    </row>
    <row r="2962" customFormat="false" ht="14.4" hidden="true" customHeight="false" outlineLevel="0" collapsed="false">
      <c r="A2962" s="34" t="n">
        <v>48947377953</v>
      </c>
      <c r="B2962" s="34" t="s">
        <v>8230</v>
      </c>
      <c r="C2962" s="34" t="s">
        <v>351</v>
      </c>
      <c r="E2962" s="30" t="s">
        <v>8231</v>
      </c>
      <c r="F2962" s="34" t="n">
        <f aca="false">IFERROR(VLOOKUP($A2962,'319'!$B:$H,7,0),0)</f>
        <v>0</v>
      </c>
      <c r="G2962" s="34" t="n">
        <f aca="false">SUMIFS('12.326ana'!$C:$C,'12.326ana'!$M:$M,redes!A2962)</f>
        <v>0</v>
      </c>
    </row>
    <row r="2963" customFormat="false" ht="14.4" hidden="true" customHeight="false" outlineLevel="0" collapsed="false">
      <c r="A2963" s="34" t="n">
        <v>48947440159</v>
      </c>
      <c r="B2963" s="34" t="s">
        <v>8232</v>
      </c>
      <c r="C2963" s="34" t="s">
        <v>77</v>
      </c>
      <c r="E2963" s="30" t="s">
        <v>8233</v>
      </c>
      <c r="F2963" s="34" t="n">
        <f aca="false">IFERROR(VLOOKUP($A2963,'319'!$B:$H,7,0),0)</f>
        <v>0</v>
      </c>
      <c r="G2963" s="34" t="n">
        <f aca="false">SUMIFS('12.326ana'!$C:$C,'12.326ana'!$M:$M,redes!A2963)</f>
        <v>0</v>
      </c>
    </row>
    <row r="2964" customFormat="false" ht="14.4" hidden="true" customHeight="false" outlineLevel="0" collapsed="false">
      <c r="A2964" s="34" t="n">
        <v>48949248115</v>
      </c>
      <c r="B2964" s="34" t="s">
        <v>8234</v>
      </c>
      <c r="C2964" s="34" t="s">
        <v>77</v>
      </c>
      <c r="E2964" s="30" t="s">
        <v>8235</v>
      </c>
      <c r="F2964" s="34" t="n">
        <f aca="false">IFERROR(VLOOKUP($A2964,'319'!$B:$H,7,0),0)</f>
        <v>0</v>
      </c>
      <c r="G2964" s="34" t="n">
        <f aca="false">SUMIFS('12.326ana'!$C:$C,'12.326ana'!$M:$M,redes!A2964)</f>
        <v>0</v>
      </c>
    </row>
    <row r="2965" customFormat="false" ht="14.4" hidden="true" customHeight="false" outlineLevel="0" collapsed="false">
      <c r="A2965" s="34" t="n">
        <v>48953091187</v>
      </c>
      <c r="B2965" s="34" t="s">
        <v>8236</v>
      </c>
      <c r="C2965" s="34" t="s">
        <v>464</v>
      </c>
      <c r="E2965" s="30" t="s">
        <v>4445</v>
      </c>
      <c r="F2965" s="34" t="n">
        <f aca="false">IFERROR(VLOOKUP($A2965,'319'!$B:$H,7,0),0)</f>
        <v>0</v>
      </c>
      <c r="G2965" s="34" t="n">
        <f aca="false">SUMIFS('12.326ana'!$C:$C,'12.326ana'!$M:$M,redes!A2965)</f>
        <v>0</v>
      </c>
    </row>
    <row r="2966" customFormat="false" ht="14.4" hidden="true" customHeight="false" outlineLevel="0" collapsed="false">
      <c r="A2966" s="34" t="n">
        <v>48959642134</v>
      </c>
      <c r="B2966" s="34" t="s">
        <v>8237</v>
      </c>
      <c r="C2966" s="34" t="s">
        <v>77</v>
      </c>
      <c r="E2966" s="30" t="s">
        <v>8238</v>
      </c>
      <c r="F2966" s="34" t="n">
        <f aca="false">IFERROR(VLOOKUP($A2966,'319'!$B:$H,7,0),0)</f>
        <v>0</v>
      </c>
      <c r="G2966" s="34" t="n">
        <f aca="false">SUMIFS('12.326ana'!$C:$C,'12.326ana'!$M:$M,redes!A2966)</f>
        <v>0</v>
      </c>
    </row>
    <row r="2967" customFormat="false" ht="14.4" hidden="true" customHeight="false" outlineLevel="0" collapsed="false">
      <c r="A2967" s="34" t="n">
        <v>48962325187</v>
      </c>
      <c r="B2967" s="34" t="s">
        <v>8239</v>
      </c>
      <c r="C2967" s="34" t="s">
        <v>77</v>
      </c>
      <c r="E2967" s="30" t="s">
        <v>8240</v>
      </c>
      <c r="F2967" s="34" t="n">
        <f aca="false">IFERROR(VLOOKUP($A2967,'319'!$B:$H,7,0),0)</f>
        <v>0</v>
      </c>
      <c r="G2967" s="34" t="n">
        <f aca="false">SUMIFS('12.326ana'!$C:$C,'12.326ana'!$M:$M,redes!A2967)</f>
        <v>0</v>
      </c>
    </row>
    <row r="2968" customFormat="false" ht="14.4" hidden="true" customHeight="false" outlineLevel="0" collapsed="false">
      <c r="A2968" s="34" t="n">
        <v>48963429172</v>
      </c>
      <c r="B2968" s="34" t="s">
        <v>8241</v>
      </c>
      <c r="C2968" s="34" t="s">
        <v>77</v>
      </c>
      <c r="E2968" s="30" t="s">
        <v>8242</v>
      </c>
      <c r="F2968" s="34" t="n">
        <f aca="false">IFERROR(VLOOKUP($A2968,'319'!$B:$H,7,0),0)</f>
        <v>0</v>
      </c>
      <c r="G2968" s="34" t="n">
        <f aca="false">SUMIFS('12.326ana'!$C:$C,'12.326ana'!$M:$M,redes!A2968)</f>
        <v>0</v>
      </c>
    </row>
    <row r="2969" customFormat="false" ht="14.4" hidden="true" customHeight="false" outlineLevel="0" collapsed="false">
      <c r="A2969" s="34" t="n">
        <v>48966029191</v>
      </c>
      <c r="B2969" s="34" t="s">
        <v>8243</v>
      </c>
      <c r="C2969" s="34" t="s">
        <v>77</v>
      </c>
      <c r="E2969" s="30" t="s">
        <v>8244</v>
      </c>
      <c r="F2969" s="34" t="n">
        <f aca="false">IFERROR(VLOOKUP($A2969,'319'!$B:$H,7,0),0)</f>
        <v>0</v>
      </c>
      <c r="G2969" s="34" t="n">
        <f aca="false">SUMIFS('12.326ana'!$C:$C,'12.326ana'!$M:$M,redes!A2969)</f>
        <v>0</v>
      </c>
    </row>
    <row r="2970" customFormat="false" ht="14.4" hidden="true" customHeight="false" outlineLevel="0" collapsed="false">
      <c r="A2970" s="34" t="n">
        <v>48967459149</v>
      </c>
      <c r="B2970" s="34" t="s">
        <v>8245</v>
      </c>
      <c r="C2970" s="34" t="s">
        <v>77</v>
      </c>
      <c r="E2970" s="30" t="s">
        <v>6809</v>
      </c>
      <c r="F2970" s="34" t="n">
        <f aca="false">IFERROR(VLOOKUP($A2970,'319'!$B:$H,7,0),0)</f>
        <v>0</v>
      </c>
      <c r="G2970" s="34" t="n">
        <f aca="false">SUMIFS('12.326ana'!$C:$C,'12.326ana'!$M:$M,redes!A2970)</f>
        <v>0</v>
      </c>
    </row>
    <row r="2971" customFormat="false" ht="14.4" hidden="true" customHeight="false" outlineLevel="0" collapsed="false">
      <c r="A2971" s="34" t="n">
        <v>48976270100</v>
      </c>
      <c r="B2971" s="34" t="s">
        <v>8246</v>
      </c>
      <c r="C2971" s="34" t="s">
        <v>1341</v>
      </c>
      <c r="E2971" s="30" t="s">
        <v>8247</v>
      </c>
      <c r="F2971" s="34" t="n">
        <f aca="false">IFERROR(VLOOKUP($A2971,'319'!$B:$H,7,0),0)</f>
        <v>0</v>
      </c>
      <c r="G2971" s="34" t="n">
        <f aca="false">SUMIFS('12.326ana'!$C:$C,'12.326ana'!$M:$M,redes!A2971)</f>
        <v>0</v>
      </c>
    </row>
    <row r="2972" customFormat="false" ht="14.4" hidden="true" customHeight="false" outlineLevel="0" collapsed="false">
      <c r="A2972" s="34" t="n">
        <v>48982547134</v>
      </c>
      <c r="B2972" s="34" t="s">
        <v>8248</v>
      </c>
      <c r="C2972" s="34" t="s">
        <v>89</v>
      </c>
      <c r="E2972" s="30" t="s">
        <v>8249</v>
      </c>
      <c r="F2972" s="34" t="n">
        <f aca="false">IFERROR(VLOOKUP($A2972,'319'!$B:$H,7,0),0)</f>
        <v>0</v>
      </c>
      <c r="G2972" s="34" t="n">
        <f aca="false">SUMIFS('12.326ana'!$C:$C,'12.326ana'!$M:$M,redes!A2972)</f>
        <v>0</v>
      </c>
    </row>
    <row r="2973" customFormat="false" ht="14.4" hidden="true" customHeight="false" outlineLevel="0" collapsed="false">
      <c r="A2973" s="34" t="n">
        <v>48984329134</v>
      </c>
      <c r="B2973" s="34" t="s">
        <v>8250</v>
      </c>
      <c r="C2973" s="34" t="s">
        <v>77</v>
      </c>
      <c r="E2973" s="30" t="s">
        <v>8251</v>
      </c>
      <c r="F2973" s="34" t="n">
        <f aca="false">IFERROR(VLOOKUP($A2973,'319'!$B:$H,7,0),0)</f>
        <v>0</v>
      </c>
      <c r="G2973" s="34" t="n">
        <f aca="false">SUMIFS('12.326ana'!$C:$C,'12.326ana'!$M:$M,redes!A2973)</f>
        <v>0</v>
      </c>
    </row>
    <row r="2974" customFormat="false" ht="14.4" hidden="true" customHeight="false" outlineLevel="0" collapsed="false">
      <c r="A2974" s="34" t="n">
        <v>48984833134</v>
      </c>
      <c r="B2974" s="34" t="s">
        <v>8252</v>
      </c>
      <c r="C2974" s="34" t="s">
        <v>77</v>
      </c>
      <c r="E2974" s="30" t="s">
        <v>8253</v>
      </c>
      <c r="F2974" s="34" t="n">
        <f aca="false">IFERROR(VLOOKUP($A2974,'319'!$B:$H,7,0),0)</f>
        <v>0</v>
      </c>
      <c r="G2974" s="34" t="n">
        <f aca="false">SUMIFS('12.326ana'!$C:$C,'12.326ana'!$M:$M,redes!A2974)</f>
        <v>0</v>
      </c>
    </row>
    <row r="2975" customFormat="false" ht="14.4" hidden="true" customHeight="false" outlineLevel="0" collapsed="false">
      <c r="A2975" s="34" t="n">
        <v>48986534134</v>
      </c>
      <c r="B2975" s="34" t="s">
        <v>8254</v>
      </c>
      <c r="C2975" s="34" t="s">
        <v>77</v>
      </c>
      <c r="E2975" s="30" t="s">
        <v>8255</v>
      </c>
      <c r="F2975" s="34" t="n">
        <f aca="false">IFERROR(VLOOKUP($A2975,'319'!$B:$H,7,0),0)</f>
        <v>0</v>
      </c>
      <c r="G2975" s="34" t="n">
        <f aca="false">SUMIFS('12.326ana'!$C:$C,'12.326ana'!$M:$M,redes!A2975)</f>
        <v>0</v>
      </c>
    </row>
    <row r="2976" customFormat="false" ht="14.4" hidden="true" customHeight="false" outlineLevel="0" collapsed="false">
      <c r="A2976" s="34" t="n">
        <v>48988162153</v>
      </c>
      <c r="B2976" s="34" t="s">
        <v>8256</v>
      </c>
      <c r="C2976" s="34" t="s">
        <v>107</v>
      </c>
      <c r="E2976" s="30" t="s">
        <v>8257</v>
      </c>
      <c r="F2976" s="34" t="n">
        <f aca="false">IFERROR(VLOOKUP($A2976,'319'!$B:$H,7,0),0)</f>
        <v>0</v>
      </c>
      <c r="G2976" s="34" t="n">
        <f aca="false">SUMIFS('12.326ana'!$C:$C,'12.326ana'!$M:$M,redes!A2976)</f>
        <v>0</v>
      </c>
    </row>
    <row r="2977" customFormat="false" ht="14.4" hidden="true" customHeight="false" outlineLevel="0" collapsed="false">
      <c r="A2977" s="34" t="n">
        <v>48995606134</v>
      </c>
      <c r="B2977" s="34" t="s">
        <v>5035</v>
      </c>
      <c r="C2977" s="34" t="s">
        <v>107</v>
      </c>
      <c r="E2977" s="30" t="s">
        <v>8258</v>
      </c>
      <c r="F2977" s="34" t="n">
        <f aca="false">IFERROR(VLOOKUP($A2977,'319'!$B:$H,7,0),0)</f>
        <v>0</v>
      </c>
      <c r="G2977" s="34" t="n">
        <f aca="false">SUMIFS('12.326ana'!$C:$C,'12.326ana'!$M:$M,redes!A2977)</f>
        <v>0</v>
      </c>
    </row>
    <row r="2978" customFormat="false" ht="14.4" hidden="true" customHeight="false" outlineLevel="0" collapsed="false">
      <c r="A2978" s="34" t="n">
        <v>49000446104</v>
      </c>
      <c r="B2978" s="34" t="s">
        <v>8259</v>
      </c>
      <c r="C2978" s="34" t="s">
        <v>77</v>
      </c>
      <c r="E2978" s="30" t="s">
        <v>8260</v>
      </c>
      <c r="F2978" s="34" t="n">
        <f aca="false">IFERROR(VLOOKUP($A2978,'319'!$B:$H,7,0),0)</f>
        <v>0</v>
      </c>
      <c r="G2978" s="34" t="n">
        <f aca="false">SUMIFS('12.326ana'!$C:$C,'12.326ana'!$M:$M,redes!A2978)</f>
        <v>0</v>
      </c>
    </row>
    <row r="2979" customFormat="false" ht="14.4" hidden="true" customHeight="false" outlineLevel="0" collapsed="false">
      <c r="A2979" s="34" t="n">
        <v>49003151172</v>
      </c>
      <c r="B2979" s="34" t="s">
        <v>8261</v>
      </c>
      <c r="C2979" s="34" t="s">
        <v>77</v>
      </c>
      <c r="E2979" s="30" t="s">
        <v>8262</v>
      </c>
      <c r="F2979" s="34" t="n">
        <f aca="false">IFERROR(VLOOKUP($A2979,'319'!$B:$H,7,0),0)</f>
        <v>0</v>
      </c>
      <c r="G2979" s="34" t="n">
        <f aca="false">SUMIFS('12.326ana'!$C:$C,'12.326ana'!$M:$M,redes!A2979)</f>
        <v>0</v>
      </c>
    </row>
    <row r="2980" customFormat="false" ht="14.4" hidden="true" customHeight="false" outlineLevel="0" collapsed="false">
      <c r="A2980" s="34" t="n">
        <v>49004085149</v>
      </c>
      <c r="B2980" s="34" t="s">
        <v>8263</v>
      </c>
      <c r="C2980" s="34" t="s">
        <v>77</v>
      </c>
      <c r="E2980" s="30" t="s">
        <v>3809</v>
      </c>
      <c r="F2980" s="34" t="n">
        <f aca="false">IFERROR(VLOOKUP($A2980,'319'!$B:$H,7,0),0)</f>
        <v>0</v>
      </c>
      <c r="G2980" s="34" t="n">
        <f aca="false">SUMIFS('12.326ana'!$C:$C,'12.326ana'!$M:$M,redes!A2980)</f>
        <v>0</v>
      </c>
    </row>
    <row r="2981" customFormat="false" ht="14.4" hidden="true" customHeight="false" outlineLevel="0" collapsed="false">
      <c r="A2981" s="34" t="n">
        <v>49006835153</v>
      </c>
      <c r="B2981" s="34" t="s">
        <v>5035</v>
      </c>
      <c r="C2981" s="34" t="s">
        <v>377</v>
      </c>
      <c r="E2981" s="30" t="s">
        <v>6544</v>
      </c>
      <c r="F2981" s="34" t="n">
        <f aca="false">IFERROR(VLOOKUP($A2981,'319'!$B:$H,7,0),0)</f>
        <v>0</v>
      </c>
      <c r="G2981" s="34" t="n">
        <f aca="false">SUMIFS('12.326ana'!$C:$C,'12.326ana'!$M:$M,redes!A2981)</f>
        <v>0</v>
      </c>
    </row>
    <row r="2982" customFormat="false" ht="14.4" hidden="true" customHeight="false" outlineLevel="0" collapsed="false">
      <c r="A2982" s="34" t="n">
        <v>49010603172</v>
      </c>
      <c r="B2982" s="34" t="s">
        <v>8264</v>
      </c>
      <c r="C2982" s="34" t="s">
        <v>77</v>
      </c>
      <c r="E2982" s="30" t="s">
        <v>8265</v>
      </c>
      <c r="F2982" s="34" t="n">
        <f aca="false">IFERROR(VLOOKUP($A2982,'319'!$B:$H,7,0),0)</f>
        <v>0</v>
      </c>
      <c r="G2982" s="34" t="n">
        <f aca="false">SUMIFS('12.326ana'!$C:$C,'12.326ana'!$M:$M,redes!A2982)</f>
        <v>0</v>
      </c>
    </row>
    <row r="2983" customFormat="false" ht="14.4" hidden="true" customHeight="false" outlineLevel="0" collapsed="false">
      <c r="A2983" s="34" t="n">
        <v>49015966168</v>
      </c>
      <c r="B2983" s="34" t="s">
        <v>8266</v>
      </c>
      <c r="C2983" s="34" t="s">
        <v>744</v>
      </c>
      <c r="E2983" s="30" t="s">
        <v>8267</v>
      </c>
      <c r="F2983" s="34" t="n">
        <f aca="false">IFERROR(VLOOKUP($A2983,'319'!$B:$H,7,0),0)</f>
        <v>0</v>
      </c>
      <c r="G2983" s="34" t="n">
        <f aca="false">SUMIFS('12.326ana'!$C:$C,'12.326ana'!$M:$M,redes!A2983)</f>
        <v>0</v>
      </c>
    </row>
    <row r="2984" customFormat="false" ht="14.4" hidden="true" customHeight="false" outlineLevel="0" collapsed="false">
      <c r="A2984" s="34" t="n">
        <v>49020196120</v>
      </c>
      <c r="B2984" s="34" t="s">
        <v>8268</v>
      </c>
      <c r="C2984" s="34" t="s">
        <v>77</v>
      </c>
      <c r="E2984" s="30" t="s">
        <v>8269</v>
      </c>
      <c r="F2984" s="34" t="n">
        <f aca="false">IFERROR(VLOOKUP($A2984,'319'!$B:$H,7,0),0)</f>
        <v>0</v>
      </c>
      <c r="G2984" s="34" t="n">
        <f aca="false">SUMIFS('12.326ana'!$C:$C,'12.326ana'!$M:$M,redes!A2984)</f>
        <v>0</v>
      </c>
    </row>
    <row r="2985" customFormat="false" ht="14.4" hidden="true" customHeight="false" outlineLevel="0" collapsed="false">
      <c r="A2985" s="34" t="n">
        <v>49021249120</v>
      </c>
      <c r="B2985" s="34" t="s">
        <v>8270</v>
      </c>
      <c r="C2985" s="34" t="s">
        <v>342</v>
      </c>
      <c r="E2985" s="30" t="s">
        <v>7828</v>
      </c>
      <c r="F2985" s="34" t="n">
        <f aca="false">IFERROR(VLOOKUP($A2985,'319'!$B:$H,7,0),0)</f>
        <v>0</v>
      </c>
      <c r="G2985" s="34" t="n">
        <f aca="false">SUMIFS('12.326ana'!$C:$C,'12.326ana'!$M:$M,redes!A2985)</f>
        <v>0</v>
      </c>
    </row>
    <row r="2986" customFormat="false" ht="14.4" hidden="true" customHeight="false" outlineLevel="0" collapsed="false">
      <c r="A2986" s="34" t="n">
        <v>49025520197</v>
      </c>
      <c r="B2986" s="34" t="s">
        <v>8271</v>
      </c>
      <c r="C2986" s="34" t="s">
        <v>77</v>
      </c>
      <c r="E2986" s="30" t="s">
        <v>7923</v>
      </c>
      <c r="F2986" s="34" t="n">
        <f aca="false">IFERROR(VLOOKUP($A2986,'319'!$B:$H,7,0),0)</f>
        <v>0</v>
      </c>
      <c r="G2986" s="34" t="n">
        <f aca="false">SUMIFS('12.326ana'!$C:$C,'12.326ana'!$M:$M,redes!A2986)</f>
        <v>0</v>
      </c>
    </row>
    <row r="2987" customFormat="false" ht="14.4" hidden="true" customHeight="false" outlineLevel="0" collapsed="false">
      <c r="A2987" s="34" t="n">
        <v>49030795115</v>
      </c>
      <c r="B2987" s="34" t="s">
        <v>8272</v>
      </c>
      <c r="C2987" s="34" t="s">
        <v>77</v>
      </c>
      <c r="E2987" s="30" t="s">
        <v>8273</v>
      </c>
      <c r="F2987" s="34" t="n">
        <f aca="false">IFERROR(VLOOKUP($A2987,'319'!$B:$H,7,0),0)</f>
        <v>0</v>
      </c>
      <c r="G2987" s="34" t="n">
        <f aca="false">SUMIFS('12.326ana'!$C:$C,'12.326ana'!$M:$M,redes!A2987)</f>
        <v>0</v>
      </c>
    </row>
    <row r="2988" customFormat="false" ht="14.4" hidden="true" customHeight="false" outlineLevel="0" collapsed="false">
      <c r="A2988" s="34" t="n">
        <v>49196103191</v>
      </c>
      <c r="B2988" s="34" t="s">
        <v>8274</v>
      </c>
      <c r="C2988" s="34" t="s">
        <v>139</v>
      </c>
      <c r="E2988" s="30" t="s">
        <v>8275</v>
      </c>
      <c r="F2988" s="34" t="n">
        <f aca="false">IFERROR(VLOOKUP($A2988,'319'!$B:$H,7,0),0)</f>
        <v>0</v>
      </c>
      <c r="G2988" s="34" t="n">
        <f aca="false">SUMIFS('12.326ana'!$C:$C,'12.326ana'!$M:$M,redes!A2988)</f>
        <v>0</v>
      </c>
    </row>
    <row r="2989" customFormat="false" ht="14.4" hidden="true" customHeight="false" outlineLevel="0" collapsed="false">
      <c r="A2989" s="34" t="n">
        <v>49198580191</v>
      </c>
      <c r="B2989" s="34" t="s">
        <v>8276</v>
      </c>
      <c r="C2989" s="34" t="s">
        <v>139</v>
      </c>
      <c r="E2989" s="30" t="s">
        <v>8277</v>
      </c>
      <c r="F2989" s="34" t="n">
        <f aca="false">IFERROR(VLOOKUP($A2989,'319'!$B:$H,7,0),0)</f>
        <v>0</v>
      </c>
      <c r="G2989" s="34" t="n">
        <f aca="false">SUMIFS('12.326ana'!$C:$C,'12.326ana'!$M:$M,redes!A2989)</f>
        <v>0</v>
      </c>
    </row>
    <row r="2990" customFormat="false" ht="14.4" hidden="true" customHeight="false" outlineLevel="0" collapsed="false">
      <c r="A2990" s="34" t="n">
        <v>49199358115</v>
      </c>
      <c r="B2990" s="34" t="s">
        <v>8278</v>
      </c>
      <c r="C2990" s="34" t="s">
        <v>139</v>
      </c>
      <c r="E2990" s="30" t="s">
        <v>8279</v>
      </c>
      <c r="F2990" s="34" t="n">
        <f aca="false">IFERROR(VLOOKUP($A2990,'319'!$B:$H,7,0),0)</f>
        <v>0</v>
      </c>
      <c r="G2990" s="34" t="n">
        <f aca="false">SUMIFS('12.326ana'!$C:$C,'12.326ana'!$M:$M,redes!A2990)</f>
        <v>0</v>
      </c>
    </row>
    <row r="2991" customFormat="false" ht="14.4" hidden="true" customHeight="false" outlineLevel="0" collapsed="false">
      <c r="A2991" s="34" t="n">
        <v>49503693187</v>
      </c>
      <c r="B2991" s="34" t="s">
        <v>8280</v>
      </c>
      <c r="C2991" s="34" t="s">
        <v>77</v>
      </c>
      <c r="E2991" s="30" t="s">
        <v>8281</v>
      </c>
      <c r="F2991" s="34" t="n">
        <f aca="false">IFERROR(VLOOKUP($A2991,'319'!$B:$H,7,0),0)</f>
        <v>0</v>
      </c>
      <c r="G2991" s="34" t="n">
        <f aca="false">SUMIFS('12.326ana'!$C:$C,'12.326ana'!$M:$M,redes!A2991)</f>
        <v>0</v>
      </c>
    </row>
    <row r="2992" customFormat="false" ht="14.4" hidden="true" customHeight="false" outlineLevel="0" collapsed="false">
      <c r="A2992" s="34" t="n">
        <v>49520393153</v>
      </c>
      <c r="B2992" s="34" t="s">
        <v>8282</v>
      </c>
      <c r="C2992" s="34" t="s">
        <v>139</v>
      </c>
      <c r="E2992" s="30"/>
      <c r="F2992" s="34" t="n">
        <f aca="false">IFERROR(VLOOKUP($A2992,'319'!$B:$H,7,0),0)</f>
        <v>0</v>
      </c>
      <c r="G2992" s="34" t="n">
        <f aca="false">SUMIFS('12.326ana'!$C:$C,'12.326ana'!$M:$M,redes!A2992)</f>
        <v>0</v>
      </c>
    </row>
    <row r="2993" customFormat="false" ht="14.4" hidden="true" customHeight="false" outlineLevel="0" collapsed="false">
      <c r="A2993" s="34" t="n">
        <v>49528440134</v>
      </c>
      <c r="B2993" s="34" t="s">
        <v>8283</v>
      </c>
      <c r="C2993" s="34" t="s">
        <v>680</v>
      </c>
      <c r="E2993" s="30"/>
      <c r="F2993" s="34" t="n">
        <f aca="false">IFERROR(VLOOKUP($A2993,'319'!$B:$H,7,0),0)</f>
        <v>0</v>
      </c>
      <c r="G2993" s="34" t="n">
        <f aca="false">SUMIFS('12.326ana'!$C:$C,'12.326ana'!$M:$M,redes!A2993)</f>
        <v>0</v>
      </c>
    </row>
    <row r="2994" customFormat="false" ht="14.4" hidden="true" customHeight="false" outlineLevel="0" collapsed="false">
      <c r="A2994" s="34" t="n">
        <v>49579380830</v>
      </c>
      <c r="B2994" s="34" t="s">
        <v>8284</v>
      </c>
      <c r="C2994" s="34" t="s">
        <v>139</v>
      </c>
      <c r="E2994" s="30" t="s">
        <v>8285</v>
      </c>
      <c r="F2994" s="34" t="n">
        <f aca="false">IFERROR(VLOOKUP($A2994,'319'!$B:$H,7,0),0)</f>
        <v>0</v>
      </c>
      <c r="G2994" s="34" t="n">
        <f aca="false">SUMIFS('12.326ana'!$C:$C,'12.326ana'!$M:$M,redes!A2994)</f>
        <v>0</v>
      </c>
    </row>
    <row r="2995" customFormat="false" ht="14.4" hidden="true" customHeight="false" outlineLevel="0" collapsed="false">
      <c r="A2995" s="34" t="n">
        <v>49610686915</v>
      </c>
      <c r="B2995" s="34" t="s">
        <v>8286</v>
      </c>
      <c r="C2995" s="34" t="s">
        <v>139</v>
      </c>
      <c r="E2995" s="30" t="s">
        <v>8287</v>
      </c>
      <c r="F2995" s="34" t="n">
        <f aca="false">IFERROR(VLOOKUP($A2995,'319'!$B:$H,7,0),0)</f>
        <v>0</v>
      </c>
      <c r="G2995" s="34" t="n">
        <f aca="false">SUMIFS('12.326ana'!$C:$C,'12.326ana'!$M:$M,redes!A2995)</f>
        <v>0</v>
      </c>
    </row>
    <row r="2996" customFormat="false" ht="14.4" hidden="true" customHeight="false" outlineLevel="0" collapsed="false">
      <c r="A2996" s="34" t="n">
        <v>49644025415</v>
      </c>
      <c r="B2996" s="34" t="s">
        <v>8288</v>
      </c>
      <c r="C2996" s="34" t="s">
        <v>77</v>
      </c>
      <c r="E2996" s="30" t="s">
        <v>3507</v>
      </c>
      <c r="F2996" s="34" t="n">
        <f aca="false">IFERROR(VLOOKUP($A2996,'319'!$B:$H,7,0),0)</f>
        <v>0</v>
      </c>
      <c r="G2996" s="34" t="n">
        <f aca="false">SUMIFS('12.326ana'!$C:$C,'12.326ana'!$M:$M,redes!A2996)</f>
        <v>0</v>
      </c>
    </row>
    <row r="2997" customFormat="false" ht="14.4" hidden="true" customHeight="false" outlineLevel="0" collapsed="false">
      <c r="A2997" s="34" t="n">
        <v>49701630149</v>
      </c>
      <c r="B2997" s="34" t="s">
        <v>8289</v>
      </c>
      <c r="C2997" s="34" t="s">
        <v>139</v>
      </c>
      <c r="E2997" s="30" t="s">
        <v>6229</v>
      </c>
      <c r="F2997" s="34" t="n">
        <f aca="false">IFERROR(VLOOKUP($A2997,'319'!$B:$H,7,0),0)</f>
        <v>0</v>
      </c>
      <c r="G2997" s="34" t="n">
        <f aca="false">SUMIFS('12.326ana'!$C:$C,'12.326ana'!$M:$M,redes!A2997)</f>
        <v>0</v>
      </c>
    </row>
    <row r="2998" customFormat="false" ht="14.4" hidden="true" customHeight="false" outlineLevel="0" collapsed="false">
      <c r="A2998" s="34" t="n">
        <v>49717146187</v>
      </c>
      <c r="B2998" s="34" t="s">
        <v>8290</v>
      </c>
      <c r="C2998" s="34" t="s">
        <v>139</v>
      </c>
      <c r="E2998" s="30" t="s">
        <v>8291</v>
      </c>
      <c r="F2998" s="34" t="n">
        <f aca="false">IFERROR(VLOOKUP($A2998,'319'!$B:$H,7,0),0)</f>
        <v>0</v>
      </c>
      <c r="G2998" s="34" t="n">
        <f aca="false">SUMIFS('12.326ana'!$C:$C,'12.326ana'!$M:$M,redes!A2998)</f>
        <v>0</v>
      </c>
    </row>
    <row r="2999" customFormat="false" ht="14.4" hidden="true" customHeight="false" outlineLevel="0" collapsed="false">
      <c r="A2999" s="34" t="n">
        <v>49724487172</v>
      </c>
      <c r="B2999" s="34" t="s">
        <v>8292</v>
      </c>
      <c r="C2999" s="34" t="s">
        <v>139</v>
      </c>
      <c r="E2999" s="30" t="s">
        <v>8293</v>
      </c>
      <c r="F2999" s="34" t="n">
        <f aca="false">IFERROR(VLOOKUP($A2999,'319'!$B:$H,7,0),0)</f>
        <v>0</v>
      </c>
      <c r="G2999" s="34" t="n">
        <f aca="false">SUMIFS('12.326ana'!$C:$C,'12.326ana'!$M:$M,redes!A2999)</f>
        <v>0</v>
      </c>
    </row>
    <row r="3000" customFormat="false" ht="14.4" hidden="true" customHeight="false" outlineLevel="0" collapsed="false">
      <c r="A3000" s="34" t="n">
        <v>49736051153</v>
      </c>
      <c r="B3000" s="34" t="s">
        <v>8294</v>
      </c>
      <c r="C3000" s="34" t="s">
        <v>77</v>
      </c>
      <c r="E3000" s="30" t="s">
        <v>8294</v>
      </c>
      <c r="F3000" s="34" t="n">
        <f aca="false">IFERROR(VLOOKUP($A3000,'319'!$B:$H,7,0),0)</f>
        <v>0</v>
      </c>
      <c r="G3000" s="34" t="n">
        <f aca="false">SUMIFS('12.326ana'!$C:$C,'12.326ana'!$M:$M,redes!A3000)</f>
        <v>0</v>
      </c>
    </row>
    <row r="3001" customFormat="false" ht="14.4" hidden="true" customHeight="false" outlineLevel="0" collapsed="false">
      <c r="A3001" s="34" t="n">
        <v>49906143720</v>
      </c>
      <c r="B3001" s="34" t="s">
        <v>8295</v>
      </c>
      <c r="C3001" s="34" t="s">
        <v>77</v>
      </c>
      <c r="E3001" s="30" t="s">
        <v>8296</v>
      </c>
      <c r="F3001" s="34" t="n">
        <f aca="false">IFERROR(VLOOKUP($A3001,'319'!$B:$H,7,0),0)</f>
        <v>0</v>
      </c>
      <c r="G3001" s="34" t="n">
        <f aca="false">SUMIFS('12.326ana'!$C:$C,'12.326ana'!$M:$M,redes!A3001)</f>
        <v>0</v>
      </c>
    </row>
    <row r="3002" customFormat="false" ht="14.4" hidden="true" customHeight="false" outlineLevel="0" collapsed="false">
      <c r="A3002" s="34" t="n">
        <v>49929445072</v>
      </c>
      <c r="B3002" s="34" t="s">
        <v>8297</v>
      </c>
      <c r="C3002" s="34" t="s">
        <v>77</v>
      </c>
      <c r="E3002" s="30"/>
      <c r="F3002" s="34" t="n">
        <f aca="false">IFERROR(VLOOKUP($A3002,'319'!$B:$H,7,0),0)</f>
        <v>0</v>
      </c>
      <c r="G3002" s="34" t="n">
        <f aca="false">SUMIFS('12.326ana'!$C:$C,'12.326ana'!$M:$M,redes!A3002)</f>
        <v>0</v>
      </c>
    </row>
    <row r="3003" customFormat="false" ht="14.4" hidden="true" customHeight="false" outlineLevel="0" collapsed="false">
      <c r="A3003" s="34" t="n">
        <v>50048392120</v>
      </c>
      <c r="B3003" s="34" t="s">
        <v>8298</v>
      </c>
      <c r="C3003" s="34" t="s">
        <v>197</v>
      </c>
      <c r="E3003" s="30" t="s">
        <v>8299</v>
      </c>
      <c r="F3003" s="34" t="n">
        <f aca="false">IFERROR(VLOOKUP($A3003,'319'!$B:$H,7,0),0)</f>
        <v>0</v>
      </c>
      <c r="G3003" s="34" t="n">
        <f aca="false">SUMIFS('12.326ana'!$C:$C,'12.326ana'!$M:$M,redes!A3003)</f>
        <v>0</v>
      </c>
    </row>
    <row r="3004" customFormat="false" ht="14.4" hidden="true" customHeight="false" outlineLevel="0" collapsed="false">
      <c r="A3004" s="34" t="n">
        <v>50049208187</v>
      </c>
      <c r="B3004" s="34" t="s">
        <v>8300</v>
      </c>
      <c r="C3004" s="34" t="s">
        <v>77</v>
      </c>
      <c r="E3004" s="30" t="s">
        <v>8301</v>
      </c>
      <c r="F3004" s="34" t="n">
        <f aca="false">IFERROR(VLOOKUP($A3004,'319'!$B:$H,7,0),0)</f>
        <v>0</v>
      </c>
      <c r="G3004" s="34" t="n">
        <f aca="false">SUMIFS('12.326ana'!$C:$C,'12.326ana'!$M:$M,redes!A3004)</f>
        <v>0</v>
      </c>
    </row>
    <row r="3005" customFormat="false" ht="14.4" hidden="true" customHeight="false" outlineLevel="0" collapsed="false">
      <c r="A3005" s="34" t="n">
        <v>50052624153</v>
      </c>
      <c r="B3005" s="34" t="s">
        <v>8302</v>
      </c>
      <c r="C3005" s="34" t="s">
        <v>77</v>
      </c>
      <c r="E3005" s="30"/>
      <c r="F3005" s="34" t="n">
        <f aca="false">IFERROR(VLOOKUP($A3005,'319'!$B:$H,7,0),0)</f>
        <v>0</v>
      </c>
      <c r="G3005" s="34" t="n">
        <f aca="false">SUMIFS('12.326ana'!$C:$C,'12.326ana'!$M:$M,redes!A3005)</f>
        <v>0</v>
      </c>
    </row>
    <row r="3006" customFormat="false" ht="14.4" hidden="true" customHeight="false" outlineLevel="0" collapsed="false">
      <c r="A3006" s="34" t="n">
        <v>50055984134</v>
      </c>
      <c r="B3006" s="34" t="s">
        <v>8303</v>
      </c>
      <c r="C3006" s="34" t="s">
        <v>77</v>
      </c>
      <c r="E3006" s="30"/>
      <c r="F3006" s="34" t="n">
        <f aca="false">IFERROR(VLOOKUP($A3006,'319'!$B:$H,7,0),0)</f>
        <v>0</v>
      </c>
      <c r="G3006" s="34" t="n">
        <f aca="false">SUMIFS('12.326ana'!$C:$C,'12.326ana'!$M:$M,redes!A3006)</f>
        <v>0</v>
      </c>
    </row>
    <row r="3007" customFormat="false" ht="14.4" hidden="true" customHeight="false" outlineLevel="0" collapsed="false">
      <c r="A3007" s="34" t="n">
        <v>50056387172</v>
      </c>
      <c r="B3007" s="34" t="s">
        <v>8304</v>
      </c>
      <c r="C3007" s="34" t="s">
        <v>77</v>
      </c>
      <c r="E3007" s="30" t="s">
        <v>8305</v>
      </c>
      <c r="F3007" s="34" t="n">
        <f aca="false">IFERROR(VLOOKUP($A3007,'319'!$B:$H,7,0),0)</f>
        <v>0</v>
      </c>
      <c r="G3007" s="34" t="n">
        <f aca="false">SUMIFS('12.326ana'!$C:$C,'12.326ana'!$M:$M,redes!A3007)</f>
        <v>0</v>
      </c>
    </row>
    <row r="3008" customFormat="false" ht="14.4" hidden="true" customHeight="false" outlineLevel="0" collapsed="false">
      <c r="A3008" s="34" t="n">
        <v>50064410110</v>
      </c>
      <c r="B3008" s="34" t="s">
        <v>8306</v>
      </c>
      <c r="C3008" s="34" t="s">
        <v>77</v>
      </c>
      <c r="E3008" s="30" t="s">
        <v>8307</v>
      </c>
      <c r="F3008" s="34" t="n">
        <f aca="false">IFERROR(VLOOKUP($A3008,'319'!$B:$H,7,0),0)</f>
        <v>0</v>
      </c>
      <c r="G3008" s="34" t="n">
        <f aca="false">SUMIFS('12.326ana'!$C:$C,'12.326ana'!$M:$M,redes!A3008)</f>
        <v>0</v>
      </c>
    </row>
    <row r="3009" customFormat="false" ht="14.4" hidden="true" customHeight="false" outlineLevel="0" collapsed="false">
      <c r="A3009" s="34" t="n">
        <v>50067915191</v>
      </c>
      <c r="B3009" s="34" t="s">
        <v>8308</v>
      </c>
      <c r="C3009" s="34" t="s">
        <v>342</v>
      </c>
      <c r="E3009" s="30" t="s">
        <v>8309</v>
      </c>
      <c r="F3009" s="34" t="n">
        <f aca="false">IFERROR(VLOOKUP($A3009,'319'!$B:$H,7,0),0)</f>
        <v>0</v>
      </c>
      <c r="G3009" s="34" t="n">
        <f aca="false">SUMIFS('12.326ana'!$C:$C,'12.326ana'!$M:$M,redes!A3009)</f>
        <v>0</v>
      </c>
    </row>
    <row r="3010" customFormat="false" ht="14.4" hidden="true" customHeight="false" outlineLevel="0" collapsed="false">
      <c r="A3010" s="34" t="n">
        <v>50080393187</v>
      </c>
      <c r="B3010" s="34" t="s">
        <v>8310</v>
      </c>
      <c r="C3010" s="34" t="s">
        <v>77</v>
      </c>
      <c r="E3010" s="30" t="s">
        <v>8311</v>
      </c>
      <c r="F3010" s="34" t="n">
        <f aca="false">IFERROR(VLOOKUP($A3010,'319'!$B:$H,7,0),0)</f>
        <v>0</v>
      </c>
      <c r="G3010" s="34" t="n">
        <f aca="false">SUMIFS('12.326ana'!$C:$C,'12.326ana'!$M:$M,redes!A3010)</f>
        <v>0</v>
      </c>
    </row>
    <row r="3011" customFormat="false" ht="14.4" hidden="true" customHeight="false" outlineLevel="0" collapsed="false">
      <c r="A3011" s="34" t="n">
        <v>50109510100</v>
      </c>
      <c r="B3011" s="34" t="s">
        <v>8312</v>
      </c>
      <c r="C3011" s="34" t="s">
        <v>77</v>
      </c>
      <c r="E3011" s="30" t="s">
        <v>8313</v>
      </c>
      <c r="F3011" s="34" t="n">
        <f aca="false">IFERROR(VLOOKUP($A3011,'319'!$B:$H,7,0),0)</f>
        <v>0</v>
      </c>
      <c r="G3011" s="34" t="n">
        <f aca="false">SUMIFS('12.326ana'!$C:$C,'12.326ana'!$M:$M,redes!A3011)</f>
        <v>0</v>
      </c>
    </row>
    <row r="3012" customFormat="false" ht="14.4" hidden="true" customHeight="false" outlineLevel="0" collapsed="false">
      <c r="A3012" s="34" t="n">
        <v>50112538134</v>
      </c>
      <c r="B3012" s="34" t="s">
        <v>8314</v>
      </c>
      <c r="C3012" s="34" t="s">
        <v>954</v>
      </c>
      <c r="E3012" s="30" t="s">
        <v>8315</v>
      </c>
      <c r="F3012" s="34" t="n">
        <f aca="false">IFERROR(VLOOKUP($A3012,'319'!$B:$H,7,0),0)</f>
        <v>0</v>
      </c>
      <c r="G3012" s="34" t="n">
        <f aca="false">SUMIFS('12.326ana'!$C:$C,'12.326ana'!$M:$M,redes!A3012)</f>
        <v>0</v>
      </c>
    </row>
    <row r="3013" customFormat="false" ht="14.4" hidden="true" customHeight="false" outlineLevel="0" collapsed="false">
      <c r="A3013" s="34" t="n">
        <v>50112651100</v>
      </c>
      <c r="B3013" s="34" t="s">
        <v>8316</v>
      </c>
      <c r="C3013" s="34" t="s">
        <v>77</v>
      </c>
      <c r="E3013" s="30" t="s">
        <v>8317</v>
      </c>
      <c r="F3013" s="34" t="n">
        <f aca="false">IFERROR(VLOOKUP($A3013,'319'!$B:$H,7,0),0)</f>
        <v>0</v>
      </c>
      <c r="G3013" s="34" t="n">
        <f aca="false">SUMIFS('12.326ana'!$C:$C,'12.326ana'!$M:$M,redes!A3013)</f>
        <v>0</v>
      </c>
    </row>
    <row r="3014" customFormat="false" ht="14.4" hidden="true" customHeight="false" outlineLevel="0" collapsed="false">
      <c r="A3014" s="34" t="n">
        <v>50113542100</v>
      </c>
      <c r="B3014" s="34" t="s">
        <v>8318</v>
      </c>
      <c r="C3014" s="34" t="s">
        <v>77</v>
      </c>
      <c r="E3014" s="30" t="s">
        <v>8319</v>
      </c>
      <c r="F3014" s="34" t="n">
        <f aca="false">IFERROR(VLOOKUP($A3014,'319'!$B:$H,7,0),0)</f>
        <v>0</v>
      </c>
      <c r="G3014" s="34" t="n">
        <f aca="false">SUMIFS('12.326ana'!$C:$C,'12.326ana'!$M:$M,redes!A3014)</f>
        <v>0</v>
      </c>
    </row>
    <row r="3015" customFormat="false" ht="14.4" hidden="true" customHeight="false" outlineLevel="0" collapsed="false">
      <c r="A3015" s="34" t="n">
        <v>50113550120</v>
      </c>
      <c r="B3015" s="34" t="s">
        <v>8320</v>
      </c>
      <c r="C3015" s="34" t="s">
        <v>77</v>
      </c>
      <c r="E3015" s="30" t="s">
        <v>8321</v>
      </c>
      <c r="F3015" s="34" t="n">
        <f aca="false">IFERROR(VLOOKUP($A3015,'319'!$B:$H,7,0),0)</f>
        <v>0</v>
      </c>
      <c r="G3015" s="34" t="n">
        <f aca="false">SUMIFS('12.326ana'!$C:$C,'12.326ana'!$M:$M,redes!A3015)</f>
        <v>0</v>
      </c>
    </row>
    <row r="3016" customFormat="false" ht="14.4" hidden="true" customHeight="false" outlineLevel="0" collapsed="false">
      <c r="A3016" s="34" t="n">
        <v>50115375104</v>
      </c>
      <c r="B3016" s="34" t="s">
        <v>8322</v>
      </c>
      <c r="C3016" s="34" t="s">
        <v>77</v>
      </c>
      <c r="E3016" s="30" t="s">
        <v>8323</v>
      </c>
      <c r="F3016" s="34" t="n">
        <f aca="false">IFERROR(VLOOKUP($A3016,'319'!$B:$H,7,0),0)</f>
        <v>0</v>
      </c>
      <c r="G3016" s="34" t="n">
        <f aca="false">SUMIFS('12.326ana'!$C:$C,'12.326ana'!$M:$M,redes!A3016)</f>
        <v>0</v>
      </c>
    </row>
    <row r="3017" customFormat="false" ht="14.4" hidden="true" customHeight="false" outlineLevel="0" collapsed="false">
      <c r="A3017" s="34" t="n">
        <v>50116266104</v>
      </c>
      <c r="B3017" s="34" t="s">
        <v>8324</v>
      </c>
      <c r="C3017" s="34" t="s">
        <v>77</v>
      </c>
      <c r="E3017" s="30" t="s">
        <v>3076</v>
      </c>
      <c r="F3017" s="34" t="n">
        <f aca="false">IFERROR(VLOOKUP($A3017,'319'!$B:$H,7,0),0)</f>
        <v>0</v>
      </c>
      <c r="G3017" s="34" t="n">
        <f aca="false">SUMIFS('12.326ana'!$C:$C,'12.326ana'!$M:$M,redes!A3017)</f>
        <v>0</v>
      </c>
    </row>
    <row r="3018" customFormat="false" ht="14.4" hidden="true" customHeight="false" outlineLevel="0" collapsed="false">
      <c r="A3018" s="34" t="n">
        <v>50118935100</v>
      </c>
      <c r="B3018" s="34" t="s">
        <v>8325</v>
      </c>
      <c r="C3018" s="34" t="s">
        <v>77</v>
      </c>
      <c r="E3018" s="30" t="s">
        <v>8326</v>
      </c>
      <c r="F3018" s="34" t="n">
        <f aca="false">IFERROR(VLOOKUP($A3018,'319'!$B:$H,7,0),0)</f>
        <v>0</v>
      </c>
      <c r="G3018" s="34" t="n">
        <f aca="false">SUMIFS('12.326ana'!$C:$C,'12.326ana'!$M:$M,redes!A3018)</f>
        <v>0</v>
      </c>
    </row>
    <row r="3019" customFormat="false" ht="14.4" hidden="true" customHeight="false" outlineLevel="0" collapsed="false">
      <c r="A3019" s="34" t="n">
        <v>50119672120</v>
      </c>
      <c r="B3019" s="34" t="s">
        <v>8327</v>
      </c>
      <c r="C3019" s="34" t="s">
        <v>77</v>
      </c>
      <c r="E3019" s="30" t="s">
        <v>8328</v>
      </c>
      <c r="F3019" s="34" t="n">
        <f aca="false">IFERROR(VLOOKUP($A3019,'319'!$B:$H,7,0),0)</f>
        <v>0</v>
      </c>
      <c r="G3019" s="34" t="n">
        <f aca="false">SUMIFS('12.326ana'!$C:$C,'12.326ana'!$M:$M,redes!A3019)</f>
        <v>0</v>
      </c>
    </row>
    <row r="3020" customFormat="false" ht="14.4" hidden="true" customHeight="false" outlineLevel="0" collapsed="false">
      <c r="A3020" s="34" t="n">
        <v>50123262100</v>
      </c>
      <c r="B3020" s="34" t="s">
        <v>8329</v>
      </c>
      <c r="C3020" s="34" t="s">
        <v>77</v>
      </c>
      <c r="E3020" s="30" t="s">
        <v>8330</v>
      </c>
      <c r="F3020" s="34" t="n">
        <f aca="false">IFERROR(VLOOKUP($A3020,'319'!$B:$H,7,0),0)</f>
        <v>0</v>
      </c>
      <c r="G3020" s="34" t="n">
        <f aca="false">SUMIFS('12.326ana'!$C:$C,'12.326ana'!$M:$M,redes!A3020)</f>
        <v>0</v>
      </c>
    </row>
    <row r="3021" customFormat="false" ht="14.4" hidden="true" customHeight="false" outlineLevel="0" collapsed="false">
      <c r="A3021" s="34" t="n">
        <v>50125621191</v>
      </c>
      <c r="B3021" s="34" t="s">
        <v>8331</v>
      </c>
      <c r="C3021" s="34" t="s">
        <v>77</v>
      </c>
      <c r="E3021" s="30" t="s">
        <v>3809</v>
      </c>
      <c r="F3021" s="34" t="n">
        <f aca="false">IFERROR(VLOOKUP($A3021,'319'!$B:$H,7,0),0)</f>
        <v>0</v>
      </c>
      <c r="G3021" s="34" t="n">
        <f aca="false">SUMIFS('12.326ana'!$C:$C,'12.326ana'!$M:$M,redes!A3021)</f>
        <v>0</v>
      </c>
    </row>
    <row r="3022" customFormat="false" ht="14.4" hidden="true" customHeight="false" outlineLevel="0" collapsed="false">
      <c r="A3022" s="34" t="n">
        <v>50126075115</v>
      </c>
      <c r="B3022" s="34" t="s">
        <v>8332</v>
      </c>
      <c r="C3022" s="34" t="s">
        <v>4139</v>
      </c>
      <c r="E3022" s="30"/>
      <c r="F3022" s="34" t="n">
        <f aca="false">IFERROR(VLOOKUP($A3022,'319'!$B:$H,7,0),0)</f>
        <v>0</v>
      </c>
      <c r="G3022" s="34" t="n">
        <f aca="false">SUMIFS('12.326ana'!$C:$C,'12.326ana'!$M:$M,redes!A3022)</f>
        <v>0</v>
      </c>
    </row>
    <row r="3023" customFormat="false" ht="14.4" hidden="true" customHeight="false" outlineLevel="0" collapsed="false">
      <c r="A3023" s="34" t="n">
        <v>50136232191</v>
      </c>
      <c r="B3023" s="34" t="s">
        <v>8333</v>
      </c>
      <c r="C3023" s="34" t="s">
        <v>77</v>
      </c>
      <c r="E3023" s="30" t="s">
        <v>8334</v>
      </c>
      <c r="F3023" s="34" t="n">
        <f aca="false">IFERROR(VLOOKUP($A3023,'319'!$B:$H,7,0),0)</f>
        <v>0</v>
      </c>
      <c r="G3023" s="34" t="n">
        <f aca="false">SUMIFS('12.326ana'!$C:$C,'12.326ana'!$M:$M,redes!A3023)</f>
        <v>0</v>
      </c>
    </row>
    <row r="3024" customFormat="false" ht="14.4" hidden="true" customHeight="false" outlineLevel="0" collapsed="false">
      <c r="A3024" s="34" t="n">
        <v>50136470106</v>
      </c>
      <c r="B3024" s="34" t="s">
        <v>8335</v>
      </c>
      <c r="C3024" s="34" t="s">
        <v>77</v>
      </c>
      <c r="E3024" s="30" t="s">
        <v>3045</v>
      </c>
      <c r="F3024" s="34" t="n">
        <f aca="false">IFERROR(VLOOKUP($A3024,'319'!$B:$H,7,0),0)</f>
        <v>0</v>
      </c>
      <c r="G3024" s="34" t="n">
        <f aca="false">SUMIFS('12.326ana'!$C:$C,'12.326ana'!$M:$M,redes!A3024)</f>
        <v>0</v>
      </c>
    </row>
    <row r="3025" customFormat="false" ht="14.4" hidden="true" customHeight="false" outlineLevel="0" collapsed="false">
      <c r="A3025" s="34" t="n">
        <v>50154893153</v>
      </c>
      <c r="B3025" s="34" t="s">
        <v>8336</v>
      </c>
      <c r="C3025" s="34" t="s">
        <v>77</v>
      </c>
      <c r="E3025" s="30" t="s">
        <v>8337</v>
      </c>
      <c r="F3025" s="34" t="n">
        <f aca="false">IFERROR(VLOOKUP($A3025,'319'!$B:$H,7,0),0)</f>
        <v>0</v>
      </c>
      <c r="G3025" s="34" t="n">
        <f aca="false">SUMIFS('12.326ana'!$C:$C,'12.326ana'!$M:$M,redes!A3025)</f>
        <v>0</v>
      </c>
    </row>
    <row r="3026" customFormat="false" ht="14.4" hidden="true" customHeight="false" outlineLevel="0" collapsed="false">
      <c r="A3026" s="34" t="n">
        <v>50156993104</v>
      </c>
      <c r="B3026" s="34" t="s">
        <v>8338</v>
      </c>
      <c r="C3026" s="34" t="s">
        <v>77</v>
      </c>
      <c r="E3026" s="30" t="s">
        <v>4807</v>
      </c>
      <c r="F3026" s="34" t="n">
        <f aca="false">IFERROR(VLOOKUP($A3026,'319'!$B:$H,7,0),0)</f>
        <v>0</v>
      </c>
      <c r="G3026" s="34" t="n">
        <f aca="false">SUMIFS('12.326ana'!$C:$C,'12.326ana'!$M:$M,redes!A3026)</f>
        <v>0</v>
      </c>
    </row>
    <row r="3027" customFormat="false" ht="14.4" hidden="true" customHeight="false" outlineLevel="0" collapsed="false">
      <c r="A3027" s="34" t="n">
        <v>50163345104</v>
      </c>
      <c r="B3027" s="34" t="s">
        <v>8339</v>
      </c>
      <c r="C3027" s="34" t="s">
        <v>77</v>
      </c>
      <c r="E3027" s="30" t="s">
        <v>8340</v>
      </c>
      <c r="F3027" s="34" t="n">
        <f aca="false">IFERROR(VLOOKUP($A3027,'319'!$B:$H,7,0),0)</f>
        <v>0</v>
      </c>
      <c r="G3027" s="34" t="n">
        <f aca="false">SUMIFS('12.326ana'!$C:$C,'12.326ana'!$M:$M,redes!A3027)</f>
        <v>0</v>
      </c>
    </row>
    <row r="3028" customFormat="false" ht="14.4" hidden="true" customHeight="false" outlineLevel="0" collapsed="false">
      <c r="A3028" s="34" t="n">
        <v>50166514187</v>
      </c>
      <c r="B3028" s="34" t="s">
        <v>8341</v>
      </c>
      <c r="C3028" s="34" t="s">
        <v>77</v>
      </c>
      <c r="E3028" s="30" t="s">
        <v>3446</v>
      </c>
      <c r="F3028" s="34" t="n">
        <f aca="false">IFERROR(VLOOKUP($A3028,'319'!$B:$H,7,0),0)</f>
        <v>0</v>
      </c>
      <c r="G3028" s="34" t="n">
        <f aca="false">SUMIFS('12.326ana'!$C:$C,'12.326ana'!$M:$M,redes!A3028)</f>
        <v>0</v>
      </c>
    </row>
    <row r="3029" customFormat="false" ht="14.4" hidden="true" customHeight="false" outlineLevel="0" collapsed="false">
      <c r="A3029" s="34" t="n">
        <v>50171038134</v>
      </c>
      <c r="B3029" s="34" t="s">
        <v>8342</v>
      </c>
      <c r="C3029" s="34" t="s">
        <v>448</v>
      </c>
      <c r="E3029" s="30" t="s">
        <v>8343</v>
      </c>
      <c r="F3029" s="34" t="n">
        <f aca="false">IFERROR(VLOOKUP($A3029,'319'!$B:$H,7,0),0)</f>
        <v>0</v>
      </c>
      <c r="G3029" s="34" t="n">
        <f aca="false">SUMIFS('12.326ana'!$C:$C,'12.326ana'!$M:$M,redes!A3029)</f>
        <v>0</v>
      </c>
    </row>
    <row r="3030" customFormat="false" ht="14.4" hidden="true" customHeight="false" outlineLevel="0" collapsed="false">
      <c r="A3030" s="34" t="n">
        <v>50173740197</v>
      </c>
      <c r="B3030" s="34" t="s">
        <v>8344</v>
      </c>
      <c r="C3030" s="34" t="s">
        <v>107</v>
      </c>
      <c r="E3030" s="30" t="s">
        <v>8345</v>
      </c>
      <c r="F3030" s="34" t="n">
        <f aca="false">IFERROR(VLOOKUP($A3030,'319'!$B:$H,7,0),0)</f>
        <v>0</v>
      </c>
      <c r="G3030" s="34" t="n">
        <f aca="false">SUMIFS('12.326ana'!$C:$C,'12.326ana'!$M:$M,redes!A3030)</f>
        <v>0</v>
      </c>
    </row>
    <row r="3031" customFormat="false" ht="14.4" hidden="true" customHeight="false" outlineLevel="0" collapsed="false">
      <c r="A3031" s="34" t="n">
        <v>50183990153</v>
      </c>
      <c r="B3031" s="34" t="s">
        <v>8346</v>
      </c>
      <c r="C3031" s="34" t="s">
        <v>107</v>
      </c>
      <c r="E3031" s="30" t="s">
        <v>8347</v>
      </c>
      <c r="F3031" s="34" t="n">
        <f aca="false">IFERROR(VLOOKUP($A3031,'319'!$B:$H,7,0),0)</f>
        <v>0</v>
      </c>
      <c r="G3031" s="34" t="n">
        <f aca="false">SUMIFS('12.326ana'!$C:$C,'12.326ana'!$M:$M,redes!A3031)</f>
        <v>0</v>
      </c>
    </row>
    <row r="3032" customFormat="false" ht="14.4" hidden="true" customHeight="false" outlineLevel="0" collapsed="false">
      <c r="A3032" s="34" t="n">
        <v>50202588149</v>
      </c>
      <c r="B3032" s="34" t="s">
        <v>8348</v>
      </c>
      <c r="C3032" s="34" t="s">
        <v>967</v>
      </c>
      <c r="E3032" s="30" t="s">
        <v>8349</v>
      </c>
      <c r="F3032" s="34" t="n">
        <f aca="false">IFERROR(VLOOKUP($A3032,'319'!$B:$H,7,0),0)</f>
        <v>0</v>
      </c>
      <c r="G3032" s="34" t="n">
        <f aca="false">SUMIFS('12.326ana'!$C:$C,'12.326ana'!$M:$M,redes!A3032)</f>
        <v>0</v>
      </c>
    </row>
    <row r="3033" customFormat="false" ht="14.4" hidden="true" customHeight="false" outlineLevel="0" collapsed="false">
      <c r="A3033" s="34" t="n">
        <v>50208020187</v>
      </c>
      <c r="B3033" s="34" t="s">
        <v>8350</v>
      </c>
      <c r="C3033" s="34" t="s">
        <v>77</v>
      </c>
      <c r="E3033" s="30" t="s">
        <v>8351</v>
      </c>
      <c r="F3033" s="34" t="n">
        <f aca="false">IFERROR(VLOOKUP($A3033,'319'!$B:$H,7,0),0)</f>
        <v>0</v>
      </c>
      <c r="G3033" s="34" t="n">
        <f aca="false">SUMIFS('12.326ana'!$C:$C,'12.326ana'!$M:$M,redes!A3033)</f>
        <v>0</v>
      </c>
    </row>
    <row r="3034" customFormat="false" ht="14.4" hidden="true" customHeight="false" outlineLevel="0" collapsed="false">
      <c r="A3034" s="34" t="n">
        <v>50217399134</v>
      </c>
      <c r="B3034" s="34" t="s">
        <v>8352</v>
      </c>
      <c r="C3034" s="34" t="s">
        <v>77</v>
      </c>
      <c r="E3034" s="30" t="s">
        <v>8353</v>
      </c>
      <c r="F3034" s="34" t="n">
        <f aca="false">IFERROR(VLOOKUP($A3034,'319'!$B:$H,7,0),0)</f>
        <v>0</v>
      </c>
      <c r="G3034" s="34" t="n">
        <f aca="false">SUMIFS('12.326ana'!$C:$C,'12.326ana'!$M:$M,redes!A3034)</f>
        <v>0</v>
      </c>
    </row>
    <row r="3035" customFormat="false" ht="14.4" hidden="true" customHeight="false" outlineLevel="0" collapsed="false">
      <c r="A3035" s="34" t="n">
        <v>50218700172</v>
      </c>
      <c r="B3035" s="34" t="s">
        <v>8354</v>
      </c>
      <c r="C3035" s="34" t="s">
        <v>89</v>
      </c>
      <c r="E3035" s="30"/>
      <c r="F3035" s="34" t="n">
        <f aca="false">IFERROR(VLOOKUP($A3035,'319'!$B:$H,7,0),0)</f>
        <v>0</v>
      </c>
      <c r="G3035" s="34" t="n">
        <f aca="false">SUMIFS('12.326ana'!$C:$C,'12.326ana'!$M:$M,redes!A3035)</f>
        <v>0</v>
      </c>
    </row>
    <row r="3036" customFormat="false" ht="14.4" hidden="true" customHeight="false" outlineLevel="0" collapsed="false">
      <c r="A3036" s="34" t="n">
        <v>50232940991</v>
      </c>
      <c r="B3036" s="34" t="s">
        <v>8355</v>
      </c>
      <c r="C3036" s="34" t="s">
        <v>77</v>
      </c>
      <c r="E3036" s="30" t="s">
        <v>8356</v>
      </c>
      <c r="F3036" s="34" t="n">
        <f aca="false">IFERROR(VLOOKUP($A3036,'319'!$B:$H,7,0),0)</f>
        <v>0</v>
      </c>
      <c r="G3036" s="34" t="n">
        <f aca="false">SUMIFS('12.326ana'!$C:$C,'12.326ana'!$M:$M,redes!A3036)</f>
        <v>0</v>
      </c>
    </row>
    <row r="3037" customFormat="false" ht="14.4" hidden="true" customHeight="false" outlineLevel="0" collapsed="false">
      <c r="A3037" s="34" t="n">
        <v>50240935187</v>
      </c>
      <c r="B3037" s="34" t="s">
        <v>8357</v>
      </c>
      <c r="C3037" s="34" t="s">
        <v>77</v>
      </c>
      <c r="E3037" s="30" t="s">
        <v>8358</v>
      </c>
      <c r="F3037" s="34" t="n">
        <f aca="false">IFERROR(VLOOKUP($A3037,'319'!$B:$H,7,0),0)</f>
        <v>0</v>
      </c>
      <c r="G3037" s="34" t="n">
        <f aca="false">SUMIFS('12.326ana'!$C:$C,'12.326ana'!$M:$M,redes!A3037)</f>
        <v>0</v>
      </c>
    </row>
    <row r="3038" customFormat="false" ht="14.4" hidden="true" customHeight="false" outlineLevel="0" collapsed="false">
      <c r="A3038" s="34" t="n">
        <v>50248944991</v>
      </c>
      <c r="B3038" s="34" t="s">
        <v>8359</v>
      </c>
      <c r="C3038" s="34" t="s">
        <v>77</v>
      </c>
      <c r="E3038" s="30" t="s">
        <v>8360</v>
      </c>
      <c r="F3038" s="34" t="n">
        <f aca="false">IFERROR(VLOOKUP($A3038,'319'!$B:$H,7,0),0)</f>
        <v>0</v>
      </c>
      <c r="G3038" s="34" t="n">
        <f aca="false">SUMIFS('12.326ana'!$C:$C,'12.326ana'!$M:$M,redes!A3038)</f>
        <v>0</v>
      </c>
    </row>
    <row r="3039" customFormat="false" ht="14.4" hidden="true" customHeight="false" outlineLevel="0" collapsed="false">
      <c r="A3039" s="34" t="n">
        <v>50251902153</v>
      </c>
      <c r="B3039" s="34" t="s">
        <v>8361</v>
      </c>
      <c r="C3039" s="34" t="s">
        <v>77</v>
      </c>
      <c r="E3039" s="30" t="s">
        <v>8361</v>
      </c>
      <c r="F3039" s="34" t="n">
        <f aca="false">IFERROR(VLOOKUP($A3039,'319'!$B:$H,7,0),0)</f>
        <v>0</v>
      </c>
      <c r="G3039" s="34" t="n">
        <f aca="false">SUMIFS('12.326ana'!$C:$C,'12.326ana'!$M:$M,redes!A3039)</f>
        <v>0</v>
      </c>
    </row>
    <row r="3040" customFormat="false" ht="14.4" hidden="true" customHeight="false" outlineLevel="0" collapsed="false">
      <c r="A3040" s="34" t="n">
        <v>50306189968</v>
      </c>
      <c r="B3040" s="34" t="s">
        <v>8362</v>
      </c>
      <c r="C3040" s="34" t="s">
        <v>77</v>
      </c>
      <c r="E3040" s="30" t="s">
        <v>8363</v>
      </c>
      <c r="F3040" s="34" t="n">
        <f aca="false">IFERROR(VLOOKUP($A3040,'319'!$B:$H,7,0),0)</f>
        <v>0</v>
      </c>
      <c r="G3040" s="34" t="n">
        <f aca="false">SUMIFS('12.326ana'!$C:$C,'12.326ana'!$M:$M,redes!A3040)</f>
        <v>0</v>
      </c>
    </row>
    <row r="3041" customFormat="false" ht="14.4" hidden="true" customHeight="false" outlineLevel="0" collapsed="false">
      <c r="A3041" s="34" t="n">
        <v>50554247968</v>
      </c>
      <c r="B3041" s="34" t="s">
        <v>8364</v>
      </c>
      <c r="C3041" s="34" t="s">
        <v>107</v>
      </c>
      <c r="E3041" s="30" t="s">
        <v>8365</v>
      </c>
      <c r="F3041" s="34" t="n">
        <f aca="false">IFERROR(VLOOKUP($A3041,'319'!$B:$H,7,0),0)</f>
        <v>0</v>
      </c>
      <c r="G3041" s="34" t="n">
        <f aca="false">SUMIFS('12.326ana'!$C:$C,'12.326ana'!$M:$M,redes!A3041)</f>
        <v>0</v>
      </c>
    </row>
    <row r="3042" customFormat="false" ht="14.4" hidden="true" customHeight="false" outlineLevel="0" collapsed="false">
      <c r="A3042" s="34" t="n">
        <v>50602837120</v>
      </c>
      <c r="B3042" s="34" t="s">
        <v>8366</v>
      </c>
      <c r="C3042" s="34" t="s">
        <v>103</v>
      </c>
      <c r="E3042" s="30" t="s">
        <v>5750</v>
      </c>
      <c r="F3042" s="34" t="n">
        <f aca="false">IFERROR(VLOOKUP($A3042,'319'!$B:$H,7,0),0)</f>
        <v>0</v>
      </c>
      <c r="G3042" s="34" t="n">
        <f aca="false">SUMIFS('12.326ana'!$C:$C,'12.326ana'!$M:$M,redes!A3042)</f>
        <v>0</v>
      </c>
    </row>
    <row r="3043" customFormat="false" ht="14.4" hidden="true" customHeight="false" outlineLevel="0" collapsed="false">
      <c r="A3043" s="34" t="n">
        <v>50605003149</v>
      </c>
      <c r="B3043" s="34" t="s">
        <v>8367</v>
      </c>
      <c r="C3043" s="34" t="s">
        <v>107</v>
      </c>
      <c r="E3043" s="30" t="s">
        <v>8368</v>
      </c>
      <c r="F3043" s="34" t="n">
        <f aca="false">IFERROR(VLOOKUP($A3043,'319'!$B:$H,7,0),0)</f>
        <v>0</v>
      </c>
      <c r="G3043" s="34" t="n">
        <f aca="false">SUMIFS('12.326ana'!$C:$C,'12.326ana'!$M:$M,redes!A3043)</f>
        <v>0</v>
      </c>
    </row>
    <row r="3044" customFormat="false" ht="14.4" hidden="true" customHeight="false" outlineLevel="0" collapsed="false">
      <c r="A3044" s="34" t="n">
        <v>50605518149</v>
      </c>
      <c r="B3044" s="34" t="s">
        <v>8369</v>
      </c>
      <c r="C3044" s="34" t="s">
        <v>103</v>
      </c>
      <c r="E3044" s="30" t="s">
        <v>8370</v>
      </c>
      <c r="F3044" s="34" t="n">
        <f aca="false">IFERROR(VLOOKUP($A3044,'319'!$B:$H,7,0),0)</f>
        <v>0</v>
      </c>
      <c r="G3044" s="34" t="n">
        <f aca="false">SUMIFS('12.326ana'!$C:$C,'12.326ana'!$M:$M,redes!A3044)</f>
        <v>0</v>
      </c>
    </row>
    <row r="3045" customFormat="false" ht="14.4" hidden="true" customHeight="false" outlineLevel="0" collapsed="false">
      <c r="A3045" s="34" t="n">
        <v>50616471149</v>
      </c>
      <c r="B3045" s="34" t="s">
        <v>8371</v>
      </c>
      <c r="C3045" s="34" t="s">
        <v>77</v>
      </c>
      <c r="E3045" s="30" t="s">
        <v>8372</v>
      </c>
      <c r="F3045" s="34" t="n">
        <f aca="false">IFERROR(VLOOKUP($A3045,'319'!$B:$H,7,0),0)</f>
        <v>0</v>
      </c>
      <c r="G3045" s="34" t="n">
        <f aca="false">SUMIFS('12.326ana'!$C:$C,'12.326ana'!$M:$M,redes!A3045)</f>
        <v>0</v>
      </c>
    </row>
    <row r="3046" customFormat="false" ht="14.4" hidden="true" customHeight="false" outlineLevel="0" collapsed="false">
      <c r="A3046" s="34" t="n">
        <v>50619411104</v>
      </c>
      <c r="B3046" s="34" t="s">
        <v>8373</v>
      </c>
      <c r="C3046" s="34" t="s">
        <v>103</v>
      </c>
      <c r="E3046" s="30" t="s">
        <v>8374</v>
      </c>
      <c r="F3046" s="34" t="n">
        <f aca="false">IFERROR(VLOOKUP($A3046,'319'!$B:$H,7,0),0)</f>
        <v>0</v>
      </c>
      <c r="G3046" s="34" t="n">
        <f aca="false">SUMIFS('12.326ana'!$C:$C,'12.326ana'!$M:$M,redes!A3046)</f>
        <v>0</v>
      </c>
    </row>
    <row r="3047" customFormat="false" ht="14.4" hidden="true" customHeight="false" outlineLevel="0" collapsed="false">
      <c r="A3047" s="34" t="n">
        <v>50643207104</v>
      </c>
      <c r="B3047" s="34" t="s">
        <v>8375</v>
      </c>
      <c r="C3047" s="34" t="s">
        <v>473</v>
      </c>
      <c r="E3047" s="30"/>
      <c r="F3047" s="34" t="n">
        <f aca="false">IFERROR(VLOOKUP($A3047,'319'!$B:$H,7,0),0)</f>
        <v>0</v>
      </c>
      <c r="G3047" s="34" t="n">
        <f aca="false">SUMIFS('12.326ana'!$C:$C,'12.326ana'!$M:$M,redes!A3047)</f>
        <v>0</v>
      </c>
    </row>
    <row r="3048" customFormat="false" ht="14.4" hidden="true" customHeight="false" outlineLevel="0" collapsed="false">
      <c r="A3048" s="34" t="n">
        <v>50644467134</v>
      </c>
      <c r="B3048" s="34" t="s">
        <v>8376</v>
      </c>
      <c r="C3048" s="34" t="s">
        <v>706</v>
      </c>
      <c r="E3048" s="30" t="s">
        <v>8377</v>
      </c>
      <c r="F3048" s="34" t="n">
        <f aca="false">IFERROR(VLOOKUP($A3048,'319'!$B:$H,7,0),0)</f>
        <v>0</v>
      </c>
      <c r="G3048" s="34" t="n">
        <f aca="false">SUMIFS('12.326ana'!$C:$C,'12.326ana'!$M:$M,redes!A3048)</f>
        <v>0</v>
      </c>
    </row>
    <row r="3049" customFormat="false" ht="14.4" hidden="true" customHeight="false" outlineLevel="0" collapsed="false">
      <c r="A3049" s="34" t="n">
        <v>50655817115</v>
      </c>
      <c r="B3049" s="34" t="s">
        <v>8378</v>
      </c>
      <c r="C3049" s="34" t="s">
        <v>77</v>
      </c>
      <c r="E3049" s="30" t="s">
        <v>8379</v>
      </c>
      <c r="F3049" s="34" t="n">
        <f aca="false">IFERROR(VLOOKUP($A3049,'319'!$B:$H,7,0),0)</f>
        <v>0</v>
      </c>
      <c r="G3049" s="34" t="n">
        <f aca="false">SUMIFS('12.326ana'!$C:$C,'12.326ana'!$M:$M,redes!A3049)</f>
        <v>0</v>
      </c>
    </row>
    <row r="3050" customFormat="false" ht="14.4" hidden="true" customHeight="false" outlineLevel="0" collapsed="false">
      <c r="A3050" s="34" t="n">
        <v>50655914153</v>
      </c>
      <c r="B3050" s="34" t="s">
        <v>8380</v>
      </c>
      <c r="C3050" s="34" t="s">
        <v>77</v>
      </c>
      <c r="E3050" s="30"/>
      <c r="F3050" s="34" t="n">
        <f aca="false">IFERROR(VLOOKUP($A3050,'319'!$B:$H,7,0),0)</f>
        <v>0</v>
      </c>
      <c r="G3050" s="34" t="n">
        <f aca="false">SUMIFS('12.326ana'!$C:$C,'12.326ana'!$M:$M,redes!A3050)</f>
        <v>0</v>
      </c>
    </row>
    <row r="3051" customFormat="false" ht="14.4" hidden="true" customHeight="false" outlineLevel="0" collapsed="false">
      <c r="A3051" s="34" t="n">
        <v>50666037191</v>
      </c>
      <c r="B3051" s="34" t="s">
        <v>8381</v>
      </c>
      <c r="C3051" s="34" t="s">
        <v>139</v>
      </c>
      <c r="E3051" s="30" t="s">
        <v>8382</v>
      </c>
      <c r="F3051" s="34" t="n">
        <f aca="false">IFERROR(VLOOKUP($A3051,'319'!$B:$H,7,0),0)</f>
        <v>0</v>
      </c>
      <c r="G3051" s="34" t="n">
        <f aca="false">SUMIFS('12.326ana'!$C:$C,'12.326ana'!$M:$M,redes!A3051)</f>
        <v>0</v>
      </c>
    </row>
    <row r="3052" customFormat="false" ht="14.4" hidden="true" customHeight="false" outlineLevel="0" collapsed="false">
      <c r="A3052" s="34" t="n">
        <v>50677837100</v>
      </c>
      <c r="B3052" s="34" t="s">
        <v>8383</v>
      </c>
      <c r="C3052" s="34" t="s">
        <v>139</v>
      </c>
      <c r="E3052" s="30" t="s">
        <v>4604</v>
      </c>
      <c r="F3052" s="34" t="n">
        <f aca="false">IFERROR(VLOOKUP($A3052,'319'!$B:$H,7,0),0)</f>
        <v>0</v>
      </c>
      <c r="G3052" s="34" t="n">
        <f aca="false">SUMIFS('12.326ana'!$C:$C,'12.326ana'!$M:$M,redes!A3052)</f>
        <v>0</v>
      </c>
    </row>
    <row r="3053" customFormat="false" ht="14.4" hidden="true" customHeight="false" outlineLevel="0" collapsed="false">
      <c r="A3053" s="34" t="n">
        <v>50683896172</v>
      </c>
      <c r="B3053" s="34" t="s">
        <v>8384</v>
      </c>
      <c r="C3053" s="34" t="s">
        <v>77</v>
      </c>
      <c r="E3053" s="30" t="s">
        <v>5266</v>
      </c>
      <c r="F3053" s="34" t="n">
        <f aca="false">IFERROR(VLOOKUP($A3053,'319'!$B:$H,7,0),0)</f>
        <v>0</v>
      </c>
      <c r="G3053" s="34" t="n">
        <f aca="false">SUMIFS('12.326ana'!$C:$C,'12.326ana'!$M:$M,redes!A3053)</f>
        <v>0</v>
      </c>
    </row>
    <row r="3054" customFormat="false" ht="14.4" hidden="true" customHeight="false" outlineLevel="0" collapsed="false">
      <c r="A3054" s="34" t="n">
        <v>50685597172</v>
      </c>
      <c r="B3054" s="34" t="s">
        <v>8385</v>
      </c>
      <c r="C3054" s="34" t="s">
        <v>139</v>
      </c>
      <c r="E3054" s="30" t="s">
        <v>8386</v>
      </c>
      <c r="F3054" s="34" t="n">
        <f aca="false">IFERROR(VLOOKUP($A3054,'319'!$B:$H,7,0),0)</f>
        <v>0</v>
      </c>
      <c r="G3054" s="34" t="n">
        <f aca="false">SUMIFS('12.326ana'!$C:$C,'12.326ana'!$M:$M,redes!A3054)</f>
        <v>0</v>
      </c>
    </row>
    <row r="3055" customFormat="false" ht="14.4" hidden="true" customHeight="false" outlineLevel="0" collapsed="false">
      <c r="A3055" s="34" t="n">
        <v>50782649904</v>
      </c>
      <c r="B3055" s="34" t="s">
        <v>8387</v>
      </c>
      <c r="C3055" s="34" t="s">
        <v>713</v>
      </c>
      <c r="E3055" s="30" t="s">
        <v>8388</v>
      </c>
      <c r="F3055" s="34" t="n">
        <f aca="false">IFERROR(VLOOKUP($A3055,'319'!$B:$H,7,0),0)</f>
        <v>0</v>
      </c>
      <c r="G3055" s="34" t="n">
        <f aca="false">SUMIFS('12.326ana'!$C:$C,'12.326ana'!$M:$M,redes!A3055)</f>
        <v>0</v>
      </c>
    </row>
    <row r="3056" customFormat="false" ht="14.4" hidden="true" customHeight="false" outlineLevel="0" collapsed="false">
      <c r="A3056" s="34" t="n">
        <v>50824570049</v>
      </c>
      <c r="B3056" s="34" t="s">
        <v>8389</v>
      </c>
      <c r="C3056" s="34" t="s">
        <v>77</v>
      </c>
      <c r="E3056" s="30"/>
      <c r="F3056" s="34" t="n">
        <f aca="false">IFERROR(VLOOKUP($A3056,'319'!$B:$H,7,0),0)</f>
        <v>0</v>
      </c>
      <c r="G3056" s="34" t="n">
        <f aca="false">SUMIFS('12.326ana'!$C:$C,'12.326ana'!$M:$M,redes!A3056)</f>
        <v>0</v>
      </c>
    </row>
    <row r="3057" customFormat="false" ht="14.4" hidden="true" customHeight="false" outlineLevel="0" collapsed="false">
      <c r="A3057" s="34" t="n">
        <v>50902695800</v>
      </c>
      <c r="B3057" s="34" t="s">
        <v>8390</v>
      </c>
      <c r="C3057" s="34" t="s">
        <v>77</v>
      </c>
      <c r="E3057" s="30" t="s">
        <v>3150</v>
      </c>
      <c r="F3057" s="34" t="n">
        <f aca="false">IFERROR(VLOOKUP($A3057,'319'!$B:$H,7,0),0)</f>
        <v>0</v>
      </c>
      <c r="G3057" s="34" t="n">
        <f aca="false">SUMIFS('12.326ana'!$C:$C,'12.326ana'!$M:$M,redes!A3057)</f>
        <v>0</v>
      </c>
    </row>
    <row r="3058" customFormat="false" ht="14.4" hidden="true" customHeight="false" outlineLevel="0" collapsed="false">
      <c r="A3058" s="34" t="n">
        <v>51019440153</v>
      </c>
      <c r="B3058" s="34" t="s">
        <v>8391</v>
      </c>
      <c r="C3058" s="34" t="s">
        <v>103</v>
      </c>
      <c r="E3058" s="30" t="s">
        <v>5091</v>
      </c>
      <c r="F3058" s="34" t="n">
        <f aca="false">IFERROR(VLOOKUP($A3058,'319'!$B:$H,7,0),0)</f>
        <v>0</v>
      </c>
      <c r="G3058" s="34" t="n">
        <f aca="false">SUMIFS('12.326ana'!$C:$C,'12.326ana'!$M:$M,redes!A3058)</f>
        <v>0</v>
      </c>
    </row>
    <row r="3059" customFormat="false" ht="14.4" hidden="true" customHeight="false" outlineLevel="0" collapsed="false">
      <c r="A3059" s="34" t="n">
        <v>51056615400</v>
      </c>
      <c r="B3059" s="34" t="s">
        <v>8392</v>
      </c>
      <c r="C3059" s="34" t="s">
        <v>77</v>
      </c>
      <c r="E3059" s="30" t="s">
        <v>4154</v>
      </c>
      <c r="F3059" s="34" t="n">
        <f aca="false">IFERROR(VLOOKUP($A3059,'319'!$B:$H,7,0),0)</f>
        <v>0</v>
      </c>
      <c r="G3059" s="34" t="n">
        <f aca="false">SUMIFS('12.326ana'!$C:$C,'12.326ana'!$M:$M,redes!A3059)</f>
        <v>0</v>
      </c>
    </row>
    <row r="3060" customFormat="false" ht="14.4" hidden="true" customHeight="false" outlineLevel="0" collapsed="false">
      <c r="A3060" s="34" t="n">
        <v>51068095849</v>
      </c>
      <c r="B3060" s="34" t="s">
        <v>8393</v>
      </c>
      <c r="C3060" s="34" t="s">
        <v>77</v>
      </c>
      <c r="E3060" s="30" t="s">
        <v>8394</v>
      </c>
      <c r="F3060" s="34" t="n">
        <f aca="false">IFERROR(VLOOKUP($A3060,'319'!$B:$H,7,0),0)</f>
        <v>0</v>
      </c>
      <c r="G3060" s="34" t="n">
        <f aca="false">SUMIFS('12.326ana'!$C:$C,'12.326ana'!$M:$M,redes!A3060)</f>
        <v>0</v>
      </c>
    </row>
    <row r="3061" customFormat="false" ht="14.4" hidden="true" customHeight="false" outlineLevel="0" collapsed="false">
      <c r="A3061" s="34" t="n">
        <v>51106310187</v>
      </c>
      <c r="B3061" s="34" t="s">
        <v>8395</v>
      </c>
      <c r="C3061" s="34" t="s">
        <v>192</v>
      </c>
      <c r="E3061" s="30" t="s">
        <v>8396</v>
      </c>
      <c r="F3061" s="34" t="n">
        <f aca="false">IFERROR(VLOOKUP($A3061,'319'!$B:$H,7,0),0)</f>
        <v>0</v>
      </c>
      <c r="G3061" s="34" t="n">
        <f aca="false">SUMIFS('12.326ana'!$C:$C,'12.326ana'!$M:$M,redes!A3061)</f>
        <v>0</v>
      </c>
    </row>
    <row r="3062" customFormat="false" ht="14.4" hidden="true" customHeight="false" outlineLevel="0" collapsed="false">
      <c r="A3062" s="34" t="n">
        <v>51106841115</v>
      </c>
      <c r="B3062" s="34" t="s">
        <v>8397</v>
      </c>
      <c r="C3062" s="34" t="s">
        <v>77</v>
      </c>
      <c r="E3062" s="30" t="s">
        <v>8398</v>
      </c>
      <c r="F3062" s="34" t="n">
        <f aca="false">IFERROR(VLOOKUP($A3062,'319'!$B:$H,7,0),0)</f>
        <v>0</v>
      </c>
      <c r="G3062" s="34" t="n">
        <f aca="false">SUMIFS('12.326ana'!$C:$C,'12.326ana'!$M:$M,redes!A3062)</f>
        <v>0</v>
      </c>
    </row>
    <row r="3063" customFormat="false" ht="14.4" hidden="true" customHeight="false" outlineLevel="0" collapsed="false">
      <c r="A3063" s="34" t="n">
        <v>51109263287</v>
      </c>
      <c r="B3063" s="34" t="s">
        <v>8399</v>
      </c>
      <c r="C3063" s="34" t="s">
        <v>77</v>
      </c>
      <c r="E3063" s="30" t="s">
        <v>8400</v>
      </c>
      <c r="F3063" s="34" t="n">
        <f aca="false">IFERROR(VLOOKUP($A3063,'319'!$B:$H,7,0),0)</f>
        <v>0</v>
      </c>
      <c r="G3063" s="34" t="n">
        <f aca="false">SUMIFS('12.326ana'!$C:$C,'12.326ana'!$M:$M,redes!A3063)</f>
        <v>0</v>
      </c>
    </row>
    <row r="3064" customFormat="false" ht="14.4" hidden="true" customHeight="false" outlineLevel="0" collapsed="false">
      <c r="A3064" s="34" t="n">
        <v>51109352115</v>
      </c>
      <c r="B3064" s="34" t="s">
        <v>8401</v>
      </c>
      <c r="C3064" s="34" t="s">
        <v>89</v>
      </c>
      <c r="E3064" s="30" t="s">
        <v>8402</v>
      </c>
      <c r="F3064" s="34" t="n">
        <f aca="false">IFERROR(VLOOKUP($A3064,'319'!$B:$H,7,0),0)</f>
        <v>0</v>
      </c>
      <c r="G3064" s="34" t="n">
        <f aca="false">SUMIFS('12.326ana'!$C:$C,'12.326ana'!$M:$M,redes!A3064)</f>
        <v>0</v>
      </c>
    </row>
    <row r="3065" customFormat="false" ht="14.4" hidden="true" customHeight="false" outlineLevel="0" collapsed="false">
      <c r="A3065" s="34" t="n">
        <v>51112213104</v>
      </c>
      <c r="B3065" s="34" t="s">
        <v>8403</v>
      </c>
      <c r="C3065" s="34" t="s">
        <v>89</v>
      </c>
      <c r="E3065" s="30" t="s">
        <v>7674</v>
      </c>
      <c r="F3065" s="34" t="n">
        <f aca="false">IFERROR(VLOOKUP($A3065,'319'!$B:$H,7,0),0)</f>
        <v>0</v>
      </c>
      <c r="G3065" s="34" t="n">
        <f aca="false">SUMIFS('12.326ana'!$C:$C,'12.326ana'!$M:$M,redes!A3065)</f>
        <v>0</v>
      </c>
    </row>
    <row r="3066" customFormat="false" ht="14.4" hidden="true" customHeight="false" outlineLevel="0" collapsed="false">
      <c r="A3066" s="34" t="n">
        <v>51115506153</v>
      </c>
      <c r="B3066" s="34" t="s">
        <v>8404</v>
      </c>
      <c r="C3066" s="34" t="s">
        <v>77</v>
      </c>
      <c r="E3066" s="30" t="s">
        <v>3666</v>
      </c>
      <c r="F3066" s="34" t="n">
        <f aca="false">IFERROR(VLOOKUP($A3066,'319'!$B:$H,7,0),0)</f>
        <v>0</v>
      </c>
      <c r="G3066" s="34" t="n">
        <f aca="false">SUMIFS('12.326ana'!$C:$C,'12.326ana'!$M:$M,redes!A3066)</f>
        <v>0</v>
      </c>
    </row>
    <row r="3067" customFormat="false" ht="14.4" hidden="true" customHeight="false" outlineLevel="0" collapsed="false">
      <c r="A3067" s="34" t="n">
        <v>51115808168</v>
      </c>
      <c r="B3067" s="34" t="s">
        <v>8405</v>
      </c>
      <c r="C3067" s="34" t="s">
        <v>77</v>
      </c>
      <c r="E3067" s="30" t="s">
        <v>8406</v>
      </c>
      <c r="F3067" s="34" t="n">
        <f aca="false">IFERROR(VLOOKUP($A3067,'319'!$B:$H,7,0),0)</f>
        <v>0</v>
      </c>
      <c r="G3067" s="34" t="n">
        <f aca="false">SUMIFS('12.326ana'!$C:$C,'12.326ana'!$M:$M,redes!A3067)</f>
        <v>0</v>
      </c>
    </row>
    <row r="3068" customFormat="false" ht="14.4" hidden="true" customHeight="false" outlineLevel="0" collapsed="false">
      <c r="A3068" s="34" t="n">
        <v>51117185168</v>
      </c>
      <c r="B3068" s="34" t="s">
        <v>8407</v>
      </c>
      <c r="C3068" s="34" t="s">
        <v>77</v>
      </c>
      <c r="E3068" s="30" t="s">
        <v>8408</v>
      </c>
      <c r="F3068" s="34" t="n">
        <f aca="false">IFERROR(VLOOKUP($A3068,'319'!$B:$H,7,0),0)</f>
        <v>0</v>
      </c>
      <c r="G3068" s="34" t="n">
        <f aca="false">SUMIFS('12.326ana'!$C:$C,'12.326ana'!$M:$M,redes!A3068)</f>
        <v>0</v>
      </c>
    </row>
    <row r="3069" customFormat="false" ht="14.4" hidden="true" customHeight="false" outlineLevel="0" collapsed="false">
      <c r="A3069" s="34" t="n">
        <v>51123690197</v>
      </c>
      <c r="B3069" s="34" t="s">
        <v>8409</v>
      </c>
      <c r="C3069" s="34" t="s">
        <v>77</v>
      </c>
      <c r="E3069" s="30" t="s">
        <v>6448</v>
      </c>
      <c r="F3069" s="34" t="n">
        <f aca="false">IFERROR(VLOOKUP($A3069,'319'!$B:$H,7,0),0)</f>
        <v>0</v>
      </c>
      <c r="G3069" s="34" t="n">
        <f aca="false">SUMIFS('12.326ana'!$C:$C,'12.326ana'!$M:$M,redes!A3069)</f>
        <v>0</v>
      </c>
    </row>
    <row r="3070" customFormat="false" ht="14.4" hidden="true" customHeight="false" outlineLevel="0" collapsed="false">
      <c r="A3070" s="34" t="n">
        <v>51131196104</v>
      </c>
      <c r="B3070" s="34" t="s">
        <v>8410</v>
      </c>
      <c r="C3070" s="34" t="s">
        <v>77</v>
      </c>
      <c r="E3070" s="30" t="s">
        <v>8411</v>
      </c>
      <c r="F3070" s="34" t="n">
        <f aca="false">IFERROR(VLOOKUP($A3070,'319'!$B:$H,7,0),0)</f>
        <v>0</v>
      </c>
      <c r="G3070" s="34" t="n">
        <f aca="false">SUMIFS('12.326ana'!$C:$C,'12.326ana'!$M:$M,redes!A3070)</f>
        <v>0</v>
      </c>
    </row>
    <row r="3071" customFormat="false" ht="14.4" hidden="true" customHeight="false" outlineLevel="0" collapsed="false">
      <c r="A3071" s="34" t="n">
        <v>51147980144</v>
      </c>
      <c r="B3071" s="34" t="s">
        <v>8412</v>
      </c>
      <c r="C3071" s="34" t="s">
        <v>631</v>
      </c>
      <c r="E3071" s="30" t="s">
        <v>8413</v>
      </c>
      <c r="F3071" s="34" t="n">
        <f aca="false">IFERROR(VLOOKUP($A3071,'319'!$B:$H,7,0),0)</f>
        <v>0</v>
      </c>
      <c r="G3071" s="34" t="n">
        <f aca="false">SUMIFS('12.326ana'!$C:$C,'12.326ana'!$M:$M,redes!A3071)</f>
        <v>0</v>
      </c>
    </row>
    <row r="3072" customFormat="false" ht="14.4" hidden="true" customHeight="false" outlineLevel="0" collapsed="false">
      <c r="A3072" s="34" t="n">
        <v>51152304100</v>
      </c>
      <c r="B3072" s="34" t="s">
        <v>8414</v>
      </c>
      <c r="C3072" s="34" t="s">
        <v>154</v>
      </c>
      <c r="E3072" s="30" t="s">
        <v>8415</v>
      </c>
      <c r="F3072" s="34" t="n">
        <f aca="false">IFERROR(VLOOKUP($A3072,'319'!$B:$H,7,0),0)</f>
        <v>0</v>
      </c>
      <c r="G3072" s="34" t="n">
        <f aca="false">SUMIFS('12.326ana'!$C:$C,'12.326ana'!$M:$M,redes!A3072)</f>
        <v>0</v>
      </c>
    </row>
    <row r="3073" customFormat="false" ht="14.4" hidden="true" customHeight="false" outlineLevel="0" collapsed="false">
      <c r="A3073" s="34" t="n">
        <v>51172127115</v>
      </c>
      <c r="B3073" s="34" t="s">
        <v>8416</v>
      </c>
      <c r="C3073" s="34" t="s">
        <v>77</v>
      </c>
      <c r="E3073" s="30"/>
      <c r="F3073" s="34" t="n">
        <f aca="false">IFERROR(VLOOKUP($A3073,'319'!$B:$H,7,0),0)</f>
        <v>0</v>
      </c>
      <c r="G3073" s="34" t="n">
        <f aca="false">SUMIFS('12.326ana'!$C:$C,'12.326ana'!$M:$M,redes!A3073)</f>
        <v>0</v>
      </c>
    </row>
    <row r="3074" customFormat="false" ht="14.4" hidden="true" customHeight="false" outlineLevel="0" collapsed="false">
      <c r="A3074" s="34" t="n">
        <v>51178257134</v>
      </c>
      <c r="B3074" s="34" t="s">
        <v>8417</v>
      </c>
      <c r="C3074" s="34" t="s">
        <v>77</v>
      </c>
      <c r="E3074" s="30" t="s">
        <v>8418</v>
      </c>
      <c r="F3074" s="34" t="n">
        <f aca="false">IFERROR(VLOOKUP($A3074,'319'!$B:$H,7,0),0)</f>
        <v>0</v>
      </c>
      <c r="G3074" s="34" t="n">
        <f aca="false">SUMIFS('12.326ana'!$C:$C,'12.326ana'!$M:$M,redes!A3074)</f>
        <v>0</v>
      </c>
    </row>
    <row r="3075" customFormat="false" ht="14.4" hidden="true" customHeight="false" outlineLevel="0" collapsed="false">
      <c r="A3075" s="34" t="n">
        <v>51180090144</v>
      </c>
      <c r="B3075" s="34" t="s">
        <v>8419</v>
      </c>
      <c r="C3075" s="34" t="s">
        <v>117</v>
      </c>
      <c r="E3075" s="30" t="s">
        <v>8420</v>
      </c>
      <c r="F3075" s="34" t="n">
        <f aca="false">IFERROR(VLOOKUP($A3075,'319'!$B:$H,7,0),0)</f>
        <v>0</v>
      </c>
      <c r="G3075" s="34" t="n">
        <f aca="false">SUMIFS('12.326ana'!$C:$C,'12.326ana'!$M:$M,redes!A3075)</f>
        <v>0</v>
      </c>
    </row>
    <row r="3076" customFormat="false" ht="14.4" hidden="true" customHeight="false" outlineLevel="0" collapsed="false">
      <c r="A3076" s="34" t="n">
        <v>51183269153</v>
      </c>
      <c r="B3076" s="34" t="s">
        <v>8421</v>
      </c>
      <c r="C3076" s="34" t="s">
        <v>77</v>
      </c>
      <c r="E3076" s="30" t="s">
        <v>8422</v>
      </c>
      <c r="F3076" s="34" t="n">
        <f aca="false">IFERROR(VLOOKUP($A3076,'319'!$B:$H,7,0),0)</f>
        <v>0</v>
      </c>
      <c r="G3076" s="34" t="n">
        <f aca="false">SUMIFS('12.326ana'!$C:$C,'12.326ana'!$M:$M,redes!A3076)</f>
        <v>0</v>
      </c>
    </row>
    <row r="3077" customFormat="false" ht="14.4" hidden="true" customHeight="false" outlineLevel="0" collapsed="false">
      <c r="A3077" s="34" t="n">
        <v>51184893187</v>
      </c>
      <c r="B3077" s="34" t="s">
        <v>8423</v>
      </c>
      <c r="C3077" s="34" t="s">
        <v>77</v>
      </c>
      <c r="E3077" s="30" t="s">
        <v>8424</v>
      </c>
      <c r="F3077" s="34" t="n">
        <f aca="false">IFERROR(VLOOKUP($A3077,'319'!$B:$H,7,0),0)</f>
        <v>0</v>
      </c>
      <c r="G3077" s="34" t="n">
        <f aca="false">SUMIFS('12.326ana'!$C:$C,'12.326ana'!$M:$M,redes!A3077)</f>
        <v>0</v>
      </c>
    </row>
    <row r="3078" customFormat="false" ht="14.4" hidden="true" customHeight="false" outlineLevel="0" collapsed="false">
      <c r="A3078" s="34" t="n">
        <v>51186373172</v>
      </c>
      <c r="B3078" s="34" t="s">
        <v>8425</v>
      </c>
      <c r="C3078" s="34" t="s">
        <v>77</v>
      </c>
      <c r="E3078" s="30" t="s">
        <v>8426</v>
      </c>
      <c r="F3078" s="34" t="n">
        <f aca="false">IFERROR(VLOOKUP($A3078,'319'!$B:$H,7,0),0)</f>
        <v>0</v>
      </c>
      <c r="G3078" s="34" t="n">
        <f aca="false">SUMIFS('12.326ana'!$C:$C,'12.326ana'!$M:$M,redes!A3078)</f>
        <v>0</v>
      </c>
    </row>
    <row r="3079" customFormat="false" ht="14.4" hidden="true" customHeight="false" outlineLevel="0" collapsed="false">
      <c r="A3079" s="34" t="n">
        <v>51188228153</v>
      </c>
      <c r="B3079" s="34" t="s">
        <v>8427</v>
      </c>
      <c r="C3079" s="34" t="s">
        <v>357</v>
      </c>
      <c r="E3079" s="30" t="s">
        <v>8428</v>
      </c>
      <c r="F3079" s="34" t="n">
        <f aca="false">IFERROR(VLOOKUP($A3079,'319'!$B:$H,7,0),0)</f>
        <v>0</v>
      </c>
      <c r="G3079" s="34" t="n">
        <f aca="false">SUMIFS('12.326ana'!$C:$C,'12.326ana'!$M:$M,redes!A3079)</f>
        <v>0</v>
      </c>
    </row>
    <row r="3080" customFormat="false" ht="14.4" hidden="true" customHeight="false" outlineLevel="0" collapsed="false">
      <c r="A3080" s="34" t="n">
        <v>51188902172</v>
      </c>
      <c r="B3080" s="34" t="s">
        <v>8429</v>
      </c>
      <c r="C3080" s="34" t="s">
        <v>77</v>
      </c>
      <c r="E3080" s="30" t="s">
        <v>8430</v>
      </c>
      <c r="F3080" s="34" t="n">
        <f aca="false">IFERROR(VLOOKUP($A3080,'319'!$B:$H,7,0),0)</f>
        <v>0</v>
      </c>
      <c r="G3080" s="34" t="n">
        <f aca="false">SUMIFS('12.326ana'!$C:$C,'12.326ana'!$M:$M,redes!A3080)</f>
        <v>0</v>
      </c>
    </row>
    <row r="3081" customFormat="false" ht="14.4" hidden="true" customHeight="false" outlineLevel="0" collapsed="false">
      <c r="A3081" s="34" t="n">
        <v>51193078172</v>
      </c>
      <c r="B3081" s="34" t="s">
        <v>8431</v>
      </c>
      <c r="C3081" s="34" t="s">
        <v>77</v>
      </c>
      <c r="E3081" s="30" t="s">
        <v>4565</v>
      </c>
      <c r="F3081" s="34" t="n">
        <f aca="false">IFERROR(VLOOKUP($A3081,'319'!$B:$H,7,0),0)</f>
        <v>0</v>
      </c>
      <c r="G3081" s="34" t="n">
        <f aca="false">SUMIFS('12.326ana'!$C:$C,'12.326ana'!$M:$M,redes!A3081)</f>
        <v>0</v>
      </c>
    </row>
    <row r="3082" customFormat="false" ht="14.4" hidden="true" customHeight="false" outlineLevel="0" collapsed="false">
      <c r="A3082" s="34" t="n">
        <v>51193159172</v>
      </c>
      <c r="B3082" s="34" t="s">
        <v>8432</v>
      </c>
      <c r="C3082" s="34" t="s">
        <v>77</v>
      </c>
      <c r="E3082" s="30" t="s">
        <v>8433</v>
      </c>
      <c r="F3082" s="34" t="n">
        <f aca="false">IFERROR(VLOOKUP($A3082,'319'!$B:$H,7,0),0)</f>
        <v>0</v>
      </c>
      <c r="G3082" s="34" t="n">
        <f aca="false">SUMIFS('12.326ana'!$C:$C,'12.326ana'!$M:$M,redes!A3082)</f>
        <v>0</v>
      </c>
    </row>
    <row r="3083" customFormat="false" ht="14.4" hidden="true" customHeight="false" outlineLevel="0" collapsed="false">
      <c r="A3083" s="34" t="n">
        <v>51291126953</v>
      </c>
      <c r="B3083" s="34" t="s">
        <v>8434</v>
      </c>
      <c r="C3083" s="34" t="s">
        <v>77</v>
      </c>
      <c r="E3083" s="30" t="s">
        <v>8435</v>
      </c>
      <c r="F3083" s="34" t="n">
        <f aca="false">IFERROR(VLOOKUP($A3083,'319'!$B:$H,7,0),0)</f>
        <v>0</v>
      </c>
      <c r="G3083" s="34" t="n">
        <f aca="false">SUMIFS('12.326ana'!$C:$C,'12.326ana'!$M:$M,redes!A3083)</f>
        <v>0</v>
      </c>
    </row>
    <row r="3084" customFormat="false" ht="14.4" hidden="true" customHeight="false" outlineLevel="0" collapsed="false">
      <c r="A3084" s="34" t="n">
        <v>51356767168</v>
      </c>
      <c r="B3084" s="34" t="s">
        <v>8436</v>
      </c>
      <c r="C3084" s="34" t="s">
        <v>77</v>
      </c>
      <c r="E3084" s="30" t="s">
        <v>8437</v>
      </c>
      <c r="F3084" s="34" t="n">
        <f aca="false">IFERROR(VLOOKUP($A3084,'319'!$B:$H,7,0),0)</f>
        <v>0</v>
      </c>
      <c r="G3084" s="34" t="n">
        <f aca="false">SUMIFS('12.326ana'!$C:$C,'12.326ana'!$M:$M,redes!A3084)</f>
        <v>0</v>
      </c>
    </row>
    <row r="3085" customFormat="false" ht="14.4" hidden="true" customHeight="false" outlineLevel="0" collapsed="false">
      <c r="A3085" s="34" t="n">
        <v>51378485815</v>
      </c>
      <c r="B3085" s="34" t="s">
        <v>8438</v>
      </c>
      <c r="C3085" s="34" t="s">
        <v>77</v>
      </c>
      <c r="E3085" s="30" t="s">
        <v>5387</v>
      </c>
      <c r="F3085" s="34" t="n">
        <f aca="false">IFERROR(VLOOKUP($A3085,'319'!$B:$H,7,0),0)</f>
        <v>0</v>
      </c>
      <c r="G3085" s="34" t="n">
        <f aca="false">SUMIFS('12.326ana'!$C:$C,'12.326ana'!$M:$M,redes!A3085)</f>
        <v>0</v>
      </c>
    </row>
    <row r="3086" customFormat="false" ht="14.4" hidden="true" customHeight="false" outlineLevel="0" collapsed="false">
      <c r="A3086" s="34" t="n">
        <v>51379635500</v>
      </c>
      <c r="B3086" s="34" t="s">
        <v>8439</v>
      </c>
      <c r="C3086" s="34" t="s">
        <v>598</v>
      </c>
      <c r="E3086" s="30" t="s">
        <v>8440</v>
      </c>
      <c r="F3086" s="34" t="n">
        <f aca="false">IFERROR(VLOOKUP($A3086,'319'!$B:$H,7,0),0)</f>
        <v>0</v>
      </c>
      <c r="G3086" s="34" t="n">
        <f aca="false">SUMIFS('12.326ana'!$C:$C,'12.326ana'!$M:$M,redes!A3086)</f>
        <v>0</v>
      </c>
    </row>
    <row r="3087" customFormat="false" ht="14.4" hidden="true" customHeight="false" outlineLevel="0" collapsed="false">
      <c r="A3087" s="34" t="n">
        <v>51441420797</v>
      </c>
      <c r="B3087" s="34" t="s">
        <v>8441</v>
      </c>
      <c r="C3087" s="34" t="s">
        <v>562</v>
      </c>
      <c r="E3087" s="30" t="s">
        <v>4825</v>
      </c>
      <c r="F3087" s="34" t="n">
        <f aca="false">IFERROR(VLOOKUP($A3087,'319'!$B:$H,7,0),0)</f>
        <v>0</v>
      </c>
      <c r="G3087" s="34" t="n">
        <f aca="false">SUMIFS('12.326ana'!$C:$C,'12.326ana'!$M:$M,redes!A3087)</f>
        <v>0</v>
      </c>
    </row>
    <row r="3088" customFormat="false" ht="14.4" hidden="true" customHeight="false" outlineLevel="0" collapsed="false">
      <c r="A3088" s="34" t="n">
        <v>51620359472</v>
      </c>
      <c r="B3088" s="34" t="s">
        <v>8442</v>
      </c>
      <c r="C3088" s="34" t="s">
        <v>77</v>
      </c>
      <c r="E3088" s="30" t="s">
        <v>8443</v>
      </c>
      <c r="F3088" s="34" t="n">
        <f aca="false">IFERROR(VLOOKUP($A3088,'319'!$B:$H,7,0),0)</f>
        <v>0</v>
      </c>
      <c r="G3088" s="34" t="n">
        <f aca="false">SUMIFS('12.326ana'!$C:$C,'12.326ana'!$M:$M,redes!A3088)</f>
        <v>0</v>
      </c>
    </row>
    <row r="3089" customFormat="false" ht="14.4" hidden="true" customHeight="false" outlineLevel="0" collapsed="false">
      <c r="A3089" s="34" t="n">
        <v>51681418172</v>
      </c>
      <c r="B3089" s="34" t="s">
        <v>8444</v>
      </c>
      <c r="C3089" s="34" t="s">
        <v>77</v>
      </c>
      <c r="E3089" s="30" t="s">
        <v>8445</v>
      </c>
      <c r="F3089" s="34" t="n">
        <f aca="false">IFERROR(VLOOKUP($A3089,'319'!$B:$H,7,0),0)</f>
        <v>0</v>
      </c>
      <c r="G3089" s="34" t="n">
        <f aca="false">SUMIFS('12.326ana'!$C:$C,'12.326ana'!$M:$M,redes!A3089)</f>
        <v>0</v>
      </c>
    </row>
    <row r="3090" customFormat="false" ht="14.4" hidden="true" customHeight="false" outlineLevel="0" collapsed="false">
      <c r="A3090" s="34" t="n">
        <v>51781565953</v>
      </c>
      <c r="B3090" s="34" t="s">
        <v>8446</v>
      </c>
      <c r="C3090" s="34" t="s">
        <v>309</v>
      </c>
      <c r="E3090" s="30" t="s">
        <v>8447</v>
      </c>
      <c r="F3090" s="34" t="n">
        <f aca="false">IFERROR(VLOOKUP($A3090,'319'!$B:$H,7,0),0)</f>
        <v>0</v>
      </c>
      <c r="G3090" s="34" t="n">
        <f aca="false">SUMIFS('12.326ana'!$C:$C,'12.326ana'!$M:$M,redes!A3090)</f>
        <v>0</v>
      </c>
    </row>
    <row r="3091" customFormat="false" ht="14.4" hidden="true" customHeight="false" outlineLevel="0" collapsed="false">
      <c r="A3091" s="34" t="n">
        <v>51816121134</v>
      </c>
      <c r="B3091" s="34" t="s">
        <v>8448</v>
      </c>
      <c r="C3091" s="34" t="s">
        <v>357</v>
      </c>
      <c r="E3091" s="30" t="s">
        <v>8449</v>
      </c>
      <c r="F3091" s="34" t="n">
        <f aca="false">IFERROR(VLOOKUP($A3091,'319'!$B:$H,7,0),0)</f>
        <v>0</v>
      </c>
      <c r="G3091" s="34" t="n">
        <f aca="false">SUMIFS('12.326ana'!$C:$C,'12.326ana'!$M:$M,redes!A3091)</f>
        <v>0</v>
      </c>
    </row>
    <row r="3092" customFormat="false" ht="14.4" hidden="true" customHeight="false" outlineLevel="0" collapsed="false">
      <c r="A3092" s="34" t="n">
        <v>51826674187</v>
      </c>
      <c r="B3092" s="34" t="s">
        <v>8450</v>
      </c>
      <c r="C3092" s="34" t="s">
        <v>77</v>
      </c>
      <c r="E3092" s="30" t="s">
        <v>8451</v>
      </c>
      <c r="F3092" s="34" t="n">
        <f aca="false">IFERROR(VLOOKUP($A3092,'319'!$B:$H,7,0),0)</f>
        <v>0</v>
      </c>
      <c r="G3092" s="34" t="n">
        <f aca="false">SUMIFS('12.326ana'!$C:$C,'12.326ana'!$M:$M,redes!A3092)</f>
        <v>0</v>
      </c>
    </row>
    <row r="3093" customFormat="false" ht="14.4" hidden="true" customHeight="false" outlineLevel="0" collapsed="false">
      <c r="A3093" s="34" t="n">
        <v>51829339168</v>
      </c>
      <c r="B3093" s="34" t="s">
        <v>8452</v>
      </c>
      <c r="C3093" s="34" t="s">
        <v>107</v>
      </c>
      <c r="E3093" s="30" t="s">
        <v>8453</v>
      </c>
      <c r="F3093" s="34" t="n">
        <f aca="false">IFERROR(VLOOKUP($A3093,'319'!$B:$H,7,0),0)</f>
        <v>0</v>
      </c>
      <c r="G3093" s="34" t="n">
        <f aca="false">SUMIFS('12.326ana'!$C:$C,'12.326ana'!$M:$M,redes!A3093)</f>
        <v>0</v>
      </c>
    </row>
    <row r="3094" customFormat="false" ht="14.4" hidden="true" customHeight="false" outlineLevel="0" collapsed="false">
      <c r="A3094" s="34" t="n">
        <v>51833700104</v>
      </c>
      <c r="B3094" s="34" t="s">
        <v>8454</v>
      </c>
      <c r="C3094" s="34" t="s">
        <v>107</v>
      </c>
      <c r="E3094" s="30" t="s">
        <v>8455</v>
      </c>
      <c r="F3094" s="34" t="n">
        <f aca="false">IFERROR(VLOOKUP($A3094,'319'!$B:$H,7,0),0)</f>
        <v>0</v>
      </c>
      <c r="G3094" s="34" t="n">
        <f aca="false">SUMIFS('12.326ana'!$C:$C,'12.326ana'!$M:$M,redes!A3094)</f>
        <v>0</v>
      </c>
    </row>
    <row r="3095" customFormat="false" ht="14.4" hidden="true" customHeight="false" outlineLevel="0" collapsed="false">
      <c r="A3095" s="34" t="n">
        <v>51833778120</v>
      </c>
      <c r="B3095" s="34" t="s">
        <v>8456</v>
      </c>
      <c r="C3095" s="34" t="s">
        <v>342</v>
      </c>
      <c r="E3095" s="30" t="s">
        <v>8457</v>
      </c>
      <c r="F3095" s="34" t="n">
        <f aca="false">IFERROR(VLOOKUP($A3095,'319'!$B:$H,7,0),0)</f>
        <v>0</v>
      </c>
      <c r="G3095" s="34" t="n">
        <f aca="false">SUMIFS('12.326ana'!$C:$C,'12.326ana'!$M:$M,redes!A3095)</f>
        <v>0</v>
      </c>
    </row>
    <row r="3096" customFormat="false" ht="14.4" hidden="true" customHeight="false" outlineLevel="0" collapsed="false">
      <c r="A3096" s="34" t="n">
        <v>51834804191</v>
      </c>
      <c r="B3096" s="34" t="s">
        <v>8458</v>
      </c>
      <c r="C3096" s="34" t="s">
        <v>107</v>
      </c>
      <c r="E3096" s="30"/>
      <c r="F3096" s="34" t="n">
        <f aca="false">IFERROR(VLOOKUP($A3096,'319'!$B:$H,7,0),0)</f>
        <v>0</v>
      </c>
      <c r="G3096" s="34" t="n">
        <f aca="false">SUMIFS('12.326ana'!$C:$C,'12.326ana'!$M:$M,redes!A3096)</f>
        <v>0</v>
      </c>
    </row>
    <row r="3097" customFormat="false" ht="14.4" hidden="true" customHeight="false" outlineLevel="0" collapsed="false">
      <c r="A3097" s="34" t="n">
        <v>51843501104</v>
      </c>
      <c r="B3097" s="34" t="s">
        <v>8459</v>
      </c>
      <c r="C3097" s="34" t="s">
        <v>107</v>
      </c>
      <c r="E3097" s="30"/>
      <c r="F3097" s="34" t="n">
        <f aca="false">IFERROR(VLOOKUP($A3097,'319'!$B:$H,7,0),0)</f>
        <v>0</v>
      </c>
      <c r="G3097" s="34" t="n">
        <f aca="false">SUMIFS('12.326ana'!$C:$C,'12.326ana'!$M:$M,redes!A3097)</f>
        <v>0</v>
      </c>
    </row>
    <row r="3098" customFormat="false" ht="14.4" hidden="true" customHeight="false" outlineLevel="0" collapsed="false">
      <c r="A3098" s="34" t="n">
        <v>51848198191</v>
      </c>
      <c r="B3098" s="34" t="s">
        <v>8460</v>
      </c>
      <c r="C3098" s="34" t="s">
        <v>77</v>
      </c>
      <c r="E3098" s="30"/>
      <c r="F3098" s="34" t="n">
        <f aca="false">IFERROR(VLOOKUP($A3098,'319'!$B:$H,7,0),0)</f>
        <v>0</v>
      </c>
      <c r="G3098" s="34" t="n">
        <f aca="false">SUMIFS('12.326ana'!$C:$C,'12.326ana'!$M:$M,redes!A3098)</f>
        <v>0</v>
      </c>
    </row>
    <row r="3099" customFormat="false" ht="14.4" hidden="true" customHeight="false" outlineLevel="0" collapsed="false">
      <c r="A3099" s="34" t="n">
        <v>51850362149</v>
      </c>
      <c r="B3099" s="34" t="s">
        <v>8461</v>
      </c>
      <c r="C3099" s="34" t="s">
        <v>77</v>
      </c>
      <c r="E3099" s="30" t="s">
        <v>8462</v>
      </c>
      <c r="F3099" s="34" t="n">
        <f aca="false">IFERROR(VLOOKUP($A3099,'319'!$B:$H,7,0),0)</f>
        <v>0</v>
      </c>
      <c r="G3099" s="34" t="n">
        <f aca="false">SUMIFS('12.326ana'!$C:$C,'12.326ana'!$M:$M,redes!A3099)</f>
        <v>0</v>
      </c>
    </row>
    <row r="3100" customFormat="false" ht="14.4" hidden="true" customHeight="false" outlineLevel="0" collapsed="false">
      <c r="A3100" s="34" t="n">
        <v>51850397953</v>
      </c>
      <c r="B3100" s="34" t="s">
        <v>8463</v>
      </c>
      <c r="C3100" s="34" t="s">
        <v>77</v>
      </c>
      <c r="E3100" s="30" t="s">
        <v>8464</v>
      </c>
      <c r="F3100" s="34" t="n">
        <f aca="false">IFERROR(VLOOKUP($A3100,'319'!$B:$H,7,0),0)</f>
        <v>0</v>
      </c>
      <c r="G3100" s="34" t="n">
        <f aca="false">SUMIFS('12.326ana'!$C:$C,'12.326ana'!$M:$M,redes!A3100)</f>
        <v>0</v>
      </c>
    </row>
    <row r="3101" customFormat="false" ht="14.4" hidden="true" customHeight="false" outlineLevel="0" collapsed="false">
      <c r="A3101" s="34" t="n">
        <v>51853507172</v>
      </c>
      <c r="B3101" s="34" t="s">
        <v>8465</v>
      </c>
      <c r="C3101" s="34" t="s">
        <v>77</v>
      </c>
      <c r="E3101" s="30" t="s">
        <v>8466</v>
      </c>
      <c r="F3101" s="34" t="n">
        <f aca="false">IFERROR(VLOOKUP($A3101,'319'!$B:$H,7,0),0)</f>
        <v>0</v>
      </c>
      <c r="G3101" s="34" t="n">
        <f aca="false">SUMIFS('12.326ana'!$C:$C,'12.326ana'!$M:$M,redes!A3101)</f>
        <v>0</v>
      </c>
    </row>
    <row r="3102" customFormat="false" ht="14.4" hidden="true" customHeight="false" outlineLevel="0" collapsed="false">
      <c r="A3102" s="34" t="n">
        <v>51854848100</v>
      </c>
      <c r="B3102" s="34" t="s">
        <v>8467</v>
      </c>
      <c r="C3102" s="34" t="s">
        <v>77</v>
      </c>
      <c r="E3102" s="30" t="s">
        <v>8468</v>
      </c>
      <c r="F3102" s="34" t="n">
        <f aca="false">IFERROR(VLOOKUP($A3102,'319'!$B:$H,7,0),0)</f>
        <v>0</v>
      </c>
      <c r="G3102" s="34" t="n">
        <f aca="false">SUMIFS('12.326ana'!$C:$C,'12.326ana'!$M:$M,redes!A3102)</f>
        <v>0</v>
      </c>
    </row>
    <row r="3103" customFormat="false" ht="14.4" hidden="true" customHeight="false" outlineLevel="0" collapsed="false">
      <c r="A3103" s="34" t="n">
        <v>51858460115</v>
      </c>
      <c r="B3103" s="34" t="s">
        <v>8469</v>
      </c>
      <c r="C3103" s="34" t="s">
        <v>107</v>
      </c>
      <c r="E3103" s="30" t="s">
        <v>4552</v>
      </c>
      <c r="F3103" s="34" t="n">
        <f aca="false">IFERROR(VLOOKUP($A3103,'319'!$B:$H,7,0),0)</f>
        <v>0</v>
      </c>
      <c r="G3103" s="34" t="n">
        <f aca="false">SUMIFS('12.326ana'!$C:$C,'12.326ana'!$M:$M,redes!A3103)</f>
        <v>0</v>
      </c>
    </row>
    <row r="3104" customFormat="false" ht="14.4" hidden="true" customHeight="false" outlineLevel="0" collapsed="false">
      <c r="A3104" s="34" t="n">
        <v>51861410115</v>
      </c>
      <c r="B3104" s="34" t="s">
        <v>8470</v>
      </c>
      <c r="C3104" s="34" t="s">
        <v>117</v>
      </c>
      <c r="E3104" s="30" t="s">
        <v>8471</v>
      </c>
      <c r="F3104" s="34" t="n">
        <f aca="false">IFERROR(VLOOKUP($A3104,'319'!$B:$H,7,0),0)</f>
        <v>0</v>
      </c>
      <c r="G3104" s="34" t="n">
        <f aca="false">SUMIFS('12.326ana'!$C:$C,'12.326ana'!$M:$M,redes!A3104)</f>
        <v>0</v>
      </c>
    </row>
    <row r="3105" customFormat="false" ht="14.4" hidden="true" customHeight="false" outlineLevel="0" collapsed="false">
      <c r="A3105" s="34" t="n">
        <v>51865068187</v>
      </c>
      <c r="B3105" s="34" t="s">
        <v>8472</v>
      </c>
      <c r="C3105" s="34" t="s">
        <v>77</v>
      </c>
      <c r="E3105" s="30" t="s">
        <v>8473</v>
      </c>
      <c r="F3105" s="34" t="n">
        <f aca="false">IFERROR(VLOOKUP($A3105,'319'!$B:$H,7,0),0)</f>
        <v>0</v>
      </c>
      <c r="G3105" s="34" t="n">
        <f aca="false">SUMIFS('12.326ana'!$C:$C,'12.326ana'!$M:$M,redes!A3105)</f>
        <v>0</v>
      </c>
    </row>
    <row r="3106" customFormat="false" ht="14.4" hidden="true" customHeight="false" outlineLevel="0" collapsed="false">
      <c r="A3106" s="34" t="n">
        <v>51873516134</v>
      </c>
      <c r="B3106" s="34" t="s">
        <v>8474</v>
      </c>
      <c r="C3106" s="34" t="s">
        <v>77</v>
      </c>
      <c r="E3106" s="30" t="s">
        <v>8475</v>
      </c>
      <c r="F3106" s="34" t="n">
        <f aca="false">IFERROR(VLOOKUP($A3106,'319'!$B:$H,7,0),0)</f>
        <v>0</v>
      </c>
      <c r="G3106" s="34" t="n">
        <f aca="false">SUMIFS('12.326ana'!$C:$C,'12.326ana'!$M:$M,redes!A3106)</f>
        <v>0</v>
      </c>
    </row>
    <row r="3107" customFormat="false" ht="14.4" hidden="true" customHeight="false" outlineLevel="0" collapsed="false">
      <c r="A3107" s="34" t="n">
        <v>51874245134</v>
      </c>
      <c r="B3107" s="34" t="s">
        <v>8476</v>
      </c>
      <c r="C3107" s="34" t="s">
        <v>77</v>
      </c>
      <c r="E3107" s="30" t="s">
        <v>8477</v>
      </c>
      <c r="F3107" s="34" t="n">
        <f aca="false">IFERROR(VLOOKUP($A3107,'319'!$B:$H,7,0),0)</f>
        <v>0</v>
      </c>
      <c r="G3107" s="34" t="n">
        <f aca="false">SUMIFS('12.326ana'!$C:$C,'12.326ana'!$M:$M,redes!A3107)</f>
        <v>0</v>
      </c>
    </row>
    <row r="3108" customFormat="false" ht="14.4" hidden="true" customHeight="false" outlineLevel="0" collapsed="false">
      <c r="A3108" s="34" t="n">
        <v>51875500120</v>
      </c>
      <c r="B3108" s="34" t="s">
        <v>8478</v>
      </c>
      <c r="C3108" s="34" t="s">
        <v>77</v>
      </c>
      <c r="E3108" s="30" t="s">
        <v>8479</v>
      </c>
      <c r="F3108" s="34" t="n">
        <f aca="false">IFERROR(VLOOKUP($A3108,'319'!$B:$H,7,0),0)</f>
        <v>0</v>
      </c>
      <c r="G3108" s="34" t="n">
        <f aca="false">SUMIFS('12.326ana'!$C:$C,'12.326ana'!$M:$M,redes!A3108)</f>
        <v>0</v>
      </c>
    </row>
    <row r="3109" customFormat="false" ht="14.4" hidden="true" customHeight="false" outlineLevel="0" collapsed="false">
      <c r="A3109" s="34" t="n">
        <v>51876213191</v>
      </c>
      <c r="B3109" s="34" t="s">
        <v>8480</v>
      </c>
      <c r="C3109" s="34" t="s">
        <v>77</v>
      </c>
      <c r="E3109" s="30"/>
      <c r="F3109" s="34" t="n">
        <f aca="false">IFERROR(VLOOKUP($A3109,'319'!$B:$H,7,0),0)</f>
        <v>0</v>
      </c>
      <c r="G3109" s="34" t="n">
        <f aca="false">SUMIFS('12.326ana'!$C:$C,'12.326ana'!$M:$M,redes!A3109)</f>
        <v>0</v>
      </c>
    </row>
    <row r="3110" customFormat="false" ht="14.4" hidden="true" customHeight="false" outlineLevel="0" collapsed="false">
      <c r="A3110" s="34" t="n">
        <v>51876914149</v>
      </c>
      <c r="B3110" s="34" t="s">
        <v>8481</v>
      </c>
      <c r="C3110" s="34" t="s">
        <v>478</v>
      </c>
      <c r="E3110" s="30" t="s">
        <v>8482</v>
      </c>
      <c r="F3110" s="34" t="n">
        <f aca="false">IFERROR(VLOOKUP($A3110,'319'!$B:$H,7,0),0)</f>
        <v>0</v>
      </c>
      <c r="G3110" s="34" t="n">
        <f aca="false">SUMIFS('12.326ana'!$C:$C,'12.326ana'!$M:$M,redes!A3110)</f>
        <v>0</v>
      </c>
    </row>
    <row r="3111" customFormat="false" ht="14.4" hidden="true" customHeight="false" outlineLevel="0" collapsed="false">
      <c r="A3111" s="34" t="n">
        <v>51880075172</v>
      </c>
      <c r="B3111" s="34" t="s">
        <v>8483</v>
      </c>
      <c r="C3111" s="34" t="s">
        <v>89</v>
      </c>
      <c r="E3111" s="30" t="s">
        <v>8484</v>
      </c>
      <c r="F3111" s="34" t="n">
        <f aca="false">IFERROR(VLOOKUP($A3111,'319'!$B:$H,7,0),0)</f>
        <v>0</v>
      </c>
      <c r="G3111" s="34" t="n">
        <f aca="false">SUMIFS('12.326ana'!$C:$C,'12.326ana'!$M:$M,redes!A3111)</f>
        <v>0</v>
      </c>
    </row>
    <row r="3112" customFormat="false" ht="14.4" hidden="true" customHeight="false" outlineLevel="0" collapsed="false">
      <c r="A3112" s="34" t="n">
        <v>51882434153</v>
      </c>
      <c r="B3112" s="34" t="s">
        <v>8485</v>
      </c>
      <c r="C3112" s="34" t="s">
        <v>89</v>
      </c>
      <c r="E3112" s="30" t="s">
        <v>8486</v>
      </c>
      <c r="F3112" s="34" t="n">
        <f aca="false">IFERROR(VLOOKUP($A3112,'319'!$B:$H,7,0),0)</f>
        <v>0</v>
      </c>
      <c r="G3112" s="34" t="n">
        <f aca="false">SUMIFS('12.326ana'!$C:$C,'12.326ana'!$M:$M,redes!A3112)</f>
        <v>0</v>
      </c>
    </row>
    <row r="3113" customFormat="false" ht="14.4" hidden="true" customHeight="false" outlineLevel="0" collapsed="false">
      <c r="A3113" s="34" t="n">
        <v>51883821134</v>
      </c>
      <c r="B3113" s="34" t="s">
        <v>8487</v>
      </c>
      <c r="C3113" s="34" t="s">
        <v>89</v>
      </c>
      <c r="E3113" s="30" t="s">
        <v>8487</v>
      </c>
      <c r="F3113" s="34" t="n">
        <f aca="false">IFERROR(VLOOKUP($A3113,'319'!$B:$H,7,0),0)</f>
        <v>0</v>
      </c>
      <c r="G3113" s="34" t="n">
        <f aca="false">SUMIFS('12.326ana'!$C:$C,'12.326ana'!$M:$M,redes!A3113)</f>
        <v>0</v>
      </c>
    </row>
    <row r="3114" customFormat="false" ht="14.4" hidden="true" customHeight="false" outlineLevel="0" collapsed="false">
      <c r="A3114" s="34" t="n">
        <v>51886391904</v>
      </c>
      <c r="B3114" s="34" t="s">
        <v>8488</v>
      </c>
      <c r="C3114" s="34" t="s">
        <v>3060</v>
      </c>
      <c r="E3114" s="30" t="s">
        <v>5890</v>
      </c>
      <c r="F3114" s="34" t="n">
        <f aca="false">IFERROR(VLOOKUP($A3114,'319'!$B:$H,7,0),0)</f>
        <v>0</v>
      </c>
      <c r="G3114" s="34" t="n">
        <f aca="false">SUMIFS('12.326ana'!$C:$C,'12.326ana'!$M:$M,redes!A3114)</f>
        <v>0</v>
      </c>
    </row>
    <row r="3115" customFormat="false" ht="14.4" hidden="true" customHeight="false" outlineLevel="0" collapsed="false">
      <c r="A3115" s="34" t="n">
        <v>51897091168</v>
      </c>
      <c r="B3115" s="34" t="s">
        <v>8489</v>
      </c>
      <c r="C3115" s="34" t="s">
        <v>463</v>
      </c>
      <c r="E3115" s="30" t="s">
        <v>8490</v>
      </c>
      <c r="F3115" s="34" t="n">
        <f aca="false">IFERROR(VLOOKUP($A3115,'319'!$B:$H,7,0),0)</f>
        <v>0</v>
      </c>
      <c r="G3115" s="34" t="n">
        <f aca="false">SUMIFS('12.326ana'!$C:$C,'12.326ana'!$M:$M,redes!A3115)</f>
        <v>0</v>
      </c>
    </row>
    <row r="3116" customFormat="false" ht="14.4" hidden="true" customHeight="false" outlineLevel="0" collapsed="false">
      <c r="A3116" s="34" t="n">
        <v>51898551120</v>
      </c>
      <c r="B3116" s="34" t="s">
        <v>8491</v>
      </c>
      <c r="C3116" s="34" t="s">
        <v>299</v>
      </c>
      <c r="E3116" s="30" t="s">
        <v>3790</v>
      </c>
      <c r="F3116" s="34" t="n">
        <f aca="false">IFERROR(VLOOKUP($A3116,'319'!$B:$H,7,0),0)</f>
        <v>0</v>
      </c>
      <c r="G3116" s="34" t="n">
        <f aca="false">SUMIFS('12.326ana'!$C:$C,'12.326ana'!$M:$M,redes!A3116)</f>
        <v>0</v>
      </c>
    </row>
    <row r="3117" customFormat="false" ht="14.4" hidden="true" customHeight="false" outlineLevel="0" collapsed="false">
      <c r="A3117" s="34" t="n">
        <v>51905752172</v>
      </c>
      <c r="B3117" s="34" t="s">
        <v>8492</v>
      </c>
      <c r="C3117" s="34" t="s">
        <v>464</v>
      </c>
      <c r="E3117" s="30" t="s">
        <v>8493</v>
      </c>
      <c r="F3117" s="34" t="n">
        <f aca="false">IFERROR(VLOOKUP($A3117,'319'!$B:$H,7,0),0)</f>
        <v>0</v>
      </c>
      <c r="G3117" s="34" t="n">
        <f aca="false">SUMIFS('12.326ana'!$C:$C,'12.326ana'!$M:$M,redes!A3117)</f>
        <v>0</v>
      </c>
    </row>
    <row r="3118" customFormat="false" ht="14.4" hidden="true" customHeight="false" outlineLevel="0" collapsed="false">
      <c r="A3118" s="34" t="n">
        <v>51923173120</v>
      </c>
      <c r="B3118" s="34" t="s">
        <v>8494</v>
      </c>
      <c r="C3118" s="34" t="s">
        <v>1272</v>
      </c>
      <c r="E3118" s="30"/>
      <c r="F3118" s="34" t="n">
        <f aca="false">IFERROR(VLOOKUP($A3118,'319'!$B:$H,7,0),0)</f>
        <v>0</v>
      </c>
      <c r="G3118" s="34" t="n">
        <f aca="false">SUMIFS('12.326ana'!$C:$C,'12.326ana'!$M:$M,redes!A3118)</f>
        <v>0</v>
      </c>
    </row>
    <row r="3119" customFormat="false" ht="14.4" hidden="true" customHeight="false" outlineLevel="0" collapsed="false">
      <c r="A3119" s="34" t="n">
        <v>51940566134</v>
      </c>
      <c r="B3119" s="34" t="s">
        <v>8495</v>
      </c>
      <c r="C3119" s="34" t="s">
        <v>77</v>
      </c>
      <c r="E3119" s="30" t="s">
        <v>8496</v>
      </c>
      <c r="F3119" s="34" t="n">
        <f aca="false">IFERROR(VLOOKUP($A3119,'319'!$B:$H,7,0),0)</f>
        <v>0</v>
      </c>
      <c r="G3119" s="34" t="n">
        <f aca="false">SUMIFS('12.326ana'!$C:$C,'12.326ana'!$M:$M,redes!A3119)</f>
        <v>0</v>
      </c>
    </row>
    <row r="3120" customFormat="false" ht="14.4" hidden="true" customHeight="false" outlineLevel="0" collapsed="false">
      <c r="A3120" s="34" t="n">
        <v>51944359168</v>
      </c>
      <c r="B3120" s="34" t="s">
        <v>8497</v>
      </c>
      <c r="C3120" s="34" t="s">
        <v>77</v>
      </c>
      <c r="E3120" s="30" t="s">
        <v>8498</v>
      </c>
      <c r="F3120" s="34" t="n">
        <f aca="false">IFERROR(VLOOKUP($A3120,'319'!$B:$H,7,0),0)</f>
        <v>0</v>
      </c>
      <c r="G3120" s="34" t="n">
        <f aca="false">SUMIFS('12.326ana'!$C:$C,'12.326ana'!$M:$M,redes!A3120)</f>
        <v>0</v>
      </c>
    </row>
    <row r="3121" customFormat="false" ht="14.4" hidden="true" customHeight="false" outlineLevel="0" collapsed="false">
      <c r="A3121" s="34" t="n">
        <v>51945029153</v>
      </c>
      <c r="B3121" s="34" t="s">
        <v>8499</v>
      </c>
      <c r="C3121" s="34" t="s">
        <v>77</v>
      </c>
      <c r="E3121" s="30" t="s">
        <v>8500</v>
      </c>
      <c r="F3121" s="34" t="n">
        <f aca="false">IFERROR(VLOOKUP($A3121,'319'!$B:$H,7,0),0)</f>
        <v>0</v>
      </c>
      <c r="G3121" s="34" t="n">
        <f aca="false">SUMIFS('12.326ana'!$C:$C,'12.326ana'!$M:$M,redes!A3121)</f>
        <v>0</v>
      </c>
    </row>
    <row r="3122" customFormat="false" ht="14.4" hidden="true" customHeight="false" outlineLevel="0" collapsed="false">
      <c r="A3122" s="34" t="n">
        <v>51946548120</v>
      </c>
      <c r="B3122" s="34" t="s">
        <v>5749</v>
      </c>
      <c r="C3122" s="34" t="s">
        <v>604</v>
      </c>
      <c r="E3122" s="30" t="s">
        <v>8501</v>
      </c>
      <c r="F3122" s="34" t="n">
        <f aca="false">IFERROR(VLOOKUP($A3122,'319'!$B:$H,7,0),0)</f>
        <v>0</v>
      </c>
      <c r="G3122" s="34" t="n">
        <f aca="false">SUMIFS('12.326ana'!$C:$C,'12.326ana'!$M:$M,redes!A3122)</f>
        <v>0</v>
      </c>
    </row>
    <row r="3123" customFormat="false" ht="14.4" hidden="true" customHeight="false" outlineLevel="0" collapsed="false">
      <c r="A3123" s="34" t="n">
        <v>51951797191</v>
      </c>
      <c r="B3123" s="34" t="s">
        <v>8502</v>
      </c>
      <c r="C3123" s="34" t="s">
        <v>77</v>
      </c>
      <c r="E3123" s="30" t="s">
        <v>3588</v>
      </c>
      <c r="F3123" s="34" t="n">
        <f aca="false">IFERROR(VLOOKUP($A3123,'319'!$B:$H,7,0),0)</f>
        <v>0</v>
      </c>
      <c r="G3123" s="34" t="n">
        <f aca="false">SUMIFS('12.326ana'!$C:$C,'12.326ana'!$M:$M,redes!A3123)</f>
        <v>0</v>
      </c>
    </row>
    <row r="3124" customFormat="false" ht="14.4" hidden="true" customHeight="false" outlineLevel="0" collapsed="false">
      <c r="A3124" s="34" t="n">
        <v>51952025168</v>
      </c>
      <c r="B3124" s="34" t="s">
        <v>8503</v>
      </c>
      <c r="C3124" s="34" t="s">
        <v>351</v>
      </c>
      <c r="E3124" s="30" t="s">
        <v>7071</v>
      </c>
      <c r="F3124" s="34" t="n">
        <f aca="false">IFERROR(VLOOKUP($A3124,'319'!$B:$H,7,0),0)</f>
        <v>0</v>
      </c>
      <c r="G3124" s="34" t="n">
        <f aca="false">SUMIFS('12.326ana'!$C:$C,'12.326ana'!$M:$M,redes!A3124)</f>
        <v>0</v>
      </c>
    </row>
    <row r="3125" customFormat="false" ht="14.4" hidden="true" customHeight="false" outlineLevel="0" collapsed="false">
      <c r="A3125" s="34" t="n">
        <v>51952220106</v>
      </c>
      <c r="B3125" s="34" t="s">
        <v>8504</v>
      </c>
      <c r="C3125" s="34" t="s">
        <v>351</v>
      </c>
      <c r="E3125" s="30" t="s">
        <v>3066</v>
      </c>
      <c r="F3125" s="34" t="n">
        <f aca="false">IFERROR(VLOOKUP($A3125,'319'!$B:$H,7,0),0)</f>
        <v>0</v>
      </c>
      <c r="G3125" s="34" t="n">
        <f aca="false">SUMIFS('12.326ana'!$C:$C,'12.326ana'!$M:$M,redes!A3125)</f>
        <v>0</v>
      </c>
    </row>
    <row r="3126" customFormat="false" ht="14.4" hidden="true" customHeight="false" outlineLevel="0" collapsed="false">
      <c r="A3126" s="34" t="n">
        <v>51952629187</v>
      </c>
      <c r="B3126" s="34" t="s">
        <v>8505</v>
      </c>
      <c r="C3126" s="34" t="s">
        <v>77</v>
      </c>
      <c r="E3126" s="30" t="s">
        <v>8505</v>
      </c>
      <c r="F3126" s="34" t="n">
        <f aca="false">IFERROR(VLOOKUP($A3126,'319'!$B:$H,7,0),0)</f>
        <v>0</v>
      </c>
      <c r="G3126" s="34" t="n">
        <f aca="false">SUMIFS('12.326ana'!$C:$C,'12.326ana'!$M:$M,redes!A3126)</f>
        <v>0</v>
      </c>
    </row>
    <row r="3127" customFormat="false" ht="14.4" hidden="true" customHeight="false" outlineLevel="0" collapsed="false">
      <c r="A3127" s="34" t="n">
        <v>51954133120</v>
      </c>
      <c r="B3127" s="34" t="s">
        <v>8506</v>
      </c>
      <c r="C3127" s="34" t="s">
        <v>405</v>
      </c>
      <c r="E3127" s="30" t="s">
        <v>8507</v>
      </c>
      <c r="F3127" s="34" t="n">
        <f aca="false">IFERROR(VLOOKUP($A3127,'319'!$B:$H,7,0),0)</f>
        <v>0</v>
      </c>
      <c r="G3127" s="34" t="n">
        <f aca="false">SUMIFS('12.326ana'!$C:$C,'12.326ana'!$M:$M,redes!A3127)</f>
        <v>0</v>
      </c>
    </row>
    <row r="3128" customFormat="false" ht="14.4" hidden="true" customHeight="false" outlineLevel="0" collapsed="false">
      <c r="A3128" s="34" t="n">
        <v>51959690191</v>
      </c>
      <c r="B3128" s="34" t="s">
        <v>930</v>
      </c>
      <c r="C3128" s="34" t="s">
        <v>77</v>
      </c>
      <c r="E3128" s="30" t="s">
        <v>8192</v>
      </c>
      <c r="F3128" s="34" t="n">
        <f aca="false">IFERROR(VLOOKUP($A3128,'319'!$B:$H,7,0),0)</f>
        <v>0</v>
      </c>
      <c r="G3128" s="34" t="n">
        <f aca="false">SUMIFS('12.326ana'!$C:$C,'12.326ana'!$M:$M,redes!A3128)</f>
        <v>0</v>
      </c>
    </row>
    <row r="3129" customFormat="false" ht="14.4" hidden="true" customHeight="false" outlineLevel="0" collapsed="false">
      <c r="A3129" s="34" t="n">
        <v>51961911191</v>
      </c>
      <c r="B3129" s="34" t="s">
        <v>8508</v>
      </c>
      <c r="C3129" s="34" t="s">
        <v>77</v>
      </c>
      <c r="E3129" s="30" t="s">
        <v>8509</v>
      </c>
      <c r="F3129" s="34" t="n">
        <f aca="false">IFERROR(VLOOKUP($A3129,'319'!$B:$H,7,0),0)</f>
        <v>0</v>
      </c>
      <c r="G3129" s="34" t="n">
        <f aca="false">SUMIFS('12.326ana'!$C:$C,'12.326ana'!$M:$M,redes!A3129)</f>
        <v>0</v>
      </c>
    </row>
    <row r="3130" customFormat="false" ht="14.4" hidden="true" customHeight="false" outlineLevel="0" collapsed="false">
      <c r="A3130" s="34" t="n">
        <v>51962586120</v>
      </c>
      <c r="B3130" s="34" t="s">
        <v>8510</v>
      </c>
      <c r="C3130" s="34" t="s">
        <v>77</v>
      </c>
      <c r="E3130" s="30" t="s">
        <v>8511</v>
      </c>
      <c r="F3130" s="34" t="n">
        <f aca="false">IFERROR(VLOOKUP($A3130,'319'!$B:$H,7,0),0)</f>
        <v>0</v>
      </c>
      <c r="G3130" s="34" t="n">
        <f aca="false">SUMIFS('12.326ana'!$C:$C,'12.326ana'!$M:$M,redes!A3130)</f>
        <v>0</v>
      </c>
    </row>
    <row r="3131" customFormat="false" ht="14.4" hidden="true" customHeight="false" outlineLevel="0" collapsed="false">
      <c r="A3131" s="34" t="n">
        <v>51962667120</v>
      </c>
      <c r="B3131" s="34" t="s">
        <v>8512</v>
      </c>
      <c r="C3131" s="34" t="s">
        <v>77</v>
      </c>
      <c r="E3131" s="30" t="s">
        <v>8513</v>
      </c>
      <c r="F3131" s="34" t="n">
        <f aca="false">IFERROR(VLOOKUP($A3131,'319'!$B:$H,7,0),0)</f>
        <v>0</v>
      </c>
      <c r="G3131" s="34" t="n">
        <f aca="false">SUMIFS('12.326ana'!$C:$C,'12.326ana'!$M:$M,redes!A3131)</f>
        <v>0</v>
      </c>
    </row>
    <row r="3132" customFormat="false" ht="14.4" hidden="true" customHeight="false" outlineLevel="0" collapsed="false">
      <c r="A3132" s="34" t="n">
        <v>51979284172</v>
      </c>
      <c r="B3132" s="34" t="s">
        <v>8514</v>
      </c>
      <c r="C3132" s="34" t="s">
        <v>562</v>
      </c>
      <c r="E3132" s="30" t="s">
        <v>8515</v>
      </c>
      <c r="F3132" s="34" t="n">
        <f aca="false">IFERROR(VLOOKUP($A3132,'319'!$B:$H,7,0),0)</f>
        <v>0</v>
      </c>
      <c r="G3132" s="34" t="n">
        <f aca="false">SUMIFS('12.326ana'!$C:$C,'12.326ana'!$M:$M,redes!A3132)</f>
        <v>0</v>
      </c>
    </row>
    <row r="3133" customFormat="false" ht="14.4" hidden="true" customHeight="false" outlineLevel="0" collapsed="false">
      <c r="A3133" s="34" t="n">
        <v>51982544104</v>
      </c>
      <c r="B3133" s="34" t="s">
        <v>8516</v>
      </c>
      <c r="C3133" s="34" t="s">
        <v>342</v>
      </c>
      <c r="E3133" s="30" t="s">
        <v>8517</v>
      </c>
      <c r="F3133" s="34" t="n">
        <f aca="false">IFERROR(VLOOKUP($A3133,'319'!$B:$H,7,0),0)</f>
        <v>0</v>
      </c>
      <c r="G3133" s="34" t="n">
        <f aca="false">SUMIFS('12.326ana'!$C:$C,'12.326ana'!$M:$M,redes!A3133)</f>
        <v>0</v>
      </c>
    </row>
    <row r="3134" customFormat="false" ht="14.4" hidden="true" customHeight="false" outlineLevel="0" collapsed="false">
      <c r="A3134" s="34" t="n">
        <v>52199657000</v>
      </c>
      <c r="B3134" s="34" t="s">
        <v>8518</v>
      </c>
      <c r="C3134" s="34" t="s">
        <v>77</v>
      </c>
      <c r="E3134" s="30"/>
      <c r="F3134" s="34" t="n">
        <f aca="false">IFERROR(VLOOKUP($A3134,'319'!$B:$H,7,0),0)</f>
        <v>0</v>
      </c>
      <c r="G3134" s="34" t="n">
        <f aca="false">SUMIFS('12.326ana'!$C:$C,'12.326ana'!$M:$M,redes!A3134)</f>
        <v>0</v>
      </c>
    </row>
    <row r="3135" customFormat="false" ht="14.4" hidden="true" customHeight="false" outlineLevel="0" collapsed="false">
      <c r="A3135" s="34" t="n">
        <v>52645550959</v>
      </c>
      <c r="B3135" s="34" t="s">
        <v>8519</v>
      </c>
      <c r="C3135" s="34" t="s">
        <v>77</v>
      </c>
      <c r="E3135" s="30" t="s">
        <v>8520</v>
      </c>
      <c r="F3135" s="34" t="n">
        <f aca="false">IFERROR(VLOOKUP($A3135,'319'!$B:$H,7,0),0)</f>
        <v>0</v>
      </c>
      <c r="G3135" s="34" t="n">
        <f aca="false">SUMIFS('12.326ana'!$C:$C,'12.326ana'!$M:$M,redes!A3135)</f>
        <v>0</v>
      </c>
    </row>
    <row r="3136" customFormat="false" ht="14.4" hidden="true" customHeight="false" outlineLevel="0" collapsed="false">
      <c r="A3136" s="34" t="n">
        <v>52712443853</v>
      </c>
      <c r="B3136" s="34" t="s">
        <v>8521</v>
      </c>
      <c r="C3136" s="34" t="s">
        <v>154</v>
      </c>
      <c r="E3136" s="30" t="s">
        <v>8522</v>
      </c>
      <c r="F3136" s="34" t="n">
        <f aca="false">IFERROR(VLOOKUP($A3136,'319'!$B:$H,7,0),0)</f>
        <v>0</v>
      </c>
      <c r="G3136" s="34" t="n">
        <f aca="false">SUMIFS('12.326ana'!$C:$C,'12.326ana'!$M:$M,redes!A3136)</f>
        <v>0</v>
      </c>
    </row>
    <row r="3137" customFormat="false" ht="14.4" hidden="true" customHeight="false" outlineLevel="0" collapsed="false">
      <c r="A3137" s="34" t="n">
        <v>52799140106</v>
      </c>
      <c r="B3137" s="34" t="s">
        <v>8523</v>
      </c>
      <c r="C3137" s="34" t="s">
        <v>77</v>
      </c>
      <c r="E3137" s="30" t="s">
        <v>5345</v>
      </c>
      <c r="F3137" s="34" t="n">
        <f aca="false">IFERROR(VLOOKUP($A3137,'319'!$B:$H,7,0),0)</f>
        <v>0</v>
      </c>
      <c r="G3137" s="34" t="n">
        <f aca="false">SUMIFS('12.326ana'!$C:$C,'12.326ana'!$M:$M,redes!A3137)</f>
        <v>0</v>
      </c>
    </row>
    <row r="3138" customFormat="false" ht="14.4" hidden="true" customHeight="false" outlineLevel="0" collapsed="false">
      <c r="A3138" s="34" t="n">
        <v>52802698168</v>
      </c>
      <c r="B3138" s="34" t="s">
        <v>8524</v>
      </c>
      <c r="C3138" s="34" t="s">
        <v>77</v>
      </c>
      <c r="E3138" s="30" t="s">
        <v>8525</v>
      </c>
      <c r="F3138" s="34" t="n">
        <f aca="false">IFERROR(VLOOKUP($A3138,'319'!$B:$H,7,0),0)</f>
        <v>0</v>
      </c>
      <c r="G3138" s="34" t="n">
        <f aca="false">SUMIFS('12.326ana'!$C:$C,'12.326ana'!$M:$M,redes!A3138)</f>
        <v>0</v>
      </c>
    </row>
    <row r="3139" customFormat="false" ht="14.4" hidden="true" customHeight="false" outlineLevel="0" collapsed="false">
      <c r="A3139" s="34" t="n">
        <v>52804674053</v>
      </c>
      <c r="B3139" s="34" t="s">
        <v>8526</v>
      </c>
      <c r="C3139" s="34" t="s">
        <v>117</v>
      </c>
      <c r="E3139" s="30" t="s">
        <v>8527</v>
      </c>
      <c r="F3139" s="34" t="n">
        <f aca="false">IFERROR(VLOOKUP($A3139,'319'!$B:$H,7,0),0)</f>
        <v>0</v>
      </c>
      <c r="G3139" s="34" t="n">
        <f aca="false">SUMIFS('12.326ana'!$C:$C,'12.326ana'!$M:$M,redes!A3139)</f>
        <v>0</v>
      </c>
    </row>
    <row r="3140" customFormat="false" ht="14.4" hidden="true" customHeight="false" outlineLevel="0" collapsed="false">
      <c r="A3140" s="34" t="n">
        <v>52811468153</v>
      </c>
      <c r="B3140" s="34" t="s">
        <v>8528</v>
      </c>
      <c r="C3140" s="34" t="s">
        <v>737</v>
      </c>
      <c r="E3140" s="30" t="s">
        <v>8529</v>
      </c>
      <c r="F3140" s="34" t="n">
        <f aca="false">IFERROR(VLOOKUP($A3140,'319'!$B:$H,7,0),0)</f>
        <v>0</v>
      </c>
      <c r="G3140" s="34" t="n">
        <f aca="false">SUMIFS('12.326ana'!$C:$C,'12.326ana'!$M:$M,redes!A3140)</f>
        <v>0</v>
      </c>
    </row>
    <row r="3141" customFormat="false" ht="14.4" hidden="true" customHeight="false" outlineLevel="0" collapsed="false">
      <c r="A3141" s="34" t="n">
        <v>52814343149</v>
      </c>
      <c r="B3141" s="34" t="s">
        <v>8530</v>
      </c>
      <c r="C3141" s="34" t="s">
        <v>737</v>
      </c>
      <c r="E3141" s="30" t="s">
        <v>8531</v>
      </c>
      <c r="F3141" s="34" t="n">
        <f aca="false">IFERROR(VLOOKUP($A3141,'319'!$B:$H,7,0),0)</f>
        <v>0</v>
      </c>
      <c r="G3141" s="34" t="n">
        <f aca="false">SUMIFS('12.326ana'!$C:$C,'12.326ana'!$M:$M,redes!A3141)</f>
        <v>0</v>
      </c>
    </row>
    <row r="3142" customFormat="false" ht="14.4" hidden="true" customHeight="false" outlineLevel="0" collapsed="false">
      <c r="A3142" s="34" t="n">
        <v>52818209153</v>
      </c>
      <c r="B3142" s="34" t="s">
        <v>8532</v>
      </c>
      <c r="C3142" s="34" t="s">
        <v>77</v>
      </c>
      <c r="E3142" s="30"/>
      <c r="F3142" s="34" t="n">
        <f aca="false">IFERROR(VLOOKUP($A3142,'319'!$B:$H,7,0),0)</f>
        <v>0</v>
      </c>
      <c r="G3142" s="34" t="n">
        <f aca="false">SUMIFS('12.326ana'!$C:$C,'12.326ana'!$M:$M,redes!A3142)</f>
        <v>0</v>
      </c>
    </row>
    <row r="3143" customFormat="false" ht="14.4" hidden="true" customHeight="false" outlineLevel="0" collapsed="false">
      <c r="A3143" s="34" t="n">
        <v>52818853168</v>
      </c>
      <c r="B3143" s="34" t="s">
        <v>8533</v>
      </c>
      <c r="C3143" s="34" t="s">
        <v>77</v>
      </c>
      <c r="E3143" s="30" t="s">
        <v>8534</v>
      </c>
      <c r="F3143" s="34" t="n">
        <f aca="false">IFERROR(VLOOKUP($A3143,'319'!$B:$H,7,0),0)</f>
        <v>0</v>
      </c>
      <c r="G3143" s="34" t="n">
        <f aca="false">SUMIFS('12.326ana'!$C:$C,'12.326ana'!$M:$M,redes!A3143)</f>
        <v>0</v>
      </c>
    </row>
    <row r="3144" customFormat="false" ht="14.4" hidden="true" customHeight="false" outlineLevel="0" collapsed="false">
      <c r="A3144" s="34" t="n">
        <v>52821498187</v>
      </c>
      <c r="B3144" s="34" t="s">
        <v>8535</v>
      </c>
      <c r="C3144" s="34" t="s">
        <v>77</v>
      </c>
      <c r="E3144" s="30" t="s">
        <v>8536</v>
      </c>
      <c r="F3144" s="34" t="n">
        <f aca="false">IFERROR(VLOOKUP($A3144,'319'!$B:$H,7,0),0)</f>
        <v>0</v>
      </c>
      <c r="G3144" s="34" t="n">
        <f aca="false">SUMIFS('12.326ana'!$C:$C,'12.326ana'!$M:$M,redes!A3144)</f>
        <v>0</v>
      </c>
    </row>
    <row r="3145" customFormat="false" ht="14.4" hidden="true" customHeight="false" outlineLevel="0" collapsed="false">
      <c r="A3145" s="34" t="n">
        <v>52825108120</v>
      </c>
      <c r="B3145" s="34" t="s">
        <v>8537</v>
      </c>
      <c r="C3145" s="34" t="s">
        <v>77</v>
      </c>
      <c r="E3145" s="30" t="s">
        <v>8538</v>
      </c>
      <c r="F3145" s="34" t="n">
        <f aca="false">IFERROR(VLOOKUP($A3145,'319'!$B:$H,7,0),0)</f>
        <v>0</v>
      </c>
      <c r="G3145" s="34" t="n">
        <f aca="false">SUMIFS('12.326ana'!$C:$C,'12.326ana'!$M:$M,redes!A3145)</f>
        <v>0</v>
      </c>
    </row>
    <row r="3146" customFormat="false" ht="14.4" hidden="true" customHeight="false" outlineLevel="0" collapsed="false">
      <c r="A3146" s="34" t="n">
        <v>52825280100</v>
      </c>
      <c r="B3146" s="34" t="s">
        <v>8539</v>
      </c>
      <c r="C3146" s="34" t="s">
        <v>77</v>
      </c>
      <c r="E3146" s="30" t="s">
        <v>3794</v>
      </c>
      <c r="F3146" s="34" t="n">
        <f aca="false">IFERROR(VLOOKUP($A3146,'319'!$B:$H,7,0),0)</f>
        <v>0</v>
      </c>
      <c r="G3146" s="34" t="n">
        <f aca="false">SUMIFS('12.326ana'!$C:$C,'12.326ana'!$M:$M,redes!A3146)</f>
        <v>0</v>
      </c>
    </row>
    <row r="3147" customFormat="false" ht="14.4" hidden="true" customHeight="false" outlineLevel="0" collapsed="false">
      <c r="A3147" s="34" t="n">
        <v>52830438191</v>
      </c>
      <c r="B3147" s="34" t="s">
        <v>8540</v>
      </c>
      <c r="C3147" s="34" t="s">
        <v>77</v>
      </c>
      <c r="E3147" s="30" t="s">
        <v>8541</v>
      </c>
      <c r="F3147" s="34" t="n">
        <f aca="false">IFERROR(VLOOKUP($A3147,'319'!$B:$H,7,0),0)</f>
        <v>0</v>
      </c>
      <c r="G3147" s="34" t="n">
        <f aca="false">SUMIFS('12.326ana'!$C:$C,'12.326ana'!$M:$M,redes!A3147)</f>
        <v>0</v>
      </c>
    </row>
    <row r="3148" customFormat="false" ht="14.4" hidden="true" customHeight="false" outlineLevel="0" collapsed="false">
      <c r="A3148" s="34" t="n">
        <v>52832104134</v>
      </c>
      <c r="B3148" s="34" t="s">
        <v>8542</v>
      </c>
      <c r="C3148" s="34" t="s">
        <v>197</v>
      </c>
      <c r="E3148" s="30" t="s">
        <v>8543</v>
      </c>
      <c r="F3148" s="34" t="n">
        <f aca="false">IFERROR(VLOOKUP($A3148,'319'!$B:$H,7,0),0)</f>
        <v>0</v>
      </c>
      <c r="G3148" s="34" t="n">
        <f aca="false">SUMIFS('12.326ana'!$C:$C,'12.326ana'!$M:$M,redes!A3148)</f>
        <v>0</v>
      </c>
    </row>
    <row r="3149" customFormat="false" ht="14.4" hidden="true" customHeight="false" outlineLevel="0" collapsed="false">
      <c r="A3149" s="34" t="n">
        <v>52835395168</v>
      </c>
      <c r="B3149" s="34" t="s">
        <v>8544</v>
      </c>
      <c r="C3149" s="34" t="s">
        <v>77</v>
      </c>
      <c r="E3149" s="30" t="s">
        <v>8545</v>
      </c>
      <c r="F3149" s="34" t="n">
        <f aca="false">IFERROR(VLOOKUP($A3149,'319'!$B:$H,7,0),0)</f>
        <v>0</v>
      </c>
      <c r="G3149" s="34" t="n">
        <f aca="false">SUMIFS('12.326ana'!$C:$C,'12.326ana'!$M:$M,redes!A3149)</f>
        <v>0</v>
      </c>
    </row>
    <row r="3150" customFormat="false" ht="14.4" hidden="true" customHeight="false" outlineLevel="0" collapsed="false">
      <c r="A3150" s="34" t="n">
        <v>52842029100</v>
      </c>
      <c r="B3150" s="34" t="s">
        <v>8546</v>
      </c>
      <c r="C3150" s="34" t="s">
        <v>77</v>
      </c>
      <c r="E3150" s="30" t="s">
        <v>3674</v>
      </c>
      <c r="F3150" s="34" t="n">
        <f aca="false">IFERROR(VLOOKUP($A3150,'319'!$B:$H,7,0),0)</f>
        <v>0</v>
      </c>
      <c r="G3150" s="34" t="n">
        <f aca="false">SUMIFS('12.326ana'!$C:$C,'12.326ana'!$M:$M,redes!A3150)</f>
        <v>0</v>
      </c>
    </row>
    <row r="3151" customFormat="false" ht="14.4" hidden="true" customHeight="false" outlineLevel="0" collapsed="false">
      <c r="A3151" s="34" t="n">
        <v>52852610159</v>
      </c>
      <c r="B3151" s="34" t="s">
        <v>8547</v>
      </c>
      <c r="C3151" s="34" t="s">
        <v>77</v>
      </c>
      <c r="E3151" s="30" t="s">
        <v>8548</v>
      </c>
      <c r="F3151" s="34" t="n">
        <f aca="false">IFERROR(VLOOKUP($A3151,'319'!$B:$H,7,0),0)</f>
        <v>0</v>
      </c>
      <c r="G3151" s="34" t="n">
        <f aca="false">SUMIFS('12.326ana'!$C:$C,'12.326ana'!$M:$M,redes!A3151)</f>
        <v>0</v>
      </c>
    </row>
    <row r="3152" customFormat="false" ht="14.4" hidden="true" customHeight="false" outlineLevel="0" collapsed="false">
      <c r="A3152" s="34" t="n">
        <v>52855090172</v>
      </c>
      <c r="B3152" s="34" t="s">
        <v>8549</v>
      </c>
      <c r="C3152" s="34" t="s">
        <v>342</v>
      </c>
      <c r="E3152" s="30" t="s">
        <v>8550</v>
      </c>
      <c r="F3152" s="34" t="n">
        <f aca="false">IFERROR(VLOOKUP($A3152,'319'!$B:$H,7,0),0)</f>
        <v>0</v>
      </c>
      <c r="G3152" s="34" t="n">
        <f aca="false">SUMIFS('12.326ana'!$C:$C,'12.326ana'!$M:$M,redes!A3152)</f>
        <v>0</v>
      </c>
    </row>
    <row r="3153" customFormat="false" ht="14.4" hidden="true" customHeight="false" outlineLevel="0" collapsed="false">
      <c r="A3153" s="34" t="n">
        <v>52855414172</v>
      </c>
      <c r="B3153" s="34" t="s">
        <v>8551</v>
      </c>
      <c r="C3153" s="34" t="s">
        <v>309</v>
      </c>
      <c r="E3153" s="30" t="s">
        <v>8552</v>
      </c>
      <c r="F3153" s="34" t="n">
        <f aca="false">IFERROR(VLOOKUP($A3153,'319'!$B:$H,7,0),0)</f>
        <v>0</v>
      </c>
      <c r="G3153" s="34" t="n">
        <f aca="false">SUMIFS('12.326ana'!$C:$C,'12.326ana'!$M:$M,redes!A3153)</f>
        <v>0</v>
      </c>
    </row>
    <row r="3154" customFormat="false" ht="14.4" hidden="true" customHeight="false" outlineLevel="0" collapsed="false">
      <c r="A3154" s="34" t="n">
        <v>52856879187</v>
      </c>
      <c r="B3154" s="34" t="s">
        <v>8553</v>
      </c>
      <c r="C3154" s="34" t="s">
        <v>77</v>
      </c>
      <c r="E3154" s="30"/>
      <c r="F3154" s="34" t="n">
        <f aca="false">IFERROR(VLOOKUP($A3154,'319'!$B:$H,7,0),0)</f>
        <v>0</v>
      </c>
      <c r="G3154" s="34" t="n">
        <f aca="false">SUMIFS('12.326ana'!$C:$C,'12.326ana'!$M:$M,redes!A3154)</f>
        <v>0</v>
      </c>
    </row>
    <row r="3155" customFormat="false" ht="14.4" hidden="true" customHeight="false" outlineLevel="0" collapsed="false">
      <c r="A3155" s="34" t="n">
        <v>52857905149</v>
      </c>
      <c r="B3155" s="34" t="s">
        <v>8554</v>
      </c>
      <c r="C3155" s="34" t="s">
        <v>107</v>
      </c>
      <c r="E3155" s="30"/>
      <c r="F3155" s="34" t="n">
        <f aca="false">IFERROR(VLOOKUP($A3155,'319'!$B:$H,7,0),0)</f>
        <v>0</v>
      </c>
      <c r="G3155" s="34" t="n">
        <f aca="false">SUMIFS('12.326ana'!$C:$C,'12.326ana'!$M:$M,redes!A3155)</f>
        <v>0</v>
      </c>
    </row>
    <row r="3156" customFormat="false" ht="14.4" hidden="true" customHeight="false" outlineLevel="0" collapsed="false">
      <c r="A3156" s="34" t="n">
        <v>52861120134</v>
      </c>
      <c r="B3156" s="34" t="s">
        <v>8555</v>
      </c>
      <c r="C3156" s="34" t="s">
        <v>107</v>
      </c>
      <c r="E3156" s="30" t="s">
        <v>8556</v>
      </c>
      <c r="F3156" s="34" t="n">
        <f aca="false">IFERROR(VLOOKUP($A3156,'319'!$B:$H,7,0),0)</f>
        <v>0</v>
      </c>
      <c r="G3156" s="34" t="n">
        <f aca="false">SUMIFS('12.326ana'!$C:$C,'12.326ana'!$M:$M,redes!A3156)</f>
        <v>0</v>
      </c>
    </row>
    <row r="3157" customFormat="false" ht="14.4" hidden="true" customHeight="false" outlineLevel="0" collapsed="false">
      <c r="A3157" s="34" t="n">
        <v>52869490100</v>
      </c>
      <c r="B3157" s="34" t="s">
        <v>8557</v>
      </c>
      <c r="C3157" s="34" t="s">
        <v>713</v>
      </c>
      <c r="E3157" s="30" t="s">
        <v>8558</v>
      </c>
      <c r="F3157" s="34" t="n">
        <f aca="false">IFERROR(VLOOKUP($A3157,'319'!$B:$H,7,0),0)</f>
        <v>0</v>
      </c>
      <c r="G3157" s="34" t="n">
        <f aca="false">SUMIFS('12.326ana'!$C:$C,'12.326ana'!$M:$M,redes!A3157)</f>
        <v>0</v>
      </c>
    </row>
    <row r="3158" customFormat="false" ht="14.4" hidden="true" customHeight="false" outlineLevel="0" collapsed="false">
      <c r="A3158" s="34" t="n">
        <v>52874907120</v>
      </c>
      <c r="B3158" s="34" t="s">
        <v>8559</v>
      </c>
      <c r="C3158" s="34" t="s">
        <v>77</v>
      </c>
      <c r="E3158" s="30" t="s">
        <v>8560</v>
      </c>
      <c r="F3158" s="34" t="n">
        <f aca="false">IFERROR(VLOOKUP($A3158,'319'!$B:$H,7,0),0)</f>
        <v>0</v>
      </c>
      <c r="G3158" s="34" t="n">
        <f aca="false">SUMIFS('12.326ana'!$C:$C,'12.326ana'!$M:$M,redes!A3158)</f>
        <v>0</v>
      </c>
    </row>
    <row r="3159" customFormat="false" ht="14.4" hidden="true" customHeight="false" outlineLevel="0" collapsed="false">
      <c r="A3159" s="34" t="n">
        <v>52875598104</v>
      </c>
      <c r="B3159" s="34" t="s">
        <v>8561</v>
      </c>
      <c r="C3159" s="34" t="s">
        <v>77</v>
      </c>
      <c r="E3159" s="30" t="s">
        <v>8562</v>
      </c>
      <c r="F3159" s="34" t="n">
        <f aca="false">IFERROR(VLOOKUP($A3159,'319'!$B:$H,7,0),0)</f>
        <v>0</v>
      </c>
      <c r="G3159" s="34" t="n">
        <f aca="false">SUMIFS('12.326ana'!$C:$C,'12.326ana'!$M:$M,redes!A3159)</f>
        <v>0</v>
      </c>
    </row>
    <row r="3160" customFormat="false" ht="14.4" hidden="true" customHeight="false" outlineLevel="0" collapsed="false">
      <c r="A3160" s="34" t="n">
        <v>52876055104</v>
      </c>
      <c r="B3160" s="34" t="s">
        <v>8563</v>
      </c>
      <c r="C3160" s="34" t="s">
        <v>77</v>
      </c>
      <c r="E3160" s="30" t="s">
        <v>8564</v>
      </c>
      <c r="F3160" s="34" t="n">
        <f aca="false">IFERROR(VLOOKUP($A3160,'319'!$B:$H,7,0),0)</f>
        <v>0</v>
      </c>
      <c r="G3160" s="34" t="n">
        <f aca="false">SUMIFS('12.326ana'!$C:$C,'12.326ana'!$M:$M,redes!A3160)</f>
        <v>0</v>
      </c>
    </row>
    <row r="3161" customFormat="false" ht="14.4" hidden="true" customHeight="false" outlineLevel="0" collapsed="false">
      <c r="A3161" s="34" t="n">
        <v>52879461120</v>
      </c>
      <c r="B3161" s="34" t="s">
        <v>8565</v>
      </c>
      <c r="C3161" s="34" t="s">
        <v>77</v>
      </c>
      <c r="E3161" s="30" t="s">
        <v>5423</v>
      </c>
      <c r="F3161" s="34" t="n">
        <f aca="false">IFERROR(VLOOKUP($A3161,'319'!$B:$H,7,0),0)</f>
        <v>0</v>
      </c>
      <c r="G3161" s="34" t="n">
        <f aca="false">SUMIFS('12.326ana'!$C:$C,'12.326ana'!$M:$M,redes!A3161)</f>
        <v>0</v>
      </c>
    </row>
    <row r="3162" customFormat="false" ht="14.4" hidden="true" customHeight="false" outlineLevel="0" collapsed="false">
      <c r="A3162" s="34" t="n">
        <v>52881431100</v>
      </c>
      <c r="B3162" s="34" t="s">
        <v>8566</v>
      </c>
      <c r="C3162" s="34" t="s">
        <v>77</v>
      </c>
      <c r="E3162" s="30" t="s">
        <v>8566</v>
      </c>
      <c r="F3162" s="34" t="n">
        <f aca="false">IFERROR(VLOOKUP($A3162,'319'!$B:$H,7,0),0)</f>
        <v>0</v>
      </c>
      <c r="G3162" s="34" t="n">
        <f aca="false">SUMIFS('12.326ana'!$C:$C,'12.326ana'!$M:$M,redes!A3162)</f>
        <v>0</v>
      </c>
    </row>
    <row r="3163" customFormat="false" ht="14.4" hidden="true" customHeight="false" outlineLevel="0" collapsed="false">
      <c r="A3163" s="34" t="n">
        <v>52884546120</v>
      </c>
      <c r="B3163" s="34" t="s">
        <v>8567</v>
      </c>
      <c r="C3163" s="34" t="s">
        <v>77</v>
      </c>
      <c r="E3163" s="30" t="s">
        <v>8567</v>
      </c>
      <c r="F3163" s="34" t="n">
        <f aca="false">IFERROR(VLOOKUP($A3163,'319'!$B:$H,7,0),0)</f>
        <v>0</v>
      </c>
      <c r="G3163" s="34" t="n">
        <f aca="false">SUMIFS('12.326ana'!$C:$C,'12.326ana'!$M:$M,redes!A3163)</f>
        <v>0</v>
      </c>
    </row>
    <row r="3164" customFormat="false" ht="14.4" hidden="true" customHeight="false" outlineLevel="0" collapsed="false">
      <c r="A3164" s="34" t="n">
        <v>52884600949</v>
      </c>
      <c r="B3164" s="34" t="s">
        <v>8568</v>
      </c>
      <c r="C3164" s="34" t="s">
        <v>473</v>
      </c>
      <c r="E3164" s="30" t="s">
        <v>8569</v>
      </c>
      <c r="F3164" s="34" t="n">
        <f aca="false">IFERROR(VLOOKUP($A3164,'319'!$B:$H,7,0),0)</f>
        <v>0</v>
      </c>
      <c r="G3164" s="34" t="n">
        <f aca="false">SUMIFS('12.326ana'!$C:$C,'12.326ana'!$M:$M,redes!A3164)</f>
        <v>0</v>
      </c>
    </row>
    <row r="3165" customFormat="false" ht="14.4" hidden="true" customHeight="false" outlineLevel="0" collapsed="false">
      <c r="A3165" s="34" t="n">
        <v>52889866149</v>
      </c>
      <c r="B3165" s="34" t="s">
        <v>8570</v>
      </c>
      <c r="C3165" s="34" t="s">
        <v>77</v>
      </c>
      <c r="E3165" s="30" t="s">
        <v>8571</v>
      </c>
      <c r="F3165" s="34" t="n">
        <f aca="false">IFERROR(VLOOKUP($A3165,'319'!$B:$H,7,0),0)</f>
        <v>0</v>
      </c>
      <c r="G3165" s="34" t="n">
        <f aca="false">SUMIFS('12.326ana'!$C:$C,'12.326ana'!$M:$M,redes!A3165)</f>
        <v>0</v>
      </c>
    </row>
    <row r="3166" customFormat="false" ht="14.4" hidden="true" customHeight="false" outlineLevel="0" collapsed="false">
      <c r="A3166" s="34" t="n">
        <v>52892557100</v>
      </c>
      <c r="B3166" s="34" t="s">
        <v>8572</v>
      </c>
      <c r="C3166" s="34" t="s">
        <v>77</v>
      </c>
      <c r="E3166" s="30" t="s">
        <v>8573</v>
      </c>
      <c r="F3166" s="34" t="n">
        <f aca="false">IFERROR(VLOOKUP($A3166,'319'!$B:$H,7,0),0)</f>
        <v>0</v>
      </c>
      <c r="G3166" s="34" t="n">
        <f aca="false">SUMIFS('12.326ana'!$C:$C,'12.326ana'!$M:$M,redes!A3166)</f>
        <v>0</v>
      </c>
    </row>
    <row r="3167" customFormat="false" ht="14.4" hidden="true" customHeight="false" outlineLevel="0" collapsed="false">
      <c r="A3167" s="34" t="n">
        <v>52893430163</v>
      </c>
      <c r="B3167" s="34" t="s">
        <v>8574</v>
      </c>
      <c r="C3167" s="34" t="s">
        <v>77</v>
      </c>
      <c r="E3167" s="30" t="s">
        <v>8575</v>
      </c>
      <c r="F3167" s="34" t="n">
        <f aca="false">IFERROR(VLOOKUP($A3167,'319'!$B:$H,7,0),0)</f>
        <v>0</v>
      </c>
      <c r="G3167" s="34" t="n">
        <f aca="false">SUMIFS('12.326ana'!$C:$C,'12.326ana'!$M:$M,redes!A3167)</f>
        <v>0</v>
      </c>
    </row>
    <row r="3168" customFormat="false" ht="14.4" hidden="true" customHeight="false" outlineLevel="0" collapsed="false">
      <c r="A3168" s="34" t="n">
        <v>52894215134</v>
      </c>
      <c r="B3168" s="34" t="s">
        <v>8576</v>
      </c>
      <c r="C3168" s="34" t="s">
        <v>77</v>
      </c>
      <c r="E3168" s="30" t="s">
        <v>8577</v>
      </c>
      <c r="F3168" s="34" t="n">
        <f aca="false">IFERROR(VLOOKUP($A3168,'319'!$B:$H,7,0),0)</f>
        <v>0</v>
      </c>
      <c r="G3168" s="34" t="n">
        <f aca="false">SUMIFS('12.326ana'!$C:$C,'12.326ana'!$M:$M,redes!A3168)</f>
        <v>0</v>
      </c>
    </row>
    <row r="3169" customFormat="false" ht="14.4" hidden="true" customHeight="false" outlineLevel="0" collapsed="false">
      <c r="A3169" s="34" t="n">
        <v>52895602115</v>
      </c>
      <c r="B3169" s="34" t="s">
        <v>8578</v>
      </c>
      <c r="C3169" s="34" t="s">
        <v>781</v>
      </c>
      <c r="E3169" s="30" t="s">
        <v>8579</v>
      </c>
      <c r="F3169" s="34" t="n">
        <f aca="false">IFERROR(VLOOKUP($A3169,'319'!$B:$H,7,0),0)</f>
        <v>0</v>
      </c>
      <c r="G3169" s="34" t="n">
        <f aca="false">SUMIFS('12.326ana'!$C:$C,'12.326ana'!$M:$M,redes!A3169)</f>
        <v>0</v>
      </c>
    </row>
    <row r="3170" customFormat="false" ht="14.4" hidden="true" customHeight="false" outlineLevel="0" collapsed="false">
      <c r="A3170" s="34" t="n">
        <v>52896129120</v>
      </c>
      <c r="B3170" s="34" t="s">
        <v>8580</v>
      </c>
      <c r="C3170" s="34" t="s">
        <v>77</v>
      </c>
      <c r="E3170" s="30" t="s">
        <v>8581</v>
      </c>
      <c r="F3170" s="34" t="n">
        <f aca="false">IFERROR(VLOOKUP($A3170,'319'!$B:$H,7,0),0)</f>
        <v>0</v>
      </c>
      <c r="G3170" s="34" t="n">
        <f aca="false">SUMIFS('12.326ana'!$C:$C,'12.326ana'!$M:$M,redes!A3170)</f>
        <v>0</v>
      </c>
    </row>
    <row r="3171" customFormat="false" ht="14.4" hidden="true" customHeight="false" outlineLevel="0" collapsed="false">
      <c r="A3171" s="34" t="n">
        <v>52898385115</v>
      </c>
      <c r="B3171" s="34" t="s">
        <v>8582</v>
      </c>
      <c r="C3171" s="34" t="s">
        <v>77</v>
      </c>
      <c r="E3171" s="30" t="s">
        <v>8583</v>
      </c>
      <c r="F3171" s="34" t="n">
        <f aca="false">IFERROR(VLOOKUP($A3171,'319'!$B:$H,7,0),0)</f>
        <v>0</v>
      </c>
      <c r="G3171" s="34" t="n">
        <f aca="false">SUMIFS('12.326ana'!$C:$C,'12.326ana'!$M:$M,redes!A3171)</f>
        <v>0</v>
      </c>
    </row>
    <row r="3172" customFormat="false" ht="14.4" hidden="true" customHeight="false" outlineLevel="0" collapsed="false">
      <c r="A3172" s="34" t="n">
        <v>52901815120</v>
      </c>
      <c r="B3172" s="34" t="s">
        <v>8584</v>
      </c>
      <c r="C3172" s="34" t="s">
        <v>77</v>
      </c>
      <c r="E3172" s="30" t="s">
        <v>8585</v>
      </c>
      <c r="F3172" s="34" t="n">
        <f aca="false">IFERROR(VLOOKUP($A3172,'319'!$B:$H,7,0),0)</f>
        <v>0</v>
      </c>
      <c r="G3172" s="34" t="n">
        <f aca="false">SUMIFS('12.326ana'!$C:$C,'12.326ana'!$M:$M,redes!A3172)</f>
        <v>0</v>
      </c>
    </row>
    <row r="3173" customFormat="false" ht="14.4" hidden="true" customHeight="false" outlineLevel="0" collapsed="false">
      <c r="A3173" s="34" t="n">
        <v>52912523168</v>
      </c>
      <c r="B3173" s="34" t="s">
        <v>8586</v>
      </c>
      <c r="C3173" s="34" t="s">
        <v>77</v>
      </c>
      <c r="E3173" s="30" t="s">
        <v>8587</v>
      </c>
      <c r="F3173" s="34" t="n">
        <f aca="false">IFERROR(VLOOKUP($A3173,'319'!$B:$H,7,0),0)</f>
        <v>0</v>
      </c>
      <c r="G3173" s="34" t="n">
        <f aca="false">SUMIFS('12.326ana'!$C:$C,'12.326ana'!$M:$M,redes!A3173)</f>
        <v>0</v>
      </c>
    </row>
    <row r="3174" customFormat="false" ht="14.4" hidden="true" customHeight="false" outlineLevel="0" collapsed="false">
      <c r="A3174" s="34" t="n">
        <v>52913643191</v>
      </c>
      <c r="B3174" s="34" t="s">
        <v>8588</v>
      </c>
      <c r="C3174" s="34" t="s">
        <v>107</v>
      </c>
      <c r="E3174" s="30" t="s">
        <v>8589</v>
      </c>
      <c r="F3174" s="34" t="n">
        <f aca="false">IFERROR(VLOOKUP($A3174,'319'!$B:$H,7,0),0)</f>
        <v>0</v>
      </c>
      <c r="G3174" s="34" t="n">
        <f aca="false">SUMIFS('12.326ana'!$C:$C,'12.326ana'!$M:$M,redes!A3174)</f>
        <v>0</v>
      </c>
    </row>
    <row r="3175" customFormat="false" ht="14.4" hidden="true" customHeight="false" outlineLevel="0" collapsed="false">
      <c r="A3175" s="34" t="n">
        <v>52917410159</v>
      </c>
      <c r="B3175" s="34" t="s">
        <v>8590</v>
      </c>
      <c r="C3175" s="34" t="s">
        <v>77</v>
      </c>
      <c r="E3175" s="30" t="s">
        <v>8591</v>
      </c>
      <c r="F3175" s="34" t="n">
        <f aca="false">IFERROR(VLOOKUP($A3175,'319'!$B:$H,7,0),0)</f>
        <v>0</v>
      </c>
      <c r="G3175" s="34" t="n">
        <f aca="false">SUMIFS('12.326ana'!$C:$C,'12.326ana'!$M:$M,redes!A3175)</f>
        <v>0</v>
      </c>
    </row>
    <row r="3176" customFormat="false" ht="14.4" hidden="true" customHeight="false" outlineLevel="0" collapsed="false">
      <c r="A3176" s="34" t="n">
        <v>52917754168</v>
      </c>
      <c r="B3176" s="34" t="s">
        <v>8592</v>
      </c>
      <c r="C3176" s="34" t="s">
        <v>107</v>
      </c>
      <c r="E3176" s="30" t="s">
        <v>8593</v>
      </c>
      <c r="F3176" s="34" t="n">
        <f aca="false">IFERROR(VLOOKUP($A3176,'319'!$B:$H,7,0),0)</f>
        <v>0</v>
      </c>
      <c r="G3176" s="34" t="n">
        <f aca="false">SUMIFS('12.326ana'!$C:$C,'12.326ana'!$M:$M,redes!A3176)</f>
        <v>0</v>
      </c>
    </row>
    <row r="3177" customFormat="false" ht="14.4" hidden="true" customHeight="false" outlineLevel="0" collapsed="false">
      <c r="A3177" s="34" t="n">
        <v>52920852191</v>
      </c>
      <c r="B3177" s="34" t="s">
        <v>8594</v>
      </c>
      <c r="C3177" s="34" t="s">
        <v>77</v>
      </c>
      <c r="E3177" s="30"/>
      <c r="F3177" s="34" t="n">
        <f aca="false">IFERROR(VLOOKUP($A3177,'319'!$B:$H,7,0),0)</f>
        <v>0</v>
      </c>
      <c r="G3177" s="34" t="n">
        <f aca="false">SUMIFS('12.326ana'!$C:$C,'12.326ana'!$M:$M,redes!A3177)</f>
        <v>0</v>
      </c>
    </row>
    <row r="3178" customFormat="false" ht="14.4" hidden="true" customHeight="false" outlineLevel="0" collapsed="false">
      <c r="A3178" s="34" t="n">
        <v>52920860100</v>
      </c>
      <c r="B3178" s="34" t="s">
        <v>8595</v>
      </c>
      <c r="C3178" s="34" t="s">
        <v>77</v>
      </c>
      <c r="E3178" s="30" t="s">
        <v>8596</v>
      </c>
      <c r="F3178" s="34" t="n">
        <f aca="false">IFERROR(VLOOKUP($A3178,'319'!$B:$H,7,0),0)</f>
        <v>0</v>
      </c>
      <c r="G3178" s="34" t="n">
        <f aca="false">SUMIFS('12.326ana'!$C:$C,'12.326ana'!$M:$M,redes!A3178)</f>
        <v>0</v>
      </c>
    </row>
    <row r="3179" customFormat="false" ht="14.4" hidden="true" customHeight="false" outlineLevel="0" collapsed="false">
      <c r="A3179" s="34" t="n">
        <v>52921492172</v>
      </c>
      <c r="B3179" s="34" t="s">
        <v>8597</v>
      </c>
      <c r="C3179" s="34" t="s">
        <v>77</v>
      </c>
      <c r="E3179" s="30" t="s">
        <v>8598</v>
      </c>
      <c r="F3179" s="34" t="n">
        <f aca="false">IFERROR(VLOOKUP($A3179,'319'!$B:$H,7,0),0)</f>
        <v>0</v>
      </c>
      <c r="G3179" s="34" t="n">
        <f aca="false">SUMIFS('12.326ana'!$C:$C,'12.326ana'!$M:$M,redes!A3179)</f>
        <v>0</v>
      </c>
    </row>
    <row r="3180" customFormat="false" ht="14.4" hidden="true" customHeight="false" outlineLevel="0" collapsed="false">
      <c r="A3180" s="34" t="n">
        <v>52921930110</v>
      </c>
      <c r="B3180" s="34" t="s">
        <v>8599</v>
      </c>
      <c r="C3180" s="34" t="s">
        <v>77</v>
      </c>
      <c r="E3180" s="30" t="s">
        <v>4499</v>
      </c>
      <c r="F3180" s="34" t="n">
        <f aca="false">IFERROR(VLOOKUP($A3180,'319'!$B:$H,7,0),0)</f>
        <v>0</v>
      </c>
      <c r="G3180" s="34" t="n">
        <f aca="false">SUMIFS('12.326ana'!$C:$C,'12.326ana'!$M:$M,redes!A3180)</f>
        <v>0</v>
      </c>
    </row>
    <row r="3181" customFormat="false" ht="14.4" hidden="true" customHeight="false" outlineLevel="0" collapsed="false">
      <c r="A3181" s="34" t="n">
        <v>52930521104</v>
      </c>
      <c r="B3181" s="34" t="s">
        <v>8600</v>
      </c>
      <c r="C3181" s="34" t="s">
        <v>77</v>
      </c>
      <c r="E3181" s="30" t="s">
        <v>8601</v>
      </c>
      <c r="F3181" s="34" t="n">
        <f aca="false">IFERROR(VLOOKUP($A3181,'319'!$B:$H,7,0),0)</f>
        <v>0</v>
      </c>
      <c r="G3181" s="34" t="n">
        <f aca="false">SUMIFS('12.326ana'!$C:$C,'12.326ana'!$M:$M,redes!A3181)</f>
        <v>0</v>
      </c>
    </row>
    <row r="3182" customFormat="false" ht="14.4" hidden="true" customHeight="false" outlineLevel="0" collapsed="false">
      <c r="A3182" s="34" t="n">
        <v>52932958100</v>
      </c>
      <c r="B3182" s="34" t="s">
        <v>8441</v>
      </c>
      <c r="C3182" s="34" t="s">
        <v>357</v>
      </c>
      <c r="E3182" s="30" t="s">
        <v>8602</v>
      </c>
      <c r="F3182" s="34" t="n">
        <f aca="false">IFERROR(VLOOKUP($A3182,'319'!$B:$H,7,0),0)</f>
        <v>0</v>
      </c>
      <c r="G3182" s="34" t="n">
        <f aca="false">SUMIFS('12.326ana'!$C:$C,'12.326ana'!$M:$M,redes!A3182)</f>
        <v>0</v>
      </c>
    </row>
    <row r="3183" customFormat="false" ht="14.4" hidden="true" customHeight="false" outlineLevel="0" collapsed="false">
      <c r="A3183" s="34" t="n">
        <v>52933598191</v>
      </c>
      <c r="B3183" s="34" t="s">
        <v>8603</v>
      </c>
      <c r="C3183" s="34" t="s">
        <v>77</v>
      </c>
      <c r="E3183" s="30" t="s">
        <v>8604</v>
      </c>
      <c r="F3183" s="34" t="n">
        <f aca="false">IFERROR(VLOOKUP($A3183,'319'!$B:$H,7,0),0)</f>
        <v>0</v>
      </c>
      <c r="G3183" s="34" t="n">
        <f aca="false">SUMIFS('12.326ana'!$C:$C,'12.326ana'!$M:$M,redes!A3183)</f>
        <v>0</v>
      </c>
    </row>
    <row r="3184" customFormat="false" ht="14.4" hidden="true" customHeight="false" outlineLevel="0" collapsed="false">
      <c r="A3184" s="34" t="n">
        <v>52934756149</v>
      </c>
      <c r="B3184" s="34" t="s">
        <v>8605</v>
      </c>
      <c r="C3184" s="34" t="s">
        <v>77</v>
      </c>
      <c r="E3184" s="30" t="s">
        <v>8606</v>
      </c>
      <c r="F3184" s="34" t="n">
        <f aca="false">IFERROR(VLOOKUP($A3184,'319'!$B:$H,7,0),0)</f>
        <v>0</v>
      </c>
      <c r="G3184" s="34" t="n">
        <f aca="false">SUMIFS('12.326ana'!$C:$C,'12.326ana'!$M:$M,redes!A3184)</f>
        <v>0</v>
      </c>
    </row>
    <row r="3185" customFormat="false" ht="14.4" hidden="true" customHeight="false" outlineLevel="0" collapsed="false">
      <c r="A3185" s="34" t="n">
        <v>52935256115</v>
      </c>
      <c r="B3185" s="34" t="s">
        <v>8607</v>
      </c>
      <c r="C3185" s="34" t="s">
        <v>77</v>
      </c>
      <c r="E3185" s="30" t="s">
        <v>3674</v>
      </c>
      <c r="F3185" s="34" t="n">
        <f aca="false">IFERROR(VLOOKUP($A3185,'319'!$B:$H,7,0),0)</f>
        <v>0</v>
      </c>
      <c r="G3185" s="34" t="n">
        <f aca="false">SUMIFS('12.326ana'!$C:$C,'12.326ana'!$M:$M,redes!A3185)</f>
        <v>0</v>
      </c>
    </row>
    <row r="3186" customFormat="false" ht="14.4" hidden="true" customHeight="false" outlineLevel="0" collapsed="false">
      <c r="A3186" s="34" t="n">
        <v>52937305172</v>
      </c>
      <c r="B3186" s="34" t="s">
        <v>8608</v>
      </c>
      <c r="C3186" s="34" t="s">
        <v>77</v>
      </c>
      <c r="E3186" s="30" t="s">
        <v>8609</v>
      </c>
      <c r="F3186" s="34" t="n">
        <f aca="false">IFERROR(VLOOKUP($A3186,'319'!$B:$H,7,0),0)</f>
        <v>0</v>
      </c>
      <c r="G3186" s="34" t="n">
        <f aca="false">SUMIFS('12.326ana'!$C:$C,'12.326ana'!$M:$M,redes!A3186)</f>
        <v>0</v>
      </c>
    </row>
    <row r="3187" customFormat="false" ht="14.4" hidden="true" customHeight="false" outlineLevel="0" collapsed="false">
      <c r="A3187" s="34" t="n">
        <v>52938514115</v>
      </c>
      <c r="B3187" s="34" t="s">
        <v>8610</v>
      </c>
      <c r="C3187" s="34" t="s">
        <v>77</v>
      </c>
      <c r="E3187" s="30" t="s">
        <v>8611</v>
      </c>
      <c r="F3187" s="34" t="n">
        <f aca="false">IFERROR(VLOOKUP($A3187,'319'!$B:$H,7,0),0)</f>
        <v>0</v>
      </c>
      <c r="G3187" s="34" t="n">
        <f aca="false">SUMIFS('12.326ana'!$C:$C,'12.326ana'!$M:$M,redes!A3187)</f>
        <v>0</v>
      </c>
    </row>
    <row r="3188" customFormat="false" ht="14.4" hidden="true" customHeight="false" outlineLevel="0" collapsed="false">
      <c r="A3188" s="34" t="n">
        <v>52942040963</v>
      </c>
      <c r="B3188" s="34" t="s">
        <v>8612</v>
      </c>
      <c r="C3188" s="34" t="s">
        <v>309</v>
      </c>
      <c r="E3188" s="30" t="s">
        <v>8613</v>
      </c>
      <c r="F3188" s="34" t="n">
        <f aca="false">IFERROR(VLOOKUP($A3188,'319'!$B:$H,7,0),0)</f>
        <v>0</v>
      </c>
      <c r="G3188" s="34" t="n">
        <f aca="false">SUMIFS('12.326ana'!$C:$C,'12.326ana'!$M:$M,redes!A3188)</f>
        <v>0</v>
      </c>
    </row>
    <row r="3189" customFormat="false" ht="14.4" hidden="true" customHeight="false" outlineLevel="0" collapsed="false">
      <c r="A3189" s="34" t="n">
        <v>53084128804</v>
      </c>
      <c r="B3189" s="34" t="s">
        <v>8614</v>
      </c>
      <c r="C3189" s="34" t="s">
        <v>77</v>
      </c>
      <c r="E3189" s="30" t="s">
        <v>8615</v>
      </c>
      <c r="F3189" s="34" t="n">
        <f aca="false">IFERROR(VLOOKUP($A3189,'319'!$B:$H,7,0),0)</f>
        <v>0</v>
      </c>
      <c r="G3189" s="34" t="n">
        <f aca="false">SUMIFS('12.326ana'!$C:$C,'12.326ana'!$M:$M,redes!A3189)</f>
        <v>0</v>
      </c>
    </row>
    <row r="3190" customFormat="false" ht="14.4" hidden="true" customHeight="false" outlineLevel="0" collapsed="false">
      <c r="A3190" s="34" t="n">
        <v>53138805191</v>
      </c>
      <c r="B3190" s="34" t="s">
        <v>8616</v>
      </c>
      <c r="C3190" s="34" t="s">
        <v>77</v>
      </c>
      <c r="E3190" s="30" t="s">
        <v>8617</v>
      </c>
      <c r="F3190" s="34" t="n">
        <f aca="false">IFERROR(VLOOKUP($A3190,'319'!$B:$H,7,0),0)</f>
        <v>0</v>
      </c>
      <c r="G3190" s="34" t="n">
        <f aca="false">SUMIFS('12.326ana'!$C:$C,'12.326ana'!$M:$M,redes!A3190)</f>
        <v>0</v>
      </c>
    </row>
    <row r="3191" customFormat="false" ht="14.4" hidden="true" customHeight="false" outlineLevel="0" collapsed="false">
      <c r="A3191" s="34" t="n">
        <v>53197984900</v>
      </c>
      <c r="B3191" s="34" t="s">
        <v>8618</v>
      </c>
      <c r="C3191" s="34" t="s">
        <v>107</v>
      </c>
      <c r="E3191" s="30" t="s">
        <v>8619</v>
      </c>
      <c r="F3191" s="34" t="n">
        <f aca="false">IFERROR(VLOOKUP($A3191,'319'!$B:$H,7,0),0)</f>
        <v>0</v>
      </c>
      <c r="G3191" s="34" t="n">
        <f aca="false">SUMIFS('12.326ana'!$C:$C,'12.326ana'!$M:$M,redes!A3191)</f>
        <v>0</v>
      </c>
    </row>
    <row r="3192" customFormat="false" ht="14.4" hidden="true" customHeight="false" outlineLevel="0" collapsed="false">
      <c r="A3192" s="34" t="n">
        <v>53595297415</v>
      </c>
      <c r="B3192" s="34" t="s">
        <v>8620</v>
      </c>
      <c r="C3192" s="34" t="s">
        <v>197</v>
      </c>
      <c r="E3192" s="30" t="s">
        <v>8621</v>
      </c>
      <c r="F3192" s="34" t="n">
        <f aca="false">IFERROR(VLOOKUP($A3192,'319'!$B:$H,7,0),0)</f>
        <v>0</v>
      </c>
      <c r="G3192" s="34" t="n">
        <f aca="false">SUMIFS('12.326ana'!$C:$C,'12.326ana'!$M:$M,redes!A3192)</f>
        <v>0</v>
      </c>
    </row>
    <row r="3193" customFormat="false" ht="14.4" hidden="true" customHeight="false" outlineLevel="0" collapsed="false">
      <c r="A3193" s="34" t="n">
        <v>53645529187</v>
      </c>
      <c r="B3193" s="34" t="s">
        <v>8622</v>
      </c>
      <c r="C3193" s="34" t="s">
        <v>77</v>
      </c>
      <c r="E3193" s="30" t="s">
        <v>8623</v>
      </c>
      <c r="F3193" s="34" t="n">
        <f aca="false">IFERROR(VLOOKUP($A3193,'319'!$B:$H,7,0),0)</f>
        <v>0</v>
      </c>
      <c r="G3193" s="34" t="n">
        <f aca="false">SUMIFS('12.326ana'!$C:$C,'12.326ana'!$M:$M,redes!A3193)</f>
        <v>0</v>
      </c>
    </row>
    <row r="3194" customFormat="false" ht="14.4" hidden="true" customHeight="false" outlineLevel="0" collapsed="false">
      <c r="A3194" s="34" t="n">
        <v>53687418987</v>
      </c>
      <c r="B3194" s="34" t="s">
        <v>8624</v>
      </c>
      <c r="C3194" s="34" t="s">
        <v>107</v>
      </c>
      <c r="E3194" s="30" t="s">
        <v>8625</v>
      </c>
      <c r="F3194" s="34" t="n">
        <f aca="false">IFERROR(VLOOKUP($A3194,'319'!$B:$H,7,0),0)</f>
        <v>0</v>
      </c>
      <c r="G3194" s="34" t="n">
        <f aca="false">SUMIFS('12.326ana'!$C:$C,'12.326ana'!$M:$M,redes!A3194)</f>
        <v>0</v>
      </c>
    </row>
    <row r="3195" customFormat="false" ht="14.4" hidden="true" customHeight="false" outlineLevel="0" collapsed="false">
      <c r="A3195" s="34" t="n">
        <v>53768612520</v>
      </c>
      <c r="B3195" s="34" t="s">
        <v>8626</v>
      </c>
      <c r="C3195" s="34" t="s">
        <v>4418</v>
      </c>
      <c r="E3195" s="30"/>
      <c r="F3195" s="34" t="n">
        <f aca="false">IFERROR(VLOOKUP($A3195,'319'!$B:$H,7,0),0)</f>
        <v>0</v>
      </c>
      <c r="G3195" s="34" t="n">
        <f aca="false">SUMIFS('12.326ana'!$C:$C,'12.326ana'!$M:$M,redes!A3195)</f>
        <v>0</v>
      </c>
    </row>
    <row r="3196" customFormat="false" ht="14.4" hidden="true" customHeight="false" outlineLevel="0" collapsed="false">
      <c r="A3196" s="34" t="n">
        <v>53769180410</v>
      </c>
      <c r="B3196" s="34" t="s">
        <v>8627</v>
      </c>
      <c r="C3196" s="34" t="s">
        <v>77</v>
      </c>
      <c r="E3196" s="30" t="s">
        <v>3507</v>
      </c>
      <c r="F3196" s="34" t="n">
        <f aca="false">IFERROR(VLOOKUP($A3196,'319'!$B:$H,7,0),0)</f>
        <v>0</v>
      </c>
      <c r="G3196" s="34" t="n">
        <f aca="false">SUMIFS('12.326ana'!$C:$C,'12.326ana'!$M:$M,redes!A3196)</f>
        <v>0</v>
      </c>
    </row>
    <row r="3197" customFormat="false" ht="14.4" hidden="true" customHeight="false" outlineLevel="0" collapsed="false">
      <c r="A3197" s="34" t="n">
        <v>53812921120</v>
      </c>
      <c r="B3197" s="34" t="s">
        <v>8628</v>
      </c>
      <c r="C3197" s="34" t="s">
        <v>77</v>
      </c>
      <c r="E3197" s="30" t="s">
        <v>8629</v>
      </c>
      <c r="F3197" s="34" t="n">
        <f aca="false">IFERROR(VLOOKUP($A3197,'319'!$B:$H,7,0),0)</f>
        <v>0</v>
      </c>
      <c r="G3197" s="34" t="n">
        <f aca="false">SUMIFS('12.326ana'!$C:$C,'12.326ana'!$M:$M,redes!A3197)</f>
        <v>0</v>
      </c>
    </row>
    <row r="3198" customFormat="false" ht="14.4" hidden="true" customHeight="false" outlineLevel="0" collapsed="false">
      <c r="A3198" s="34" t="n">
        <v>53906713920</v>
      </c>
      <c r="B3198" s="34" t="s">
        <v>8630</v>
      </c>
      <c r="C3198" s="34" t="s">
        <v>475</v>
      </c>
      <c r="E3198" s="30" t="s">
        <v>8631</v>
      </c>
      <c r="F3198" s="34" t="n">
        <f aca="false">IFERROR(VLOOKUP($A3198,'319'!$B:$H,7,0),0)</f>
        <v>0</v>
      </c>
      <c r="G3198" s="34" t="n">
        <f aca="false">SUMIFS('12.326ana'!$C:$C,'12.326ana'!$M:$M,redes!A3198)</f>
        <v>0</v>
      </c>
    </row>
    <row r="3199" customFormat="false" ht="14.4" hidden="true" customHeight="false" outlineLevel="0" collapsed="false">
      <c r="A3199" s="34" t="n">
        <v>54039746953</v>
      </c>
      <c r="B3199" s="34" t="s">
        <v>8632</v>
      </c>
      <c r="C3199" s="34" t="s">
        <v>77</v>
      </c>
      <c r="E3199" s="30" t="s">
        <v>8633</v>
      </c>
      <c r="F3199" s="34" t="n">
        <f aca="false">IFERROR(VLOOKUP($A3199,'319'!$B:$H,7,0),0)</f>
        <v>0</v>
      </c>
      <c r="G3199" s="34" t="n">
        <f aca="false">SUMIFS('12.326ana'!$C:$C,'12.326ana'!$M:$M,redes!A3199)</f>
        <v>0</v>
      </c>
    </row>
    <row r="3200" customFormat="false" ht="14.4" hidden="true" customHeight="false" outlineLevel="0" collapsed="false">
      <c r="A3200" s="34" t="n">
        <v>54106362104</v>
      </c>
      <c r="B3200" s="34" t="s">
        <v>8634</v>
      </c>
      <c r="C3200" s="34" t="s">
        <v>706</v>
      </c>
      <c r="E3200" s="30" t="s">
        <v>8635</v>
      </c>
      <c r="F3200" s="34" t="n">
        <f aca="false">IFERROR(VLOOKUP($A3200,'319'!$B:$H,7,0),0)</f>
        <v>0</v>
      </c>
      <c r="G3200" s="34" t="n">
        <f aca="false">SUMIFS('12.326ana'!$C:$C,'12.326ana'!$M:$M,redes!A3200)</f>
        <v>0</v>
      </c>
    </row>
    <row r="3201" customFormat="false" ht="14.4" hidden="true" customHeight="false" outlineLevel="0" collapsed="false">
      <c r="A3201" s="34" t="n">
        <v>54107539172</v>
      </c>
      <c r="B3201" s="34" t="s">
        <v>8636</v>
      </c>
      <c r="C3201" s="34" t="s">
        <v>103</v>
      </c>
      <c r="E3201" s="30" t="s">
        <v>8637</v>
      </c>
      <c r="F3201" s="34" t="n">
        <f aca="false">IFERROR(VLOOKUP($A3201,'319'!$B:$H,7,0),0)</f>
        <v>0</v>
      </c>
      <c r="G3201" s="34" t="n">
        <f aca="false">SUMIFS('12.326ana'!$C:$C,'12.326ana'!$M:$M,redes!A3201)</f>
        <v>0</v>
      </c>
    </row>
    <row r="3202" customFormat="false" ht="14.4" hidden="true" customHeight="false" outlineLevel="0" collapsed="false">
      <c r="A3202" s="34" t="n">
        <v>54175437134</v>
      </c>
      <c r="B3202" s="34" t="s">
        <v>8638</v>
      </c>
      <c r="C3202" s="34" t="s">
        <v>103</v>
      </c>
      <c r="E3202" s="30" t="s">
        <v>8639</v>
      </c>
      <c r="F3202" s="34" t="n">
        <f aca="false">IFERROR(VLOOKUP($A3202,'319'!$B:$H,7,0),0)</f>
        <v>0</v>
      </c>
      <c r="G3202" s="34" t="n">
        <f aca="false">SUMIFS('12.326ana'!$C:$C,'12.326ana'!$M:$M,redes!A3202)</f>
        <v>0</v>
      </c>
    </row>
    <row r="3203" customFormat="false" ht="14.4" hidden="true" customHeight="false" outlineLevel="0" collapsed="false">
      <c r="A3203" s="34" t="n">
        <v>54178282115</v>
      </c>
      <c r="B3203" s="34" t="s">
        <v>8640</v>
      </c>
      <c r="C3203" s="34" t="s">
        <v>103</v>
      </c>
      <c r="E3203" s="30" t="s">
        <v>8641</v>
      </c>
      <c r="F3203" s="34" t="n">
        <f aca="false">IFERROR(VLOOKUP($A3203,'319'!$B:$H,7,0),0)</f>
        <v>0</v>
      </c>
      <c r="G3203" s="34" t="n">
        <f aca="false">SUMIFS('12.326ana'!$C:$C,'12.326ana'!$M:$M,redes!A3203)</f>
        <v>0</v>
      </c>
    </row>
    <row r="3204" customFormat="false" ht="14.4" hidden="true" customHeight="false" outlineLevel="0" collapsed="false">
      <c r="A3204" s="34" t="n">
        <v>54182174100</v>
      </c>
      <c r="B3204" s="34" t="s">
        <v>8642</v>
      </c>
      <c r="C3204" s="34" t="s">
        <v>737</v>
      </c>
      <c r="E3204" s="30" t="s">
        <v>8643</v>
      </c>
      <c r="F3204" s="34" t="n">
        <f aca="false">IFERROR(VLOOKUP($A3204,'319'!$B:$H,7,0),0)</f>
        <v>0</v>
      </c>
      <c r="G3204" s="34" t="n">
        <f aca="false">SUMIFS('12.326ana'!$C:$C,'12.326ana'!$M:$M,redes!A3204)</f>
        <v>0</v>
      </c>
    </row>
    <row r="3205" customFormat="false" ht="14.4" hidden="true" customHeight="false" outlineLevel="0" collapsed="false">
      <c r="A3205" s="34" t="n">
        <v>54186773149</v>
      </c>
      <c r="B3205" s="34" t="s">
        <v>8644</v>
      </c>
      <c r="C3205" s="34" t="s">
        <v>103</v>
      </c>
      <c r="E3205" s="30" t="s">
        <v>8645</v>
      </c>
      <c r="F3205" s="34" t="n">
        <f aca="false">IFERROR(VLOOKUP($A3205,'319'!$B:$H,7,0),0)</f>
        <v>0</v>
      </c>
      <c r="G3205" s="34" t="n">
        <f aca="false">SUMIFS('12.326ana'!$C:$C,'12.326ana'!$M:$M,redes!A3205)</f>
        <v>0</v>
      </c>
    </row>
    <row r="3206" customFormat="false" ht="14.4" hidden="true" customHeight="false" outlineLevel="0" collapsed="false">
      <c r="A3206" s="34" t="n">
        <v>54195705134</v>
      </c>
      <c r="B3206" s="34" t="s">
        <v>8646</v>
      </c>
      <c r="C3206" s="34" t="s">
        <v>103</v>
      </c>
      <c r="E3206" s="30" t="s">
        <v>8646</v>
      </c>
      <c r="F3206" s="34" t="n">
        <f aca="false">IFERROR(VLOOKUP($A3206,'319'!$B:$H,7,0),0)</f>
        <v>0</v>
      </c>
      <c r="G3206" s="34" t="n">
        <f aca="false">SUMIFS('12.326ana'!$C:$C,'12.326ana'!$M:$M,redes!A3206)</f>
        <v>0</v>
      </c>
    </row>
    <row r="3207" customFormat="false" ht="14.4" hidden="true" customHeight="false" outlineLevel="0" collapsed="false">
      <c r="A3207" s="34" t="n">
        <v>54204534104</v>
      </c>
      <c r="B3207" s="34" t="s">
        <v>8647</v>
      </c>
      <c r="C3207" s="34" t="s">
        <v>103</v>
      </c>
      <c r="E3207" s="30" t="s">
        <v>8648</v>
      </c>
      <c r="F3207" s="34" t="n">
        <f aca="false">IFERROR(VLOOKUP($A3207,'319'!$B:$H,7,0),0)</f>
        <v>0</v>
      </c>
      <c r="G3207" s="34" t="n">
        <f aca="false">SUMIFS('12.326ana'!$C:$C,'12.326ana'!$M:$M,redes!A3207)</f>
        <v>0</v>
      </c>
    </row>
    <row r="3208" customFormat="false" ht="14.4" hidden="true" customHeight="false" outlineLevel="0" collapsed="false">
      <c r="A3208" s="34" t="n">
        <v>54209781134</v>
      </c>
      <c r="B3208" s="34" t="s">
        <v>8649</v>
      </c>
      <c r="C3208" s="34" t="s">
        <v>103</v>
      </c>
      <c r="E3208" s="30" t="s">
        <v>8650</v>
      </c>
      <c r="F3208" s="34" t="n">
        <f aca="false">IFERROR(VLOOKUP($A3208,'319'!$B:$H,7,0),0)</f>
        <v>0</v>
      </c>
      <c r="G3208" s="34" t="n">
        <f aca="false">SUMIFS('12.326ana'!$C:$C,'12.326ana'!$M:$M,redes!A3208)</f>
        <v>0</v>
      </c>
    </row>
    <row r="3209" customFormat="false" ht="14.4" hidden="true" customHeight="false" outlineLevel="0" collapsed="false">
      <c r="A3209" s="34" t="n">
        <v>54210046191</v>
      </c>
      <c r="B3209" s="34" t="s">
        <v>8651</v>
      </c>
      <c r="C3209" s="34" t="s">
        <v>473</v>
      </c>
      <c r="E3209" s="30" t="s">
        <v>6533</v>
      </c>
      <c r="F3209" s="34" t="n">
        <f aca="false">IFERROR(VLOOKUP($A3209,'319'!$B:$H,7,0),0)</f>
        <v>0</v>
      </c>
      <c r="G3209" s="34" t="n">
        <f aca="false">SUMIFS('12.326ana'!$C:$C,'12.326ana'!$M:$M,redes!A3209)</f>
        <v>0</v>
      </c>
    </row>
    <row r="3210" customFormat="false" ht="14.4" hidden="true" customHeight="false" outlineLevel="0" collapsed="false">
      <c r="A3210" s="34" t="n">
        <v>54217377134</v>
      </c>
      <c r="B3210" s="34" t="s">
        <v>8652</v>
      </c>
      <c r="C3210" s="34" t="s">
        <v>103</v>
      </c>
      <c r="E3210" s="30" t="s">
        <v>8653</v>
      </c>
      <c r="F3210" s="34" t="n">
        <f aca="false">IFERROR(VLOOKUP($A3210,'319'!$B:$H,7,0),0)</f>
        <v>0</v>
      </c>
      <c r="G3210" s="34" t="n">
        <f aca="false">SUMIFS('12.326ana'!$C:$C,'12.326ana'!$M:$M,redes!A3210)</f>
        <v>0</v>
      </c>
    </row>
    <row r="3211" customFormat="false" ht="14.4" hidden="true" customHeight="false" outlineLevel="0" collapsed="false">
      <c r="A3211" s="34" t="n">
        <v>54223083104</v>
      </c>
      <c r="B3211" s="34" t="s">
        <v>8654</v>
      </c>
      <c r="C3211" s="34" t="s">
        <v>77</v>
      </c>
      <c r="E3211" s="30" t="s">
        <v>8654</v>
      </c>
      <c r="F3211" s="34" t="n">
        <f aca="false">IFERROR(VLOOKUP($A3211,'319'!$B:$H,7,0),0)</f>
        <v>0</v>
      </c>
      <c r="G3211" s="34" t="n">
        <f aca="false">SUMIFS('12.326ana'!$C:$C,'12.326ana'!$M:$M,redes!A3211)</f>
        <v>0</v>
      </c>
    </row>
    <row r="3212" customFormat="false" ht="14.4" hidden="true" customHeight="false" outlineLevel="0" collapsed="false">
      <c r="A3212" s="34" t="n">
        <v>54223725149</v>
      </c>
      <c r="B3212" s="34" t="s">
        <v>8655</v>
      </c>
      <c r="C3212" s="34" t="s">
        <v>77</v>
      </c>
      <c r="E3212" s="30" t="s">
        <v>8656</v>
      </c>
      <c r="F3212" s="34" t="n">
        <f aca="false">IFERROR(VLOOKUP($A3212,'319'!$B:$H,7,0),0)</f>
        <v>0</v>
      </c>
      <c r="G3212" s="34" t="n">
        <f aca="false">SUMIFS('12.326ana'!$C:$C,'12.326ana'!$M:$M,redes!A3212)</f>
        <v>0</v>
      </c>
    </row>
    <row r="3213" customFormat="false" ht="14.4" hidden="true" customHeight="false" outlineLevel="0" collapsed="false">
      <c r="A3213" s="34" t="n">
        <v>54224292149</v>
      </c>
      <c r="B3213" s="34" t="s">
        <v>8657</v>
      </c>
      <c r="C3213" s="34" t="s">
        <v>77</v>
      </c>
      <c r="E3213" s="30" t="s">
        <v>4999</v>
      </c>
      <c r="F3213" s="34" t="n">
        <f aca="false">IFERROR(VLOOKUP($A3213,'319'!$B:$H,7,0),0)</f>
        <v>0</v>
      </c>
      <c r="G3213" s="34" t="n">
        <f aca="false">SUMIFS('12.326ana'!$C:$C,'12.326ana'!$M:$M,redes!A3213)</f>
        <v>0</v>
      </c>
    </row>
    <row r="3214" customFormat="false" ht="14.4" hidden="true" customHeight="false" outlineLevel="0" collapsed="false">
      <c r="A3214" s="34" t="n">
        <v>54224403153</v>
      </c>
      <c r="B3214" s="34" t="s">
        <v>8658</v>
      </c>
      <c r="C3214" s="34" t="s">
        <v>77</v>
      </c>
      <c r="E3214" s="30"/>
      <c r="F3214" s="34" t="n">
        <f aca="false">IFERROR(VLOOKUP($A3214,'319'!$B:$H,7,0),0)</f>
        <v>0</v>
      </c>
      <c r="G3214" s="34" t="n">
        <f aca="false">SUMIFS('12.326ana'!$C:$C,'12.326ana'!$M:$M,redes!A3214)</f>
        <v>0</v>
      </c>
    </row>
    <row r="3215" customFormat="false" ht="14.4" hidden="true" customHeight="false" outlineLevel="0" collapsed="false">
      <c r="A3215" s="34" t="n">
        <v>54224446120</v>
      </c>
      <c r="B3215" s="34" t="s">
        <v>8659</v>
      </c>
      <c r="C3215" s="34" t="s">
        <v>77</v>
      </c>
      <c r="E3215" s="30" t="s">
        <v>4999</v>
      </c>
      <c r="F3215" s="34" t="n">
        <f aca="false">IFERROR(VLOOKUP($A3215,'319'!$B:$H,7,0),0)</f>
        <v>0</v>
      </c>
      <c r="G3215" s="34" t="n">
        <f aca="false">SUMIFS('12.326ana'!$C:$C,'12.326ana'!$M:$M,redes!A3215)</f>
        <v>0</v>
      </c>
    </row>
    <row r="3216" customFormat="false" ht="14.4" hidden="true" customHeight="false" outlineLevel="0" collapsed="false">
      <c r="A3216" s="34" t="n">
        <v>54225639134</v>
      </c>
      <c r="B3216" s="34" t="s">
        <v>8660</v>
      </c>
      <c r="C3216" s="34" t="s">
        <v>4261</v>
      </c>
      <c r="E3216" s="30" t="s">
        <v>8661</v>
      </c>
      <c r="F3216" s="34" t="n">
        <f aca="false">IFERROR(VLOOKUP($A3216,'319'!$B:$H,7,0),0)</f>
        <v>0</v>
      </c>
      <c r="G3216" s="34" t="n">
        <f aca="false">SUMIFS('12.326ana'!$C:$C,'12.326ana'!$M:$M,redes!A3216)</f>
        <v>0</v>
      </c>
    </row>
    <row r="3217" customFormat="false" ht="14.4" hidden="true" customHeight="false" outlineLevel="0" collapsed="false">
      <c r="A3217" s="34" t="n">
        <v>54225892115</v>
      </c>
      <c r="B3217" s="34" t="s">
        <v>8662</v>
      </c>
      <c r="C3217" s="34" t="s">
        <v>77</v>
      </c>
      <c r="E3217" s="30" t="s">
        <v>8663</v>
      </c>
      <c r="F3217" s="34" t="n">
        <f aca="false">IFERROR(VLOOKUP($A3217,'319'!$B:$H,7,0),0)</f>
        <v>0</v>
      </c>
      <c r="G3217" s="34" t="n">
        <f aca="false">SUMIFS('12.326ana'!$C:$C,'12.326ana'!$M:$M,redes!A3217)</f>
        <v>0</v>
      </c>
    </row>
    <row r="3218" customFormat="false" ht="14.4" hidden="true" customHeight="false" outlineLevel="0" collapsed="false">
      <c r="A3218" s="34" t="n">
        <v>54225957187</v>
      </c>
      <c r="B3218" s="34" t="s">
        <v>8664</v>
      </c>
      <c r="C3218" s="34" t="s">
        <v>77</v>
      </c>
      <c r="E3218" s="30" t="s">
        <v>8665</v>
      </c>
      <c r="F3218" s="34" t="n">
        <f aca="false">IFERROR(VLOOKUP($A3218,'319'!$B:$H,7,0),0)</f>
        <v>0</v>
      </c>
      <c r="G3218" s="34" t="n">
        <f aca="false">SUMIFS('12.326ana'!$C:$C,'12.326ana'!$M:$M,redes!A3218)</f>
        <v>0</v>
      </c>
    </row>
    <row r="3219" customFormat="false" ht="14.4" hidden="true" customHeight="false" outlineLevel="0" collapsed="false">
      <c r="A3219" s="34" t="n">
        <v>54227020182</v>
      </c>
      <c r="B3219" s="34" t="s">
        <v>8666</v>
      </c>
      <c r="C3219" s="34" t="s">
        <v>77</v>
      </c>
      <c r="E3219" s="30" t="s">
        <v>8667</v>
      </c>
      <c r="F3219" s="34" t="n">
        <f aca="false">IFERROR(VLOOKUP($A3219,'319'!$B:$H,7,0),0)</f>
        <v>0</v>
      </c>
      <c r="G3219" s="34" t="n">
        <f aca="false">SUMIFS('12.326ana'!$C:$C,'12.326ana'!$M:$M,redes!A3219)</f>
        <v>0</v>
      </c>
    </row>
    <row r="3220" customFormat="false" ht="14.4" hidden="true" customHeight="false" outlineLevel="0" collapsed="false">
      <c r="A3220" s="34" t="n">
        <v>54228883168</v>
      </c>
      <c r="B3220" s="34" t="s">
        <v>8668</v>
      </c>
      <c r="C3220" s="34" t="s">
        <v>77</v>
      </c>
      <c r="E3220" s="30" t="s">
        <v>8668</v>
      </c>
      <c r="F3220" s="34" t="n">
        <f aca="false">IFERROR(VLOOKUP($A3220,'319'!$B:$H,7,0),0)</f>
        <v>0</v>
      </c>
      <c r="G3220" s="34" t="n">
        <f aca="false">SUMIFS('12.326ana'!$C:$C,'12.326ana'!$M:$M,redes!A3220)</f>
        <v>0</v>
      </c>
    </row>
    <row r="3221" customFormat="false" ht="14.4" hidden="true" customHeight="false" outlineLevel="0" collapsed="false">
      <c r="A3221" s="34" t="n">
        <v>54235111191</v>
      </c>
      <c r="B3221" s="34" t="s">
        <v>8669</v>
      </c>
      <c r="C3221" s="34" t="s">
        <v>2998</v>
      </c>
      <c r="E3221" s="30" t="s">
        <v>8669</v>
      </c>
      <c r="F3221" s="34" t="n">
        <f aca="false">IFERROR(VLOOKUP($A3221,'319'!$B:$H,7,0),0)</f>
        <v>0</v>
      </c>
      <c r="G3221" s="34" t="n">
        <f aca="false">SUMIFS('12.326ana'!$C:$C,'12.326ana'!$M:$M,redes!A3221)</f>
        <v>0</v>
      </c>
    </row>
    <row r="3222" customFormat="false" ht="14.4" hidden="true" customHeight="false" outlineLevel="0" collapsed="false">
      <c r="A3222" s="34" t="n">
        <v>54235987100</v>
      </c>
      <c r="B3222" s="34" t="s">
        <v>8670</v>
      </c>
      <c r="C3222" s="34" t="s">
        <v>1272</v>
      </c>
      <c r="E3222" s="30" t="s">
        <v>8671</v>
      </c>
      <c r="F3222" s="34" t="n">
        <f aca="false">IFERROR(VLOOKUP($A3222,'319'!$B:$H,7,0),0)</f>
        <v>0</v>
      </c>
      <c r="G3222" s="34" t="n">
        <f aca="false">SUMIFS('12.326ana'!$C:$C,'12.326ana'!$M:$M,redes!A3222)</f>
        <v>0</v>
      </c>
    </row>
    <row r="3223" customFormat="false" ht="14.4" hidden="true" customHeight="false" outlineLevel="0" collapsed="false">
      <c r="A3223" s="34" t="n">
        <v>54239389100</v>
      </c>
      <c r="B3223" s="34" t="s">
        <v>8672</v>
      </c>
      <c r="C3223" s="34" t="s">
        <v>631</v>
      </c>
      <c r="E3223" s="30" t="s">
        <v>8673</v>
      </c>
      <c r="F3223" s="34" t="n">
        <f aca="false">IFERROR(VLOOKUP($A3223,'319'!$B:$H,7,0),0)</f>
        <v>0</v>
      </c>
      <c r="G3223" s="34" t="n">
        <f aca="false">SUMIFS('12.326ana'!$C:$C,'12.326ana'!$M:$M,redes!A3223)</f>
        <v>0</v>
      </c>
    </row>
    <row r="3224" customFormat="false" ht="14.4" hidden="true" customHeight="false" outlineLevel="0" collapsed="false">
      <c r="A3224" s="34" t="n">
        <v>54241413153</v>
      </c>
      <c r="B3224" s="34" t="s">
        <v>8674</v>
      </c>
      <c r="C3224" s="34" t="s">
        <v>631</v>
      </c>
      <c r="E3224" s="30" t="s">
        <v>8675</v>
      </c>
      <c r="F3224" s="34" t="n">
        <f aca="false">IFERROR(VLOOKUP($A3224,'319'!$B:$H,7,0),0)</f>
        <v>0</v>
      </c>
      <c r="G3224" s="34" t="n">
        <f aca="false">SUMIFS('12.326ana'!$C:$C,'12.326ana'!$M:$M,redes!A3224)</f>
        <v>0</v>
      </c>
    </row>
    <row r="3225" customFormat="false" ht="14.4" hidden="true" customHeight="false" outlineLevel="0" collapsed="false">
      <c r="A3225" s="34" t="n">
        <v>54244862153</v>
      </c>
      <c r="B3225" s="34" t="s">
        <v>8676</v>
      </c>
      <c r="C3225" s="34" t="s">
        <v>213</v>
      </c>
      <c r="E3225" s="30" t="s">
        <v>8677</v>
      </c>
      <c r="F3225" s="34" t="n">
        <f aca="false">IFERROR(VLOOKUP($A3225,'319'!$B:$H,7,0),0)</f>
        <v>0</v>
      </c>
      <c r="G3225" s="34" t="n">
        <f aca="false">SUMIFS('12.326ana'!$C:$C,'12.326ana'!$M:$M,redes!A3225)</f>
        <v>0</v>
      </c>
    </row>
    <row r="3226" customFormat="false" ht="14.4" hidden="true" customHeight="false" outlineLevel="0" collapsed="false">
      <c r="A3226" s="34" t="n">
        <v>54248523191</v>
      </c>
      <c r="B3226" s="34" t="s">
        <v>8678</v>
      </c>
      <c r="C3226" s="34" t="s">
        <v>77</v>
      </c>
      <c r="E3226" s="30" t="s">
        <v>8679</v>
      </c>
      <c r="F3226" s="34" t="n">
        <f aca="false">IFERROR(VLOOKUP($A3226,'319'!$B:$H,7,0),0)</f>
        <v>0</v>
      </c>
      <c r="G3226" s="34" t="n">
        <f aca="false">SUMIFS('12.326ana'!$C:$C,'12.326ana'!$M:$M,redes!A3226)</f>
        <v>0</v>
      </c>
    </row>
    <row r="3227" customFormat="false" ht="14.4" hidden="true" customHeight="false" outlineLevel="0" collapsed="false">
      <c r="A3227" s="34" t="n">
        <v>54249058115</v>
      </c>
      <c r="B3227" s="34" t="s">
        <v>8680</v>
      </c>
      <c r="C3227" s="34" t="s">
        <v>77</v>
      </c>
      <c r="E3227" s="30" t="s">
        <v>8330</v>
      </c>
      <c r="F3227" s="34" t="n">
        <f aca="false">IFERROR(VLOOKUP($A3227,'319'!$B:$H,7,0),0)</f>
        <v>0</v>
      </c>
      <c r="G3227" s="34" t="n">
        <f aca="false">SUMIFS('12.326ana'!$C:$C,'12.326ana'!$M:$M,redes!A3227)</f>
        <v>0</v>
      </c>
    </row>
    <row r="3228" customFormat="false" ht="14.4" hidden="true" customHeight="false" outlineLevel="0" collapsed="false">
      <c r="A3228" s="34" t="n">
        <v>54249511120</v>
      </c>
      <c r="B3228" s="34" t="s">
        <v>8681</v>
      </c>
      <c r="C3228" s="34" t="s">
        <v>77</v>
      </c>
      <c r="E3228" s="30" t="s">
        <v>3446</v>
      </c>
      <c r="F3228" s="34" t="n">
        <f aca="false">IFERROR(VLOOKUP($A3228,'319'!$B:$H,7,0),0)</f>
        <v>0</v>
      </c>
      <c r="G3228" s="34" t="n">
        <f aca="false">SUMIFS('12.326ana'!$C:$C,'12.326ana'!$M:$M,redes!A3228)</f>
        <v>0</v>
      </c>
    </row>
    <row r="3229" customFormat="false" ht="14.4" hidden="true" customHeight="false" outlineLevel="0" collapsed="false">
      <c r="A3229" s="34" t="n">
        <v>54250900134</v>
      </c>
      <c r="B3229" s="34" t="s">
        <v>8682</v>
      </c>
      <c r="C3229" s="34" t="s">
        <v>351</v>
      </c>
      <c r="E3229" s="30" t="s">
        <v>8683</v>
      </c>
      <c r="F3229" s="34" t="n">
        <f aca="false">IFERROR(VLOOKUP($A3229,'319'!$B:$H,7,0),0)</f>
        <v>0</v>
      </c>
      <c r="G3229" s="34" t="n">
        <f aca="false">SUMIFS('12.326ana'!$C:$C,'12.326ana'!$M:$M,redes!A3229)</f>
        <v>0</v>
      </c>
    </row>
    <row r="3230" customFormat="false" ht="14.4" hidden="true" customHeight="false" outlineLevel="0" collapsed="false">
      <c r="A3230" s="34" t="n">
        <v>54255147191</v>
      </c>
      <c r="B3230" s="34" t="s">
        <v>8684</v>
      </c>
      <c r="C3230" s="34" t="s">
        <v>77</v>
      </c>
      <c r="E3230" s="30" t="s">
        <v>8685</v>
      </c>
      <c r="F3230" s="34" t="n">
        <f aca="false">IFERROR(VLOOKUP($A3230,'319'!$B:$H,7,0),0)</f>
        <v>0</v>
      </c>
      <c r="G3230" s="34" t="n">
        <f aca="false">SUMIFS('12.326ana'!$C:$C,'12.326ana'!$M:$M,redes!A3230)</f>
        <v>0</v>
      </c>
    </row>
    <row r="3231" customFormat="false" ht="14.4" hidden="true" customHeight="false" outlineLevel="0" collapsed="false">
      <c r="A3231" s="34" t="n">
        <v>54255759120</v>
      </c>
      <c r="B3231" s="34" t="s">
        <v>8686</v>
      </c>
      <c r="C3231" s="34" t="s">
        <v>77</v>
      </c>
      <c r="E3231" s="30" t="s">
        <v>8687</v>
      </c>
      <c r="F3231" s="34" t="n">
        <f aca="false">IFERROR(VLOOKUP($A3231,'319'!$B:$H,7,0),0)</f>
        <v>0</v>
      </c>
      <c r="G3231" s="34" t="n">
        <f aca="false">SUMIFS('12.326ana'!$C:$C,'12.326ana'!$M:$M,redes!A3231)</f>
        <v>0</v>
      </c>
    </row>
    <row r="3232" customFormat="false" ht="14.4" hidden="true" customHeight="false" outlineLevel="0" collapsed="false">
      <c r="A3232" s="34" t="n">
        <v>54259410130</v>
      </c>
      <c r="B3232" s="34" t="s">
        <v>8688</v>
      </c>
      <c r="C3232" s="34" t="s">
        <v>464</v>
      </c>
      <c r="E3232" s="30" t="s">
        <v>8689</v>
      </c>
      <c r="F3232" s="34" t="n">
        <f aca="false">IFERROR(VLOOKUP($A3232,'319'!$B:$H,7,0),0)</f>
        <v>0</v>
      </c>
      <c r="G3232" s="34" t="n">
        <f aca="false">SUMIFS('12.326ana'!$C:$C,'12.326ana'!$M:$M,redes!A3232)</f>
        <v>0</v>
      </c>
    </row>
    <row r="3233" customFormat="false" ht="14.4" hidden="true" customHeight="false" outlineLevel="0" collapsed="false">
      <c r="A3233" s="34" t="n">
        <v>54261708191</v>
      </c>
      <c r="B3233" s="34" t="s">
        <v>8690</v>
      </c>
      <c r="C3233" s="34" t="s">
        <v>197</v>
      </c>
      <c r="E3233" s="30" t="s">
        <v>8691</v>
      </c>
      <c r="F3233" s="34" t="n">
        <f aca="false">IFERROR(VLOOKUP($A3233,'319'!$B:$H,7,0),0)</f>
        <v>0</v>
      </c>
      <c r="G3233" s="34" t="n">
        <f aca="false">SUMIFS('12.326ana'!$C:$C,'12.326ana'!$M:$M,redes!A3233)</f>
        <v>0</v>
      </c>
    </row>
    <row r="3234" customFormat="false" ht="14.4" hidden="true" customHeight="false" outlineLevel="0" collapsed="false">
      <c r="A3234" s="34" t="n">
        <v>54263670191</v>
      </c>
      <c r="B3234" s="34" t="s">
        <v>8692</v>
      </c>
      <c r="C3234" s="34" t="s">
        <v>207</v>
      </c>
      <c r="E3234" s="30" t="s">
        <v>5750</v>
      </c>
      <c r="F3234" s="34" t="n">
        <f aca="false">IFERROR(VLOOKUP($A3234,'319'!$B:$H,7,0),0)</f>
        <v>0</v>
      </c>
      <c r="G3234" s="34" t="n">
        <f aca="false">SUMIFS('12.326ana'!$C:$C,'12.326ana'!$M:$M,redes!A3234)</f>
        <v>0</v>
      </c>
    </row>
    <row r="3235" customFormat="false" ht="14.4" hidden="true" customHeight="false" outlineLevel="0" collapsed="false">
      <c r="A3235" s="34" t="n">
        <v>54270294191</v>
      </c>
      <c r="B3235" s="34" t="s">
        <v>8693</v>
      </c>
      <c r="C3235" s="34" t="s">
        <v>107</v>
      </c>
      <c r="E3235" s="30" t="s">
        <v>8694</v>
      </c>
      <c r="F3235" s="34" t="n">
        <f aca="false">IFERROR(VLOOKUP($A3235,'319'!$B:$H,7,0),0)</f>
        <v>0</v>
      </c>
      <c r="G3235" s="34" t="n">
        <f aca="false">SUMIFS('12.326ana'!$C:$C,'12.326ana'!$M:$M,redes!A3235)</f>
        <v>0</v>
      </c>
    </row>
    <row r="3236" customFormat="false" ht="14.4" hidden="true" customHeight="false" outlineLevel="0" collapsed="false">
      <c r="A3236" s="34" t="n">
        <v>54275083172</v>
      </c>
      <c r="B3236" s="34" t="s">
        <v>8695</v>
      </c>
      <c r="C3236" s="34" t="s">
        <v>604</v>
      </c>
      <c r="E3236" s="30" t="s">
        <v>8696</v>
      </c>
      <c r="F3236" s="34" t="n">
        <f aca="false">IFERROR(VLOOKUP($A3236,'319'!$B:$H,7,0),0)</f>
        <v>0</v>
      </c>
      <c r="G3236" s="34" t="n">
        <f aca="false">SUMIFS('12.326ana'!$C:$C,'12.326ana'!$M:$M,redes!A3236)</f>
        <v>0</v>
      </c>
    </row>
    <row r="3237" customFormat="false" ht="14.4" hidden="true" customHeight="false" outlineLevel="0" collapsed="false">
      <c r="A3237" s="34" t="n">
        <v>54276748100</v>
      </c>
      <c r="B3237" s="34" t="s">
        <v>8697</v>
      </c>
      <c r="C3237" s="34" t="s">
        <v>107</v>
      </c>
      <c r="E3237" s="30" t="s">
        <v>8698</v>
      </c>
      <c r="F3237" s="34" t="n">
        <f aca="false">IFERROR(VLOOKUP($A3237,'319'!$B:$H,7,0),0)</f>
        <v>0</v>
      </c>
      <c r="G3237" s="34" t="n">
        <f aca="false">SUMIFS('12.326ana'!$C:$C,'12.326ana'!$M:$M,redes!A3237)</f>
        <v>0</v>
      </c>
    </row>
    <row r="3238" customFormat="false" ht="14.4" hidden="true" customHeight="false" outlineLevel="0" collapsed="false">
      <c r="A3238" s="34" t="n">
        <v>54286689115</v>
      </c>
      <c r="B3238" s="34" t="s">
        <v>8699</v>
      </c>
      <c r="C3238" s="34" t="s">
        <v>107</v>
      </c>
      <c r="E3238" s="30" t="s">
        <v>8700</v>
      </c>
      <c r="F3238" s="34" t="n">
        <f aca="false">IFERROR(VLOOKUP($A3238,'319'!$B:$H,7,0),0)</f>
        <v>0</v>
      </c>
      <c r="G3238" s="34" t="n">
        <f aca="false">SUMIFS('12.326ana'!$C:$C,'12.326ana'!$M:$M,redes!A3238)</f>
        <v>0</v>
      </c>
    </row>
    <row r="3239" customFormat="false" ht="14.4" hidden="true" customHeight="false" outlineLevel="0" collapsed="false">
      <c r="A3239" s="34" t="n">
        <v>54287332172</v>
      </c>
      <c r="B3239" s="34" t="s">
        <v>8701</v>
      </c>
      <c r="C3239" s="34" t="s">
        <v>77</v>
      </c>
      <c r="E3239" s="30" t="s">
        <v>8702</v>
      </c>
      <c r="F3239" s="34" t="n">
        <f aca="false">IFERROR(VLOOKUP($A3239,'319'!$B:$H,7,0),0)</f>
        <v>0</v>
      </c>
      <c r="G3239" s="34" t="n">
        <f aca="false">SUMIFS('12.326ana'!$C:$C,'12.326ana'!$M:$M,redes!A3239)</f>
        <v>0</v>
      </c>
    </row>
    <row r="3240" customFormat="false" ht="14.4" hidden="true" customHeight="false" outlineLevel="0" collapsed="false">
      <c r="A3240" s="34" t="n">
        <v>54287375149</v>
      </c>
      <c r="B3240" s="34" t="s">
        <v>8703</v>
      </c>
      <c r="C3240" s="34" t="s">
        <v>77</v>
      </c>
      <c r="E3240" s="30" t="s">
        <v>8704</v>
      </c>
      <c r="F3240" s="34" t="n">
        <f aca="false">IFERROR(VLOOKUP($A3240,'319'!$B:$H,7,0),0)</f>
        <v>0</v>
      </c>
      <c r="G3240" s="34" t="n">
        <f aca="false">SUMIFS('12.326ana'!$C:$C,'12.326ana'!$M:$M,redes!A3240)</f>
        <v>0</v>
      </c>
    </row>
    <row r="3241" customFormat="false" ht="14.4" hidden="true" customHeight="false" outlineLevel="0" collapsed="false">
      <c r="A3241" s="34" t="n">
        <v>54292212104</v>
      </c>
      <c r="B3241" s="34" t="s">
        <v>8705</v>
      </c>
      <c r="C3241" s="34" t="s">
        <v>77</v>
      </c>
      <c r="E3241" s="30" t="s">
        <v>8706</v>
      </c>
      <c r="F3241" s="34" t="n">
        <f aca="false">IFERROR(VLOOKUP($A3241,'319'!$B:$H,7,0),0)</f>
        <v>0</v>
      </c>
      <c r="G3241" s="34" t="n">
        <f aca="false">SUMIFS('12.326ana'!$C:$C,'12.326ana'!$M:$M,redes!A3241)</f>
        <v>0</v>
      </c>
    </row>
    <row r="3242" customFormat="false" ht="14.4" hidden="true" customHeight="false" outlineLevel="0" collapsed="false">
      <c r="A3242" s="34" t="n">
        <v>54292573115</v>
      </c>
      <c r="B3242" s="34" t="s">
        <v>8707</v>
      </c>
      <c r="C3242" s="34" t="s">
        <v>77</v>
      </c>
      <c r="E3242" s="30"/>
      <c r="F3242" s="34" t="n">
        <f aca="false">IFERROR(VLOOKUP($A3242,'319'!$B:$H,7,0),0)</f>
        <v>0</v>
      </c>
      <c r="G3242" s="34" t="n">
        <f aca="false">SUMIFS('12.326ana'!$C:$C,'12.326ana'!$M:$M,redes!A3242)</f>
        <v>0</v>
      </c>
    </row>
    <row r="3243" customFormat="false" ht="14.4" hidden="true" customHeight="false" outlineLevel="0" collapsed="false">
      <c r="A3243" s="34" t="n">
        <v>54292697191</v>
      </c>
      <c r="B3243" s="34" t="s">
        <v>8708</v>
      </c>
      <c r="C3243" s="34" t="s">
        <v>77</v>
      </c>
      <c r="E3243" s="30" t="s">
        <v>8709</v>
      </c>
      <c r="F3243" s="34" t="n">
        <f aca="false">IFERROR(VLOOKUP($A3243,'319'!$B:$H,7,0),0)</f>
        <v>0</v>
      </c>
      <c r="G3243" s="34" t="n">
        <f aca="false">SUMIFS('12.326ana'!$C:$C,'12.326ana'!$M:$M,redes!A3243)</f>
        <v>0</v>
      </c>
    </row>
    <row r="3244" customFormat="false" ht="14.4" hidden="true" customHeight="false" outlineLevel="0" collapsed="false">
      <c r="A3244" s="34" t="n">
        <v>54292751153</v>
      </c>
      <c r="B3244" s="34" t="s">
        <v>8710</v>
      </c>
      <c r="C3244" s="34" t="s">
        <v>77</v>
      </c>
      <c r="E3244" s="30" t="s">
        <v>3206</v>
      </c>
      <c r="F3244" s="34" t="n">
        <f aca="false">IFERROR(VLOOKUP($A3244,'319'!$B:$H,7,0),0)</f>
        <v>0</v>
      </c>
      <c r="G3244" s="34" t="n">
        <f aca="false">SUMIFS('12.326ana'!$C:$C,'12.326ana'!$M:$M,redes!A3244)</f>
        <v>0</v>
      </c>
    </row>
    <row r="3245" customFormat="false" ht="14.4" hidden="true" customHeight="false" outlineLevel="0" collapsed="false">
      <c r="A3245" s="34" t="n">
        <v>54294495120</v>
      </c>
      <c r="B3245" s="34" t="s">
        <v>8711</v>
      </c>
      <c r="C3245" s="34" t="s">
        <v>77</v>
      </c>
      <c r="E3245" s="30" t="s">
        <v>7730</v>
      </c>
      <c r="F3245" s="34" t="n">
        <f aca="false">IFERROR(VLOOKUP($A3245,'319'!$B:$H,7,0),0)</f>
        <v>0</v>
      </c>
      <c r="G3245" s="34" t="n">
        <f aca="false">SUMIFS('12.326ana'!$C:$C,'12.326ana'!$M:$M,redes!A3245)</f>
        <v>0</v>
      </c>
    </row>
    <row r="3246" customFormat="false" ht="14.4" hidden="true" customHeight="false" outlineLevel="0" collapsed="false">
      <c r="A3246" s="34" t="n">
        <v>54300592187</v>
      </c>
      <c r="B3246" s="34" t="s">
        <v>8712</v>
      </c>
      <c r="C3246" s="34" t="s">
        <v>89</v>
      </c>
      <c r="E3246" s="30" t="s">
        <v>8712</v>
      </c>
      <c r="F3246" s="34" t="n">
        <f aca="false">IFERROR(VLOOKUP($A3246,'319'!$B:$H,7,0),0)</f>
        <v>0</v>
      </c>
      <c r="G3246" s="34" t="n">
        <f aca="false">SUMIFS('12.326ana'!$C:$C,'12.326ana'!$M:$M,redes!A3246)</f>
        <v>0</v>
      </c>
    </row>
    <row r="3247" customFormat="false" ht="14.4" hidden="true" customHeight="false" outlineLevel="0" collapsed="false">
      <c r="A3247" s="34" t="n">
        <v>54301734104</v>
      </c>
      <c r="B3247" s="34" t="s">
        <v>8713</v>
      </c>
      <c r="C3247" s="34" t="s">
        <v>89</v>
      </c>
      <c r="E3247" s="30" t="s">
        <v>8714</v>
      </c>
      <c r="F3247" s="34" t="n">
        <f aca="false">IFERROR(VLOOKUP($A3247,'319'!$B:$H,7,0),0)</f>
        <v>0</v>
      </c>
      <c r="G3247" s="34" t="n">
        <f aca="false">SUMIFS('12.326ana'!$C:$C,'12.326ana'!$M:$M,redes!A3247)</f>
        <v>0</v>
      </c>
    </row>
    <row r="3248" customFormat="false" ht="14.4" hidden="true" customHeight="false" outlineLevel="0" collapsed="false">
      <c r="A3248" s="34" t="n">
        <v>54303966134</v>
      </c>
      <c r="B3248" s="34" t="s">
        <v>8715</v>
      </c>
      <c r="C3248" s="34" t="s">
        <v>89</v>
      </c>
      <c r="E3248" s="30" t="s">
        <v>8716</v>
      </c>
      <c r="F3248" s="34" t="n">
        <f aca="false">IFERROR(VLOOKUP($A3248,'319'!$B:$H,7,0),0)</f>
        <v>0</v>
      </c>
      <c r="G3248" s="34" t="n">
        <f aca="false">SUMIFS('12.326ana'!$C:$C,'12.326ana'!$M:$M,redes!A3248)</f>
        <v>0</v>
      </c>
    </row>
    <row r="3249" customFormat="false" ht="14.4" hidden="true" customHeight="false" outlineLevel="0" collapsed="false">
      <c r="A3249" s="34" t="n">
        <v>54304202120</v>
      </c>
      <c r="B3249" s="34" t="s">
        <v>8717</v>
      </c>
      <c r="C3249" s="34" t="s">
        <v>77</v>
      </c>
      <c r="E3249" s="30" t="s">
        <v>8718</v>
      </c>
      <c r="F3249" s="34" t="n">
        <f aca="false">IFERROR(VLOOKUP($A3249,'319'!$B:$H,7,0),0)</f>
        <v>0</v>
      </c>
      <c r="G3249" s="34" t="n">
        <f aca="false">SUMIFS('12.326ana'!$C:$C,'12.326ana'!$M:$M,redes!A3249)</f>
        <v>0</v>
      </c>
    </row>
    <row r="3250" customFormat="false" ht="14.4" hidden="true" customHeight="false" outlineLevel="0" collapsed="false">
      <c r="A3250" s="34" t="n">
        <v>54312353115</v>
      </c>
      <c r="B3250" s="34" t="s">
        <v>8719</v>
      </c>
      <c r="C3250" s="34" t="s">
        <v>342</v>
      </c>
      <c r="E3250" s="30" t="s">
        <v>8720</v>
      </c>
      <c r="F3250" s="34" t="n">
        <f aca="false">IFERROR(VLOOKUP($A3250,'319'!$B:$H,7,0),0)</f>
        <v>0</v>
      </c>
      <c r="G3250" s="34" t="n">
        <f aca="false">SUMIFS('12.326ana'!$C:$C,'12.326ana'!$M:$M,redes!A3250)</f>
        <v>0</v>
      </c>
    </row>
    <row r="3251" customFormat="false" ht="14.4" hidden="true" customHeight="false" outlineLevel="0" collapsed="false">
      <c r="A3251" s="34" t="n">
        <v>54314763191</v>
      </c>
      <c r="B3251" s="34" t="s">
        <v>8721</v>
      </c>
      <c r="C3251" s="34" t="s">
        <v>342</v>
      </c>
      <c r="E3251" s="30" t="s">
        <v>8722</v>
      </c>
      <c r="F3251" s="34" t="n">
        <f aca="false">IFERROR(VLOOKUP($A3251,'319'!$B:$H,7,0),0)</f>
        <v>0</v>
      </c>
      <c r="G3251" s="34" t="n">
        <f aca="false">SUMIFS('12.326ana'!$C:$C,'12.326ana'!$M:$M,redes!A3251)</f>
        <v>0</v>
      </c>
    </row>
    <row r="3252" customFormat="false" ht="14.4" hidden="true" customHeight="false" outlineLevel="0" collapsed="false">
      <c r="A3252" s="34" t="n">
        <v>54316375172</v>
      </c>
      <c r="B3252" s="34" t="s">
        <v>8723</v>
      </c>
      <c r="C3252" s="34" t="s">
        <v>342</v>
      </c>
      <c r="E3252" s="30" t="s">
        <v>8724</v>
      </c>
      <c r="F3252" s="34" t="n">
        <f aca="false">IFERROR(VLOOKUP($A3252,'319'!$B:$H,7,0),0)</f>
        <v>0</v>
      </c>
      <c r="G3252" s="34" t="n">
        <f aca="false">SUMIFS('12.326ana'!$C:$C,'12.326ana'!$M:$M,redes!A3252)</f>
        <v>0</v>
      </c>
    </row>
    <row r="3253" customFormat="false" ht="14.4" hidden="true" customHeight="false" outlineLevel="0" collapsed="false">
      <c r="A3253" s="34" t="n">
        <v>54320216172</v>
      </c>
      <c r="B3253" s="34" t="s">
        <v>8725</v>
      </c>
      <c r="C3253" s="34" t="s">
        <v>154</v>
      </c>
      <c r="E3253" s="30" t="s">
        <v>8726</v>
      </c>
      <c r="F3253" s="34" t="n">
        <f aca="false">IFERROR(VLOOKUP($A3253,'319'!$B:$H,7,0),0)</f>
        <v>0</v>
      </c>
      <c r="G3253" s="34" t="n">
        <f aca="false">SUMIFS('12.326ana'!$C:$C,'12.326ana'!$M:$M,redes!A3253)</f>
        <v>0</v>
      </c>
    </row>
    <row r="3254" customFormat="false" ht="14.4" hidden="true" customHeight="false" outlineLevel="0" collapsed="false">
      <c r="A3254" s="34" t="n">
        <v>54324513104</v>
      </c>
      <c r="B3254" s="34" t="s">
        <v>8727</v>
      </c>
      <c r="C3254" s="34" t="s">
        <v>77</v>
      </c>
      <c r="E3254" s="30" t="s">
        <v>8728</v>
      </c>
      <c r="F3254" s="34" t="n">
        <f aca="false">IFERROR(VLOOKUP($A3254,'319'!$B:$H,7,0),0)</f>
        <v>0</v>
      </c>
      <c r="G3254" s="34" t="n">
        <f aca="false">SUMIFS('12.326ana'!$C:$C,'12.326ana'!$M:$M,redes!A3254)</f>
        <v>0</v>
      </c>
    </row>
    <row r="3255" customFormat="false" ht="14.4" hidden="true" customHeight="false" outlineLevel="0" collapsed="false">
      <c r="A3255" s="34" t="n">
        <v>54328136100</v>
      </c>
      <c r="B3255" s="34" t="s">
        <v>8729</v>
      </c>
      <c r="C3255" s="34" t="s">
        <v>77</v>
      </c>
      <c r="E3255" s="30" t="s">
        <v>8730</v>
      </c>
      <c r="F3255" s="34" t="n">
        <f aca="false">IFERROR(VLOOKUP($A3255,'319'!$B:$H,7,0),0)</f>
        <v>0</v>
      </c>
      <c r="G3255" s="34" t="n">
        <f aca="false">SUMIFS('12.326ana'!$C:$C,'12.326ana'!$M:$M,redes!A3255)</f>
        <v>0</v>
      </c>
    </row>
    <row r="3256" customFormat="false" ht="14.4" hidden="true" customHeight="false" outlineLevel="0" collapsed="false">
      <c r="A3256" s="34" t="n">
        <v>54328446134</v>
      </c>
      <c r="B3256" s="34" t="s">
        <v>8731</v>
      </c>
      <c r="C3256" s="34" t="s">
        <v>77</v>
      </c>
      <c r="E3256" s="30" t="s">
        <v>8732</v>
      </c>
      <c r="F3256" s="34" t="n">
        <f aca="false">IFERROR(VLOOKUP($A3256,'319'!$B:$H,7,0),0)</f>
        <v>0</v>
      </c>
      <c r="G3256" s="34" t="n">
        <f aca="false">SUMIFS('12.326ana'!$C:$C,'12.326ana'!$M:$M,redes!A3256)</f>
        <v>0</v>
      </c>
    </row>
    <row r="3257" customFormat="false" ht="14.4" hidden="true" customHeight="false" outlineLevel="0" collapsed="false">
      <c r="A3257" s="34" t="n">
        <v>54329752115</v>
      </c>
      <c r="B3257" s="34" t="s">
        <v>8733</v>
      </c>
      <c r="C3257" s="34" t="s">
        <v>77</v>
      </c>
      <c r="E3257" s="30" t="s">
        <v>8734</v>
      </c>
      <c r="F3257" s="34" t="n">
        <f aca="false">IFERROR(VLOOKUP($A3257,'319'!$B:$H,7,0),0)</f>
        <v>0</v>
      </c>
      <c r="G3257" s="34" t="n">
        <f aca="false">SUMIFS('12.326ana'!$C:$C,'12.326ana'!$M:$M,redes!A3257)</f>
        <v>0</v>
      </c>
    </row>
    <row r="3258" customFormat="false" ht="14.4" hidden="true" customHeight="false" outlineLevel="0" collapsed="false">
      <c r="A3258" s="34" t="n">
        <v>54331900134</v>
      </c>
      <c r="B3258" s="34" t="s">
        <v>8735</v>
      </c>
      <c r="C3258" s="34" t="s">
        <v>357</v>
      </c>
      <c r="E3258" s="30" t="s">
        <v>8736</v>
      </c>
      <c r="F3258" s="34" t="n">
        <f aca="false">IFERROR(VLOOKUP($A3258,'319'!$B:$H,7,0),0)</f>
        <v>0</v>
      </c>
      <c r="G3258" s="34" t="n">
        <f aca="false">SUMIFS('12.326ana'!$C:$C,'12.326ana'!$M:$M,redes!A3258)</f>
        <v>0</v>
      </c>
    </row>
    <row r="3259" customFormat="false" ht="14.4" hidden="true" customHeight="false" outlineLevel="0" collapsed="false">
      <c r="A3259" s="34" t="n">
        <v>54335965168</v>
      </c>
      <c r="B3259" s="34" t="s">
        <v>8737</v>
      </c>
      <c r="C3259" s="34" t="s">
        <v>117</v>
      </c>
      <c r="E3259" s="30" t="s">
        <v>8738</v>
      </c>
      <c r="F3259" s="34" t="n">
        <f aca="false">IFERROR(VLOOKUP($A3259,'319'!$B:$H,7,0),0)</f>
        <v>0</v>
      </c>
      <c r="G3259" s="34" t="n">
        <f aca="false">SUMIFS('12.326ana'!$C:$C,'12.326ana'!$M:$M,redes!A3259)</f>
        <v>0</v>
      </c>
    </row>
    <row r="3260" customFormat="false" ht="14.4" hidden="true" customHeight="false" outlineLevel="0" collapsed="false">
      <c r="A3260" s="34" t="n">
        <v>54336511187</v>
      </c>
      <c r="B3260" s="34" t="s">
        <v>8739</v>
      </c>
      <c r="C3260" s="34" t="s">
        <v>77</v>
      </c>
      <c r="E3260" s="30" t="s">
        <v>8740</v>
      </c>
      <c r="F3260" s="34" t="n">
        <f aca="false">IFERROR(VLOOKUP($A3260,'319'!$B:$H,7,0),0)</f>
        <v>0</v>
      </c>
      <c r="G3260" s="34" t="n">
        <f aca="false">SUMIFS('12.326ana'!$C:$C,'12.326ana'!$M:$M,redes!A3260)</f>
        <v>0</v>
      </c>
    </row>
    <row r="3261" customFormat="false" ht="14.4" hidden="true" customHeight="false" outlineLevel="0" collapsed="false">
      <c r="A3261" s="34" t="n">
        <v>54336589100</v>
      </c>
      <c r="B3261" s="34" t="s">
        <v>8741</v>
      </c>
      <c r="C3261" s="34" t="s">
        <v>77</v>
      </c>
      <c r="E3261" s="30" t="s">
        <v>8742</v>
      </c>
      <c r="F3261" s="34" t="n">
        <f aca="false">IFERROR(VLOOKUP($A3261,'319'!$B:$H,7,0),0)</f>
        <v>0</v>
      </c>
      <c r="G3261" s="34" t="n">
        <f aca="false">SUMIFS('12.326ana'!$C:$C,'12.326ana'!$M:$M,redes!A3261)</f>
        <v>0</v>
      </c>
    </row>
    <row r="3262" customFormat="false" ht="14.4" hidden="true" customHeight="false" outlineLevel="0" collapsed="false">
      <c r="A3262" s="34" t="n">
        <v>54337054120</v>
      </c>
      <c r="B3262" s="34" t="s">
        <v>8743</v>
      </c>
      <c r="C3262" s="34" t="s">
        <v>77</v>
      </c>
      <c r="E3262" s="30" t="s">
        <v>2881</v>
      </c>
      <c r="F3262" s="34" t="n">
        <f aca="false">IFERROR(VLOOKUP($A3262,'319'!$B:$H,7,0),0)</f>
        <v>0</v>
      </c>
      <c r="G3262" s="34" t="n">
        <f aca="false">SUMIFS('12.326ana'!$C:$C,'12.326ana'!$M:$M,redes!A3262)</f>
        <v>0</v>
      </c>
    </row>
    <row r="3263" customFormat="false" ht="14.4" hidden="true" customHeight="false" outlineLevel="0" collapsed="false">
      <c r="A3263" s="34" t="n">
        <v>54340276120</v>
      </c>
      <c r="B3263" s="34" t="s">
        <v>8744</v>
      </c>
      <c r="C3263" s="34" t="s">
        <v>77</v>
      </c>
      <c r="E3263" s="30" t="s">
        <v>8745</v>
      </c>
      <c r="F3263" s="34" t="n">
        <f aca="false">IFERROR(VLOOKUP($A3263,'319'!$B:$H,7,0),0)</f>
        <v>0</v>
      </c>
      <c r="G3263" s="34" t="n">
        <f aca="false">SUMIFS('12.326ana'!$C:$C,'12.326ana'!$M:$M,redes!A3263)</f>
        <v>0</v>
      </c>
    </row>
    <row r="3264" customFormat="false" ht="14.4" hidden="true" customHeight="false" outlineLevel="0" collapsed="false">
      <c r="A3264" s="34" t="n">
        <v>54348773149</v>
      </c>
      <c r="B3264" s="34" t="s">
        <v>8746</v>
      </c>
      <c r="C3264" s="34" t="s">
        <v>713</v>
      </c>
      <c r="E3264" s="30" t="s">
        <v>8747</v>
      </c>
      <c r="F3264" s="34" t="n">
        <f aca="false">IFERROR(VLOOKUP($A3264,'319'!$B:$H,7,0),0)</f>
        <v>0</v>
      </c>
      <c r="G3264" s="34" t="n">
        <f aca="false">SUMIFS('12.326ana'!$C:$C,'12.326ana'!$M:$M,redes!A3264)</f>
        <v>0</v>
      </c>
    </row>
    <row r="3265" customFormat="false" ht="14.4" hidden="true" customHeight="false" outlineLevel="0" collapsed="false">
      <c r="A3265" s="34" t="n">
        <v>54356008120</v>
      </c>
      <c r="B3265" s="34" t="s">
        <v>8748</v>
      </c>
      <c r="C3265" s="34" t="s">
        <v>77</v>
      </c>
      <c r="E3265" s="30" t="s">
        <v>8749</v>
      </c>
      <c r="F3265" s="34" t="n">
        <f aca="false">IFERROR(VLOOKUP($A3265,'319'!$B:$H,7,0),0)</f>
        <v>0</v>
      </c>
      <c r="G3265" s="34" t="n">
        <f aca="false">SUMIFS('12.326ana'!$C:$C,'12.326ana'!$M:$M,redes!A3265)</f>
        <v>0</v>
      </c>
    </row>
    <row r="3266" customFormat="false" ht="14.4" hidden="true" customHeight="false" outlineLevel="0" collapsed="false">
      <c r="A3266" s="34" t="n">
        <v>54357225191</v>
      </c>
      <c r="B3266" s="34" t="s">
        <v>8750</v>
      </c>
      <c r="C3266" s="34" t="s">
        <v>77</v>
      </c>
      <c r="E3266" s="30" t="s">
        <v>8751</v>
      </c>
      <c r="F3266" s="34" t="n">
        <f aca="false">IFERROR(VLOOKUP($A3266,'319'!$B:$H,7,0),0)</f>
        <v>0</v>
      </c>
      <c r="G3266" s="34" t="n">
        <f aca="false">SUMIFS('12.326ana'!$C:$C,'12.326ana'!$M:$M,redes!A3266)</f>
        <v>0</v>
      </c>
    </row>
    <row r="3267" customFormat="false" ht="14.4" hidden="true" customHeight="false" outlineLevel="0" collapsed="false">
      <c r="A3267" s="34" t="n">
        <v>54357713153</v>
      </c>
      <c r="B3267" s="34" t="s">
        <v>8752</v>
      </c>
      <c r="C3267" s="34" t="s">
        <v>77</v>
      </c>
      <c r="E3267" s="30" t="s">
        <v>8752</v>
      </c>
      <c r="F3267" s="34" t="n">
        <f aca="false">IFERROR(VLOOKUP($A3267,'319'!$B:$H,7,0),0)</f>
        <v>0</v>
      </c>
      <c r="G3267" s="34" t="n">
        <f aca="false">SUMIFS('12.326ana'!$C:$C,'12.326ana'!$M:$M,redes!A3267)</f>
        <v>0</v>
      </c>
    </row>
    <row r="3268" customFormat="false" ht="14.4" hidden="true" customHeight="false" outlineLevel="0" collapsed="false">
      <c r="A3268" s="34" t="n">
        <v>54360374100</v>
      </c>
      <c r="B3268" s="34" t="s">
        <v>8753</v>
      </c>
      <c r="C3268" s="34" t="s">
        <v>77</v>
      </c>
      <c r="E3268" s="30" t="s">
        <v>3781</v>
      </c>
      <c r="F3268" s="34" t="n">
        <f aca="false">IFERROR(VLOOKUP($A3268,'319'!$B:$H,7,0),0)</f>
        <v>0</v>
      </c>
      <c r="G3268" s="34" t="n">
        <f aca="false">SUMIFS('12.326ana'!$C:$C,'12.326ana'!$M:$M,redes!A3268)</f>
        <v>0</v>
      </c>
    </row>
    <row r="3269" customFormat="false" ht="14.4" hidden="true" customHeight="false" outlineLevel="0" collapsed="false">
      <c r="A3269" s="34" t="n">
        <v>54360412134</v>
      </c>
      <c r="B3269" s="34" t="s">
        <v>8754</v>
      </c>
      <c r="C3269" s="34" t="s">
        <v>77</v>
      </c>
      <c r="E3269" s="30" t="s">
        <v>8117</v>
      </c>
      <c r="F3269" s="34" t="n">
        <f aca="false">IFERROR(VLOOKUP($A3269,'319'!$B:$H,7,0),0)</f>
        <v>0</v>
      </c>
      <c r="G3269" s="34" t="n">
        <f aca="false">SUMIFS('12.326ana'!$C:$C,'12.326ana'!$M:$M,redes!A3269)</f>
        <v>0</v>
      </c>
    </row>
    <row r="3270" customFormat="false" ht="14.4" hidden="true" customHeight="false" outlineLevel="0" collapsed="false">
      <c r="A3270" s="34" t="n">
        <v>54364027120</v>
      </c>
      <c r="B3270" s="34" t="s">
        <v>8755</v>
      </c>
      <c r="C3270" s="34" t="s">
        <v>296</v>
      </c>
      <c r="E3270" s="30" t="s">
        <v>8756</v>
      </c>
      <c r="F3270" s="34" t="n">
        <f aca="false">IFERROR(VLOOKUP($A3270,'319'!$B:$H,7,0),0)</f>
        <v>0</v>
      </c>
      <c r="G3270" s="34" t="n">
        <f aca="false">SUMIFS('12.326ana'!$C:$C,'12.326ana'!$M:$M,redes!A3270)</f>
        <v>0</v>
      </c>
    </row>
    <row r="3271" customFormat="false" ht="14.4" hidden="true" customHeight="false" outlineLevel="0" collapsed="false">
      <c r="A3271" s="34" t="n">
        <v>54372186134</v>
      </c>
      <c r="B3271" s="34" t="s">
        <v>8757</v>
      </c>
      <c r="C3271" s="34" t="s">
        <v>77</v>
      </c>
      <c r="E3271" s="30" t="s">
        <v>8758</v>
      </c>
      <c r="F3271" s="34" t="n">
        <f aca="false">IFERROR(VLOOKUP($A3271,'319'!$B:$H,7,0),0)</f>
        <v>0</v>
      </c>
      <c r="G3271" s="34" t="n">
        <f aca="false">SUMIFS('12.326ana'!$C:$C,'12.326ana'!$M:$M,redes!A3271)</f>
        <v>0</v>
      </c>
    </row>
    <row r="3272" customFormat="false" ht="14.4" hidden="true" customHeight="false" outlineLevel="0" collapsed="false">
      <c r="A3272" s="34" t="n">
        <v>54372755104</v>
      </c>
      <c r="B3272" s="34" t="s">
        <v>8759</v>
      </c>
      <c r="C3272" s="34" t="s">
        <v>77</v>
      </c>
      <c r="E3272" s="30" t="s">
        <v>8760</v>
      </c>
      <c r="F3272" s="34" t="n">
        <f aca="false">IFERROR(VLOOKUP($A3272,'319'!$B:$H,7,0),0)</f>
        <v>0</v>
      </c>
      <c r="G3272" s="34" t="n">
        <f aca="false">SUMIFS('12.326ana'!$C:$C,'12.326ana'!$M:$M,redes!A3272)</f>
        <v>0</v>
      </c>
    </row>
    <row r="3273" customFormat="false" ht="14.4" hidden="true" customHeight="false" outlineLevel="0" collapsed="false">
      <c r="A3273" s="34" t="n">
        <v>54382866120</v>
      </c>
      <c r="B3273" s="34" t="s">
        <v>8761</v>
      </c>
      <c r="C3273" s="34" t="s">
        <v>979</v>
      </c>
      <c r="E3273" s="30" t="s">
        <v>8762</v>
      </c>
      <c r="F3273" s="34" t="n">
        <f aca="false">IFERROR(VLOOKUP($A3273,'319'!$B:$H,7,0),0)</f>
        <v>0</v>
      </c>
      <c r="G3273" s="34" t="n">
        <f aca="false">SUMIFS('12.326ana'!$C:$C,'12.326ana'!$M:$M,redes!A3273)</f>
        <v>0</v>
      </c>
    </row>
    <row r="3274" customFormat="false" ht="14.4" hidden="true" customHeight="false" outlineLevel="0" collapsed="false">
      <c r="A3274" s="34" t="n">
        <v>54384478100</v>
      </c>
      <c r="B3274" s="34" t="s">
        <v>8763</v>
      </c>
      <c r="C3274" s="34" t="s">
        <v>107</v>
      </c>
      <c r="E3274" s="30" t="s">
        <v>8764</v>
      </c>
      <c r="F3274" s="34" t="n">
        <f aca="false">IFERROR(VLOOKUP($A3274,'319'!$B:$H,7,0),0)</f>
        <v>0</v>
      </c>
      <c r="G3274" s="34" t="n">
        <f aca="false">SUMIFS('12.326ana'!$C:$C,'12.326ana'!$M:$M,redes!A3274)</f>
        <v>0</v>
      </c>
    </row>
    <row r="3275" customFormat="false" ht="14.4" hidden="true" customHeight="false" outlineLevel="0" collapsed="false">
      <c r="A3275" s="34" t="n">
        <v>54388821853</v>
      </c>
      <c r="B3275" s="34" t="s">
        <v>8765</v>
      </c>
      <c r="C3275" s="34" t="s">
        <v>103</v>
      </c>
      <c r="E3275" s="30" t="s">
        <v>8766</v>
      </c>
      <c r="F3275" s="34" t="n">
        <f aca="false">IFERROR(VLOOKUP($A3275,'319'!$B:$H,7,0),0)</f>
        <v>0</v>
      </c>
      <c r="G3275" s="34" t="n">
        <f aca="false">SUMIFS('12.326ana'!$C:$C,'12.326ana'!$M:$M,redes!A3275)</f>
        <v>0</v>
      </c>
    </row>
    <row r="3276" customFormat="false" ht="14.4" hidden="true" customHeight="false" outlineLevel="0" collapsed="false">
      <c r="A3276" s="34" t="n">
        <v>54391504120</v>
      </c>
      <c r="B3276" s="34" t="s">
        <v>8767</v>
      </c>
      <c r="C3276" s="34" t="s">
        <v>107</v>
      </c>
      <c r="E3276" s="30" t="s">
        <v>8768</v>
      </c>
      <c r="F3276" s="34" t="n">
        <f aca="false">IFERROR(VLOOKUP($A3276,'319'!$B:$H,7,0),0)</f>
        <v>0</v>
      </c>
      <c r="G3276" s="34" t="n">
        <f aca="false">SUMIFS('12.326ana'!$C:$C,'12.326ana'!$M:$M,redes!A3276)</f>
        <v>0</v>
      </c>
    </row>
    <row r="3277" customFormat="false" ht="14.4" hidden="true" customHeight="false" outlineLevel="0" collapsed="false">
      <c r="A3277" s="34" t="n">
        <v>54392209172</v>
      </c>
      <c r="B3277" s="34" t="s">
        <v>8769</v>
      </c>
      <c r="C3277" s="34" t="s">
        <v>342</v>
      </c>
      <c r="E3277" s="30" t="s">
        <v>8770</v>
      </c>
      <c r="F3277" s="34" t="n">
        <f aca="false">IFERROR(VLOOKUP($A3277,'319'!$B:$H,7,0),0)</f>
        <v>0</v>
      </c>
      <c r="G3277" s="34" t="n">
        <f aca="false">SUMIFS('12.326ana'!$C:$C,'12.326ana'!$M:$M,redes!A3277)</f>
        <v>0</v>
      </c>
    </row>
    <row r="3278" customFormat="false" ht="14.4" hidden="true" customHeight="false" outlineLevel="0" collapsed="false">
      <c r="A3278" s="34" t="n">
        <v>54395828191</v>
      </c>
      <c r="B3278" s="34" t="s">
        <v>8771</v>
      </c>
      <c r="C3278" s="34" t="s">
        <v>309</v>
      </c>
      <c r="E3278" s="30" t="s">
        <v>4575</v>
      </c>
      <c r="F3278" s="34" t="n">
        <f aca="false">IFERROR(VLOOKUP($A3278,'319'!$B:$H,7,0),0)</f>
        <v>0</v>
      </c>
      <c r="G3278" s="34" t="n">
        <f aca="false">SUMIFS('12.326ana'!$C:$C,'12.326ana'!$M:$M,redes!A3278)</f>
        <v>0</v>
      </c>
    </row>
    <row r="3279" customFormat="false" ht="14.4" hidden="true" customHeight="false" outlineLevel="0" collapsed="false">
      <c r="A3279" s="34" t="n">
        <v>54399580100</v>
      </c>
      <c r="B3279" s="34" t="s">
        <v>8772</v>
      </c>
      <c r="C3279" s="34" t="s">
        <v>77</v>
      </c>
      <c r="E3279" s="30" t="s">
        <v>8773</v>
      </c>
      <c r="F3279" s="34" t="n">
        <f aca="false">IFERROR(VLOOKUP($A3279,'319'!$B:$H,7,0),0)</f>
        <v>0</v>
      </c>
      <c r="G3279" s="34" t="n">
        <f aca="false">SUMIFS('12.326ana'!$C:$C,'12.326ana'!$M:$M,redes!A3279)</f>
        <v>0</v>
      </c>
    </row>
    <row r="3280" customFormat="false" ht="14.4" hidden="true" customHeight="false" outlineLevel="0" collapsed="false">
      <c r="A3280" s="34" t="n">
        <v>54401283104</v>
      </c>
      <c r="B3280" s="34" t="s">
        <v>8774</v>
      </c>
      <c r="C3280" s="34" t="s">
        <v>77</v>
      </c>
      <c r="E3280" s="30" t="s">
        <v>8775</v>
      </c>
      <c r="F3280" s="34" t="n">
        <f aca="false">IFERROR(VLOOKUP($A3280,'319'!$B:$H,7,0),0)</f>
        <v>0</v>
      </c>
      <c r="G3280" s="34" t="n">
        <f aca="false">SUMIFS('12.326ana'!$C:$C,'12.326ana'!$M:$M,redes!A3280)</f>
        <v>0</v>
      </c>
    </row>
    <row r="3281" customFormat="false" ht="14.4" hidden="true" customHeight="false" outlineLevel="0" collapsed="false">
      <c r="A3281" s="34" t="n">
        <v>54402808120</v>
      </c>
      <c r="B3281" s="34" t="s">
        <v>8776</v>
      </c>
      <c r="C3281" s="34" t="s">
        <v>77</v>
      </c>
      <c r="E3281" s="30" t="s">
        <v>8777</v>
      </c>
      <c r="F3281" s="34" t="n">
        <f aca="false">IFERROR(VLOOKUP($A3281,'319'!$B:$H,7,0),0)</f>
        <v>0</v>
      </c>
      <c r="G3281" s="34" t="n">
        <f aca="false">SUMIFS('12.326ana'!$C:$C,'12.326ana'!$M:$M,redes!A3281)</f>
        <v>0</v>
      </c>
    </row>
    <row r="3282" customFormat="false" ht="14.4" hidden="true" customHeight="false" outlineLevel="0" collapsed="false">
      <c r="A3282" s="34" t="n">
        <v>54403871100</v>
      </c>
      <c r="B3282" s="34" t="s">
        <v>8778</v>
      </c>
      <c r="C3282" s="34" t="s">
        <v>77</v>
      </c>
      <c r="E3282" s="30" t="s">
        <v>8779</v>
      </c>
      <c r="F3282" s="34" t="n">
        <f aca="false">IFERROR(VLOOKUP($A3282,'319'!$B:$H,7,0),0)</f>
        <v>0</v>
      </c>
      <c r="G3282" s="34" t="n">
        <f aca="false">SUMIFS('12.326ana'!$C:$C,'12.326ana'!$M:$M,redes!A3282)</f>
        <v>0</v>
      </c>
    </row>
    <row r="3283" customFormat="false" ht="14.4" hidden="true" customHeight="false" outlineLevel="0" collapsed="false">
      <c r="A3283" s="34" t="n">
        <v>54404193149</v>
      </c>
      <c r="B3283" s="34" t="s">
        <v>8780</v>
      </c>
      <c r="C3283" s="34" t="s">
        <v>463</v>
      </c>
      <c r="E3283" s="30" t="s">
        <v>8781</v>
      </c>
      <c r="F3283" s="34" t="n">
        <f aca="false">IFERROR(VLOOKUP($A3283,'319'!$B:$H,7,0),0)</f>
        <v>0</v>
      </c>
      <c r="G3283" s="34" t="n">
        <f aca="false">SUMIFS('12.326ana'!$C:$C,'12.326ana'!$M:$M,redes!A3283)</f>
        <v>0</v>
      </c>
    </row>
    <row r="3284" customFormat="false" ht="14.4" hidden="true" customHeight="false" outlineLevel="0" collapsed="false">
      <c r="A3284" s="34" t="n">
        <v>54406200100</v>
      </c>
      <c r="B3284" s="34" t="s">
        <v>8782</v>
      </c>
      <c r="C3284" s="34" t="s">
        <v>77</v>
      </c>
      <c r="E3284" s="30" t="s">
        <v>3562</v>
      </c>
      <c r="F3284" s="34" t="n">
        <f aca="false">IFERROR(VLOOKUP($A3284,'319'!$B:$H,7,0),0)</f>
        <v>0</v>
      </c>
      <c r="G3284" s="34" t="n">
        <f aca="false">SUMIFS('12.326ana'!$C:$C,'12.326ana'!$M:$M,redes!A3284)</f>
        <v>0</v>
      </c>
    </row>
    <row r="3285" customFormat="false" ht="14.4" hidden="true" customHeight="false" outlineLevel="0" collapsed="false">
      <c r="A3285" s="34" t="n">
        <v>54410789104</v>
      </c>
      <c r="B3285" s="34" t="s">
        <v>8783</v>
      </c>
      <c r="C3285" s="34" t="s">
        <v>77</v>
      </c>
      <c r="E3285" s="30"/>
      <c r="F3285" s="34" t="n">
        <f aca="false">IFERROR(VLOOKUP($A3285,'319'!$B:$H,7,0),0)</f>
        <v>0</v>
      </c>
      <c r="G3285" s="34" t="n">
        <f aca="false">SUMIFS('12.326ana'!$C:$C,'12.326ana'!$M:$M,redes!A3285)</f>
        <v>0</v>
      </c>
    </row>
    <row r="3286" customFormat="false" ht="14.4" hidden="true" customHeight="false" outlineLevel="0" collapsed="false">
      <c r="A3286" s="34" t="n">
        <v>54411610191</v>
      </c>
      <c r="B3286" s="34" t="s">
        <v>8784</v>
      </c>
      <c r="C3286" s="34" t="s">
        <v>77</v>
      </c>
      <c r="E3286" s="30" t="s">
        <v>8785</v>
      </c>
      <c r="F3286" s="34" t="n">
        <f aca="false">IFERROR(VLOOKUP($A3286,'319'!$B:$H,7,0),0)</f>
        <v>0</v>
      </c>
      <c r="G3286" s="34" t="n">
        <f aca="false">SUMIFS('12.326ana'!$C:$C,'12.326ana'!$M:$M,redes!A3286)</f>
        <v>0</v>
      </c>
    </row>
    <row r="3287" customFormat="false" ht="14.4" hidden="true" customHeight="false" outlineLevel="0" collapsed="false">
      <c r="A3287" s="34" t="n">
        <v>54414857104</v>
      </c>
      <c r="B3287" s="34" t="s">
        <v>8786</v>
      </c>
      <c r="C3287" s="34" t="s">
        <v>848</v>
      </c>
      <c r="E3287" s="30" t="s">
        <v>8787</v>
      </c>
      <c r="F3287" s="34" t="n">
        <f aca="false">IFERROR(VLOOKUP($A3287,'319'!$B:$H,7,0),0)</f>
        <v>0</v>
      </c>
      <c r="G3287" s="34" t="n">
        <f aca="false">SUMIFS('12.326ana'!$C:$C,'12.326ana'!$M:$M,redes!A3287)</f>
        <v>0</v>
      </c>
    </row>
    <row r="3288" customFormat="false" ht="14.4" hidden="true" customHeight="false" outlineLevel="0" collapsed="false">
      <c r="A3288" s="34" t="n">
        <v>54421004120</v>
      </c>
      <c r="B3288" s="34" t="s">
        <v>8788</v>
      </c>
      <c r="C3288" s="34" t="s">
        <v>77</v>
      </c>
      <c r="E3288" s="30" t="s">
        <v>8789</v>
      </c>
      <c r="F3288" s="34" t="n">
        <f aca="false">IFERROR(VLOOKUP($A3288,'319'!$B:$H,7,0),0)</f>
        <v>0</v>
      </c>
      <c r="G3288" s="34" t="n">
        <f aca="false">SUMIFS('12.326ana'!$C:$C,'12.326ana'!$M:$M,redes!A3288)</f>
        <v>0</v>
      </c>
    </row>
    <row r="3289" customFormat="false" ht="14.4" hidden="true" customHeight="false" outlineLevel="0" collapsed="false">
      <c r="A3289" s="34" t="n">
        <v>54435943115</v>
      </c>
      <c r="B3289" s="34" t="s">
        <v>8790</v>
      </c>
      <c r="C3289" s="34" t="s">
        <v>77</v>
      </c>
      <c r="E3289" s="30" t="s">
        <v>8791</v>
      </c>
      <c r="F3289" s="34" t="n">
        <f aca="false">IFERROR(VLOOKUP($A3289,'319'!$B:$H,7,0),0)</f>
        <v>0</v>
      </c>
      <c r="G3289" s="34" t="n">
        <f aca="false">SUMIFS('12.326ana'!$C:$C,'12.326ana'!$M:$M,redes!A3289)</f>
        <v>0</v>
      </c>
    </row>
    <row r="3290" customFormat="false" ht="14.4" hidden="true" customHeight="false" outlineLevel="0" collapsed="false">
      <c r="A3290" s="34" t="n">
        <v>54447704820</v>
      </c>
      <c r="B3290" s="34" t="s">
        <v>8792</v>
      </c>
      <c r="C3290" s="34" t="s">
        <v>77</v>
      </c>
      <c r="E3290" s="30" t="s">
        <v>8793</v>
      </c>
      <c r="F3290" s="34" t="n">
        <f aca="false">IFERROR(VLOOKUP($A3290,'319'!$B:$H,7,0),0)</f>
        <v>0</v>
      </c>
      <c r="G3290" s="34" t="n">
        <f aca="false">SUMIFS('12.326ana'!$C:$C,'12.326ana'!$M:$M,redes!A3290)</f>
        <v>0</v>
      </c>
    </row>
    <row r="3291" customFormat="false" ht="14.4" hidden="true" customHeight="false" outlineLevel="0" collapsed="false">
      <c r="A3291" s="34" t="n">
        <v>54710316953</v>
      </c>
      <c r="B3291" s="34" t="s">
        <v>8794</v>
      </c>
      <c r="C3291" s="34" t="s">
        <v>77</v>
      </c>
      <c r="E3291" s="30" t="s">
        <v>8795</v>
      </c>
      <c r="F3291" s="34" t="n">
        <f aca="false">IFERROR(VLOOKUP($A3291,'319'!$B:$H,7,0),0)</f>
        <v>0</v>
      </c>
      <c r="G3291" s="34" t="n">
        <f aca="false">SUMIFS('12.326ana'!$C:$C,'12.326ana'!$M:$M,redes!A3291)</f>
        <v>0</v>
      </c>
    </row>
    <row r="3292" customFormat="false" ht="14.4" hidden="true" customHeight="false" outlineLevel="0" collapsed="false">
      <c r="A3292" s="34" t="n">
        <v>55398456920</v>
      </c>
      <c r="B3292" s="34" t="s">
        <v>8796</v>
      </c>
      <c r="C3292" s="34" t="s">
        <v>357</v>
      </c>
      <c r="E3292" s="30" t="s">
        <v>7086</v>
      </c>
      <c r="F3292" s="34" t="n">
        <f aca="false">IFERROR(VLOOKUP($A3292,'319'!$B:$H,7,0),0)</f>
        <v>0</v>
      </c>
      <c r="G3292" s="34" t="n">
        <f aca="false">SUMIFS('12.326ana'!$C:$C,'12.326ana'!$M:$M,redes!A3292)</f>
        <v>0</v>
      </c>
    </row>
    <row r="3293" customFormat="false" ht="14.4" hidden="true" customHeight="false" outlineLevel="0" collapsed="false">
      <c r="A3293" s="34" t="n">
        <v>55407226120</v>
      </c>
      <c r="B3293" s="34" t="s">
        <v>8797</v>
      </c>
      <c r="C3293" s="34" t="s">
        <v>309</v>
      </c>
      <c r="E3293" s="30" t="s">
        <v>8798</v>
      </c>
      <c r="F3293" s="34" t="n">
        <f aca="false">IFERROR(VLOOKUP($A3293,'319'!$B:$H,7,0),0)</f>
        <v>0</v>
      </c>
      <c r="G3293" s="34" t="n">
        <f aca="false">SUMIFS('12.326ana'!$C:$C,'12.326ana'!$M:$M,redes!A3293)</f>
        <v>0</v>
      </c>
    </row>
    <row r="3294" customFormat="false" ht="14.4" hidden="true" customHeight="false" outlineLevel="0" collapsed="false">
      <c r="A3294" s="34" t="n">
        <v>55407250187</v>
      </c>
      <c r="B3294" s="34" t="s">
        <v>8799</v>
      </c>
      <c r="C3294" s="34" t="s">
        <v>309</v>
      </c>
      <c r="E3294" s="30" t="s">
        <v>8800</v>
      </c>
      <c r="F3294" s="34" t="n">
        <f aca="false">IFERROR(VLOOKUP($A3294,'319'!$B:$H,7,0),0)</f>
        <v>0</v>
      </c>
      <c r="G3294" s="34" t="n">
        <f aca="false">SUMIFS('12.326ana'!$C:$C,'12.326ana'!$M:$M,redes!A3294)</f>
        <v>0</v>
      </c>
    </row>
    <row r="3295" customFormat="false" ht="14.4" hidden="true" customHeight="false" outlineLevel="0" collapsed="false">
      <c r="A3295" s="34" t="n">
        <v>55415245120</v>
      </c>
      <c r="B3295" s="34" t="s">
        <v>8801</v>
      </c>
      <c r="C3295" s="34" t="s">
        <v>581</v>
      </c>
      <c r="E3295" s="30"/>
      <c r="F3295" s="34" t="n">
        <f aca="false">IFERROR(VLOOKUP($A3295,'319'!$B:$H,7,0),0)</f>
        <v>0</v>
      </c>
      <c r="G3295" s="34" t="n">
        <f aca="false">SUMIFS('12.326ana'!$C:$C,'12.326ana'!$M:$M,redes!A3295)</f>
        <v>0</v>
      </c>
    </row>
    <row r="3296" customFormat="false" ht="14.4" hidden="true" customHeight="false" outlineLevel="0" collapsed="false">
      <c r="A3296" s="34" t="n">
        <v>55427189149</v>
      </c>
      <c r="B3296" s="34" t="s">
        <v>8802</v>
      </c>
      <c r="C3296" s="34" t="s">
        <v>1054</v>
      </c>
      <c r="E3296" s="30" t="s">
        <v>8803</v>
      </c>
      <c r="F3296" s="34" t="n">
        <f aca="false">IFERROR(VLOOKUP($A3296,'319'!$B:$H,7,0),0)</f>
        <v>0</v>
      </c>
      <c r="G3296" s="34" t="n">
        <f aca="false">SUMIFS('12.326ana'!$C:$C,'12.326ana'!$M:$M,redes!A3296)</f>
        <v>0</v>
      </c>
    </row>
    <row r="3297" customFormat="false" ht="14.4" hidden="true" customHeight="false" outlineLevel="0" collapsed="false">
      <c r="A3297" s="34" t="n">
        <v>55434894120</v>
      </c>
      <c r="B3297" s="34" t="s">
        <v>8804</v>
      </c>
      <c r="C3297" s="34" t="s">
        <v>6278</v>
      </c>
      <c r="E3297" s="30" t="s">
        <v>8805</v>
      </c>
      <c r="F3297" s="34" t="n">
        <f aca="false">IFERROR(VLOOKUP($A3297,'319'!$B:$H,7,0),0)</f>
        <v>0</v>
      </c>
      <c r="G3297" s="34" t="n">
        <f aca="false">SUMIFS('12.326ana'!$C:$C,'12.326ana'!$M:$M,redes!A3297)</f>
        <v>0</v>
      </c>
    </row>
    <row r="3298" customFormat="false" ht="14.4" hidden="true" customHeight="false" outlineLevel="0" collapsed="false">
      <c r="A3298" s="34" t="n">
        <v>55438750106</v>
      </c>
      <c r="B3298" s="34" t="s">
        <v>8806</v>
      </c>
      <c r="C3298" s="34" t="s">
        <v>77</v>
      </c>
      <c r="E3298" s="30" t="s">
        <v>8807</v>
      </c>
      <c r="F3298" s="34" t="n">
        <f aca="false">IFERROR(VLOOKUP($A3298,'319'!$B:$H,7,0),0)</f>
        <v>0</v>
      </c>
      <c r="G3298" s="34" t="n">
        <f aca="false">SUMIFS('12.326ana'!$C:$C,'12.326ana'!$M:$M,redes!A3298)</f>
        <v>0</v>
      </c>
    </row>
    <row r="3299" customFormat="false" ht="14.4" hidden="true" customHeight="false" outlineLevel="0" collapsed="false">
      <c r="A3299" s="34" t="n">
        <v>55442285153</v>
      </c>
      <c r="B3299" s="34" t="s">
        <v>8808</v>
      </c>
      <c r="C3299" s="34" t="s">
        <v>1054</v>
      </c>
      <c r="E3299" s="30" t="s">
        <v>8809</v>
      </c>
      <c r="F3299" s="34" t="n">
        <f aca="false">IFERROR(VLOOKUP($A3299,'319'!$B:$H,7,0),0)</f>
        <v>0</v>
      </c>
      <c r="G3299" s="34" t="n">
        <f aca="false">SUMIFS('12.326ana'!$C:$C,'12.326ana'!$M:$M,redes!A3299)</f>
        <v>0</v>
      </c>
    </row>
    <row r="3300" customFormat="false" ht="14.4" hidden="true" customHeight="false" outlineLevel="0" collapsed="false">
      <c r="A3300" s="34" t="n">
        <v>55443656953</v>
      </c>
      <c r="B3300" s="34" t="s">
        <v>8810</v>
      </c>
      <c r="C3300" s="34" t="s">
        <v>77</v>
      </c>
      <c r="E3300" s="30" t="s">
        <v>5260</v>
      </c>
      <c r="F3300" s="34" t="n">
        <f aca="false">IFERROR(VLOOKUP($A3300,'319'!$B:$H,7,0),0)</f>
        <v>0</v>
      </c>
      <c r="G3300" s="34" t="n">
        <f aca="false">SUMIFS('12.326ana'!$C:$C,'12.326ana'!$M:$M,redes!A3300)</f>
        <v>0</v>
      </c>
    </row>
    <row r="3301" customFormat="false" ht="14.4" hidden="true" customHeight="false" outlineLevel="0" collapsed="false">
      <c r="A3301" s="34" t="n">
        <v>55443753134</v>
      </c>
      <c r="B3301" s="34" t="s">
        <v>8811</v>
      </c>
      <c r="C3301" s="34" t="s">
        <v>77</v>
      </c>
      <c r="E3301" s="30" t="s">
        <v>8812</v>
      </c>
      <c r="F3301" s="34" t="n">
        <f aca="false">IFERROR(VLOOKUP($A3301,'319'!$B:$H,7,0),0)</f>
        <v>0</v>
      </c>
      <c r="G3301" s="34" t="n">
        <f aca="false">SUMIFS('12.326ana'!$C:$C,'12.326ana'!$M:$M,redes!A3301)</f>
        <v>0</v>
      </c>
    </row>
    <row r="3302" customFormat="false" ht="14.4" hidden="true" customHeight="false" outlineLevel="0" collapsed="false">
      <c r="A3302" s="34" t="n">
        <v>55444334968</v>
      </c>
      <c r="B3302" s="34" t="s">
        <v>8813</v>
      </c>
      <c r="C3302" s="34" t="s">
        <v>77</v>
      </c>
      <c r="E3302" s="30" t="s">
        <v>8814</v>
      </c>
      <c r="F3302" s="34" t="n">
        <f aca="false">IFERROR(VLOOKUP($A3302,'319'!$B:$H,7,0),0)</f>
        <v>0</v>
      </c>
      <c r="G3302" s="34" t="n">
        <f aca="false">SUMIFS('12.326ana'!$C:$C,'12.326ana'!$M:$M,redes!A3302)</f>
        <v>0</v>
      </c>
    </row>
    <row r="3303" customFormat="false" ht="14.4" hidden="true" customHeight="false" outlineLevel="0" collapsed="false">
      <c r="A3303" s="34" t="n">
        <v>55444628104</v>
      </c>
      <c r="B3303" s="34" t="s">
        <v>8815</v>
      </c>
      <c r="C3303" s="34" t="s">
        <v>77</v>
      </c>
      <c r="E3303" s="30" t="s">
        <v>8816</v>
      </c>
      <c r="F3303" s="34" t="n">
        <f aca="false">IFERROR(VLOOKUP($A3303,'319'!$B:$H,7,0),0)</f>
        <v>0</v>
      </c>
      <c r="G3303" s="34" t="n">
        <f aca="false">SUMIFS('12.326ana'!$C:$C,'12.326ana'!$M:$M,redes!A3303)</f>
        <v>0</v>
      </c>
    </row>
    <row r="3304" customFormat="false" ht="14.4" hidden="true" customHeight="false" outlineLevel="0" collapsed="false">
      <c r="A3304" s="34" t="n">
        <v>55445098168</v>
      </c>
      <c r="B3304" s="34" t="s">
        <v>8817</v>
      </c>
      <c r="C3304" s="34" t="s">
        <v>77</v>
      </c>
      <c r="E3304" s="30" t="s">
        <v>8818</v>
      </c>
      <c r="F3304" s="34" t="n">
        <f aca="false">IFERROR(VLOOKUP($A3304,'319'!$B:$H,7,0),0)</f>
        <v>0</v>
      </c>
      <c r="G3304" s="34" t="n">
        <f aca="false">SUMIFS('12.326ana'!$C:$C,'12.326ana'!$M:$M,redes!A3304)</f>
        <v>0</v>
      </c>
    </row>
    <row r="3305" customFormat="false" ht="14.4" hidden="true" customHeight="false" outlineLevel="0" collapsed="false">
      <c r="A3305" s="34" t="n">
        <v>55446485149</v>
      </c>
      <c r="B3305" s="34" t="s">
        <v>8819</v>
      </c>
      <c r="C3305" s="34" t="s">
        <v>357</v>
      </c>
      <c r="E3305" s="30" t="s">
        <v>8820</v>
      </c>
      <c r="F3305" s="34" t="n">
        <f aca="false">IFERROR(VLOOKUP($A3305,'319'!$B:$H,7,0),0)</f>
        <v>0</v>
      </c>
      <c r="G3305" s="34" t="n">
        <f aca="false">SUMIFS('12.326ana'!$C:$C,'12.326ana'!$M:$M,redes!A3305)</f>
        <v>0</v>
      </c>
    </row>
    <row r="3306" customFormat="false" ht="14.4" hidden="true" customHeight="false" outlineLevel="0" collapsed="false">
      <c r="A3306" s="34" t="n">
        <v>55448917100</v>
      </c>
      <c r="B3306" s="34" t="s">
        <v>8821</v>
      </c>
      <c r="C3306" s="34" t="s">
        <v>77</v>
      </c>
      <c r="E3306" s="30" t="s">
        <v>8822</v>
      </c>
      <c r="F3306" s="34" t="n">
        <f aca="false">IFERROR(VLOOKUP($A3306,'319'!$B:$H,7,0),0)</f>
        <v>0</v>
      </c>
      <c r="G3306" s="34" t="n">
        <f aca="false">SUMIFS('12.326ana'!$C:$C,'12.326ana'!$M:$M,redes!A3306)</f>
        <v>0</v>
      </c>
    </row>
    <row r="3307" customFormat="false" ht="14.4" hidden="true" customHeight="false" outlineLevel="0" collapsed="false">
      <c r="A3307" s="34" t="n">
        <v>55452736115</v>
      </c>
      <c r="B3307" s="34" t="s">
        <v>8823</v>
      </c>
      <c r="C3307" s="34" t="s">
        <v>77</v>
      </c>
      <c r="E3307" s="30" t="s">
        <v>4521</v>
      </c>
      <c r="F3307" s="34" t="n">
        <f aca="false">IFERROR(VLOOKUP($A3307,'319'!$B:$H,7,0),0)</f>
        <v>0</v>
      </c>
      <c r="G3307" s="34" t="n">
        <f aca="false">SUMIFS('12.326ana'!$C:$C,'12.326ana'!$M:$M,redes!A3307)</f>
        <v>0</v>
      </c>
    </row>
    <row r="3308" customFormat="false" ht="14.4" hidden="true" customHeight="false" outlineLevel="0" collapsed="false">
      <c r="A3308" s="34" t="n">
        <v>55454968153</v>
      </c>
      <c r="B3308" s="34" t="s">
        <v>8824</v>
      </c>
      <c r="C3308" s="34" t="s">
        <v>77</v>
      </c>
      <c r="E3308" s="30" t="s">
        <v>8825</v>
      </c>
      <c r="F3308" s="34" t="n">
        <f aca="false">IFERROR(VLOOKUP($A3308,'319'!$B:$H,7,0),0)</f>
        <v>0</v>
      </c>
      <c r="G3308" s="34" t="n">
        <f aca="false">SUMIFS('12.326ana'!$C:$C,'12.326ana'!$M:$M,redes!A3308)</f>
        <v>0</v>
      </c>
    </row>
    <row r="3309" customFormat="false" ht="14.4" hidden="true" customHeight="false" outlineLevel="0" collapsed="false">
      <c r="A3309" s="34" t="n">
        <v>55455212168</v>
      </c>
      <c r="B3309" s="34" t="s">
        <v>8826</v>
      </c>
      <c r="C3309" s="34" t="s">
        <v>77</v>
      </c>
      <c r="E3309" s="30" t="s">
        <v>8827</v>
      </c>
      <c r="F3309" s="34" t="n">
        <f aca="false">IFERROR(VLOOKUP($A3309,'319'!$B:$H,7,0),0)</f>
        <v>0</v>
      </c>
      <c r="G3309" s="34" t="n">
        <f aca="false">SUMIFS('12.326ana'!$C:$C,'12.326ana'!$M:$M,redes!A3309)</f>
        <v>0</v>
      </c>
    </row>
    <row r="3310" customFormat="false" ht="14.4" hidden="true" customHeight="false" outlineLevel="0" collapsed="false">
      <c r="A3310" s="34" t="n">
        <v>55483003187</v>
      </c>
      <c r="B3310" s="34" t="s">
        <v>8828</v>
      </c>
      <c r="C3310" s="34" t="s">
        <v>77</v>
      </c>
      <c r="E3310" s="30" t="s">
        <v>8829</v>
      </c>
      <c r="F3310" s="34" t="n">
        <f aca="false">IFERROR(VLOOKUP($A3310,'319'!$B:$H,7,0),0)</f>
        <v>0</v>
      </c>
      <c r="G3310" s="34" t="n">
        <f aca="false">SUMIFS('12.326ana'!$C:$C,'12.326ana'!$M:$M,redes!A3310)</f>
        <v>0</v>
      </c>
    </row>
    <row r="3311" customFormat="false" ht="14.4" hidden="true" customHeight="false" outlineLevel="0" collapsed="false">
      <c r="A3311" s="34" t="n">
        <v>55483771168</v>
      </c>
      <c r="B3311" s="34" t="s">
        <v>8830</v>
      </c>
      <c r="C3311" s="34" t="s">
        <v>77</v>
      </c>
      <c r="E3311" s="30" t="s">
        <v>6221</v>
      </c>
      <c r="F3311" s="34" t="n">
        <f aca="false">IFERROR(VLOOKUP($A3311,'319'!$B:$H,7,0),0)</f>
        <v>0</v>
      </c>
      <c r="G3311" s="34" t="n">
        <f aca="false">SUMIFS('12.326ana'!$C:$C,'12.326ana'!$M:$M,redes!A3311)</f>
        <v>0</v>
      </c>
    </row>
    <row r="3312" customFormat="false" ht="14.4" hidden="true" customHeight="false" outlineLevel="0" collapsed="false">
      <c r="A3312" s="34" t="n">
        <v>55486274149</v>
      </c>
      <c r="B3312" s="34" t="s">
        <v>8831</v>
      </c>
      <c r="C3312" s="34" t="s">
        <v>463</v>
      </c>
      <c r="E3312" s="30" t="s">
        <v>8832</v>
      </c>
      <c r="F3312" s="34" t="n">
        <f aca="false">IFERROR(VLOOKUP($A3312,'319'!$B:$H,7,0),0)</f>
        <v>0</v>
      </c>
      <c r="G3312" s="34" t="n">
        <f aca="false">SUMIFS('12.326ana'!$C:$C,'12.326ana'!$M:$M,redes!A3312)</f>
        <v>0</v>
      </c>
    </row>
    <row r="3313" customFormat="false" ht="14.4" hidden="true" customHeight="false" outlineLevel="0" collapsed="false">
      <c r="A3313" s="34" t="n">
        <v>55489753153</v>
      </c>
      <c r="B3313" s="34" t="s">
        <v>8833</v>
      </c>
      <c r="C3313" s="34" t="s">
        <v>77</v>
      </c>
      <c r="E3313" s="30"/>
      <c r="F3313" s="34" t="n">
        <f aca="false">IFERROR(VLOOKUP($A3313,'319'!$B:$H,7,0),0)</f>
        <v>0</v>
      </c>
      <c r="G3313" s="34" t="n">
        <f aca="false">SUMIFS('12.326ana'!$C:$C,'12.326ana'!$M:$M,redes!A3313)</f>
        <v>0</v>
      </c>
    </row>
    <row r="3314" customFormat="false" ht="14.4" hidden="true" customHeight="false" outlineLevel="0" collapsed="false">
      <c r="A3314" s="34" t="n">
        <v>55491839191</v>
      </c>
      <c r="B3314" s="34" t="s">
        <v>8834</v>
      </c>
      <c r="C3314" s="34" t="s">
        <v>77</v>
      </c>
      <c r="E3314" s="30" t="s">
        <v>8835</v>
      </c>
      <c r="F3314" s="34" t="n">
        <f aca="false">IFERROR(VLOOKUP($A3314,'319'!$B:$H,7,0),0)</f>
        <v>0</v>
      </c>
      <c r="G3314" s="34" t="n">
        <f aca="false">SUMIFS('12.326ana'!$C:$C,'12.326ana'!$M:$M,redes!A3314)</f>
        <v>0</v>
      </c>
    </row>
    <row r="3315" customFormat="false" ht="14.4" hidden="true" customHeight="false" outlineLevel="0" collapsed="false">
      <c r="A3315" s="34" t="n">
        <v>55493718120</v>
      </c>
      <c r="B3315" s="34" t="s">
        <v>8836</v>
      </c>
      <c r="C3315" s="34" t="s">
        <v>77</v>
      </c>
      <c r="E3315" s="30" t="s">
        <v>7791</v>
      </c>
      <c r="F3315" s="34" t="n">
        <f aca="false">IFERROR(VLOOKUP($A3315,'319'!$B:$H,7,0),0)</f>
        <v>0</v>
      </c>
      <c r="G3315" s="34" t="n">
        <f aca="false">SUMIFS('12.326ana'!$C:$C,'12.326ana'!$M:$M,redes!A3315)</f>
        <v>0</v>
      </c>
    </row>
    <row r="3316" customFormat="false" ht="14.4" hidden="true" customHeight="false" outlineLevel="0" collapsed="false">
      <c r="A3316" s="34" t="n">
        <v>55495591100</v>
      </c>
      <c r="B3316" s="34" t="s">
        <v>8837</v>
      </c>
      <c r="C3316" s="34" t="s">
        <v>77</v>
      </c>
      <c r="E3316" s="30" t="s">
        <v>4499</v>
      </c>
      <c r="F3316" s="34" t="n">
        <f aca="false">IFERROR(VLOOKUP($A3316,'319'!$B:$H,7,0),0)</f>
        <v>0</v>
      </c>
      <c r="G3316" s="34" t="n">
        <f aca="false">SUMIFS('12.326ana'!$C:$C,'12.326ana'!$M:$M,redes!A3316)</f>
        <v>0</v>
      </c>
    </row>
    <row r="3317" customFormat="false" ht="14.4" hidden="true" customHeight="false" outlineLevel="0" collapsed="false">
      <c r="A3317" s="34" t="n">
        <v>55498620187</v>
      </c>
      <c r="B3317" s="34" t="s">
        <v>8838</v>
      </c>
      <c r="C3317" s="34" t="s">
        <v>77</v>
      </c>
      <c r="E3317" s="30" t="s">
        <v>8839</v>
      </c>
      <c r="F3317" s="34" t="n">
        <f aca="false">IFERROR(VLOOKUP($A3317,'319'!$B:$H,7,0),0)</f>
        <v>0</v>
      </c>
      <c r="G3317" s="34" t="n">
        <f aca="false">SUMIFS('12.326ana'!$C:$C,'12.326ana'!$M:$M,redes!A3317)</f>
        <v>0</v>
      </c>
    </row>
    <row r="3318" customFormat="false" ht="14.4" hidden="true" customHeight="false" outlineLevel="0" collapsed="false">
      <c r="A3318" s="34" t="n">
        <v>55500641115</v>
      </c>
      <c r="B3318" s="34" t="s">
        <v>8840</v>
      </c>
      <c r="C3318" s="34" t="s">
        <v>77</v>
      </c>
      <c r="E3318" s="30" t="s">
        <v>8841</v>
      </c>
      <c r="F3318" s="34" t="n">
        <f aca="false">IFERROR(VLOOKUP($A3318,'319'!$B:$H,7,0),0)</f>
        <v>0</v>
      </c>
      <c r="G3318" s="34" t="n">
        <f aca="false">SUMIFS('12.326ana'!$C:$C,'12.326ana'!$M:$M,redes!A3318)</f>
        <v>0</v>
      </c>
    </row>
    <row r="3319" customFormat="false" ht="14.4" hidden="true" customHeight="false" outlineLevel="0" collapsed="false">
      <c r="A3319" s="34" t="n">
        <v>55509274972</v>
      </c>
      <c r="B3319" s="34" t="s">
        <v>8842</v>
      </c>
      <c r="C3319" s="34" t="s">
        <v>127</v>
      </c>
      <c r="E3319" s="30" t="s">
        <v>8843</v>
      </c>
      <c r="F3319" s="34" t="n">
        <f aca="false">IFERROR(VLOOKUP($A3319,'319'!$B:$H,7,0),0)</f>
        <v>0</v>
      </c>
      <c r="G3319" s="34" t="n">
        <f aca="false">SUMIFS('12.326ana'!$C:$C,'12.326ana'!$M:$M,redes!A3319)</f>
        <v>0</v>
      </c>
    </row>
    <row r="3320" customFormat="false" ht="14.4" hidden="true" customHeight="false" outlineLevel="0" collapsed="false">
      <c r="A3320" s="34" t="n">
        <v>55524494953</v>
      </c>
      <c r="B3320" s="34" t="s">
        <v>8844</v>
      </c>
      <c r="C3320" s="34" t="s">
        <v>103</v>
      </c>
      <c r="E3320" s="30" t="s">
        <v>8845</v>
      </c>
      <c r="F3320" s="34" t="n">
        <f aca="false">IFERROR(VLOOKUP($A3320,'319'!$B:$H,7,0),0)</f>
        <v>0</v>
      </c>
      <c r="G3320" s="34" t="n">
        <f aca="false">SUMIFS('12.326ana'!$C:$C,'12.326ana'!$M:$M,redes!A3320)</f>
        <v>0</v>
      </c>
    </row>
    <row r="3321" customFormat="false" ht="14.4" hidden="true" customHeight="false" outlineLevel="0" collapsed="false">
      <c r="A3321" s="34" t="n">
        <v>55567533187</v>
      </c>
      <c r="B3321" s="34" t="s">
        <v>8846</v>
      </c>
      <c r="C3321" s="34" t="s">
        <v>764</v>
      </c>
      <c r="E3321" s="30" t="s">
        <v>8847</v>
      </c>
      <c r="F3321" s="34" t="n">
        <f aca="false">IFERROR(VLOOKUP($A3321,'319'!$B:$H,7,0),0)</f>
        <v>0</v>
      </c>
      <c r="G3321" s="34" t="n">
        <f aca="false">SUMIFS('12.326ana'!$C:$C,'12.326ana'!$M:$M,redes!A3321)</f>
        <v>0</v>
      </c>
    </row>
    <row r="3322" customFormat="false" ht="14.4" hidden="true" customHeight="false" outlineLevel="0" collapsed="false">
      <c r="A3322" s="34" t="n">
        <v>55567630115</v>
      </c>
      <c r="B3322" s="34" t="s">
        <v>8848</v>
      </c>
      <c r="C3322" s="34" t="s">
        <v>1591</v>
      </c>
      <c r="E3322" s="30" t="s">
        <v>8849</v>
      </c>
      <c r="F3322" s="34" t="n">
        <f aca="false">IFERROR(VLOOKUP($A3322,'319'!$B:$H,7,0),0)</f>
        <v>0</v>
      </c>
      <c r="G3322" s="34" t="n">
        <f aca="false">SUMIFS('12.326ana'!$C:$C,'12.326ana'!$M:$M,redes!A3322)</f>
        <v>0</v>
      </c>
    </row>
    <row r="3323" customFormat="false" ht="14.4" hidden="true" customHeight="false" outlineLevel="0" collapsed="false">
      <c r="A3323" s="34" t="n">
        <v>55589766168</v>
      </c>
      <c r="B3323" s="34" t="s">
        <v>8850</v>
      </c>
      <c r="C3323" s="34" t="s">
        <v>744</v>
      </c>
      <c r="E3323" s="30" t="s">
        <v>8851</v>
      </c>
      <c r="F3323" s="34" t="n">
        <f aca="false">IFERROR(VLOOKUP($A3323,'319'!$B:$H,7,0),0)</f>
        <v>0</v>
      </c>
      <c r="G3323" s="34" t="n">
        <f aca="false">SUMIFS('12.326ana'!$C:$C,'12.326ana'!$M:$M,redes!A3323)</f>
        <v>0</v>
      </c>
    </row>
    <row r="3324" customFormat="false" ht="14.4" hidden="true" customHeight="false" outlineLevel="0" collapsed="false">
      <c r="A3324" s="34" t="n">
        <v>55701787915</v>
      </c>
      <c r="B3324" s="34" t="s">
        <v>8852</v>
      </c>
      <c r="C3324" s="34" t="s">
        <v>594</v>
      </c>
      <c r="E3324" s="30" t="s">
        <v>8853</v>
      </c>
      <c r="F3324" s="34" t="n">
        <f aca="false">IFERROR(VLOOKUP($A3324,'319'!$B:$H,7,0),0)</f>
        <v>0</v>
      </c>
      <c r="G3324" s="34" t="n">
        <f aca="false">SUMIFS('12.326ana'!$C:$C,'12.326ana'!$M:$M,redes!A3324)</f>
        <v>0</v>
      </c>
    </row>
    <row r="3325" customFormat="false" ht="14.4" hidden="true" customHeight="false" outlineLevel="0" collapsed="false">
      <c r="A3325" s="34" t="n">
        <v>55733522100</v>
      </c>
      <c r="B3325" s="34" t="s">
        <v>8854</v>
      </c>
      <c r="C3325" s="34" t="s">
        <v>351</v>
      </c>
      <c r="E3325" s="30" t="s">
        <v>8855</v>
      </c>
      <c r="F3325" s="34" t="n">
        <f aca="false">IFERROR(VLOOKUP($A3325,'319'!$B:$H,7,0),0)</f>
        <v>0</v>
      </c>
      <c r="G3325" s="34" t="n">
        <f aca="false">SUMIFS('12.326ana'!$C:$C,'12.326ana'!$M:$M,redes!A3325)</f>
        <v>0</v>
      </c>
    </row>
    <row r="3326" customFormat="false" ht="14.4" hidden="true" customHeight="false" outlineLevel="0" collapsed="false">
      <c r="A3326" s="34" t="n">
        <v>55733662115</v>
      </c>
      <c r="B3326" s="34" t="s">
        <v>4994</v>
      </c>
      <c r="C3326" s="34" t="s">
        <v>77</v>
      </c>
      <c r="E3326" s="30"/>
      <c r="F3326" s="34" t="n">
        <f aca="false">IFERROR(VLOOKUP($A3326,'319'!$B:$H,7,0),0)</f>
        <v>0</v>
      </c>
      <c r="G3326" s="34" t="n">
        <f aca="false">SUMIFS('12.326ana'!$C:$C,'12.326ana'!$M:$M,redes!A3326)</f>
        <v>0</v>
      </c>
    </row>
    <row r="3327" customFormat="false" ht="14.4" hidden="true" customHeight="false" outlineLevel="0" collapsed="false">
      <c r="A3327" s="34" t="n">
        <v>55735770187</v>
      </c>
      <c r="B3327" s="34" t="s">
        <v>8856</v>
      </c>
      <c r="C3327" s="34" t="s">
        <v>77</v>
      </c>
      <c r="E3327" s="30"/>
      <c r="F3327" s="34" t="n">
        <f aca="false">IFERROR(VLOOKUP($A3327,'319'!$B:$H,7,0),0)</f>
        <v>0</v>
      </c>
      <c r="G3327" s="34" t="n">
        <f aca="false">SUMIFS('12.326ana'!$C:$C,'12.326ana'!$M:$M,redes!A3327)</f>
        <v>0</v>
      </c>
    </row>
    <row r="3328" customFormat="false" ht="14.4" hidden="true" customHeight="false" outlineLevel="0" collapsed="false">
      <c r="A3328" s="34" t="n">
        <v>55736726149</v>
      </c>
      <c r="B3328" s="34" t="s">
        <v>8857</v>
      </c>
      <c r="C3328" s="34" t="s">
        <v>377</v>
      </c>
      <c r="E3328" s="30" t="s">
        <v>8858</v>
      </c>
      <c r="F3328" s="34" t="n">
        <f aca="false">IFERROR(VLOOKUP($A3328,'319'!$B:$H,7,0),0)</f>
        <v>0</v>
      </c>
      <c r="G3328" s="34" t="n">
        <f aca="false">SUMIFS('12.326ana'!$C:$C,'12.326ana'!$M:$M,redes!A3328)</f>
        <v>0</v>
      </c>
    </row>
    <row r="3329" customFormat="false" ht="14.4" hidden="true" customHeight="false" outlineLevel="0" collapsed="false">
      <c r="A3329" s="34" t="n">
        <v>55739628172</v>
      </c>
      <c r="B3329" s="34" t="s">
        <v>8859</v>
      </c>
      <c r="C3329" s="34" t="s">
        <v>77</v>
      </c>
      <c r="E3329" s="30" t="s">
        <v>8860</v>
      </c>
      <c r="F3329" s="34" t="n">
        <f aca="false">IFERROR(VLOOKUP($A3329,'319'!$B:$H,7,0),0)</f>
        <v>0</v>
      </c>
      <c r="G3329" s="34" t="n">
        <f aca="false">SUMIFS('12.326ana'!$C:$C,'12.326ana'!$M:$M,redes!A3329)</f>
        <v>0</v>
      </c>
    </row>
    <row r="3330" customFormat="false" ht="14.4" hidden="true" customHeight="false" outlineLevel="0" collapsed="false">
      <c r="A3330" s="34" t="n">
        <v>55739822149</v>
      </c>
      <c r="B3330" s="34" t="s">
        <v>8861</v>
      </c>
      <c r="C3330" s="34" t="s">
        <v>77</v>
      </c>
      <c r="E3330" s="30" t="s">
        <v>8862</v>
      </c>
      <c r="F3330" s="34" t="n">
        <f aca="false">IFERROR(VLOOKUP($A3330,'319'!$B:$H,7,0),0)</f>
        <v>0</v>
      </c>
      <c r="G3330" s="34" t="n">
        <f aca="false">SUMIFS('12.326ana'!$C:$C,'12.326ana'!$M:$M,redes!A3330)</f>
        <v>0</v>
      </c>
    </row>
    <row r="3331" customFormat="false" ht="14.4" hidden="true" customHeight="false" outlineLevel="0" collapsed="false">
      <c r="A3331" s="34" t="n">
        <v>55741339115</v>
      </c>
      <c r="B3331" s="34" t="s">
        <v>8863</v>
      </c>
      <c r="C3331" s="34" t="s">
        <v>309</v>
      </c>
      <c r="E3331" s="30" t="s">
        <v>8864</v>
      </c>
      <c r="F3331" s="34" t="n">
        <f aca="false">IFERROR(VLOOKUP($A3331,'319'!$B:$H,7,0),0)</f>
        <v>0</v>
      </c>
      <c r="G3331" s="34" t="n">
        <f aca="false">SUMIFS('12.326ana'!$C:$C,'12.326ana'!$M:$M,redes!A3331)</f>
        <v>0</v>
      </c>
    </row>
    <row r="3332" customFormat="false" ht="14.4" hidden="true" customHeight="false" outlineLevel="0" collapsed="false">
      <c r="A3332" s="34" t="n">
        <v>55742203187</v>
      </c>
      <c r="B3332" s="34" t="s">
        <v>8865</v>
      </c>
      <c r="C3332" s="34" t="s">
        <v>77</v>
      </c>
      <c r="E3332" s="30" t="s">
        <v>8866</v>
      </c>
      <c r="F3332" s="34" t="n">
        <f aca="false">IFERROR(VLOOKUP($A3332,'319'!$B:$H,7,0),0)</f>
        <v>0</v>
      </c>
      <c r="G3332" s="34" t="n">
        <f aca="false">SUMIFS('12.326ana'!$C:$C,'12.326ana'!$M:$M,redes!A3332)</f>
        <v>0</v>
      </c>
    </row>
    <row r="3333" customFormat="false" ht="14.4" hidden="true" customHeight="false" outlineLevel="0" collapsed="false">
      <c r="A3333" s="34" t="n">
        <v>55763324153</v>
      </c>
      <c r="B3333" s="34" t="s">
        <v>8867</v>
      </c>
      <c r="C3333" s="34" t="s">
        <v>565</v>
      </c>
      <c r="E3333" s="30" t="s">
        <v>8868</v>
      </c>
      <c r="F3333" s="34" t="n">
        <f aca="false">IFERROR(VLOOKUP($A3333,'319'!$B:$H,7,0),0)</f>
        <v>0</v>
      </c>
      <c r="G3333" s="34" t="n">
        <f aca="false">SUMIFS('12.326ana'!$C:$C,'12.326ana'!$M:$M,redes!A3333)</f>
        <v>0</v>
      </c>
    </row>
    <row r="3334" customFormat="false" ht="14.4" hidden="true" customHeight="false" outlineLevel="0" collapsed="false">
      <c r="A3334" s="34" t="n">
        <v>55809219934</v>
      </c>
      <c r="B3334" s="34" t="s">
        <v>8869</v>
      </c>
      <c r="C3334" s="34" t="s">
        <v>77</v>
      </c>
      <c r="E3334" s="30" t="s">
        <v>5781</v>
      </c>
      <c r="F3334" s="34" t="n">
        <f aca="false">IFERROR(VLOOKUP($A3334,'319'!$B:$H,7,0),0)</f>
        <v>0</v>
      </c>
      <c r="G3334" s="34" t="n">
        <f aca="false">SUMIFS('12.326ana'!$C:$C,'12.326ana'!$M:$M,redes!A3334)</f>
        <v>0</v>
      </c>
    </row>
    <row r="3335" customFormat="false" ht="14.4" hidden="true" customHeight="false" outlineLevel="0" collapsed="false">
      <c r="A3335" s="34" t="n">
        <v>55815766100</v>
      </c>
      <c r="B3335" s="34" t="s">
        <v>8870</v>
      </c>
      <c r="C3335" s="34" t="s">
        <v>103</v>
      </c>
      <c r="E3335" s="30" t="s">
        <v>8871</v>
      </c>
      <c r="F3335" s="34" t="n">
        <f aca="false">IFERROR(VLOOKUP($A3335,'319'!$B:$H,7,0),0)</f>
        <v>0</v>
      </c>
      <c r="G3335" s="34" t="n">
        <f aca="false">SUMIFS('12.326ana'!$C:$C,'12.326ana'!$M:$M,redes!A3335)</f>
        <v>0</v>
      </c>
    </row>
    <row r="3336" customFormat="false" ht="14.4" hidden="true" customHeight="false" outlineLevel="0" collapsed="false">
      <c r="A3336" s="34" t="n">
        <v>55817718120</v>
      </c>
      <c r="B3336" s="34" t="s">
        <v>8872</v>
      </c>
      <c r="C3336" s="34" t="s">
        <v>473</v>
      </c>
      <c r="E3336" s="30" t="s">
        <v>8873</v>
      </c>
      <c r="F3336" s="34" t="n">
        <f aca="false">IFERROR(VLOOKUP($A3336,'319'!$B:$H,7,0),0)</f>
        <v>0</v>
      </c>
      <c r="G3336" s="34" t="n">
        <f aca="false">SUMIFS('12.326ana'!$C:$C,'12.326ana'!$M:$M,redes!A3336)</f>
        <v>0</v>
      </c>
    </row>
    <row r="3337" customFormat="false" ht="14.4" hidden="true" customHeight="false" outlineLevel="0" collapsed="false">
      <c r="A3337" s="34" t="n">
        <v>55818838153</v>
      </c>
      <c r="B3337" s="34" t="s">
        <v>8874</v>
      </c>
      <c r="C3337" s="34" t="s">
        <v>103</v>
      </c>
      <c r="E3337" s="30" t="s">
        <v>8875</v>
      </c>
      <c r="F3337" s="34" t="n">
        <f aca="false">IFERROR(VLOOKUP($A3337,'319'!$B:$H,7,0),0)</f>
        <v>0</v>
      </c>
      <c r="G3337" s="34" t="n">
        <f aca="false">SUMIFS('12.326ana'!$C:$C,'12.326ana'!$M:$M,redes!A3337)</f>
        <v>0</v>
      </c>
    </row>
    <row r="3338" customFormat="false" ht="14.4" hidden="true" customHeight="false" outlineLevel="0" collapsed="false">
      <c r="A3338" s="34" t="n">
        <v>55818935191</v>
      </c>
      <c r="B3338" s="34" t="s">
        <v>8876</v>
      </c>
      <c r="C3338" s="34" t="s">
        <v>377</v>
      </c>
      <c r="E3338" s="30" t="s">
        <v>8877</v>
      </c>
      <c r="F3338" s="34" t="n">
        <f aca="false">IFERROR(VLOOKUP($A3338,'319'!$B:$H,7,0),0)</f>
        <v>0</v>
      </c>
      <c r="G3338" s="34" t="n">
        <f aca="false">SUMIFS('12.326ana'!$C:$C,'12.326ana'!$M:$M,redes!A3338)</f>
        <v>0</v>
      </c>
    </row>
    <row r="3339" customFormat="false" ht="14.4" hidden="true" customHeight="false" outlineLevel="0" collapsed="false">
      <c r="A3339" s="34" t="n">
        <v>55820379187</v>
      </c>
      <c r="B3339" s="34" t="s">
        <v>8878</v>
      </c>
      <c r="C3339" s="34" t="s">
        <v>103</v>
      </c>
      <c r="E3339" s="30" t="s">
        <v>8879</v>
      </c>
      <c r="F3339" s="34" t="n">
        <f aca="false">IFERROR(VLOOKUP($A3339,'319'!$B:$H,7,0),0)</f>
        <v>0</v>
      </c>
      <c r="G3339" s="34" t="n">
        <f aca="false">SUMIFS('12.326ana'!$C:$C,'12.326ana'!$M:$M,redes!A3339)</f>
        <v>0</v>
      </c>
    </row>
    <row r="3340" customFormat="false" ht="14.4" hidden="true" customHeight="false" outlineLevel="0" collapsed="false">
      <c r="A3340" s="34" t="n">
        <v>55822711120</v>
      </c>
      <c r="B3340" s="34" t="s">
        <v>8880</v>
      </c>
      <c r="C3340" s="34" t="s">
        <v>77</v>
      </c>
      <c r="E3340" s="30" t="s">
        <v>8881</v>
      </c>
      <c r="F3340" s="34" t="n">
        <f aca="false">IFERROR(VLOOKUP($A3340,'319'!$B:$H,7,0),0)</f>
        <v>0</v>
      </c>
      <c r="G3340" s="34" t="n">
        <f aca="false">SUMIFS('12.326ana'!$C:$C,'12.326ana'!$M:$M,redes!A3340)</f>
        <v>0</v>
      </c>
    </row>
    <row r="3341" customFormat="false" ht="14.4" hidden="true" customHeight="false" outlineLevel="0" collapsed="false">
      <c r="A3341" s="34" t="n">
        <v>55823661134</v>
      </c>
      <c r="B3341" s="34" t="s">
        <v>8882</v>
      </c>
      <c r="C3341" s="34" t="s">
        <v>77</v>
      </c>
      <c r="E3341" s="30"/>
      <c r="F3341" s="34" t="n">
        <f aca="false">IFERROR(VLOOKUP($A3341,'319'!$B:$H,7,0),0)</f>
        <v>0</v>
      </c>
      <c r="G3341" s="34" t="n">
        <f aca="false">SUMIFS('12.326ana'!$C:$C,'12.326ana'!$M:$M,redes!A3341)</f>
        <v>0</v>
      </c>
    </row>
    <row r="3342" customFormat="false" ht="14.4" hidden="true" customHeight="false" outlineLevel="0" collapsed="false">
      <c r="A3342" s="34" t="n">
        <v>55824102104</v>
      </c>
      <c r="B3342" s="34" t="s">
        <v>8883</v>
      </c>
      <c r="C3342" s="34" t="s">
        <v>77</v>
      </c>
      <c r="E3342" s="30" t="s">
        <v>8884</v>
      </c>
      <c r="F3342" s="34" t="n">
        <f aca="false">IFERROR(VLOOKUP($A3342,'319'!$B:$H,7,0),0)</f>
        <v>0</v>
      </c>
      <c r="G3342" s="34" t="n">
        <f aca="false">SUMIFS('12.326ana'!$C:$C,'12.326ana'!$M:$M,redes!A3342)</f>
        <v>0</v>
      </c>
    </row>
    <row r="3343" customFormat="false" ht="14.4" hidden="true" customHeight="false" outlineLevel="0" collapsed="false">
      <c r="A3343" s="34" t="n">
        <v>55824692149</v>
      </c>
      <c r="B3343" s="34" t="s">
        <v>8885</v>
      </c>
      <c r="C3343" s="34" t="s">
        <v>342</v>
      </c>
      <c r="E3343" s="30" t="s">
        <v>8886</v>
      </c>
      <c r="F3343" s="34" t="n">
        <f aca="false">IFERROR(VLOOKUP($A3343,'319'!$B:$H,7,0),0)</f>
        <v>0</v>
      </c>
      <c r="G3343" s="34" t="n">
        <f aca="false">SUMIFS('12.326ana'!$C:$C,'12.326ana'!$M:$M,redes!A3343)</f>
        <v>0</v>
      </c>
    </row>
    <row r="3344" customFormat="false" ht="14.4" hidden="true" customHeight="false" outlineLevel="0" collapsed="false">
      <c r="A3344" s="34" t="n">
        <v>55827543187</v>
      </c>
      <c r="B3344" s="34" t="s">
        <v>8887</v>
      </c>
      <c r="C3344" s="34" t="s">
        <v>139</v>
      </c>
      <c r="E3344" s="30" t="s">
        <v>8888</v>
      </c>
      <c r="F3344" s="34" t="n">
        <f aca="false">IFERROR(VLOOKUP($A3344,'319'!$B:$H,7,0),0)</f>
        <v>0</v>
      </c>
      <c r="G3344" s="34" t="n">
        <f aca="false">SUMIFS('12.326ana'!$C:$C,'12.326ana'!$M:$M,redes!A3344)</f>
        <v>0</v>
      </c>
    </row>
    <row r="3345" customFormat="false" ht="14.4" hidden="true" customHeight="false" outlineLevel="0" collapsed="false">
      <c r="A3345" s="34" t="n">
        <v>55832873149</v>
      </c>
      <c r="B3345" s="34" t="s">
        <v>8889</v>
      </c>
      <c r="C3345" s="34" t="s">
        <v>77</v>
      </c>
      <c r="E3345" s="30" t="s">
        <v>8890</v>
      </c>
      <c r="F3345" s="34" t="n">
        <f aca="false">IFERROR(VLOOKUP($A3345,'319'!$B:$H,7,0),0)</f>
        <v>0</v>
      </c>
      <c r="G3345" s="34" t="n">
        <f aca="false">SUMIFS('12.326ana'!$C:$C,'12.326ana'!$M:$M,redes!A3345)</f>
        <v>0</v>
      </c>
    </row>
    <row r="3346" customFormat="false" ht="14.4" hidden="true" customHeight="false" outlineLevel="0" collapsed="false">
      <c r="A3346" s="34" t="n">
        <v>55835996187</v>
      </c>
      <c r="B3346" s="34" t="s">
        <v>8891</v>
      </c>
      <c r="C3346" s="34" t="s">
        <v>107</v>
      </c>
      <c r="E3346" s="30" t="s">
        <v>8892</v>
      </c>
      <c r="F3346" s="34" t="n">
        <f aca="false">IFERROR(VLOOKUP($A3346,'319'!$B:$H,7,0),0)</f>
        <v>0</v>
      </c>
      <c r="G3346" s="34" t="n">
        <f aca="false">SUMIFS('12.326ana'!$C:$C,'12.326ana'!$M:$M,redes!A3346)</f>
        <v>0</v>
      </c>
    </row>
    <row r="3347" customFormat="false" ht="14.4" hidden="true" customHeight="false" outlineLevel="0" collapsed="false">
      <c r="A3347" s="34" t="n">
        <v>55844731115</v>
      </c>
      <c r="B3347" s="34" t="s">
        <v>8893</v>
      </c>
      <c r="C3347" s="34" t="s">
        <v>77</v>
      </c>
      <c r="E3347" s="30"/>
      <c r="F3347" s="34" t="n">
        <f aca="false">IFERROR(VLOOKUP($A3347,'319'!$B:$H,7,0),0)</f>
        <v>0</v>
      </c>
      <c r="G3347" s="34" t="n">
        <f aca="false">SUMIFS('12.326ana'!$C:$C,'12.326ana'!$M:$M,redes!A3347)</f>
        <v>0</v>
      </c>
    </row>
    <row r="3348" customFormat="false" ht="14.4" hidden="true" customHeight="false" outlineLevel="0" collapsed="false">
      <c r="A3348" s="34" t="n">
        <v>55855504115</v>
      </c>
      <c r="B3348" s="34" t="s">
        <v>8894</v>
      </c>
      <c r="C3348" s="34" t="s">
        <v>309</v>
      </c>
      <c r="E3348" s="30" t="s">
        <v>8895</v>
      </c>
      <c r="F3348" s="34" t="n">
        <f aca="false">IFERROR(VLOOKUP($A3348,'319'!$B:$H,7,0),0)</f>
        <v>0</v>
      </c>
      <c r="G3348" s="34" t="n">
        <f aca="false">SUMIFS('12.326ana'!$C:$C,'12.326ana'!$M:$M,redes!A3348)</f>
        <v>0</v>
      </c>
    </row>
    <row r="3349" customFormat="false" ht="14.4" hidden="true" customHeight="false" outlineLevel="0" collapsed="false">
      <c r="A3349" s="34" t="n">
        <v>55865160125</v>
      </c>
      <c r="B3349" s="34" t="s">
        <v>8526</v>
      </c>
      <c r="C3349" s="34" t="s">
        <v>117</v>
      </c>
      <c r="E3349" s="30" t="s">
        <v>8527</v>
      </c>
      <c r="F3349" s="34" t="n">
        <f aca="false">IFERROR(VLOOKUP($A3349,'319'!$B:$H,7,0),0)</f>
        <v>0</v>
      </c>
      <c r="G3349" s="34" t="n">
        <f aca="false">SUMIFS('12.326ana'!$C:$C,'12.326ana'!$M:$M,redes!A3349)</f>
        <v>0</v>
      </c>
    </row>
    <row r="3350" customFormat="false" ht="14.4" hidden="true" customHeight="false" outlineLevel="0" collapsed="false">
      <c r="A3350" s="34" t="n">
        <v>55868312104</v>
      </c>
      <c r="B3350" s="34" t="s">
        <v>8896</v>
      </c>
      <c r="C3350" s="34" t="s">
        <v>77</v>
      </c>
      <c r="E3350" s="30" t="s">
        <v>8897</v>
      </c>
      <c r="F3350" s="34" t="n">
        <f aca="false">IFERROR(VLOOKUP($A3350,'319'!$B:$H,7,0),0)</f>
        <v>0</v>
      </c>
      <c r="G3350" s="34" t="n">
        <f aca="false">SUMIFS('12.326ana'!$C:$C,'12.326ana'!$M:$M,redes!A3350)</f>
        <v>0</v>
      </c>
    </row>
    <row r="3351" customFormat="false" ht="14.4" hidden="true" customHeight="false" outlineLevel="0" collapsed="false">
      <c r="A3351" s="34" t="n">
        <v>55870759153</v>
      </c>
      <c r="B3351" s="34" t="s">
        <v>8898</v>
      </c>
      <c r="C3351" s="34" t="s">
        <v>77</v>
      </c>
      <c r="E3351" s="30" t="s">
        <v>8899</v>
      </c>
      <c r="F3351" s="34" t="n">
        <f aca="false">IFERROR(VLOOKUP($A3351,'319'!$B:$H,7,0),0)</f>
        <v>0</v>
      </c>
      <c r="G3351" s="34" t="n">
        <f aca="false">SUMIFS('12.326ana'!$C:$C,'12.326ana'!$M:$M,redes!A3351)</f>
        <v>0</v>
      </c>
    </row>
    <row r="3352" customFormat="false" ht="14.4" hidden="true" customHeight="false" outlineLevel="0" collapsed="false">
      <c r="A3352" s="34" t="n">
        <v>55876064149</v>
      </c>
      <c r="B3352" s="34" t="s">
        <v>8900</v>
      </c>
      <c r="C3352" s="34" t="s">
        <v>77</v>
      </c>
      <c r="E3352" s="30" t="s">
        <v>8901</v>
      </c>
      <c r="F3352" s="34" t="n">
        <f aca="false">IFERROR(VLOOKUP($A3352,'319'!$B:$H,7,0),0)</f>
        <v>0</v>
      </c>
      <c r="G3352" s="34" t="n">
        <f aca="false">SUMIFS('12.326ana'!$C:$C,'12.326ana'!$M:$M,redes!A3352)</f>
        <v>0</v>
      </c>
    </row>
    <row r="3353" customFormat="false" ht="14.4" hidden="true" customHeight="false" outlineLevel="0" collapsed="false">
      <c r="A3353" s="34" t="n">
        <v>55883583172</v>
      </c>
      <c r="B3353" s="34" t="s">
        <v>8902</v>
      </c>
      <c r="C3353" s="34" t="s">
        <v>77</v>
      </c>
      <c r="E3353" s="30" t="s">
        <v>8903</v>
      </c>
      <c r="F3353" s="34" t="n">
        <f aca="false">IFERROR(VLOOKUP($A3353,'319'!$B:$H,7,0),0)</f>
        <v>0</v>
      </c>
      <c r="G3353" s="34" t="n">
        <f aca="false">SUMIFS('12.326ana'!$C:$C,'12.326ana'!$M:$M,redes!A3353)</f>
        <v>0</v>
      </c>
    </row>
    <row r="3354" customFormat="false" ht="14.4" hidden="true" customHeight="false" outlineLevel="0" collapsed="false">
      <c r="A3354" s="34" t="n">
        <v>55901794168</v>
      </c>
      <c r="B3354" s="34" t="s">
        <v>8904</v>
      </c>
      <c r="C3354" s="34" t="s">
        <v>77</v>
      </c>
      <c r="E3354" s="30" t="s">
        <v>8905</v>
      </c>
      <c r="F3354" s="34" t="n">
        <f aca="false">IFERROR(VLOOKUP($A3354,'319'!$B:$H,7,0),0)</f>
        <v>0</v>
      </c>
      <c r="G3354" s="34" t="n">
        <f aca="false">SUMIFS('12.326ana'!$C:$C,'12.326ana'!$M:$M,redes!A3354)</f>
        <v>0</v>
      </c>
    </row>
    <row r="3355" customFormat="false" ht="14.4" hidden="true" customHeight="false" outlineLevel="0" collapsed="false">
      <c r="A3355" s="34" t="n">
        <v>55904610149</v>
      </c>
      <c r="B3355" s="34" t="s">
        <v>8906</v>
      </c>
      <c r="C3355" s="34" t="s">
        <v>77</v>
      </c>
      <c r="E3355" s="30" t="s">
        <v>8907</v>
      </c>
      <c r="F3355" s="34" t="n">
        <f aca="false">IFERROR(VLOOKUP($A3355,'319'!$B:$H,7,0),0)</f>
        <v>0</v>
      </c>
      <c r="G3355" s="34" t="n">
        <f aca="false">SUMIFS('12.326ana'!$C:$C,'12.326ana'!$M:$M,redes!A3355)</f>
        <v>0</v>
      </c>
    </row>
    <row r="3356" customFormat="false" ht="14.4" hidden="true" customHeight="false" outlineLevel="0" collapsed="false">
      <c r="A3356" s="34" t="n">
        <v>55905099120</v>
      </c>
      <c r="B3356" s="34" t="s">
        <v>8908</v>
      </c>
      <c r="C3356" s="34" t="s">
        <v>77</v>
      </c>
      <c r="E3356" s="30" t="s">
        <v>8909</v>
      </c>
      <c r="F3356" s="34" t="n">
        <f aca="false">IFERROR(VLOOKUP($A3356,'319'!$B:$H,7,0),0)</f>
        <v>0</v>
      </c>
      <c r="G3356" s="34" t="n">
        <f aca="false">SUMIFS('12.326ana'!$C:$C,'12.326ana'!$M:$M,redes!A3356)</f>
        <v>0</v>
      </c>
    </row>
    <row r="3357" customFormat="false" ht="14.4" hidden="true" customHeight="false" outlineLevel="0" collapsed="false">
      <c r="A3357" s="34" t="n">
        <v>55906559191</v>
      </c>
      <c r="B3357" s="34" t="s">
        <v>8910</v>
      </c>
      <c r="C3357" s="34" t="s">
        <v>77</v>
      </c>
      <c r="E3357" s="30"/>
      <c r="F3357" s="34" t="n">
        <f aca="false">IFERROR(VLOOKUP($A3357,'319'!$B:$H,7,0),0)</f>
        <v>0</v>
      </c>
      <c r="G3357" s="34" t="n">
        <f aca="false">SUMIFS('12.326ana'!$C:$C,'12.326ana'!$M:$M,redes!A3357)</f>
        <v>0</v>
      </c>
    </row>
    <row r="3358" customFormat="false" ht="14.4" hidden="true" customHeight="false" outlineLevel="0" collapsed="false">
      <c r="A3358" s="34" t="n">
        <v>55911757168</v>
      </c>
      <c r="B3358" s="34" t="s">
        <v>8911</v>
      </c>
      <c r="C3358" s="34" t="s">
        <v>342</v>
      </c>
      <c r="E3358" s="30" t="s">
        <v>4276</v>
      </c>
      <c r="F3358" s="34" t="n">
        <f aca="false">IFERROR(VLOOKUP($A3358,'319'!$B:$H,7,0),0)</f>
        <v>0</v>
      </c>
      <c r="G3358" s="34" t="n">
        <f aca="false">SUMIFS('12.326ana'!$C:$C,'12.326ana'!$M:$M,redes!A3358)</f>
        <v>0</v>
      </c>
    </row>
    <row r="3359" customFormat="false" ht="14.4" hidden="true" customHeight="false" outlineLevel="0" collapsed="false">
      <c r="A3359" s="34" t="n">
        <v>55912133168</v>
      </c>
      <c r="B3359" s="34" t="s">
        <v>8912</v>
      </c>
      <c r="C3359" s="34" t="s">
        <v>342</v>
      </c>
      <c r="E3359" s="30" t="s">
        <v>8913</v>
      </c>
      <c r="F3359" s="34" t="n">
        <f aca="false">IFERROR(VLOOKUP($A3359,'319'!$B:$H,7,0),0)</f>
        <v>0</v>
      </c>
      <c r="G3359" s="34" t="n">
        <f aca="false">SUMIFS('12.326ana'!$C:$C,'12.326ana'!$M:$M,redes!A3359)</f>
        <v>0</v>
      </c>
    </row>
    <row r="3360" customFormat="false" ht="14.4" hidden="true" customHeight="false" outlineLevel="0" collapsed="false">
      <c r="A3360" s="34" t="n">
        <v>55940000188</v>
      </c>
      <c r="B3360" s="34" t="s">
        <v>8914</v>
      </c>
      <c r="C3360" s="34" t="s">
        <v>594</v>
      </c>
      <c r="E3360" s="30" t="s">
        <v>8915</v>
      </c>
      <c r="F3360" s="34" t="n">
        <f aca="false">IFERROR(VLOOKUP($A3360,'319'!$B:$H,7,0),0)</f>
        <v>0</v>
      </c>
      <c r="G3360" s="34" t="n">
        <f aca="false">SUMIFS('12.326ana'!$C:$C,'12.326ana'!$M:$M,redes!A3360)</f>
        <v>0</v>
      </c>
    </row>
    <row r="3361" customFormat="false" ht="14.4" hidden="true" customHeight="false" outlineLevel="0" collapsed="false">
      <c r="A3361" s="34" t="n">
        <v>55941000122</v>
      </c>
      <c r="B3361" s="34" t="s">
        <v>8916</v>
      </c>
      <c r="C3361" s="34" t="s">
        <v>464</v>
      </c>
      <c r="E3361" s="30" t="s">
        <v>8917</v>
      </c>
      <c r="F3361" s="34" t="n">
        <f aca="false">IFERROR(VLOOKUP($A3361,'319'!$B:$H,7,0),0)</f>
        <v>0</v>
      </c>
      <c r="G3361" s="34" t="n">
        <f aca="false">SUMIFS('12.326ana'!$C:$C,'12.326ana'!$M:$M,redes!A3361)</f>
        <v>0</v>
      </c>
    </row>
    <row r="3362" customFormat="false" ht="14.4" hidden="true" customHeight="false" outlineLevel="0" collapsed="false">
      <c r="A3362" s="34" t="n">
        <v>55941575815</v>
      </c>
      <c r="B3362" s="34" t="s">
        <v>8918</v>
      </c>
      <c r="C3362" s="34" t="s">
        <v>77</v>
      </c>
      <c r="E3362" s="30" t="s">
        <v>8918</v>
      </c>
      <c r="F3362" s="34" t="n">
        <f aca="false">IFERROR(VLOOKUP($A3362,'319'!$B:$H,7,0),0)</f>
        <v>0</v>
      </c>
      <c r="G3362" s="34" t="n">
        <f aca="false">SUMIFS('12.326ana'!$C:$C,'12.326ana'!$M:$M,redes!A3362)</f>
        <v>0</v>
      </c>
    </row>
    <row r="3363" customFormat="false" ht="14.4" hidden="true" customHeight="false" outlineLevel="0" collapsed="false">
      <c r="A3363" s="34" t="n">
        <v>55946000155</v>
      </c>
      <c r="B3363" s="34" t="s">
        <v>8919</v>
      </c>
      <c r="C3363" s="34" t="s">
        <v>3060</v>
      </c>
      <c r="E3363" s="30" t="s">
        <v>3487</v>
      </c>
      <c r="F3363" s="34" t="n">
        <f aca="false">IFERROR(VLOOKUP($A3363,'319'!$B:$H,7,0),0)</f>
        <v>0</v>
      </c>
      <c r="G3363" s="34" t="n">
        <f aca="false">SUMIFS('12.326ana'!$C:$C,'12.326ana'!$M:$M,redes!A3363)</f>
        <v>0</v>
      </c>
    </row>
    <row r="3364" customFormat="false" ht="14.4" hidden="true" customHeight="false" outlineLevel="0" collapsed="false">
      <c r="A3364" s="34" t="n">
        <v>55948000144</v>
      </c>
      <c r="B3364" s="34" t="s">
        <v>8920</v>
      </c>
      <c r="C3364" s="34" t="s">
        <v>139</v>
      </c>
      <c r="E3364" s="30" t="s">
        <v>8921</v>
      </c>
      <c r="F3364" s="34" t="n">
        <f aca="false">IFERROR(VLOOKUP($A3364,'319'!$B:$H,7,0),0)</f>
        <v>0</v>
      </c>
      <c r="G3364" s="34" t="n">
        <f aca="false">SUMIFS('12.326ana'!$C:$C,'12.326ana'!$M:$M,redes!A3364)</f>
        <v>0</v>
      </c>
    </row>
    <row r="3365" customFormat="false" ht="14.4" hidden="true" customHeight="false" outlineLevel="0" collapsed="false">
      <c r="A3365" s="34" t="n">
        <v>55969000160</v>
      </c>
      <c r="B3365" s="34" t="s">
        <v>8922</v>
      </c>
      <c r="C3365" s="34" t="s">
        <v>77</v>
      </c>
      <c r="E3365" s="30" t="s">
        <v>8923</v>
      </c>
      <c r="F3365" s="34" t="n">
        <f aca="false">IFERROR(VLOOKUP($A3365,'319'!$B:$H,7,0),0)</f>
        <v>0</v>
      </c>
      <c r="G3365" s="34" t="n">
        <f aca="false">SUMIFS('12.326ana'!$C:$C,'12.326ana'!$M:$M,redes!A3365)</f>
        <v>0</v>
      </c>
    </row>
    <row r="3366" customFormat="false" ht="14.4" hidden="true" customHeight="false" outlineLevel="0" collapsed="false">
      <c r="A3366" s="34" t="n">
        <v>55978000231</v>
      </c>
      <c r="B3366" s="34" t="s">
        <v>8924</v>
      </c>
      <c r="C3366" s="34" t="s">
        <v>197</v>
      </c>
      <c r="E3366" s="30" t="s">
        <v>8925</v>
      </c>
      <c r="F3366" s="34" t="n">
        <f aca="false">IFERROR(VLOOKUP($A3366,'319'!$B:$H,7,0),0)</f>
        <v>0</v>
      </c>
      <c r="G3366" s="34" t="n">
        <f aca="false">SUMIFS('12.326ana'!$C:$C,'12.326ana'!$M:$M,redes!A3366)</f>
        <v>0</v>
      </c>
    </row>
    <row r="3367" customFormat="false" ht="14.4" hidden="true" customHeight="false" outlineLevel="0" collapsed="false">
      <c r="A3367" s="34" t="n">
        <v>55984410125</v>
      </c>
      <c r="B3367" s="34" t="s">
        <v>8926</v>
      </c>
      <c r="C3367" s="34" t="s">
        <v>77</v>
      </c>
      <c r="E3367" s="30" t="s">
        <v>8927</v>
      </c>
      <c r="F3367" s="34" t="n">
        <f aca="false">IFERROR(VLOOKUP($A3367,'319'!$B:$H,7,0),0)</f>
        <v>0</v>
      </c>
      <c r="G3367" s="34" t="n">
        <f aca="false">SUMIFS('12.326ana'!$C:$C,'12.326ana'!$M:$M,redes!A3367)</f>
        <v>0</v>
      </c>
    </row>
    <row r="3368" customFormat="false" ht="14.4" hidden="true" customHeight="false" outlineLevel="0" collapsed="false">
      <c r="A3368" s="34" t="n">
        <v>55999735491</v>
      </c>
      <c r="B3368" s="34" t="s">
        <v>8928</v>
      </c>
      <c r="C3368" s="34" t="s">
        <v>77</v>
      </c>
      <c r="E3368" s="30" t="s">
        <v>8929</v>
      </c>
      <c r="F3368" s="34" t="n">
        <f aca="false">IFERROR(VLOOKUP($A3368,'319'!$B:$H,7,0),0)</f>
        <v>0</v>
      </c>
      <c r="G3368" s="34" t="n">
        <f aca="false">SUMIFS('12.326ana'!$C:$C,'12.326ana'!$M:$M,redes!A3368)</f>
        <v>0</v>
      </c>
    </row>
    <row r="3369" customFormat="false" ht="14.4" hidden="true" customHeight="false" outlineLevel="0" collapsed="false">
      <c r="A3369" s="34" t="n">
        <v>56021682149</v>
      </c>
      <c r="B3369" s="34" t="s">
        <v>8930</v>
      </c>
      <c r="C3369" s="34" t="s">
        <v>77</v>
      </c>
      <c r="E3369" s="30" t="s">
        <v>8931</v>
      </c>
      <c r="F3369" s="34" t="n">
        <f aca="false">IFERROR(VLOOKUP($A3369,'319'!$B:$H,7,0),0)</f>
        <v>0</v>
      </c>
      <c r="G3369" s="34" t="n">
        <f aca="false">SUMIFS('12.326ana'!$C:$C,'12.326ana'!$M:$M,redes!A3369)</f>
        <v>0</v>
      </c>
    </row>
    <row r="3370" customFormat="false" ht="14.4" hidden="true" customHeight="false" outlineLevel="0" collapsed="false">
      <c r="A3370" s="34" t="n">
        <v>56024495153</v>
      </c>
      <c r="B3370" s="34" t="s">
        <v>8932</v>
      </c>
      <c r="C3370" s="34" t="s">
        <v>546</v>
      </c>
      <c r="E3370" s="30" t="s">
        <v>7558</v>
      </c>
      <c r="F3370" s="34" t="n">
        <f aca="false">IFERROR(VLOOKUP($A3370,'319'!$B:$H,7,0),0)</f>
        <v>0</v>
      </c>
      <c r="G3370" s="34" t="n">
        <f aca="false">SUMIFS('12.326ana'!$C:$C,'12.326ana'!$M:$M,redes!A3370)</f>
        <v>0</v>
      </c>
    </row>
    <row r="3371" customFormat="false" ht="14.4" hidden="true" customHeight="false" outlineLevel="0" collapsed="false">
      <c r="A3371" s="34" t="n">
        <v>56024673191</v>
      </c>
      <c r="B3371" s="34" t="s">
        <v>8933</v>
      </c>
      <c r="C3371" s="34" t="s">
        <v>1591</v>
      </c>
      <c r="E3371" s="30" t="s">
        <v>8934</v>
      </c>
      <c r="F3371" s="34" t="n">
        <f aca="false">IFERROR(VLOOKUP($A3371,'319'!$B:$H,7,0),0)</f>
        <v>0</v>
      </c>
      <c r="G3371" s="34" t="n">
        <f aca="false">SUMIFS('12.326ana'!$C:$C,'12.326ana'!$M:$M,redes!A3371)</f>
        <v>0</v>
      </c>
    </row>
    <row r="3372" customFormat="false" ht="14.4" hidden="true" customHeight="false" outlineLevel="0" collapsed="false">
      <c r="A3372" s="34" t="n">
        <v>56025483191</v>
      </c>
      <c r="B3372" s="34" t="s">
        <v>8935</v>
      </c>
      <c r="C3372" s="34" t="s">
        <v>764</v>
      </c>
      <c r="E3372" s="30" t="s">
        <v>8936</v>
      </c>
      <c r="F3372" s="34" t="n">
        <f aca="false">IFERROR(VLOOKUP($A3372,'319'!$B:$H,7,0),0)</f>
        <v>0</v>
      </c>
      <c r="G3372" s="34" t="n">
        <f aca="false">SUMIFS('12.326ana'!$C:$C,'12.326ana'!$M:$M,redes!A3372)</f>
        <v>0</v>
      </c>
    </row>
    <row r="3373" customFormat="false" ht="14.4" hidden="true" customHeight="false" outlineLevel="0" collapsed="false">
      <c r="A3373" s="34" t="n">
        <v>56027010100</v>
      </c>
      <c r="B3373" s="34" t="s">
        <v>8937</v>
      </c>
      <c r="C3373" s="34" t="s">
        <v>744</v>
      </c>
      <c r="E3373" s="30" t="s">
        <v>4445</v>
      </c>
      <c r="F3373" s="34" t="n">
        <f aca="false">IFERROR(VLOOKUP($A3373,'319'!$B:$H,7,0),0)</f>
        <v>0</v>
      </c>
      <c r="G3373" s="34" t="n">
        <f aca="false">SUMIFS('12.326ana'!$C:$C,'12.326ana'!$M:$M,redes!A3373)</f>
        <v>0</v>
      </c>
    </row>
    <row r="3374" customFormat="false" ht="14.4" hidden="true" customHeight="false" outlineLevel="0" collapsed="false">
      <c r="A3374" s="34" t="n">
        <v>56036922191</v>
      </c>
      <c r="B3374" s="34" t="s">
        <v>8938</v>
      </c>
      <c r="C3374" s="34" t="s">
        <v>744</v>
      </c>
      <c r="E3374" s="30" t="s">
        <v>8939</v>
      </c>
      <c r="F3374" s="34" t="n">
        <f aca="false">IFERROR(VLOOKUP($A3374,'319'!$B:$H,7,0),0)</f>
        <v>0</v>
      </c>
      <c r="G3374" s="34" t="n">
        <f aca="false">SUMIFS('12.326ana'!$C:$C,'12.326ana'!$M:$M,redes!A3374)</f>
        <v>0</v>
      </c>
    </row>
    <row r="3375" customFormat="false" ht="14.4" hidden="true" customHeight="false" outlineLevel="0" collapsed="false">
      <c r="A3375" s="34" t="n">
        <v>56159072153</v>
      </c>
      <c r="B3375" s="34" t="s">
        <v>8940</v>
      </c>
      <c r="C3375" s="34" t="s">
        <v>77</v>
      </c>
      <c r="E3375" s="30" t="s">
        <v>8760</v>
      </c>
      <c r="F3375" s="34" t="n">
        <f aca="false">IFERROR(VLOOKUP($A3375,'319'!$B:$H,7,0),0)</f>
        <v>0</v>
      </c>
      <c r="G3375" s="34" t="n">
        <f aca="false">SUMIFS('12.326ana'!$C:$C,'12.326ana'!$M:$M,redes!A3375)</f>
        <v>0</v>
      </c>
    </row>
    <row r="3376" customFormat="false" ht="14.4" hidden="true" customHeight="false" outlineLevel="0" collapsed="false">
      <c r="A3376" s="34" t="n">
        <v>56162200191</v>
      </c>
      <c r="B3376" s="34" t="s">
        <v>8941</v>
      </c>
      <c r="C3376" s="34" t="s">
        <v>77</v>
      </c>
      <c r="E3376" s="30" t="s">
        <v>8942</v>
      </c>
      <c r="F3376" s="34" t="n">
        <f aca="false">IFERROR(VLOOKUP($A3376,'319'!$B:$H,7,0),0)</f>
        <v>0</v>
      </c>
      <c r="G3376" s="34" t="n">
        <f aca="false">SUMIFS('12.326ana'!$C:$C,'12.326ana'!$M:$M,redes!A3376)</f>
        <v>0</v>
      </c>
    </row>
    <row r="3377" customFormat="false" ht="14.4" hidden="true" customHeight="false" outlineLevel="0" collapsed="false">
      <c r="A3377" s="34" t="n">
        <v>56163029100</v>
      </c>
      <c r="B3377" s="34" t="s">
        <v>8943</v>
      </c>
      <c r="C3377" s="34" t="s">
        <v>77</v>
      </c>
      <c r="E3377" s="30" t="s">
        <v>8944</v>
      </c>
      <c r="F3377" s="34" t="n">
        <f aca="false">IFERROR(VLOOKUP($A3377,'319'!$B:$H,7,0),0)</f>
        <v>0</v>
      </c>
      <c r="G3377" s="34" t="n">
        <f aca="false">SUMIFS('12.326ana'!$C:$C,'12.326ana'!$M:$M,redes!A3377)</f>
        <v>0</v>
      </c>
    </row>
    <row r="3378" customFormat="false" ht="14.4" hidden="true" customHeight="false" outlineLevel="0" collapsed="false">
      <c r="A3378" s="34" t="n">
        <v>56165072100</v>
      </c>
      <c r="B3378" s="34" t="s">
        <v>8945</v>
      </c>
      <c r="C3378" s="34" t="s">
        <v>77</v>
      </c>
      <c r="E3378" s="30" t="s">
        <v>8945</v>
      </c>
      <c r="F3378" s="34" t="n">
        <f aca="false">IFERROR(VLOOKUP($A3378,'319'!$B:$H,7,0),0)</f>
        <v>0</v>
      </c>
      <c r="G3378" s="34" t="n">
        <f aca="false">SUMIFS('12.326ana'!$C:$C,'12.326ana'!$M:$M,redes!A3378)</f>
        <v>0</v>
      </c>
    </row>
    <row r="3379" customFormat="false" ht="14.4" hidden="true" customHeight="false" outlineLevel="0" collapsed="false">
      <c r="A3379" s="34" t="n">
        <v>56165684149</v>
      </c>
      <c r="B3379" s="34" t="s">
        <v>8946</v>
      </c>
      <c r="C3379" s="34" t="s">
        <v>77</v>
      </c>
      <c r="E3379" s="30" t="s">
        <v>8947</v>
      </c>
      <c r="F3379" s="34" t="n">
        <f aca="false">IFERROR(VLOOKUP($A3379,'319'!$B:$H,7,0),0)</f>
        <v>0</v>
      </c>
      <c r="G3379" s="34" t="n">
        <f aca="false">SUMIFS('12.326ana'!$C:$C,'12.326ana'!$M:$M,redes!A3379)</f>
        <v>0</v>
      </c>
    </row>
    <row r="3380" customFormat="false" ht="14.4" hidden="true" customHeight="false" outlineLevel="0" collapsed="false">
      <c r="A3380" s="34" t="n">
        <v>56166222149</v>
      </c>
      <c r="B3380" s="34" t="s">
        <v>8948</v>
      </c>
      <c r="C3380" s="34" t="s">
        <v>77</v>
      </c>
      <c r="E3380" s="30" t="s">
        <v>8949</v>
      </c>
      <c r="F3380" s="34" t="n">
        <f aca="false">IFERROR(VLOOKUP($A3380,'319'!$B:$H,7,0),0)</f>
        <v>0</v>
      </c>
      <c r="G3380" s="34" t="n">
        <f aca="false">SUMIFS('12.326ana'!$C:$C,'12.326ana'!$M:$M,redes!A3380)</f>
        <v>0</v>
      </c>
    </row>
    <row r="3381" customFormat="false" ht="14.4" hidden="true" customHeight="false" outlineLevel="0" collapsed="false">
      <c r="A3381" s="34" t="n">
        <v>56171862134</v>
      </c>
      <c r="B3381" s="34" t="s">
        <v>8950</v>
      </c>
      <c r="C3381" s="34" t="s">
        <v>77</v>
      </c>
      <c r="E3381" s="30" t="s">
        <v>8951</v>
      </c>
      <c r="F3381" s="34" t="n">
        <f aca="false">IFERROR(VLOOKUP($A3381,'319'!$B:$H,7,0),0)</f>
        <v>0</v>
      </c>
      <c r="G3381" s="34" t="n">
        <f aca="false">SUMIFS('12.326ana'!$C:$C,'12.326ana'!$M:$M,redes!A3381)</f>
        <v>0</v>
      </c>
    </row>
    <row r="3382" customFormat="false" ht="14.4" hidden="true" customHeight="false" outlineLevel="0" collapsed="false">
      <c r="A3382" s="34" t="n">
        <v>56178611153</v>
      </c>
      <c r="B3382" s="34" t="s">
        <v>8952</v>
      </c>
      <c r="C3382" s="34" t="s">
        <v>154</v>
      </c>
      <c r="E3382" s="30" t="s">
        <v>8165</v>
      </c>
      <c r="F3382" s="34" t="n">
        <f aca="false">IFERROR(VLOOKUP($A3382,'319'!$B:$H,7,0),0)</f>
        <v>0</v>
      </c>
      <c r="G3382" s="34" t="n">
        <f aca="false">SUMIFS('12.326ana'!$C:$C,'12.326ana'!$M:$M,redes!A3382)</f>
        <v>0</v>
      </c>
    </row>
    <row r="3383" customFormat="false" ht="14.4" hidden="true" customHeight="false" outlineLevel="0" collapsed="false">
      <c r="A3383" s="34" t="n">
        <v>56185162172</v>
      </c>
      <c r="B3383" s="34" t="s">
        <v>8953</v>
      </c>
      <c r="C3383" s="34" t="s">
        <v>77</v>
      </c>
      <c r="E3383" s="30" t="s">
        <v>8954</v>
      </c>
      <c r="F3383" s="34" t="n">
        <f aca="false">IFERROR(VLOOKUP($A3383,'319'!$B:$H,7,0),0)</f>
        <v>0</v>
      </c>
      <c r="G3383" s="34" t="n">
        <f aca="false">SUMIFS('12.326ana'!$C:$C,'12.326ana'!$M:$M,redes!A3383)</f>
        <v>0</v>
      </c>
    </row>
    <row r="3384" customFormat="false" ht="14.4" hidden="true" customHeight="false" outlineLevel="0" collapsed="false">
      <c r="A3384" s="34" t="n">
        <v>56187912187</v>
      </c>
      <c r="B3384" s="34" t="s">
        <v>8955</v>
      </c>
      <c r="C3384" s="34" t="s">
        <v>463</v>
      </c>
      <c r="E3384" s="30" t="s">
        <v>4655</v>
      </c>
      <c r="F3384" s="34" t="n">
        <f aca="false">IFERROR(VLOOKUP($A3384,'319'!$B:$H,7,0),0)</f>
        <v>0</v>
      </c>
      <c r="G3384" s="34" t="n">
        <f aca="false">SUMIFS('12.326ana'!$C:$C,'12.326ana'!$M:$M,redes!A3384)</f>
        <v>0</v>
      </c>
    </row>
    <row r="3385" customFormat="false" ht="14.4" hidden="true" customHeight="false" outlineLevel="0" collapsed="false">
      <c r="A3385" s="34" t="n">
        <v>56188900115</v>
      </c>
      <c r="B3385" s="34" t="s">
        <v>8956</v>
      </c>
      <c r="C3385" s="34" t="s">
        <v>213</v>
      </c>
      <c r="E3385" s="30" t="s">
        <v>8957</v>
      </c>
      <c r="F3385" s="34" t="n">
        <f aca="false">IFERROR(VLOOKUP($A3385,'319'!$B:$H,7,0),0)</f>
        <v>0</v>
      </c>
      <c r="G3385" s="34" t="n">
        <f aca="false">SUMIFS('12.326ana'!$C:$C,'12.326ana'!$M:$M,redes!A3385)</f>
        <v>0</v>
      </c>
    </row>
    <row r="3386" customFormat="false" ht="14.4" hidden="true" customHeight="false" outlineLevel="0" collapsed="false">
      <c r="A3386" s="34" t="n">
        <v>56190492134</v>
      </c>
      <c r="B3386" s="34" t="s">
        <v>8958</v>
      </c>
      <c r="C3386" s="34" t="s">
        <v>77</v>
      </c>
      <c r="E3386" s="30" t="s">
        <v>3168</v>
      </c>
      <c r="F3386" s="34" t="n">
        <f aca="false">IFERROR(VLOOKUP($A3386,'319'!$B:$H,7,0),0)</f>
        <v>0</v>
      </c>
      <c r="G3386" s="34" t="n">
        <f aca="false">SUMIFS('12.326ana'!$C:$C,'12.326ana'!$M:$M,redes!A3386)</f>
        <v>0</v>
      </c>
    </row>
    <row r="3387" customFormat="false" ht="14.4" hidden="true" customHeight="false" outlineLevel="0" collapsed="false">
      <c r="A3387" s="34" t="n">
        <v>56191537115</v>
      </c>
      <c r="B3387" s="34" t="s">
        <v>8959</v>
      </c>
      <c r="C3387" s="34" t="s">
        <v>77</v>
      </c>
      <c r="E3387" s="30" t="s">
        <v>8629</v>
      </c>
      <c r="F3387" s="34" t="n">
        <f aca="false">IFERROR(VLOOKUP($A3387,'319'!$B:$H,7,0),0)</f>
        <v>0</v>
      </c>
      <c r="G3387" s="34" t="n">
        <f aca="false">SUMIFS('12.326ana'!$C:$C,'12.326ana'!$M:$M,redes!A3387)</f>
        <v>0</v>
      </c>
    </row>
    <row r="3388" customFormat="false" ht="14.4" hidden="true" customHeight="false" outlineLevel="0" collapsed="false">
      <c r="A3388" s="34" t="n">
        <v>56194293187</v>
      </c>
      <c r="B3388" s="34" t="s">
        <v>8960</v>
      </c>
      <c r="C3388" s="34" t="s">
        <v>77</v>
      </c>
      <c r="E3388" s="30" t="s">
        <v>8961</v>
      </c>
      <c r="F3388" s="34" t="n">
        <f aca="false">IFERROR(VLOOKUP($A3388,'319'!$B:$H,7,0),0)</f>
        <v>0</v>
      </c>
      <c r="G3388" s="34" t="n">
        <f aca="false">SUMIFS('12.326ana'!$C:$C,'12.326ana'!$M:$M,redes!A3388)</f>
        <v>0</v>
      </c>
    </row>
    <row r="3389" customFormat="false" ht="14.4" hidden="true" customHeight="false" outlineLevel="0" collapsed="false">
      <c r="A3389" s="34" t="n">
        <v>56201451153</v>
      </c>
      <c r="B3389" s="34" t="s">
        <v>8962</v>
      </c>
      <c r="C3389" s="34" t="s">
        <v>77</v>
      </c>
      <c r="E3389" s="30" t="s">
        <v>8963</v>
      </c>
      <c r="F3389" s="34" t="n">
        <f aca="false">IFERROR(VLOOKUP($A3389,'319'!$B:$H,7,0),0)</f>
        <v>0</v>
      </c>
      <c r="G3389" s="34" t="n">
        <f aca="false">SUMIFS('12.326ana'!$C:$C,'12.326ana'!$M:$M,redes!A3389)</f>
        <v>0</v>
      </c>
    </row>
    <row r="3390" customFormat="false" ht="14.4" hidden="true" customHeight="false" outlineLevel="0" collapsed="false">
      <c r="A3390" s="34" t="n">
        <v>56211490178</v>
      </c>
      <c r="B3390" s="34" t="s">
        <v>8964</v>
      </c>
      <c r="C3390" s="34" t="s">
        <v>979</v>
      </c>
      <c r="E3390" s="30" t="s">
        <v>8965</v>
      </c>
      <c r="F3390" s="34" t="n">
        <f aca="false">IFERROR(VLOOKUP($A3390,'319'!$B:$H,7,0),0)</f>
        <v>0</v>
      </c>
      <c r="G3390" s="34" t="n">
        <f aca="false">SUMIFS('12.326ana'!$C:$C,'12.326ana'!$M:$M,redes!A3390)</f>
        <v>0</v>
      </c>
    </row>
    <row r="3391" customFormat="false" ht="14.4" hidden="true" customHeight="false" outlineLevel="0" collapsed="false">
      <c r="A3391" s="34" t="n">
        <v>56213972153</v>
      </c>
      <c r="B3391" s="34" t="s">
        <v>8966</v>
      </c>
      <c r="C3391" s="34" t="s">
        <v>107</v>
      </c>
      <c r="E3391" s="30" t="s">
        <v>8967</v>
      </c>
      <c r="F3391" s="34" t="n">
        <f aca="false">IFERROR(VLOOKUP($A3391,'319'!$B:$H,7,0),0)</f>
        <v>0</v>
      </c>
      <c r="G3391" s="34" t="n">
        <f aca="false">SUMIFS('12.326ana'!$C:$C,'12.326ana'!$M:$M,redes!A3391)</f>
        <v>0</v>
      </c>
    </row>
    <row r="3392" customFormat="false" ht="14.4" hidden="true" customHeight="false" outlineLevel="0" collapsed="false">
      <c r="A3392" s="34" t="n">
        <v>56219024168</v>
      </c>
      <c r="B3392" s="34" t="s">
        <v>8968</v>
      </c>
      <c r="C3392" s="34" t="s">
        <v>77</v>
      </c>
      <c r="E3392" s="30" t="s">
        <v>8969</v>
      </c>
      <c r="F3392" s="34" t="n">
        <f aca="false">IFERROR(VLOOKUP($A3392,'319'!$B:$H,7,0),0)</f>
        <v>0</v>
      </c>
      <c r="G3392" s="34" t="n">
        <f aca="false">SUMIFS('12.326ana'!$C:$C,'12.326ana'!$M:$M,redes!A3392)</f>
        <v>0</v>
      </c>
    </row>
    <row r="3393" customFormat="false" ht="14.4" hidden="true" customHeight="false" outlineLevel="0" collapsed="false">
      <c r="A3393" s="34" t="n">
        <v>56219954149</v>
      </c>
      <c r="B3393" s="34" t="s">
        <v>8970</v>
      </c>
      <c r="C3393" s="34" t="s">
        <v>77</v>
      </c>
      <c r="E3393" s="30" t="s">
        <v>3446</v>
      </c>
      <c r="F3393" s="34" t="n">
        <f aca="false">IFERROR(VLOOKUP($A3393,'319'!$B:$H,7,0),0)</f>
        <v>0</v>
      </c>
      <c r="G3393" s="34" t="n">
        <f aca="false">SUMIFS('12.326ana'!$C:$C,'12.326ana'!$M:$M,redes!A3393)</f>
        <v>0</v>
      </c>
    </row>
    <row r="3394" customFormat="false" ht="14.4" hidden="true" customHeight="false" outlineLevel="0" collapsed="false">
      <c r="A3394" s="34" t="n">
        <v>56220219104</v>
      </c>
      <c r="B3394" s="34" t="s">
        <v>8971</v>
      </c>
      <c r="C3394" s="34" t="s">
        <v>77</v>
      </c>
      <c r="E3394" s="30" t="s">
        <v>8972</v>
      </c>
      <c r="F3394" s="34" t="n">
        <f aca="false">IFERROR(VLOOKUP($A3394,'319'!$B:$H,7,0),0)</f>
        <v>0</v>
      </c>
      <c r="G3394" s="34" t="n">
        <f aca="false">SUMIFS('12.326ana'!$C:$C,'12.326ana'!$M:$M,redes!A3394)</f>
        <v>0</v>
      </c>
    </row>
    <row r="3395" customFormat="false" ht="14.4" hidden="true" customHeight="false" outlineLevel="0" collapsed="false">
      <c r="A3395" s="34" t="n">
        <v>56220847172</v>
      </c>
      <c r="B3395" s="34" t="s">
        <v>8973</v>
      </c>
      <c r="C3395" s="34" t="s">
        <v>77</v>
      </c>
      <c r="E3395" s="30"/>
      <c r="F3395" s="34" t="n">
        <f aca="false">IFERROR(VLOOKUP($A3395,'319'!$B:$H,7,0),0)</f>
        <v>0</v>
      </c>
      <c r="G3395" s="34" t="n">
        <f aca="false">SUMIFS('12.326ana'!$C:$C,'12.326ana'!$M:$M,redes!A3395)</f>
        <v>0</v>
      </c>
    </row>
    <row r="3396" customFormat="false" ht="14.4" hidden="true" customHeight="false" outlineLevel="0" collapsed="false">
      <c r="A3396" s="34" t="n">
        <v>56231083268</v>
      </c>
      <c r="B3396" s="34" t="s">
        <v>8974</v>
      </c>
      <c r="C3396" s="34" t="s">
        <v>77</v>
      </c>
      <c r="E3396" s="30" t="s">
        <v>8975</v>
      </c>
      <c r="F3396" s="34" t="n">
        <f aca="false">IFERROR(VLOOKUP($A3396,'319'!$B:$H,7,0),0)</f>
        <v>0</v>
      </c>
      <c r="G3396" s="34" t="n">
        <f aca="false">SUMIFS('12.326ana'!$C:$C,'12.326ana'!$M:$M,redes!A3396)</f>
        <v>0</v>
      </c>
    </row>
    <row r="3397" customFormat="false" ht="14.4" hidden="true" customHeight="false" outlineLevel="0" collapsed="false">
      <c r="A3397" s="34" t="n">
        <v>56232845153</v>
      </c>
      <c r="B3397" s="34" t="s">
        <v>8976</v>
      </c>
      <c r="C3397" s="34" t="s">
        <v>77</v>
      </c>
      <c r="E3397" s="30" t="s">
        <v>4504</v>
      </c>
      <c r="F3397" s="34" t="n">
        <f aca="false">IFERROR(VLOOKUP($A3397,'319'!$B:$H,7,0),0)</f>
        <v>0</v>
      </c>
      <c r="G3397" s="34" t="n">
        <f aca="false">SUMIFS('12.326ana'!$C:$C,'12.326ana'!$M:$M,redes!A3397)</f>
        <v>0</v>
      </c>
    </row>
    <row r="3398" customFormat="false" ht="14.4" hidden="true" customHeight="false" outlineLevel="0" collapsed="false">
      <c r="A3398" s="34" t="n">
        <v>56234210163</v>
      </c>
      <c r="B3398" s="34" t="s">
        <v>8977</v>
      </c>
      <c r="C3398" s="34" t="s">
        <v>2998</v>
      </c>
      <c r="E3398" s="30" t="s">
        <v>8978</v>
      </c>
      <c r="F3398" s="34" t="n">
        <f aca="false">IFERROR(VLOOKUP($A3398,'319'!$B:$H,7,0),0)</f>
        <v>0</v>
      </c>
      <c r="G3398" s="34" t="n">
        <f aca="false">SUMIFS('12.326ana'!$C:$C,'12.326ana'!$M:$M,redes!A3398)</f>
        <v>0</v>
      </c>
    </row>
    <row r="3399" customFormat="false" ht="14.4" hidden="true" customHeight="false" outlineLevel="0" collapsed="false">
      <c r="A3399" s="34" t="n">
        <v>56241313134</v>
      </c>
      <c r="B3399" s="34" t="s">
        <v>8979</v>
      </c>
      <c r="C3399" s="34" t="s">
        <v>781</v>
      </c>
      <c r="E3399" s="30"/>
      <c r="F3399" s="34" t="n">
        <f aca="false">IFERROR(VLOOKUP($A3399,'319'!$B:$H,7,0),0)</f>
        <v>0</v>
      </c>
      <c r="G3399" s="34" t="n">
        <f aca="false">SUMIFS('12.326ana'!$C:$C,'12.326ana'!$M:$M,redes!A3399)</f>
        <v>0</v>
      </c>
    </row>
    <row r="3400" customFormat="false" ht="14.4" hidden="true" customHeight="false" outlineLevel="0" collapsed="false">
      <c r="A3400" s="34" t="n">
        <v>56241828134</v>
      </c>
      <c r="B3400" s="34" t="s">
        <v>8980</v>
      </c>
      <c r="C3400" s="34" t="s">
        <v>781</v>
      </c>
      <c r="E3400" s="30" t="s">
        <v>8981</v>
      </c>
      <c r="F3400" s="34" t="n">
        <f aca="false">IFERROR(VLOOKUP($A3400,'319'!$B:$H,7,0),0)</f>
        <v>0</v>
      </c>
      <c r="G3400" s="34" t="n">
        <f aca="false">SUMIFS('12.326ana'!$C:$C,'12.326ana'!$M:$M,redes!A3400)</f>
        <v>0</v>
      </c>
    </row>
    <row r="3401" customFormat="false" ht="14.4" hidden="true" customHeight="false" outlineLevel="0" collapsed="false">
      <c r="A3401" s="34" t="n">
        <v>56248300178</v>
      </c>
      <c r="B3401" s="34" t="s">
        <v>8982</v>
      </c>
      <c r="C3401" s="34" t="s">
        <v>737</v>
      </c>
      <c r="E3401" s="30" t="s">
        <v>8983</v>
      </c>
      <c r="F3401" s="34" t="n">
        <f aca="false">IFERROR(VLOOKUP($A3401,'319'!$B:$H,7,0),0)</f>
        <v>0</v>
      </c>
      <c r="G3401" s="34" t="n">
        <f aca="false">SUMIFS('12.326ana'!$C:$C,'12.326ana'!$M:$M,redes!A3401)</f>
        <v>0</v>
      </c>
    </row>
    <row r="3402" customFormat="false" ht="14.4" hidden="true" customHeight="false" outlineLevel="0" collapsed="false">
      <c r="A3402" s="34" t="n">
        <v>56260539134</v>
      </c>
      <c r="B3402" s="34" t="s">
        <v>8984</v>
      </c>
      <c r="C3402" s="34" t="s">
        <v>77</v>
      </c>
      <c r="E3402" s="30" t="s">
        <v>8985</v>
      </c>
      <c r="F3402" s="34" t="n">
        <f aca="false">IFERROR(VLOOKUP($A3402,'319'!$B:$H,7,0),0)</f>
        <v>0</v>
      </c>
      <c r="G3402" s="34" t="n">
        <f aca="false">SUMIFS('12.326ana'!$C:$C,'12.326ana'!$M:$M,redes!A3402)</f>
        <v>0</v>
      </c>
    </row>
    <row r="3403" customFormat="false" ht="14.4" hidden="true" customHeight="false" outlineLevel="0" collapsed="false">
      <c r="A3403" s="34" t="n">
        <v>56261543100</v>
      </c>
      <c r="B3403" s="34" t="s">
        <v>8986</v>
      </c>
      <c r="C3403" s="34" t="s">
        <v>77</v>
      </c>
      <c r="E3403" s="30" t="s">
        <v>8987</v>
      </c>
      <c r="F3403" s="34" t="n">
        <f aca="false">IFERROR(VLOOKUP($A3403,'319'!$B:$H,7,0),0)</f>
        <v>0</v>
      </c>
      <c r="G3403" s="34" t="n">
        <f aca="false">SUMIFS('12.326ana'!$C:$C,'12.326ana'!$M:$M,redes!A3403)</f>
        <v>0</v>
      </c>
    </row>
    <row r="3404" customFormat="false" ht="14.4" hidden="true" customHeight="false" outlineLevel="0" collapsed="false">
      <c r="A3404" s="34" t="n">
        <v>56264771104</v>
      </c>
      <c r="B3404" s="34" t="s">
        <v>8988</v>
      </c>
      <c r="C3404" s="34" t="s">
        <v>77</v>
      </c>
      <c r="E3404" s="30" t="s">
        <v>8989</v>
      </c>
      <c r="F3404" s="34" t="n">
        <f aca="false">IFERROR(VLOOKUP($A3404,'319'!$B:$H,7,0),0)</f>
        <v>0</v>
      </c>
      <c r="G3404" s="34" t="n">
        <f aca="false">SUMIFS('12.326ana'!$C:$C,'12.326ana'!$M:$M,redes!A3404)</f>
        <v>0</v>
      </c>
    </row>
    <row r="3405" customFormat="false" ht="14.4" hidden="true" customHeight="false" outlineLevel="0" collapsed="false">
      <c r="A3405" s="34" t="n">
        <v>56268181115</v>
      </c>
      <c r="B3405" s="34" t="s">
        <v>8990</v>
      </c>
      <c r="C3405" s="34" t="s">
        <v>77</v>
      </c>
      <c r="E3405" s="30" t="s">
        <v>8991</v>
      </c>
      <c r="F3405" s="34" t="n">
        <f aca="false">IFERROR(VLOOKUP($A3405,'319'!$B:$H,7,0),0)</f>
        <v>0</v>
      </c>
      <c r="G3405" s="34" t="n">
        <f aca="false">SUMIFS('12.326ana'!$C:$C,'12.326ana'!$M:$M,redes!A3405)</f>
        <v>0</v>
      </c>
    </row>
    <row r="3406" customFormat="false" ht="14.4" hidden="true" customHeight="false" outlineLevel="0" collapsed="false">
      <c r="A3406" s="34" t="n">
        <v>56269145104</v>
      </c>
      <c r="B3406" s="34" t="s">
        <v>8992</v>
      </c>
      <c r="C3406" s="34" t="s">
        <v>781</v>
      </c>
      <c r="E3406" s="30" t="s">
        <v>8993</v>
      </c>
      <c r="F3406" s="34" t="n">
        <f aca="false">IFERROR(VLOOKUP($A3406,'319'!$B:$H,7,0),0)</f>
        <v>0</v>
      </c>
      <c r="G3406" s="34" t="n">
        <f aca="false">SUMIFS('12.326ana'!$C:$C,'12.326ana'!$M:$M,redes!A3406)</f>
        <v>0</v>
      </c>
    </row>
    <row r="3407" customFormat="false" ht="14.4" hidden="true" customHeight="false" outlineLevel="0" collapsed="false">
      <c r="A3407" s="34" t="n">
        <v>56269650178</v>
      </c>
      <c r="B3407" s="34" t="s">
        <v>8994</v>
      </c>
      <c r="C3407" s="34" t="s">
        <v>77</v>
      </c>
      <c r="D3407" s="34" t="s">
        <v>3324</v>
      </c>
      <c r="E3407" s="30" t="s">
        <v>8995</v>
      </c>
      <c r="F3407" s="34" t="n">
        <f aca="false">IFERROR(VLOOKUP($A3407,'319'!$B:$H,7,0),0)</f>
        <v>0</v>
      </c>
      <c r="G3407" s="34" t="n">
        <f aca="false">SUMIFS('12.326ana'!$C:$C,'12.326ana'!$M:$M,redes!A3407)</f>
        <v>0</v>
      </c>
    </row>
    <row r="3408" customFormat="false" ht="14.4" hidden="true" customHeight="false" outlineLevel="0" collapsed="false">
      <c r="A3408" s="34" t="n">
        <v>56276591149</v>
      </c>
      <c r="B3408" s="34" t="s">
        <v>8996</v>
      </c>
      <c r="C3408" s="34" t="s">
        <v>77</v>
      </c>
      <c r="E3408" s="30" t="s">
        <v>8997</v>
      </c>
      <c r="F3408" s="34" t="n">
        <f aca="false">IFERROR(VLOOKUP($A3408,'319'!$B:$H,7,0),0)</f>
        <v>0</v>
      </c>
      <c r="G3408" s="34" t="n">
        <f aca="false">SUMIFS('12.326ana'!$C:$C,'12.326ana'!$M:$M,redes!A3408)</f>
        <v>0</v>
      </c>
    </row>
    <row r="3409" customFormat="false" ht="14.4" hidden="true" customHeight="false" outlineLevel="0" collapsed="false">
      <c r="A3409" s="34" t="n">
        <v>56276710172</v>
      </c>
      <c r="B3409" s="34" t="s">
        <v>8998</v>
      </c>
      <c r="C3409" s="34" t="s">
        <v>77</v>
      </c>
      <c r="E3409" s="30"/>
      <c r="F3409" s="34" t="n">
        <f aca="false">IFERROR(VLOOKUP($A3409,'319'!$B:$H,7,0),0)</f>
        <v>0</v>
      </c>
      <c r="G3409" s="34" t="n">
        <f aca="false">SUMIFS('12.326ana'!$C:$C,'12.326ana'!$M:$M,redes!A3409)</f>
        <v>0</v>
      </c>
    </row>
    <row r="3410" customFormat="false" ht="14.4" hidden="true" customHeight="false" outlineLevel="0" collapsed="false">
      <c r="A3410" s="34" t="n">
        <v>56277016172</v>
      </c>
      <c r="B3410" s="34" t="s">
        <v>8999</v>
      </c>
      <c r="C3410" s="34" t="s">
        <v>77</v>
      </c>
      <c r="E3410" s="30" t="s">
        <v>9000</v>
      </c>
      <c r="F3410" s="34" t="n">
        <f aca="false">IFERROR(VLOOKUP($A3410,'319'!$B:$H,7,0),0)</f>
        <v>0</v>
      </c>
      <c r="G3410" s="34" t="n">
        <f aca="false">SUMIFS('12.326ana'!$C:$C,'12.326ana'!$M:$M,redes!A3410)</f>
        <v>0</v>
      </c>
    </row>
    <row r="3411" customFormat="false" ht="14.4" hidden="true" customHeight="false" outlineLevel="0" collapsed="false">
      <c r="A3411" s="34" t="n">
        <v>56280009149</v>
      </c>
      <c r="B3411" s="34" t="s">
        <v>9001</v>
      </c>
      <c r="C3411" s="34" t="s">
        <v>77</v>
      </c>
      <c r="E3411" s="30" t="s">
        <v>9002</v>
      </c>
      <c r="F3411" s="34" t="n">
        <f aca="false">IFERROR(VLOOKUP($A3411,'319'!$B:$H,7,0),0)</f>
        <v>0</v>
      </c>
      <c r="G3411" s="34" t="n">
        <f aca="false">SUMIFS('12.326ana'!$C:$C,'12.326ana'!$M:$M,redes!A3411)</f>
        <v>0</v>
      </c>
    </row>
    <row r="3412" customFormat="false" ht="14.4" hidden="true" customHeight="false" outlineLevel="0" collapsed="false">
      <c r="A3412" s="34" t="n">
        <v>56280017168</v>
      </c>
      <c r="B3412" s="34" t="s">
        <v>9003</v>
      </c>
      <c r="C3412" s="34" t="s">
        <v>77</v>
      </c>
      <c r="E3412" s="30" t="s">
        <v>9004</v>
      </c>
      <c r="F3412" s="34" t="n">
        <f aca="false">IFERROR(VLOOKUP($A3412,'319'!$B:$H,7,0),0)</f>
        <v>0</v>
      </c>
      <c r="G3412" s="34" t="n">
        <f aca="false">SUMIFS('12.326ana'!$C:$C,'12.326ana'!$M:$M,redes!A3412)</f>
        <v>0</v>
      </c>
    </row>
    <row r="3413" customFormat="false" ht="14.4" hidden="true" customHeight="false" outlineLevel="0" collapsed="false">
      <c r="A3413" s="34" t="n">
        <v>56283202187</v>
      </c>
      <c r="B3413" s="34" t="s">
        <v>9005</v>
      </c>
      <c r="C3413" s="34" t="s">
        <v>342</v>
      </c>
      <c r="E3413" s="30" t="s">
        <v>9006</v>
      </c>
      <c r="F3413" s="34" t="n">
        <f aca="false">IFERROR(VLOOKUP($A3413,'319'!$B:$H,7,0),0)</f>
        <v>0</v>
      </c>
      <c r="G3413" s="34" t="n">
        <f aca="false">SUMIFS('12.326ana'!$C:$C,'12.326ana'!$M:$M,redes!A3413)</f>
        <v>0</v>
      </c>
    </row>
    <row r="3414" customFormat="false" ht="14.4" hidden="true" customHeight="false" outlineLevel="0" collapsed="false">
      <c r="A3414" s="34" t="n">
        <v>56284390106</v>
      </c>
      <c r="B3414" s="34" t="s">
        <v>9007</v>
      </c>
      <c r="C3414" s="34" t="s">
        <v>328</v>
      </c>
      <c r="E3414" s="30"/>
      <c r="F3414" s="34" t="n">
        <f aca="false">IFERROR(VLOOKUP($A3414,'319'!$B:$H,7,0),0)</f>
        <v>0</v>
      </c>
      <c r="G3414" s="34" t="n">
        <f aca="false">SUMIFS('12.326ana'!$C:$C,'12.326ana'!$M:$M,redes!A3414)</f>
        <v>0</v>
      </c>
    </row>
    <row r="3415" customFormat="false" ht="14.4" hidden="true" customHeight="false" outlineLevel="0" collapsed="false">
      <c r="A3415" s="34" t="n">
        <v>56289464191</v>
      </c>
      <c r="B3415" s="34" t="s">
        <v>9008</v>
      </c>
      <c r="C3415" s="34" t="s">
        <v>463</v>
      </c>
      <c r="E3415" s="30" t="s">
        <v>4567</v>
      </c>
      <c r="F3415" s="34" t="n">
        <f aca="false">IFERROR(VLOOKUP($A3415,'319'!$B:$H,7,0),0)</f>
        <v>0</v>
      </c>
      <c r="G3415" s="34" t="n">
        <f aca="false">SUMIFS('12.326ana'!$C:$C,'12.326ana'!$M:$M,redes!A3415)</f>
        <v>0</v>
      </c>
    </row>
    <row r="3416" customFormat="false" ht="14.4" hidden="true" customHeight="false" outlineLevel="0" collapsed="false">
      <c r="A3416" s="34" t="n">
        <v>56289987100</v>
      </c>
      <c r="B3416" s="34" t="s">
        <v>9009</v>
      </c>
      <c r="C3416" s="34" t="s">
        <v>207</v>
      </c>
      <c r="E3416" s="30" t="s">
        <v>9010</v>
      </c>
      <c r="F3416" s="34" t="n">
        <f aca="false">IFERROR(VLOOKUP($A3416,'319'!$B:$H,7,0),0)</f>
        <v>0</v>
      </c>
      <c r="G3416" s="34" t="n">
        <f aca="false">SUMIFS('12.326ana'!$C:$C,'12.326ana'!$M:$M,redes!A3416)</f>
        <v>0</v>
      </c>
    </row>
    <row r="3417" customFormat="false" ht="14.4" hidden="true" customHeight="false" outlineLevel="0" collapsed="false">
      <c r="A3417" s="34" t="n">
        <v>56295200168</v>
      </c>
      <c r="B3417" s="34" t="s">
        <v>9011</v>
      </c>
      <c r="C3417" s="34" t="s">
        <v>296</v>
      </c>
      <c r="E3417" s="30" t="s">
        <v>9012</v>
      </c>
      <c r="F3417" s="34" t="n">
        <f aca="false">IFERROR(VLOOKUP($A3417,'319'!$B:$H,7,0),0)</f>
        <v>0</v>
      </c>
      <c r="G3417" s="34" t="n">
        <f aca="false">SUMIFS('12.326ana'!$C:$C,'12.326ana'!$M:$M,redes!A3417)</f>
        <v>0</v>
      </c>
    </row>
    <row r="3418" customFormat="false" ht="14.4" hidden="true" customHeight="false" outlineLevel="0" collapsed="false">
      <c r="A3418" s="34" t="n">
        <v>56296665172</v>
      </c>
      <c r="B3418" s="34" t="s">
        <v>9013</v>
      </c>
      <c r="C3418" s="34" t="s">
        <v>77</v>
      </c>
      <c r="E3418" s="30" t="s">
        <v>9013</v>
      </c>
      <c r="F3418" s="34" t="n">
        <f aca="false">IFERROR(VLOOKUP($A3418,'319'!$B:$H,7,0),0)</f>
        <v>0</v>
      </c>
      <c r="G3418" s="34" t="n">
        <f aca="false">SUMIFS('12.326ana'!$C:$C,'12.326ana'!$M:$M,redes!A3418)</f>
        <v>0</v>
      </c>
    </row>
    <row r="3419" customFormat="false" ht="14.4" hidden="true" customHeight="false" outlineLevel="0" collapsed="false">
      <c r="A3419" s="34" t="n">
        <v>56298048120</v>
      </c>
      <c r="B3419" s="34" t="s">
        <v>9014</v>
      </c>
      <c r="C3419" s="34" t="s">
        <v>77</v>
      </c>
      <c r="E3419" s="30" t="s">
        <v>8598</v>
      </c>
      <c r="F3419" s="34" t="n">
        <f aca="false">IFERROR(VLOOKUP($A3419,'319'!$B:$H,7,0),0)</f>
        <v>0</v>
      </c>
      <c r="G3419" s="34" t="n">
        <f aca="false">SUMIFS('12.326ana'!$C:$C,'12.326ana'!$M:$M,redes!A3419)</f>
        <v>0</v>
      </c>
    </row>
    <row r="3420" customFormat="false" ht="14.4" hidden="true" customHeight="false" outlineLevel="0" collapsed="false">
      <c r="A3420" s="34" t="n">
        <v>56300239187</v>
      </c>
      <c r="B3420" s="34" t="s">
        <v>9015</v>
      </c>
      <c r="C3420" s="34" t="s">
        <v>77</v>
      </c>
      <c r="E3420" s="30"/>
      <c r="F3420" s="34" t="n">
        <f aca="false">IFERROR(VLOOKUP($A3420,'319'!$B:$H,7,0),0)</f>
        <v>0</v>
      </c>
      <c r="G3420" s="34" t="n">
        <f aca="false">SUMIFS('12.326ana'!$C:$C,'12.326ana'!$M:$M,redes!A3420)</f>
        <v>0</v>
      </c>
    </row>
    <row r="3421" customFormat="false" ht="14.4" hidden="true" customHeight="false" outlineLevel="0" collapsed="false">
      <c r="A3421" s="34" t="n">
        <v>56582978934</v>
      </c>
      <c r="B3421" s="34" t="s">
        <v>9016</v>
      </c>
      <c r="C3421" s="34" t="s">
        <v>213</v>
      </c>
      <c r="E3421" s="30"/>
      <c r="F3421" s="34" t="n">
        <f aca="false">IFERROR(VLOOKUP($A3421,'319'!$B:$H,7,0),0)</f>
        <v>0</v>
      </c>
      <c r="G3421" s="34" t="n">
        <f aca="false">SUMIFS('12.326ana'!$C:$C,'12.326ana'!$M:$M,redes!A3421)</f>
        <v>0</v>
      </c>
    </row>
    <row r="3422" customFormat="false" ht="14.4" hidden="true" customHeight="false" outlineLevel="0" collapsed="false">
      <c r="A3422" s="34" t="n">
        <v>56617631072</v>
      </c>
      <c r="B3422" s="34" t="s">
        <v>9017</v>
      </c>
      <c r="C3422" s="34" t="s">
        <v>357</v>
      </c>
      <c r="E3422" s="30" t="s">
        <v>3293</v>
      </c>
      <c r="F3422" s="34" t="n">
        <f aca="false">IFERROR(VLOOKUP($A3422,'319'!$B:$H,7,0),0)</f>
        <v>0</v>
      </c>
      <c r="G3422" s="34" t="n">
        <f aca="false">SUMIFS('12.326ana'!$C:$C,'12.326ana'!$M:$M,redes!A3422)</f>
        <v>0</v>
      </c>
    </row>
    <row r="3423" customFormat="false" ht="14.4" hidden="true" customHeight="false" outlineLevel="0" collapsed="false">
      <c r="A3423" s="34" t="n">
        <v>56669712987</v>
      </c>
      <c r="B3423" s="34" t="s">
        <v>9018</v>
      </c>
      <c r="C3423" s="34" t="s">
        <v>405</v>
      </c>
      <c r="E3423" s="30" t="s">
        <v>9019</v>
      </c>
      <c r="F3423" s="34" t="n">
        <f aca="false">IFERROR(VLOOKUP($A3423,'319'!$B:$H,7,0),0)</f>
        <v>0</v>
      </c>
      <c r="G3423" s="34" t="n">
        <f aca="false">SUMIFS('12.326ana'!$C:$C,'12.326ana'!$M:$M,redes!A3423)</f>
        <v>0</v>
      </c>
    </row>
    <row r="3424" customFormat="false" ht="14.4" hidden="true" customHeight="false" outlineLevel="0" collapsed="false">
      <c r="A3424" s="34" t="n">
        <v>56732970844</v>
      </c>
      <c r="B3424" s="34" t="s">
        <v>9020</v>
      </c>
      <c r="C3424" s="34" t="s">
        <v>139</v>
      </c>
      <c r="E3424" s="30" t="s">
        <v>6009</v>
      </c>
      <c r="F3424" s="34" t="n">
        <f aca="false">IFERROR(VLOOKUP($A3424,'319'!$B:$H,7,0),0)</f>
        <v>0</v>
      </c>
      <c r="G3424" s="34" t="n">
        <f aca="false">SUMIFS('12.326ana'!$C:$C,'12.326ana'!$M:$M,redes!A3424)</f>
        <v>0</v>
      </c>
    </row>
    <row r="3425" customFormat="false" ht="14.4" hidden="true" customHeight="false" outlineLevel="0" collapsed="false">
      <c r="A3425" s="34" t="n">
        <v>56814887053</v>
      </c>
      <c r="B3425" s="34" t="s">
        <v>9021</v>
      </c>
      <c r="C3425" s="34" t="s">
        <v>1054</v>
      </c>
      <c r="E3425" s="30" t="s">
        <v>9022</v>
      </c>
      <c r="F3425" s="34" t="n">
        <f aca="false">IFERROR(VLOOKUP($A3425,'319'!$B:$H,7,0),0)</f>
        <v>0</v>
      </c>
      <c r="G3425" s="34" t="n">
        <f aca="false">SUMIFS('12.326ana'!$C:$C,'12.326ana'!$M:$M,redes!A3425)</f>
        <v>0</v>
      </c>
    </row>
    <row r="3426" customFormat="false" ht="14.4" hidden="true" customHeight="false" outlineLevel="0" collapsed="false">
      <c r="A3426" s="34" t="n">
        <v>56856873115</v>
      </c>
      <c r="B3426" s="34" t="s">
        <v>9023</v>
      </c>
      <c r="C3426" s="34" t="s">
        <v>127</v>
      </c>
      <c r="E3426" s="30"/>
      <c r="F3426" s="34" t="n">
        <f aca="false">IFERROR(VLOOKUP($A3426,'319'!$B:$H,7,0),0)</f>
        <v>0</v>
      </c>
      <c r="G3426" s="34" t="n">
        <f aca="false">SUMIFS('12.326ana'!$C:$C,'12.326ana'!$M:$M,redes!A3426)</f>
        <v>0</v>
      </c>
    </row>
    <row r="3427" customFormat="false" ht="14.4" hidden="true" customHeight="false" outlineLevel="0" collapsed="false">
      <c r="A3427" s="34" t="n">
        <v>56921837149</v>
      </c>
      <c r="B3427" s="34" t="s">
        <v>9024</v>
      </c>
      <c r="C3427" s="34" t="s">
        <v>192</v>
      </c>
      <c r="E3427" s="30" t="s">
        <v>9025</v>
      </c>
      <c r="F3427" s="34" t="n">
        <f aca="false">IFERROR(VLOOKUP($A3427,'319'!$B:$H,7,0),0)</f>
        <v>0</v>
      </c>
      <c r="G3427" s="34" t="n">
        <f aca="false">SUMIFS('12.326ana'!$C:$C,'12.326ana'!$M:$M,redes!A3427)</f>
        <v>0</v>
      </c>
    </row>
    <row r="3428" customFormat="false" ht="14.4" hidden="true" customHeight="false" outlineLevel="0" collapsed="false">
      <c r="A3428" s="34" t="n">
        <v>56922205120</v>
      </c>
      <c r="B3428" s="34" t="s">
        <v>9026</v>
      </c>
      <c r="C3428" s="34" t="s">
        <v>77</v>
      </c>
      <c r="E3428" s="30"/>
      <c r="F3428" s="34" t="n">
        <f aca="false">IFERROR(VLOOKUP($A3428,'319'!$B:$H,7,0),0)</f>
        <v>0</v>
      </c>
      <c r="G3428" s="34" t="n">
        <f aca="false">SUMIFS('12.326ana'!$C:$C,'12.326ana'!$M:$M,redes!A3428)</f>
        <v>0</v>
      </c>
    </row>
    <row r="3429" customFormat="false" ht="14.4" hidden="true" customHeight="false" outlineLevel="0" collapsed="false">
      <c r="A3429" s="34" t="n">
        <v>56922213149</v>
      </c>
      <c r="B3429" s="34" t="s">
        <v>9027</v>
      </c>
      <c r="C3429" s="34" t="s">
        <v>463</v>
      </c>
      <c r="E3429" s="30" t="s">
        <v>9028</v>
      </c>
      <c r="F3429" s="34" t="n">
        <f aca="false">IFERROR(VLOOKUP($A3429,'319'!$B:$H,7,0),0)</f>
        <v>0</v>
      </c>
      <c r="G3429" s="34" t="n">
        <f aca="false">SUMIFS('12.326ana'!$C:$C,'12.326ana'!$M:$M,redes!A3429)</f>
        <v>0</v>
      </c>
    </row>
    <row r="3430" customFormat="false" ht="14.4" hidden="true" customHeight="false" outlineLevel="0" collapsed="false">
      <c r="A3430" s="34" t="n">
        <v>56922787153</v>
      </c>
      <c r="B3430" s="34" t="s">
        <v>9029</v>
      </c>
      <c r="C3430" s="34" t="s">
        <v>192</v>
      </c>
      <c r="E3430" s="30" t="s">
        <v>9030</v>
      </c>
      <c r="F3430" s="34" t="n">
        <f aca="false">IFERROR(VLOOKUP($A3430,'319'!$B:$H,7,0),0)</f>
        <v>0</v>
      </c>
      <c r="G3430" s="34" t="n">
        <f aca="false">SUMIFS('12.326ana'!$C:$C,'12.326ana'!$M:$M,redes!A3430)</f>
        <v>0</v>
      </c>
    </row>
    <row r="3431" customFormat="false" ht="14.4" hidden="true" customHeight="false" outlineLevel="0" collapsed="false">
      <c r="A3431" s="34" t="n">
        <v>56931956191</v>
      </c>
      <c r="B3431" s="34" t="s">
        <v>9031</v>
      </c>
      <c r="C3431" s="34" t="s">
        <v>139</v>
      </c>
      <c r="E3431" s="30" t="s">
        <v>9032</v>
      </c>
      <c r="F3431" s="34" t="n">
        <f aca="false">IFERROR(VLOOKUP($A3431,'319'!$B:$H,7,0),0)</f>
        <v>0</v>
      </c>
      <c r="G3431" s="34" t="n">
        <f aca="false">SUMIFS('12.326ana'!$C:$C,'12.326ana'!$M:$M,redes!A3431)</f>
        <v>0</v>
      </c>
    </row>
    <row r="3432" customFormat="false" ht="14.4" hidden="true" customHeight="false" outlineLevel="0" collapsed="false">
      <c r="A3432" s="34" t="n">
        <v>56933339149</v>
      </c>
      <c r="B3432" s="34" t="s">
        <v>9033</v>
      </c>
      <c r="C3432" s="34" t="s">
        <v>77</v>
      </c>
      <c r="E3432" s="30" t="s">
        <v>9034</v>
      </c>
      <c r="F3432" s="34" t="n">
        <f aca="false">IFERROR(VLOOKUP($A3432,'319'!$B:$H,7,0),0)</f>
        <v>0</v>
      </c>
      <c r="G3432" s="34" t="n">
        <f aca="false">SUMIFS('12.326ana'!$C:$C,'12.326ana'!$M:$M,redes!A3432)</f>
        <v>0</v>
      </c>
    </row>
    <row r="3433" customFormat="false" ht="14.4" hidden="true" customHeight="false" outlineLevel="0" collapsed="false">
      <c r="A3433" s="34" t="n">
        <v>57103445915</v>
      </c>
      <c r="B3433" s="34" t="s">
        <v>9035</v>
      </c>
      <c r="C3433" s="34" t="s">
        <v>77</v>
      </c>
      <c r="E3433" s="30" t="s">
        <v>9036</v>
      </c>
      <c r="F3433" s="34" t="n">
        <f aca="false">IFERROR(VLOOKUP($A3433,'319'!$B:$H,7,0),0)</f>
        <v>0</v>
      </c>
      <c r="G3433" s="34" t="n">
        <f aca="false">SUMIFS('12.326ana'!$C:$C,'12.326ana'!$M:$M,redes!A3433)</f>
        <v>0</v>
      </c>
    </row>
    <row r="3434" customFormat="false" ht="14.4" hidden="true" customHeight="false" outlineLevel="0" collapsed="false">
      <c r="A3434" s="34" t="n">
        <v>57109974987</v>
      </c>
      <c r="B3434" s="34" t="s">
        <v>9037</v>
      </c>
      <c r="C3434" s="34" t="s">
        <v>594</v>
      </c>
      <c r="E3434" s="30" t="s">
        <v>9038</v>
      </c>
      <c r="F3434" s="34" t="n">
        <f aca="false">IFERROR(VLOOKUP($A3434,'319'!$B:$H,7,0),0)</f>
        <v>0</v>
      </c>
      <c r="G3434" s="34" t="n">
        <f aca="false">SUMIFS('12.326ana'!$C:$C,'12.326ana'!$M:$M,redes!A3434)</f>
        <v>0</v>
      </c>
    </row>
    <row r="3435" customFormat="false" ht="14.4" hidden="true" customHeight="false" outlineLevel="0" collapsed="false">
      <c r="A3435" s="34" t="n">
        <v>57150052134</v>
      </c>
      <c r="B3435" s="34" t="s">
        <v>9039</v>
      </c>
      <c r="C3435" s="34" t="s">
        <v>309</v>
      </c>
      <c r="E3435" s="30" t="s">
        <v>4630</v>
      </c>
      <c r="F3435" s="34" t="n">
        <f aca="false">IFERROR(VLOOKUP($A3435,'319'!$B:$H,7,0),0)</f>
        <v>0</v>
      </c>
      <c r="G3435" s="34" t="n">
        <f aca="false">SUMIFS('12.326ana'!$C:$C,'12.326ana'!$M:$M,redes!A3435)</f>
        <v>0</v>
      </c>
    </row>
    <row r="3436" customFormat="false" ht="14.4" hidden="true" customHeight="false" outlineLevel="0" collapsed="false">
      <c r="A3436" s="34" t="n">
        <v>57234825134</v>
      </c>
      <c r="B3436" s="34" t="s">
        <v>9040</v>
      </c>
      <c r="C3436" s="34" t="s">
        <v>77</v>
      </c>
      <c r="E3436" s="30" t="s">
        <v>9041</v>
      </c>
      <c r="F3436" s="34" t="n">
        <f aca="false">IFERROR(VLOOKUP($A3436,'319'!$B:$H,7,0),0)</f>
        <v>0</v>
      </c>
      <c r="G3436" s="34" t="n">
        <f aca="false">SUMIFS('12.326ana'!$C:$C,'12.326ana'!$M:$M,redes!A3436)</f>
        <v>0</v>
      </c>
    </row>
    <row r="3437" customFormat="false" ht="14.4" hidden="true" customHeight="false" outlineLevel="0" collapsed="false">
      <c r="A3437" s="34" t="n">
        <v>57240213153</v>
      </c>
      <c r="B3437" s="34" t="s">
        <v>9042</v>
      </c>
      <c r="C3437" s="34" t="s">
        <v>103</v>
      </c>
      <c r="E3437" s="30" t="s">
        <v>9043</v>
      </c>
      <c r="F3437" s="34" t="n">
        <f aca="false">IFERROR(VLOOKUP($A3437,'319'!$B:$H,7,0),0)</f>
        <v>0</v>
      </c>
      <c r="G3437" s="34" t="n">
        <f aca="false">SUMIFS('12.326ana'!$C:$C,'12.326ana'!$M:$M,redes!A3437)</f>
        <v>0</v>
      </c>
    </row>
    <row r="3438" customFormat="false" ht="14.4" hidden="true" customHeight="false" outlineLevel="0" collapsed="false">
      <c r="A3438" s="34" t="n">
        <v>57241597168</v>
      </c>
      <c r="B3438" s="34" t="s">
        <v>9044</v>
      </c>
      <c r="C3438" s="34" t="s">
        <v>77</v>
      </c>
      <c r="E3438" s="30" t="s">
        <v>9045</v>
      </c>
      <c r="F3438" s="34" t="n">
        <f aca="false">IFERROR(VLOOKUP($A3438,'319'!$B:$H,7,0),0)</f>
        <v>0</v>
      </c>
      <c r="G3438" s="34" t="n">
        <f aca="false">SUMIFS('12.326ana'!$C:$C,'12.326ana'!$M:$M,redes!A3438)</f>
        <v>0</v>
      </c>
    </row>
    <row r="3439" customFormat="false" ht="14.4" hidden="true" customHeight="false" outlineLevel="0" collapsed="false">
      <c r="A3439" s="34" t="n">
        <v>57242488168</v>
      </c>
      <c r="B3439" s="34" t="s">
        <v>9046</v>
      </c>
      <c r="C3439" s="34" t="s">
        <v>77</v>
      </c>
      <c r="E3439" s="30" t="s">
        <v>9047</v>
      </c>
      <c r="F3439" s="34" t="n">
        <f aca="false">IFERROR(VLOOKUP($A3439,'319'!$B:$H,7,0),0)</f>
        <v>0</v>
      </c>
      <c r="G3439" s="34" t="n">
        <f aca="false">SUMIFS('12.326ana'!$C:$C,'12.326ana'!$M:$M,redes!A3439)</f>
        <v>0</v>
      </c>
    </row>
    <row r="3440" customFormat="false" ht="14.4" hidden="true" customHeight="false" outlineLevel="0" collapsed="false">
      <c r="A3440" s="34" t="n">
        <v>57244154100</v>
      </c>
      <c r="B3440" s="34" t="s">
        <v>9048</v>
      </c>
      <c r="C3440" s="34" t="s">
        <v>77</v>
      </c>
      <c r="E3440" s="30" t="s">
        <v>9049</v>
      </c>
      <c r="F3440" s="34" t="n">
        <f aca="false">IFERROR(VLOOKUP($A3440,'319'!$B:$H,7,0),0)</f>
        <v>0</v>
      </c>
      <c r="G3440" s="34" t="n">
        <f aca="false">SUMIFS('12.326ana'!$C:$C,'12.326ana'!$M:$M,redes!A3440)</f>
        <v>0</v>
      </c>
    </row>
    <row r="3441" customFormat="false" ht="14.4" hidden="true" customHeight="false" outlineLevel="0" collapsed="false">
      <c r="A3441" s="34" t="n">
        <v>57246211187</v>
      </c>
      <c r="B3441" s="34" t="s">
        <v>9050</v>
      </c>
      <c r="C3441" s="34" t="s">
        <v>464</v>
      </c>
      <c r="E3441" s="30" t="s">
        <v>9051</v>
      </c>
      <c r="F3441" s="34" t="n">
        <f aca="false">IFERROR(VLOOKUP($A3441,'319'!$B:$H,7,0),0)</f>
        <v>0</v>
      </c>
      <c r="G3441" s="34" t="n">
        <f aca="false">SUMIFS('12.326ana'!$C:$C,'12.326ana'!$M:$M,redes!A3441)</f>
        <v>0</v>
      </c>
    </row>
    <row r="3442" customFormat="false" ht="14.4" hidden="true" customHeight="false" outlineLevel="0" collapsed="false">
      <c r="A3442" s="34" t="n">
        <v>57249148168</v>
      </c>
      <c r="B3442" s="34" t="s">
        <v>9052</v>
      </c>
      <c r="C3442" s="34" t="s">
        <v>77</v>
      </c>
      <c r="E3442" s="30" t="s">
        <v>9053</v>
      </c>
      <c r="F3442" s="34" t="n">
        <f aca="false">IFERROR(VLOOKUP($A3442,'319'!$B:$H,7,0),0)</f>
        <v>0</v>
      </c>
      <c r="G3442" s="34" t="n">
        <f aca="false">SUMIFS('12.326ana'!$C:$C,'12.326ana'!$M:$M,redes!A3442)</f>
        <v>0</v>
      </c>
    </row>
    <row r="3443" customFormat="false" ht="14.4" hidden="true" customHeight="false" outlineLevel="0" collapsed="false">
      <c r="A3443" s="34" t="n">
        <v>57257680159</v>
      </c>
      <c r="B3443" s="34" t="s">
        <v>9054</v>
      </c>
      <c r="C3443" s="34" t="s">
        <v>77</v>
      </c>
      <c r="E3443" s="30"/>
      <c r="F3443" s="34" t="n">
        <f aca="false">IFERROR(VLOOKUP($A3443,'319'!$B:$H,7,0),0)</f>
        <v>0</v>
      </c>
      <c r="G3443" s="34" t="n">
        <f aca="false">SUMIFS('12.326ana'!$C:$C,'12.326ana'!$M:$M,redes!A3443)</f>
        <v>0</v>
      </c>
    </row>
    <row r="3444" customFormat="false" ht="14.4" hidden="true" customHeight="false" outlineLevel="0" collapsed="false">
      <c r="A3444" s="34" t="n">
        <v>57263280191</v>
      </c>
      <c r="B3444" s="34" t="s">
        <v>9055</v>
      </c>
      <c r="C3444" s="34" t="s">
        <v>706</v>
      </c>
      <c r="E3444" s="30" t="s">
        <v>3337</v>
      </c>
      <c r="F3444" s="34" t="n">
        <f aca="false">IFERROR(VLOOKUP($A3444,'319'!$B:$H,7,0),0)</f>
        <v>0</v>
      </c>
      <c r="G3444" s="34" t="n">
        <f aca="false">SUMIFS('12.326ana'!$C:$C,'12.326ana'!$M:$M,redes!A3444)</f>
        <v>0</v>
      </c>
    </row>
    <row r="3445" customFormat="false" ht="14.4" hidden="true" customHeight="false" outlineLevel="0" collapsed="false">
      <c r="A3445" s="34" t="n">
        <v>57276943100</v>
      </c>
      <c r="B3445" s="34" t="s">
        <v>9056</v>
      </c>
      <c r="C3445" s="34" t="s">
        <v>117</v>
      </c>
      <c r="E3445" s="30" t="s">
        <v>9057</v>
      </c>
      <c r="F3445" s="34" t="n">
        <f aca="false">IFERROR(VLOOKUP($A3445,'319'!$B:$H,7,0),0)</f>
        <v>0</v>
      </c>
      <c r="G3445" s="34" t="n">
        <f aca="false">SUMIFS('12.326ana'!$C:$C,'12.326ana'!$M:$M,redes!A3445)</f>
        <v>0</v>
      </c>
    </row>
    <row r="3446" customFormat="false" ht="14.4" hidden="true" customHeight="false" outlineLevel="0" collapsed="false">
      <c r="A3446" s="34" t="n">
        <v>57281653115</v>
      </c>
      <c r="B3446" s="34" t="s">
        <v>9058</v>
      </c>
      <c r="C3446" s="34" t="s">
        <v>342</v>
      </c>
      <c r="E3446" s="30" t="s">
        <v>9059</v>
      </c>
      <c r="F3446" s="34" t="n">
        <f aca="false">IFERROR(VLOOKUP($A3446,'319'!$B:$H,7,0),0)</f>
        <v>0</v>
      </c>
      <c r="G3446" s="34" t="n">
        <f aca="false">SUMIFS('12.326ana'!$C:$C,'12.326ana'!$M:$M,redes!A3446)</f>
        <v>0</v>
      </c>
    </row>
    <row r="3447" customFormat="false" ht="14.4" hidden="true" customHeight="false" outlineLevel="0" collapsed="false">
      <c r="A3447" s="34" t="n">
        <v>57284997168</v>
      </c>
      <c r="B3447" s="34" t="s">
        <v>9060</v>
      </c>
      <c r="C3447" s="34" t="s">
        <v>342</v>
      </c>
      <c r="E3447" s="30" t="s">
        <v>9061</v>
      </c>
      <c r="F3447" s="34" t="n">
        <f aca="false">IFERROR(VLOOKUP($A3447,'319'!$B:$H,7,0),0)</f>
        <v>0</v>
      </c>
      <c r="G3447" s="34" t="n">
        <f aca="false">SUMIFS('12.326ana'!$C:$C,'12.326ana'!$M:$M,redes!A3447)</f>
        <v>0</v>
      </c>
    </row>
    <row r="3448" customFormat="false" ht="14.4" hidden="true" customHeight="false" outlineLevel="0" collapsed="false">
      <c r="A3448" s="34" t="n">
        <v>57287074168</v>
      </c>
      <c r="B3448" s="34" t="s">
        <v>9062</v>
      </c>
      <c r="C3448" s="34" t="s">
        <v>77</v>
      </c>
      <c r="E3448" s="30" t="s">
        <v>9063</v>
      </c>
      <c r="F3448" s="34" t="n">
        <f aca="false">IFERROR(VLOOKUP($A3448,'319'!$B:$H,7,0),0)</f>
        <v>0</v>
      </c>
      <c r="G3448" s="34" t="n">
        <f aca="false">SUMIFS('12.326ana'!$C:$C,'12.326ana'!$M:$M,redes!A3448)</f>
        <v>0</v>
      </c>
    </row>
    <row r="3449" customFormat="false" ht="14.4" hidden="true" customHeight="false" outlineLevel="0" collapsed="false">
      <c r="A3449" s="34" t="n">
        <v>57679770972</v>
      </c>
      <c r="B3449" s="34" t="s">
        <v>9064</v>
      </c>
      <c r="C3449" s="34" t="s">
        <v>77</v>
      </c>
      <c r="E3449" s="30" t="s">
        <v>3588</v>
      </c>
      <c r="F3449" s="34" t="n">
        <f aca="false">IFERROR(VLOOKUP($A3449,'319'!$B:$H,7,0),0)</f>
        <v>0</v>
      </c>
      <c r="G3449" s="34" t="n">
        <f aca="false">SUMIFS('12.326ana'!$C:$C,'12.326ana'!$M:$M,redes!A3449)</f>
        <v>0</v>
      </c>
    </row>
    <row r="3450" customFormat="false" ht="14.4" hidden="true" customHeight="false" outlineLevel="0" collapsed="false">
      <c r="A3450" s="34" t="n">
        <v>57757917204</v>
      </c>
      <c r="B3450" s="34" t="s">
        <v>9065</v>
      </c>
      <c r="C3450" s="34" t="s">
        <v>77</v>
      </c>
      <c r="E3450" s="30" t="s">
        <v>9066</v>
      </c>
      <c r="F3450" s="34" t="n">
        <f aca="false">IFERROR(VLOOKUP($A3450,'319'!$B:$H,7,0),0)</f>
        <v>0</v>
      </c>
      <c r="G3450" s="34" t="n">
        <f aca="false">SUMIFS('12.326ana'!$C:$C,'12.326ana'!$M:$M,redes!A3450)</f>
        <v>0</v>
      </c>
    </row>
    <row r="3451" customFormat="false" ht="14.4" hidden="true" customHeight="false" outlineLevel="0" collapsed="false">
      <c r="A3451" s="34" t="n">
        <v>57782636949</v>
      </c>
      <c r="B3451" s="34" t="s">
        <v>9067</v>
      </c>
      <c r="C3451" s="34" t="s">
        <v>77</v>
      </c>
      <c r="E3451" s="30" t="s">
        <v>9068</v>
      </c>
      <c r="F3451" s="34" t="n">
        <f aca="false">IFERROR(VLOOKUP($A3451,'319'!$B:$H,7,0),0)</f>
        <v>0</v>
      </c>
      <c r="G3451" s="34" t="n">
        <f aca="false">SUMIFS('12.326ana'!$C:$C,'12.326ana'!$M:$M,redes!A3451)</f>
        <v>0</v>
      </c>
    </row>
    <row r="3452" customFormat="false" ht="14.4" hidden="true" customHeight="false" outlineLevel="0" collapsed="false">
      <c r="A3452" s="34" t="n">
        <v>58010580104</v>
      </c>
      <c r="B3452" s="34" t="s">
        <v>9069</v>
      </c>
      <c r="C3452" s="34" t="s">
        <v>77</v>
      </c>
      <c r="E3452" s="30" t="s">
        <v>9070</v>
      </c>
      <c r="F3452" s="34" t="n">
        <f aca="false">IFERROR(VLOOKUP($A3452,'319'!$B:$H,7,0),0)</f>
        <v>0</v>
      </c>
      <c r="G3452" s="34" t="n">
        <f aca="false">SUMIFS('12.326ana'!$C:$C,'12.326ana'!$M:$M,redes!A3452)</f>
        <v>0</v>
      </c>
    </row>
    <row r="3453" customFormat="false" ht="14.4" hidden="true" customHeight="false" outlineLevel="0" collapsed="false">
      <c r="A3453" s="34" t="n">
        <v>58021841168</v>
      </c>
      <c r="B3453" s="34" t="s">
        <v>9071</v>
      </c>
      <c r="C3453" s="34" t="s">
        <v>680</v>
      </c>
      <c r="E3453" s="30" t="s">
        <v>3632</v>
      </c>
      <c r="F3453" s="34" t="n">
        <f aca="false">IFERROR(VLOOKUP($A3453,'319'!$B:$H,7,0),0)</f>
        <v>0</v>
      </c>
      <c r="G3453" s="34" t="n">
        <f aca="false">SUMIFS('12.326ana'!$C:$C,'12.326ana'!$M:$M,redes!A3453)</f>
        <v>0</v>
      </c>
    </row>
    <row r="3454" customFormat="false" ht="14.4" hidden="true" customHeight="false" outlineLevel="0" collapsed="false">
      <c r="A3454" s="34" t="n">
        <v>58035460110</v>
      </c>
      <c r="B3454" s="34" t="s">
        <v>9072</v>
      </c>
      <c r="C3454" s="34" t="s">
        <v>77</v>
      </c>
      <c r="E3454" s="30" t="s">
        <v>9073</v>
      </c>
      <c r="F3454" s="34" t="n">
        <f aca="false">IFERROR(VLOOKUP($A3454,'319'!$B:$H,7,0),0)</f>
        <v>0</v>
      </c>
      <c r="G3454" s="34" t="n">
        <f aca="false">SUMIFS('12.326ana'!$C:$C,'12.326ana'!$M:$M,redes!A3454)</f>
        <v>0</v>
      </c>
    </row>
    <row r="3455" customFormat="false" ht="14.4" hidden="true" customHeight="false" outlineLevel="0" collapsed="false">
      <c r="A3455" s="34" t="n">
        <v>58043837104</v>
      </c>
      <c r="B3455" s="34" t="s">
        <v>9074</v>
      </c>
      <c r="C3455" s="34" t="s">
        <v>881</v>
      </c>
      <c r="E3455" s="30" t="s">
        <v>9075</v>
      </c>
      <c r="F3455" s="34" t="n">
        <f aca="false">IFERROR(VLOOKUP($A3455,'319'!$B:$H,7,0),0)</f>
        <v>0</v>
      </c>
      <c r="G3455" s="34" t="n">
        <f aca="false">SUMIFS('12.326ana'!$C:$C,'12.326ana'!$M:$M,redes!A3455)</f>
        <v>0</v>
      </c>
    </row>
    <row r="3456" customFormat="false" ht="14.4" hidden="true" customHeight="false" outlineLevel="0" collapsed="false">
      <c r="A3456" s="34" t="n">
        <v>58056165134</v>
      </c>
      <c r="B3456" s="34" t="s">
        <v>9076</v>
      </c>
      <c r="C3456" s="34" t="s">
        <v>77</v>
      </c>
      <c r="E3456" s="30" t="s">
        <v>4098</v>
      </c>
      <c r="F3456" s="34" t="n">
        <f aca="false">IFERROR(VLOOKUP($A3456,'319'!$B:$H,7,0),0)</f>
        <v>0</v>
      </c>
      <c r="G3456" s="34" t="n">
        <f aca="false">SUMIFS('12.326ana'!$C:$C,'12.326ana'!$M:$M,redes!A3456)</f>
        <v>0</v>
      </c>
    </row>
    <row r="3457" customFormat="false" ht="14.4" hidden="true" customHeight="false" outlineLevel="0" collapsed="false">
      <c r="A3457" s="34" t="n">
        <v>58061657104</v>
      </c>
      <c r="B3457" s="34" t="s">
        <v>9077</v>
      </c>
      <c r="C3457" s="34" t="s">
        <v>77</v>
      </c>
      <c r="E3457" s="30" t="s">
        <v>9078</v>
      </c>
      <c r="F3457" s="34" t="n">
        <f aca="false">IFERROR(VLOOKUP($A3457,'319'!$B:$H,7,0),0)</f>
        <v>0</v>
      </c>
      <c r="G3457" s="34" t="n">
        <f aca="false">SUMIFS('12.326ana'!$C:$C,'12.326ana'!$M:$M,redes!A3457)</f>
        <v>0</v>
      </c>
    </row>
    <row r="3458" customFormat="false" ht="14.4" hidden="true" customHeight="false" outlineLevel="0" collapsed="false">
      <c r="A3458" s="34" t="n">
        <v>58102736100</v>
      </c>
      <c r="B3458" s="34" t="s">
        <v>9079</v>
      </c>
      <c r="C3458" s="34" t="s">
        <v>744</v>
      </c>
      <c r="E3458" s="30" t="s">
        <v>9080</v>
      </c>
      <c r="F3458" s="34" t="n">
        <f aca="false">IFERROR(VLOOKUP($A3458,'319'!$B:$H,7,0),0)</f>
        <v>0</v>
      </c>
      <c r="G3458" s="34" t="n">
        <f aca="false">SUMIFS('12.326ana'!$C:$C,'12.326ana'!$M:$M,redes!A3458)</f>
        <v>0</v>
      </c>
    </row>
    <row r="3459" customFormat="false" ht="14.4" hidden="true" customHeight="false" outlineLevel="0" collapsed="false">
      <c r="A3459" s="34" t="n">
        <v>58123326149</v>
      </c>
      <c r="B3459" s="34" t="s">
        <v>9081</v>
      </c>
      <c r="C3459" s="34" t="s">
        <v>77</v>
      </c>
      <c r="E3459" s="30" t="s">
        <v>9082</v>
      </c>
      <c r="F3459" s="34" t="n">
        <f aca="false">IFERROR(VLOOKUP($A3459,'319'!$B:$H,7,0),0)</f>
        <v>0</v>
      </c>
      <c r="G3459" s="34" t="n">
        <f aca="false">SUMIFS('12.326ana'!$C:$C,'12.326ana'!$M:$M,redes!A3459)</f>
        <v>0</v>
      </c>
    </row>
    <row r="3460" customFormat="false" ht="14.4" hidden="true" customHeight="false" outlineLevel="0" collapsed="false">
      <c r="A3460" s="34" t="n">
        <v>58204725191</v>
      </c>
      <c r="B3460" s="34" t="s">
        <v>9083</v>
      </c>
      <c r="C3460" s="34" t="s">
        <v>107</v>
      </c>
      <c r="E3460" s="30" t="s">
        <v>5266</v>
      </c>
      <c r="F3460" s="34" t="n">
        <f aca="false">IFERROR(VLOOKUP($A3460,'319'!$B:$H,7,0),0)</f>
        <v>0</v>
      </c>
      <c r="G3460" s="34" t="n">
        <f aca="false">SUMIFS('12.326ana'!$C:$C,'12.326ana'!$M:$M,redes!A3460)</f>
        <v>0</v>
      </c>
    </row>
    <row r="3461" customFormat="false" ht="14.4" hidden="true" customHeight="false" outlineLevel="0" collapsed="false">
      <c r="A3461" s="34" t="n">
        <v>58208445134</v>
      </c>
      <c r="B3461" s="34" t="s">
        <v>9084</v>
      </c>
      <c r="C3461" s="34" t="s">
        <v>77</v>
      </c>
      <c r="E3461" s="30" t="s">
        <v>9085</v>
      </c>
      <c r="F3461" s="34" t="n">
        <f aca="false">IFERROR(VLOOKUP($A3461,'319'!$B:$H,7,0),0)</f>
        <v>0</v>
      </c>
      <c r="G3461" s="34" t="n">
        <f aca="false">SUMIFS('12.326ana'!$C:$C,'12.326ana'!$M:$M,redes!A3461)</f>
        <v>0</v>
      </c>
    </row>
    <row r="3462" customFormat="false" ht="14.4" hidden="true" customHeight="false" outlineLevel="0" collapsed="false">
      <c r="A3462" s="34" t="n">
        <v>58217410178</v>
      </c>
      <c r="B3462" s="34" t="s">
        <v>9086</v>
      </c>
      <c r="C3462" s="34" t="s">
        <v>77</v>
      </c>
      <c r="E3462" s="30"/>
      <c r="F3462" s="34" t="n">
        <f aca="false">IFERROR(VLOOKUP($A3462,'319'!$B:$H,7,0),0)</f>
        <v>0</v>
      </c>
      <c r="G3462" s="34" t="n">
        <f aca="false">SUMIFS('12.326ana'!$C:$C,'12.326ana'!$M:$M,redes!A3462)</f>
        <v>0</v>
      </c>
    </row>
    <row r="3463" customFormat="false" ht="14.4" hidden="true" customHeight="false" outlineLevel="0" collapsed="false">
      <c r="A3463" s="34" t="n">
        <v>58220828153</v>
      </c>
      <c r="B3463" s="34" t="s">
        <v>9087</v>
      </c>
      <c r="C3463" s="34" t="s">
        <v>107</v>
      </c>
      <c r="E3463" s="30" t="s">
        <v>9088</v>
      </c>
      <c r="F3463" s="34" t="n">
        <f aca="false">IFERROR(VLOOKUP($A3463,'319'!$B:$H,7,0),0)</f>
        <v>0</v>
      </c>
      <c r="G3463" s="34" t="n">
        <f aca="false">SUMIFS('12.326ana'!$C:$C,'12.326ana'!$M:$M,redes!A3463)</f>
        <v>0</v>
      </c>
    </row>
    <row r="3464" customFormat="false" ht="14.4" hidden="true" customHeight="false" outlineLevel="0" collapsed="false">
      <c r="A3464" s="34" t="n">
        <v>58221859168</v>
      </c>
      <c r="B3464" s="34" t="s">
        <v>9089</v>
      </c>
      <c r="C3464" s="34" t="s">
        <v>107</v>
      </c>
      <c r="E3464" s="30" t="s">
        <v>9090</v>
      </c>
      <c r="F3464" s="34" t="n">
        <f aca="false">IFERROR(VLOOKUP($A3464,'319'!$B:$H,7,0),0)</f>
        <v>0</v>
      </c>
      <c r="G3464" s="34" t="n">
        <f aca="false">SUMIFS('12.326ana'!$C:$C,'12.326ana'!$M:$M,redes!A3464)</f>
        <v>0</v>
      </c>
    </row>
    <row r="3465" customFormat="false" ht="14.4" hidden="true" customHeight="false" outlineLevel="0" collapsed="false">
      <c r="A3465" s="34" t="n">
        <v>58225218191</v>
      </c>
      <c r="B3465" s="34" t="s">
        <v>9091</v>
      </c>
      <c r="C3465" s="34" t="s">
        <v>107</v>
      </c>
      <c r="E3465" s="30" t="s">
        <v>9092</v>
      </c>
      <c r="F3465" s="34" t="n">
        <f aca="false">IFERROR(VLOOKUP($A3465,'319'!$B:$H,7,0),0)</f>
        <v>0</v>
      </c>
      <c r="G3465" s="34" t="n">
        <f aca="false">SUMIFS('12.326ana'!$C:$C,'12.326ana'!$M:$M,redes!A3465)</f>
        <v>0</v>
      </c>
    </row>
    <row r="3466" customFormat="false" ht="14.4" hidden="true" customHeight="false" outlineLevel="0" collapsed="false">
      <c r="A3466" s="34" t="n">
        <v>58226184134</v>
      </c>
      <c r="B3466" s="34" t="s">
        <v>9093</v>
      </c>
      <c r="C3466" s="34" t="s">
        <v>77</v>
      </c>
      <c r="E3466" s="30" t="s">
        <v>9094</v>
      </c>
      <c r="F3466" s="34" t="n">
        <f aca="false">IFERROR(VLOOKUP($A3466,'319'!$B:$H,7,0),0)</f>
        <v>0</v>
      </c>
      <c r="G3466" s="34" t="n">
        <f aca="false">SUMIFS('12.326ana'!$C:$C,'12.326ana'!$M:$M,redes!A3466)</f>
        <v>0</v>
      </c>
    </row>
    <row r="3467" customFormat="false" ht="14.4" hidden="true" customHeight="false" outlineLevel="0" collapsed="false">
      <c r="A3467" s="34" t="n">
        <v>58228349149</v>
      </c>
      <c r="B3467" s="34" t="s">
        <v>9095</v>
      </c>
      <c r="C3467" s="34" t="s">
        <v>107</v>
      </c>
      <c r="E3467" s="30" t="s">
        <v>9096</v>
      </c>
      <c r="F3467" s="34" t="n">
        <f aca="false">IFERROR(VLOOKUP($A3467,'319'!$B:$H,7,0),0)</f>
        <v>0</v>
      </c>
      <c r="G3467" s="34" t="n">
        <f aca="false">SUMIFS('12.326ana'!$C:$C,'12.326ana'!$M:$M,redes!A3467)</f>
        <v>0</v>
      </c>
    </row>
    <row r="3468" customFormat="false" ht="14.4" hidden="true" customHeight="false" outlineLevel="0" collapsed="false">
      <c r="A3468" s="34" t="n">
        <v>58231714120</v>
      </c>
      <c r="B3468" s="34" t="s">
        <v>9097</v>
      </c>
      <c r="C3468" s="34" t="s">
        <v>89</v>
      </c>
      <c r="E3468" s="30" t="s">
        <v>9098</v>
      </c>
      <c r="F3468" s="34" t="n">
        <f aca="false">IFERROR(VLOOKUP($A3468,'319'!$B:$H,7,0),0)</f>
        <v>0</v>
      </c>
      <c r="G3468" s="34" t="n">
        <f aca="false">SUMIFS('12.326ana'!$C:$C,'12.326ana'!$M:$M,redes!A3468)</f>
        <v>0</v>
      </c>
    </row>
    <row r="3469" customFormat="false" ht="14.4" hidden="true" customHeight="false" outlineLevel="0" collapsed="false">
      <c r="A3469" s="34" t="n">
        <v>58233156191</v>
      </c>
      <c r="B3469" s="34" t="s">
        <v>9099</v>
      </c>
      <c r="C3469" s="34" t="s">
        <v>475</v>
      </c>
      <c r="E3469" s="30" t="s">
        <v>9100</v>
      </c>
      <c r="F3469" s="34" t="n">
        <f aca="false">IFERROR(VLOOKUP($A3469,'319'!$B:$H,7,0),0)</f>
        <v>0</v>
      </c>
      <c r="G3469" s="34" t="n">
        <f aca="false">SUMIFS('12.326ana'!$C:$C,'12.326ana'!$M:$M,redes!A3469)</f>
        <v>0</v>
      </c>
    </row>
    <row r="3470" customFormat="false" ht="14.4" hidden="true" customHeight="false" outlineLevel="0" collapsed="false">
      <c r="A3470" s="34" t="n">
        <v>58233172120</v>
      </c>
      <c r="B3470" s="34" t="s">
        <v>9101</v>
      </c>
      <c r="C3470" s="34" t="s">
        <v>475</v>
      </c>
      <c r="E3470" s="30" t="s">
        <v>9102</v>
      </c>
      <c r="F3470" s="34" t="n">
        <f aca="false">IFERROR(VLOOKUP($A3470,'319'!$B:$H,7,0),0)</f>
        <v>0</v>
      </c>
      <c r="G3470" s="34" t="n">
        <f aca="false">SUMIFS('12.326ana'!$C:$C,'12.326ana'!$M:$M,redes!A3470)</f>
        <v>0</v>
      </c>
    </row>
    <row r="3471" customFormat="false" ht="14.4" hidden="true" customHeight="false" outlineLevel="0" collapsed="false">
      <c r="A3471" s="34" t="n">
        <v>58236635104</v>
      </c>
      <c r="B3471" s="34" t="s">
        <v>9103</v>
      </c>
      <c r="C3471" s="34" t="s">
        <v>842</v>
      </c>
      <c r="E3471" s="30" t="s">
        <v>9104</v>
      </c>
      <c r="F3471" s="34" t="n">
        <f aca="false">IFERROR(VLOOKUP($A3471,'319'!$B:$H,7,0),0)</f>
        <v>0</v>
      </c>
      <c r="G3471" s="34" t="n">
        <f aca="false">SUMIFS('12.326ana'!$C:$C,'12.326ana'!$M:$M,redes!A3471)</f>
        <v>0</v>
      </c>
    </row>
    <row r="3472" customFormat="false" ht="14.4" hidden="true" customHeight="false" outlineLevel="0" collapsed="false">
      <c r="A3472" s="34" t="n">
        <v>58239626149</v>
      </c>
      <c r="B3472" s="34" t="s">
        <v>9105</v>
      </c>
      <c r="C3472" s="34" t="s">
        <v>77</v>
      </c>
      <c r="E3472" s="30" t="s">
        <v>9106</v>
      </c>
      <c r="F3472" s="34" t="n">
        <f aca="false">IFERROR(VLOOKUP($A3472,'319'!$B:$H,7,0),0)</f>
        <v>0</v>
      </c>
      <c r="G3472" s="34" t="n">
        <f aca="false">SUMIFS('12.326ana'!$C:$C,'12.326ana'!$M:$M,redes!A3472)</f>
        <v>0</v>
      </c>
    </row>
    <row r="3473" customFormat="false" ht="14.4" hidden="true" customHeight="false" outlineLevel="0" collapsed="false">
      <c r="A3473" s="34" t="n">
        <v>58240586104</v>
      </c>
      <c r="B3473" s="34" t="s">
        <v>9107</v>
      </c>
      <c r="C3473" s="34" t="s">
        <v>77</v>
      </c>
      <c r="E3473" s="30" t="s">
        <v>9108</v>
      </c>
      <c r="F3473" s="34" t="n">
        <f aca="false">IFERROR(VLOOKUP($A3473,'319'!$B:$H,7,0),0)</f>
        <v>0</v>
      </c>
      <c r="G3473" s="34" t="n">
        <f aca="false">SUMIFS('12.326ana'!$C:$C,'12.326ana'!$M:$M,redes!A3473)</f>
        <v>0</v>
      </c>
    </row>
    <row r="3474" customFormat="false" ht="14.4" hidden="true" customHeight="false" outlineLevel="0" collapsed="false">
      <c r="A3474" s="34" t="n">
        <v>58240985149</v>
      </c>
      <c r="B3474" s="34" t="s">
        <v>9109</v>
      </c>
      <c r="C3474" s="34" t="s">
        <v>77</v>
      </c>
      <c r="E3474" s="30" t="s">
        <v>9110</v>
      </c>
      <c r="F3474" s="34" t="n">
        <f aca="false">IFERROR(VLOOKUP($A3474,'319'!$B:$H,7,0),0)</f>
        <v>0</v>
      </c>
      <c r="G3474" s="34" t="n">
        <f aca="false">SUMIFS('12.326ana'!$C:$C,'12.326ana'!$M:$M,redes!A3474)</f>
        <v>0</v>
      </c>
    </row>
    <row r="3475" customFormat="false" ht="14.4" hidden="true" customHeight="false" outlineLevel="0" collapsed="false">
      <c r="A3475" s="34" t="n">
        <v>58242295115</v>
      </c>
      <c r="B3475" s="34" t="s">
        <v>9111</v>
      </c>
      <c r="C3475" s="34" t="s">
        <v>1306</v>
      </c>
      <c r="E3475" s="30" t="s">
        <v>5206</v>
      </c>
      <c r="F3475" s="34" t="n">
        <f aca="false">IFERROR(VLOOKUP($A3475,'319'!$B:$H,7,0),0)</f>
        <v>0</v>
      </c>
      <c r="G3475" s="34" t="n">
        <f aca="false">SUMIFS('12.326ana'!$C:$C,'12.326ana'!$M:$M,redes!A3475)</f>
        <v>0</v>
      </c>
    </row>
    <row r="3476" customFormat="false" ht="14.4" hidden="true" customHeight="false" outlineLevel="0" collapsed="false">
      <c r="A3476" s="34" t="n">
        <v>58244050187</v>
      </c>
      <c r="B3476" s="34" t="s">
        <v>9112</v>
      </c>
      <c r="C3476" s="34" t="s">
        <v>77</v>
      </c>
      <c r="E3476" s="30" t="s">
        <v>9113</v>
      </c>
      <c r="F3476" s="34" t="n">
        <f aca="false">IFERROR(VLOOKUP($A3476,'319'!$B:$H,7,0),0)</f>
        <v>0</v>
      </c>
      <c r="G3476" s="34" t="n">
        <f aca="false">SUMIFS('12.326ana'!$C:$C,'12.326ana'!$M:$M,redes!A3476)</f>
        <v>0</v>
      </c>
    </row>
    <row r="3477" customFormat="false" ht="14.4" hidden="true" customHeight="false" outlineLevel="0" collapsed="false">
      <c r="A3477" s="34" t="n">
        <v>58244670134</v>
      </c>
      <c r="B3477" s="34" t="s">
        <v>9114</v>
      </c>
      <c r="C3477" s="34" t="s">
        <v>4261</v>
      </c>
      <c r="E3477" s="30" t="s">
        <v>9115</v>
      </c>
      <c r="F3477" s="34" t="n">
        <f aca="false">IFERROR(VLOOKUP($A3477,'319'!$B:$H,7,0),0)</f>
        <v>0</v>
      </c>
      <c r="G3477" s="34" t="n">
        <f aca="false">SUMIFS('12.326ana'!$C:$C,'12.326ana'!$M:$M,redes!A3477)</f>
        <v>0</v>
      </c>
    </row>
    <row r="3478" customFormat="false" ht="14.4" hidden="true" customHeight="false" outlineLevel="0" collapsed="false">
      <c r="A3478" s="34" t="n">
        <v>58245162191</v>
      </c>
      <c r="B3478" s="34" t="s">
        <v>9116</v>
      </c>
      <c r="C3478" s="34" t="s">
        <v>357</v>
      </c>
      <c r="E3478" s="30" t="s">
        <v>9117</v>
      </c>
      <c r="F3478" s="34" t="n">
        <f aca="false">IFERROR(VLOOKUP($A3478,'319'!$B:$H,7,0),0)</f>
        <v>0</v>
      </c>
      <c r="G3478" s="34" t="n">
        <f aca="false">SUMIFS('12.326ana'!$C:$C,'12.326ana'!$M:$M,redes!A3478)</f>
        <v>0</v>
      </c>
    </row>
    <row r="3479" customFormat="false" ht="14.4" hidden="true" customHeight="false" outlineLevel="0" collapsed="false">
      <c r="A3479" s="34" t="n">
        <v>58246347187</v>
      </c>
      <c r="B3479" s="34" t="s">
        <v>9118</v>
      </c>
      <c r="C3479" s="34" t="s">
        <v>77</v>
      </c>
      <c r="E3479" s="30" t="s">
        <v>9119</v>
      </c>
      <c r="F3479" s="34" t="n">
        <f aca="false">IFERROR(VLOOKUP($A3479,'319'!$B:$H,7,0),0)</f>
        <v>0</v>
      </c>
      <c r="G3479" s="34" t="n">
        <f aca="false">SUMIFS('12.326ana'!$C:$C,'12.326ana'!$M:$M,redes!A3479)</f>
        <v>0</v>
      </c>
    </row>
    <row r="3480" customFormat="false" ht="14.4" hidden="true" customHeight="false" outlineLevel="0" collapsed="false">
      <c r="A3480" s="34" t="n">
        <v>58246851187</v>
      </c>
      <c r="B3480" s="34" t="s">
        <v>9120</v>
      </c>
      <c r="C3480" s="34" t="s">
        <v>77</v>
      </c>
      <c r="E3480" s="30" t="s">
        <v>6831</v>
      </c>
      <c r="F3480" s="34" t="n">
        <f aca="false">IFERROR(VLOOKUP($A3480,'319'!$B:$H,7,0),0)</f>
        <v>0</v>
      </c>
      <c r="G3480" s="34" t="n">
        <f aca="false">SUMIFS('12.326ana'!$C:$C,'12.326ana'!$M:$M,redes!A3480)</f>
        <v>0</v>
      </c>
    </row>
    <row r="3481" customFormat="false" ht="14.4" hidden="true" customHeight="false" outlineLevel="0" collapsed="false">
      <c r="A3481" s="34" t="n">
        <v>58248994104</v>
      </c>
      <c r="B3481" s="34" t="s">
        <v>9121</v>
      </c>
      <c r="C3481" s="34" t="s">
        <v>89</v>
      </c>
      <c r="E3481" s="30"/>
      <c r="F3481" s="34" t="n">
        <f aca="false">IFERROR(VLOOKUP($A3481,'319'!$B:$H,7,0),0)</f>
        <v>0</v>
      </c>
      <c r="G3481" s="34" t="n">
        <f aca="false">SUMIFS('12.326ana'!$C:$C,'12.326ana'!$M:$M,redes!A3481)</f>
        <v>0</v>
      </c>
    </row>
    <row r="3482" customFormat="false" ht="14.4" hidden="true" customHeight="false" outlineLevel="0" collapsed="false">
      <c r="A3482" s="34" t="n">
        <v>58264779115</v>
      </c>
      <c r="B3482" s="34" t="s">
        <v>9122</v>
      </c>
      <c r="C3482" s="34" t="s">
        <v>77</v>
      </c>
      <c r="E3482" s="30" t="s">
        <v>9123</v>
      </c>
      <c r="F3482" s="34" t="n">
        <f aca="false">IFERROR(VLOOKUP($A3482,'319'!$B:$H,7,0),0)</f>
        <v>0</v>
      </c>
      <c r="G3482" s="34" t="n">
        <f aca="false">SUMIFS('12.326ana'!$C:$C,'12.326ana'!$M:$M,redes!A3482)</f>
        <v>0</v>
      </c>
    </row>
    <row r="3483" customFormat="false" ht="14.4" hidden="true" customHeight="false" outlineLevel="0" collapsed="false">
      <c r="A3483" s="34" t="n">
        <v>58264787134</v>
      </c>
      <c r="B3483" s="34" t="s">
        <v>9124</v>
      </c>
      <c r="C3483" s="34" t="s">
        <v>89</v>
      </c>
      <c r="E3483" s="30" t="s">
        <v>9125</v>
      </c>
      <c r="F3483" s="34" t="n">
        <f aca="false">IFERROR(VLOOKUP($A3483,'319'!$B:$H,7,0),0)</f>
        <v>0</v>
      </c>
      <c r="G3483" s="34" t="n">
        <f aca="false">SUMIFS('12.326ana'!$C:$C,'12.326ana'!$M:$M,redes!A3483)</f>
        <v>0</v>
      </c>
    </row>
    <row r="3484" customFormat="false" ht="14.4" hidden="true" customHeight="false" outlineLevel="0" collapsed="false">
      <c r="A3484" s="34" t="n">
        <v>58272070120</v>
      </c>
      <c r="B3484" s="34" t="s">
        <v>9126</v>
      </c>
      <c r="C3484" s="34" t="s">
        <v>77</v>
      </c>
      <c r="E3484" s="30" t="s">
        <v>9127</v>
      </c>
      <c r="F3484" s="34" t="n">
        <f aca="false">IFERROR(VLOOKUP($A3484,'319'!$B:$H,7,0),0)</f>
        <v>0</v>
      </c>
      <c r="G3484" s="34" t="n">
        <f aca="false">SUMIFS('12.326ana'!$C:$C,'12.326ana'!$M:$M,redes!A3484)</f>
        <v>0</v>
      </c>
    </row>
    <row r="3485" customFormat="false" ht="14.4" hidden="true" customHeight="false" outlineLevel="0" collapsed="false">
      <c r="A3485" s="34" t="n">
        <v>58274120159</v>
      </c>
      <c r="B3485" s="34" t="s">
        <v>9128</v>
      </c>
      <c r="C3485" s="34" t="s">
        <v>77</v>
      </c>
      <c r="E3485" s="30" t="s">
        <v>9129</v>
      </c>
      <c r="F3485" s="34" t="n">
        <f aca="false">IFERROR(VLOOKUP($A3485,'319'!$B:$H,7,0),0)</f>
        <v>0</v>
      </c>
      <c r="G3485" s="34" t="n">
        <f aca="false">SUMIFS('12.326ana'!$C:$C,'12.326ana'!$M:$M,redes!A3485)</f>
        <v>0</v>
      </c>
    </row>
    <row r="3486" customFormat="false" ht="14.4" hidden="true" customHeight="false" outlineLevel="0" collapsed="false">
      <c r="A3486" s="34" t="n">
        <v>58274839153</v>
      </c>
      <c r="B3486" s="34" t="s">
        <v>9130</v>
      </c>
      <c r="C3486" s="34" t="s">
        <v>1341</v>
      </c>
      <c r="E3486" s="30" t="s">
        <v>9131</v>
      </c>
      <c r="F3486" s="34" t="n">
        <f aca="false">IFERROR(VLOOKUP($A3486,'319'!$B:$H,7,0),0)</f>
        <v>0</v>
      </c>
      <c r="G3486" s="34" t="n">
        <f aca="false">SUMIFS('12.326ana'!$C:$C,'12.326ana'!$M:$M,redes!A3486)</f>
        <v>0</v>
      </c>
    </row>
    <row r="3487" customFormat="false" ht="14.4" hidden="true" customHeight="false" outlineLevel="0" collapsed="false">
      <c r="A3487" s="34" t="n">
        <v>58283196120</v>
      </c>
      <c r="B3487" s="34" t="s">
        <v>9132</v>
      </c>
      <c r="C3487" s="34" t="s">
        <v>77</v>
      </c>
      <c r="E3487" s="30" t="s">
        <v>9133</v>
      </c>
      <c r="F3487" s="34" t="n">
        <f aca="false">IFERROR(VLOOKUP($A3487,'319'!$B:$H,7,0),0)</f>
        <v>0</v>
      </c>
      <c r="G3487" s="34" t="n">
        <f aca="false">SUMIFS('12.326ana'!$C:$C,'12.326ana'!$M:$M,redes!A3487)</f>
        <v>0</v>
      </c>
    </row>
    <row r="3488" customFormat="false" ht="14.4" hidden="true" customHeight="false" outlineLevel="0" collapsed="false">
      <c r="A3488" s="34" t="n">
        <v>58291270163</v>
      </c>
      <c r="B3488" s="34" t="s">
        <v>9134</v>
      </c>
      <c r="C3488" s="34" t="s">
        <v>77</v>
      </c>
      <c r="E3488" s="30" t="s">
        <v>9135</v>
      </c>
      <c r="F3488" s="34" t="n">
        <f aca="false">IFERROR(VLOOKUP($A3488,'319'!$B:$H,7,0),0)</f>
        <v>0</v>
      </c>
      <c r="G3488" s="34" t="n">
        <f aca="false">SUMIFS('12.326ana'!$C:$C,'12.326ana'!$M:$M,redes!A3488)</f>
        <v>0</v>
      </c>
    </row>
    <row r="3489" customFormat="false" ht="14.4" hidden="true" customHeight="false" outlineLevel="0" collapsed="false">
      <c r="A3489" s="34" t="n">
        <v>58304118149</v>
      </c>
      <c r="B3489" s="34" t="s">
        <v>9136</v>
      </c>
      <c r="C3489" s="34" t="s">
        <v>77</v>
      </c>
      <c r="E3489" s="30" t="s">
        <v>3902</v>
      </c>
      <c r="F3489" s="34" t="n">
        <f aca="false">IFERROR(VLOOKUP($A3489,'319'!$B:$H,7,0),0)</f>
        <v>0</v>
      </c>
      <c r="G3489" s="34" t="n">
        <f aca="false">SUMIFS('12.326ana'!$C:$C,'12.326ana'!$M:$M,redes!A3489)</f>
        <v>0</v>
      </c>
    </row>
    <row r="3490" customFormat="false" ht="14.4" hidden="true" customHeight="false" outlineLevel="0" collapsed="false">
      <c r="A3490" s="34" t="n">
        <v>58305637115</v>
      </c>
      <c r="B3490" s="34" t="s">
        <v>9137</v>
      </c>
      <c r="C3490" s="34" t="s">
        <v>77</v>
      </c>
      <c r="E3490" s="30" t="s">
        <v>9138</v>
      </c>
      <c r="F3490" s="34" t="n">
        <f aca="false">IFERROR(VLOOKUP($A3490,'319'!$B:$H,7,0),0)</f>
        <v>0</v>
      </c>
      <c r="G3490" s="34" t="n">
        <f aca="false">SUMIFS('12.326ana'!$C:$C,'12.326ana'!$M:$M,redes!A3490)</f>
        <v>0</v>
      </c>
    </row>
    <row r="3491" customFormat="false" ht="14.4" hidden="true" customHeight="false" outlineLevel="0" collapsed="false">
      <c r="A3491" s="34" t="n">
        <v>58309381115</v>
      </c>
      <c r="B3491" s="34" t="s">
        <v>9139</v>
      </c>
      <c r="C3491" s="34" t="s">
        <v>342</v>
      </c>
      <c r="E3491" s="30" t="s">
        <v>9140</v>
      </c>
      <c r="F3491" s="34" t="n">
        <f aca="false">IFERROR(VLOOKUP($A3491,'319'!$B:$H,7,0),0)</f>
        <v>0</v>
      </c>
      <c r="G3491" s="34" t="n">
        <f aca="false">SUMIFS('12.326ana'!$C:$C,'12.326ana'!$M:$M,redes!A3491)</f>
        <v>0</v>
      </c>
    </row>
    <row r="3492" customFormat="false" ht="14.4" hidden="true" customHeight="false" outlineLevel="0" collapsed="false">
      <c r="A3492" s="34" t="n">
        <v>58313710187</v>
      </c>
      <c r="B3492" s="34" t="s">
        <v>9141</v>
      </c>
      <c r="C3492" s="34" t="s">
        <v>77</v>
      </c>
      <c r="E3492" s="30" t="s">
        <v>9142</v>
      </c>
      <c r="F3492" s="34" t="n">
        <f aca="false">IFERROR(VLOOKUP($A3492,'319'!$B:$H,7,0),0)</f>
        <v>0</v>
      </c>
      <c r="G3492" s="34" t="n">
        <f aca="false">SUMIFS('12.326ana'!$C:$C,'12.326ana'!$M:$M,redes!A3492)</f>
        <v>0</v>
      </c>
    </row>
    <row r="3493" customFormat="false" ht="14.4" hidden="true" customHeight="false" outlineLevel="0" collapsed="false">
      <c r="A3493" s="34" t="n">
        <v>58317856100</v>
      </c>
      <c r="B3493" s="34" t="s">
        <v>9143</v>
      </c>
      <c r="C3493" s="34" t="s">
        <v>77</v>
      </c>
      <c r="E3493" s="30" t="s">
        <v>6435</v>
      </c>
      <c r="F3493" s="34" t="n">
        <f aca="false">IFERROR(VLOOKUP($A3493,'319'!$B:$H,7,0),0)</f>
        <v>0</v>
      </c>
      <c r="G3493" s="34" t="n">
        <f aca="false">SUMIFS('12.326ana'!$C:$C,'12.326ana'!$M:$M,redes!A3493)</f>
        <v>0</v>
      </c>
    </row>
    <row r="3494" customFormat="false" ht="14.4" hidden="true" customHeight="false" outlineLevel="0" collapsed="false">
      <c r="A3494" s="34" t="n">
        <v>58320253187</v>
      </c>
      <c r="B3494" s="34" t="s">
        <v>9144</v>
      </c>
      <c r="C3494" s="34" t="s">
        <v>77</v>
      </c>
      <c r="E3494" s="30" t="s">
        <v>9145</v>
      </c>
      <c r="F3494" s="34" t="n">
        <f aca="false">IFERROR(VLOOKUP($A3494,'319'!$B:$H,7,0),0)</f>
        <v>0</v>
      </c>
      <c r="G3494" s="34" t="n">
        <f aca="false">SUMIFS('12.326ana'!$C:$C,'12.326ana'!$M:$M,redes!A3494)</f>
        <v>0</v>
      </c>
    </row>
    <row r="3495" customFormat="false" ht="14.4" hidden="true" customHeight="false" outlineLevel="0" collapsed="false">
      <c r="A3495" s="34" t="n">
        <v>58320300959</v>
      </c>
      <c r="B3495" s="34" t="s">
        <v>9146</v>
      </c>
      <c r="C3495" s="34" t="s">
        <v>77</v>
      </c>
      <c r="E3495" s="30" t="s">
        <v>4237</v>
      </c>
      <c r="F3495" s="34" t="n">
        <f aca="false">IFERROR(VLOOKUP($A3495,'319'!$B:$H,7,0),0)</f>
        <v>0</v>
      </c>
      <c r="G3495" s="34" t="n">
        <f aca="false">SUMIFS('12.326ana'!$C:$C,'12.326ana'!$M:$M,redes!A3495)</f>
        <v>0</v>
      </c>
    </row>
    <row r="3496" customFormat="false" ht="14.4" hidden="true" customHeight="false" outlineLevel="0" collapsed="false">
      <c r="A3496" s="34" t="n">
        <v>58324739149</v>
      </c>
      <c r="B3496" s="34" t="s">
        <v>9147</v>
      </c>
      <c r="C3496" s="34" t="s">
        <v>713</v>
      </c>
      <c r="E3496" s="30"/>
      <c r="F3496" s="34" t="n">
        <f aca="false">IFERROR(VLOOKUP($A3496,'319'!$B:$H,7,0),0)</f>
        <v>0</v>
      </c>
      <c r="G3496" s="34" t="n">
        <f aca="false">SUMIFS('12.326ana'!$C:$C,'12.326ana'!$M:$M,redes!A3496)</f>
        <v>0</v>
      </c>
    </row>
    <row r="3497" customFormat="false" ht="14.4" hidden="true" customHeight="false" outlineLevel="0" collapsed="false">
      <c r="A3497" s="34" t="n">
        <v>58327533134</v>
      </c>
      <c r="B3497" s="34" t="s">
        <v>9148</v>
      </c>
      <c r="C3497" s="34" t="s">
        <v>77</v>
      </c>
      <c r="E3497" s="30" t="s">
        <v>9149</v>
      </c>
      <c r="F3497" s="34" t="n">
        <f aca="false">IFERROR(VLOOKUP($A3497,'319'!$B:$H,7,0),0)</f>
        <v>0</v>
      </c>
      <c r="G3497" s="34" t="n">
        <f aca="false">SUMIFS('12.326ana'!$C:$C,'12.326ana'!$M:$M,redes!A3497)</f>
        <v>0</v>
      </c>
    </row>
    <row r="3498" customFormat="false" ht="14.4" hidden="true" customHeight="false" outlineLevel="0" collapsed="false">
      <c r="A3498" s="34" t="n">
        <v>58332723191</v>
      </c>
      <c r="B3498" s="34" t="s">
        <v>9150</v>
      </c>
      <c r="C3498" s="34" t="s">
        <v>77</v>
      </c>
      <c r="E3498" s="30" t="s">
        <v>9151</v>
      </c>
      <c r="F3498" s="34" t="n">
        <f aca="false">IFERROR(VLOOKUP($A3498,'319'!$B:$H,7,0),0)</f>
        <v>0</v>
      </c>
      <c r="G3498" s="34" t="n">
        <f aca="false">SUMIFS('12.326ana'!$C:$C,'12.326ana'!$M:$M,redes!A3498)</f>
        <v>0</v>
      </c>
    </row>
    <row r="3499" customFormat="false" ht="14.4" hidden="true" customHeight="false" outlineLevel="0" collapsed="false">
      <c r="A3499" s="34" t="n">
        <v>58334700130</v>
      </c>
      <c r="B3499" s="34" t="s">
        <v>9152</v>
      </c>
      <c r="C3499" s="34" t="s">
        <v>77</v>
      </c>
      <c r="E3499" s="30" t="s">
        <v>9153</v>
      </c>
      <c r="F3499" s="34" t="n">
        <f aca="false">IFERROR(VLOOKUP($A3499,'319'!$B:$H,7,0),0)</f>
        <v>0</v>
      </c>
      <c r="G3499" s="34" t="n">
        <f aca="false">SUMIFS('12.326ana'!$C:$C,'12.326ana'!$M:$M,redes!A3499)</f>
        <v>0</v>
      </c>
    </row>
    <row r="3500" customFormat="false" ht="14.4" hidden="true" customHeight="false" outlineLevel="0" collapsed="false">
      <c r="A3500" s="34" t="n">
        <v>58340254120</v>
      </c>
      <c r="B3500" s="34" t="s">
        <v>9154</v>
      </c>
      <c r="C3500" s="34" t="s">
        <v>1272</v>
      </c>
      <c r="E3500" s="30" t="s">
        <v>9155</v>
      </c>
      <c r="F3500" s="34" t="n">
        <f aca="false">IFERROR(VLOOKUP($A3500,'319'!$B:$H,7,0),0)</f>
        <v>0</v>
      </c>
      <c r="G3500" s="34" t="n">
        <f aca="false">SUMIFS('12.326ana'!$C:$C,'12.326ana'!$M:$M,redes!A3500)</f>
        <v>0</v>
      </c>
    </row>
    <row r="3501" customFormat="false" ht="14.4" hidden="true" customHeight="false" outlineLevel="0" collapsed="false">
      <c r="A3501" s="34" t="n">
        <v>58350888172</v>
      </c>
      <c r="B3501" s="34" t="s">
        <v>9156</v>
      </c>
      <c r="C3501" s="34" t="s">
        <v>463</v>
      </c>
      <c r="E3501" s="30" t="s">
        <v>4552</v>
      </c>
      <c r="F3501" s="34" t="n">
        <f aca="false">IFERROR(VLOOKUP($A3501,'319'!$B:$H,7,0),0)</f>
        <v>0</v>
      </c>
      <c r="G3501" s="34" t="n">
        <f aca="false">SUMIFS('12.326ana'!$C:$C,'12.326ana'!$M:$M,redes!A3501)</f>
        <v>0</v>
      </c>
    </row>
    <row r="3502" customFormat="false" ht="14.4" hidden="true" customHeight="false" outlineLevel="0" collapsed="false">
      <c r="A3502" s="34" t="n">
        <v>58354417115</v>
      </c>
      <c r="B3502" s="34" t="s">
        <v>9157</v>
      </c>
      <c r="C3502" s="34" t="s">
        <v>1054</v>
      </c>
      <c r="E3502" s="30" t="s">
        <v>9158</v>
      </c>
      <c r="F3502" s="34" t="n">
        <f aca="false">IFERROR(VLOOKUP($A3502,'319'!$B:$H,7,0),0)</f>
        <v>0</v>
      </c>
      <c r="G3502" s="34" t="n">
        <f aca="false">SUMIFS('12.326ana'!$C:$C,'12.326ana'!$M:$M,redes!A3502)</f>
        <v>0</v>
      </c>
    </row>
    <row r="3503" customFormat="false" ht="14.4" hidden="true" customHeight="false" outlineLevel="0" collapsed="false">
      <c r="A3503" s="34" t="n">
        <v>58355685172</v>
      </c>
      <c r="B3503" s="34" t="s">
        <v>9159</v>
      </c>
      <c r="C3503" s="34" t="s">
        <v>6278</v>
      </c>
      <c r="E3503" s="30" t="s">
        <v>9160</v>
      </c>
      <c r="F3503" s="34" t="n">
        <f aca="false">IFERROR(VLOOKUP($A3503,'319'!$B:$H,7,0),0)</f>
        <v>0</v>
      </c>
      <c r="G3503" s="34" t="n">
        <f aca="false">SUMIFS('12.326ana'!$C:$C,'12.326ana'!$M:$M,redes!A3503)</f>
        <v>0</v>
      </c>
    </row>
    <row r="3504" customFormat="false" ht="14.4" hidden="true" customHeight="false" outlineLevel="0" collapsed="false">
      <c r="A3504" s="34" t="n">
        <v>58359729115</v>
      </c>
      <c r="B3504" s="34" t="s">
        <v>9161</v>
      </c>
      <c r="C3504" s="34" t="s">
        <v>77</v>
      </c>
      <c r="E3504" s="30" t="s">
        <v>9162</v>
      </c>
      <c r="F3504" s="34" t="n">
        <f aca="false">IFERROR(VLOOKUP($A3504,'319'!$B:$H,7,0),0)</f>
        <v>0</v>
      </c>
      <c r="G3504" s="34" t="n">
        <f aca="false">SUMIFS('12.326ana'!$C:$C,'12.326ana'!$M:$M,redes!A3504)</f>
        <v>0</v>
      </c>
    </row>
    <row r="3505" customFormat="false" ht="14.4" hidden="true" customHeight="false" outlineLevel="0" collapsed="false">
      <c r="A3505" s="34" t="n">
        <v>58360638187</v>
      </c>
      <c r="B3505" s="34" t="s">
        <v>9163</v>
      </c>
      <c r="C3505" s="34" t="s">
        <v>1306</v>
      </c>
      <c r="E3505" s="30" t="s">
        <v>9164</v>
      </c>
      <c r="F3505" s="34" t="n">
        <f aca="false">IFERROR(VLOOKUP($A3505,'319'!$B:$H,7,0),0)</f>
        <v>0</v>
      </c>
      <c r="G3505" s="34" t="n">
        <f aca="false">SUMIFS('12.326ana'!$C:$C,'12.326ana'!$M:$M,redes!A3505)</f>
        <v>0</v>
      </c>
    </row>
    <row r="3506" customFormat="false" ht="14.4" hidden="true" customHeight="false" outlineLevel="0" collapsed="false">
      <c r="A3506" s="34" t="n">
        <v>58913033968</v>
      </c>
      <c r="B3506" s="34" t="s">
        <v>9165</v>
      </c>
      <c r="C3506" s="34" t="s">
        <v>1272</v>
      </c>
      <c r="E3506" s="30" t="s">
        <v>9166</v>
      </c>
      <c r="F3506" s="34" t="n">
        <f aca="false">IFERROR(VLOOKUP($A3506,'319'!$B:$H,7,0),0)</f>
        <v>0</v>
      </c>
      <c r="G3506" s="34" t="n">
        <f aca="false">SUMIFS('12.326ana'!$C:$C,'12.326ana'!$M:$M,redes!A3506)</f>
        <v>0</v>
      </c>
    </row>
    <row r="3507" customFormat="false" ht="14.4" hidden="true" customHeight="false" outlineLevel="0" collapsed="false">
      <c r="A3507" s="34" t="n">
        <v>58980000183</v>
      </c>
      <c r="B3507" s="34" t="s">
        <v>9167</v>
      </c>
      <c r="C3507" s="34" t="s">
        <v>565</v>
      </c>
      <c r="E3507" s="30" t="s">
        <v>9168</v>
      </c>
      <c r="F3507" s="34" t="n">
        <f aca="false">IFERROR(VLOOKUP($A3507,'319'!$B:$H,7,0),0)</f>
        <v>0</v>
      </c>
      <c r="G3507" s="34" t="n">
        <f aca="false">SUMIFS('12.326ana'!$C:$C,'12.326ana'!$M:$M,redes!A3507)</f>
        <v>0</v>
      </c>
    </row>
    <row r="3508" customFormat="false" ht="14.4" hidden="true" customHeight="false" outlineLevel="0" collapsed="false">
      <c r="A3508" s="34" t="n">
        <v>59033592991</v>
      </c>
      <c r="B3508" s="34" t="s">
        <v>9169</v>
      </c>
      <c r="C3508" s="34" t="s">
        <v>77</v>
      </c>
      <c r="E3508" s="30" t="s">
        <v>3505</v>
      </c>
      <c r="F3508" s="34" t="n">
        <f aca="false">IFERROR(VLOOKUP($A3508,'319'!$B:$H,7,0),0)</f>
        <v>0</v>
      </c>
      <c r="G3508" s="34" t="n">
        <f aca="false">SUMIFS('12.326ana'!$C:$C,'12.326ana'!$M:$M,redes!A3508)</f>
        <v>0</v>
      </c>
    </row>
    <row r="3509" customFormat="false" ht="14.4" hidden="true" customHeight="false" outlineLevel="0" collapsed="false">
      <c r="A3509" s="34" t="n">
        <v>59037172504</v>
      </c>
      <c r="B3509" s="34" t="s">
        <v>9170</v>
      </c>
      <c r="C3509" s="34" t="s">
        <v>77</v>
      </c>
      <c r="E3509" s="30" t="s">
        <v>9171</v>
      </c>
      <c r="F3509" s="34" t="n">
        <f aca="false">IFERROR(VLOOKUP($A3509,'319'!$B:$H,7,0),0)</f>
        <v>0</v>
      </c>
      <c r="G3509" s="34" t="n">
        <f aca="false">SUMIFS('12.326ana'!$C:$C,'12.326ana'!$M:$M,redes!A3509)</f>
        <v>0</v>
      </c>
    </row>
    <row r="3510" customFormat="false" ht="14.4" hidden="true" customHeight="false" outlineLevel="0" collapsed="false">
      <c r="A3510" s="34" t="n">
        <v>59099712987</v>
      </c>
      <c r="B3510" s="34" t="s">
        <v>9172</v>
      </c>
      <c r="C3510" s="34" t="s">
        <v>77</v>
      </c>
      <c r="E3510" s="30" t="s">
        <v>9172</v>
      </c>
      <c r="F3510" s="34" t="n">
        <f aca="false">IFERROR(VLOOKUP($A3510,'319'!$B:$H,7,0),0)</f>
        <v>0</v>
      </c>
      <c r="G3510" s="34" t="n">
        <f aca="false">SUMIFS('12.326ana'!$C:$C,'12.326ana'!$M:$M,redes!A3510)</f>
        <v>0</v>
      </c>
    </row>
    <row r="3511" customFormat="false" ht="14.4" hidden="true" customHeight="false" outlineLevel="0" collapsed="false">
      <c r="A3511" s="34" t="n">
        <v>59201533004</v>
      </c>
      <c r="B3511" s="34" t="s">
        <v>9173</v>
      </c>
      <c r="C3511" s="34" t="s">
        <v>979</v>
      </c>
      <c r="E3511" s="30" t="s">
        <v>9174</v>
      </c>
      <c r="F3511" s="34" t="n">
        <f aca="false">IFERROR(VLOOKUP($A3511,'319'!$B:$H,7,0),0)</f>
        <v>0</v>
      </c>
      <c r="G3511" s="34" t="n">
        <f aca="false">SUMIFS('12.326ana'!$C:$C,'12.326ana'!$M:$M,redes!A3511)</f>
        <v>0</v>
      </c>
    </row>
    <row r="3512" customFormat="false" ht="14.4" hidden="true" customHeight="false" outlineLevel="0" collapsed="false">
      <c r="A3512" s="34" t="n">
        <v>59245123120</v>
      </c>
      <c r="B3512" s="34" t="s">
        <v>9175</v>
      </c>
      <c r="C3512" s="34" t="s">
        <v>77</v>
      </c>
      <c r="E3512" s="30" t="s">
        <v>5436</v>
      </c>
      <c r="F3512" s="34" t="n">
        <f aca="false">IFERROR(VLOOKUP($A3512,'319'!$B:$H,7,0),0)</f>
        <v>0</v>
      </c>
      <c r="G3512" s="34" t="n">
        <f aca="false">SUMIFS('12.326ana'!$C:$C,'12.326ana'!$M:$M,redes!A3512)</f>
        <v>0</v>
      </c>
    </row>
    <row r="3513" customFormat="false" ht="14.4" hidden="true" customHeight="false" outlineLevel="0" collapsed="false">
      <c r="A3513" s="34" t="n">
        <v>59245123200</v>
      </c>
      <c r="B3513" s="34" t="s">
        <v>9176</v>
      </c>
      <c r="C3513" s="34" t="s">
        <v>77</v>
      </c>
      <c r="E3513" s="30" t="s">
        <v>5436</v>
      </c>
      <c r="F3513" s="34" t="n">
        <f aca="false">IFERROR(VLOOKUP($A3513,'319'!$B:$H,7,0),0)</f>
        <v>0</v>
      </c>
      <c r="G3513" s="34" t="n">
        <f aca="false">SUMIFS('12.326ana'!$C:$C,'12.326ana'!$M:$M,redes!A3513)</f>
        <v>0</v>
      </c>
    </row>
    <row r="3514" customFormat="false" ht="14.4" hidden="true" customHeight="false" outlineLevel="0" collapsed="false">
      <c r="A3514" s="34" t="n">
        <v>59248114172</v>
      </c>
      <c r="B3514" s="34" t="s">
        <v>9177</v>
      </c>
      <c r="C3514" s="34" t="s">
        <v>77</v>
      </c>
      <c r="E3514" s="30" t="s">
        <v>9178</v>
      </c>
      <c r="F3514" s="34" t="n">
        <f aca="false">IFERROR(VLOOKUP($A3514,'319'!$B:$H,7,0),0)</f>
        <v>0</v>
      </c>
      <c r="G3514" s="34" t="n">
        <f aca="false">SUMIFS('12.326ana'!$C:$C,'12.326ana'!$M:$M,redes!A3514)</f>
        <v>0</v>
      </c>
    </row>
    <row r="3515" customFormat="false" ht="14.4" hidden="true" customHeight="false" outlineLevel="0" collapsed="false">
      <c r="A3515" s="34" t="n">
        <v>59249668104</v>
      </c>
      <c r="B3515" s="34" t="s">
        <v>9179</v>
      </c>
      <c r="C3515" s="34" t="s">
        <v>475</v>
      </c>
      <c r="E3515" s="30" t="s">
        <v>8377</v>
      </c>
      <c r="F3515" s="34" t="n">
        <f aca="false">IFERROR(VLOOKUP($A3515,'319'!$B:$H,7,0),0)</f>
        <v>0</v>
      </c>
      <c r="G3515" s="34" t="n">
        <f aca="false">SUMIFS('12.326ana'!$C:$C,'12.326ana'!$M:$M,redes!A3515)</f>
        <v>0</v>
      </c>
    </row>
    <row r="3516" customFormat="false" ht="14.4" hidden="true" customHeight="false" outlineLevel="0" collapsed="false">
      <c r="A3516" s="34" t="n">
        <v>59253096187</v>
      </c>
      <c r="B3516" s="34" t="s">
        <v>9180</v>
      </c>
      <c r="C3516" s="34" t="s">
        <v>117</v>
      </c>
      <c r="E3516" s="30" t="s">
        <v>9181</v>
      </c>
      <c r="F3516" s="34" t="n">
        <f aca="false">IFERROR(VLOOKUP($A3516,'319'!$B:$H,7,0),0)</f>
        <v>0</v>
      </c>
      <c r="G3516" s="34" t="n">
        <f aca="false">SUMIFS('12.326ana'!$C:$C,'12.326ana'!$M:$M,redes!A3516)</f>
        <v>0</v>
      </c>
    </row>
    <row r="3517" customFormat="false" ht="14.4" hidden="true" customHeight="false" outlineLevel="0" collapsed="false">
      <c r="A3517" s="34" t="n">
        <v>59273364187</v>
      </c>
      <c r="B3517" s="34" t="s">
        <v>9182</v>
      </c>
      <c r="C3517" s="34" t="s">
        <v>1272</v>
      </c>
      <c r="E3517" s="30" t="s">
        <v>9183</v>
      </c>
      <c r="F3517" s="34" t="n">
        <f aca="false">IFERROR(VLOOKUP($A3517,'319'!$B:$H,7,0),0)</f>
        <v>0</v>
      </c>
      <c r="G3517" s="34" t="n">
        <f aca="false">SUMIFS('12.326ana'!$C:$C,'12.326ana'!$M:$M,redes!A3517)</f>
        <v>0</v>
      </c>
    </row>
    <row r="3518" customFormat="false" ht="14.4" hidden="true" customHeight="false" outlineLevel="0" collapsed="false">
      <c r="A3518" s="34" t="n">
        <v>59461578091</v>
      </c>
      <c r="B3518" s="34" t="s">
        <v>9184</v>
      </c>
      <c r="C3518" s="34" t="s">
        <v>77</v>
      </c>
      <c r="E3518" s="30"/>
      <c r="F3518" s="34" t="n">
        <f aca="false">IFERROR(VLOOKUP($A3518,'319'!$B:$H,7,0),0)</f>
        <v>0</v>
      </c>
      <c r="G3518" s="34" t="n">
        <f aca="false">SUMIFS('12.326ana'!$C:$C,'12.326ana'!$M:$M,redes!A3518)</f>
        <v>0</v>
      </c>
    </row>
    <row r="3519" customFormat="false" ht="14.4" hidden="true" customHeight="false" outlineLevel="0" collapsed="false">
      <c r="A3519" s="34" t="n">
        <v>59508175168</v>
      </c>
      <c r="B3519" s="34" t="s">
        <v>9185</v>
      </c>
      <c r="C3519" s="34" t="s">
        <v>77</v>
      </c>
      <c r="E3519" s="30" t="s">
        <v>9186</v>
      </c>
      <c r="F3519" s="34" t="n">
        <f aca="false">IFERROR(VLOOKUP($A3519,'319'!$B:$H,7,0),0)</f>
        <v>0</v>
      </c>
      <c r="G3519" s="34" t="n">
        <f aca="false">SUMIFS('12.326ana'!$C:$C,'12.326ana'!$M:$M,redes!A3519)</f>
        <v>0</v>
      </c>
    </row>
    <row r="3520" customFormat="false" ht="14.4" hidden="true" customHeight="false" outlineLevel="0" collapsed="false">
      <c r="A3520" s="34" t="n">
        <v>59509228168</v>
      </c>
      <c r="B3520" s="34" t="s">
        <v>9187</v>
      </c>
      <c r="C3520" s="34" t="s">
        <v>77</v>
      </c>
      <c r="E3520" s="30" t="s">
        <v>9188</v>
      </c>
      <c r="F3520" s="34" t="n">
        <f aca="false">IFERROR(VLOOKUP($A3520,'319'!$B:$H,7,0),0)</f>
        <v>0</v>
      </c>
      <c r="G3520" s="34" t="n">
        <f aca="false">SUMIFS('12.326ana'!$C:$C,'12.326ana'!$M:$M,redes!A3520)</f>
        <v>0</v>
      </c>
    </row>
    <row r="3521" customFormat="false" ht="14.4" hidden="true" customHeight="false" outlineLevel="0" collapsed="false">
      <c r="A3521" s="34" t="n">
        <v>59519258191</v>
      </c>
      <c r="B3521" s="34" t="s">
        <v>9189</v>
      </c>
      <c r="C3521" s="34" t="s">
        <v>107</v>
      </c>
      <c r="E3521" s="30" t="s">
        <v>9190</v>
      </c>
      <c r="F3521" s="34" t="n">
        <f aca="false">IFERROR(VLOOKUP($A3521,'319'!$B:$H,7,0),0)</f>
        <v>0</v>
      </c>
      <c r="G3521" s="34" t="n">
        <f aca="false">SUMIFS('12.326ana'!$C:$C,'12.326ana'!$M:$M,redes!A3521)</f>
        <v>0</v>
      </c>
    </row>
    <row r="3522" customFormat="false" ht="14.4" hidden="true" customHeight="false" outlineLevel="0" collapsed="false">
      <c r="A3522" s="34" t="n">
        <v>59520027149</v>
      </c>
      <c r="B3522" s="34" t="s">
        <v>9191</v>
      </c>
      <c r="C3522" s="34" t="s">
        <v>107</v>
      </c>
      <c r="E3522" s="30" t="s">
        <v>9192</v>
      </c>
      <c r="F3522" s="34" t="n">
        <f aca="false">IFERROR(VLOOKUP($A3522,'319'!$B:$H,7,0),0)</f>
        <v>0</v>
      </c>
      <c r="G3522" s="34" t="n">
        <f aca="false">SUMIFS('12.326ana'!$C:$C,'12.326ana'!$M:$M,redes!A3522)</f>
        <v>0</v>
      </c>
    </row>
    <row r="3523" customFormat="false" ht="14.4" hidden="true" customHeight="false" outlineLevel="0" collapsed="false">
      <c r="A3523" s="34" t="n">
        <v>59529610106</v>
      </c>
      <c r="B3523" s="34" t="s">
        <v>9193</v>
      </c>
      <c r="C3523" s="34" t="s">
        <v>107</v>
      </c>
      <c r="E3523" s="30" t="s">
        <v>5514</v>
      </c>
      <c r="F3523" s="34" t="n">
        <f aca="false">IFERROR(VLOOKUP($A3523,'319'!$B:$H,7,0),0)</f>
        <v>0</v>
      </c>
      <c r="G3523" s="34" t="n">
        <f aca="false">SUMIFS('12.326ana'!$C:$C,'12.326ana'!$M:$M,redes!A3523)</f>
        <v>0</v>
      </c>
    </row>
    <row r="3524" customFormat="false" ht="14.4" hidden="true" customHeight="false" outlineLevel="0" collapsed="false">
      <c r="A3524" s="34" t="n">
        <v>59529946104</v>
      </c>
      <c r="B3524" s="34" t="s">
        <v>9194</v>
      </c>
      <c r="C3524" s="34" t="s">
        <v>962</v>
      </c>
      <c r="E3524" s="30" t="s">
        <v>9195</v>
      </c>
      <c r="F3524" s="34" t="n">
        <f aca="false">IFERROR(VLOOKUP($A3524,'319'!$B:$H,7,0),0)</f>
        <v>0</v>
      </c>
      <c r="G3524" s="34" t="n">
        <f aca="false">SUMIFS('12.326ana'!$C:$C,'12.326ana'!$M:$M,redes!A3524)</f>
        <v>0</v>
      </c>
    </row>
    <row r="3525" customFormat="false" ht="14.4" hidden="true" customHeight="false" outlineLevel="0" collapsed="false">
      <c r="A3525" s="34" t="n">
        <v>59535288172</v>
      </c>
      <c r="B3525" s="34" t="s">
        <v>9196</v>
      </c>
      <c r="C3525" s="34" t="s">
        <v>357</v>
      </c>
      <c r="E3525" s="30" t="s">
        <v>4276</v>
      </c>
      <c r="F3525" s="34" t="n">
        <f aca="false">IFERROR(VLOOKUP($A3525,'319'!$B:$H,7,0),0)</f>
        <v>0</v>
      </c>
      <c r="G3525" s="34" t="n">
        <f aca="false">SUMIFS('12.326ana'!$C:$C,'12.326ana'!$M:$M,redes!A3525)</f>
        <v>0</v>
      </c>
    </row>
    <row r="3526" customFormat="false" ht="14.4" hidden="true" customHeight="false" outlineLevel="0" collapsed="false">
      <c r="A3526" s="34" t="n">
        <v>59537116115</v>
      </c>
      <c r="B3526" s="34" t="s">
        <v>9197</v>
      </c>
      <c r="C3526" s="34" t="s">
        <v>342</v>
      </c>
      <c r="E3526" s="30" t="s">
        <v>9198</v>
      </c>
      <c r="F3526" s="34" t="n">
        <f aca="false">IFERROR(VLOOKUP($A3526,'319'!$B:$H,7,0),0)</f>
        <v>0</v>
      </c>
      <c r="G3526" s="34" t="n">
        <f aca="false">SUMIFS('12.326ana'!$C:$C,'12.326ana'!$M:$M,redes!A3526)</f>
        <v>0</v>
      </c>
    </row>
    <row r="3527" customFormat="false" ht="14.4" hidden="true" customHeight="false" outlineLevel="0" collapsed="false">
      <c r="A3527" s="34" t="n">
        <v>59539623120</v>
      </c>
      <c r="B3527" s="34" t="s">
        <v>9199</v>
      </c>
      <c r="C3527" s="34" t="s">
        <v>328</v>
      </c>
      <c r="E3527" s="30" t="s">
        <v>9200</v>
      </c>
      <c r="F3527" s="34" t="n">
        <f aca="false">IFERROR(VLOOKUP($A3527,'319'!$B:$H,7,0),0)</f>
        <v>0</v>
      </c>
      <c r="G3527" s="34" t="n">
        <f aca="false">SUMIFS('12.326ana'!$C:$C,'12.326ana'!$M:$M,redes!A3527)</f>
        <v>0</v>
      </c>
    </row>
    <row r="3528" customFormat="false" ht="14.4" hidden="true" customHeight="false" outlineLevel="0" collapsed="false">
      <c r="A3528" s="34" t="n">
        <v>59540354153</v>
      </c>
      <c r="B3528" s="34" t="s">
        <v>9201</v>
      </c>
      <c r="C3528" s="34" t="s">
        <v>1272</v>
      </c>
      <c r="E3528" s="30" t="s">
        <v>9202</v>
      </c>
      <c r="F3528" s="34" t="n">
        <f aca="false">IFERROR(VLOOKUP($A3528,'319'!$B:$H,7,0),0)</f>
        <v>0</v>
      </c>
      <c r="G3528" s="34" t="n">
        <f aca="false">SUMIFS('12.326ana'!$C:$C,'12.326ana'!$M:$M,redes!A3528)</f>
        <v>0</v>
      </c>
    </row>
    <row r="3529" customFormat="false" ht="14.4" hidden="true" customHeight="false" outlineLevel="0" collapsed="false">
      <c r="A3529" s="34" t="n">
        <v>59541245153</v>
      </c>
      <c r="B3529" s="34" t="s">
        <v>9203</v>
      </c>
      <c r="C3529" s="34" t="s">
        <v>631</v>
      </c>
      <c r="E3529" s="30" t="s">
        <v>9204</v>
      </c>
      <c r="F3529" s="34" t="n">
        <f aca="false">IFERROR(VLOOKUP($A3529,'319'!$B:$H,7,0),0)</f>
        <v>0</v>
      </c>
      <c r="G3529" s="34" t="n">
        <f aca="false">SUMIFS('12.326ana'!$C:$C,'12.326ana'!$M:$M,redes!A3529)</f>
        <v>0</v>
      </c>
    </row>
    <row r="3530" customFormat="false" ht="14.4" hidden="true" customHeight="false" outlineLevel="0" collapsed="false">
      <c r="A3530" s="34" t="n">
        <v>59546387134</v>
      </c>
      <c r="B3530" s="34" t="s">
        <v>9205</v>
      </c>
      <c r="C3530" s="34" t="s">
        <v>77</v>
      </c>
      <c r="E3530" s="30" t="s">
        <v>9206</v>
      </c>
      <c r="F3530" s="34" t="n">
        <f aca="false">IFERROR(VLOOKUP($A3530,'319'!$B:$H,7,0),0)</f>
        <v>0</v>
      </c>
      <c r="G3530" s="34" t="n">
        <f aca="false">SUMIFS('12.326ana'!$C:$C,'12.326ana'!$M:$M,redes!A3530)</f>
        <v>0</v>
      </c>
    </row>
    <row r="3531" customFormat="false" ht="14.4" hidden="true" customHeight="false" outlineLevel="0" collapsed="false">
      <c r="A3531" s="34" t="n">
        <v>59554746172</v>
      </c>
      <c r="B3531" s="34" t="s">
        <v>9207</v>
      </c>
      <c r="C3531" s="34" t="s">
        <v>77</v>
      </c>
      <c r="E3531" s="30" t="s">
        <v>6493</v>
      </c>
      <c r="F3531" s="34" t="n">
        <f aca="false">IFERROR(VLOOKUP($A3531,'319'!$B:$H,7,0),0)</f>
        <v>0</v>
      </c>
      <c r="G3531" s="34" t="n">
        <f aca="false">SUMIFS('12.326ana'!$C:$C,'12.326ana'!$M:$M,redes!A3531)</f>
        <v>0</v>
      </c>
    </row>
    <row r="3532" customFormat="false" ht="14.4" hidden="true" customHeight="false" outlineLevel="0" collapsed="false">
      <c r="A3532" s="34" t="n">
        <v>59554924100</v>
      </c>
      <c r="B3532" s="34" t="s">
        <v>9208</v>
      </c>
      <c r="C3532" s="34" t="s">
        <v>77</v>
      </c>
      <c r="E3532" s="30" t="s">
        <v>9209</v>
      </c>
      <c r="F3532" s="34" t="n">
        <f aca="false">IFERROR(VLOOKUP($A3532,'319'!$B:$H,7,0),0)</f>
        <v>0</v>
      </c>
      <c r="G3532" s="34" t="n">
        <f aca="false">SUMIFS('12.326ana'!$C:$C,'12.326ana'!$M:$M,redes!A3532)</f>
        <v>0</v>
      </c>
    </row>
    <row r="3533" customFormat="false" ht="14.4" hidden="true" customHeight="false" outlineLevel="0" collapsed="false">
      <c r="A3533" s="34" t="n">
        <v>59561866153</v>
      </c>
      <c r="B3533" s="34" t="s">
        <v>9210</v>
      </c>
      <c r="C3533" s="34" t="s">
        <v>77</v>
      </c>
      <c r="E3533" s="30" t="s">
        <v>9211</v>
      </c>
      <c r="F3533" s="34" t="n">
        <f aca="false">IFERROR(VLOOKUP($A3533,'319'!$B:$H,7,0),0)</f>
        <v>0</v>
      </c>
      <c r="G3533" s="34" t="n">
        <f aca="false">SUMIFS('12.326ana'!$C:$C,'12.326ana'!$M:$M,redes!A3533)</f>
        <v>0</v>
      </c>
    </row>
    <row r="3534" customFormat="false" ht="14.4" hidden="true" customHeight="false" outlineLevel="0" collapsed="false">
      <c r="A3534" s="34" t="n">
        <v>59562170144</v>
      </c>
      <c r="B3534" s="34" t="s">
        <v>9212</v>
      </c>
      <c r="C3534" s="34" t="s">
        <v>77</v>
      </c>
      <c r="E3534" s="30" t="s">
        <v>4453</v>
      </c>
      <c r="F3534" s="34" t="n">
        <f aca="false">IFERROR(VLOOKUP($A3534,'319'!$B:$H,7,0),0)</f>
        <v>0</v>
      </c>
      <c r="G3534" s="34" t="n">
        <f aca="false">SUMIFS('12.326ana'!$C:$C,'12.326ana'!$M:$M,redes!A3534)</f>
        <v>0</v>
      </c>
    </row>
    <row r="3535" customFormat="false" ht="14.4" hidden="true" customHeight="false" outlineLevel="0" collapsed="false">
      <c r="A3535" s="34" t="n">
        <v>59563354168</v>
      </c>
      <c r="B3535" s="34" t="s">
        <v>9213</v>
      </c>
      <c r="C3535" s="34" t="s">
        <v>77</v>
      </c>
      <c r="E3535" s="30" t="s">
        <v>9214</v>
      </c>
      <c r="F3535" s="34" t="n">
        <f aca="false">IFERROR(VLOOKUP($A3535,'319'!$B:$H,7,0),0)</f>
        <v>0</v>
      </c>
      <c r="G3535" s="34" t="n">
        <f aca="false">SUMIFS('12.326ana'!$C:$C,'12.326ana'!$M:$M,redes!A3535)</f>
        <v>0</v>
      </c>
    </row>
    <row r="3536" customFormat="false" ht="14.4" hidden="true" customHeight="false" outlineLevel="0" collapsed="false">
      <c r="A3536" s="34" t="n">
        <v>59568011153</v>
      </c>
      <c r="B3536" s="34" t="s">
        <v>9215</v>
      </c>
      <c r="C3536" s="34" t="s">
        <v>77</v>
      </c>
      <c r="E3536" s="30" t="s">
        <v>9216</v>
      </c>
      <c r="F3536" s="34" t="n">
        <f aca="false">IFERROR(VLOOKUP($A3536,'319'!$B:$H,7,0),0)</f>
        <v>0</v>
      </c>
      <c r="G3536" s="34" t="n">
        <f aca="false">SUMIFS('12.326ana'!$C:$C,'12.326ana'!$M:$M,redes!A3536)</f>
        <v>0</v>
      </c>
    </row>
    <row r="3537" customFormat="false" ht="14.4" hidden="true" customHeight="false" outlineLevel="0" collapsed="false">
      <c r="A3537" s="34" t="n">
        <v>59569530120</v>
      </c>
      <c r="B3537" s="34" t="s">
        <v>9217</v>
      </c>
      <c r="C3537" s="34" t="s">
        <v>77</v>
      </c>
      <c r="E3537" s="30" t="s">
        <v>9218</v>
      </c>
      <c r="F3537" s="34" t="n">
        <f aca="false">IFERROR(VLOOKUP($A3537,'319'!$B:$H,7,0),0)</f>
        <v>0</v>
      </c>
      <c r="G3537" s="34" t="n">
        <f aca="false">SUMIFS('12.326ana'!$C:$C,'12.326ana'!$M:$M,redes!A3537)</f>
        <v>0</v>
      </c>
    </row>
    <row r="3538" customFormat="false" ht="14.4" hidden="true" customHeight="false" outlineLevel="0" collapsed="false">
      <c r="A3538" s="34" t="n">
        <v>59572531115</v>
      </c>
      <c r="B3538" s="34" t="s">
        <v>9219</v>
      </c>
      <c r="C3538" s="34" t="s">
        <v>77</v>
      </c>
      <c r="E3538" s="30" t="s">
        <v>9219</v>
      </c>
      <c r="F3538" s="34" t="n">
        <f aca="false">IFERROR(VLOOKUP($A3538,'319'!$B:$H,7,0),0)</f>
        <v>0</v>
      </c>
      <c r="G3538" s="34" t="n">
        <f aca="false">SUMIFS('12.326ana'!$C:$C,'12.326ana'!$M:$M,redes!A3538)</f>
        <v>0</v>
      </c>
    </row>
    <row r="3539" customFormat="false" ht="14.4" hidden="true" customHeight="false" outlineLevel="0" collapsed="false">
      <c r="A3539" s="34" t="n">
        <v>59576278104</v>
      </c>
      <c r="B3539" s="34" t="s">
        <v>9220</v>
      </c>
      <c r="C3539" s="34" t="s">
        <v>77</v>
      </c>
      <c r="E3539" s="30" t="s">
        <v>9221</v>
      </c>
      <c r="F3539" s="34" t="n">
        <f aca="false">IFERROR(VLOOKUP($A3539,'319'!$B:$H,7,0),0)</f>
        <v>0</v>
      </c>
      <c r="G3539" s="34" t="n">
        <f aca="false">SUMIFS('12.326ana'!$C:$C,'12.326ana'!$M:$M,redes!A3539)</f>
        <v>0</v>
      </c>
    </row>
    <row r="3540" customFormat="false" ht="14.4" hidden="true" customHeight="false" outlineLevel="0" collapsed="false">
      <c r="A3540" s="34" t="n">
        <v>59576715172</v>
      </c>
      <c r="B3540" s="34" t="s">
        <v>9222</v>
      </c>
      <c r="C3540" s="34" t="s">
        <v>464</v>
      </c>
      <c r="E3540" s="30" t="s">
        <v>9223</v>
      </c>
      <c r="F3540" s="34" t="n">
        <f aca="false">IFERROR(VLOOKUP($A3540,'319'!$B:$H,7,0),0)</f>
        <v>0</v>
      </c>
      <c r="G3540" s="34" t="n">
        <f aca="false">SUMIFS('12.326ana'!$C:$C,'12.326ana'!$M:$M,redes!A3540)</f>
        <v>0</v>
      </c>
    </row>
    <row r="3541" customFormat="false" ht="14.4" hidden="true" customHeight="false" outlineLevel="0" collapsed="false">
      <c r="A3541" s="34" t="n">
        <v>59576928168</v>
      </c>
      <c r="B3541" s="34" t="s">
        <v>9224</v>
      </c>
      <c r="C3541" s="34" t="s">
        <v>464</v>
      </c>
      <c r="E3541" s="30" t="s">
        <v>9225</v>
      </c>
      <c r="F3541" s="34" t="n">
        <f aca="false">IFERROR(VLOOKUP($A3541,'319'!$B:$H,7,0),0)</f>
        <v>0</v>
      </c>
      <c r="G3541" s="34" t="n">
        <f aca="false">SUMIFS('12.326ana'!$C:$C,'12.326ana'!$M:$M,redes!A3541)</f>
        <v>0</v>
      </c>
    </row>
    <row r="3542" customFormat="false" ht="14.4" hidden="true" customHeight="false" outlineLevel="0" collapsed="false">
      <c r="A3542" s="34" t="n">
        <v>59581441115</v>
      </c>
      <c r="B3542" s="34" t="s">
        <v>9226</v>
      </c>
      <c r="C3542" s="34" t="s">
        <v>89</v>
      </c>
      <c r="E3542" s="30" t="s">
        <v>9227</v>
      </c>
      <c r="F3542" s="34" t="n">
        <f aca="false">IFERROR(VLOOKUP($A3542,'319'!$B:$H,7,0),0)</f>
        <v>0</v>
      </c>
      <c r="G3542" s="34" t="n">
        <f aca="false">SUMIFS('12.326ana'!$C:$C,'12.326ana'!$M:$M,redes!A3542)</f>
        <v>0</v>
      </c>
    </row>
    <row r="3543" customFormat="false" ht="14.4" hidden="true" customHeight="false" outlineLevel="0" collapsed="false">
      <c r="A3543" s="34" t="n">
        <v>59585854104</v>
      </c>
      <c r="B3543" s="34" t="s">
        <v>9228</v>
      </c>
      <c r="C3543" s="34" t="s">
        <v>89</v>
      </c>
      <c r="E3543" s="30" t="s">
        <v>9229</v>
      </c>
      <c r="F3543" s="34" t="n">
        <f aca="false">IFERROR(VLOOKUP($A3543,'319'!$B:$H,7,0),0)</f>
        <v>0</v>
      </c>
      <c r="G3543" s="34" t="n">
        <f aca="false">SUMIFS('12.326ana'!$C:$C,'12.326ana'!$M:$M,redes!A3543)</f>
        <v>0</v>
      </c>
    </row>
    <row r="3544" customFormat="false" ht="14.4" hidden="true" customHeight="false" outlineLevel="0" collapsed="false">
      <c r="A3544" s="34" t="n">
        <v>59586060187</v>
      </c>
      <c r="B3544" s="34" t="s">
        <v>9230</v>
      </c>
      <c r="C3544" s="34" t="s">
        <v>77</v>
      </c>
      <c r="E3544" s="30" t="s">
        <v>9231</v>
      </c>
      <c r="F3544" s="34" t="n">
        <f aca="false">IFERROR(VLOOKUP($A3544,'319'!$B:$H,7,0),0)</f>
        <v>0</v>
      </c>
      <c r="G3544" s="34" t="n">
        <f aca="false">SUMIFS('12.326ana'!$C:$C,'12.326ana'!$M:$M,redes!A3544)</f>
        <v>0</v>
      </c>
    </row>
    <row r="3545" customFormat="false" ht="14.4" hidden="true" customHeight="false" outlineLevel="0" collapsed="false">
      <c r="A3545" s="34" t="n">
        <v>59588276187</v>
      </c>
      <c r="B3545" s="34" t="s">
        <v>9232</v>
      </c>
      <c r="C3545" s="34" t="s">
        <v>107</v>
      </c>
      <c r="E3545" s="30" t="s">
        <v>9233</v>
      </c>
      <c r="F3545" s="34" t="n">
        <f aca="false">IFERROR(VLOOKUP($A3545,'319'!$B:$H,7,0),0)</f>
        <v>0</v>
      </c>
      <c r="G3545" s="34" t="n">
        <f aca="false">SUMIFS('12.326ana'!$C:$C,'12.326ana'!$M:$M,redes!A3545)</f>
        <v>0</v>
      </c>
    </row>
    <row r="3546" customFormat="false" ht="14.4" hidden="true" customHeight="false" outlineLevel="0" collapsed="false">
      <c r="A3546" s="34" t="n">
        <v>59591293100</v>
      </c>
      <c r="B3546" s="34" t="s">
        <v>9234</v>
      </c>
      <c r="C3546" s="34" t="s">
        <v>107</v>
      </c>
      <c r="E3546" s="30" t="s">
        <v>9235</v>
      </c>
      <c r="F3546" s="34" t="n">
        <f aca="false">IFERROR(VLOOKUP($A3546,'319'!$B:$H,7,0),0)</f>
        <v>0</v>
      </c>
      <c r="G3546" s="34" t="n">
        <f aca="false">SUMIFS('12.326ana'!$C:$C,'12.326ana'!$M:$M,redes!A3546)</f>
        <v>0</v>
      </c>
    </row>
    <row r="3547" customFormat="false" ht="14.4" hidden="true" customHeight="false" outlineLevel="0" collapsed="false">
      <c r="A3547" s="34" t="n">
        <v>59594624191</v>
      </c>
      <c r="B3547" s="34" t="s">
        <v>9236</v>
      </c>
      <c r="C3547" s="34" t="s">
        <v>594</v>
      </c>
      <c r="E3547" s="30" t="s">
        <v>9237</v>
      </c>
      <c r="F3547" s="34" t="n">
        <f aca="false">IFERROR(VLOOKUP($A3547,'319'!$B:$H,7,0),0)</f>
        <v>0</v>
      </c>
      <c r="G3547" s="34" t="n">
        <f aca="false">SUMIFS('12.326ana'!$C:$C,'12.326ana'!$M:$M,redes!A3547)</f>
        <v>0</v>
      </c>
    </row>
    <row r="3548" customFormat="false" ht="14.4" hidden="true" customHeight="false" outlineLevel="0" collapsed="false">
      <c r="A3548" s="34" t="n">
        <v>59604239104</v>
      </c>
      <c r="B3548" s="34" t="s">
        <v>9238</v>
      </c>
      <c r="C3548" s="34" t="s">
        <v>77</v>
      </c>
      <c r="E3548" s="30"/>
      <c r="F3548" s="34" t="n">
        <f aca="false">IFERROR(VLOOKUP($A3548,'319'!$B:$H,7,0),0)</f>
        <v>0</v>
      </c>
      <c r="G3548" s="34" t="n">
        <f aca="false">SUMIFS('12.326ana'!$C:$C,'12.326ana'!$M:$M,redes!A3548)</f>
        <v>0</v>
      </c>
    </row>
    <row r="3549" customFormat="false" ht="14.4" hidden="true" customHeight="false" outlineLevel="0" collapsed="false">
      <c r="A3549" s="34" t="n">
        <v>59615010006</v>
      </c>
      <c r="B3549" s="34" t="s">
        <v>9239</v>
      </c>
      <c r="C3549" s="34" t="s">
        <v>1602</v>
      </c>
      <c r="E3549" s="30" t="s">
        <v>9240</v>
      </c>
      <c r="F3549" s="34" t="n">
        <f aca="false">IFERROR(VLOOKUP($A3549,'319'!$B:$H,7,0),0)</f>
        <v>0</v>
      </c>
      <c r="G3549" s="34" t="n">
        <f aca="false">SUMIFS('12.326ana'!$C:$C,'12.326ana'!$M:$M,redes!A3549)</f>
        <v>0</v>
      </c>
    </row>
    <row r="3550" customFormat="false" ht="14.4" hidden="true" customHeight="false" outlineLevel="0" collapsed="false">
      <c r="A3550" s="34" t="n">
        <v>59616059149</v>
      </c>
      <c r="B3550" s="34" t="s">
        <v>9241</v>
      </c>
      <c r="C3550" s="34" t="s">
        <v>77</v>
      </c>
      <c r="D3550" s="34" t="s">
        <v>5602</v>
      </c>
      <c r="E3550" s="30" t="s">
        <v>9242</v>
      </c>
      <c r="F3550" s="34" t="n">
        <f aca="false">IFERROR(VLOOKUP($A3550,'319'!$B:$H,7,0),0)</f>
        <v>0</v>
      </c>
      <c r="G3550" s="34" t="n">
        <f aca="false">SUMIFS('12.326ana'!$C:$C,'12.326ana'!$M:$M,redes!A3550)</f>
        <v>0</v>
      </c>
    </row>
    <row r="3551" customFormat="false" ht="14.4" hidden="true" customHeight="false" outlineLevel="0" collapsed="false">
      <c r="A3551" s="34" t="n">
        <v>59620650182</v>
      </c>
      <c r="B3551" s="34" t="s">
        <v>9243</v>
      </c>
      <c r="C3551" s="34" t="s">
        <v>77</v>
      </c>
      <c r="E3551" s="30" t="s">
        <v>9244</v>
      </c>
      <c r="F3551" s="34" t="n">
        <f aca="false">IFERROR(VLOOKUP($A3551,'319'!$B:$H,7,0),0)</f>
        <v>0</v>
      </c>
      <c r="G3551" s="34" t="n">
        <f aca="false">SUMIFS('12.326ana'!$C:$C,'12.326ana'!$M:$M,redes!A3551)</f>
        <v>0</v>
      </c>
    </row>
    <row r="3552" customFormat="false" ht="14.4" hidden="true" customHeight="false" outlineLevel="0" collapsed="false">
      <c r="A3552" s="34" t="n">
        <v>59621818168</v>
      </c>
      <c r="B3552" s="34" t="s">
        <v>9245</v>
      </c>
      <c r="C3552" s="34" t="s">
        <v>77</v>
      </c>
      <c r="E3552" s="30" t="s">
        <v>9246</v>
      </c>
      <c r="F3552" s="34" t="n">
        <f aca="false">IFERROR(VLOOKUP($A3552,'319'!$B:$H,7,0),0)</f>
        <v>0</v>
      </c>
      <c r="G3552" s="34" t="n">
        <f aca="false">SUMIFS('12.326ana'!$C:$C,'12.326ana'!$M:$M,redes!A3552)</f>
        <v>0</v>
      </c>
    </row>
    <row r="3553" customFormat="false" ht="14.4" hidden="true" customHeight="false" outlineLevel="0" collapsed="false">
      <c r="A3553" s="34" t="n">
        <v>59624671168</v>
      </c>
      <c r="B3553" s="34" t="s">
        <v>9247</v>
      </c>
      <c r="C3553" s="34" t="s">
        <v>77</v>
      </c>
      <c r="E3553" s="30" t="s">
        <v>9248</v>
      </c>
      <c r="F3553" s="34" t="n">
        <f aca="false">IFERROR(VLOOKUP($A3553,'319'!$B:$H,7,0),0)</f>
        <v>0</v>
      </c>
      <c r="G3553" s="34" t="n">
        <f aca="false">SUMIFS('12.326ana'!$C:$C,'12.326ana'!$M:$M,redes!A3553)</f>
        <v>0</v>
      </c>
    </row>
    <row r="3554" customFormat="false" ht="14.4" hidden="true" customHeight="false" outlineLevel="0" collapsed="false">
      <c r="A3554" s="34" t="n">
        <v>59630132168</v>
      </c>
      <c r="B3554" s="34" t="s">
        <v>9249</v>
      </c>
      <c r="C3554" s="34" t="s">
        <v>77</v>
      </c>
      <c r="E3554" s="30" t="s">
        <v>3194</v>
      </c>
      <c r="F3554" s="34" t="n">
        <f aca="false">IFERROR(VLOOKUP($A3554,'319'!$B:$H,7,0),0)</f>
        <v>0</v>
      </c>
      <c r="G3554" s="34" t="n">
        <f aca="false">SUMIFS('12.326ana'!$C:$C,'12.326ana'!$M:$M,redes!A3554)</f>
        <v>0</v>
      </c>
    </row>
    <row r="3555" customFormat="false" ht="14.4" hidden="true" customHeight="false" outlineLevel="0" collapsed="false">
      <c r="A3555" s="34" t="n">
        <v>59631295168</v>
      </c>
      <c r="B3555" s="34" t="s">
        <v>9250</v>
      </c>
      <c r="C3555" s="34" t="s">
        <v>107</v>
      </c>
      <c r="E3555" s="30" t="s">
        <v>9251</v>
      </c>
      <c r="F3555" s="34" t="n">
        <f aca="false">IFERROR(VLOOKUP($A3555,'319'!$B:$H,7,0),0)</f>
        <v>0</v>
      </c>
      <c r="G3555" s="34" t="n">
        <f aca="false">SUMIFS('12.326ana'!$C:$C,'12.326ana'!$M:$M,redes!A3555)</f>
        <v>0</v>
      </c>
    </row>
    <row r="3556" customFormat="false" ht="14.4" hidden="true" customHeight="false" outlineLevel="0" collapsed="false">
      <c r="A3556" s="34" t="n">
        <v>59694475449</v>
      </c>
      <c r="B3556" s="34" t="s">
        <v>9252</v>
      </c>
      <c r="C3556" s="34" t="s">
        <v>77</v>
      </c>
      <c r="E3556" s="30" t="s">
        <v>9253</v>
      </c>
      <c r="F3556" s="34" t="n">
        <f aca="false">IFERROR(VLOOKUP($A3556,'319'!$B:$H,7,0),0)</f>
        <v>0</v>
      </c>
      <c r="G3556" s="34" t="n">
        <f aca="false">SUMIFS('12.326ana'!$C:$C,'12.326ana'!$M:$M,redes!A3556)</f>
        <v>0</v>
      </c>
    </row>
    <row r="3557" customFormat="false" ht="14.4" hidden="true" customHeight="false" outlineLevel="0" collapsed="false">
      <c r="A3557" s="34" t="n">
        <v>59848278915</v>
      </c>
      <c r="B3557" s="34" t="s">
        <v>9254</v>
      </c>
      <c r="C3557" s="34" t="s">
        <v>77</v>
      </c>
      <c r="E3557" s="30"/>
      <c r="F3557" s="34" t="n">
        <f aca="false">IFERROR(VLOOKUP($A3557,'319'!$B:$H,7,0),0)</f>
        <v>0</v>
      </c>
      <c r="G3557" s="34" t="n">
        <f aca="false">SUMIFS('12.326ana'!$C:$C,'12.326ana'!$M:$M,redes!A3557)</f>
        <v>0</v>
      </c>
    </row>
    <row r="3558" customFormat="false" ht="14.4" hidden="true" customHeight="false" outlineLevel="0" collapsed="false">
      <c r="A3558" s="34" t="n">
        <v>59880198972</v>
      </c>
      <c r="B3558" s="34" t="s">
        <v>9255</v>
      </c>
      <c r="C3558" s="34" t="s">
        <v>77</v>
      </c>
      <c r="E3558" s="30" t="s">
        <v>9256</v>
      </c>
      <c r="F3558" s="34" t="n">
        <f aca="false">IFERROR(VLOOKUP($A3558,'319'!$B:$H,7,0),0)</f>
        <v>0</v>
      </c>
      <c r="G3558" s="34" t="n">
        <f aca="false">SUMIFS('12.326ana'!$C:$C,'12.326ana'!$M:$M,redes!A3558)</f>
        <v>0</v>
      </c>
    </row>
    <row r="3559" customFormat="false" ht="14.4" hidden="true" customHeight="false" outlineLevel="0" collapsed="false">
      <c r="A3559" s="34" t="n">
        <v>59958340968</v>
      </c>
      <c r="B3559" s="34" t="s">
        <v>9257</v>
      </c>
      <c r="C3559" s="34" t="s">
        <v>154</v>
      </c>
      <c r="E3559" s="30" t="s">
        <v>9258</v>
      </c>
      <c r="F3559" s="34" t="n">
        <f aca="false">IFERROR(VLOOKUP($A3559,'319'!$B:$H,7,0),0)</f>
        <v>0</v>
      </c>
      <c r="G3559" s="34" t="n">
        <f aca="false">SUMIFS('12.326ana'!$C:$C,'12.326ana'!$M:$M,redes!A3559)</f>
        <v>0</v>
      </c>
    </row>
    <row r="3560" customFormat="false" ht="14.4" hidden="true" customHeight="false" outlineLevel="0" collapsed="false">
      <c r="A3560" s="34" t="n">
        <v>59986557968</v>
      </c>
      <c r="B3560" s="34" t="s">
        <v>9259</v>
      </c>
      <c r="C3560" s="34" t="s">
        <v>309</v>
      </c>
      <c r="E3560" s="30" t="s">
        <v>9260</v>
      </c>
      <c r="F3560" s="34" t="n">
        <f aca="false">IFERROR(VLOOKUP($A3560,'319'!$B:$H,7,0),0)</f>
        <v>0</v>
      </c>
      <c r="G3560" s="34" t="n">
        <f aca="false">SUMIFS('12.326ana'!$C:$C,'12.326ana'!$M:$M,redes!A3560)</f>
        <v>0</v>
      </c>
    </row>
    <row r="3561" customFormat="false" ht="14.4" hidden="true" customHeight="false" outlineLevel="0" collapsed="false">
      <c r="A3561" s="34" t="n">
        <v>60035919191</v>
      </c>
      <c r="B3561" s="34" t="s">
        <v>9261</v>
      </c>
      <c r="C3561" s="34" t="s">
        <v>129</v>
      </c>
      <c r="E3561" s="30" t="s">
        <v>9262</v>
      </c>
      <c r="F3561" s="34" t="n">
        <f aca="false">IFERROR(VLOOKUP($A3561,'319'!$B:$H,7,0),0)</f>
        <v>0</v>
      </c>
      <c r="G3561" s="34" t="n">
        <f aca="false">SUMIFS('12.326ana'!$C:$C,'12.326ana'!$M:$M,redes!A3561)</f>
        <v>0</v>
      </c>
    </row>
    <row r="3562" customFormat="false" ht="14.4" hidden="true" customHeight="false" outlineLevel="0" collapsed="false">
      <c r="A3562" s="34" t="n">
        <v>60051973120</v>
      </c>
      <c r="B3562" s="34" t="s">
        <v>9263</v>
      </c>
      <c r="C3562" s="34" t="s">
        <v>994</v>
      </c>
      <c r="E3562" s="30" t="s">
        <v>6310</v>
      </c>
      <c r="F3562" s="34" t="n">
        <f aca="false">IFERROR(VLOOKUP($A3562,'319'!$B:$H,7,0),0)</f>
        <v>0</v>
      </c>
      <c r="G3562" s="34" t="n">
        <f aca="false">SUMIFS('12.326ana'!$C:$C,'12.326ana'!$M:$M,redes!A3562)</f>
        <v>0</v>
      </c>
    </row>
    <row r="3563" customFormat="false" ht="14.4" hidden="true" customHeight="false" outlineLevel="0" collapsed="false">
      <c r="A3563" s="34" t="n">
        <v>60052899187</v>
      </c>
      <c r="B3563" s="34" t="s">
        <v>9264</v>
      </c>
      <c r="C3563" s="34" t="s">
        <v>107</v>
      </c>
      <c r="E3563" s="30" t="s">
        <v>9265</v>
      </c>
      <c r="F3563" s="34" t="n">
        <f aca="false">IFERROR(VLOOKUP($A3563,'319'!$B:$H,7,0),0)</f>
        <v>0</v>
      </c>
      <c r="G3563" s="34" t="n">
        <f aca="false">SUMIFS('12.326ana'!$C:$C,'12.326ana'!$M:$M,redes!A3563)</f>
        <v>0</v>
      </c>
    </row>
    <row r="3564" customFormat="false" ht="14.4" hidden="true" customHeight="false" outlineLevel="0" collapsed="false">
      <c r="A3564" s="34" t="n">
        <v>60055537120</v>
      </c>
      <c r="B3564" s="34" t="s">
        <v>9266</v>
      </c>
      <c r="C3564" s="34" t="s">
        <v>77</v>
      </c>
      <c r="E3564" s="30" t="s">
        <v>9267</v>
      </c>
      <c r="F3564" s="34" t="n">
        <f aca="false">IFERROR(VLOOKUP($A3564,'319'!$B:$H,7,0),0)</f>
        <v>0</v>
      </c>
      <c r="G3564" s="34" t="n">
        <f aca="false">SUMIFS('12.326ana'!$C:$C,'12.326ana'!$M:$M,redes!A3564)</f>
        <v>0</v>
      </c>
    </row>
    <row r="3565" customFormat="false" ht="14.4" hidden="true" customHeight="false" outlineLevel="0" collapsed="false">
      <c r="A3565" s="34" t="n">
        <v>60057017115</v>
      </c>
      <c r="B3565" s="34" t="s">
        <v>9268</v>
      </c>
      <c r="C3565" s="34" t="s">
        <v>77</v>
      </c>
      <c r="E3565" s="30" t="s">
        <v>3206</v>
      </c>
      <c r="F3565" s="34" t="n">
        <f aca="false">IFERROR(VLOOKUP($A3565,'319'!$B:$H,7,0),0)</f>
        <v>0</v>
      </c>
      <c r="G3565" s="34" t="n">
        <f aca="false">SUMIFS('12.326ana'!$C:$C,'12.326ana'!$M:$M,redes!A3565)</f>
        <v>0</v>
      </c>
    </row>
    <row r="3566" customFormat="false" ht="14.4" hidden="true" customHeight="false" outlineLevel="0" collapsed="false">
      <c r="A3566" s="34" t="n">
        <v>60057815100</v>
      </c>
      <c r="B3566" s="34" t="s">
        <v>9269</v>
      </c>
      <c r="C3566" s="34" t="s">
        <v>77</v>
      </c>
      <c r="E3566" s="30" t="s">
        <v>3206</v>
      </c>
      <c r="F3566" s="34" t="n">
        <f aca="false">IFERROR(VLOOKUP($A3566,'319'!$B:$H,7,0),0)</f>
        <v>0</v>
      </c>
      <c r="G3566" s="34" t="n">
        <f aca="false">SUMIFS('12.326ana'!$C:$C,'12.326ana'!$M:$M,redes!A3566)</f>
        <v>0</v>
      </c>
    </row>
    <row r="3567" customFormat="false" ht="14.4" hidden="true" customHeight="false" outlineLevel="0" collapsed="false">
      <c r="A3567" s="34" t="n">
        <v>60058420134</v>
      </c>
      <c r="B3567" s="34" t="s">
        <v>9270</v>
      </c>
      <c r="C3567" s="34" t="s">
        <v>77</v>
      </c>
      <c r="E3567" s="30" t="s">
        <v>8024</v>
      </c>
      <c r="F3567" s="34" t="n">
        <f aca="false">IFERROR(VLOOKUP($A3567,'319'!$B:$H,7,0),0)</f>
        <v>0</v>
      </c>
      <c r="G3567" s="34" t="n">
        <f aca="false">SUMIFS('12.326ana'!$C:$C,'12.326ana'!$M:$M,redes!A3567)</f>
        <v>0</v>
      </c>
    </row>
    <row r="3568" customFormat="false" ht="14.4" hidden="true" customHeight="false" outlineLevel="0" collapsed="false">
      <c r="A3568" s="34" t="n">
        <v>60058552120</v>
      </c>
      <c r="B3568" s="34" t="s">
        <v>9271</v>
      </c>
      <c r="C3568" s="34" t="s">
        <v>77</v>
      </c>
      <c r="E3568" s="30" t="s">
        <v>9272</v>
      </c>
      <c r="F3568" s="34" t="n">
        <f aca="false">IFERROR(VLOOKUP($A3568,'319'!$B:$H,7,0),0)</f>
        <v>0</v>
      </c>
      <c r="G3568" s="34" t="n">
        <f aca="false">SUMIFS('12.326ana'!$C:$C,'12.326ana'!$M:$M,redes!A3568)</f>
        <v>0</v>
      </c>
    </row>
    <row r="3569" customFormat="false" ht="14.4" hidden="true" customHeight="false" outlineLevel="0" collapsed="false">
      <c r="A3569" s="34" t="n">
        <v>60058730168</v>
      </c>
      <c r="B3569" s="34" t="s">
        <v>9273</v>
      </c>
      <c r="C3569" s="34" t="s">
        <v>77</v>
      </c>
      <c r="E3569" s="30" t="s">
        <v>9274</v>
      </c>
      <c r="F3569" s="34" t="n">
        <f aca="false">IFERROR(VLOOKUP($A3569,'319'!$B:$H,7,0),0)</f>
        <v>0</v>
      </c>
      <c r="G3569" s="34" t="n">
        <f aca="false">SUMIFS('12.326ana'!$C:$C,'12.326ana'!$M:$M,redes!A3569)</f>
        <v>0</v>
      </c>
    </row>
    <row r="3570" customFormat="false" ht="14.4" hidden="true" customHeight="false" outlineLevel="0" collapsed="false">
      <c r="A3570" s="34" t="n">
        <v>60059958120</v>
      </c>
      <c r="B3570" s="34" t="s">
        <v>9275</v>
      </c>
      <c r="C3570" s="34" t="s">
        <v>77</v>
      </c>
      <c r="E3570" s="30" t="s">
        <v>9276</v>
      </c>
      <c r="F3570" s="34" t="n">
        <f aca="false">IFERROR(VLOOKUP($A3570,'319'!$B:$H,7,0),0)</f>
        <v>0</v>
      </c>
      <c r="G3570" s="34" t="n">
        <f aca="false">SUMIFS('12.326ana'!$C:$C,'12.326ana'!$M:$M,redes!A3570)</f>
        <v>0</v>
      </c>
    </row>
    <row r="3571" customFormat="false" ht="14.4" hidden="true" customHeight="false" outlineLevel="0" collapsed="false">
      <c r="A3571" s="34" t="n">
        <v>60060603100</v>
      </c>
      <c r="B3571" s="34" t="s">
        <v>9277</v>
      </c>
      <c r="C3571" s="34" t="s">
        <v>77</v>
      </c>
      <c r="E3571" s="30" t="s">
        <v>9277</v>
      </c>
      <c r="F3571" s="34" t="n">
        <f aca="false">IFERROR(VLOOKUP($A3571,'319'!$B:$H,7,0),0)</f>
        <v>0</v>
      </c>
      <c r="G3571" s="34" t="n">
        <f aca="false">SUMIFS('12.326ana'!$C:$C,'12.326ana'!$M:$M,redes!A3571)</f>
        <v>0</v>
      </c>
    </row>
    <row r="3572" customFormat="false" ht="14.4" hidden="true" customHeight="false" outlineLevel="0" collapsed="false">
      <c r="A3572" s="34" t="n">
        <v>60064650197</v>
      </c>
      <c r="B3572" s="34" t="s">
        <v>9278</v>
      </c>
      <c r="C3572" s="34" t="s">
        <v>77</v>
      </c>
      <c r="E3572" s="30" t="s">
        <v>9279</v>
      </c>
      <c r="F3572" s="34" t="n">
        <f aca="false">IFERROR(VLOOKUP($A3572,'319'!$B:$H,7,0),0)</f>
        <v>0</v>
      </c>
      <c r="G3572" s="34" t="n">
        <f aca="false">SUMIFS('12.326ana'!$C:$C,'12.326ana'!$M:$M,redes!A3572)</f>
        <v>0</v>
      </c>
    </row>
    <row r="3573" customFormat="false" ht="14.4" hidden="true" customHeight="false" outlineLevel="0" collapsed="false">
      <c r="A3573" s="34" t="n">
        <v>60066334187</v>
      </c>
      <c r="B3573" s="34" t="s">
        <v>9280</v>
      </c>
      <c r="C3573" s="34" t="s">
        <v>154</v>
      </c>
      <c r="E3573" s="30" t="s">
        <v>9281</v>
      </c>
      <c r="F3573" s="34" t="n">
        <f aca="false">IFERROR(VLOOKUP($A3573,'319'!$B:$H,7,0),0)</f>
        <v>0</v>
      </c>
      <c r="G3573" s="34" t="n">
        <f aca="false">SUMIFS('12.326ana'!$C:$C,'12.326ana'!$M:$M,redes!A3573)</f>
        <v>0</v>
      </c>
    </row>
    <row r="3574" customFormat="false" ht="14.4" hidden="true" customHeight="false" outlineLevel="0" collapsed="false">
      <c r="A3574" s="34" t="n">
        <v>60067730159</v>
      </c>
      <c r="B3574" s="34" t="s">
        <v>9282</v>
      </c>
      <c r="C3574" s="34" t="s">
        <v>77</v>
      </c>
      <c r="E3574" s="30"/>
      <c r="F3574" s="34" t="n">
        <f aca="false">IFERROR(VLOOKUP($A3574,'319'!$B:$H,7,0),0)</f>
        <v>0</v>
      </c>
      <c r="G3574" s="34" t="n">
        <f aca="false">SUMIFS('12.326ana'!$C:$C,'12.326ana'!$M:$M,redes!A3574)</f>
        <v>0</v>
      </c>
    </row>
    <row r="3575" customFormat="false" ht="14.4" hidden="true" customHeight="false" outlineLevel="0" collapsed="false">
      <c r="A3575" s="34" t="n">
        <v>60086211153</v>
      </c>
      <c r="B3575" s="34" t="s">
        <v>9283</v>
      </c>
      <c r="C3575" s="34" t="s">
        <v>565</v>
      </c>
      <c r="E3575" s="30" t="s">
        <v>9284</v>
      </c>
      <c r="F3575" s="34" t="n">
        <f aca="false">IFERROR(VLOOKUP($A3575,'319'!$B:$H,7,0),0)</f>
        <v>0</v>
      </c>
      <c r="G3575" s="34" t="n">
        <f aca="false">SUMIFS('12.326ana'!$C:$C,'12.326ana'!$M:$M,redes!A3575)</f>
        <v>0</v>
      </c>
    </row>
    <row r="3576" customFormat="false" ht="14.4" hidden="true" customHeight="false" outlineLevel="0" collapsed="false">
      <c r="A3576" s="34" t="n">
        <v>60086610104</v>
      </c>
      <c r="B3576" s="34" t="s">
        <v>9285</v>
      </c>
      <c r="C3576" s="34" t="s">
        <v>89</v>
      </c>
      <c r="E3576" s="30" t="s">
        <v>9286</v>
      </c>
      <c r="F3576" s="34" t="n">
        <f aca="false">IFERROR(VLOOKUP($A3576,'319'!$B:$H,7,0),0)</f>
        <v>0</v>
      </c>
      <c r="G3576" s="34" t="n">
        <f aca="false">SUMIFS('12.326ana'!$C:$C,'12.326ana'!$M:$M,redes!A3576)</f>
        <v>0</v>
      </c>
    </row>
    <row r="3577" customFormat="false" ht="14.4" hidden="true" customHeight="false" outlineLevel="0" collapsed="false">
      <c r="A3577" s="34" t="n">
        <v>60088109100</v>
      </c>
      <c r="B3577" s="34" t="s">
        <v>9287</v>
      </c>
      <c r="C3577" s="34" t="s">
        <v>77</v>
      </c>
      <c r="E3577" s="30" t="s">
        <v>9288</v>
      </c>
      <c r="F3577" s="34" t="n">
        <f aca="false">IFERROR(VLOOKUP($A3577,'319'!$B:$H,7,0),0)</f>
        <v>0</v>
      </c>
      <c r="G3577" s="34" t="n">
        <f aca="false">SUMIFS('12.326ana'!$C:$C,'12.326ana'!$M:$M,redes!A3577)</f>
        <v>0</v>
      </c>
    </row>
    <row r="3578" customFormat="false" ht="14.4" hidden="true" customHeight="false" outlineLevel="0" collapsed="false">
      <c r="A3578" s="34" t="n">
        <v>60092459153</v>
      </c>
      <c r="B3578" s="34" t="s">
        <v>9289</v>
      </c>
      <c r="C3578" s="34" t="s">
        <v>77</v>
      </c>
      <c r="E3578" s="30" t="s">
        <v>9290</v>
      </c>
      <c r="F3578" s="34" t="n">
        <f aca="false">IFERROR(VLOOKUP($A3578,'319'!$B:$H,7,0),0)</f>
        <v>0</v>
      </c>
      <c r="G3578" s="34" t="n">
        <f aca="false">SUMIFS('12.326ana'!$C:$C,'12.326ana'!$M:$M,redes!A3578)</f>
        <v>0</v>
      </c>
    </row>
    <row r="3579" customFormat="false" ht="14.4" hidden="true" customHeight="false" outlineLevel="0" collapsed="false">
      <c r="A3579" s="34" t="n">
        <v>60093749104</v>
      </c>
      <c r="B3579" s="34" t="s">
        <v>9291</v>
      </c>
      <c r="C3579" s="34" t="s">
        <v>77</v>
      </c>
      <c r="E3579" s="30"/>
      <c r="F3579" s="34" t="n">
        <f aca="false">IFERROR(VLOOKUP($A3579,'319'!$B:$H,7,0),0)</f>
        <v>0</v>
      </c>
      <c r="G3579" s="34" t="n">
        <f aca="false">SUMIFS('12.326ana'!$C:$C,'12.326ana'!$M:$M,redes!A3579)</f>
        <v>0</v>
      </c>
    </row>
    <row r="3580" customFormat="false" ht="14.4" hidden="true" customHeight="false" outlineLevel="0" collapsed="false">
      <c r="A3580" s="34" t="n">
        <v>60093803168</v>
      </c>
      <c r="B3580" s="34" t="s">
        <v>9292</v>
      </c>
      <c r="C3580" s="34" t="s">
        <v>77</v>
      </c>
      <c r="E3580" s="30" t="s">
        <v>9293</v>
      </c>
      <c r="F3580" s="34" t="n">
        <f aca="false">IFERROR(VLOOKUP($A3580,'319'!$B:$H,7,0),0)</f>
        <v>0</v>
      </c>
      <c r="G3580" s="34" t="n">
        <f aca="false">SUMIFS('12.326ana'!$C:$C,'12.326ana'!$M:$M,redes!A3580)</f>
        <v>0</v>
      </c>
    </row>
    <row r="3581" customFormat="false" ht="14.4" hidden="true" customHeight="false" outlineLevel="0" collapsed="false">
      <c r="A3581" s="34" t="n">
        <v>60094265100</v>
      </c>
      <c r="B3581" s="34" t="s">
        <v>9294</v>
      </c>
      <c r="C3581" s="34" t="s">
        <v>77</v>
      </c>
      <c r="E3581" s="30" t="s">
        <v>5036</v>
      </c>
      <c r="F3581" s="34" t="n">
        <f aca="false">IFERROR(VLOOKUP($A3581,'319'!$B:$H,7,0),0)</f>
        <v>0</v>
      </c>
      <c r="G3581" s="34" t="n">
        <f aca="false">SUMIFS('12.326ana'!$C:$C,'12.326ana'!$M:$M,redes!A3581)</f>
        <v>0</v>
      </c>
    </row>
    <row r="3582" customFormat="false" ht="14.4" hidden="true" customHeight="false" outlineLevel="0" collapsed="false">
      <c r="A3582" s="34" t="n">
        <v>60094672172</v>
      </c>
      <c r="B3582" s="34" t="s">
        <v>9295</v>
      </c>
      <c r="C3582" s="34" t="s">
        <v>77</v>
      </c>
      <c r="E3582" s="30" t="s">
        <v>9295</v>
      </c>
      <c r="F3582" s="34" t="n">
        <f aca="false">IFERROR(VLOOKUP($A3582,'319'!$B:$H,7,0),0)</f>
        <v>0</v>
      </c>
      <c r="G3582" s="34" t="n">
        <f aca="false">SUMIFS('12.326ana'!$C:$C,'12.326ana'!$M:$M,redes!A3582)</f>
        <v>0</v>
      </c>
    </row>
    <row r="3583" customFormat="false" ht="14.4" hidden="true" customHeight="false" outlineLevel="0" collapsed="false">
      <c r="A3583" s="34" t="n">
        <v>60095423168</v>
      </c>
      <c r="B3583" s="34" t="s">
        <v>9296</v>
      </c>
      <c r="C3583" s="34" t="s">
        <v>77</v>
      </c>
      <c r="E3583" s="30"/>
      <c r="F3583" s="34" t="n">
        <f aca="false">IFERROR(VLOOKUP($A3583,'319'!$B:$H,7,0),0)</f>
        <v>0</v>
      </c>
      <c r="G3583" s="34" t="n">
        <f aca="false">SUMIFS('12.326ana'!$C:$C,'12.326ana'!$M:$M,redes!A3583)</f>
        <v>0</v>
      </c>
    </row>
    <row r="3584" customFormat="false" ht="14.4" hidden="true" customHeight="false" outlineLevel="0" collapsed="false">
      <c r="A3584" s="34" t="n">
        <v>60096977191</v>
      </c>
      <c r="B3584" s="34" t="s">
        <v>9297</v>
      </c>
      <c r="C3584" s="34" t="s">
        <v>77</v>
      </c>
      <c r="E3584" s="30" t="s">
        <v>3112</v>
      </c>
      <c r="F3584" s="34" t="n">
        <f aca="false">IFERROR(VLOOKUP($A3584,'319'!$B:$H,7,0),0)</f>
        <v>0</v>
      </c>
      <c r="G3584" s="34" t="n">
        <f aca="false">SUMIFS('12.326ana'!$C:$C,'12.326ana'!$M:$M,redes!A3584)</f>
        <v>0</v>
      </c>
    </row>
    <row r="3585" customFormat="false" ht="14.4" hidden="true" customHeight="false" outlineLevel="0" collapsed="false">
      <c r="A3585" s="34" t="n">
        <v>60099445115</v>
      </c>
      <c r="B3585" s="34" t="s">
        <v>9298</v>
      </c>
      <c r="C3585" s="34" t="s">
        <v>77</v>
      </c>
      <c r="E3585" s="30"/>
      <c r="F3585" s="34" t="n">
        <f aca="false">IFERROR(VLOOKUP($A3585,'319'!$B:$H,7,0),0)</f>
        <v>0</v>
      </c>
      <c r="G3585" s="34" t="n">
        <f aca="false">SUMIFS('12.326ana'!$C:$C,'12.326ana'!$M:$M,redes!A3585)</f>
        <v>0</v>
      </c>
    </row>
    <row r="3586" customFormat="false" ht="14.4" hidden="true" customHeight="false" outlineLevel="0" collapsed="false">
      <c r="A3586" s="34" t="n">
        <v>60100311172</v>
      </c>
      <c r="B3586" s="34" t="s">
        <v>9299</v>
      </c>
      <c r="C3586" s="34" t="s">
        <v>77</v>
      </c>
      <c r="E3586" s="30" t="s">
        <v>9300</v>
      </c>
      <c r="F3586" s="34" t="n">
        <f aca="false">IFERROR(VLOOKUP($A3586,'319'!$B:$H,7,0),0)</f>
        <v>0</v>
      </c>
      <c r="G3586" s="34" t="n">
        <f aca="false">SUMIFS('12.326ana'!$C:$C,'12.326ana'!$M:$M,redes!A3586)</f>
        <v>0</v>
      </c>
    </row>
    <row r="3587" customFormat="false" ht="14.4" hidden="true" customHeight="false" outlineLevel="0" collapsed="false">
      <c r="A3587" s="34" t="n">
        <v>60100622104</v>
      </c>
      <c r="B3587" s="34" t="s">
        <v>9301</v>
      </c>
      <c r="C3587" s="34" t="s">
        <v>77</v>
      </c>
      <c r="E3587" s="30" t="s">
        <v>9302</v>
      </c>
      <c r="F3587" s="34" t="n">
        <f aca="false">IFERROR(VLOOKUP($A3587,'319'!$B:$H,7,0),0)</f>
        <v>0</v>
      </c>
      <c r="G3587" s="34" t="n">
        <f aca="false">SUMIFS('12.326ana'!$C:$C,'12.326ana'!$M:$M,redes!A3587)</f>
        <v>0</v>
      </c>
    </row>
    <row r="3588" customFormat="false" ht="14.4" hidden="true" customHeight="false" outlineLevel="0" collapsed="false">
      <c r="A3588" s="34" t="n">
        <v>60107731134</v>
      </c>
      <c r="B3588" s="34" t="s">
        <v>9303</v>
      </c>
      <c r="C3588" s="34" t="s">
        <v>197</v>
      </c>
      <c r="E3588" s="30" t="s">
        <v>9304</v>
      </c>
      <c r="F3588" s="34" t="n">
        <f aca="false">IFERROR(VLOOKUP($A3588,'319'!$B:$H,7,0),0)</f>
        <v>0</v>
      </c>
      <c r="G3588" s="34" t="n">
        <f aca="false">SUMIFS('12.326ana'!$C:$C,'12.326ana'!$M:$M,redes!A3588)</f>
        <v>0</v>
      </c>
    </row>
    <row r="3589" customFormat="false" ht="14.4" hidden="true" customHeight="false" outlineLevel="0" collapsed="false">
      <c r="A3589" s="34" t="n">
        <v>60109297172</v>
      </c>
      <c r="B3589" s="34" t="s">
        <v>9305</v>
      </c>
      <c r="C3589" s="34" t="s">
        <v>197</v>
      </c>
      <c r="E3589" s="30" t="s">
        <v>9306</v>
      </c>
      <c r="F3589" s="34" t="n">
        <f aca="false">IFERROR(VLOOKUP($A3589,'319'!$B:$H,7,0),0)</f>
        <v>0</v>
      </c>
      <c r="G3589" s="34" t="n">
        <f aca="false">SUMIFS('12.326ana'!$C:$C,'12.326ana'!$M:$M,redes!A3589)</f>
        <v>0</v>
      </c>
    </row>
    <row r="3590" customFormat="false" ht="14.4" hidden="true" customHeight="false" outlineLevel="0" collapsed="false">
      <c r="A3590" s="34" t="n">
        <v>60110228120</v>
      </c>
      <c r="B3590" s="34" t="s">
        <v>9307</v>
      </c>
      <c r="C3590" s="34" t="s">
        <v>77</v>
      </c>
      <c r="E3590" s="30" t="s">
        <v>9307</v>
      </c>
      <c r="F3590" s="34" t="n">
        <f aca="false">IFERROR(VLOOKUP($A3590,'319'!$B:$H,7,0),0)</f>
        <v>0</v>
      </c>
      <c r="G3590" s="34" t="n">
        <f aca="false">SUMIFS('12.326ana'!$C:$C,'12.326ana'!$M:$M,redes!A3590)</f>
        <v>0</v>
      </c>
    </row>
    <row r="3591" customFormat="false" ht="14.4" hidden="true" customHeight="false" outlineLevel="0" collapsed="false">
      <c r="A3591" s="34" t="n">
        <v>60110279115</v>
      </c>
      <c r="B3591" s="34" t="s">
        <v>9308</v>
      </c>
      <c r="C3591" s="34" t="s">
        <v>77</v>
      </c>
      <c r="E3591" s="30" t="s">
        <v>9309</v>
      </c>
      <c r="F3591" s="34" t="n">
        <f aca="false">IFERROR(VLOOKUP($A3591,'319'!$B:$H,7,0),0)</f>
        <v>0</v>
      </c>
      <c r="G3591" s="34" t="n">
        <f aca="false">SUMIFS('12.326ana'!$C:$C,'12.326ana'!$M:$M,redes!A3591)</f>
        <v>0</v>
      </c>
    </row>
    <row r="3592" customFormat="false" ht="14.4" hidden="true" customHeight="false" outlineLevel="0" collapsed="false">
      <c r="A3592" s="34" t="n">
        <v>60111500125</v>
      </c>
      <c r="B3592" s="34" t="s">
        <v>9310</v>
      </c>
      <c r="C3592" s="34" t="s">
        <v>77</v>
      </c>
      <c r="E3592" s="30" t="s">
        <v>3001</v>
      </c>
      <c r="F3592" s="34" t="n">
        <f aca="false">IFERROR(VLOOKUP($A3592,'319'!$B:$H,7,0),0)</f>
        <v>0</v>
      </c>
      <c r="G3592" s="34" t="n">
        <f aca="false">SUMIFS('12.326ana'!$C:$C,'12.326ana'!$M:$M,redes!A3592)</f>
        <v>0</v>
      </c>
    </row>
    <row r="3593" customFormat="false" ht="14.4" hidden="true" customHeight="false" outlineLevel="0" collapsed="false">
      <c r="A3593" s="34" t="n">
        <v>60114150168</v>
      </c>
      <c r="B3593" s="34" t="s">
        <v>9311</v>
      </c>
      <c r="C3593" s="34" t="s">
        <v>77</v>
      </c>
      <c r="E3593" s="30" t="s">
        <v>9312</v>
      </c>
      <c r="F3593" s="34" t="n">
        <f aca="false">IFERROR(VLOOKUP($A3593,'319'!$B:$H,7,0),0)</f>
        <v>0</v>
      </c>
      <c r="G3593" s="34" t="n">
        <f aca="false">SUMIFS('12.326ana'!$C:$C,'12.326ana'!$M:$M,redes!A3593)</f>
        <v>0</v>
      </c>
    </row>
    <row r="3594" customFormat="false" ht="14.4" hidden="true" customHeight="false" outlineLevel="0" collapsed="false">
      <c r="A3594" s="34" t="n">
        <v>60114916187</v>
      </c>
      <c r="B3594" s="34" t="s">
        <v>2987</v>
      </c>
      <c r="C3594" s="34" t="s">
        <v>107</v>
      </c>
      <c r="E3594" s="30" t="s">
        <v>9313</v>
      </c>
      <c r="F3594" s="34" t="n">
        <f aca="false">IFERROR(VLOOKUP($A3594,'319'!$B:$H,7,0),0)</f>
        <v>0</v>
      </c>
      <c r="G3594" s="34" t="n">
        <f aca="false">SUMIFS('12.326ana'!$C:$C,'12.326ana'!$M:$M,redes!A3594)</f>
        <v>0</v>
      </c>
    </row>
    <row r="3595" customFormat="false" ht="14.4" hidden="true" customHeight="false" outlineLevel="0" collapsed="false">
      <c r="A3595" s="34" t="n">
        <v>60117338168</v>
      </c>
      <c r="B3595" s="34" t="s">
        <v>9314</v>
      </c>
      <c r="C3595" s="34" t="s">
        <v>309</v>
      </c>
      <c r="E3595" s="30" t="s">
        <v>9315</v>
      </c>
      <c r="F3595" s="34" t="n">
        <f aca="false">IFERROR(VLOOKUP($A3595,'319'!$B:$H,7,0),0)</f>
        <v>0</v>
      </c>
      <c r="G3595" s="34" t="n">
        <f aca="false">SUMIFS('12.326ana'!$C:$C,'12.326ana'!$M:$M,redes!A3595)</f>
        <v>0</v>
      </c>
    </row>
    <row r="3596" customFormat="false" ht="14.4" hidden="true" customHeight="false" outlineLevel="0" collapsed="false">
      <c r="A3596" s="34" t="n">
        <v>60119870100</v>
      </c>
      <c r="B3596" s="34" t="s">
        <v>9316</v>
      </c>
      <c r="C3596" s="34" t="s">
        <v>77</v>
      </c>
      <c r="E3596" s="30" t="s">
        <v>9317</v>
      </c>
      <c r="F3596" s="34" t="n">
        <f aca="false">IFERROR(VLOOKUP($A3596,'319'!$B:$H,7,0),0)</f>
        <v>0</v>
      </c>
      <c r="G3596" s="34" t="n">
        <f aca="false">SUMIFS('12.326ana'!$C:$C,'12.326ana'!$M:$M,redes!A3596)</f>
        <v>0</v>
      </c>
    </row>
    <row r="3597" customFormat="false" ht="14.4" hidden="true" customHeight="false" outlineLevel="0" collapsed="false">
      <c r="A3597" s="34" t="n">
        <v>60121149153</v>
      </c>
      <c r="B3597" s="34" t="s">
        <v>9318</v>
      </c>
      <c r="C3597" s="34" t="s">
        <v>77</v>
      </c>
      <c r="E3597" s="30" t="s">
        <v>9318</v>
      </c>
      <c r="F3597" s="34" t="n">
        <f aca="false">IFERROR(VLOOKUP($A3597,'319'!$B:$H,7,0),0)</f>
        <v>0</v>
      </c>
      <c r="G3597" s="34" t="n">
        <f aca="false">SUMIFS('12.326ana'!$C:$C,'12.326ana'!$M:$M,redes!A3597)</f>
        <v>0</v>
      </c>
    </row>
    <row r="3598" customFormat="false" ht="14.4" hidden="true" customHeight="false" outlineLevel="0" collapsed="false">
      <c r="A3598" s="34" t="n">
        <v>60121637115</v>
      </c>
      <c r="B3598" s="34" t="s">
        <v>9319</v>
      </c>
      <c r="C3598" s="34" t="s">
        <v>77</v>
      </c>
      <c r="E3598" s="30" t="s">
        <v>9320</v>
      </c>
      <c r="F3598" s="34" t="n">
        <f aca="false">IFERROR(VLOOKUP($A3598,'319'!$B:$H,7,0),0)</f>
        <v>0</v>
      </c>
      <c r="G3598" s="34" t="n">
        <f aca="false">SUMIFS('12.326ana'!$C:$C,'12.326ana'!$M:$M,redes!A3598)</f>
        <v>0</v>
      </c>
    </row>
    <row r="3599" customFormat="false" ht="14.4" hidden="true" customHeight="false" outlineLevel="0" collapsed="false">
      <c r="A3599" s="34" t="n">
        <v>60121947149</v>
      </c>
      <c r="B3599" s="34" t="s">
        <v>9321</v>
      </c>
      <c r="C3599" s="34" t="s">
        <v>77</v>
      </c>
      <c r="E3599" s="30"/>
      <c r="F3599" s="34" t="n">
        <f aca="false">IFERROR(VLOOKUP($A3599,'319'!$B:$H,7,0),0)</f>
        <v>0</v>
      </c>
      <c r="G3599" s="34" t="n">
        <f aca="false">SUMIFS('12.326ana'!$C:$C,'12.326ana'!$M:$M,redes!A3599)</f>
        <v>0</v>
      </c>
    </row>
    <row r="3600" customFormat="false" ht="14.4" hidden="true" customHeight="false" outlineLevel="0" collapsed="false">
      <c r="A3600" s="34" t="n">
        <v>60123346134</v>
      </c>
      <c r="B3600" s="34" t="s">
        <v>9322</v>
      </c>
      <c r="C3600" s="34" t="s">
        <v>77</v>
      </c>
      <c r="E3600" s="30" t="s">
        <v>9323</v>
      </c>
      <c r="F3600" s="34" t="n">
        <f aca="false">IFERROR(VLOOKUP($A3600,'319'!$B:$H,7,0),0)</f>
        <v>0</v>
      </c>
      <c r="G3600" s="34" t="n">
        <f aca="false">SUMIFS('12.326ana'!$C:$C,'12.326ana'!$M:$M,redes!A3600)</f>
        <v>0</v>
      </c>
    </row>
    <row r="3601" customFormat="false" ht="14.4" hidden="true" customHeight="false" outlineLevel="0" collapsed="false">
      <c r="A3601" s="34" t="n">
        <v>60131063120</v>
      </c>
      <c r="B3601" s="34" t="s">
        <v>9324</v>
      </c>
      <c r="C3601" s="34" t="s">
        <v>77</v>
      </c>
      <c r="E3601" s="30" t="s">
        <v>9325</v>
      </c>
      <c r="F3601" s="34" t="n">
        <f aca="false">IFERROR(VLOOKUP($A3601,'319'!$B:$H,7,0),0)</f>
        <v>0</v>
      </c>
      <c r="G3601" s="34" t="n">
        <f aca="false">SUMIFS('12.326ana'!$C:$C,'12.326ana'!$M:$M,redes!A3601)</f>
        <v>0</v>
      </c>
    </row>
    <row r="3602" customFormat="false" ht="14.4" hidden="true" customHeight="false" outlineLevel="0" collapsed="false">
      <c r="A3602" s="34" t="n">
        <v>60131780115</v>
      </c>
      <c r="B3602" s="34" t="s">
        <v>9326</v>
      </c>
      <c r="C3602" s="34" t="s">
        <v>77</v>
      </c>
      <c r="E3602" s="30" t="s">
        <v>9327</v>
      </c>
      <c r="F3602" s="34" t="n">
        <f aca="false">IFERROR(VLOOKUP($A3602,'319'!$B:$H,7,0),0)</f>
        <v>0</v>
      </c>
      <c r="G3602" s="34" t="n">
        <f aca="false">SUMIFS('12.326ana'!$C:$C,'12.326ana'!$M:$M,redes!A3602)</f>
        <v>0</v>
      </c>
    </row>
    <row r="3603" customFormat="false" ht="14.4" hidden="true" customHeight="false" outlineLevel="0" collapsed="false">
      <c r="A3603" s="34" t="n">
        <v>60132116120</v>
      </c>
      <c r="B3603" s="34" t="s">
        <v>9328</v>
      </c>
      <c r="C3603" s="34" t="s">
        <v>77</v>
      </c>
      <c r="E3603" s="30"/>
      <c r="F3603" s="34" t="n">
        <f aca="false">IFERROR(VLOOKUP($A3603,'319'!$B:$H,7,0),0)</f>
        <v>0</v>
      </c>
      <c r="G3603" s="34" t="n">
        <f aca="false">SUMIFS('12.326ana'!$C:$C,'12.326ana'!$M:$M,redes!A3603)</f>
        <v>0</v>
      </c>
    </row>
    <row r="3604" customFormat="false" ht="14.4" hidden="true" customHeight="false" outlineLevel="0" collapsed="false">
      <c r="A3604" s="34" t="n">
        <v>60151080968</v>
      </c>
      <c r="B3604" s="34" t="s">
        <v>9329</v>
      </c>
      <c r="C3604" s="34" t="s">
        <v>77</v>
      </c>
      <c r="E3604" s="30" t="s">
        <v>9330</v>
      </c>
      <c r="F3604" s="34" t="n">
        <f aca="false">IFERROR(VLOOKUP($A3604,'319'!$B:$H,7,0),0)</f>
        <v>0</v>
      </c>
      <c r="G3604" s="34" t="n">
        <f aca="false">SUMIFS('12.326ana'!$C:$C,'12.326ana'!$M:$M,redes!A3604)</f>
        <v>0</v>
      </c>
    </row>
    <row r="3605" customFormat="false" ht="14.4" hidden="true" customHeight="false" outlineLevel="0" collapsed="false">
      <c r="A3605" s="34" t="n">
        <v>60206000107</v>
      </c>
      <c r="B3605" s="34" t="s">
        <v>9331</v>
      </c>
      <c r="C3605" s="34" t="s">
        <v>77</v>
      </c>
      <c r="D3605" s="34" t="s">
        <v>3324</v>
      </c>
      <c r="E3605" s="30" t="s">
        <v>9332</v>
      </c>
      <c r="F3605" s="34" t="n">
        <f aca="false">IFERROR(VLOOKUP($A3605,'319'!$B:$H,7,0),0)</f>
        <v>0</v>
      </c>
      <c r="G3605" s="34" t="n">
        <f aca="false">SUMIFS('12.326ana'!$C:$C,'12.326ana'!$M:$M,redes!A3605)</f>
        <v>0</v>
      </c>
    </row>
    <row r="3606" customFormat="false" ht="14.4" hidden="true" customHeight="false" outlineLevel="0" collapsed="false">
      <c r="A3606" s="34" t="n">
        <v>60281725904</v>
      </c>
      <c r="B3606" s="34" t="s">
        <v>9333</v>
      </c>
      <c r="C3606" s="34" t="s">
        <v>77</v>
      </c>
      <c r="E3606" s="30" t="s">
        <v>4567</v>
      </c>
      <c r="F3606" s="34" t="n">
        <f aca="false">IFERROR(VLOOKUP($A3606,'319'!$B:$H,7,0),0)</f>
        <v>0</v>
      </c>
      <c r="G3606" s="34" t="n">
        <f aca="false">SUMIFS('12.326ana'!$C:$C,'12.326ana'!$M:$M,redes!A3606)</f>
        <v>0</v>
      </c>
    </row>
    <row r="3607" customFormat="false" ht="14.4" hidden="true" customHeight="false" outlineLevel="0" collapsed="false">
      <c r="A3607" s="34" t="n">
        <v>60294914900</v>
      </c>
      <c r="B3607" s="34" t="s">
        <v>9334</v>
      </c>
      <c r="C3607" s="34" t="s">
        <v>77</v>
      </c>
      <c r="E3607" s="30" t="s">
        <v>9335</v>
      </c>
      <c r="F3607" s="34" t="n">
        <f aca="false">IFERROR(VLOOKUP($A3607,'319'!$B:$H,7,0),0)</f>
        <v>0</v>
      </c>
      <c r="G3607" s="34" t="n">
        <f aca="false">SUMIFS('12.326ana'!$C:$C,'12.326ana'!$M:$M,redes!A3607)</f>
        <v>0</v>
      </c>
    </row>
    <row r="3608" customFormat="false" ht="14.4" hidden="true" customHeight="false" outlineLevel="0" collapsed="false">
      <c r="A3608" s="34" t="n">
        <v>60433680644</v>
      </c>
      <c r="B3608" s="34" t="s">
        <v>9336</v>
      </c>
      <c r="C3608" s="34" t="s">
        <v>77</v>
      </c>
      <c r="E3608" s="30" t="s">
        <v>9337</v>
      </c>
      <c r="F3608" s="34" t="n">
        <f aca="false">IFERROR(VLOOKUP($A3608,'319'!$B:$H,7,0),0)</f>
        <v>0</v>
      </c>
      <c r="G3608" s="34" t="n">
        <f aca="false">SUMIFS('12.326ana'!$C:$C,'12.326ana'!$M:$M,redes!A3608)</f>
        <v>0</v>
      </c>
    </row>
    <row r="3609" customFormat="false" ht="14.4" hidden="true" customHeight="false" outlineLevel="0" collapsed="false">
      <c r="A3609" s="34" t="n">
        <v>60444533168</v>
      </c>
      <c r="B3609" s="34" t="s">
        <v>9338</v>
      </c>
      <c r="C3609" s="34" t="s">
        <v>77</v>
      </c>
      <c r="E3609" s="30" t="s">
        <v>9339</v>
      </c>
      <c r="F3609" s="34" t="n">
        <f aca="false">IFERROR(VLOOKUP($A3609,'319'!$B:$H,7,0),0)</f>
        <v>0</v>
      </c>
      <c r="G3609" s="34" t="n">
        <f aca="false">SUMIFS('12.326ana'!$C:$C,'12.326ana'!$M:$M,redes!A3609)</f>
        <v>0</v>
      </c>
    </row>
    <row r="3610" customFormat="false" ht="14.4" hidden="true" customHeight="false" outlineLevel="0" collapsed="false">
      <c r="A3610" s="34" t="n">
        <v>60454512104</v>
      </c>
      <c r="B3610" s="34" t="s">
        <v>9340</v>
      </c>
      <c r="C3610" s="34" t="s">
        <v>77</v>
      </c>
      <c r="E3610" s="30" t="s">
        <v>9341</v>
      </c>
      <c r="F3610" s="34" t="n">
        <f aca="false">IFERROR(VLOOKUP($A3610,'319'!$B:$H,7,0),0)</f>
        <v>0</v>
      </c>
      <c r="G3610" s="34" t="n">
        <f aca="false">SUMIFS('12.326ana'!$C:$C,'12.326ana'!$M:$M,redes!A3610)</f>
        <v>0</v>
      </c>
    </row>
    <row r="3611" customFormat="false" ht="14.4" hidden="true" customHeight="false" outlineLevel="0" collapsed="false">
      <c r="A3611" s="34" t="n">
        <v>60523242360</v>
      </c>
      <c r="B3611" s="34" t="s">
        <v>9342</v>
      </c>
      <c r="C3611" s="34" t="s">
        <v>77</v>
      </c>
      <c r="E3611" s="30" t="s">
        <v>9342</v>
      </c>
      <c r="F3611" s="34" t="n">
        <f aca="false">IFERROR(VLOOKUP($A3611,'319'!$B:$H,7,0),0)</f>
        <v>0</v>
      </c>
      <c r="G3611" s="34" t="n">
        <f aca="false">SUMIFS('12.326ana'!$C:$C,'12.326ana'!$M:$M,redes!A3611)</f>
        <v>0</v>
      </c>
    </row>
    <row r="3612" customFormat="false" ht="14.4" hidden="true" customHeight="false" outlineLevel="0" collapsed="false">
      <c r="A3612" s="34" t="n">
        <v>60529563991</v>
      </c>
      <c r="B3612" s="34" t="s">
        <v>9343</v>
      </c>
      <c r="C3612" s="34" t="s">
        <v>77</v>
      </c>
      <c r="E3612" s="30" t="s">
        <v>9344</v>
      </c>
      <c r="F3612" s="34" t="n">
        <f aca="false">IFERROR(VLOOKUP($A3612,'319'!$B:$H,7,0),0)</f>
        <v>0</v>
      </c>
      <c r="G3612" s="34" t="n">
        <f aca="false">SUMIFS('12.326ana'!$C:$C,'12.326ana'!$M:$M,redes!A3612)</f>
        <v>0</v>
      </c>
    </row>
    <row r="3613" customFormat="false" ht="14.4" hidden="true" customHeight="false" outlineLevel="0" collapsed="false">
      <c r="A3613" s="34" t="n">
        <v>60686430778</v>
      </c>
      <c r="B3613" s="34" t="s">
        <v>4635</v>
      </c>
      <c r="C3613" s="34" t="s">
        <v>103</v>
      </c>
      <c r="E3613" s="30" t="s">
        <v>9345</v>
      </c>
      <c r="F3613" s="34" t="n">
        <f aca="false">IFERROR(VLOOKUP($A3613,'319'!$B:$H,7,0),0)</f>
        <v>0</v>
      </c>
      <c r="G3613" s="34" t="n">
        <f aca="false">SUMIFS('12.326ana'!$C:$C,'12.326ana'!$M:$M,redes!A3613)</f>
        <v>0</v>
      </c>
    </row>
    <row r="3614" customFormat="false" ht="14.4" hidden="true" customHeight="false" outlineLevel="0" collapsed="false">
      <c r="A3614" s="34" t="n">
        <v>60753200163</v>
      </c>
      <c r="B3614" s="34" t="s">
        <v>9346</v>
      </c>
      <c r="C3614" s="34" t="s">
        <v>296</v>
      </c>
      <c r="E3614" s="30" t="s">
        <v>9347</v>
      </c>
      <c r="F3614" s="34" t="n">
        <f aca="false">IFERROR(VLOOKUP($A3614,'319'!$B:$H,7,0),0)</f>
        <v>0</v>
      </c>
      <c r="G3614" s="34" t="n">
        <f aca="false">SUMIFS('12.326ana'!$C:$C,'12.326ana'!$M:$M,redes!A3614)</f>
        <v>0</v>
      </c>
    </row>
    <row r="3615" customFormat="false" ht="14.4" hidden="true" customHeight="false" outlineLevel="0" collapsed="false">
      <c r="A3615" s="34" t="n">
        <v>60754141187</v>
      </c>
      <c r="B3615" s="34" t="s">
        <v>9348</v>
      </c>
      <c r="C3615" s="34" t="s">
        <v>77</v>
      </c>
      <c r="E3615" s="30" t="s">
        <v>9348</v>
      </c>
      <c r="F3615" s="34" t="n">
        <f aca="false">IFERROR(VLOOKUP($A3615,'319'!$B:$H,7,0),0)</f>
        <v>0</v>
      </c>
      <c r="G3615" s="34" t="n">
        <f aca="false">SUMIFS('12.326ana'!$C:$C,'12.326ana'!$M:$M,redes!A3615)</f>
        <v>0</v>
      </c>
    </row>
    <row r="3616" customFormat="false" ht="14.4" hidden="true" customHeight="false" outlineLevel="0" collapsed="false">
      <c r="A3616" s="34" t="n">
        <v>60755415191</v>
      </c>
      <c r="B3616" s="34" t="s">
        <v>9349</v>
      </c>
      <c r="C3616" s="34" t="s">
        <v>77</v>
      </c>
      <c r="E3616" s="30" t="s">
        <v>9350</v>
      </c>
      <c r="F3616" s="34" t="n">
        <f aca="false">IFERROR(VLOOKUP($A3616,'319'!$B:$H,7,0),0)</f>
        <v>0</v>
      </c>
      <c r="G3616" s="34" t="n">
        <f aca="false">SUMIFS('12.326ana'!$C:$C,'12.326ana'!$M:$M,redes!A3616)</f>
        <v>0</v>
      </c>
    </row>
    <row r="3617" customFormat="false" ht="14.4" hidden="true" customHeight="false" outlineLevel="0" collapsed="false">
      <c r="A3617" s="34" t="n">
        <v>60756691168</v>
      </c>
      <c r="B3617" s="34" t="s">
        <v>9351</v>
      </c>
      <c r="C3617" s="34" t="s">
        <v>77</v>
      </c>
      <c r="E3617" s="30" t="s">
        <v>9351</v>
      </c>
      <c r="F3617" s="34" t="n">
        <f aca="false">IFERROR(VLOOKUP($A3617,'319'!$B:$H,7,0),0)</f>
        <v>0</v>
      </c>
      <c r="G3617" s="34" t="n">
        <f aca="false">SUMIFS('12.326ana'!$C:$C,'12.326ana'!$M:$M,redes!A3617)</f>
        <v>0</v>
      </c>
    </row>
    <row r="3618" customFormat="false" ht="14.4" hidden="true" customHeight="false" outlineLevel="0" collapsed="false">
      <c r="A3618" s="34" t="n">
        <v>60757736149</v>
      </c>
      <c r="B3618" s="34" t="s">
        <v>9352</v>
      </c>
      <c r="C3618" s="34" t="s">
        <v>77</v>
      </c>
      <c r="E3618" s="30" t="s">
        <v>9353</v>
      </c>
      <c r="F3618" s="34" t="n">
        <f aca="false">IFERROR(VLOOKUP($A3618,'319'!$B:$H,7,0),0)</f>
        <v>0</v>
      </c>
      <c r="G3618" s="34" t="n">
        <f aca="false">SUMIFS('12.326ana'!$C:$C,'12.326ana'!$M:$M,redes!A3618)</f>
        <v>0</v>
      </c>
    </row>
    <row r="3619" customFormat="false" ht="14.4" hidden="true" customHeight="false" outlineLevel="0" collapsed="false">
      <c r="A3619" s="34" t="n">
        <v>60760559104</v>
      </c>
      <c r="B3619" s="34" t="s">
        <v>9354</v>
      </c>
      <c r="C3619" s="34" t="s">
        <v>197</v>
      </c>
      <c r="E3619" s="30" t="s">
        <v>9355</v>
      </c>
      <c r="F3619" s="34" t="n">
        <f aca="false">IFERROR(VLOOKUP($A3619,'319'!$B:$H,7,0),0)</f>
        <v>0</v>
      </c>
      <c r="G3619" s="34" t="n">
        <f aca="false">SUMIFS('12.326ana'!$C:$C,'12.326ana'!$M:$M,redes!A3619)</f>
        <v>0</v>
      </c>
    </row>
    <row r="3620" customFormat="false" ht="14.4" hidden="true" customHeight="false" outlineLevel="0" collapsed="false">
      <c r="A3620" s="34" t="n">
        <v>60761865187</v>
      </c>
      <c r="B3620" s="34" t="s">
        <v>9356</v>
      </c>
      <c r="C3620" s="34" t="s">
        <v>107</v>
      </c>
      <c r="E3620" s="30" t="s">
        <v>6528</v>
      </c>
      <c r="F3620" s="34" t="n">
        <f aca="false">IFERROR(VLOOKUP($A3620,'319'!$B:$H,7,0),0)</f>
        <v>0</v>
      </c>
      <c r="G3620" s="34" t="n">
        <f aca="false">SUMIFS('12.326ana'!$C:$C,'12.326ana'!$M:$M,redes!A3620)</f>
        <v>0</v>
      </c>
    </row>
    <row r="3621" customFormat="false" ht="14.4" hidden="true" customHeight="false" outlineLevel="0" collapsed="false">
      <c r="A3621" s="34" t="n">
        <v>60765925168</v>
      </c>
      <c r="B3621" s="34" t="s">
        <v>9357</v>
      </c>
      <c r="C3621" s="34" t="s">
        <v>464</v>
      </c>
      <c r="E3621" s="30" t="s">
        <v>9010</v>
      </c>
      <c r="F3621" s="34" t="n">
        <f aca="false">IFERROR(VLOOKUP($A3621,'319'!$B:$H,7,0),0)</f>
        <v>0</v>
      </c>
      <c r="G3621" s="34" t="n">
        <f aca="false">SUMIFS('12.326ana'!$C:$C,'12.326ana'!$M:$M,redes!A3621)</f>
        <v>0</v>
      </c>
    </row>
    <row r="3622" customFormat="false" ht="14.4" hidden="true" customHeight="false" outlineLevel="0" collapsed="false">
      <c r="A3622" s="34" t="n">
        <v>60766840115</v>
      </c>
      <c r="B3622" s="34" t="s">
        <v>9358</v>
      </c>
      <c r="C3622" s="34" t="s">
        <v>77</v>
      </c>
      <c r="E3622" s="30" t="s">
        <v>9359</v>
      </c>
      <c r="F3622" s="34" t="n">
        <f aca="false">IFERROR(VLOOKUP($A3622,'319'!$B:$H,7,0),0)</f>
        <v>0</v>
      </c>
      <c r="G3622" s="34" t="n">
        <f aca="false">SUMIFS('12.326ana'!$C:$C,'12.326ana'!$M:$M,redes!A3622)</f>
        <v>0</v>
      </c>
    </row>
    <row r="3623" customFormat="false" ht="14.4" hidden="true" customHeight="false" outlineLevel="0" collapsed="false">
      <c r="A3623" s="34" t="n">
        <v>60771640110</v>
      </c>
      <c r="B3623" s="34" t="s">
        <v>9360</v>
      </c>
      <c r="C3623" s="34" t="s">
        <v>77</v>
      </c>
      <c r="E3623" s="30" t="s">
        <v>9361</v>
      </c>
      <c r="F3623" s="34" t="n">
        <f aca="false">IFERROR(VLOOKUP($A3623,'319'!$B:$H,7,0),0)</f>
        <v>0</v>
      </c>
      <c r="G3623" s="34" t="n">
        <f aca="false">SUMIFS('12.326ana'!$C:$C,'12.326ana'!$M:$M,redes!A3623)</f>
        <v>0</v>
      </c>
    </row>
    <row r="3624" customFormat="false" ht="14.4" hidden="true" customHeight="false" outlineLevel="0" collapsed="false">
      <c r="A3624" s="34" t="n">
        <v>60775068187</v>
      </c>
      <c r="B3624" s="34" t="s">
        <v>9362</v>
      </c>
      <c r="C3624" s="34" t="s">
        <v>103</v>
      </c>
      <c r="E3624" s="30" t="s">
        <v>9363</v>
      </c>
      <c r="F3624" s="34" t="n">
        <f aca="false">IFERROR(VLOOKUP($A3624,'319'!$B:$H,7,0),0)</f>
        <v>0</v>
      </c>
      <c r="G3624" s="34" t="n">
        <f aca="false">SUMIFS('12.326ana'!$C:$C,'12.326ana'!$M:$M,redes!A3624)</f>
        <v>0</v>
      </c>
    </row>
    <row r="3625" customFormat="false" ht="14.4" hidden="true" customHeight="false" outlineLevel="0" collapsed="false">
      <c r="A3625" s="34" t="n">
        <v>60778504115</v>
      </c>
      <c r="B3625" s="34" t="s">
        <v>9364</v>
      </c>
      <c r="C3625" s="34" t="s">
        <v>107</v>
      </c>
      <c r="E3625" s="30" t="s">
        <v>4006</v>
      </c>
      <c r="F3625" s="34" t="n">
        <f aca="false">IFERROR(VLOOKUP($A3625,'319'!$B:$H,7,0),0)</f>
        <v>0</v>
      </c>
      <c r="G3625" s="34" t="n">
        <f aca="false">SUMIFS('12.326ana'!$C:$C,'12.326ana'!$M:$M,redes!A3625)</f>
        <v>0</v>
      </c>
    </row>
    <row r="3626" customFormat="false" ht="14.4" hidden="true" customHeight="false" outlineLevel="0" collapsed="false">
      <c r="A3626" s="34" t="n">
        <v>60782382134</v>
      </c>
      <c r="B3626" s="34" t="s">
        <v>9365</v>
      </c>
      <c r="C3626" s="34" t="s">
        <v>107</v>
      </c>
      <c r="E3626" s="30"/>
      <c r="F3626" s="34" t="n">
        <f aca="false">IFERROR(VLOOKUP($A3626,'319'!$B:$H,7,0),0)</f>
        <v>0</v>
      </c>
      <c r="G3626" s="34" t="n">
        <f aca="false">SUMIFS('12.326ana'!$C:$C,'12.326ana'!$M:$M,redes!A3626)</f>
        <v>0</v>
      </c>
    </row>
    <row r="3627" customFormat="false" ht="14.4" hidden="true" customHeight="false" outlineLevel="0" collapsed="false">
      <c r="A3627" s="34" t="n">
        <v>60786302100</v>
      </c>
      <c r="B3627" s="34" t="s">
        <v>9366</v>
      </c>
      <c r="C3627" s="34" t="s">
        <v>77</v>
      </c>
      <c r="E3627" s="30" t="s">
        <v>6661</v>
      </c>
      <c r="F3627" s="34" t="n">
        <f aca="false">IFERROR(VLOOKUP($A3627,'319'!$B:$H,7,0),0)</f>
        <v>0</v>
      </c>
      <c r="G3627" s="34" t="n">
        <f aca="false">SUMIFS('12.326ana'!$C:$C,'12.326ana'!$M:$M,redes!A3627)</f>
        <v>0</v>
      </c>
    </row>
    <row r="3628" customFormat="false" ht="14.4" hidden="true" customHeight="false" outlineLevel="0" collapsed="false">
      <c r="A3628" s="34" t="n">
        <v>60789174120</v>
      </c>
      <c r="B3628" s="34" t="s">
        <v>9367</v>
      </c>
      <c r="C3628" s="34" t="s">
        <v>77</v>
      </c>
      <c r="E3628" s="30" t="s">
        <v>9368</v>
      </c>
      <c r="F3628" s="34" t="n">
        <f aca="false">IFERROR(VLOOKUP($A3628,'319'!$B:$H,7,0),0)</f>
        <v>0</v>
      </c>
      <c r="G3628" s="34" t="n">
        <f aca="false">SUMIFS('12.326ana'!$C:$C,'12.326ana'!$M:$M,redes!A3628)</f>
        <v>0</v>
      </c>
    </row>
    <row r="3629" customFormat="false" ht="14.4" hidden="true" customHeight="false" outlineLevel="0" collapsed="false">
      <c r="A3629" s="34" t="n">
        <v>60793139104</v>
      </c>
      <c r="B3629" s="34" t="s">
        <v>9369</v>
      </c>
      <c r="C3629" s="34" t="s">
        <v>77</v>
      </c>
      <c r="E3629" s="30" t="s">
        <v>3465</v>
      </c>
      <c r="F3629" s="34" t="n">
        <f aca="false">IFERROR(VLOOKUP($A3629,'319'!$B:$H,7,0),0)</f>
        <v>0</v>
      </c>
      <c r="G3629" s="34" t="n">
        <f aca="false">SUMIFS('12.326ana'!$C:$C,'12.326ana'!$M:$M,redes!A3629)</f>
        <v>0</v>
      </c>
    </row>
    <row r="3630" customFormat="false" ht="14.4" hidden="true" customHeight="false" outlineLevel="0" collapsed="false">
      <c r="A3630" s="34" t="n">
        <v>60812885104</v>
      </c>
      <c r="B3630" s="34" t="s">
        <v>9370</v>
      </c>
      <c r="C3630" s="34" t="s">
        <v>77</v>
      </c>
      <c r="E3630" s="30" t="s">
        <v>3674</v>
      </c>
      <c r="F3630" s="34" t="n">
        <f aca="false">IFERROR(VLOOKUP($A3630,'319'!$B:$H,7,0),0)</f>
        <v>0</v>
      </c>
      <c r="G3630" s="34" t="n">
        <f aca="false">SUMIFS('12.326ana'!$C:$C,'12.326ana'!$M:$M,redes!A3630)</f>
        <v>0</v>
      </c>
    </row>
    <row r="3631" customFormat="false" ht="14.4" hidden="true" customHeight="false" outlineLevel="0" collapsed="false">
      <c r="A3631" s="34" t="n">
        <v>60812966104</v>
      </c>
      <c r="B3631" s="34" t="s">
        <v>9371</v>
      </c>
      <c r="C3631" s="34" t="s">
        <v>77</v>
      </c>
      <c r="E3631" s="30"/>
      <c r="F3631" s="34" t="n">
        <f aca="false">IFERROR(VLOOKUP($A3631,'319'!$B:$H,7,0),0)</f>
        <v>0</v>
      </c>
      <c r="G3631" s="34" t="n">
        <f aca="false">SUMIFS('12.326ana'!$C:$C,'12.326ana'!$M:$M,redes!A3631)</f>
        <v>0</v>
      </c>
    </row>
    <row r="3632" customFormat="false" ht="14.4" hidden="true" customHeight="false" outlineLevel="0" collapsed="false">
      <c r="A3632" s="34" t="n">
        <v>60814489168</v>
      </c>
      <c r="B3632" s="34" t="s">
        <v>9372</v>
      </c>
      <c r="C3632" s="34" t="s">
        <v>979</v>
      </c>
      <c r="E3632" s="30" t="s">
        <v>9373</v>
      </c>
      <c r="F3632" s="34" t="n">
        <f aca="false">IFERROR(VLOOKUP($A3632,'319'!$B:$H,7,0),0)</f>
        <v>0</v>
      </c>
      <c r="G3632" s="34" t="n">
        <f aca="false">SUMIFS('12.326ana'!$C:$C,'12.326ana'!$M:$M,redes!A3632)</f>
        <v>0</v>
      </c>
    </row>
    <row r="3633" customFormat="false" ht="14.4" hidden="true" customHeight="false" outlineLevel="0" collapsed="false">
      <c r="A3633" s="34" t="n">
        <v>60816627134</v>
      </c>
      <c r="B3633" s="34" t="s">
        <v>9374</v>
      </c>
      <c r="C3633" s="34" t="s">
        <v>77</v>
      </c>
      <c r="E3633" s="30"/>
      <c r="F3633" s="34" t="n">
        <f aca="false">IFERROR(VLOOKUP($A3633,'319'!$B:$H,7,0),0)</f>
        <v>0</v>
      </c>
      <c r="G3633" s="34" t="n">
        <f aca="false">SUMIFS('12.326ana'!$C:$C,'12.326ana'!$M:$M,redes!A3633)</f>
        <v>0</v>
      </c>
    </row>
    <row r="3634" customFormat="false" ht="14.4" hidden="true" customHeight="false" outlineLevel="0" collapsed="false">
      <c r="A3634" s="34" t="n">
        <v>60817259104</v>
      </c>
      <c r="B3634" s="34" t="s">
        <v>9333</v>
      </c>
      <c r="C3634" s="34" t="s">
        <v>77</v>
      </c>
      <c r="E3634" s="30" t="s">
        <v>4567</v>
      </c>
      <c r="F3634" s="34" t="n">
        <f aca="false">IFERROR(VLOOKUP($A3634,'319'!$B:$H,7,0),0)</f>
        <v>0</v>
      </c>
      <c r="G3634" s="34" t="n">
        <f aca="false">SUMIFS('12.326ana'!$C:$C,'12.326ana'!$M:$M,redes!A3634)</f>
        <v>0</v>
      </c>
    </row>
    <row r="3635" customFormat="false" ht="14.4" hidden="true" customHeight="false" outlineLevel="0" collapsed="false">
      <c r="A3635" s="34" t="n">
        <v>60818379120</v>
      </c>
      <c r="B3635" s="34" t="s">
        <v>9375</v>
      </c>
      <c r="C3635" s="34" t="s">
        <v>77</v>
      </c>
      <c r="E3635" s="30"/>
      <c r="F3635" s="34" t="n">
        <f aca="false">IFERROR(VLOOKUP($A3635,'319'!$B:$H,7,0),0)</f>
        <v>0</v>
      </c>
      <c r="G3635" s="34" t="n">
        <f aca="false">SUMIFS('12.326ana'!$C:$C,'12.326ana'!$M:$M,redes!A3635)</f>
        <v>0</v>
      </c>
    </row>
    <row r="3636" customFormat="false" ht="14.4" hidden="true" customHeight="false" outlineLevel="0" collapsed="false">
      <c r="A3636" s="34" t="n">
        <v>60818840153</v>
      </c>
      <c r="B3636" s="34" t="s">
        <v>9376</v>
      </c>
      <c r="C3636" s="34" t="s">
        <v>77</v>
      </c>
      <c r="E3636" s="30" t="s">
        <v>9377</v>
      </c>
      <c r="F3636" s="34" t="n">
        <f aca="false">IFERROR(VLOOKUP($A3636,'319'!$B:$H,7,0),0)</f>
        <v>0</v>
      </c>
      <c r="G3636" s="34" t="n">
        <f aca="false">SUMIFS('12.326ana'!$C:$C,'12.326ana'!$M:$M,redes!A3636)</f>
        <v>0</v>
      </c>
    </row>
    <row r="3637" customFormat="false" ht="14.4" hidden="true" customHeight="false" outlineLevel="0" collapsed="false">
      <c r="A3637" s="34" t="n">
        <v>60819227153</v>
      </c>
      <c r="B3637" s="34" t="s">
        <v>9378</v>
      </c>
      <c r="C3637" s="34" t="s">
        <v>77</v>
      </c>
      <c r="E3637" s="30"/>
      <c r="F3637" s="34" t="n">
        <f aca="false">IFERROR(VLOOKUP($A3637,'319'!$B:$H,7,0),0)</f>
        <v>0</v>
      </c>
      <c r="G3637" s="34" t="n">
        <f aca="false">SUMIFS('12.326ana'!$C:$C,'12.326ana'!$M:$M,redes!A3637)</f>
        <v>0</v>
      </c>
    </row>
    <row r="3638" customFormat="false" ht="14.4" hidden="true" customHeight="false" outlineLevel="0" collapsed="false">
      <c r="A3638" s="34" t="n">
        <v>60819308153</v>
      </c>
      <c r="B3638" s="34" t="s">
        <v>9379</v>
      </c>
      <c r="C3638" s="34" t="s">
        <v>77</v>
      </c>
      <c r="E3638" s="30" t="s">
        <v>9380</v>
      </c>
      <c r="F3638" s="34" t="n">
        <f aca="false">IFERROR(VLOOKUP($A3638,'319'!$B:$H,7,0),0)</f>
        <v>0</v>
      </c>
      <c r="G3638" s="34" t="n">
        <f aca="false">SUMIFS('12.326ana'!$C:$C,'12.326ana'!$M:$M,redes!A3638)</f>
        <v>0</v>
      </c>
    </row>
    <row r="3639" customFormat="false" ht="14.4" hidden="true" customHeight="false" outlineLevel="0" collapsed="false">
      <c r="A3639" s="34" t="n">
        <v>60821531115</v>
      </c>
      <c r="B3639" s="34" t="s">
        <v>9381</v>
      </c>
      <c r="C3639" s="34" t="s">
        <v>77</v>
      </c>
      <c r="E3639" s="30" t="s">
        <v>9382</v>
      </c>
      <c r="F3639" s="34" t="n">
        <f aca="false">IFERROR(VLOOKUP($A3639,'319'!$B:$H,7,0),0)</f>
        <v>0</v>
      </c>
      <c r="G3639" s="34" t="n">
        <f aca="false">SUMIFS('12.326ana'!$C:$C,'12.326ana'!$M:$M,redes!A3639)</f>
        <v>0</v>
      </c>
    </row>
    <row r="3640" customFormat="false" ht="14.4" hidden="true" customHeight="false" outlineLevel="0" collapsed="false">
      <c r="A3640" s="34" t="n">
        <v>60822821168</v>
      </c>
      <c r="B3640" s="34" t="s">
        <v>9383</v>
      </c>
      <c r="C3640" s="34" t="s">
        <v>77</v>
      </c>
      <c r="E3640" s="30" t="s">
        <v>9384</v>
      </c>
      <c r="F3640" s="34" t="n">
        <f aca="false">IFERROR(VLOOKUP($A3640,'319'!$B:$H,7,0),0)</f>
        <v>0</v>
      </c>
      <c r="G3640" s="34" t="n">
        <f aca="false">SUMIFS('12.326ana'!$C:$C,'12.326ana'!$M:$M,redes!A3640)</f>
        <v>0</v>
      </c>
    </row>
    <row r="3641" customFormat="false" ht="14.4" hidden="true" customHeight="false" outlineLevel="0" collapsed="false">
      <c r="A3641" s="34" t="n">
        <v>60823178153</v>
      </c>
      <c r="B3641" s="34" t="s">
        <v>9385</v>
      </c>
      <c r="C3641" s="34" t="s">
        <v>77</v>
      </c>
      <c r="E3641" s="30" t="s">
        <v>9386</v>
      </c>
      <c r="F3641" s="34" t="n">
        <f aca="false">IFERROR(VLOOKUP($A3641,'319'!$B:$H,7,0),0)</f>
        <v>0</v>
      </c>
      <c r="G3641" s="34" t="n">
        <f aca="false">SUMIFS('12.326ana'!$C:$C,'12.326ana'!$M:$M,redes!A3641)</f>
        <v>0</v>
      </c>
    </row>
    <row r="3642" customFormat="false" ht="14.4" hidden="true" customHeight="false" outlineLevel="0" collapsed="false">
      <c r="A3642" s="34" t="n">
        <v>60823429172</v>
      </c>
      <c r="B3642" s="34" t="s">
        <v>9387</v>
      </c>
      <c r="C3642" s="34" t="s">
        <v>77</v>
      </c>
      <c r="E3642" s="30" t="s">
        <v>4630</v>
      </c>
      <c r="F3642" s="34" t="n">
        <f aca="false">IFERROR(VLOOKUP($A3642,'319'!$B:$H,7,0),0)</f>
        <v>0</v>
      </c>
      <c r="G3642" s="34" t="n">
        <f aca="false">SUMIFS('12.326ana'!$C:$C,'12.326ana'!$M:$M,redes!A3642)</f>
        <v>0</v>
      </c>
    </row>
    <row r="3643" customFormat="false" ht="14.4" hidden="true" customHeight="false" outlineLevel="0" collapsed="false">
      <c r="A3643" s="34" t="n">
        <v>60826797172</v>
      </c>
      <c r="B3643" s="34" t="s">
        <v>9388</v>
      </c>
      <c r="C3643" s="34" t="s">
        <v>377</v>
      </c>
      <c r="E3643" s="30" t="s">
        <v>9389</v>
      </c>
      <c r="F3643" s="34" t="n">
        <f aca="false">IFERROR(VLOOKUP($A3643,'319'!$B:$H,7,0),0)</f>
        <v>0</v>
      </c>
      <c r="G3643" s="34" t="n">
        <f aca="false">SUMIFS('12.326ana'!$C:$C,'12.326ana'!$M:$M,redes!A3643)</f>
        <v>0</v>
      </c>
    </row>
    <row r="3644" customFormat="false" ht="14.4" hidden="true" customHeight="false" outlineLevel="0" collapsed="false">
      <c r="A3644" s="34" t="n">
        <v>60828110115</v>
      </c>
      <c r="B3644" s="34" t="s">
        <v>9390</v>
      </c>
      <c r="C3644" s="34" t="s">
        <v>77</v>
      </c>
      <c r="E3644" s="30" t="s">
        <v>9391</v>
      </c>
      <c r="F3644" s="34" t="n">
        <f aca="false">IFERROR(VLOOKUP($A3644,'319'!$B:$H,7,0),0)</f>
        <v>0</v>
      </c>
      <c r="G3644" s="34" t="n">
        <f aca="false">SUMIFS('12.326ana'!$C:$C,'12.326ana'!$M:$M,redes!A3644)</f>
        <v>0</v>
      </c>
    </row>
    <row r="3645" customFormat="false" ht="14.4" hidden="true" customHeight="false" outlineLevel="0" collapsed="false">
      <c r="A3645" s="34" t="n">
        <v>60830883134</v>
      </c>
      <c r="B3645" s="34" t="s">
        <v>9392</v>
      </c>
      <c r="C3645" s="34" t="s">
        <v>77</v>
      </c>
      <c r="E3645" s="30" t="s">
        <v>9393</v>
      </c>
      <c r="F3645" s="34" t="n">
        <f aca="false">IFERROR(VLOOKUP($A3645,'319'!$B:$H,7,0),0)</f>
        <v>0</v>
      </c>
      <c r="G3645" s="34" t="n">
        <f aca="false">SUMIFS('12.326ana'!$C:$C,'12.326ana'!$M:$M,redes!A3645)</f>
        <v>0</v>
      </c>
    </row>
    <row r="3646" customFormat="false" ht="14.4" hidden="true" customHeight="false" outlineLevel="0" collapsed="false">
      <c r="A3646" s="34" t="n">
        <v>60848618149</v>
      </c>
      <c r="B3646" s="34" t="s">
        <v>9394</v>
      </c>
      <c r="C3646" s="34" t="s">
        <v>979</v>
      </c>
      <c r="E3646" s="30" t="s">
        <v>9395</v>
      </c>
      <c r="F3646" s="34" t="n">
        <f aca="false">IFERROR(VLOOKUP($A3646,'319'!$B:$H,7,0),0)</f>
        <v>0</v>
      </c>
      <c r="G3646" s="34" t="n">
        <f aca="false">SUMIFS('12.326ana'!$C:$C,'12.326ana'!$M:$M,redes!A3646)</f>
        <v>0</v>
      </c>
    </row>
    <row r="3647" customFormat="false" ht="14.4" hidden="true" customHeight="false" outlineLevel="0" collapsed="false">
      <c r="A3647" s="34" t="n">
        <v>60870761153</v>
      </c>
      <c r="B3647" s="34" t="s">
        <v>9396</v>
      </c>
      <c r="C3647" s="34" t="s">
        <v>77</v>
      </c>
      <c r="E3647" s="30" t="s">
        <v>9397</v>
      </c>
      <c r="F3647" s="34" t="n">
        <f aca="false">IFERROR(VLOOKUP($A3647,'319'!$B:$H,7,0),0)</f>
        <v>0</v>
      </c>
      <c r="G3647" s="34" t="n">
        <f aca="false">SUMIFS('12.326ana'!$C:$C,'12.326ana'!$M:$M,redes!A3647)</f>
        <v>0</v>
      </c>
    </row>
    <row r="3648" customFormat="false" ht="14.4" hidden="true" customHeight="false" outlineLevel="0" collapsed="false">
      <c r="A3648" s="34" t="n">
        <v>60871822172</v>
      </c>
      <c r="B3648" s="34" t="s">
        <v>9398</v>
      </c>
      <c r="C3648" s="34" t="s">
        <v>192</v>
      </c>
      <c r="E3648" s="30" t="s">
        <v>9399</v>
      </c>
      <c r="F3648" s="34" t="n">
        <f aca="false">IFERROR(VLOOKUP($A3648,'319'!$B:$H,7,0),0)</f>
        <v>0</v>
      </c>
      <c r="G3648" s="34" t="n">
        <f aca="false">SUMIFS('12.326ana'!$C:$C,'12.326ana'!$M:$M,redes!A3648)</f>
        <v>0</v>
      </c>
    </row>
    <row r="3649" customFormat="false" ht="14.4" hidden="true" customHeight="false" outlineLevel="0" collapsed="false">
      <c r="A3649" s="34" t="n">
        <v>60885777115</v>
      </c>
      <c r="B3649" s="34" t="s">
        <v>9400</v>
      </c>
      <c r="C3649" s="34" t="s">
        <v>77</v>
      </c>
      <c r="E3649" s="30" t="s">
        <v>9401</v>
      </c>
      <c r="F3649" s="34" t="n">
        <f aca="false">IFERROR(VLOOKUP($A3649,'319'!$B:$H,7,0),0)</f>
        <v>0</v>
      </c>
      <c r="G3649" s="34" t="n">
        <f aca="false">SUMIFS('12.326ana'!$C:$C,'12.326ana'!$M:$M,redes!A3649)</f>
        <v>0</v>
      </c>
    </row>
    <row r="3650" customFormat="false" ht="14.4" hidden="true" customHeight="false" outlineLevel="0" collapsed="false">
      <c r="A3650" s="34" t="n">
        <v>60885920104</v>
      </c>
      <c r="B3650" s="34" t="s">
        <v>9402</v>
      </c>
      <c r="C3650" s="34" t="s">
        <v>4261</v>
      </c>
      <c r="E3650" s="30" t="s">
        <v>9403</v>
      </c>
      <c r="F3650" s="34" t="n">
        <f aca="false">IFERROR(VLOOKUP($A3650,'319'!$B:$H,7,0),0)</f>
        <v>0</v>
      </c>
      <c r="G3650" s="34" t="n">
        <f aca="false">SUMIFS('12.326ana'!$C:$C,'12.326ana'!$M:$M,redes!A3650)</f>
        <v>0</v>
      </c>
    </row>
    <row r="3651" customFormat="false" ht="14.4" hidden="true" customHeight="false" outlineLevel="0" collapsed="false">
      <c r="A3651" s="34" t="n">
        <v>60889403104</v>
      </c>
      <c r="B3651" s="34" t="s">
        <v>9404</v>
      </c>
      <c r="C3651" s="34" t="s">
        <v>475</v>
      </c>
      <c r="E3651" s="30" t="s">
        <v>9405</v>
      </c>
      <c r="F3651" s="34" t="n">
        <f aca="false">IFERROR(VLOOKUP($A3651,'319'!$B:$H,7,0),0)</f>
        <v>0</v>
      </c>
      <c r="G3651" s="34" t="n">
        <f aca="false">SUMIFS('12.326ana'!$C:$C,'12.326ana'!$M:$M,redes!A3651)</f>
        <v>0</v>
      </c>
    </row>
    <row r="3652" customFormat="false" ht="14.4" hidden="true" customHeight="false" outlineLevel="0" collapsed="false">
      <c r="A3652" s="34" t="n">
        <v>60891815104</v>
      </c>
      <c r="B3652" s="34" t="s">
        <v>9406</v>
      </c>
      <c r="C3652" s="34" t="s">
        <v>213</v>
      </c>
      <c r="E3652" s="30" t="s">
        <v>9407</v>
      </c>
      <c r="F3652" s="34" t="n">
        <f aca="false">IFERROR(VLOOKUP($A3652,'319'!$B:$H,7,0),0)</f>
        <v>0</v>
      </c>
      <c r="G3652" s="34" t="n">
        <f aca="false">SUMIFS('12.326ana'!$C:$C,'12.326ana'!$M:$M,redes!A3652)</f>
        <v>0</v>
      </c>
    </row>
    <row r="3653" customFormat="false" ht="14.4" hidden="true" customHeight="false" outlineLevel="0" collapsed="false">
      <c r="A3653" s="34" t="n">
        <v>60893613134</v>
      </c>
      <c r="B3653" s="34" t="s">
        <v>9408</v>
      </c>
      <c r="C3653" s="34" t="s">
        <v>1272</v>
      </c>
      <c r="E3653" s="30" t="s">
        <v>2912</v>
      </c>
      <c r="F3653" s="34" t="n">
        <f aca="false">IFERROR(VLOOKUP($A3653,'319'!$B:$H,7,0),0)</f>
        <v>0</v>
      </c>
      <c r="G3653" s="34" t="n">
        <f aca="false">SUMIFS('12.326ana'!$C:$C,'12.326ana'!$M:$M,redes!A3653)</f>
        <v>0</v>
      </c>
    </row>
    <row r="3654" customFormat="false" ht="14.4" hidden="true" customHeight="false" outlineLevel="0" collapsed="false">
      <c r="A3654" s="34" t="n">
        <v>60900296100</v>
      </c>
      <c r="B3654" s="34" t="s">
        <v>9409</v>
      </c>
      <c r="C3654" s="34" t="s">
        <v>77</v>
      </c>
      <c r="E3654" s="30" t="s">
        <v>9410</v>
      </c>
      <c r="F3654" s="34" t="n">
        <f aca="false">IFERROR(VLOOKUP($A3654,'319'!$B:$H,7,0),0)</f>
        <v>0</v>
      </c>
      <c r="G3654" s="34" t="n">
        <f aca="false">SUMIFS('12.326ana'!$C:$C,'12.326ana'!$M:$M,redes!A3654)</f>
        <v>0</v>
      </c>
    </row>
    <row r="3655" customFormat="false" ht="14.4" hidden="true" customHeight="false" outlineLevel="0" collapsed="false">
      <c r="A3655" s="34" t="n">
        <v>60904810178</v>
      </c>
      <c r="B3655" s="34" t="s">
        <v>9411</v>
      </c>
      <c r="C3655" s="34" t="s">
        <v>197</v>
      </c>
      <c r="E3655" s="30" t="s">
        <v>8698</v>
      </c>
      <c r="F3655" s="34" t="n">
        <f aca="false">IFERROR(VLOOKUP($A3655,'319'!$B:$H,7,0),0)</f>
        <v>0</v>
      </c>
      <c r="G3655" s="34" t="n">
        <f aca="false">SUMIFS('12.326ana'!$C:$C,'12.326ana'!$M:$M,redes!A3655)</f>
        <v>0</v>
      </c>
    </row>
    <row r="3656" customFormat="false" ht="14.4" hidden="true" customHeight="false" outlineLevel="0" collapsed="false">
      <c r="A3656" s="34" t="n">
        <v>60913568104</v>
      </c>
      <c r="B3656" s="34" t="s">
        <v>9412</v>
      </c>
      <c r="C3656" s="34" t="s">
        <v>389</v>
      </c>
      <c r="E3656" s="30" t="s">
        <v>9413</v>
      </c>
      <c r="F3656" s="34" t="n">
        <f aca="false">IFERROR(VLOOKUP($A3656,'319'!$B:$H,7,0),0)</f>
        <v>0</v>
      </c>
      <c r="G3656" s="34" t="n">
        <f aca="false">SUMIFS('12.326ana'!$C:$C,'12.326ana'!$M:$M,redes!A3656)</f>
        <v>0</v>
      </c>
    </row>
    <row r="3657" customFormat="false" ht="14.4" hidden="true" customHeight="false" outlineLevel="0" collapsed="false">
      <c r="A3657" s="34" t="n">
        <v>60914726153</v>
      </c>
      <c r="B3657" s="34" t="s">
        <v>9414</v>
      </c>
      <c r="C3657" s="34" t="s">
        <v>77</v>
      </c>
      <c r="E3657" s="30" t="s">
        <v>9415</v>
      </c>
      <c r="F3657" s="34" t="n">
        <f aca="false">IFERROR(VLOOKUP($A3657,'319'!$B:$H,7,0),0)</f>
        <v>0</v>
      </c>
      <c r="G3657" s="34" t="n">
        <f aca="false">SUMIFS('12.326ana'!$C:$C,'12.326ana'!$M:$M,redes!A3657)</f>
        <v>0</v>
      </c>
    </row>
    <row r="3658" customFormat="false" ht="14.4" hidden="true" customHeight="false" outlineLevel="0" collapsed="false">
      <c r="A3658" s="34" t="n">
        <v>60915960125</v>
      </c>
      <c r="B3658" s="34" t="s">
        <v>9416</v>
      </c>
      <c r="C3658" s="34" t="s">
        <v>77</v>
      </c>
      <c r="E3658" s="30" t="s">
        <v>9417</v>
      </c>
      <c r="F3658" s="34" t="n">
        <f aca="false">IFERROR(VLOOKUP($A3658,'319'!$B:$H,7,0),0)</f>
        <v>0</v>
      </c>
      <c r="G3658" s="34" t="n">
        <f aca="false">SUMIFS('12.326ana'!$C:$C,'12.326ana'!$M:$M,redes!A3658)</f>
        <v>0</v>
      </c>
    </row>
    <row r="3659" customFormat="false" ht="14.4" hidden="true" customHeight="false" outlineLevel="0" collapsed="false">
      <c r="A3659" s="34" t="n">
        <v>60918888115</v>
      </c>
      <c r="B3659" s="34" t="s">
        <v>9418</v>
      </c>
      <c r="C3659" s="34" t="s">
        <v>77</v>
      </c>
      <c r="E3659" s="30" t="s">
        <v>7923</v>
      </c>
      <c r="F3659" s="34" t="n">
        <f aca="false">IFERROR(VLOOKUP($A3659,'319'!$B:$H,7,0),0)</f>
        <v>0</v>
      </c>
      <c r="G3659" s="34" t="n">
        <f aca="false">SUMIFS('12.326ana'!$C:$C,'12.326ana'!$M:$M,redes!A3659)</f>
        <v>0</v>
      </c>
    </row>
    <row r="3660" customFormat="false" ht="14.4" hidden="true" customHeight="false" outlineLevel="0" collapsed="false">
      <c r="A3660" s="34" t="n">
        <v>60925922153</v>
      </c>
      <c r="B3660" s="34" t="s">
        <v>9419</v>
      </c>
      <c r="C3660" s="34" t="s">
        <v>77</v>
      </c>
      <c r="E3660" s="30" t="s">
        <v>9420</v>
      </c>
      <c r="F3660" s="34" t="n">
        <f aca="false">IFERROR(VLOOKUP($A3660,'319'!$B:$H,7,0),0)</f>
        <v>0</v>
      </c>
      <c r="G3660" s="34" t="n">
        <f aca="false">SUMIFS('12.326ana'!$C:$C,'12.326ana'!$M:$M,redes!A3660)</f>
        <v>0</v>
      </c>
    </row>
    <row r="3661" customFormat="false" ht="14.4" hidden="true" customHeight="false" outlineLevel="0" collapsed="false">
      <c r="A3661" s="34" t="n">
        <v>60926775120</v>
      </c>
      <c r="B3661" s="34" t="s">
        <v>9421</v>
      </c>
      <c r="C3661" s="34" t="s">
        <v>77</v>
      </c>
      <c r="E3661" s="30" t="s">
        <v>9422</v>
      </c>
      <c r="F3661" s="34" t="n">
        <f aca="false">IFERROR(VLOOKUP($A3661,'319'!$B:$H,7,0),0)</f>
        <v>0</v>
      </c>
      <c r="G3661" s="34" t="n">
        <f aca="false">SUMIFS('12.326ana'!$C:$C,'12.326ana'!$M:$M,redes!A3661)</f>
        <v>0</v>
      </c>
    </row>
    <row r="3662" customFormat="false" ht="14.4" hidden="true" customHeight="false" outlineLevel="0" collapsed="false">
      <c r="A3662" s="34" t="n">
        <v>60927089149</v>
      </c>
      <c r="B3662" s="34" t="s">
        <v>9423</v>
      </c>
      <c r="C3662" s="34" t="s">
        <v>77</v>
      </c>
      <c r="E3662" s="30" t="s">
        <v>9424</v>
      </c>
      <c r="F3662" s="34" t="n">
        <f aca="false">IFERROR(VLOOKUP($A3662,'319'!$B:$H,7,0),0)</f>
        <v>0</v>
      </c>
      <c r="G3662" s="34" t="n">
        <f aca="false">SUMIFS('12.326ana'!$C:$C,'12.326ana'!$M:$M,redes!A3662)</f>
        <v>0</v>
      </c>
    </row>
    <row r="3663" customFormat="false" ht="14.4" hidden="true" customHeight="false" outlineLevel="0" collapsed="false">
      <c r="A3663" s="34" t="n">
        <v>60930934172</v>
      </c>
      <c r="B3663" s="34" t="s">
        <v>9425</v>
      </c>
      <c r="C3663" s="34" t="s">
        <v>77</v>
      </c>
      <c r="E3663" s="30" t="s">
        <v>9426</v>
      </c>
      <c r="F3663" s="34" t="n">
        <f aca="false">IFERROR(VLOOKUP($A3663,'319'!$B:$H,7,0),0)</f>
        <v>0</v>
      </c>
      <c r="G3663" s="34" t="n">
        <f aca="false">SUMIFS('12.326ana'!$C:$C,'12.326ana'!$M:$M,redes!A3663)</f>
        <v>0</v>
      </c>
    </row>
    <row r="3664" customFormat="false" ht="14.4" hidden="true" customHeight="false" outlineLevel="0" collapsed="false">
      <c r="A3664" s="34" t="n">
        <v>60945990120</v>
      </c>
      <c r="B3664" s="34" t="s">
        <v>9427</v>
      </c>
      <c r="C3664" s="34" t="s">
        <v>77</v>
      </c>
      <c r="E3664" s="30" t="s">
        <v>9428</v>
      </c>
      <c r="F3664" s="34" t="n">
        <f aca="false">IFERROR(VLOOKUP($A3664,'319'!$B:$H,7,0),0)</f>
        <v>0</v>
      </c>
      <c r="G3664" s="34" t="n">
        <f aca="false">SUMIFS('12.326ana'!$C:$C,'12.326ana'!$M:$M,redes!A3664)</f>
        <v>0</v>
      </c>
    </row>
    <row r="3665" customFormat="false" ht="14.4" hidden="true" customHeight="false" outlineLevel="0" collapsed="false">
      <c r="A3665" s="34" t="n">
        <v>60946709149</v>
      </c>
      <c r="B3665" s="34" t="s">
        <v>9429</v>
      </c>
      <c r="C3665" s="34" t="s">
        <v>77</v>
      </c>
      <c r="E3665" s="30" t="s">
        <v>8997</v>
      </c>
      <c r="F3665" s="34" t="n">
        <f aca="false">IFERROR(VLOOKUP($A3665,'319'!$B:$H,7,0),0)</f>
        <v>0</v>
      </c>
      <c r="G3665" s="34" t="n">
        <f aca="false">SUMIFS('12.326ana'!$C:$C,'12.326ana'!$M:$M,redes!A3665)</f>
        <v>0</v>
      </c>
    </row>
    <row r="3666" customFormat="false" ht="14.4" hidden="true" customHeight="false" outlineLevel="0" collapsed="false">
      <c r="A3666" s="34" t="n">
        <v>60948353104</v>
      </c>
      <c r="B3666" s="34" t="s">
        <v>9430</v>
      </c>
      <c r="C3666" s="34" t="s">
        <v>77</v>
      </c>
      <c r="E3666" s="30" t="s">
        <v>9431</v>
      </c>
      <c r="F3666" s="34" t="n">
        <f aca="false">IFERROR(VLOOKUP($A3666,'319'!$B:$H,7,0),0)</f>
        <v>0</v>
      </c>
      <c r="G3666" s="34" t="n">
        <f aca="false">SUMIFS('12.326ana'!$C:$C,'12.326ana'!$M:$M,redes!A3666)</f>
        <v>0</v>
      </c>
    </row>
    <row r="3667" customFormat="false" ht="14.4" hidden="true" customHeight="false" outlineLevel="0" collapsed="false">
      <c r="A3667" s="34" t="n">
        <v>60952059134</v>
      </c>
      <c r="B3667" s="34" t="s">
        <v>9432</v>
      </c>
      <c r="C3667" s="34" t="s">
        <v>77</v>
      </c>
      <c r="E3667" s="30" t="s">
        <v>9433</v>
      </c>
      <c r="F3667" s="34" t="n">
        <f aca="false">IFERROR(VLOOKUP($A3667,'319'!$B:$H,7,0),0)</f>
        <v>0</v>
      </c>
      <c r="G3667" s="34" t="n">
        <f aca="false">SUMIFS('12.326ana'!$C:$C,'12.326ana'!$M:$M,redes!A3667)</f>
        <v>0</v>
      </c>
    </row>
    <row r="3668" customFormat="false" ht="14.4" hidden="true" customHeight="false" outlineLevel="0" collapsed="false">
      <c r="A3668" s="34" t="n">
        <v>60953578100</v>
      </c>
      <c r="B3668" s="34" t="s">
        <v>9434</v>
      </c>
      <c r="C3668" s="34" t="s">
        <v>77</v>
      </c>
      <c r="E3668" s="30" t="s">
        <v>9435</v>
      </c>
      <c r="F3668" s="34" t="n">
        <f aca="false">IFERROR(VLOOKUP($A3668,'319'!$B:$H,7,0),0)</f>
        <v>0</v>
      </c>
      <c r="G3668" s="34" t="n">
        <f aca="false">SUMIFS('12.326ana'!$C:$C,'12.326ana'!$M:$M,redes!A3668)</f>
        <v>0</v>
      </c>
    </row>
    <row r="3669" customFormat="false" ht="14.4" hidden="true" customHeight="false" outlineLevel="0" collapsed="false">
      <c r="A3669" s="34" t="n">
        <v>60954515153</v>
      </c>
      <c r="B3669" s="34" t="s">
        <v>9436</v>
      </c>
      <c r="C3669" s="34" t="s">
        <v>478</v>
      </c>
      <c r="E3669" s="30" t="s">
        <v>9437</v>
      </c>
      <c r="F3669" s="34" t="n">
        <f aca="false">IFERROR(VLOOKUP($A3669,'319'!$B:$H,7,0),0)</f>
        <v>0</v>
      </c>
      <c r="G3669" s="34" t="n">
        <f aca="false">SUMIFS('12.326ana'!$C:$C,'12.326ana'!$M:$M,redes!A3669)</f>
        <v>0</v>
      </c>
    </row>
    <row r="3670" customFormat="false" ht="14.4" hidden="true" customHeight="false" outlineLevel="0" collapsed="false">
      <c r="A3670" s="34" t="n">
        <v>60956500110</v>
      </c>
      <c r="B3670" s="34" t="s">
        <v>9438</v>
      </c>
      <c r="C3670" s="34" t="s">
        <v>77</v>
      </c>
      <c r="E3670" s="30" t="s">
        <v>9439</v>
      </c>
      <c r="F3670" s="34" t="n">
        <f aca="false">IFERROR(VLOOKUP($A3670,'319'!$B:$H,7,0),0)</f>
        <v>0</v>
      </c>
      <c r="G3670" s="34" t="n">
        <f aca="false">SUMIFS('12.326ana'!$C:$C,'12.326ana'!$M:$M,redes!A3670)</f>
        <v>0</v>
      </c>
    </row>
    <row r="3671" customFormat="false" ht="14.4" hidden="true" customHeight="false" outlineLevel="0" collapsed="false">
      <c r="A3671" s="34" t="n">
        <v>60957506104</v>
      </c>
      <c r="B3671" s="34" t="s">
        <v>9440</v>
      </c>
      <c r="C3671" s="34" t="s">
        <v>77</v>
      </c>
      <c r="E3671" s="30" t="s">
        <v>9440</v>
      </c>
      <c r="F3671" s="34" t="n">
        <f aca="false">IFERROR(VLOOKUP($A3671,'319'!$B:$H,7,0),0)</f>
        <v>0</v>
      </c>
      <c r="G3671" s="34" t="n">
        <f aca="false">SUMIFS('12.326ana'!$C:$C,'12.326ana'!$M:$M,redes!A3671)</f>
        <v>0</v>
      </c>
    </row>
    <row r="3672" customFormat="false" ht="14.4" hidden="true" customHeight="false" outlineLevel="0" collapsed="false">
      <c r="A3672" s="34" t="n">
        <v>60959762191</v>
      </c>
      <c r="B3672" s="34" t="s">
        <v>9441</v>
      </c>
      <c r="C3672" s="34" t="s">
        <v>77</v>
      </c>
      <c r="E3672" s="30" t="s">
        <v>3001</v>
      </c>
      <c r="F3672" s="34" t="n">
        <f aca="false">IFERROR(VLOOKUP($A3672,'319'!$B:$H,7,0),0)</f>
        <v>0</v>
      </c>
      <c r="G3672" s="34" t="n">
        <f aca="false">SUMIFS('12.326ana'!$C:$C,'12.326ana'!$M:$M,redes!A3672)</f>
        <v>0</v>
      </c>
    </row>
    <row r="3673" customFormat="false" ht="14.4" hidden="true" customHeight="false" outlineLevel="0" collapsed="false">
      <c r="A3673" s="34" t="n">
        <v>60959819134</v>
      </c>
      <c r="B3673" s="34" t="s">
        <v>9442</v>
      </c>
      <c r="C3673" s="34" t="s">
        <v>77</v>
      </c>
      <c r="E3673" s="30" t="s">
        <v>9443</v>
      </c>
      <c r="F3673" s="34" t="n">
        <f aca="false">IFERROR(VLOOKUP($A3673,'319'!$B:$H,7,0),0)</f>
        <v>0</v>
      </c>
      <c r="G3673" s="34" t="n">
        <f aca="false">SUMIFS('12.326ana'!$C:$C,'12.326ana'!$M:$M,redes!A3673)</f>
        <v>0</v>
      </c>
    </row>
    <row r="3674" customFormat="false" ht="14.4" hidden="true" customHeight="false" outlineLevel="0" collapsed="false">
      <c r="A3674" s="34" t="n">
        <v>60961155191</v>
      </c>
      <c r="B3674" s="34" t="s">
        <v>9444</v>
      </c>
      <c r="C3674" s="34" t="s">
        <v>464</v>
      </c>
      <c r="E3674" s="30" t="s">
        <v>9445</v>
      </c>
      <c r="F3674" s="34" t="n">
        <f aca="false">IFERROR(VLOOKUP($A3674,'319'!$B:$H,7,0),0)</f>
        <v>0</v>
      </c>
      <c r="G3674" s="34" t="n">
        <f aca="false">SUMIFS('12.326ana'!$C:$C,'12.326ana'!$M:$M,redes!A3674)</f>
        <v>0</v>
      </c>
    </row>
    <row r="3675" customFormat="false" ht="14.4" hidden="true" customHeight="false" outlineLevel="0" collapsed="false">
      <c r="A3675" s="34" t="n">
        <v>60961244100</v>
      </c>
      <c r="B3675" s="34" t="s">
        <v>9446</v>
      </c>
      <c r="C3675" s="34" t="s">
        <v>77</v>
      </c>
      <c r="E3675" s="30" t="s">
        <v>9447</v>
      </c>
      <c r="F3675" s="34" t="n">
        <f aca="false">IFERROR(VLOOKUP($A3675,'319'!$B:$H,7,0),0)</f>
        <v>0</v>
      </c>
      <c r="G3675" s="34" t="n">
        <f aca="false">SUMIFS('12.326ana'!$C:$C,'12.326ana'!$M:$M,redes!A3675)</f>
        <v>0</v>
      </c>
    </row>
    <row r="3676" customFormat="false" ht="14.4" hidden="true" customHeight="false" outlineLevel="0" collapsed="false">
      <c r="A3676" s="34" t="n">
        <v>60963441191</v>
      </c>
      <c r="B3676" s="34" t="s">
        <v>9448</v>
      </c>
      <c r="C3676" s="34" t="s">
        <v>77</v>
      </c>
      <c r="E3676" s="30" t="s">
        <v>5149</v>
      </c>
      <c r="F3676" s="34" t="n">
        <f aca="false">IFERROR(VLOOKUP($A3676,'319'!$B:$H,7,0),0)</f>
        <v>0</v>
      </c>
      <c r="G3676" s="34" t="n">
        <f aca="false">SUMIFS('12.326ana'!$C:$C,'12.326ana'!$M:$M,redes!A3676)</f>
        <v>0</v>
      </c>
    </row>
    <row r="3677" customFormat="false" ht="14.4" hidden="true" customHeight="false" outlineLevel="0" collapsed="false">
      <c r="A3677" s="34" t="n">
        <v>60971894191</v>
      </c>
      <c r="B3677" s="34" t="s">
        <v>9449</v>
      </c>
      <c r="C3677" s="34" t="s">
        <v>77</v>
      </c>
      <c r="E3677" s="30" t="s">
        <v>9450</v>
      </c>
      <c r="F3677" s="34" t="n">
        <f aca="false">IFERROR(VLOOKUP($A3677,'319'!$B:$H,7,0),0)</f>
        <v>0</v>
      </c>
      <c r="G3677" s="34" t="n">
        <f aca="false">SUMIFS('12.326ana'!$C:$C,'12.326ana'!$M:$M,redes!A3677)</f>
        <v>0</v>
      </c>
    </row>
    <row r="3678" customFormat="false" ht="14.4" hidden="true" customHeight="false" outlineLevel="0" collapsed="false">
      <c r="A3678" s="34" t="n">
        <v>60974079120</v>
      </c>
      <c r="B3678" s="34" t="s">
        <v>9451</v>
      </c>
      <c r="C3678" s="34" t="s">
        <v>77</v>
      </c>
      <c r="E3678" s="30" t="s">
        <v>9452</v>
      </c>
      <c r="F3678" s="34" t="n">
        <f aca="false">IFERROR(VLOOKUP($A3678,'319'!$B:$H,7,0),0)</f>
        <v>0</v>
      </c>
      <c r="G3678" s="34" t="n">
        <f aca="false">SUMIFS('12.326ana'!$C:$C,'12.326ana'!$M:$M,redes!A3678)</f>
        <v>0</v>
      </c>
    </row>
    <row r="3679" customFormat="false" ht="14.4" hidden="true" customHeight="false" outlineLevel="0" collapsed="false">
      <c r="A3679" s="34" t="n">
        <v>60981237134</v>
      </c>
      <c r="B3679" s="34" t="s">
        <v>9453</v>
      </c>
      <c r="C3679" s="34" t="s">
        <v>77</v>
      </c>
      <c r="E3679" s="30" t="s">
        <v>9454</v>
      </c>
      <c r="F3679" s="34" t="n">
        <f aca="false">IFERROR(VLOOKUP($A3679,'319'!$B:$H,7,0),0)</f>
        <v>0</v>
      </c>
      <c r="G3679" s="34" t="n">
        <f aca="false">SUMIFS('12.326ana'!$C:$C,'12.326ana'!$M:$M,redes!A3679)</f>
        <v>0</v>
      </c>
    </row>
    <row r="3680" customFormat="false" ht="14.4" hidden="true" customHeight="false" outlineLevel="0" collapsed="false">
      <c r="A3680" s="34" t="n">
        <v>60990139115</v>
      </c>
      <c r="B3680" s="34" t="s">
        <v>9455</v>
      </c>
      <c r="C3680" s="34" t="s">
        <v>89</v>
      </c>
      <c r="E3680" s="30" t="s">
        <v>9456</v>
      </c>
      <c r="F3680" s="34" t="n">
        <f aca="false">IFERROR(VLOOKUP($A3680,'319'!$B:$H,7,0),0)</f>
        <v>0</v>
      </c>
      <c r="G3680" s="34" t="n">
        <f aca="false">SUMIFS('12.326ana'!$C:$C,'12.326ana'!$M:$M,redes!A3680)</f>
        <v>0</v>
      </c>
    </row>
    <row r="3681" customFormat="false" ht="14.4" hidden="true" customHeight="false" outlineLevel="0" collapsed="false">
      <c r="A3681" s="34" t="n">
        <v>60994711115</v>
      </c>
      <c r="B3681" s="34" t="s">
        <v>9457</v>
      </c>
      <c r="C3681" s="34" t="s">
        <v>107</v>
      </c>
      <c r="E3681" s="30" t="s">
        <v>9458</v>
      </c>
      <c r="F3681" s="34" t="n">
        <f aca="false">IFERROR(VLOOKUP($A3681,'319'!$B:$H,7,0),0)</f>
        <v>0</v>
      </c>
      <c r="G3681" s="34" t="n">
        <f aca="false">SUMIFS('12.326ana'!$C:$C,'12.326ana'!$M:$M,redes!A3681)</f>
        <v>0</v>
      </c>
    </row>
    <row r="3682" customFormat="false" ht="14.4" hidden="true" customHeight="false" outlineLevel="0" collapsed="false">
      <c r="A3682" s="34" t="n">
        <v>61022454072</v>
      </c>
      <c r="B3682" s="34" t="s">
        <v>9459</v>
      </c>
      <c r="C3682" s="34" t="s">
        <v>77</v>
      </c>
      <c r="E3682" s="30" t="s">
        <v>9030</v>
      </c>
      <c r="F3682" s="34" t="n">
        <f aca="false">IFERROR(VLOOKUP($A3682,'319'!$B:$H,7,0),0)</f>
        <v>0</v>
      </c>
      <c r="G3682" s="34" t="n">
        <f aca="false">SUMIFS('12.326ana'!$C:$C,'12.326ana'!$M:$M,redes!A3682)</f>
        <v>0</v>
      </c>
    </row>
    <row r="3683" customFormat="false" ht="14.4" hidden="true" customHeight="false" outlineLevel="0" collapsed="false">
      <c r="A3683" s="34" t="n">
        <v>61146000147</v>
      </c>
      <c r="B3683" s="34" t="s">
        <v>9460</v>
      </c>
      <c r="C3683" s="34" t="s">
        <v>463</v>
      </c>
      <c r="E3683" s="30" t="s">
        <v>8490</v>
      </c>
      <c r="F3683" s="34" t="n">
        <f aca="false">IFERROR(VLOOKUP($A3683,'319'!$B:$H,7,0),0)</f>
        <v>0</v>
      </c>
      <c r="G3683" s="34" t="n">
        <f aca="false">SUMIFS('12.326ana'!$C:$C,'12.326ana'!$M:$M,redes!A3683)</f>
        <v>0</v>
      </c>
    </row>
    <row r="3684" customFormat="false" ht="14.4" hidden="true" customHeight="false" outlineLevel="0" collapsed="false">
      <c r="A3684" s="34" t="n">
        <v>61180602900</v>
      </c>
      <c r="B3684" s="34" t="s">
        <v>9461</v>
      </c>
      <c r="C3684" s="34" t="s">
        <v>342</v>
      </c>
      <c r="E3684" s="30" t="s">
        <v>9462</v>
      </c>
      <c r="F3684" s="34" t="n">
        <f aca="false">IFERROR(VLOOKUP($A3684,'319'!$B:$H,7,0),0)</f>
        <v>0</v>
      </c>
      <c r="G3684" s="34" t="n">
        <f aca="false">SUMIFS('12.326ana'!$C:$C,'12.326ana'!$M:$M,redes!A3684)</f>
        <v>0</v>
      </c>
    </row>
    <row r="3685" customFormat="false" ht="14.4" hidden="true" customHeight="false" outlineLevel="0" collapsed="false">
      <c r="A3685" s="34" t="n">
        <v>61186000199</v>
      </c>
      <c r="B3685" s="34" t="s">
        <v>9463</v>
      </c>
      <c r="C3685" s="34" t="s">
        <v>781</v>
      </c>
      <c r="E3685" s="30" t="s">
        <v>9464</v>
      </c>
      <c r="F3685" s="34" t="n">
        <f aca="false">IFERROR(VLOOKUP($A3685,'319'!$B:$H,7,0),0)</f>
        <v>0</v>
      </c>
      <c r="G3685" s="34" t="n">
        <f aca="false">SUMIFS('12.326ana'!$C:$C,'12.326ana'!$M:$M,redes!A3685)</f>
        <v>0</v>
      </c>
    </row>
    <row r="3686" customFormat="false" ht="14.4" hidden="true" customHeight="false" outlineLevel="0" collapsed="false">
      <c r="A3686" s="34" t="n">
        <v>61236411900</v>
      </c>
      <c r="B3686" s="34" t="s">
        <v>9465</v>
      </c>
      <c r="C3686" s="34" t="s">
        <v>464</v>
      </c>
      <c r="E3686" s="30" t="s">
        <v>9466</v>
      </c>
      <c r="F3686" s="34" t="n">
        <f aca="false">IFERROR(VLOOKUP($A3686,'319'!$B:$H,7,0),0)</f>
        <v>0</v>
      </c>
      <c r="G3686" s="34" t="n">
        <f aca="false">SUMIFS('12.326ana'!$C:$C,'12.326ana'!$M:$M,redes!A3686)</f>
        <v>0</v>
      </c>
    </row>
    <row r="3687" customFormat="false" ht="14.4" hidden="true" customHeight="false" outlineLevel="0" collapsed="false">
      <c r="A3687" s="34" t="n">
        <v>61340910225</v>
      </c>
      <c r="B3687" s="34" t="s">
        <v>9467</v>
      </c>
      <c r="C3687" s="34" t="s">
        <v>77</v>
      </c>
      <c r="E3687" s="30" t="s">
        <v>9468</v>
      </c>
      <c r="F3687" s="34" t="n">
        <f aca="false">IFERROR(VLOOKUP($A3687,'319'!$B:$H,7,0),0)</f>
        <v>0</v>
      </c>
      <c r="G3687" s="34" t="n">
        <f aca="false">SUMIFS('12.326ana'!$C:$C,'12.326ana'!$M:$M,redes!A3687)</f>
        <v>0</v>
      </c>
    </row>
    <row r="3688" customFormat="false" ht="14.4" hidden="true" customHeight="false" outlineLevel="0" collapsed="false">
      <c r="A3688" s="34" t="n">
        <v>61363294172</v>
      </c>
      <c r="B3688" s="34" t="s">
        <v>9469</v>
      </c>
      <c r="C3688" s="34" t="s">
        <v>129</v>
      </c>
      <c r="E3688" s="30" t="s">
        <v>9470</v>
      </c>
      <c r="F3688" s="34" t="n">
        <f aca="false">IFERROR(VLOOKUP($A3688,'319'!$B:$H,7,0),0)</f>
        <v>0</v>
      </c>
      <c r="G3688" s="34" t="n">
        <f aca="false">SUMIFS('12.326ana'!$C:$C,'12.326ana'!$M:$M,redes!A3688)</f>
        <v>0</v>
      </c>
    </row>
    <row r="3689" customFormat="false" ht="14.4" hidden="true" customHeight="false" outlineLevel="0" collapsed="false">
      <c r="A3689" s="34" t="n">
        <v>61373028149</v>
      </c>
      <c r="B3689" s="34" t="s">
        <v>9471</v>
      </c>
      <c r="C3689" s="34" t="s">
        <v>77</v>
      </c>
      <c r="E3689" s="30" t="s">
        <v>9472</v>
      </c>
      <c r="F3689" s="34" t="n">
        <f aca="false">IFERROR(VLOOKUP($A3689,'319'!$B:$H,7,0),0)</f>
        <v>0</v>
      </c>
      <c r="G3689" s="34" t="n">
        <f aca="false">SUMIFS('12.326ana'!$C:$C,'12.326ana'!$M:$M,redes!A3689)</f>
        <v>0</v>
      </c>
    </row>
    <row r="3690" customFormat="false" ht="14.4" hidden="true" customHeight="false" outlineLevel="0" collapsed="false">
      <c r="A3690" s="34" t="n">
        <v>61374822191</v>
      </c>
      <c r="B3690" s="34" t="s">
        <v>9473</v>
      </c>
      <c r="C3690" s="34" t="s">
        <v>107</v>
      </c>
      <c r="E3690" s="30"/>
      <c r="F3690" s="34" t="n">
        <f aca="false">IFERROR(VLOOKUP($A3690,'319'!$B:$H,7,0),0)</f>
        <v>0</v>
      </c>
      <c r="G3690" s="34" t="n">
        <f aca="false">SUMIFS('12.326ana'!$C:$C,'12.326ana'!$M:$M,redes!A3690)</f>
        <v>0</v>
      </c>
    </row>
    <row r="3691" customFormat="false" ht="14.4" hidden="true" customHeight="false" outlineLevel="0" collapsed="false">
      <c r="A3691" s="34" t="n">
        <v>61379506115</v>
      </c>
      <c r="B3691" s="34" t="s">
        <v>9474</v>
      </c>
      <c r="C3691" s="34" t="s">
        <v>463</v>
      </c>
      <c r="E3691" s="30" t="s">
        <v>9475</v>
      </c>
      <c r="F3691" s="34" t="n">
        <f aca="false">IFERROR(VLOOKUP($A3691,'319'!$B:$H,7,0),0)</f>
        <v>0</v>
      </c>
      <c r="G3691" s="34" t="n">
        <f aca="false">SUMIFS('12.326ana'!$C:$C,'12.326ana'!$M:$M,redes!A3691)</f>
        <v>0</v>
      </c>
    </row>
    <row r="3692" customFormat="false" ht="14.4" hidden="true" customHeight="false" outlineLevel="0" collapsed="false">
      <c r="A3692" s="34" t="n">
        <v>61381640168</v>
      </c>
      <c r="B3692" s="34" t="s">
        <v>8725</v>
      </c>
      <c r="C3692" s="34" t="s">
        <v>197</v>
      </c>
      <c r="E3692" s="30" t="s">
        <v>9476</v>
      </c>
      <c r="F3692" s="34" t="n">
        <f aca="false">IFERROR(VLOOKUP($A3692,'319'!$B:$H,7,0),0)</f>
        <v>0</v>
      </c>
      <c r="G3692" s="34" t="n">
        <f aca="false">SUMIFS('12.326ana'!$C:$C,'12.326ana'!$M:$M,redes!A3692)</f>
        <v>0</v>
      </c>
    </row>
    <row r="3693" customFormat="false" ht="14.4" hidden="true" customHeight="false" outlineLevel="0" collapsed="false">
      <c r="A3693" s="34" t="n">
        <v>61385387149</v>
      </c>
      <c r="B3693" s="34" t="s">
        <v>9477</v>
      </c>
      <c r="C3693" s="34" t="s">
        <v>77</v>
      </c>
      <c r="E3693" s="30" t="s">
        <v>4626</v>
      </c>
      <c r="F3693" s="34" t="n">
        <f aca="false">IFERROR(VLOOKUP($A3693,'319'!$B:$H,7,0),0)</f>
        <v>0</v>
      </c>
      <c r="G3693" s="34" t="n">
        <f aca="false">SUMIFS('12.326ana'!$C:$C,'12.326ana'!$M:$M,redes!A3693)</f>
        <v>0</v>
      </c>
    </row>
    <row r="3694" customFormat="false" ht="14.4" hidden="true" customHeight="false" outlineLevel="0" collapsed="false">
      <c r="A3694" s="34" t="n">
        <v>61391026187</v>
      </c>
      <c r="B3694" s="34" t="s">
        <v>9478</v>
      </c>
      <c r="C3694" s="34" t="s">
        <v>77</v>
      </c>
      <c r="E3694" s="30"/>
      <c r="F3694" s="34" t="n">
        <f aca="false">IFERROR(VLOOKUP($A3694,'319'!$B:$H,7,0),0)</f>
        <v>0</v>
      </c>
      <c r="G3694" s="34" t="n">
        <f aca="false">SUMIFS('12.326ana'!$C:$C,'12.326ana'!$M:$M,redes!A3694)</f>
        <v>0</v>
      </c>
    </row>
    <row r="3695" customFormat="false" ht="14.4" hidden="true" customHeight="false" outlineLevel="0" collapsed="false">
      <c r="A3695" s="34" t="n">
        <v>61392740100</v>
      </c>
      <c r="B3695" s="34" t="s">
        <v>9479</v>
      </c>
      <c r="C3695" s="34" t="s">
        <v>77</v>
      </c>
      <c r="E3695" s="30" t="s">
        <v>9480</v>
      </c>
      <c r="F3695" s="34" t="n">
        <f aca="false">IFERROR(VLOOKUP($A3695,'319'!$B:$H,7,0),0)</f>
        <v>0</v>
      </c>
      <c r="G3695" s="34" t="n">
        <f aca="false">SUMIFS('12.326ana'!$C:$C,'12.326ana'!$M:$M,redes!A3695)</f>
        <v>0</v>
      </c>
    </row>
    <row r="3696" customFormat="false" ht="14.4" hidden="true" customHeight="false" outlineLevel="0" collapsed="false">
      <c r="A3696" s="34" t="n">
        <v>61397660104</v>
      </c>
      <c r="B3696" s="34" t="s">
        <v>9481</v>
      </c>
      <c r="C3696" s="34" t="s">
        <v>107</v>
      </c>
      <c r="E3696" s="30"/>
      <c r="F3696" s="34" t="n">
        <f aca="false">IFERROR(VLOOKUP($A3696,'319'!$B:$H,7,0),0)</f>
        <v>0</v>
      </c>
      <c r="G3696" s="34" t="n">
        <f aca="false">SUMIFS('12.326ana'!$C:$C,'12.326ana'!$M:$M,redes!A3696)</f>
        <v>0</v>
      </c>
    </row>
    <row r="3697" customFormat="false" ht="14.4" hidden="true" customHeight="false" outlineLevel="0" collapsed="false">
      <c r="A3697" s="34" t="n">
        <v>61401544134</v>
      </c>
      <c r="B3697" s="34" t="s">
        <v>9482</v>
      </c>
      <c r="C3697" s="34" t="s">
        <v>77</v>
      </c>
      <c r="E3697" s="30" t="s">
        <v>9483</v>
      </c>
      <c r="F3697" s="34" t="n">
        <f aca="false">IFERROR(VLOOKUP($A3697,'319'!$B:$H,7,0),0)</f>
        <v>0</v>
      </c>
      <c r="G3697" s="34" t="n">
        <f aca="false">SUMIFS('12.326ana'!$C:$C,'12.326ana'!$M:$M,redes!A3697)</f>
        <v>0</v>
      </c>
    </row>
    <row r="3698" customFormat="false" ht="14.4" hidden="true" customHeight="false" outlineLevel="0" collapsed="false">
      <c r="A3698" s="34" t="n">
        <v>61401803172</v>
      </c>
      <c r="B3698" s="34" t="s">
        <v>9484</v>
      </c>
      <c r="C3698" s="34" t="s">
        <v>77</v>
      </c>
      <c r="E3698" s="30" t="s">
        <v>9485</v>
      </c>
      <c r="F3698" s="34" t="n">
        <f aca="false">IFERROR(VLOOKUP($A3698,'319'!$B:$H,7,0),0)</f>
        <v>0</v>
      </c>
      <c r="G3698" s="34" t="n">
        <f aca="false">SUMIFS('12.326ana'!$C:$C,'12.326ana'!$M:$M,redes!A3698)</f>
        <v>0</v>
      </c>
    </row>
    <row r="3699" customFormat="false" ht="14.4" hidden="true" customHeight="false" outlineLevel="0" collapsed="false">
      <c r="A3699" s="34" t="n">
        <v>61403644187</v>
      </c>
      <c r="B3699" s="34" t="s">
        <v>9486</v>
      </c>
      <c r="C3699" s="34" t="s">
        <v>77</v>
      </c>
      <c r="E3699" s="30" t="s">
        <v>9487</v>
      </c>
      <c r="F3699" s="34" t="n">
        <f aca="false">IFERROR(VLOOKUP($A3699,'319'!$B:$H,7,0),0)</f>
        <v>0</v>
      </c>
      <c r="G3699" s="34" t="n">
        <f aca="false">SUMIFS('12.326ana'!$C:$C,'12.326ana'!$M:$M,redes!A3699)</f>
        <v>0</v>
      </c>
    </row>
    <row r="3700" customFormat="false" ht="14.4" hidden="true" customHeight="false" outlineLevel="0" collapsed="false">
      <c r="A3700" s="34" t="n">
        <v>61412180163</v>
      </c>
      <c r="B3700" s="34" t="s">
        <v>9488</v>
      </c>
      <c r="C3700" s="34" t="s">
        <v>1272</v>
      </c>
      <c r="E3700" s="30" t="s">
        <v>8548</v>
      </c>
      <c r="F3700" s="34" t="n">
        <f aca="false">IFERROR(VLOOKUP($A3700,'319'!$B:$H,7,0),0)</f>
        <v>0</v>
      </c>
      <c r="G3700" s="34" t="n">
        <f aca="false">SUMIFS('12.326ana'!$C:$C,'12.326ana'!$M:$M,redes!A3700)</f>
        <v>0</v>
      </c>
    </row>
    <row r="3701" customFormat="false" ht="14.4" hidden="true" customHeight="false" outlineLevel="0" collapsed="false">
      <c r="A3701" s="34" t="n">
        <v>61418080187</v>
      </c>
      <c r="B3701" s="34" t="s">
        <v>9489</v>
      </c>
      <c r="C3701" s="34" t="s">
        <v>1272</v>
      </c>
      <c r="E3701" s="30" t="s">
        <v>9490</v>
      </c>
      <c r="F3701" s="34" t="n">
        <f aca="false">IFERROR(VLOOKUP($A3701,'319'!$B:$H,7,0),0)</f>
        <v>0</v>
      </c>
      <c r="G3701" s="34" t="n">
        <f aca="false">SUMIFS('12.326ana'!$C:$C,'12.326ana'!$M:$M,redes!A3701)</f>
        <v>0</v>
      </c>
    </row>
    <row r="3702" customFormat="false" ht="14.4" hidden="true" customHeight="false" outlineLevel="0" collapsed="false">
      <c r="A3702" s="34" t="n">
        <v>61419770900</v>
      </c>
      <c r="B3702" s="34" t="s">
        <v>9491</v>
      </c>
      <c r="C3702" s="34" t="s">
        <v>107</v>
      </c>
      <c r="E3702" s="30" t="s">
        <v>9492</v>
      </c>
      <c r="F3702" s="34" t="n">
        <f aca="false">IFERROR(VLOOKUP($A3702,'319'!$B:$H,7,0),0)</f>
        <v>0</v>
      </c>
      <c r="G3702" s="34" t="n">
        <f aca="false">SUMIFS('12.326ana'!$C:$C,'12.326ana'!$M:$M,redes!A3702)</f>
        <v>0</v>
      </c>
    </row>
    <row r="3703" customFormat="false" ht="14.4" hidden="true" customHeight="false" outlineLevel="0" collapsed="false">
      <c r="A3703" s="34" t="n">
        <v>61421308134</v>
      </c>
      <c r="B3703" s="34" t="s">
        <v>9493</v>
      </c>
      <c r="C3703" s="34" t="s">
        <v>77</v>
      </c>
      <c r="E3703" s="30" t="s">
        <v>9494</v>
      </c>
      <c r="F3703" s="34" t="n">
        <f aca="false">IFERROR(VLOOKUP($A3703,'319'!$B:$H,7,0),0)</f>
        <v>0</v>
      </c>
      <c r="G3703" s="34" t="n">
        <f aca="false">SUMIFS('12.326ana'!$C:$C,'12.326ana'!$M:$M,redes!A3703)</f>
        <v>0</v>
      </c>
    </row>
    <row r="3704" customFormat="false" ht="14.4" hidden="true" customHeight="false" outlineLevel="0" collapsed="false">
      <c r="A3704" s="34" t="n">
        <v>61424048168</v>
      </c>
      <c r="B3704" s="34" t="s">
        <v>9017</v>
      </c>
      <c r="C3704" s="34" t="s">
        <v>357</v>
      </c>
      <c r="E3704" s="30" t="s">
        <v>3293</v>
      </c>
      <c r="F3704" s="34" t="n">
        <f aca="false">IFERROR(VLOOKUP($A3704,'319'!$B:$H,7,0),0)</f>
        <v>0</v>
      </c>
      <c r="G3704" s="34" t="n">
        <f aca="false">SUMIFS('12.326ana'!$C:$C,'12.326ana'!$M:$M,redes!A3704)</f>
        <v>0</v>
      </c>
    </row>
    <row r="3705" customFormat="false" ht="14.4" hidden="true" customHeight="false" outlineLevel="0" collapsed="false">
      <c r="A3705" s="34" t="n">
        <v>61425176100</v>
      </c>
      <c r="B3705" s="34" t="s">
        <v>9495</v>
      </c>
      <c r="C3705" s="34" t="s">
        <v>464</v>
      </c>
      <c r="E3705" s="30" t="s">
        <v>9496</v>
      </c>
      <c r="F3705" s="34" t="n">
        <f aca="false">IFERROR(VLOOKUP($A3705,'319'!$B:$H,7,0),0)</f>
        <v>0</v>
      </c>
      <c r="G3705" s="34" t="n">
        <f aca="false">SUMIFS('12.326ana'!$C:$C,'12.326ana'!$M:$M,redes!A3705)</f>
        <v>0</v>
      </c>
    </row>
    <row r="3706" customFormat="false" ht="14.4" hidden="true" customHeight="false" outlineLevel="0" collapsed="false">
      <c r="A3706" s="34" t="n">
        <v>61437638520</v>
      </c>
      <c r="B3706" s="34" t="s">
        <v>9497</v>
      </c>
      <c r="C3706" s="34" t="s">
        <v>77</v>
      </c>
      <c r="E3706" s="30" t="s">
        <v>9498</v>
      </c>
      <c r="F3706" s="34" t="n">
        <f aca="false">IFERROR(VLOOKUP($A3706,'319'!$B:$H,7,0),0)</f>
        <v>0</v>
      </c>
      <c r="G3706" s="34" t="n">
        <f aca="false">SUMIFS('12.326ana'!$C:$C,'12.326ana'!$M:$M,redes!A3706)</f>
        <v>0</v>
      </c>
    </row>
    <row r="3707" customFormat="false" ht="14.4" hidden="true" customHeight="false" outlineLevel="0" collapsed="false">
      <c r="A3707" s="34" t="n">
        <v>61442240172</v>
      </c>
      <c r="B3707" s="34" t="s">
        <v>9499</v>
      </c>
      <c r="C3707" s="34" t="s">
        <v>604</v>
      </c>
      <c r="E3707" s="30" t="s">
        <v>9500</v>
      </c>
      <c r="F3707" s="34" t="n">
        <f aca="false">IFERROR(VLOOKUP($A3707,'319'!$B:$H,7,0),0)</f>
        <v>0</v>
      </c>
      <c r="G3707" s="34" t="n">
        <f aca="false">SUMIFS('12.326ana'!$C:$C,'12.326ana'!$M:$M,redes!A3707)</f>
        <v>0</v>
      </c>
    </row>
    <row r="3708" customFormat="false" ht="14.4" hidden="true" customHeight="false" outlineLevel="0" collapsed="false">
      <c r="A3708" s="34" t="n">
        <v>61448320178</v>
      </c>
      <c r="B3708" s="34" t="s">
        <v>9501</v>
      </c>
      <c r="C3708" s="34" t="s">
        <v>342</v>
      </c>
      <c r="E3708" s="30" t="s">
        <v>9502</v>
      </c>
      <c r="F3708" s="34" t="n">
        <f aca="false">IFERROR(VLOOKUP($A3708,'319'!$B:$H,7,0),0)</f>
        <v>0</v>
      </c>
      <c r="G3708" s="34" t="n">
        <f aca="false">SUMIFS('12.326ana'!$C:$C,'12.326ana'!$M:$M,redes!A3708)</f>
        <v>0</v>
      </c>
    </row>
    <row r="3709" customFormat="false" ht="14.4" hidden="true" customHeight="false" outlineLevel="0" collapsed="false">
      <c r="A3709" s="34" t="n">
        <v>61449318134</v>
      </c>
      <c r="B3709" s="34" t="s">
        <v>9503</v>
      </c>
      <c r="C3709" s="34" t="s">
        <v>77</v>
      </c>
      <c r="E3709" s="30" t="s">
        <v>9504</v>
      </c>
      <c r="F3709" s="34" t="n">
        <f aca="false">IFERROR(VLOOKUP($A3709,'319'!$B:$H,7,0),0)</f>
        <v>0</v>
      </c>
      <c r="G3709" s="34" t="n">
        <f aca="false">SUMIFS('12.326ana'!$C:$C,'12.326ana'!$M:$M,redes!A3709)</f>
        <v>0</v>
      </c>
    </row>
    <row r="3710" customFormat="false" ht="14.4" hidden="true" customHeight="false" outlineLevel="0" collapsed="false">
      <c r="A3710" s="34" t="n">
        <v>61455253120</v>
      </c>
      <c r="B3710" s="34" t="s">
        <v>9505</v>
      </c>
      <c r="C3710" s="34" t="s">
        <v>77</v>
      </c>
      <c r="E3710" s="30" t="s">
        <v>9506</v>
      </c>
      <c r="F3710" s="34" t="n">
        <f aca="false">IFERROR(VLOOKUP($A3710,'319'!$B:$H,7,0),0)</f>
        <v>0</v>
      </c>
      <c r="G3710" s="34" t="n">
        <f aca="false">SUMIFS('12.326ana'!$C:$C,'12.326ana'!$M:$M,redes!A3710)</f>
        <v>0</v>
      </c>
    </row>
    <row r="3711" customFormat="false" ht="14.4" hidden="true" customHeight="false" outlineLevel="0" collapsed="false">
      <c r="A3711" s="34" t="n">
        <v>61457248115</v>
      </c>
      <c r="B3711" s="34" t="s">
        <v>9507</v>
      </c>
      <c r="C3711" s="34" t="s">
        <v>77</v>
      </c>
      <c r="E3711" s="30"/>
      <c r="F3711" s="34" t="n">
        <f aca="false">IFERROR(VLOOKUP($A3711,'319'!$B:$H,7,0),0)</f>
        <v>0</v>
      </c>
      <c r="G3711" s="34" t="n">
        <f aca="false">SUMIFS('12.326ana'!$C:$C,'12.326ana'!$M:$M,redes!A3711)</f>
        <v>0</v>
      </c>
    </row>
    <row r="3712" customFormat="false" ht="14.4" hidden="true" customHeight="false" outlineLevel="0" collapsed="false">
      <c r="A3712" s="34" t="n">
        <v>61466247134</v>
      </c>
      <c r="B3712" s="34" t="s">
        <v>9508</v>
      </c>
      <c r="C3712" s="34" t="s">
        <v>77</v>
      </c>
      <c r="E3712" s="30" t="s">
        <v>9509</v>
      </c>
      <c r="F3712" s="34" t="n">
        <f aca="false">IFERROR(VLOOKUP($A3712,'319'!$B:$H,7,0),0)</f>
        <v>0</v>
      </c>
      <c r="G3712" s="34" t="n">
        <f aca="false">SUMIFS('12.326ana'!$C:$C,'12.326ana'!$M:$M,redes!A3712)</f>
        <v>0</v>
      </c>
    </row>
    <row r="3713" customFormat="false" ht="14.4" hidden="true" customHeight="false" outlineLevel="0" collapsed="false">
      <c r="A3713" s="34" t="n">
        <v>61467456187</v>
      </c>
      <c r="B3713" s="34" t="s">
        <v>9510</v>
      </c>
      <c r="C3713" s="34" t="s">
        <v>77</v>
      </c>
      <c r="E3713" s="30" t="s">
        <v>9511</v>
      </c>
      <c r="F3713" s="34" t="n">
        <f aca="false">IFERROR(VLOOKUP($A3713,'319'!$B:$H,7,0),0)</f>
        <v>0</v>
      </c>
      <c r="G3713" s="34" t="n">
        <f aca="false">SUMIFS('12.326ana'!$C:$C,'12.326ana'!$M:$M,redes!A3713)</f>
        <v>0</v>
      </c>
    </row>
    <row r="3714" customFormat="false" ht="14.4" hidden="true" customHeight="false" outlineLevel="0" collapsed="false">
      <c r="A3714" s="34" t="n">
        <v>61473642191</v>
      </c>
      <c r="B3714" s="34" t="s">
        <v>9512</v>
      </c>
      <c r="C3714" s="34" t="s">
        <v>309</v>
      </c>
      <c r="E3714" s="30" t="s">
        <v>9513</v>
      </c>
      <c r="F3714" s="34" t="n">
        <f aca="false">IFERROR(VLOOKUP($A3714,'319'!$B:$H,7,0),0)</f>
        <v>0</v>
      </c>
      <c r="G3714" s="34" t="n">
        <f aca="false">SUMIFS('12.326ana'!$C:$C,'12.326ana'!$M:$M,redes!A3714)</f>
        <v>0</v>
      </c>
    </row>
    <row r="3715" customFormat="false" ht="14.4" hidden="true" customHeight="false" outlineLevel="0" collapsed="false">
      <c r="A3715" s="34" t="n">
        <v>61473960134</v>
      </c>
      <c r="B3715" s="34" t="s">
        <v>9514</v>
      </c>
      <c r="C3715" s="34" t="s">
        <v>309</v>
      </c>
      <c r="E3715" s="30" t="s">
        <v>5206</v>
      </c>
      <c r="F3715" s="34" t="n">
        <f aca="false">IFERROR(VLOOKUP($A3715,'319'!$B:$H,7,0),0)</f>
        <v>0</v>
      </c>
      <c r="G3715" s="34" t="n">
        <f aca="false">SUMIFS('12.326ana'!$C:$C,'12.326ana'!$M:$M,redes!A3715)</f>
        <v>0</v>
      </c>
    </row>
    <row r="3716" customFormat="false" ht="14.4" hidden="true" customHeight="false" outlineLevel="0" collapsed="false">
      <c r="A3716" s="34" t="n">
        <v>61484458168</v>
      </c>
      <c r="B3716" s="34" t="s">
        <v>9515</v>
      </c>
      <c r="C3716" s="34" t="s">
        <v>77</v>
      </c>
      <c r="E3716" s="30" t="s">
        <v>3275</v>
      </c>
      <c r="F3716" s="34" t="n">
        <f aca="false">IFERROR(VLOOKUP($A3716,'319'!$B:$H,7,0),0)</f>
        <v>0</v>
      </c>
      <c r="G3716" s="34" t="n">
        <f aca="false">SUMIFS('12.326ana'!$C:$C,'12.326ana'!$M:$M,redes!A3716)</f>
        <v>0</v>
      </c>
    </row>
    <row r="3717" customFormat="false" ht="14.4" hidden="true" customHeight="false" outlineLevel="0" collapsed="false">
      <c r="A3717" s="34" t="n">
        <v>61489069100</v>
      </c>
      <c r="B3717" s="34" t="s">
        <v>9516</v>
      </c>
      <c r="C3717" s="34" t="s">
        <v>77</v>
      </c>
      <c r="E3717" s="30" t="s">
        <v>9517</v>
      </c>
      <c r="F3717" s="34" t="n">
        <f aca="false">IFERROR(VLOOKUP($A3717,'319'!$B:$H,7,0),0)</f>
        <v>0</v>
      </c>
      <c r="G3717" s="34" t="n">
        <f aca="false">SUMIFS('12.326ana'!$C:$C,'12.326ana'!$M:$M,redes!A3717)</f>
        <v>0</v>
      </c>
    </row>
    <row r="3718" customFormat="false" ht="14.4" hidden="true" customHeight="false" outlineLevel="0" collapsed="false">
      <c r="A3718" s="34" t="n">
        <v>61489417168</v>
      </c>
      <c r="B3718" s="34" t="s">
        <v>9518</v>
      </c>
      <c r="C3718" s="34" t="s">
        <v>309</v>
      </c>
      <c r="E3718" s="30" t="s">
        <v>4999</v>
      </c>
      <c r="F3718" s="34" t="n">
        <f aca="false">IFERROR(VLOOKUP($A3718,'319'!$B:$H,7,0),0)</f>
        <v>0</v>
      </c>
      <c r="G3718" s="34" t="n">
        <f aca="false">SUMIFS('12.326ana'!$C:$C,'12.326ana'!$M:$M,redes!A3718)</f>
        <v>0</v>
      </c>
    </row>
    <row r="3719" customFormat="false" ht="14.4" hidden="true" customHeight="false" outlineLevel="0" collapsed="false">
      <c r="A3719" s="34" t="n">
        <v>61492663972</v>
      </c>
      <c r="B3719" s="34" t="s">
        <v>9519</v>
      </c>
      <c r="C3719" s="34" t="s">
        <v>77</v>
      </c>
      <c r="E3719" s="30" t="s">
        <v>8100</v>
      </c>
      <c r="F3719" s="34" t="n">
        <f aca="false">IFERROR(VLOOKUP($A3719,'319'!$B:$H,7,0),0)</f>
        <v>0</v>
      </c>
      <c r="G3719" s="34" t="n">
        <f aca="false">SUMIFS('12.326ana'!$C:$C,'12.326ana'!$M:$M,redes!A3719)</f>
        <v>0</v>
      </c>
    </row>
    <row r="3720" customFormat="false" ht="14.4" hidden="true" customHeight="false" outlineLevel="0" collapsed="false">
      <c r="A3720" s="34" t="n">
        <v>61500801100</v>
      </c>
      <c r="B3720" s="34" t="s">
        <v>9520</v>
      </c>
      <c r="C3720" s="34" t="s">
        <v>463</v>
      </c>
      <c r="E3720" s="30" t="s">
        <v>9521</v>
      </c>
      <c r="F3720" s="34" t="n">
        <f aca="false">IFERROR(VLOOKUP($A3720,'319'!$B:$H,7,0),0)</f>
        <v>0</v>
      </c>
      <c r="G3720" s="34" t="n">
        <f aca="false">SUMIFS('12.326ana'!$C:$C,'12.326ana'!$M:$M,redes!A3720)</f>
        <v>0</v>
      </c>
    </row>
    <row r="3721" customFormat="false" ht="14.4" hidden="true" customHeight="false" outlineLevel="0" collapsed="false">
      <c r="A3721" s="34" t="n">
        <v>61501182153</v>
      </c>
      <c r="B3721" s="34" t="s">
        <v>9522</v>
      </c>
      <c r="C3721" s="34" t="s">
        <v>463</v>
      </c>
      <c r="E3721" s="30" t="s">
        <v>9523</v>
      </c>
      <c r="F3721" s="34" t="n">
        <f aca="false">IFERROR(VLOOKUP($A3721,'319'!$B:$H,7,0),0)</f>
        <v>0</v>
      </c>
      <c r="G3721" s="34" t="n">
        <f aca="false">SUMIFS('12.326ana'!$C:$C,'12.326ana'!$M:$M,redes!A3721)</f>
        <v>0</v>
      </c>
    </row>
    <row r="3722" customFormat="false" ht="14.4" hidden="true" customHeight="false" outlineLevel="0" collapsed="false">
      <c r="A3722" s="34" t="n">
        <v>61505315115</v>
      </c>
      <c r="B3722" s="34" t="s">
        <v>9524</v>
      </c>
      <c r="C3722" s="34" t="s">
        <v>77</v>
      </c>
      <c r="E3722" s="30" t="s">
        <v>9525</v>
      </c>
      <c r="F3722" s="34" t="n">
        <f aca="false">IFERROR(VLOOKUP($A3722,'319'!$B:$H,7,0),0)</f>
        <v>0</v>
      </c>
      <c r="G3722" s="34" t="n">
        <f aca="false">SUMIFS('12.326ana'!$C:$C,'12.326ana'!$M:$M,redes!A3722)</f>
        <v>0</v>
      </c>
    </row>
    <row r="3723" customFormat="false" ht="14.4" hidden="true" customHeight="false" outlineLevel="0" collapsed="false">
      <c r="A3723" s="34" t="n">
        <v>61507199104</v>
      </c>
      <c r="B3723" s="34" t="s">
        <v>9526</v>
      </c>
      <c r="C3723" s="34" t="s">
        <v>77</v>
      </c>
      <c r="E3723" s="30" t="s">
        <v>9527</v>
      </c>
      <c r="F3723" s="34" t="n">
        <f aca="false">IFERROR(VLOOKUP($A3723,'319'!$B:$H,7,0),0)</f>
        <v>0</v>
      </c>
      <c r="G3723" s="34" t="n">
        <f aca="false">SUMIFS('12.326ana'!$C:$C,'12.326ana'!$M:$M,redes!A3723)</f>
        <v>0</v>
      </c>
    </row>
    <row r="3724" customFormat="false" ht="14.4" hidden="true" customHeight="false" outlineLevel="0" collapsed="false">
      <c r="A3724" s="34" t="n">
        <v>61515124134</v>
      </c>
      <c r="B3724" s="34" t="s">
        <v>9528</v>
      </c>
      <c r="C3724" s="34" t="s">
        <v>77</v>
      </c>
      <c r="E3724" s="30" t="s">
        <v>9529</v>
      </c>
      <c r="F3724" s="34" t="n">
        <f aca="false">IFERROR(VLOOKUP($A3724,'319'!$B:$H,7,0),0)</f>
        <v>0</v>
      </c>
      <c r="G3724" s="34" t="n">
        <f aca="false">SUMIFS('12.326ana'!$C:$C,'12.326ana'!$M:$M,redes!A3724)</f>
        <v>0</v>
      </c>
    </row>
    <row r="3725" customFormat="false" ht="14.4" hidden="true" customHeight="false" outlineLevel="0" collapsed="false">
      <c r="A3725" s="34" t="n">
        <v>61519049153</v>
      </c>
      <c r="B3725" s="34" t="s">
        <v>9530</v>
      </c>
      <c r="C3725" s="34" t="s">
        <v>154</v>
      </c>
      <c r="E3725" s="30" t="s">
        <v>9531</v>
      </c>
      <c r="F3725" s="34" t="n">
        <f aca="false">IFERROR(VLOOKUP($A3725,'319'!$B:$H,7,0),0)</f>
        <v>0</v>
      </c>
      <c r="G3725" s="34" t="n">
        <f aca="false">SUMIFS('12.326ana'!$C:$C,'12.326ana'!$M:$M,redes!A3725)</f>
        <v>0</v>
      </c>
    </row>
    <row r="3726" customFormat="false" ht="14.4" hidden="true" customHeight="false" outlineLevel="0" collapsed="false">
      <c r="A3726" s="34" t="n">
        <v>61520187149</v>
      </c>
      <c r="B3726" s="34" t="s">
        <v>9532</v>
      </c>
      <c r="C3726" s="34" t="s">
        <v>77</v>
      </c>
      <c r="E3726" s="30" t="s">
        <v>9533</v>
      </c>
      <c r="F3726" s="34" t="n">
        <f aca="false">IFERROR(VLOOKUP($A3726,'319'!$B:$H,7,0),0)</f>
        <v>0</v>
      </c>
      <c r="G3726" s="34" t="n">
        <f aca="false">SUMIFS('12.326ana'!$C:$C,'12.326ana'!$M:$M,redes!A3726)</f>
        <v>0</v>
      </c>
    </row>
    <row r="3727" customFormat="false" ht="14.4" hidden="true" customHeight="false" outlineLevel="0" collapsed="false">
      <c r="A3727" s="34" t="n">
        <v>61521663149</v>
      </c>
      <c r="B3727" s="34" t="s">
        <v>9534</v>
      </c>
      <c r="C3727" s="34" t="s">
        <v>77</v>
      </c>
      <c r="E3727" s="30" t="s">
        <v>9535</v>
      </c>
      <c r="F3727" s="34" t="n">
        <f aca="false">IFERROR(VLOOKUP($A3727,'319'!$B:$H,7,0),0)</f>
        <v>0</v>
      </c>
      <c r="G3727" s="34" t="n">
        <f aca="false">SUMIFS('12.326ana'!$C:$C,'12.326ana'!$M:$M,redes!A3727)</f>
        <v>0</v>
      </c>
    </row>
    <row r="3728" customFormat="false" ht="14.4" hidden="true" customHeight="false" outlineLevel="0" collapsed="false">
      <c r="A3728" s="34" t="n">
        <v>61530581168</v>
      </c>
      <c r="B3728" s="34" t="s">
        <v>9536</v>
      </c>
      <c r="C3728" s="34" t="s">
        <v>473</v>
      </c>
      <c r="E3728" s="30" t="s">
        <v>9537</v>
      </c>
      <c r="F3728" s="34" t="n">
        <f aca="false">IFERROR(VLOOKUP($A3728,'319'!$B:$H,7,0),0)</f>
        <v>0</v>
      </c>
      <c r="G3728" s="34" t="n">
        <f aca="false">SUMIFS('12.326ana'!$C:$C,'12.326ana'!$M:$M,redes!A3728)</f>
        <v>0</v>
      </c>
    </row>
    <row r="3729" customFormat="false" ht="14.4" hidden="true" customHeight="false" outlineLevel="0" collapsed="false">
      <c r="A3729" s="34" t="n">
        <v>61531120130</v>
      </c>
      <c r="B3729" s="34" t="s">
        <v>9538</v>
      </c>
      <c r="C3729" s="34" t="s">
        <v>77</v>
      </c>
      <c r="E3729" s="30" t="s">
        <v>3194</v>
      </c>
      <c r="F3729" s="34" t="n">
        <f aca="false">IFERROR(VLOOKUP($A3729,'319'!$B:$H,7,0),0)</f>
        <v>0</v>
      </c>
      <c r="G3729" s="34" t="n">
        <f aca="false">SUMIFS('12.326ana'!$C:$C,'12.326ana'!$M:$M,redes!A3729)</f>
        <v>0</v>
      </c>
    </row>
    <row r="3730" customFormat="false" ht="14.4" hidden="true" customHeight="false" outlineLevel="0" collapsed="false">
      <c r="A3730" s="34" t="n">
        <v>61533963134</v>
      </c>
      <c r="B3730" s="34" t="s">
        <v>9539</v>
      </c>
      <c r="C3730" s="34" t="s">
        <v>77</v>
      </c>
      <c r="E3730" s="30" t="s">
        <v>9540</v>
      </c>
      <c r="F3730" s="34" t="n">
        <f aca="false">IFERROR(VLOOKUP($A3730,'319'!$B:$H,7,0),0)</f>
        <v>0</v>
      </c>
      <c r="G3730" s="34" t="n">
        <f aca="false">SUMIFS('12.326ana'!$C:$C,'12.326ana'!$M:$M,redes!A3730)</f>
        <v>0</v>
      </c>
    </row>
    <row r="3731" customFormat="false" ht="14.4" hidden="true" customHeight="false" outlineLevel="0" collapsed="false">
      <c r="A3731" s="34" t="n">
        <v>61540722104</v>
      </c>
      <c r="B3731" s="34" t="s">
        <v>9541</v>
      </c>
      <c r="C3731" s="34" t="s">
        <v>77</v>
      </c>
      <c r="E3731" s="30" t="s">
        <v>9542</v>
      </c>
      <c r="F3731" s="34" t="n">
        <f aca="false">IFERROR(VLOOKUP($A3731,'319'!$B:$H,7,0),0)</f>
        <v>0</v>
      </c>
      <c r="G3731" s="34" t="n">
        <f aca="false">SUMIFS('12.326ana'!$C:$C,'12.326ana'!$M:$M,redes!A3731)</f>
        <v>0</v>
      </c>
    </row>
    <row r="3732" customFormat="false" ht="14.4" hidden="true" customHeight="false" outlineLevel="0" collapsed="false">
      <c r="A3732" s="34" t="n">
        <v>61542776104</v>
      </c>
      <c r="B3732" s="34" t="s">
        <v>9543</v>
      </c>
      <c r="C3732" s="34" t="s">
        <v>77</v>
      </c>
      <c r="E3732" s="30" t="s">
        <v>9544</v>
      </c>
      <c r="F3732" s="34" t="n">
        <f aca="false">IFERROR(VLOOKUP($A3732,'319'!$B:$H,7,0),0)</f>
        <v>0</v>
      </c>
      <c r="G3732" s="34" t="n">
        <f aca="false">SUMIFS('12.326ana'!$C:$C,'12.326ana'!$M:$M,redes!A3732)</f>
        <v>0</v>
      </c>
    </row>
    <row r="3733" customFormat="false" ht="14.4" hidden="true" customHeight="false" outlineLevel="0" collapsed="false">
      <c r="A3733" s="34" t="n">
        <v>61543000119</v>
      </c>
      <c r="B3733" s="34" t="s">
        <v>9545</v>
      </c>
      <c r="C3733" s="34" t="s">
        <v>3594</v>
      </c>
      <c r="E3733" s="30" t="s">
        <v>9546</v>
      </c>
      <c r="F3733" s="34" t="n">
        <f aca="false">IFERROR(VLOOKUP($A3733,'319'!$B:$H,7,0),0)</f>
        <v>0</v>
      </c>
      <c r="G3733" s="34" t="n">
        <f aca="false">SUMIFS('12.326ana'!$C:$C,'12.326ana'!$M:$M,redes!A3733)</f>
        <v>0</v>
      </c>
    </row>
    <row r="3734" customFormat="false" ht="14.4" hidden="true" customHeight="false" outlineLevel="0" collapsed="false">
      <c r="A3734" s="34" t="n">
        <v>61586064134</v>
      </c>
      <c r="B3734" s="34" t="s">
        <v>9547</v>
      </c>
      <c r="C3734" s="34" t="s">
        <v>77</v>
      </c>
      <c r="E3734" s="30" t="s">
        <v>9548</v>
      </c>
      <c r="F3734" s="34" t="n">
        <f aca="false">IFERROR(VLOOKUP($A3734,'319'!$B:$H,7,0),0)</f>
        <v>0</v>
      </c>
      <c r="G3734" s="34" t="n">
        <f aca="false">SUMIFS('12.326ana'!$C:$C,'12.326ana'!$M:$M,redes!A3734)</f>
        <v>0</v>
      </c>
    </row>
    <row r="3735" customFormat="false" ht="14.4" hidden="true" customHeight="false" outlineLevel="0" collapsed="false">
      <c r="A3735" s="34" t="n">
        <v>61599484900</v>
      </c>
      <c r="B3735" s="34" t="s">
        <v>9549</v>
      </c>
      <c r="C3735" s="34" t="s">
        <v>881</v>
      </c>
      <c r="E3735" s="30" t="s">
        <v>9550</v>
      </c>
      <c r="F3735" s="34" t="n">
        <f aca="false">IFERROR(VLOOKUP($A3735,'319'!$B:$H,7,0),0)</f>
        <v>0</v>
      </c>
      <c r="G3735" s="34" t="n">
        <f aca="false">SUMIFS('12.326ana'!$C:$C,'12.326ana'!$M:$M,redes!A3735)</f>
        <v>0</v>
      </c>
    </row>
    <row r="3736" customFormat="false" ht="14.4" hidden="true" customHeight="false" outlineLevel="0" collapsed="false">
      <c r="A3736" s="34" t="n">
        <v>61683582004</v>
      </c>
      <c r="B3736" s="34" t="s">
        <v>9551</v>
      </c>
      <c r="C3736" s="34" t="s">
        <v>342</v>
      </c>
      <c r="E3736" s="30" t="s">
        <v>9552</v>
      </c>
      <c r="F3736" s="34" t="n">
        <f aca="false">IFERROR(VLOOKUP($A3736,'319'!$B:$H,7,0),0)</f>
        <v>0</v>
      </c>
      <c r="G3736" s="34" t="n">
        <f aca="false">SUMIFS('12.326ana'!$C:$C,'12.326ana'!$M:$M,redes!A3736)</f>
        <v>0</v>
      </c>
    </row>
    <row r="3737" customFormat="false" ht="14.4" hidden="true" customHeight="false" outlineLevel="0" collapsed="false">
      <c r="A3737" s="34" t="n">
        <v>61763527972</v>
      </c>
      <c r="B3737" s="34" t="s">
        <v>9553</v>
      </c>
      <c r="C3737" s="34" t="s">
        <v>309</v>
      </c>
      <c r="E3737" s="30" t="s">
        <v>9554</v>
      </c>
      <c r="F3737" s="34" t="n">
        <f aca="false">IFERROR(VLOOKUP($A3737,'319'!$B:$H,7,0),0)</f>
        <v>0</v>
      </c>
      <c r="G3737" s="34" t="n">
        <f aca="false">SUMIFS('12.326ana'!$C:$C,'12.326ana'!$M:$M,redes!A3737)</f>
        <v>0</v>
      </c>
    </row>
    <row r="3738" customFormat="false" ht="14.4" hidden="true" customHeight="false" outlineLevel="0" collapsed="false">
      <c r="A3738" s="34" t="n">
        <v>61980170525</v>
      </c>
      <c r="B3738" s="34" t="s">
        <v>9555</v>
      </c>
      <c r="C3738" s="34" t="s">
        <v>77</v>
      </c>
      <c r="E3738" s="30" t="s">
        <v>9556</v>
      </c>
      <c r="F3738" s="34" t="n">
        <f aca="false">IFERROR(VLOOKUP($A3738,'319'!$B:$H,7,0),0)</f>
        <v>0</v>
      </c>
      <c r="G3738" s="34" t="n">
        <f aca="false">SUMIFS('12.326ana'!$C:$C,'12.326ana'!$M:$M,redes!A3738)</f>
        <v>0</v>
      </c>
    </row>
    <row r="3739" customFormat="false" ht="14.4" hidden="true" customHeight="false" outlineLevel="0" collapsed="false">
      <c r="A3739" s="34" t="n">
        <v>62179071191</v>
      </c>
      <c r="B3739" s="34" t="s">
        <v>9557</v>
      </c>
      <c r="C3739" s="34" t="s">
        <v>77</v>
      </c>
      <c r="E3739" s="30"/>
      <c r="F3739" s="34" t="n">
        <f aca="false">IFERROR(VLOOKUP($A3739,'319'!$B:$H,7,0),0)</f>
        <v>0</v>
      </c>
      <c r="G3739" s="34" t="n">
        <f aca="false">SUMIFS('12.326ana'!$C:$C,'12.326ana'!$M:$M,redes!A3739)</f>
        <v>0</v>
      </c>
    </row>
    <row r="3740" customFormat="false" ht="14.4" hidden="true" customHeight="false" outlineLevel="0" collapsed="false">
      <c r="A3740" s="34" t="n">
        <v>62260006191</v>
      </c>
      <c r="B3740" s="34" t="s">
        <v>9558</v>
      </c>
      <c r="C3740" s="34" t="s">
        <v>77</v>
      </c>
      <c r="E3740" s="30" t="s">
        <v>9559</v>
      </c>
      <c r="F3740" s="34" t="n">
        <f aca="false">IFERROR(VLOOKUP($A3740,'319'!$B:$H,7,0),0)</f>
        <v>0</v>
      </c>
      <c r="G3740" s="34" t="n">
        <f aca="false">SUMIFS('12.326ana'!$C:$C,'12.326ana'!$M:$M,redes!A3740)</f>
        <v>0</v>
      </c>
    </row>
    <row r="3741" customFormat="false" ht="14.4" hidden="true" customHeight="false" outlineLevel="0" collapsed="false">
      <c r="A3741" s="34" t="n">
        <v>62428748904</v>
      </c>
      <c r="B3741" s="34" t="s">
        <v>9560</v>
      </c>
      <c r="C3741" s="34" t="s">
        <v>77</v>
      </c>
      <c r="E3741" s="30" t="s">
        <v>3112</v>
      </c>
      <c r="F3741" s="34" t="n">
        <f aca="false">IFERROR(VLOOKUP($A3741,'319'!$B:$H,7,0),0)</f>
        <v>0</v>
      </c>
      <c r="G3741" s="34" t="n">
        <f aca="false">SUMIFS('12.326ana'!$C:$C,'12.326ana'!$M:$M,redes!A3741)</f>
        <v>0</v>
      </c>
    </row>
    <row r="3742" customFormat="false" ht="14.4" hidden="true" customHeight="false" outlineLevel="0" collapsed="false">
      <c r="A3742" s="34" t="n">
        <v>62755382953</v>
      </c>
      <c r="B3742" s="34" t="s">
        <v>9561</v>
      </c>
      <c r="C3742" s="34" t="s">
        <v>77</v>
      </c>
      <c r="E3742" s="30" t="s">
        <v>9562</v>
      </c>
      <c r="F3742" s="34" t="n">
        <f aca="false">IFERROR(VLOOKUP($A3742,'319'!$B:$H,7,0),0)</f>
        <v>0</v>
      </c>
      <c r="G3742" s="34" t="n">
        <f aca="false">SUMIFS('12.326ana'!$C:$C,'12.326ana'!$M:$M,redes!A3742)</f>
        <v>0</v>
      </c>
    </row>
    <row r="3743" customFormat="false" ht="14.4" hidden="true" customHeight="false" outlineLevel="0" collapsed="false">
      <c r="A3743" s="34" t="n">
        <v>62780000102</v>
      </c>
      <c r="B3743" s="34" t="s">
        <v>9563</v>
      </c>
      <c r="C3743" s="34" t="s">
        <v>89</v>
      </c>
      <c r="E3743" s="30" t="s">
        <v>9564</v>
      </c>
      <c r="F3743" s="34" t="n">
        <f aca="false">IFERROR(VLOOKUP($A3743,'319'!$B:$H,7,0),0)</f>
        <v>0</v>
      </c>
      <c r="G3743" s="34" t="n">
        <f aca="false">SUMIFS('12.326ana'!$C:$C,'12.326ana'!$M:$M,redes!A3743)</f>
        <v>0</v>
      </c>
    </row>
    <row r="3744" customFormat="false" ht="14.4" hidden="true" customHeight="false" outlineLevel="0" collapsed="false">
      <c r="A3744" s="34" t="n">
        <v>62809830568</v>
      </c>
      <c r="B3744" s="34" t="s">
        <v>9565</v>
      </c>
      <c r="C3744" s="34" t="s">
        <v>77</v>
      </c>
      <c r="E3744" s="30" t="s">
        <v>9566</v>
      </c>
      <c r="F3744" s="34" t="n">
        <f aca="false">IFERROR(VLOOKUP($A3744,'319'!$B:$H,7,0),0)</f>
        <v>0</v>
      </c>
      <c r="G3744" s="34" t="n">
        <f aca="false">SUMIFS('12.326ana'!$C:$C,'12.326ana'!$M:$M,redes!A3744)</f>
        <v>0</v>
      </c>
    </row>
    <row r="3745" customFormat="false" ht="14.4" hidden="true" customHeight="false" outlineLevel="0" collapsed="false">
      <c r="A3745" s="34" t="n">
        <v>62825003891</v>
      </c>
      <c r="B3745" s="34" t="s">
        <v>9567</v>
      </c>
      <c r="C3745" s="34" t="s">
        <v>77</v>
      </c>
      <c r="E3745" s="30" t="s">
        <v>9568</v>
      </c>
      <c r="F3745" s="34" t="n">
        <f aca="false">IFERROR(VLOOKUP($A3745,'319'!$B:$H,7,0),0)</f>
        <v>0</v>
      </c>
      <c r="G3745" s="34" t="n">
        <f aca="false">SUMIFS('12.326ana'!$C:$C,'12.326ana'!$M:$M,redes!A3745)</f>
        <v>0</v>
      </c>
    </row>
    <row r="3746" customFormat="false" ht="14.4" hidden="true" customHeight="false" outlineLevel="0" collapsed="false">
      <c r="A3746" s="34" t="n">
        <v>62826980904</v>
      </c>
      <c r="B3746" s="34" t="s">
        <v>9569</v>
      </c>
      <c r="C3746" s="34" t="s">
        <v>77</v>
      </c>
      <c r="E3746" s="30"/>
      <c r="F3746" s="34" t="n">
        <f aca="false">IFERROR(VLOOKUP($A3746,'319'!$B:$H,7,0),0)</f>
        <v>0</v>
      </c>
      <c r="G3746" s="34" t="n">
        <f aca="false">SUMIFS('12.326ana'!$C:$C,'12.326ana'!$M:$M,redes!A3746)</f>
        <v>0</v>
      </c>
    </row>
    <row r="3747" customFormat="false" ht="14.4" hidden="true" customHeight="false" outlineLevel="0" collapsed="false">
      <c r="A3747" s="34" t="n">
        <v>62849042820</v>
      </c>
      <c r="B3747" s="34" t="s">
        <v>9570</v>
      </c>
      <c r="C3747" s="34" t="s">
        <v>77</v>
      </c>
      <c r="E3747" s="30"/>
      <c r="F3747" s="34" t="n">
        <f aca="false">IFERROR(VLOOKUP($A3747,'319'!$B:$H,7,0),0)</f>
        <v>0</v>
      </c>
      <c r="G3747" s="34" t="n">
        <f aca="false">SUMIFS('12.326ana'!$C:$C,'12.326ana'!$M:$M,redes!A3747)</f>
        <v>0</v>
      </c>
    </row>
    <row r="3748" customFormat="false" ht="14.4" hidden="true" customHeight="false" outlineLevel="0" collapsed="false">
      <c r="A3748" s="34" t="n">
        <v>62877003000</v>
      </c>
      <c r="B3748" s="34" t="s">
        <v>9571</v>
      </c>
      <c r="C3748" s="34" t="s">
        <v>107</v>
      </c>
      <c r="E3748" s="30" t="s">
        <v>9572</v>
      </c>
      <c r="F3748" s="34" t="n">
        <f aca="false">IFERROR(VLOOKUP($A3748,'319'!$B:$H,7,0),0)</f>
        <v>0</v>
      </c>
      <c r="G3748" s="34" t="n">
        <f aca="false">SUMIFS('12.326ana'!$C:$C,'12.326ana'!$M:$M,redes!A3748)</f>
        <v>0</v>
      </c>
    </row>
    <row r="3749" customFormat="false" ht="14.4" hidden="true" customHeight="false" outlineLevel="0" collapsed="false">
      <c r="A3749" s="34" t="n">
        <v>63049384972</v>
      </c>
      <c r="B3749" s="34" t="s">
        <v>9573</v>
      </c>
      <c r="C3749" s="34" t="s">
        <v>706</v>
      </c>
      <c r="E3749" s="30" t="s">
        <v>9574</v>
      </c>
      <c r="F3749" s="34" t="n">
        <f aca="false">IFERROR(VLOOKUP($A3749,'319'!$B:$H,7,0),0)</f>
        <v>0</v>
      </c>
      <c r="G3749" s="34" t="n">
        <f aca="false">SUMIFS('12.326ana'!$C:$C,'12.326ana'!$M:$M,redes!A3749)</f>
        <v>0</v>
      </c>
    </row>
    <row r="3750" customFormat="false" ht="14.4" hidden="true" customHeight="false" outlineLevel="0" collapsed="false">
      <c r="A3750" s="34" t="n">
        <v>63060167087</v>
      </c>
      <c r="B3750" s="34" t="s">
        <v>9575</v>
      </c>
      <c r="C3750" s="34" t="s">
        <v>744</v>
      </c>
      <c r="E3750" s="30" t="s">
        <v>9576</v>
      </c>
      <c r="F3750" s="34" t="n">
        <f aca="false">IFERROR(VLOOKUP($A3750,'319'!$B:$H,7,0),0)</f>
        <v>0</v>
      </c>
      <c r="G3750" s="34" t="n">
        <f aca="false">SUMIFS('12.326ana'!$C:$C,'12.326ana'!$M:$M,redes!A3750)</f>
        <v>0</v>
      </c>
    </row>
    <row r="3751" customFormat="false" ht="14.4" hidden="true" customHeight="false" outlineLevel="0" collapsed="false">
      <c r="A3751" s="34" t="n">
        <v>63129361987</v>
      </c>
      <c r="B3751" s="34" t="s">
        <v>9577</v>
      </c>
      <c r="C3751" s="34" t="s">
        <v>478</v>
      </c>
      <c r="E3751" s="30" t="s">
        <v>9578</v>
      </c>
      <c r="F3751" s="34" t="n">
        <f aca="false">IFERROR(VLOOKUP($A3751,'319'!$B:$H,7,0),0)</f>
        <v>0</v>
      </c>
      <c r="G3751" s="34" t="n">
        <f aca="false">SUMIFS('12.326ana'!$C:$C,'12.326ana'!$M:$M,redes!A3751)</f>
        <v>0</v>
      </c>
    </row>
    <row r="3752" customFormat="false" ht="14.4" hidden="true" customHeight="false" outlineLevel="0" collapsed="false">
      <c r="A3752" s="34" t="n">
        <v>63307316087</v>
      </c>
      <c r="B3752" s="34" t="s">
        <v>9579</v>
      </c>
      <c r="C3752" s="34" t="s">
        <v>103</v>
      </c>
      <c r="E3752" s="30" t="s">
        <v>9580</v>
      </c>
      <c r="F3752" s="34" t="n">
        <f aca="false">IFERROR(VLOOKUP($A3752,'319'!$B:$H,7,0),0)</f>
        <v>0</v>
      </c>
      <c r="G3752" s="34" t="n">
        <f aca="false">SUMIFS('12.326ana'!$C:$C,'12.326ana'!$M:$M,redes!A3752)</f>
        <v>0</v>
      </c>
    </row>
    <row r="3753" customFormat="false" ht="14.4" hidden="true" customHeight="false" outlineLevel="0" collapsed="false">
      <c r="A3753" s="34" t="n">
        <v>63350750915</v>
      </c>
      <c r="B3753" s="34" t="s">
        <v>9581</v>
      </c>
      <c r="C3753" s="34" t="s">
        <v>309</v>
      </c>
      <c r="E3753" s="30" t="s">
        <v>9582</v>
      </c>
      <c r="F3753" s="34" t="n">
        <f aca="false">IFERROR(VLOOKUP($A3753,'319'!$B:$H,7,0),0)</f>
        <v>0</v>
      </c>
      <c r="G3753" s="34" t="n">
        <f aca="false">SUMIFS('12.326ana'!$C:$C,'12.326ana'!$M:$M,redes!A3753)</f>
        <v>0</v>
      </c>
    </row>
    <row r="3754" customFormat="false" ht="14.4" hidden="true" customHeight="false" outlineLevel="0" collapsed="false">
      <c r="A3754" s="34" t="n">
        <v>63648709534</v>
      </c>
      <c r="B3754" s="34" t="s">
        <v>9583</v>
      </c>
      <c r="C3754" s="34" t="s">
        <v>107</v>
      </c>
      <c r="E3754" s="30" t="s">
        <v>9584</v>
      </c>
      <c r="F3754" s="34" t="n">
        <f aca="false">IFERROR(VLOOKUP($A3754,'319'!$B:$H,7,0),0)</f>
        <v>0</v>
      </c>
      <c r="G3754" s="34" t="n">
        <f aca="false">SUMIFS('12.326ana'!$C:$C,'12.326ana'!$M:$M,redes!A3754)</f>
        <v>0</v>
      </c>
    </row>
    <row r="3755" customFormat="false" ht="14.4" hidden="true" customHeight="false" outlineLevel="0" collapsed="false">
      <c r="A3755" s="34" t="n">
        <v>63651491153</v>
      </c>
      <c r="B3755" s="34" t="s">
        <v>9585</v>
      </c>
      <c r="C3755" s="34" t="s">
        <v>357</v>
      </c>
      <c r="E3755" s="30" t="s">
        <v>9586</v>
      </c>
      <c r="F3755" s="34" t="n">
        <f aca="false">IFERROR(VLOOKUP($A3755,'319'!$B:$H,7,0),0)</f>
        <v>0</v>
      </c>
      <c r="G3755" s="34" t="n">
        <f aca="false">SUMIFS('12.326ana'!$C:$C,'12.326ana'!$M:$M,redes!A3755)</f>
        <v>0</v>
      </c>
    </row>
    <row r="3756" customFormat="false" ht="14.4" hidden="true" customHeight="false" outlineLevel="0" collapsed="false">
      <c r="A3756" s="34" t="n">
        <v>63658410191</v>
      </c>
      <c r="B3756" s="34" t="s">
        <v>9587</v>
      </c>
      <c r="C3756" s="34" t="s">
        <v>103</v>
      </c>
      <c r="E3756" s="30" t="s">
        <v>5268</v>
      </c>
      <c r="F3756" s="34" t="n">
        <f aca="false">IFERROR(VLOOKUP($A3756,'319'!$B:$H,7,0),0)</f>
        <v>0</v>
      </c>
      <c r="G3756" s="34" t="n">
        <f aca="false">SUMIFS('12.326ana'!$C:$C,'12.326ana'!$M:$M,redes!A3756)</f>
        <v>0</v>
      </c>
    </row>
    <row r="3757" customFormat="false" ht="14.4" hidden="true" customHeight="false" outlineLevel="0" collapsed="false">
      <c r="A3757" s="34" t="n">
        <v>63658631104</v>
      </c>
      <c r="B3757" s="34" t="s">
        <v>9588</v>
      </c>
      <c r="C3757" s="34" t="s">
        <v>107</v>
      </c>
      <c r="E3757" s="30" t="s">
        <v>5781</v>
      </c>
      <c r="F3757" s="34" t="n">
        <f aca="false">IFERROR(VLOOKUP($A3757,'319'!$B:$H,7,0),0)</f>
        <v>0</v>
      </c>
      <c r="G3757" s="34" t="n">
        <f aca="false">SUMIFS('12.326ana'!$C:$C,'12.326ana'!$M:$M,redes!A3757)</f>
        <v>0</v>
      </c>
    </row>
    <row r="3758" customFormat="false" ht="14.4" hidden="true" customHeight="false" outlineLevel="0" collapsed="false">
      <c r="A3758" s="34" t="n">
        <v>63669218149</v>
      </c>
      <c r="B3758" s="34" t="s">
        <v>9589</v>
      </c>
      <c r="C3758" s="34" t="s">
        <v>737</v>
      </c>
      <c r="E3758" s="30" t="s">
        <v>9590</v>
      </c>
      <c r="F3758" s="34" t="n">
        <f aca="false">IFERROR(VLOOKUP($A3758,'319'!$B:$H,7,0),0)</f>
        <v>0</v>
      </c>
      <c r="G3758" s="34" t="n">
        <f aca="false">SUMIFS('12.326ana'!$C:$C,'12.326ana'!$M:$M,redes!A3758)</f>
        <v>0</v>
      </c>
    </row>
    <row r="3759" customFormat="false" ht="14.4" hidden="true" customHeight="false" outlineLevel="0" collapsed="false">
      <c r="A3759" s="34" t="n">
        <v>63675552187</v>
      </c>
      <c r="B3759" s="34" t="s">
        <v>9591</v>
      </c>
      <c r="C3759" s="34" t="s">
        <v>737</v>
      </c>
      <c r="E3759" s="30" t="s">
        <v>9592</v>
      </c>
      <c r="F3759" s="34" t="n">
        <f aca="false">IFERROR(VLOOKUP($A3759,'319'!$B:$H,7,0),0)</f>
        <v>0</v>
      </c>
      <c r="G3759" s="34" t="n">
        <f aca="false">SUMIFS('12.326ana'!$C:$C,'12.326ana'!$M:$M,redes!A3759)</f>
        <v>0</v>
      </c>
    </row>
    <row r="3760" customFormat="false" ht="14.4" hidden="true" customHeight="false" outlineLevel="0" collapsed="false">
      <c r="A3760" s="34" t="n">
        <v>63689324149</v>
      </c>
      <c r="B3760" s="34" t="s">
        <v>9593</v>
      </c>
      <c r="C3760" s="34" t="s">
        <v>77</v>
      </c>
      <c r="E3760" s="30"/>
      <c r="F3760" s="34" t="n">
        <f aca="false">IFERROR(VLOOKUP($A3760,'319'!$B:$H,7,0),0)</f>
        <v>0</v>
      </c>
      <c r="G3760" s="34" t="n">
        <f aca="false">SUMIFS('12.326ana'!$C:$C,'12.326ana'!$M:$M,redes!A3760)</f>
        <v>0</v>
      </c>
    </row>
    <row r="3761" customFormat="false" ht="14.4" hidden="true" customHeight="false" outlineLevel="0" collapsed="false">
      <c r="A3761" s="34" t="n">
        <v>63693208115</v>
      </c>
      <c r="B3761" s="34" t="s">
        <v>9594</v>
      </c>
      <c r="C3761" s="34" t="s">
        <v>77</v>
      </c>
      <c r="E3761" s="30" t="s">
        <v>9594</v>
      </c>
      <c r="F3761" s="34" t="n">
        <f aca="false">IFERROR(VLOOKUP($A3761,'319'!$B:$H,7,0),0)</f>
        <v>0</v>
      </c>
      <c r="G3761" s="34" t="n">
        <f aca="false">SUMIFS('12.326ana'!$C:$C,'12.326ana'!$M:$M,redes!A3761)</f>
        <v>0</v>
      </c>
    </row>
    <row r="3762" customFormat="false" ht="14.4" hidden="true" customHeight="false" outlineLevel="0" collapsed="false">
      <c r="A3762" s="34" t="n">
        <v>63693224153</v>
      </c>
      <c r="B3762" s="34" t="s">
        <v>9595</v>
      </c>
      <c r="C3762" s="34" t="s">
        <v>77</v>
      </c>
      <c r="D3762" s="34" t="s">
        <v>4797</v>
      </c>
      <c r="E3762" s="30" t="s">
        <v>9596</v>
      </c>
      <c r="F3762" s="34" t="n">
        <f aca="false">IFERROR(VLOOKUP($A3762,'319'!$B:$H,7,0),0)</f>
        <v>0</v>
      </c>
      <c r="G3762" s="34" t="n">
        <f aca="false">SUMIFS('12.326ana'!$C:$C,'12.326ana'!$M:$M,redes!A3762)</f>
        <v>0</v>
      </c>
    </row>
    <row r="3763" customFormat="false" ht="14.4" hidden="true" customHeight="false" outlineLevel="0" collapsed="false">
      <c r="A3763" s="34" t="n">
        <v>63720469115</v>
      </c>
      <c r="B3763" s="34" t="s">
        <v>9597</v>
      </c>
      <c r="C3763" s="34" t="s">
        <v>197</v>
      </c>
      <c r="D3763" s="34" t="s">
        <v>9598</v>
      </c>
      <c r="E3763" s="30" t="s">
        <v>9599</v>
      </c>
      <c r="F3763" s="34" t="n">
        <f aca="false">IFERROR(VLOOKUP($A3763,'319'!$B:$H,7,0),0)</f>
        <v>0</v>
      </c>
      <c r="G3763" s="34" t="n">
        <f aca="false">SUMIFS('12.326ana'!$C:$C,'12.326ana'!$M:$M,redes!A3763)</f>
        <v>0</v>
      </c>
    </row>
    <row r="3764" customFormat="false" ht="14.4" hidden="true" customHeight="false" outlineLevel="0" collapsed="false">
      <c r="A3764" s="34" t="n">
        <v>63720507149</v>
      </c>
      <c r="B3764" s="34" t="s">
        <v>9600</v>
      </c>
      <c r="C3764" s="34" t="s">
        <v>197</v>
      </c>
      <c r="E3764" s="30" t="s">
        <v>9601</v>
      </c>
      <c r="F3764" s="34" t="n">
        <f aca="false">IFERROR(VLOOKUP($A3764,'319'!$B:$H,7,0),0)</f>
        <v>0</v>
      </c>
      <c r="G3764" s="34" t="n">
        <f aca="false">SUMIFS('12.326ana'!$C:$C,'12.326ana'!$M:$M,redes!A3764)</f>
        <v>0</v>
      </c>
    </row>
    <row r="3765" customFormat="false" ht="14.4" hidden="true" customHeight="false" outlineLevel="0" collapsed="false">
      <c r="A3765" s="34" t="n">
        <v>63722852153</v>
      </c>
      <c r="B3765" s="34" t="s">
        <v>9602</v>
      </c>
      <c r="C3765" s="34" t="s">
        <v>464</v>
      </c>
      <c r="E3765" s="30" t="s">
        <v>9603</v>
      </c>
      <c r="F3765" s="34" t="n">
        <f aca="false">IFERROR(VLOOKUP($A3765,'319'!$B:$H,7,0),0)</f>
        <v>0</v>
      </c>
      <c r="G3765" s="34" t="n">
        <f aca="false">SUMIFS('12.326ana'!$C:$C,'12.326ana'!$M:$M,redes!A3765)</f>
        <v>0</v>
      </c>
    </row>
    <row r="3766" customFormat="false" ht="14.4" hidden="true" customHeight="false" outlineLevel="0" collapsed="false">
      <c r="A3766" s="34" t="n">
        <v>63723131115</v>
      </c>
      <c r="B3766" s="34" t="s">
        <v>9604</v>
      </c>
      <c r="C3766" s="34" t="s">
        <v>464</v>
      </c>
      <c r="E3766" s="30" t="s">
        <v>9605</v>
      </c>
      <c r="F3766" s="34" t="n">
        <f aca="false">IFERROR(VLOOKUP($A3766,'319'!$B:$H,7,0),0)</f>
        <v>0</v>
      </c>
      <c r="G3766" s="34" t="n">
        <f aca="false">SUMIFS('12.326ana'!$C:$C,'12.326ana'!$M:$M,redes!A3766)</f>
        <v>0</v>
      </c>
    </row>
    <row r="3767" customFormat="false" ht="14.4" hidden="true" customHeight="false" outlineLevel="0" collapsed="false">
      <c r="A3767" s="34" t="n">
        <v>63728656968</v>
      </c>
      <c r="B3767" s="34" t="s">
        <v>9606</v>
      </c>
      <c r="C3767" s="34" t="s">
        <v>351</v>
      </c>
      <c r="E3767" s="30" t="s">
        <v>9607</v>
      </c>
      <c r="F3767" s="34" t="n">
        <f aca="false">IFERROR(VLOOKUP($A3767,'319'!$B:$H,7,0),0)</f>
        <v>0</v>
      </c>
      <c r="G3767" s="34" t="n">
        <f aca="false">SUMIFS('12.326ana'!$C:$C,'12.326ana'!$M:$M,redes!A3767)</f>
        <v>0</v>
      </c>
    </row>
    <row r="3768" customFormat="false" ht="14.4" hidden="true" customHeight="false" outlineLevel="0" collapsed="false">
      <c r="A3768" s="34" t="n">
        <v>63731746115</v>
      </c>
      <c r="B3768" s="34" t="s">
        <v>9608</v>
      </c>
      <c r="C3768" s="34" t="s">
        <v>463</v>
      </c>
      <c r="E3768" s="30" t="s">
        <v>9609</v>
      </c>
      <c r="F3768" s="34" t="n">
        <f aca="false">IFERROR(VLOOKUP($A3768,'319'!$B:$H,7,0),0)</f>
        <v>0</v>
      </c>
      <c r="G3768" s="34" t="n">
        <f aca="false">SUMIFS('12.326ana'!$C:$C,'12.326ana'!$M:$M,redes!A3768)</f>
        <v>0</v>
      </c>
    </row>
    <row r="3769" customFormat="false" ht="14.4" hidden="true" customHeight="false" outlineLevel="0" collapsed="false">
      <c r="A3769" s="34" t="n">
        <v>63732688100</v>
      </c>
      <c r="B3769" s="34" t="s">
        <v>9610</v>
      </c>
      <c r="C3769" s="34" t="s">
        <v>77</v>
      </c>
      <c r="E3769" s="30"/>
      <c r="F3769" s="34" t="n">
        <f aca="false">IFERROR(VLOOKUP($A3769,'319'!$B:$H,7,0),0)</f>
        <v>0</v>
      </c>
      <c r="G3769" s="34" t="n">
        <f aca="false">SUMIFS('12.326ana'!$C:$C,'12.326ana'!$M:$M,redes!A3769)</f>
        <v>0</v>
      </c>
    </row>
    <row r="3770" customFormat="false" ht="14.4" hidden="true" customHeight="false" outlineLevel="0" collapsed="false">
      <c r="A3770" s="34" t="n">
        <v>63739763191</v>
      </c>
      <c r="B3770" s="34" t="s">
        <v>9611</v>
      </c>
      <c r="C3770" s="34" t="s">
        <v>77</v>
      </c>
      <c r="E3770" s="30" t="s">
        <v>4307</v>
      </c>
      <c r="F3770" s="34" t="n">
        <f aca="false">IFERROR(VLOOKUP($A3770,'319'!$B:$H,7,0),0)</f>
        <v>0</v>
      </c>
      <c r="G3770" s="34" t="n">
        <f aca="false">SUMIFS('12.326ana'!$C:$C,'12.326ana'!$M:$M,redes!A3770)</f>
        <v>0</v>
      </c>
    </row>
    <row r="3771" customFormat="false" ht="14.4" hidden="true" customHeight="false" outlineLevel="0" collapsed="false">
      <c r="A3771" s="34" t="n">
        <v>63742373153</v>
      </c>
      <c r="B3771" s="34" t="s">
        <v>9612</v>
      </c>
      <c r="C3771" s="34" t="s">
        <v>77</v>
      </c>
      <c r="E3771" s="30" t="s">
        <v>9613</v>
      </c>
      <c r="F3771" s="34" t="n">
        <f aca="false">IFERROR(VLOOKUP($A3771,'319'!$B:$H,7,0),0)</f>
        <v>0</v>
      </c>
      <c r="G3771" s="34" t="n">
        <f aca="false">SUMIFS('12.326ana'!$C:$C,'12.326ana'!$M:$M,redes!A3771)</f>
        <v>0</v>
      </c>
    </row>
    <row r="3772" customFormat="false" ht="14.4" hidden="true" customHeight="false" outlineLevel="0" collapsed="false">
      <c r="A3772" s="34" t="n">
        <v>63747022120</v>
      </c>
      <c r="B3772" s="34" t="s">
        <v>9614</v>
      </c>
      <c r="C3772" s="34" t="s">
        <v>77</v>
      </c>
      <c r="E3772" s="30"/>
      <c r="F3772" s="34" t="n">
        <f aca="false">IFERROR(VLOOKUP($A3772,'319'!$B:$H,7,0),0)</f>
        <v>0</v>
      </c>
      <c r="G3772" s="34" t="n">
        <f aca="false">SUMIFS('12.326ana'!$C:$C,'12.326ana'!$M:$M,redes!A3772)</f>
        <v>0</v>
      </c>
    </row>
    <row r="3773" customFormat="false" ht="14.4" hidden="true" customHeight="false" outlineLevel="0" collapsed="false">
      <c r="A3773" s="34" t="n">
        <v>63757885104</v>
      </c>
      <c r="B3773" s="34" t="s">
        <v>9615</v>
      </c>
      <c r="C3773" s="34" t="s">
        <v>77</v>
      </c>
      <c r="E3773" s="30" t="s">
        <v>4630</v>
      </c>
      <c r="F3773" s="34" t="n">
        <f aca="false">IFERROR(VLOOKUP($A3773,'319'!$B:$H,7,0),0)</f>
        <v>0</v>
      </c>
      <c r="G3773" s="34" t="n">
        <f aca="false">SUMIFS('12.326ana'!$C:$C,'12.326ana'!$M:$M,redes!A3773)</f>
        <v>0</v>
      </c>
    </row>
    <row r="3774" customFormat="false" ht="14.4" hidden="true" customHeight="false" outlineLevel="0" collapsed="false">
      <c r="A3774" s="34" t="n">
        <v>63763249168</v>
      </c>
      <c r="B3774" s="34" t="s">
        <v>9616</v>
      </c>
      <c r="C3774" s="34" t="s">
        <v>77</v>
      </c>
      <c r="E3774" s="30" t="s">
        <v>9617</v>
      </c>
      <c r="F3774" s="34" t="n">
        <f aca="false">IFERROR(VLOOKUP($A3774,'319'!$B:$H,7,0),0)</f>
        <v>0</v>
      </c>
      <c r="G3774" s="34" t="n">
        <f aca="false">SUMIFS('12.326ana'!$C:$C,'12.326ana'!$M:$M,redes!A3774)</f>
        <v>0</v>
      </c>
    </row>
    <row r="3775" customFormat="false" ht="14.4" hidden="true" customHeight="false" outlineLevel="0" collapsed="false">
      <c r="A3775" s="34" t="n">
        <v>63770504100</v>
      </c>
      <c r="B3775" s="34" t="s">
        <v>9618</v>
      </c>
      <c r="C3775" s="34" t="s">
        <v>77</v>
      </c>
      <c r="E3775" s="30" t="s">
        <v>3632</v>
      </c>
      <c r="F3775" s="34" t="n">
        <f aca="false">IFERROR(VLOOKUP($A3775,'319'!$B:$H,7,0),0)</f>
        <v>0</v>
      </c>
      <c r="G3775" s="34" t="n">
        <f aca="false">SUMIFS('12.326ana'!$C:$C,'12.326ana'!$M:$M,redes!A3775)</f>
        <v>0</v>
      </c>
    </row>
    <row r="3776" customFormat="false" ht="14.4" hidden="true" customHeight="false" outlineLevel="0" collapsed="false">
      <c r="A3776" s="34" t="n">
        <v>63777444120</v>
      </c>
      <c r="B3776" s="34" t="s">
        <v>9619</v>
      </c>
      <c r="C3776" s="34" t="s">
        <v>107</v>
      </c>
      <c r="E3776" s="30" t="s">
        <v>9620</v>
      </c>
      <c r="F3776" s="34" t="n">
        <f aca="false">IFERROR(VLOOKUP($A3776,'319'!$B:$H,7,0),0)</f>
        <v>0</v>
      </c>
      <c r="G3776" s="34" t="n">
        <f aca="false">SUMIFS('12.326ana'!$C:$C,'12.326ana'!$M:$M,redes!A3776)</f>
        <v>0</v>
      </c>
    </row>
    <row r="3777" customFormat="false" ht="14.4" hidden="true" customHeight="false" outlineLevel="0" collapsed="false">
      <c r="A3777" s="34" t="n">
        <v>63782880110</v>
      </c>
      <c r="B3777" s="34" t="s">
        <v>9621</v>
      </c>
      <c r="C3777" s="34" t="s">
        <v>77</v>
      </c>
      <c r="E3777" s="30" t="s">
        <v>3194</v>
      </c>
      <c r="F3777" s="34" t="n">
        <f aca="false">IFERROR(VLOOKUP($A3777,'319'!$B:$H,7,0),0)</f>
        <v>0</v>
      </c>
      <c r="G3777" s="34" t="n">
        <f aca="false">SUMIFS('12.326ana'!$C:$C,'12.326ana'!$M:$M,redes!A3777)</f>
        <v>0</v>
      </c>
    </row>
    <row r="3778" customFormat="false" ht="14.4" hidden="true" customHeight="false" outlineLevel="0" collapsed="false">
      <c r="A3778" s="34" t="n">
        <v>63784971172</v>
      </c>
      <c r="B3778" s="34" t="s">
        <v>9622</v>
      </c>
      <c r="C3778" s="34" t="s">
        <v>475</v>
      </c>
      <c r="E3778" s="30" t="s">
        <v>9623</v>
      </c>
      <c r="F3778" s="34" t="n">
        <f aca="false">IFERROR(VLOOKUP($A3778,'319'!$B:$H,7,0),0)</f>
        <v>0</v>
      </c>
      <c r="G3778" s="34" t="n">
        <f aca="false">SUMIFS('12.326ana'!$C:$C,'12.326ana'!$M:$M,redes!A3778)</f>
        <v>0</v>
      </c>
    </row>
    <row r="3779" customFormat="false" ht="14.4" hidden="true" customHeight="false" outlineLevel="0" collapsed="false">
      <c r="A3779" s="34" t="n">
        <v>63791722115</v>
      </c>
      <c r="B3779" s="34" t="s">
        <v>9624</v>
      </c>
      <c r="C3779" s="34" t="s">
        <v>89</v>
      </c>
      <c r="E3779" s="30" t="s">
        <v>9625</v>
      </c>
      <c r="F3779" s="34" t="n">
        <f aca="false">IFERROR(VLOOKUP($A3779,'319'!$B:$H,7,0),0)</f>
        <v>0</v>
      </c>
      <c r="G3779" s="34" t="n">
        <f aca="false">SUMIFS('12.326ana'!$C:$C,'12.326ana'!$M:$M,redes!A3779)</f>
        <v>0</v>
      </c>
    </row>
    <row r="3780" customFormat="false" ht="14.4" hidden="true" customHeight="false" outlineLevel="0" collapsed="false">
      <c r="A3780" s="34" t="n">
        <v>63796457134</v>
      </c>
      <c r="B3780" s="34" t="s">
        <v>9626</v>
      </c>
      <c r="C3780" s="34" t="s">
        <v>89</v>
      </c>
      <c r="E3780" s="30" t="s">
        <v>9627</v>
      </c>
      <c r="F3780" s="34" t="n">
        <f aca="false">IFERROR(VLOOKUP($A3780,'319'!$B:$H,7,0),0)</f>
        <v>0</v>
      </c>
      <c r="G3780" s="34" t="n">
        <f aca="false">SUMIFS('12.326ana'!$C:$C,'12.326ana'!$M:$M,redes!A3780)</f>
        <v>0</v>
      </c>
    </row>
    <row r="3781" customFormat="false" ht="14.4" hidden="true" customHeight="false" outlineLevel="0" collapsed="false">
      <c r="A3781" s="34" t="n">
        <v>63798158134</v>
      </c>
      <c r="B3781" s="34" t="s">
        <v>9628</v>
      </c>
      <c r="C3781" s="34" t="s">
        <v>475</v>
      </c>
      <c r="E3781" s="30" t="s">
        <v>9629</v>
      </c>
      <c r="F3781" s="34" t="n">
        <f aca="false">IFERROR(VLOOKUP($A3781,'319'!$B:$H,7,0),0)</f>
        <v>0</v>
      </c>
      <c r="G3781" s="34" t="n">
        <f aca="false">SUMIFS('12.326ana'!$C:$C,'12.326ana'!$M:$M,redes!A3781)</f>
        <v>0</v>
      </c>
    </row>
    <row r="3782" customFormat="false" ht="14.4" hidden="true" customHeight="false" outlineLevel="0" collapsed="false">
      <c r="A3782" s="34" t="n">
        <v>63802678168</v>
      </c>
      <c r="B3782" s="34" t="s">
        <v>9630</v>
      </c>
      <c r="C3782" s="34" t="s">
        <v>357</v>
      </c>
      <c r="E3782" s="30" t="s">
        <v>9631</v>
      </c>
      <c r="F3782" s="34" t="n">
        <f aca="false">IFERROR(VLOOKUP($A3782,'319'!$B:$H,7,0),0)</f>
        <v>0</v>
      </c>
      <c r="G3782" s="34" t="n">
        <f aca="false">SUMIFS('12.326ana'!$C:$C,'12.326ana'!$M:$M,redes!A3782)</f>
        <v>0</v>
      </c>
    </row>
    <row r="3783" customFormat="false" ht="14.4" hidden="true" customHeight="false" outlineLevel="0" collapsed="false">
      <c r="A3783" s="34" t="n">
        <v>63807866191</v>
      </c>
      <c r="B3783" s="34" t="s">
        <v>9632</v>
      </c>
      <c r="C3783" s="34" t="s">
        <v>77</v>
      </c>
      <c r="E3783" s="30" t="s">
        <v>9633</v>
      </c>
      <c r="F3783" s="34" t="n">
        <f aca="false">IFERROR(VLOOKUP($A3783,'319'!$B:$H,7,0),0)</f>
        <v>0</v>
      </c>
      <c r="G3783" s="34" t="n">
        <f aca="false">SUMIFS('12.326ana'!$C:$C,'12.326ana'!$M:$M,redes!A3783)</f>
        <v>0</v>
      </c>
    </row>
    <row r="3784" customFormat="false" ht="14.4" hidden="true" customHeight="false" outlineLevel="0" collapsed="false">
      <c r="A3784" s="34" t="n">
        <v>63812525100</v>
      </c>
      <c r="B3784" s="34" t="s">
        <v>9634</v>
      </c>
      <c r="C3784" s="34" t="s">
        <v>77</v>
      </c>
      <c r="E3784" s="30" t="s">
        <v>9204</v>
      </c>
      <c r="F3784" s="34" t="n">
        <f aca="false">IFERROR(VLOOKUP($A3784,'319'!$B:$H,7,0),0)</f>
        <v>0</v>
      </c>
      <c r="G3784" s="34" t="n">
        <f aca="false">SUMIFS('12.326ana'!$C:$C,'12.326ana'!$M:$M,redes!A3784)</f>
        <v>0</v>
      </c>
    </row>
    <row r="3785" customFormat="false" ht="14.4" hidden="true" customHeight="false" outlineLevel="0" collapsed="false">
      <c r="A3785" s="34" t="n">
        <v>63814943104</v>
      </c>
      <c r="B3785" s="34" t="s">
        <v>9635</v>
      </c>
      <c r="C3785" s="34" t="s">
        <v>377</v>
      </c>
      <c r="E3785" s="30" t="s">
        <v>9636</v>
      </c>
      <c r="F3785" s="34" t="n">
        <f aca="false">IFERROR(VLOOKUP($A3785,'319'!$B:$H,7,0),0)</f>
        <v>0</v>
      </c>
      <c r="G3785" s="34" t="n">
        <f aca="false">SUMIFS('12.326ana'!$C:$C,'12.326ana'!$M:$M,redes!A3785)</f>
        <v>0</v>
      </c>
    </row>
    <row r="3786" customFormat="false" ht="14.4" hidden="true" customHeight="false" outlineLevel="0" collapsed="false">
      <c r="A3786" s="34" t="n">
        <v>63820021191</v>
      </c>
      <c r="B3786" s="34" t="s">
        <v>9637</v>
      </c>
      <c r="C3786" s="34" t="s">
        <v>1341</v>
      </c>
      <c r="E3786" s="30" t="s">
        <v>9638</v>
      </c>
      <c r="F3786" s="34" t="n">
        <f aca="false">IFERROR(VLOOKUP($A3786,'319'!$B:$H,7,0),0)</f>
        <v>0</v>
      </c>
      <c r="G3786" s="34" t="n">
        <f aca="false">SUMIFS('12.326ana'!$C:$C,'12.326ana'!$M:$M,redes!A3786)</f>
        <v>0</v>
      </c>
    </row>
    <row r="3787" customFormat="false" ht="14.4" hidden="true" customHeight="false" outlineLevel="0" collapsed="false">
      <c r="A3787" s="34" t="n">
        <v>63821508191</v>
      </c>
      <c r="B3787" s="34" t="s">
        <v>9639</v>
      </c>
      <c r="C3787" s="34" t="s">
        <v>475</v>
      </c>
      <c r="E3787" s="30" t="s">
        <v>9640</v>
      </c>
      <c r="F3787" s="34" t="n">
        <f aca="false">IFERROR(VLOOKUP($A3787,'319'!$B:$H,7,0),0)</f>
        <v>0</v>
      </c>
      <c r="G3787" s="34" t="n">
        <f aca="false">SUMIFS('12.326ana'!$C:$C,'12.326ana'!$M:$M,redes!A3787)</f>
        <v>0</v>
      </c>
    </row>
    <row r="3788" customFormat="false" ht="14.4" hidden="true" customHeight="false" outlineLevel="0" collapsed="false">
      <c r="A3788" s="34" t="n">
        <v>63838150163</v>
      </c>
      <c r="B3788" s="34" t="s">
        <v>9641</v>
      </c>
      <c r="C3788" s="34" t="s">
        <v>77</v>
      </c>
      <c r="E3788" s="30" t="s">
        <v>9642</v>
      </c>
      <c r="F3788" s="34" t="n">
        <f aca="false">IFERROR(VLOOKUP($A3788,'319'!$B:$H,7,0),0)</f>
        <v>0</v>
      </c>
      <c r="G3788" s="34" t="n">
        <f aca="false">SUMIFS('12.326ana'!$C:$C,'12.326ana'!$M:$M,redes!A3788)</f>
        <v>0</v>
      </c>
    </row>
    <row r="3789" customFormat="false" ht="14.4" hidden="true" customHeight="false" outlineLevel="0" collapsed="false">
      <c r="A3789" s="34" t="n">
        <v>63841983120</v>
      </c>
      <c r="B3789" s="34" t="s">
        <v>9643</v>
      </c>
      <c r="C3789" s="34" t="s">
        <v>357</v>
      </c>
      <c r="E3789" s="30" t="s">
        <v>9644</v>
      </c>
      <c r="F3789" s="34" t="n">
        <f aca="false">IFERROR(VLOOKUP($A3789,'319'!$B:$H,7,0),0)</f>
        <v>0</v>
      </c>
      <c r="G3789" s="34" t="n">
        <f aca="false">SUMIFS('12.326ana'!$C:$C,'12.326ana'!$M:$M,redes!A3789)</f>
        <v>0</v>
      </c>
    </row>
    <row r="3790" customFormat="false" ht="14.4" hidden="true" customHeight="false" outlineLevel="0" collapsed="false">
      <c r="A3790" s="34" t="n">
        <v>63850397149</v>
      </c>
      <c r="B3790" s="34" t="s">
        <v>9645</v>
      </c>
      <c r="C3790" s="34" t="s">
        <v>89</v>
      </c>
      <c r="E3790" s="30" t="s">
        <v>9646</v>
      </c>
      <c r="F3790" s="34" t="n">
        <f aca="false">IFERROR(VLOOKUP($A3790,'319'!$B:$H,7,0),0)</f>
        <v>0</v>
      </c>
      <c r="G3790" s="34" t="n">
        <f aca="false">SUMIFS('12.326ana'!$C:$C,'12.326ana'!$M:$M,redes!A3790)</f>
        <v>0</v>
      </c>
    </row>
    <row r="3791" customFormat="false" ht="14.4" hidden="true" customHeight="false" outlineLevel="0" collapsed="false">
      <c r="A3791" s="34" t="n">
        <v>63854686153</v>
      </c>
      <c r="B3791" s="34" t="s">
        <v>9647</v>
      </c>
      <c r="C3791" s="34" t="s">
        <v>89</v>
      </c>
      <c r="E3791" s="30" t="s">
        <v>9648</v>
      </c>
      <c r="F3791" s="34" t="n">
        <f aca="false">IFERROR(VLOOKUP($A3791,'319'!$B:$H,7,0),0)</f>
        <v>0</v>
      </c>
      <c r="G3791" s="34" t="n">
        <f aca="false">SUMIFS('12.326ana'!$C:$C,'12.326ana'!$M:$M,redes!A3791)</f>
        <v>0</v>
      </c>
    </row>
    <row r="3792" customFormat="false" ht="14.4" hidden="true" customHeight="false" outlineLevel="0" collapsed="false">
      <c r="A3792" s="34" t="n">
        <v>63859009168</v>
      </c>
      <c r="B3792" s="34" t="s">
        <v>9649</v>
      </c>
      <c r="C3792" s="34" t="s">
        <v>89</v>
      </c>
      <c r="E3792" s="30" t="s">
        <v>3683</v>
      </c>
      <c r="F3792" s="34" t="n">
        <f aca="false">IFERROR(VLOOKUP($A3792,'319'!$B:$H,7,0),0)</f>
        <v>0</v>
      </c>
      <c r="G3792" s="34" t="n">
        <f aca="false">SUMIFS('12.326ana'!$C:$C,'12.326ana'!$M:$M,redes!A3792)</f>
        <v>0</v>
      </c>
    </row>
    <row r="3793" customFormat="false" ht="14.4" hidden="true" customHeight="false" outlineLevel="0" collapsed="false">
      <c r="A3793" s="34" t="n">
        <v>63862735168</v>
      </c>
      <c r="B3793" s="34" t="s">
        <v>9650</v>
      </c>
      <c r="C3793" s="34" t="s">
        <v>377</v>
      </c>
      <c r="E3793" s="30" t="s">
        <v>3066</v>
      </c>
      <c r="F3793" s="34" t="n">
        <f aca="false">IFERROR(VLOOKUP($A3793,'319'!$B:$H,7,0),0)</f>
        <v>0</v>
      </c>
      <c r="G3793" s="34" t="n">
        <f aca="false">SUMIFS('12.326ana'!$C:$C,'12.326ana'!$M:$M,redes!A3793)</f>
        <v>0</v>
      </c>
    </row>
    <row r="3794" customFormat="false" ht="14.4" hidden="true" customHeight="false" outlineLevel="0" collapsed="false">
      <c r="A3794" s="34" t="n">
        <v>63863219104</v>
      </c>
      <c r="B3794" s="34" t="s">
        <v>9651</v>
      </c>
      <c r="C3794" s="34" t="s">
        <v>77</v>
      </c>
      <c r="E3794" s="30" t="s">
        <v>9652</v>
      </c>
      <c r="F3794" s="34" t="n">
        <f aca="false">IFERROR(VLOOKUP($A3794,'319'!$B:$H,7,0),0)</f>
        <v>0</v>
      </c>
      <c r="G3794" s="34" t="n">
        <f aca="false">SUMIFS('12.326ana'!$C:$C,'12.326ana'!$M:$M,redes!A3794)</f>
        <v>0</v>
      </c>
    </row>
    <row r="3795" customFormat="false" ht="14.4" hidden="true" customHeight="false" outlineLevel="0" collapsed="false">
      <c r="A3795" s="34" t="n">
        <v>63864410100</v>
      </c>
      <c r="B3795" s="34" t="s">
        <v>9653</v>
      </c>
      <c r="C3795" s="34" t="s">
        <v>77</v>
      </c>
      <c r="E3795" s="30" t="s">
        <v>5715</v>
      </c>
      <c r="F3795" s="34" t="n">
        <f aca="false">IFERROR(VLOOKUP($A3795,'319'!$B:$H,7,0),0)</f>
        <v>0</v>
      </c>
      <c r="G3795" s="34" t="n">
        <f aca="false">SUMIFS('12.326ana'!$C:$C,'12.326ana'!$M:$M,redes!A3795)</f>
        <v>0</v>
      </c>
    </row>
    <row r="3796" customFormat="false" ht="14.4" hidden="true" customHeight="false" outlineLevel="0" collapsed="false">
      <c r="A3796" s="34" t="n">
        <v>63867800197</v>
      </c>
      <c r="B3796" s="34" t="s">
        <v>9654</v>
      </c>
      <c r="C3796" s="34" t="s">
        <v>77</v>
      </c>
      <c r="E3796" s="30" t="s">
        <v>9655</v>
      </c>
      <c r="F3796" s="34" t="n">
        <f aca="false">IFERROR(VLOOKUP($A3796,'319'!$B:$H,7,0),0)</f>
        <v>0</v>
      </c>
      <c r="G3796" s="34" t="n">
        <f aca="false">SUMIFS('12.326ana'!$C:$C,'12.326ana'!$M:$M,redes!A3796)</f>
        <v>0</v>
      </c>
    </row>
    <row r="3797" customFormat="false" ht="14.4" hidden="true" customHeight="false" outlineLevel="0" collapsed="false">
      <c r="A3797" s="34" t="n">
        <v>63878186134</v>
      </c>
      <c r="B3797" s="34" t="s">
        <v>9656</v>
      </c>
      <c r="C3797" s="34" t="s">
        <v>192</v>
      </c>
      <c r="E3797" s="30" t="s">
        <v>9657</v>
      </c>
      <c r="F3797" s="34" t="n">
        <f aca="false">IFERROR(VLOOKUP($A3797,'319'!$B:$H,7,0),0)</f>
        <v>0</v>
      </c>
      <c r="G3797" s="34" t="n">
        <f aca="false">SUMIFS('12.326ana'!$C:$C,'12.326ana'!$M:$M,redes!A3797)</f>
        <v>0</v>
      </c>
    </row>
    <row r="3798" customFormat="false" ht="14.4" hidden="true" customHeight="false" outlineLevel="0" collapsed="false">
      <c r="A3798" s="34" t="n">
        <v>63882078120</v>
      </c>
      <c r="B3798" s="34" t="s">
        <v>9658</v>
      </c>
      <c r="C3798" s="34" t="s">
        <v>77</v>
      </c>
      <c r="E3798" s="30" t="s">
        <v>7882</v>
      </c>
      <c r="F3798" s="34" t="n">
        <f aca="false">IFERROR(VLOOKUP($A3798,'319'!$B:$H,7,0),0)</f>
        <v>0</v>
      </c>
      <c r="G3798" s="34" t="n">
        <f aca="false">SUMIFS('12.326ana'!$C:$C,'12.326ana'!$M:$M,redes!A3798)</f>
        <v>0</v>
      </c>
    </row>
    <row r="3799" customFormat="false" ht="14.4" hidden="true" customHeight="false" outlineLevel="0" collapsed="false">
      <c r="A3799" s="34" t="n">
        <v>63886880125</v>
      </c>
      <c r="B3799" s="34" t="s">
        <v>9659</v>
      </c>
      <c r="C3799" s="34" t="s">
        <v>631</v>
      </c>
      <c r="E3799" s="30" t="s">
        <v>3472</v>
      </c>
      <c r="F3799" s="34" t="n">
        <f aca="false">IFERROR(VLOOKUP($A3799,'319'!$B:$H,7,0),0)</f>
        <v>0</v>
      </c>
      <c r="G3799" s="34" t="n">
        <f aca="false">SUMIFS('12.326ana'!$C:$C,'12.326ana'!$M:$M,redes!A3799)</f>
        <v>0</v>
      </c>
    </row>
    <row r="3800" customFormat="false" ht="14.4" hidden="true" customHeight="false" outlineLevel="0" collapsed="false">
      <c r="A3800" s="34" t="n">
        <v>63901455191</v>
      </c>
      <c r="B3800" s="34" t="s">
        <v>9660</v>
      </c>
      <c r="C3800" s="34" t="s">
        <v>351</v>
      </c>
      <c r="E3800" s="30"/>
      <c r="F3800" s="34" t="n">
        <f aca="false">IFERROR(VLOOKUP($A3800,'319'!$B:$H,7,0),0)</f>
        <v>0</v>
      </c>
      <c r="G3800" s="34" t="n">
        <f aca="false">SUMIFS('12.326ana'!$C:$C,'12.326ana'!$M:$M,redes!A3800)</f>
        <v>0</v>
      </c>
    </row>
    <row r="3801" customFormat="false" ht="14.4" hidden="true" customHeight="false" outlineLevel="0" collapsed="false">
      <c r="A3801" s="34" t="n">
        <v>63906937100</v>
      </c>
      <c r="B3801" s="34" t="s">
        <v>9661</v>
      </c>
      <c r="C3801" s="34" t="s">
        <v>475</v>
      </c>
      <c r="E3801" s="30" t="s">
        <v>9662</v>
      </c>
      <c r="F3801" s="34" t="n">
        <f aca="false">IFERROR(VLOOKUP($A3801,'319'!$B:$H,7,0),0)</f>
        <v>0</v>
      </c>
      <c r="G3801" s="34" t="n">
        <f aca="false">SUMIFS('12.326ana'!$C:$C,'12.326ana'!$M:$M,redes!A3801)</f>
        <v>0</v>
      </c>
    </row>
    <row r="3802" customFormat="false" ht="14.4" hidden="true" customHeight="false" outlineLevel="0" collapsed="false">
      <c r="A3802" s="34" t="n">
        <v>63907747100</v>
      </c>
      <c r="B3802" s="34" t="s">
        <v>9663</v>
      </c>
      <c r="C3802" s="34" t="s">
        <v>475</v>
      </c>
      <c r="E3802" s="30" t="s">
        <v>9664</v>
      </c>
      <c r="F3802" s="34" t="n">
        <f aca="false">IFERROR(VLOOKUP($A3802,'319'!$B:$H,7,0),0)</f>
        <v>0</v>
      </c>
      <c r="G3802" s="34" t="n">
        <f aca="false">SUMIFS('12.326ana'!$C:$C,'12.326ana'!$M:$M,redes!A3802)</f>
        <v>0</v>
      </c>
    </row>
    <row r="3803" customFormat="false" ht="14.4" hidden="true" customHeight="false" outlineLevel="0" collapsed="false">
      <c r="A3803" s="34" t="n">
        <v>63907860187</v>
      </c>
      <c r="B3803" s="34" t="s">
        <v>9665</v>
      </c>
      <c r="C3803" s="34" t="s">
        <v>475</v>
      </c>
      <c r="E3803" s="30" t="s">
        <v>9666</v>
      </c>
      <c r="F3803" s="34" t="n">
        <f aca="false">IFERROR(VLOOKUP($A3803,'319'!$B:$H,7,0),0)</f>
        <v>0</v>
      </c>
      <c r="G3803" s="34" t="n">
        <f aca="false">SUMIFS('12.326ana'!$C:$C,'12.326ana'!$M:$M,redes!A3803)</f>
        <v>0</v>
      </c>
    </row>
    <row r="3804" customFormat="false" ht="14.4" hidden="true" customHeight="false" outlineLevel="0" collapsed="false">
      <c r="A3804" s="34" t="n">
        <v>63909030149</v>
      </c>
      <c r="B3804" s="34" t="s">
        <v>9667</v>
      </c>
      <c r="C3804" s="34" t="s">
        <v>631</v>
      </c>
      <c r="E3804" s="30" t="s">
        <v>9668</v>
      </c>
      <c r="F3804" s="34" t="n">
        <f aca="false">IFERROR(VLOOKUP($A3804,'319'!$B:$H,7,0),0)</f>
        <v>0</v>
      </c>
      <c r="G3804" s="34" t="n">
        <f aca="false">SUMIFS('12.326ana'!$C:$C,'12.326ana'!$M:$M,redes!A3804)</f>
        <v>0</v>
      </c>
    </row>
    <row r="3805" customFormat="false" ht="14.4" hidden="true" customHeight="false" outlineLevel="0" collapsed="false">
      <c r="A3805" s="34" t="n">
        <v>63916061100</v>
      </c>
      <c r="B3805" s="34" t="s">
        <v>9669</v>
      </c>
      <c r="C3805" s="34" t="s">
        <v>77</v>
      </c>
      <c r="E3805" s="30"/>
      <c r="F3805" s="34" t="n">
        <f aca="false">IFERROR(VLOOKUP($A3805,'319'!$B:$H,7,0),0)</f>
        <v>0</v>
      </c>
      <c r="G3805" s="34" t="n">
        <f aca="false">SUMIFS('12.326ana'!$C:$C,'12.326ana'!$M:$M,redes!A3805)</f>
        <v>0</v>
      </c>
    </row>
    <row r="3806" customFormat="false" ht="14.4" hidden="true" customHeight="false" outlineLevel="0" collapsed="false">
      <c r="A3806" s="34" t="n">
        <v>63920166191</v>
      </c>
      <c r="B3806" s="34" t="s">
        <v>9670</v>
      </c>
      <c r="C3806" s="34" t="s">
        <v>77</v>
      </c>
      <c r="E3806" s="30" t="s">
        <v>9671</v>
      </c>
      <c r="F3806" s="34" t="n">
        <f aca="false">IFERROR(VLOOKUP($A3806,'319'!$B:$H,7,0),0)</f>
        <v>0</v>
      </c>
      <c r="G3806" s="34" t="n">
        <f aca="false">SUMIFS('12.326ana'!$C:$C,'12.326ana'!$M:$M,redes!A3806)</f>
        <v>0</v>
      </c>
    </row>
    <row r="3807" customFormat="false" ht="14.4" hidden="true" customHeight="false" outlineLevel="0" collapsed="false">
      <c r="A3807" s="34" t="n">
        <v>63923980159</v>
      </c>
      <c r="B3807" s="34" t="s">
        <v>9672</v>
      </c>
      <c r="C3807" s="34" t="s">
        <v>377</v>
      </c>
      <c r="E3807" s="30" t="s">
        <v>9673</v>
      </c>
      <c r="F3807" s="34" t="n">
        <f aca="false">IFERROR(VLOOKUP($A3807,'319'!$B:$H,7,0),0)</f>
        <v>0</v>
      </c>
      <c r="G3807" s="34" t="n">
        <f aca="false">SUMIFS('12.326ana'!$C:$C,'12.326ana'!$M:$M,redes!A3807)</f>
        <v>0</v>
      </c>
    </row>
    <row r="3808" customFormat="false" ht="14.4" hidden="true" customHeight="false" outlineLevel="0" collapsed="false">
      <c r="A3808" s="34" t="n">
        <v>63926954191</v>
      </c>
      <c r="B3808" s="34" t="s">
        <v>9674</v>
      </c>
      <c r="C3808" s="34" t="s">
        <v>77</v>
      </c>
      <c r="E3808" s="30" t="s">
        <v>9674</v>
      </c>
      <c r="F3808" s="34" t="n">
        <f aca="false">IFERROR(VLOOKUP($A3808,'319'!$B:$H,7,0),0)</f>
        <v>0</v>
      </c>
      <c r="G3808" s="34" t="n">
        <f aca="false">SUMIFS('12.326ana'!$C:$C,'12.326ana'!$M:$M,redes!A3808)</f>
        <v>0</v>
      </c>
    </row>
    <row r="3809" customFormat="false" ht="14.4" hidden="true" customHeight="false" outlineLevel="0" collapsed="false">
      <c r="A3809" s="34" t="n">
        <v>63927543187</v>
      </c>
      <c r="B3809" s="34" t="s">
        <v>9675</v>
      </c>
      <c r="C3809" s="34" t="s">
        <v>604</v>
      </c>
      <c r="E3809" s="30"/>
      <c r="F3809" s="34" t="n">
        <f aca="false">IFERROR(VLOOKUP($A3809,'319'!$B:$H,7,0),0)</f>
        <v>0</v>
      </c>
      <c r="G3809" s="34" t="n">
        <f aca="false">SUMIFS('12.326ana'!$C:$C,'12.326ana'!$M:$M,redes!A3809)</f>
        <v>0</v>
      </c>
    </row>
    <row r="3810" customFormat="false" ht="14.4" hidden="true" customHeight="false" outlineLevel="0" collapsed="false">
      <c r="A3810" s="34" t="n">
        <v>63930307120</v>
      </c>
      <c r="B3810" s="34" t="s">
        <v>9676</v>
      </c>
      <c r="C3810" s="34" t="s">
        <v>77</v>
      </c>
      <c r="E3810" s="30"/>
      <c r="F3810" s="34" t="n">
        <f aca="false">IFERROR(VLOOKUP($A3810,'319'!$B:$H,7,0),0)</f>
        <v>0</v>
      </c>
      <c r="G3810" s="34" t="n">
        <f aca="false">SUMIFS('12.326ana'!$C:$C,'12.326ana'!$M:$M,redes!A3810)</f>
        <v>0</v>
      </c>
    </row>
    <row r="3811" customFormat="false" ht="14.4" hidden="true" customHeight="false" outlineLevel="0" collapsed="false">
      <c r="A3811" s="34" t="n">
        <v>63932091191</v>
      </c>
      <c r="B3811" s="34" t="s">
        <v>9677</v>
      </c>
      <c r="C3811" s="34" t="s">
        <v>154</v>
      </c>
      <c r="E3811" s="30" t="s">
        <v>9678</v>
      </c>
      <c r="F3811" s="34" t="n">
        <f aca="false">IFERROR(VLOOKUP($A3811,'319'!$B:$H,7,0),0)</f>
        <v>0</v>
      </c>
      <c r="G3811" s="34" t="n">
        <f aca="false">SUMIFS('12.326ana'!$C:$C,'12.326ana'!$M:$M,redes!A3811)</f>
        <v>0</v>
      </c>
    </row>
    <row r="3812" customFormat="false" ht="14.4" hidden="true" customHeight="false" outlineLevel="0" collapsed="false">
      <c r="A3812" s="34" t="n">
        <v>63933187168</v>
      </c>
      <c r="B3812" s="34" t="s">
        <v>9679</v>
      </c>
      <c r="C3812" s="34" t="s">
        <v>77</v>
      </c>
      <c r="E3812" s="30" t="s">
        <v>9680</v>
      </c>
      <c r="F3812" s="34" t="n">
        <f aca="false">IFERROR(VLOOKUP($A3812,'319'!$B:$H,7,0),0)</f>
        <v>0</v>
      </c>
      <c r="G3812" s="34" t="n">
        <f aca="false">SUMIFS('12.326ana'!$C:$C,'12.326ana'!$M:$M,redes!A3812)</f>
        <v>0</v>
      </c>
    </row>
    <row r="3813" customFormat="false" ht="14.4" hidden="true" customHeight="false" outlineLevel="0" collapsed="false">
      <c r="A3813" s="34" t="n">
        <v>63939495115</v>
      </c>
      <c r="B3813" s="34" t="s">
        <v>9681</v>
      </c>
      <c r="C3813" s="34" t="s">
        <v>107</v>
      </c>
      <c r="E3813" s="30" t="s">
        <v>9682</v>
      </c>
      <c r="F3813" s="34" t="n">
        <f aca="false">IFERROR(VLOOKUP($A3813,'319'!$B:$H,7,0),0)</f>
        <v>0</v>
      </c>
      <c r="G3813" s="34" t="n">
        <f aca="false">SUMIFS('12.326ana'!$C:$C,'12.326ana'!$M:$M,redes!A3813)</f>
        <v>0</v>
      </c>
    </row>
    <row r="3814" customFormat="false" ht="14.4" hidden="true" customHeight="false" outlineLevel="0" collapsed="false">
      <c r="A3814" s="34" t="n">
        <v>63947234104</v>
      </c>
      <c r="B3814" s="34" t="s">
        <v>9683</v>
      </c>
      <c r="C3814" s="34" t="s">
        <v>77</v>
      </c>
      <c r="E3814" s="30" t="s">
        <v>9684</v>
      </c>
      <c r="F3814" s="34" t="n">
        <f aca="false">IFERROR(VLOOKUP($A3814,'319'!$B:$H,7,0),0)</f>
        <v>0</v>
      </c>
      <c r="G3814" s="34" t="n">
        <f aca="false">SUMIFS('12.326ana'!$C:$C,'12.326ana'!$M:$M,redes!A3814)</f>
        <v>0</v>
      </c>
    </row>
    <row r="3815" customFormat="false" ht="14.4" hidden="true" customHeight="false" outlineLevel="0" collapsed="false">
      <c r="A3815" s="34" t="n">
        <v>63954877104</v>
      </c>
      <c r="B3815" s="34" t="s">
        <v>9685</v>
      </c>
      <c r="C3815" s="34" t="s">
        <v>77</v>
      </c>
      <c r="E3815" s="30" t="s">
        <v>9686</v>
      </c>
      <c r="F3815" s="34" t="n">
        <f aca="false">IFERROR(VLOOKUP($A3815,'319'!$B:$H,7,0),0)</f>
        <v>0</v>
      </c>
      <c r="G3815" s="34" t="n">
        <f aca="false">SUMIFS('12.326ana'!$C:$C,'12.326ana'!$M:$M,redes!A3815)</f>
        <v>0</v>
      </c>
    </row>
    <row r="3816" customFormat="false" ht="14.4" hidden="true" customHeight="false" outlineLevel="0" collapsed="false">
      <c r="A3816" s="34" t="n">
        <v>63957884187</v>
      </c>
      <c r="B3816" s="34" t="s">
        <v>9687</v>
      </c>
      <c r="C3816" s="34" t="s">
        <v>77</v>
      </c>
      <c r="E3816" s="30"/>
      <c r="F3816" s="34" t="n">
        <f aca="false">IFERROR(VLOOKUP($A3816,'319'!$B:$H,7,0),0)</f>
        <v>0</v>
      </c>
      <c r="G3816" s="34" t="n">
        <f aca="false">SUMIFS('12.326ana'!$C:$C,'12.326ana'!$M:$M,redes!A3816)</f>
        <v>0</v>
      </c>
    </row>
    <row r="3817" customFormat="false" ht="14.4" hidden="true" customHeight="false" outlineLevel="0" collapsed="false">
      <c r="A3817" s="34" t="n">
        <v>63969246172</v>
      </c>
      <c r="B3817" s="34" t="s">
        <v>9688</v>
      </c>
      <c r="C3817" s="34" t="s">
        <v>77</v>
      </c>
      <c r="E3817" s="30"/>
      <c r="F3817" s="34" t="n">
        <f aca="false">IFERROR(VLOOKUP($A3817,'319'!$B:$H,7,0),0)</f>
        <v>0</v>
      </c>
      <c r="G3817" s="34" t="n">
        <f aca="false">SUMIFS('12.326ana'!$C:$C,'12.326ana'!$M:$M,redes!A3817)</f>
        <v>0</v>
      </c>
    </row>
    <row r="3818" customFormat="false" ht="14.4" hidden="true" customHeight="false" outlineLevel="0" collapsed="false">
      <c r="A3818" s="34" t="n">
        <v>63982536120</v>
      </c>
      <c r="B3818" s="34" t="s">
        <v>9689</v>
      </c>
      <c r="C3818" s="34" t="s">
        <v>107</v>
      </c>
      <c r="E3818" s="30" t="s">
        <v>9690</v>
      </c>
      <c r="F3818" s="34" t="n">
        <f aca="false">IFERROR(VLOOKUP($A3818,'319'!$B:$H,7,0),0)</f>
        <v>0</v>
      </c>
      <c r="G3818" s="34" t="n">
        <f aca="false">SUMIFS('12.326ana'!$C:$C,'12.326ana'!$M:$M,redes!A3818)</f>
        <v>0</v>
      </c>
    </row>
    <row r="3819" customFormat="false" ht="14.4" hidden="true" customHeight="false" outlineLevel="0" collapsed="false">
      <c r="A3819" s="34" t="n">
        <v>63984407149</v>
      </c>
      <c r="B3819" s="34" t="s">
        <v>9691</v>
      </c>
      <c r="C3819" s="34" t="s">
        <v>309</v>
      </c>
      <c r="E3819" s="30" t="s">
        <v>9692</v>
      </c>
      <c r="F3819" s="34" t="n">
        <f aca="false">IFERROR(VLOOKUP($A3819,'319'!$B:$H,7,0),0)</f>
        <v>0</v>
      </c>
      <c r="G3819" s="34" t="n">
        <f aca="false">SUMIFS('12.326ana'!$C:$C,'12.326ana'!$M:$M,redes!A3819)</f>
        <v>0</v>
      </c>
    </row>
    <row r="3820" customFormat="false" ht="14.4" hidden="true" customHeight="false" outlineLevel="0" collapsed="false">
      <c r="A3820" s="34" t="n">
        <v>63985195153</v>
      </c>
      <c r="B3820" s="34" t="s">
        <v>9693</v>
      </c>
      <c r="C3820" s="34" t="s">
        <v>77</v>
      </c>
      <c r="E3820" s="30"/>
      <c r="F3820" s="34" t="n">
        <f aca="false">IFERROR(VLOOKUP($A3820,'319'!$B:$H,7,0),0)</f>
        <v>0</v>
      </c>
      <c r="G3820" s="34" t="n">
        <f aca="false">SUMIFS('12.326ana'!$C:$C,'12.326ana'!$M:$M,redes!A3820)</f>
        <v>0</v>
      </c>
    </row>
    <row r="3821" customFormat="false" ht="14.4" hidden="true" customHeight="false" outlineLevel="0" collapsed="false">
      <c r="A3821" s="34" t="n">
        <v>63988071020</v>
      </c>
      <c r="B3821" s="34" t="s">
        <v>9694</v>
      </c>
      <c r="C3821" s="34" t="s">
        <v>77</v>
      </c>
      <c r="E3821" s="30" t="s">
        <v>3610</v>
      </c>
      <c r="F3821" s="34" t="n">
        <f aca="false">IFERROR(VLOOKUP($A3821,'319'!$B:$H,7,0),0)</f>
        <v>0</v>
      </c>
      <c r="G3821" s="34" t="n">
        <f aca="false">SUMIFS('12.326ana'!$C:$C,'12.326ana'!$M:$M,redes!A3821)</f>
        <v>0</v>
      </c>
    </row>
    <row r="3822" customFormat="false" ht="14.4" hidden="true" customHeight="false" outlineLevel="0" collapsed="false">
      <c r="A3822" s="34" t="n">
        <v>63991039168</v>
      </c>
      <c r="B3822" s="34" t="s">
        <v>9695</v>
      </c>
      <c r="C3822" s="34" t="s">
        <v>192</v>
      </c>
      <c r="E3822" s="30" t="s">
        <v>9696</v>
      </c>
      <c r="F3822" s="34" t="n">
        <f aca="false">IFERROR(VLOOKUP($A3822,'319'!$B:$H,7,0),0)</f>
        <v>0</v>
      </c>
      <c r="G3822" s="34" t="n">
        <f aca="false">SUMIFS('12.326ana'!$C:$C,'12.326ana'!$M:$M,redes!A3822)</f>
        <v>0</v>
      </c>
    </row>
    <row r="3823" customFormat="false" ht="14.4" hidden="true" customHeight="false" outlineLevel="0" collapsed="false">
      <c r="A3823" s="34" t="n">
        <v>63994240115</v>
      </c>
      <c r="B3823" s="34" t="s">
        <v>9697</v>
      </c>
      <c r="C3823" s="34" t="s">
        <v>77</v>
      </c>
      <c r="E3823" s="30" t="s">
        <v>9698</v>
      </c>
      <c r="F3823" s="34" t="n">
        <f aca="false">IFERROR(VLOOKUP($A3823,'319'!$B:$H,7,0),0)</f>
        <v>0</v>
      </c>
      <c r="G3823" s="34" t="n">
        <f aca="false">SUMIFS('12.326ana'!$C:$C,'12.326ana'!$M:$M,redes!A3823)</f>
        <v>0</v>
      </c>
    </row>
    <row r="3824" customFormat="false" ht="14.4" hidden="true" customHeight="false" outlineLevel="0" collapsed="false">
      <c r="A3824" s="34" t="n">
        <v>63996448104</v>
      </c>
      <c r="B3824" s="34" t="s">
        <v>9699</v>
      </c>
      <c r="C3824" s="34" t="s">
        <v>77</v>
      </c>
      <c r="E3824" s="30" t="s">
        <v>4006</v>
      </c>
      <c r="F3824" s="34" t="n">
        <f aca="false">IFERROR(VLOOKUP($A3824,'319'!$B:$H,7,0),0)</f>
        <v>0</v>
      </c>
      <c r="G3824" s="34" t="n">
        <f aca="false">SUMIFS('12.326ana'!$C:$C,'12.326ana'!$M:$M,redes!A3824)</f>
        <v>0</v>
      </c>
    </row>
    <row r="3825" customFormat="false" ht="14.4" hidden="true" customHeight="false" outlineLevel="0" collapsed="false">
      <c r="A3825" s="34" t="n">
        <v>64010279168</v>
      </c>
      <c r="B3825" s="34" t="s">
        <v>9700</v>
      </c>
      <c r="C3825" s="34" t="s">
        <v>77</v>
      </c>
      <c r="E3825" s="30" t="s">
        <v>9701</v>
      </c>
      <c r="F3825" s="34" t="n">
        <f aca="false">IFERROR(VLOOKUP($A3825,'319'!$B:$H,7,0),0)</f>
        <v>0</v>
      </c>
      <c r="G3825" s="34" t="n">
        <f aca="false">SUMIFS('12.326ana'!$C:$C,'12.326ana'!$M:$M,redes!A3825)</f>
        <v>0</v>
      </c>
    </row>
    <row r="3826" customFormat="false" ht="14.4" hidden="true" customHeight="false" outlineLevel="0" collapsed="false">
      <c r="A3826" s="34" t="n">
        <v>64011283134</v>
      </c>
      <c r="B3826" s="34" t="s">
        <v>9702</v>
      </c>
      <c r="C3826" s="34" t="s">
        <v>139</v>
      </c>
      <c r="E3826" s="30" t="s">
        <v>4567</v>
      </c>
      <c r="F3826" s="34" t="n">
        <f aca="false">IFERROR(VLOOKUP($A3826,'319'!$B:$H,7,0),0)</f>
        <v>0</v>
      </c>
      <c r="G3826" s="34" t="n">
        <f aca="false">SUMIFS('12.326ana'!$C:$C,'12.326ana'!$M:$M,redes!A3826)</f>
        <v>0</v>
      </c>
    </row>
    <row r="3827" customFormat="false" ht="14.4" hidden="true" customHeight="false" outlineLevel="0" collapsed="false">
      <c r="A3827" s="34" t="n">
        <v>64087271820</v>
      </c>
      <c r="B3827" s="34" t="s">
        <v>9703</v>
      </c>
      <c r="C3827" s="34" t="s">
        <v>77</v>
      </c>
      <c r="E3827" s="30" t="s">
        <v>9704</v>
      </c>
      <c r="F3827" s="34" t="n">
        <f aca="false">IFERROR(VLOOKUP($A3827,'319'!$B:$H,7,0),0)</f>
        <v>0</v>
      </c>
      <c r="G3827" s="34" t="n">
        <f aca="false">SUMIFS('12.326ana'!$C:$C,'12.326ana'!$M:$M,redes!A3827)</f>
        <v>0</v>
      </c>
    </row>
    <row r="3828" customFormat="false" ht="14.4" hidden="true" customHeight="false" outlineLevel="0" collapsed="false">
      <c r="A3828" s="34" t="n">
        <v>64094340904</v>
      </c>
      <c r="B3828" s="34" t="s">
        <v>9705</v>
      </c>
      <c r="C3828" s="34" t="s">
        <v>77</v>
      </c>
      <c r="E3828" s="30" t="s">
        <v>9706</v>
      </c>
      <c r="F3828" s="34" t="n">
        <f aca="false">IFERROR(VLOOKUP($A3828,'319'!$B:$H,7,0),0)</f>
        <v>0</v>
      </c>
      <c r="G3828" s="34" t="n">
        <f aca="false">SUMIFS('12.326ana'!$C:$C,'12.326ana'!$M:$M,redes!A3828)</f>
        <v>0</v>
      </c>
    </row>
    <row r="3829" customFormat="false" ht="14.4" hidden="true" customHeight="false" outlineLevel="0" collapsed="false">
      <c r="A3829" s="34" t="n">
        <v>64141144053</v>
      </c>
      <c r="B3829" s="34" t="s">
        <v>9707</v>
      </c>
      <c r="C3829" s="34" t="s">
        <v>77</v>
      </c>
      <c r="E3829" s="30" t="s">
        <v>9708</v>
      </c>
      <c r="F3829" s="34" t="n">
        <f aca="false">IFERROR(VLOOKUP($A3829,'319'!$B:$H,7,0),0)</f>
        <v>0</v>
      </c>
      <c r="G3829" s="34" t="n">
        <f aca="false">SUMIFS('12.326ana'!$C:$C,'12.326ana'!$M:$M,redes!A3829)</f>
        <v>0</v>
      </c>
    </row>
    <row r="3830" customFormat="false" ht="14.4" hidden="true" customHeight="false" outlineLevel="0" collapsed="false">
      <c r="A3830" s="34" t="n">
        <v>64213587487</v>
      </c>
      <c r="B3830" s="34" t="s">
        <v>9709</v>
      </c>
      <c r="C3830" s="34" t="s">
        <v>77</v>
      </c>
      <c r="E3830" s="30" t="s">
        <v>3337</v>
      </c>
      <c r="F3830" s="34" t="n">
        <f aca="false">IFERROR(VLOOKUP($A3830,'319'!$B:$H,7,0),0)</f>
        <v>0</v>
      </c>
      <c r="G3830" s="34" t="n">
        <f aca="false">SUMIFS('12.326ana'!$C:$C,'12.326ana'!$M:$M,redes!A3830)</f>
        <v>0</v>
      </c>
    </row>
    <row r="3831" customFormat="false" ht="14.4" hidden="true" customHeight="false" outlineLevel="0" collapsed="false">
      <c r="A3831" s="34" t="n">
        <v>64237680991</v>
      </c>
      <c r="B3831" s="34" t="s">
        <v>9710</v>
      </c>
      <c r="C3831" s="34" t="s">
        <v>77</v>
      </c>
      <c r="E3831" s="30" t="s">
        <v>9711</v>
      </c>
      <c r="F3831" s="34" t="n">
        <f aca="false">IFERROR(VLOOKUP($A3831,'319'!$B:$H,7,0),0)</f>
        <v>0</v>
      </c>
      <c r="G3831" s="34" t="n">
        <f aca="false">SUMIFS('12.326ana'!$C:$C,'12.326ana'!$M:$M,redes!A3831)</f>
        <v>0</v>
      </c>
    </row>
    <row r="3832" customFormat="false" ht="14.4" hidden="true" customHeight="false" outlineLevel="0" collapsed="false">
      <c r="A3832" s="34" t="n">
        <v>64420809787</v>
      </c>
      <c r="B3832" s="34" t="s">
        <v>9712</v>
      </c>
      <c r="C3832" s="34" t="s">
        <v>77</v>
      </c>
      <c r="E3832" s="30" t="s">
        <v>9713</v>
      </c>
      <c r="F3832" s="34" t="n">
        <f aca="false">IFERROR(VLOOKUP($A3832,'319'!$B:$H,7,0),0)</f>
        <v>0</v>
      </c>
      <c r="G3832" s="34" t="n">
        <f aca="false">SUMIFS('12.326ana'!$C:$C,'12.326ana'!$M:$M,redes!A3832)</f>
        <v>0</v>
      </c>
    </row>
    <row r="3833" customFormat="false" ht="14.4" hidden="true" customHeight="false" outlineLevel="0" collapsed="false">
      <c r="A3833" s="34" t="n">
        <v>64465276672</v>
      </c>
      <c r="B3833" s="34" t="s">
        <v>9714</v>
      </c>
      <c r="C3833" s="34" t="s">
        <v>77</v>
      </c>
      <c r="E3833" s="30" t="s">
        <v>9715</v>
      </c>
      <c r="F3833" s="34" t="n">
        <f aca="false">IFERROR(VLOOKUP($A3833,'319'!$B:$H,7,0),0)</f>
        <v>0</v>
      </c>
      <c r="G3833" s="34" t="n">
        <f aca="false">SUMIFS('12.326ana'!$C:$C,'12.326ana'!$M:$M,redes!A3833)</f>
        <v>0</v>
      </c>
    </row>
    <row r="3834" customFormat="false" ht="14.4" hidden="true" customHeight="false" outlineLevel="0" collapsed="false">
      <c r="A3834" s="34" t="n">
        <v>64519287804</v>
      </c>
      <c r="B3834" s="34" t="s">
        <v>9716</v>
      </c>
      <c r="C3834" s="34" t="s">
        <v>77</v>
      </c>
      <c r="E3834" s="30" t="s">
        <v>9717</v>
      </c>
      <c r="F3834" s="34" t="n">
        <f aca="false">IFERROR(VLOOKUP($A3834,'319'!$B:$H,7,0),0)</f>
        <v>0</v>
      </c>
      <c r="G3834" s="34" t="n">
        <f aca="false">SUMIFS('12.326ana'!$C:$C,'12.326ana'!$M:$M,redes!A3834)</f>
        <v>0</v>
      </c>
    </row>
    <row r="3835" customFormat="false" ht="14.4" hidden="true" customHeight="false" outlineLevel="0" collapsed="false">
      <c r="A3835" s="34" t="n">
        <v>64536106804</v>
      </c>
      <c r="B3835" s="34" t="s">
        <v>9718</v>
      </c>
      <c r="C3835" s="34" t="s">
        <v>77</v>
      </c>
      <c r="E3835" s="30" t="s">
        <v>9719</v>
      </c>
      <c r="F3835" s="34" t="n">
        <f aca="false">IFERROR(VLOOKUP($A3835,'319'!$B:$H,7,0),0)</f>
        <v>0</v>
      </c>
      <c r="G3835" s="34" t="n">
        <f aca="false">SUMIFS('12.326ana'!$C:$C,'12.326ana'!$M:$M,redes!A3835)</f>
        <v>0</v>
      </c>
    </row>
    <row r="3836" customFormat="false" ht="14.4" hidden="true" customHeight="false" outlineLevel="0" collapsed="false">
      <c r="A3836" s="34" t="n">
        <v>64815000134</v>
      </c>
      <c r="B3836" s="34" t="s">
        <v>9720</v>
      </c>
      <c r="C3836" s="34" t="s">
        <v>117</v>
      </c>
      <c r="E3836" s="30" t="s">
        <v>4848</v>
      </c>
      <c r="F3836" s="34" t="n">
        <f aca="false">IFERROR(VLOOKUP($A3836,'319'!$B:$H,7,0),0)</f>
        <v>0</v>
      </c>
      <c r="G3836" s="34" t="n">
        <f aca="false">SUMIFS('12.326ana'!$C:$C,'12.326ana'!$M:$M,redes!A3836)</f>
        <v>0</v>
      </c>
    </row>
    <row r="3837" customFormat="false" ht="14.4" hidden="true" customHeight="false" outlineLevel="0" collapsed="false">
      <c r="A3837" s="34" t="n">
        <v>64857140900</v>
      </c>
      <c r="B3837" s="34" t="s">
        <v>9721</v>
      </c>
      <c r="C3837" s="34" t="s">
        <v>77</v>
      </c>
      <c r="E3837" s="30" t="s">
        <v>9344</v>
      </c>
      <c r="F3837" s="34" t="n">
        <f aca="false">IFERROR(VLOOKUP($A3837,'319'!$B:$H,7,0),0)</f>
        <v>0</v>
      </c>
      <c r="G3837" s="34" t="n">
        <f aca="false">SUMIFS('12.326ana'!$C:$C,'12.326ana'!$M:$M,redes!A3837)</f>
        <v>0</v>
      </c>
    </row>
    <row r="3838" customFormat="false" ht="14.4" hidden="true" customHeight="false" outlineLevel="0" collapsed="false">
      <c r="A3838" s="34" t="n">
        <v>65015150172</v>
      </c>
      <c r="B3838" s="34" t="s">
        <v>9722</v>
      </c>
      <c r="C3838" s="34" t="s">
        <v>357</v>
      </c>
      <c r="E3838" s="30" t="s">
        <v>9723</v>
      </c>
      <c r="F3838" s="34" t="n">
        <f aca="false">IFERROR(VLOOKUP($A3838,'319'!$B:$H,7,0),0)</f>
        <v>0</v>
      </c>
      <c r="G3838" s="34" t="n">
        <f aca="false">SUMIFS('12.326ana'!$C:$C,'12.326ana'!$M:$M,redes!A3838)</f>
        <v>0</v>
      </c>
    </row>
    <row r="3839" customFormat="false" ht="14.4" hidden="true" customHeight="false" outlineLevel="0" collapsed="false">
      <c r="A3839" s="34" t="n">
        <v>65101936804</v>
      </c>
      <c r="B3839" s="34" t="s">
        <v>9724</v>
      </c>
      <c r="C3839" s="34" t="s">
        <v>77</v>
      </c>
      <c r="E3839" s="30"/>
      <c r="F3839" s="34" t="n">
        <f aca="false">IFERROR(VLOOKUP($A3839,'319'!$B:$H,7,0),0)</f>
        <v>0</v>
      </c>
      <c r="G3839" s="34" t="n">
        <f aca="false">SUMIFS('12.326ana'!$C:$C,'12.326ana'!$M:$M,redes!A3839)</f>
        <v>0</v>
      </c>
    </row>
    <row r="3840" customFormat="false" ht="14.4" hidden="true" customHeight="false" outlineLevel="0" collapsed="false">
      <c r="A3840" s="34" t="n">
        <v>65209575691</v>
      </c>
      <c r="B3840" s="34" t="s">
        <v>9725</v>
      </c>
      <c r="C3840" s="34" t="s">
        <v>77</v>
      </c>
      <c r="E3840" s="30" t="s">
        <v>9726</v>
      </c>
      <c r="F3840" s="34" t="n">
        <f aca="false">IFERROR(VLOOKUP($A3840,'319'!$B:$H,7,0),0)</f>
        <v>0</v>
      </c>
      <c r="G3840" s="34" t="n">
        <f aca="false">SUMIFS('12.326ana'!$C:$C,'12.326ana'!$M:$M,redes!A3840)</f>
        <v>0</v>
      </c>
    </row>
    <row r="3841" customFormat="false" ht="14.4" hidden="true" customHeight="false" outlineLevel="0" collapsed="false">
      <c r="A3841" s="34" t="n">
        <v>65235118120</v>
      </c>
      <c r="B3841" s="34" t="s">
        <v>9727</v>
      </c>
      <c r="C3841" s="34" t="s">
        <v>77</v>
      </c>
      <c r="E3841" s="30" t="s">
        <v>9728</v>
      </c>
      <c r="F3841" s="34" t="n">
        <f aca="false">IFERROR(VLOOKUP($A3841,'319'!$B:$H,7,0),0)</f>
        <v>0</v>
      </c>
      <c r="G3841" s="34" t="n">
        <f aca="false">SUMIFS('12.326ana'!$C:$C,'12.326ana'!$M:$M,redes!A3841)</f>
        <v>0</v>
      </c>
    </row>
    <row r="3842" customFormat="false" ht="14.4" hidden="true" customHeight="false" outlineLevel="0" collapsed="false">
      <c r="A3842" s="34" t="n">
        <v>65238990120</v>
      </c>
      <c r="B3842" s="34" t="s">
        <v>9729</v>
      </c>
      <c r="C3842" s="34" t="s">
        <v>77</v>
      </c>
      <c r="E3842" s="30" t="s">
        <v>9730</v>
      </c>
      <c r="F3842" s="34" t="n">
        <f aca="false">IFERROR(VLOOKUP($A3842,'319'!$B:$H,7,0),0)</f>
        <v>0</v>
      </c>
      <c r="G3842" s="34" t="n">
        <f aca="false">SUMIFS('12.326ana'!$C:$C,'12.326ana'!$M:$M,redes!A3842)</f>
        <v>0</v>
      </c>
    </row>
    <row r="3843" customFormat="false" ht="14.4" hidden="true" customHeight="false" outlineLevel="0" collapsed="false">
      <c r="A3843" s="34" t="n">
        <v>65240090106</v>
      </c>
      <c r="B3843" s="34" t="s">
        <v>9731</v>
      </c>
      <c r="C3843" s="34" t="s">
        <v>77</v>
      </c>
      <c r="E3843" s="30" t="s">
        <v>9732</v>
      </c>
      <c r="F3843" s="34" t="n">
        <f aca="false">IFERROR(VLOOKUP($A3843,'319'!$B:$H,7,0),0)</f>
        <v>0</v>
      </c>
      <c r="G3843" s="34" t="n">
        <f aca="false">SUMIFS('12.326ana'!$C:$C,'12.326ana'!$M:$M,redes!A3843)</f>
        <v>0</v>
      </c>
    </row>
    <row r="3844" customFormat="false" ht="14.4" hidden="true" customHeight="false" outlineLevel="0" collapsed="false">
      <c r="A3844" s="34" t="n">
        <v>65253434453</v>
      </c>
      <c r="B3844" s="34" t="s">
        <v>9733</v>
      </c>
      <c r="C3844" s="34" t="s">
        <v>129</v>
      </c>
      <c r="E3844" s="30" t="s">
        <v>9734</v>
      </c>
      <c r="F3844" s="34" t="n">
        <f aca="false">IFERROR(VLOOKUP($A3844,'319'!$B:$H,7,0),0)</f>
        <v>0</v>
      </c>
      <c r="G3844" s="34" t="n">
        <f aca="false">SUMIFS('12.326ana'!$C:$C,'12.326ana'!$M:$M,redes!A3844)</f>
        <v>0</v>
      </c>
    </row>
    <row r="3845" customFormat="false" ht="14.4" hidden="true" customHeight="false" outlineLevel="0" collapsed="false">
      <c r="A3845" s="34" t="n">
        <v>65254740191</v>
      </c>
      <c r="B3845" s="34" t="s">
        <v>9735</v>
      </c>
      <c r="C3845" s="34" t="s">
        <v>107</v>
      </c>
      <c r="E3845" s="30" t="s">
        <v>9736</v>
      </c>
      <c r="F3845" s="34" t="n">
        <f aca="false">IFERROR(VLOOKUP($A3845,'319'!$B:$H,7,0),0)</f>
        <v>0</v>
      </c>
      <c r="G3845" s="34" t="n">
        <f aca="false">SUMIFS('12.326ana'!$C:$C,'12.326ana'!$M:$M,redes!A3845)</f>
        <v>0</v>
      </c>
    </row>
    <row r="3846" customFormat="false" ht="14.4" hidden="true" customHeight="false" outlineLevel="0" collapsed="false">
      <c r="A3846" s="34" t="n">
        <v>65264185115</v>
      </c>
      <c r="B3846" s="34" t="s">
        <v>9737</v>
      </c>
      <c r="C3846" s="34" t="s">
        <v>89</v>
      </c>
      <c r="E3846" s="30" t="s">
        <v>5030</v>
      </c>
      <c r="F3846" s="34" t="n">
        <f aca="false">IFERROR(VLOOKUP($A3846,'319'!$B:$H,7,0),0)</f>
        <v>0</v>
      </c>
      <c r="G3846" s="34" t="n">
        <f aca="false">SUMIFS('12.326ana'!$C:$C,'12.326ana'!$M:$M,redes!A3846)</f>
        <v>0</v>
      </c>
    </row>
    <row r="3847" customFormat="false" ht="14.4" hidden="true" customHeight="false" outlineLevel="0" collapsed="false">
      <c r="A3847" s="34" t="n">
        <v>65274458149</v>
      </c>
      <c r="B3847" s="34" t="s">
        <v>9738</v>
      </c>
      <c r="C3847" s="34" t="s">
        <v>107</v>
      </c>
      <c r="E3847" s="30" t="s">
        <v>9739</v>
      </c>
      <c r="F3847" s="34" t="n">
        <f aca="false">IFERROR(VLOOKUP($A3847,'319'!$B:$H,7,0),0)</f>
        <v>0</v>
      </c>
      <c r="G3847" s="34" t="n">
        <f aca="false">SUMIFS('12.326ana'!$C:$C,'12.326ana'!$M:$M,redes!A3847)</f>
        <v>0</v>
      </c>
    </row>
    <row r="3848" customFormat="false" ht="14.4" hidden="true" customHeight="false" outlineLevel="0" collapsed="false">
      <c r="A3848" s="34" t="n">
        <v>65274474187</v>
      </c>
      <c r="B3848" s="34" t="s">
        <v>9740</v>
      </c>
      <c r="C3848" s="34" t="s">
        <v>342</v>
      </c>
      <c r="E3848" s="30" t="s">
        <v>9741</v>
      </c>
      <c r="F3848" s="34" t="n">
        <f aca="false">IFERROR(VLOOKUP($A3848,'319'!$B:$H,7,0),0)</f>
        <v>0</v>
      </c>
      <c r="G3848" s="34" t="n">
        <f aca="false">SUMIFS('12.326ana'!$C:$C,'12.326ana'!$M:$M,redes!A3848)</f>
        <v>0</v>
      </c>
    </row>
    <row r="3849" customFormat="false" ht="14.4" hidden="true" customHeight="false" outlineLevel="0" collapsed="false">
      <c r="A3849" s="34" t="n">
        <v>65275438168</v>
      </c>
      <c r="B3849" s="34" t="s">
        <v>9742</v>
      </c>
      <c r="C3849" s="34" t="s">
        <v>994</v>
      </c>
      <c r="E3849" s="30" t="s">
        <v>9743</v>
      </c>
      <c r="F3849" s="34" t="n">
        <f aca="false">IFERROR(VLOOKUP($A3849,'319'!$B:$H,7,0),0)</f>
        <v>0</v>
      </c>
      <c r="G3849" s="34" t="n">
        <f aca="false">SUMIFS('12.326ana'!$C:$C,'12.326ana'!$M:$M,redes!A3849)</f>
        <v>0</v>
      </c>
    </row>
    <row r="3850" customFormat="false" ht="14.4" hidden="true" customHeight="false" outlineLevel="0" collapsed="false">
      <c r="A3850" s="34" t="n">
        <v>65283228134</v>
      </c>
      <c r="B3850" s="34" t="s">
        <v>9744</v>
      </c>
      <c r="C3850" s="34" t="s">
        <v>213</v>
      </c>
      <c r="E3850" s="30" t="s">
        <v>9745</v>
      </c>
      <c r="F3850" s="34" t="n">
        <f aca="false">IFERROR(VLOOKUP($A3850,'319'!$B:$H,7,0),0)</f>
        <v>0</v>
      </c>
      <c r="G3850" s="34" t="n">
        <f aca="false">SUMIFS('12.326ana'!$C:$C,'12.326ana'!$M:$M,redes!A3850)</f>
        <v>0</v>
      </c>
    </row>
    <row r="3851" customFormat="false" ht="14.4" hidden="true" customHeight="false" outlineLevel="0" collapsed="false">
      <c r="A3851" s="34" t="n">
        <v>65284879104</v>
      </c>
      <c r="B3851" s="34" t="s">
        <v>9746</v>
      </c>
      <c r="C3851" s="34" t="s">
        <v>2998</v>
      </c>
      <c r="E3851" s="30" t="s">
        <v>9747</v>
      </c>
      <c r="F3851" s="34" t="n">
        <f aca="false">IFERROR(VLOOKUP($A3851,'319'!$B:$H,7,0),0)</f>
        <v>0</v>
      </c>
      <c r="G3851" s="34" t="n">
        <f aca="false">SUMIFS('12.326ana'!$C:$C,'12.326ana'!$M:$M,redes!A3851)</f>
        <v>0</v>
      </c>
    </row>
    <row r="3852" customFormat="false" ht="14.4" hidden="true" customHeight="false" outlineLevel="0" collapsed="false">
      <c r="A3852" s="34" t="n">
        <v>65287622104</v>
      </c>
      <c r="B3852" s="34" t="s">
        <v>9748</v>
      </c>
      <c r="C3852" s="34" t="s">
        <v>77</v>
      </c>
      <c r="E3852" s="30" t="s">
        <v>9749</v>
      </c>
      <c r="F3852" s="34" t="n">
        <f aca="false">IFERROR(VLOOKUP($A3852,'319'!$B:$H,7,0),0)</f>
        <v>0</v>
      </c>
      <c r="G3852" s="34" t="n">
        <f aca="false">SUMIFS('12.326ana'!$C:$C,'12.326ana'!$M:$M,redes!A3852)</f>
        <v>0</v>
      </c>
    </row>
    <row r="3853" customFormat="false" ht="14.4" hidden="true" customHeight="false" outlineLevel="0" collapsed="false">
      <c r="A3853" s="34" t="n">
        <v>65301234153</v>
      </c>
      <c r="B3853" s="34" t="s">
        <v>9750</v>
      </c>
      <c r="C3853" s="34" t="s">
        <v>464</v>
      </c>
      <c r="E3853" s="30" t="s">
        <v>9751</v>
      </c>
      <c r="F3853" s="34" t="n">
        <f aca="false">IFERROR(VLOOKUP($A3853,'319'!$B:$H,7,0),0)</f>
        <v>0</v>
      </c>
      <c r="G3853" s="34" t="n">
        <f aca="false">SUMIFS('12.326ana'!$C:$C,'12.326ana'!$M:$M,redes!A3853)</f>
        <v>0</v>
      </c>
    </row>
    <row r="3854" customFormat="false" ht="14.4" hidden="true" customHeight="false" outlineLevel="0" collapsed="false">
      <c r="A3854" s="34" t="n">
        <v>65302788187</v>
      </c>
      <c r="B3854" s="34" t="s">
        <v>9752</v>
      </c>
      <c r="C3854" s="34" t="s">
        <v>77</v>
      </c>
      <c r="E3854" s="30" t="s">
        <v>9753</v>
      </c>
      <c r="F3854" s="34" t="n">
        <f aca="false">IFERROR(VLOOKUP($A3854,'319'!$B:$H,7,0),0)</f>
        <v>0</v>
      </c>
      <c r="G3854" s="34" t="n">
        <f aca="false">SUMIFS('12.326ana'!$C:$C,'12.326ana'!$M:$M,redes!A3854)</f>
        <v>0</v>
      </c>
    </row>
    <row r="3855" customFormat="false" ht="14.4" hidden="true" customHeight="false" outlineLevel="0" collapsed="false">
      <c r="A3855" s="34" t="n">
        <v>65305370159</v>
      </c>
      <c r="B3855" s="34" t="s">
        <v>9754</v>
      </c>
      <c r="C3855" s="34" t="s">
        <v>107</v>
      </c>
      <c r="E3855" s="30" t="s">
        <v>9755</v>
      </c>
      <c r="F3855" s="34" t="n">
        <f aca="false">IFERROR(VLOOKUP($A3855,'319'!$B:$H,7,0),0)</f>
        <v>0</v>
      </c>
      <c r="G3855" s="34" t="n">
        <f aca="false">SUMIFS('12.326ana'!$C:$C,'12.326ana'!$M:$M,redes!A3855)</f>
        <v>0</v>
      </c>
    </row>
    <row r="3856" customFormat="false" ht="14.4" hidden="true" customHeight="false" outlineLevel="0" collapsed="false">
      <c r="A3856" s="34" t="n">
        <v>65306880134</v>
      </c>
      <c r="B3856" s="34" t="s">
        <v>9756</v>
      </c>
      <c r="C3856" s="34" t="s">
        <v>107</v>
      </c>
      <c r="E3856" s="30" t="s">
        <v>9757</v>
      </c>
      <c r="F3856" s="34" t="n">
        <f aca="false">IFERROR(VLOOKUP($A3856,'319'!$B:$H,7,0),0)</f>
        <v>0</v>
      </c>
      <c r="G3856" s="34" t="n">
        <f aca="false">SUMIFS('12.326ana'!$C:$C,'12.326ana'!$M:$M,redes!A3856)</f>
        <v>0</v>
      </c>
    </row>
    <row r="3857" customFormat="false" ht="14.4" hidden="true" customHeight="false" outlineLevel="0" collapsed="false">
      <c r="A3857" s="34" t="n">
        <v>65308417172</v>
      </c>
      <c r="B3857" s="34" t="s">
        <v>9758</v>
      </c>
      <c r="C3857" s="34" t="s">
        <v>107</v>
      </c>
      <c r="E3857" s="30" t="s">
        <v>9759</v>
      </c>
      <c r="F3857" s="34" t="n">
        <f aca="false">IFERROR(VLOOKUP($A3857,'319'!$B:$H,7,0),0)</f>
        <v>0</v>
      </c>
      <c r="G3857" s="34" t="n">
        <f aca="false">SUMIFS('12.326ana'!$C:$C,'12.326ana'!$M:$M,redes!A3857)</f>
        <v>0</v>
      </c>
    </row>
    <row r="3858" customFormat="false" ht="14.4" hidden="true" customHeight="false" outlineLevel="0" collapsed="false">
      <c r="A3858" s="34" t="n">
        <v>65313640178</v>
      </c>
      <c r="B3858" s="34" t="s">
        <v>9760</v>
      </c>
      <c r="C3858" s="34" t="s">
        <v>463</v>
      </c>
      <c r="E3858" s="30" t="s">
        <v>6437</v>
      </c>
      <c r="F3858" s="34" t="n">
        <f aca="false">IFERROR(VLOOKUP($A3858,'319'!$B:$H,7,0),0)</f>
        <v>0</v>
      </c>
      <c r="G3858" s="34" t="n">
        <f aca="false">SUMIFS('12.326ana'!$C:$C,'12.326ana'!$M:$M,redes!A3858)</f>
        <v>0</v>
      </c>
    </row>
    <row r="3859" customFormat="false" ht="14.4" hidden="true" customHeight="false" outlineLevel="0" collapsed="false">
      <c r="A3859" s="34" t="n">
        <v>65319141149</v>
      </c>
      <c r="B3859" s="34" t="s">
        <v>9761</v>
      </c>
      <c r="C3859" s="34" t="s">
        <v>77</v>
      </c>
      <c r="E3859" s="30" t="s">
        <v>9762</v>
      </c>
      <c r="F3859" s="34" t="n">
        <f aca="false">IFERROR(VLOOKUP($A3859,'319'!$B:$H,7,0),0)</f>
        <v>0</v>
      </c>
      <c r="G3859" s="34" t="n">
        <f aca="false">SUMIFS('12.326ana'!$C:$C,'12.326ana'!$M:$M,redes!A3859)</f>
        <v>0</v>
      </c>
    </row>
    <row r="3860" customFormat="false" ht="14.4" hidden="true" customHeight="false" outlineLevel="0" collapsed="false">
      <c r="A3860" s="34" t="n">
        <v>65319885172</v>
      </c>
      <c r="B3860" s="34" t="s">
        <v>9763</v>
      </c>
      <c r="C3860" s="34" t="s">
        <v>77</v>
      </c>
      <c r="E3860" s="30" t="s">
        <v>9764</v>
      </c>
      <c r="F3860" s="34" t="n">
        <f aca="false">IFERROR(VLOOKUP($A3860,'319'!$B:$H,7,0),0)</f>
        <v>0</v>
      </c>
      <c r="G3860" s="34" t="n">
        <f aca="false">SUMIFS('12.326ana'!$C:$C,'12.326ana'!$M:$M,redes!A3860)</f>
        <v>0</v>
      </c>
    </row>
    <row r="3861" customFormat="false" ht="14.4" hidden="true" customHeight="false" outlineLevel="0" collapsed="false">
      <c r="A3861" s="34" t="n">
        <v>65321006172</v>
      </c>
      <c r="B3861" s="34" t="s">
        <v>9765</v>
      </c>
      <c r="C3861" s="34" t="s">
        <v>77</v>
      </c>
      <c r="E3861" s="30" t="s">
        <v>4812</v>
      </c>
      <c r="F3861" s="34" t="n">
        <f aca="false">IFERROR(VLOOKUP($A3861,'319'!$B:$H,7,0),0)</f>
        <v>0</v>
      </c>
      <c r="G3861" s="34" t="n">
        <f aca="false">SUMIFS('12.326ana'!$C:$C,'12.326ana'!$M:$M,redes!A3861)</f>
        <v>0</v>
      </c>
    </row>
    <row r="3862" customFormat="false" ht="14.4" hidden="true" customHeight="false" outlineLevel="0" collapsed="false">
      <c r="A3862" s="34" t="n">
        <v>65321030120</v>
      </c>
      <c r="B3862" s="34" t="s">
        <v>9766</v>
      </c>
      <c r="C3862" s="34" t="s">
        <v>77</v>
      </c>
      <c r="E3862" s="30" t="s">
        <v>9767</v>
      </c>
      <c r="F3862" s="34" t="n">
        <f aca="false">IFERROR(VLOOKUP($A3862,'319'!$B:$H,7,0),0)</f>
        <v>0</v>
      </c>
      <c r="G3862" s="34" t="n">
        <f aca="false">SUMIFS('12.326ana'!$C:$C,'12.326ana'!$M:$M,redes!A3862)</f>
        <v>0</v>
      </c>
    </row>
    <row r="3863" customFormat="false" ht="14.4" hidden="true" customHeight="false" outlineLevel="0" collapsed="false">
      <c r="A3863" s="34" t="n">
        <v>65322843191</v>
      </c>
      <c r="B3863" s="34" t="s">
        <v>9768</v>
      </c>
      <c r="C3863" s="34" t="s">
        <v>464</v>
      </c>
      <c r="E3863" s="30" t="s">
        <v>9769</v>
      </c>
      <c r="F3863" s="34" t="n">
        <f aca="false">IFERROR(VLOOKUP($A3863,'319'!$B:$H,7,0),0)</f>
        <v>0</v>
      </c>
      <c r="G3863" s="34" t="n">
        <f aca="false">SUMIFS('12.326ana'!$C:$C,'12.326ana'!$M:$M,redes!A3863)</f>
        <v>0</v>
      </c>
    </row>
    <row r="3864" customFormat="false" ht="14.4" hidden="true" customHeight="false" outlineLevel="0" collapsed="false">
      <c r="A3864" s="34" t="n">
        <v>65323106115</v>
      </c>
      <c r="B3864" s="34" t="s">
        <v>9770</v>
      </c>
      <c r="C3864" s="34" t="s">
        <v>464</v>
      </c>
      <c r="E3864" s="30" t="s">
        <v>9771</v>
      </c>
      <c r="F3864" s="34" t="n">
        <f aca="false">IFERROR(VLOOKUP($A3864,'319'!$B:$H,7,0),0)</f>
        <v>0</v>
      </c>
      <c r="G3864" s="34" t="n">
        <f aca="false">SUMIFS('12.326ana'!$C:$C,'12.326ana'!$M:$M,redes!A3864)</f>
        <v>0</v>
      </c>
    </row>
    <row r="3865" customFormat="false" ht="14.4" hidden="true" customHeight="false" outlineLevel="0" collapsed="false">
      <c r="A3865" s="34" t="n">
        <v>65332504187</v>
      </c>
      <c r="B3865" s="34" t="s">
        <v>9772</v>
      </c>
      <c r="C3865" s="34" t="s">
        <v>77</v>
      </c>
      <c r="E3865" s="30"/>
      <c r="F3865" s="34" t="n">
        <f aca="false">IFERROR(VLOOKUP($A3865,'319'!$B:$H,7,0),0)</f>
        <v>0</v>
      </c>
      <c r="G3865" s="34" t="n">
        <f aca="false">SUMIFS('12.326ana'!$C:$C,'12.326ana'!$M:$M,redes!A3865)</f>
        <v>0</v>
      </c>
    </row>
    <row r="3866" customFormat="false" ht="14.4" hidden="true" customHeight="false" outlineLevel="0" collapsed="false">
      <c r="A3866" s="34" t="n">
        <v>65332555172</v>
      </c>
      <c r="B3866" s="34" t="s">
        <v>9773</v>
      </c>
      <c r="C3866" s="34" t="s">
        <v>77</v>
      </c>
      <c r="E3866" s="30" t="s">
        <v>9774</v>
      </c>
      <c r="F3866" s="34" t="n">
        <f aca="false">IFERROR(VLOOKUP($A3866,'319'!$B:$H,7,0),0)</f>
        <v>0</v>
      </c>
      <c r="G3866" s="34" t="n">
        <f aca="false">SUMIFS('12.326ana'!$C:$C,'12.326ana'!$M:$M,redes!A3866)</f>
        <v>0</v>
      </c>
    </row>
    <row r="3867" customFormat="false" ht="14.4" hidden="true" customHeight="false" outlineLevel="0" collapsed="false">
      <c r="A3867" s="34" t="n">
        <v>65333969191</v>
      </c>
      <c r="B3867" s="34" t="s">
        <v>9775</v>
      </c>
      <c r="C3867" s="34" t="s">
        <v>77</v>
      </c>
      <c r="E3867" s="30" t="s">
        <v>9776</v>
      </c>
      <c r="F3867" s="34" t="n">
        <f aca="false">IFERROR(VLOOKUP($A3867,'319'!$B:$H,7,0),0)</f>
        <v>0</v>
      </c>
      <c r="G3867" s="34" t="n">
        <f aca="false">SUMIFS('12.326ana'!$C:$C,'12.326ana'!$M:$M,redes!A3867)</f>
        <v>0</v>
      </c>
    </row>
    <row r="3868" customFormat="false" ht="14.4" hidden="true" customHeight="false" outlineLevel="0" collapsed="false">
      <c r="A3868" s="34" t="n">
        <v>65340930149</v>
      </c>
      <c r="B3868" s="34" t="s">
        <v>9777</v>
      </c>
      <c r="C3868" s="34" t="s">
        <v>77</v>
      </c>
      <c r="E3868" s="30"/>
      <c r="F3868" s="34" t="n">
        <f aca="false">IFERROR(VLOOKUP($A3868,'319'!$B:$H,7,0),0)</f>
        <v>0</v>
      </c>
      <c r="G3868" s="34" t="n">
        <f aca="false">SUMIFS('12.326ana'!$C:$C,'12.326ana'!$M:$M,redes!A3868)</f>
        <v>0</v>
      </c>
    </row>
    <row r="3869" customFormat="false" ht="14.4" hidden="true" customHeight="false" outlineLevel="0" collapsed="false">
      <c r="A3869" s="34" t="n">
        <v>65346068104</v>
      </c>
      <c r="B3869" s="34" t="s">
        <v>9778</v>
      </c>
      <c r="C3869" s="34" t="s">
        <v>77</v>
      </c>
      <c r="E3869" s="30" t="s">
        <v>9779</v>
      </c>
      <c r="F3869" s="34" t="n">
        <f aca="false">IFERROR(VLOOKUP($A3869,'319'!$B:$H,7,0),0)</f>
        <v>0</v>
      </c>
      <c r="G3869" s="34" t="n">
        <f aca="false">SUMIFS('12.326ana'!$C:$C,'12.326ana'!$M:$M,redes!A3869)</f>
        <v>0</v>
      </c>
    </row>
    <row r="3870" customFormat="false" ht="14.4" hidden="true" customHeight="false" outlineLevel="0" collapsed="false">
      <c r="A3870" s="34" t="n">
        <v>65347641134</v>
      </c>
      <c r="B3870" s="34" t="s">
        <v>9780</v>
      </c>
      <c r="C3870" s="34" t="s">
        <v>77</v>
      </c>
      <c r="E3870" s="30" t="s">
        <v>9781</v>
      </c>
      <c r="F3870" s="34" t="n">
        <f aca="false">IFERROR(VLOOKUP($A3870,'319'!$B:$H,7,0),0)</f>
        <v>0</v>
      </c>
      <c r="G3870" s="34" t="n">
        <f aca="false">SUMIFS('12.326ana'!$C:$C,'12.326ana'!$M:$M,redes!A3870)</f>
        <v>0</v>
      </c>
    </row>
    <row r="3871" customFormat="false" ht="14.4" hidden="true" customHeight="false" outlineLevel="0" collapsed="false">
      <c r="A3871" s="34" t="n">
        <v>65347951168</v>
      </c>
      <c r="B3871" s="34" t="s">
        <v>4021</v>
      </c>
      <c r="C3871" s="34" t="s">
        <v>77</v>
      </c>
      <c r="E3871" s="30" t="s">
        <v>9782</v>
      </c>
      <c r="F3871" s="34" t="n">
        <f aca="false">IFERROR(VLOOKUP($A3871,'319'!$B:$H,7,0),0)</f>
        <v>0</v>
      </c>
      <c r="G3871" s="34" t="n">
        <f aca="false">SUMIFS('12.326ana'!$C:$C,'12.326ana'!$M:$M,redes!A3871)</f>
        <v>0</v>
      </c>
    </row>
    <row r="3872" customFormat="false" ht="14.4" hidden="true" customHeight="false" outlineLevel="0" collapsed="false">
      <c r="A3872" s="34" t="n">
        <v>65350669168</v>
      </c>
      <c r="B3872" s="34" t="s">
        <v>9783</v>
      </c>
      <c r="C3872" s="34" t="s">
        <v>77</v>
      </c>
      <c r="E3872" s="30" t="s">
        <v>3750</v>
      </c>
      <c r="F3872" s="34" t="n">
        <f aca="false">IFERROR(VLOOKUP($A3872,'319'!$B:$H,7,0),0)</f>
        <v>0</v>
      </c>
      <c r="G3872" s="34" t="n">
        <f aca="false">SUMIFS('12.326ana'!$C:$C,'12.326ana'!$M:$M,redes!A3872)</f>
        <v>0</v>
      </c>
    </row>
    <row r="3873" customFormat="false" ht="14.4" hidden="true" customHeight="false" outlineLevel="0" collapsed="false">
      <c r="A3873" s="34" t="n">
        <v>65350910159</v>
      </c>
      <c r="B3873" s="34" t="s">
        <v>9784</v>
      </c>
      <c r="C3873" s="34" t="s">
        <v>77</v>
      </c>
      <c r="E3873" s="30" t="s">
        <v>9785</v>
      </c>
      <c r="F3873" s="34" t="n">
        <f aca="false">IFERROR(VLOOKUP($A3873,'319'!$B:$H,7,0),0)</f>
        <v>0</v>
      </c>
      <c r="G3873" s="34" t="n">
        <f aca="false">SUMIFS('12.326ana'!$C:$C,'12.326ana'!$M:$M,redes!A3873)</f>
        <v>0</v>
      </c>
    </row>
    <row r="3874" customFormat="false" ht="14.4" hidden="true" customHeight="false" outlineLevel="0" collapsed="false">
      <c r="A3874" s="34" t="n">
        <v>65351754134</v>
      </c>
      <c r="B3874" s="34" t="s">
        <v>9786</v>
      </c>
      <c r="C3874" s="34" t="s">
        <v>77</v>
      </c>
      <c r="E3874" s="30" t="s">
        <v>9787</v>
      </c>
      <c r="F3874" s="34" t="n">
        <f aca="false">IFERROR(VLOOKUP($A3874,'319'!$B:$H,7,0),0)</f>
        <v>0</v>
      </c>
      <c r="G3874" s="34" t="n">
        <f aca="false">SUMIFS('12.326ana'!$C:$C,'12.326ana'!$M:$M,redes!A3874)</f>
        <v>0</v>
      </c>
    </row>
    <row r="3875" customFormat="false" ht="14.4" hidden="true" customHeight="false" outlineLevel="0" collapsed="false">
      <c r="A3875" s="34" t="n">
        <v>65357892172</v>
      </c>
      <c r="B3875" s="34" t="s">
        <v>9788</v>
      </c>
      <c r="C3875" s="34" t="s">
        <v>107</v>
      </c>
      <c r="E3875" s="30" t="s">
        <v>9789</v>
      </c>
      <c r="F3875" s="34" t="n">
        <f aca="false">IFERROR(VLOOKUP($A3875,'319'!$B:$H,7,0),0)</f>
        <v>0</v>
      </c>
      <c r="G3875" s="34" t="n">
        <f aca="false">SUMIFS('12.326ana'!$C:$C,'12.326ana'!$M:$M,redes!A3875)</f>
        <v>0</v>
      </c>
    </row>
    <row r="3876" customFormat="false" ht="14.4" hidden="true" customHeight="false" outlineLevel="0" collapsed="false">
      <c r="A3876" s="34" t="n">
        <v>65372310197</v>
      </c>
      <c r="B3876" s="34" t="s">
        <v>9790</v>
      </c>
      <c r="C3876" s="34" t="s">
        <v>89</v>
      </c>
      <c r="E3876" s="30" t="s">
        <v>9791</v>
      </c>
      <c r="F3876" s="34" t="n">
        <f aca="false">IFERROR(VLOOKUP($A3876,'319'!$B:$H,7,0),0)</f>
        <v>0</v>
      </c>
      <c r="G3876" s="34" t="n">
        <f aca="false">SUMIFS('12.326ana'!$C:$C,'12.326ana'!$M:$M,redes!A3876)</f>
        <v>0</v>
      </c>
    </row>
    <row r="3877" customFormat="false" ht="14.4" hidden="true" customHeight="false" outlineLevel="0" collapsed="false">
      <c r="A3877" s="34" t="n">
        <v>65376757153</v>
      </c>
      <c r="B3877" s="34" t="s">
        <v>9792</v>
      </c>
      <c r="C3877" s="34" t="s">
        <v>77</v>
      </c>
      <c r="E3877" s="30"/>
      <c r="F3877" s="34" t="n">
        <f aca="false">IFERROR(VLOOKUP($A3877,'319'!$B:$H,7,0),0)</f>
        <v>0</v>
      </c>
      <c r="G3877" s="34" t="n">
        <f aca="false">SUMIFS('12.326ana'!$C:$C,'12.326ana'!$M:$M,redes!A3877)</f>
        <v>0</v>
      </c>
    </row>
    <row r="3878" customFormat="false" ht="14.4" hidden="true" customHeight="false" outlineLevel="0" collapsed="false">
      <c r="A3878" s="34" t="n">
        <v>65383320130</v>
      </c>
      <c r="B3878" s="34" t="s">
        <v>9793</v>
      </c>
      <c r="C3878" s="34" t="s">
        <v>107</v>
      </c>
      <c r="E3878" s="30" t="s">
        <v>9794</v>
      </c>
      <c r="F3878" s="34" t="n">
        <f aca="false">IFERROR(VLOOKUP($A3878,'319'!$B:$H,7,0),0)</f>
        <v>0</v>
      </c>
      <c r="G3878" s="34" t="n">
        <f aca="false">SUMIFS('12.326ana'!$C:$C,'12.326ana'!$M:$M,redes!A3878)</f>
        <v>0</v>
      </c>
    </row>
    <row r="3879" customFormat="false" ht="14.4" hidden="true" customHeight="false" outlineLevel="0" collapsed="false">
      <c r="A3879" s="34" t="n">
        <v>65389573153</v>
      </c>
      <c r="B3879" s="34" t="s">
        <v>9795</v>
      </c>
      <c r="C3879" s="34" t="s">
        <v>107</v>
      </c>
      <c r="E3879" s="30" t="s">
        <v>7510</v>
      </c>
      <c r="F3879" s="34" t="n">
        <f aca="false">IFERROR(VLOOKUP($A3879,'319'!$B:$H,7,0),0)</f>
        <v>0</v>
      </c>
      <c r="G3879" s="34" t="n">
        <f aca="false">SUMIFS('12.326ana'!$C:$C,'12.326ana'!$M:$M,redes!A3879)</f>
        <v>0</v>
      </c>
    </row>
    <row r="3880" customFormat="false" ht="14.4" hidden="true" customHeight="false" outlineLevel="0" collapsed="false">
      <c r="A3880" s="34" t="n">
        <v>65390130197</v>
      </c>
      <c r="B3880" s="34" t="s">
        <v>9796</v>
      </c>
      <c r="C3880" s="34" t="s">
        <v>463</v>
      </c>
      <c r="E3880" s="30" t="s">
        <v>9797</v>
      </c>
      <c r="F3880" s="34" t="n">
        <f aca="false">IFERROR(VLOOKUP($A3880,'319'!$B:$H,7,0),0)</f>
        <v>0</v>
      </c>
      <c r="G3880" s="34" t="n">
        <f aca="false">SUMIFS('12.326ana'!$C:$C,'12.326ana'!$M:$M,redes!A3880)</f>
        <v>0</v>
      </c>
    </row>
    <row r="3881" customFormat="false" ht="14.4" hidden="true" customHeight="false" outlineLevel="0" collapsed="false">
      <c r="A3881" s="34" t="n">
        <v>65390695100</v>
      </c>
      <c r="B3881" s="34" t="s">
        <v>9798</v>
      </c>
      <c r="C3881" s="34" t="s">
        <v>77</v>
      </c>
      <c r="E3881" s="30"/>
      <c r="F3881" s="34" t="n">
        <f aca="false">IFERROR(VLOOKUP($A3881,'319'!$B:$H,7,0),0)</f>
        <v>0</v>
      </c>
      <c r="G3881" s="34" t="n">
        <f aca="false">SUMIFS('12.326ana'!$C:$C,'12.326ana'!$M:$M,redes!A3881)</f>
        <v>0</v>
      </c>
    </row>
    <row r="3882" customFormat="false" ht="14.4" hidden="true" customHeight="false" outlineLevel="0" collapsed="false">
      <c r="A3882" s="34" t="n">
        <v>65403266100</v>
      </c>
      <c r="B3882" s="34" t="s">
        <v>9799</v>
      </c>
      <c r="C3882" s="34" t="s">
        <v>464</v>
      </c>
      <c r="E3882" s="30" t="s">
        <v>5735</v>
      </c>
      <c r="F3882" s="34" t="n">
        <f aca="false">IFERROR(VLOOKUP($A3882,'319'!$B:$H,7,0),0)</f>
        <v>0</v>
      </c>
      <c r="G3882" s="34" t="n">
        <f aca="false">SUMIFS('12.326ana'!$C:$C,'12.326ana'!$M:$M,redes!A3882)</f>
        <v>0</v>
      </c>
    </row>
    <row r="3883" customFormat="false" ht="14.4" hidden="true" customHeight="false" outlineLevel="0" collapsed="false">
      <c r="A3883" s="34" t="n">
        <v>65407571153</v>
      </c>
      <c r="B3883" s="34" t="s">
        <v>9800</v>
      </c>
      <c r="C3883" s="34" t="s">
        <v>1680</v>
      </c>
      <c r="E3883" s="30" t="s">
        <v>9801</v>
      </c>
      <c r="F3883" s="34" t="n">
        <f aca="false">IFERROR(VLOOKUP($A3883,'319'!$B:$H,7,0),0)</f>
        <v>0</v>
      </c>
      <c r="G3883" s="34" t="n">
        <f aca="false">SUMIFS('12.326ana'!$C:$C,'12.326ana'!$M:$M,redes!A3883)</f>
        <v>0</v>
      </c>
    </row>
    <row r="3884" customFormat="false" ht="14.4" hidden="true" customHeight="false" outlineLevel="0" collapsed="false">
      <c r="A3884" s="34" t="n">
        <v>65422000145</v>
      </c>
      <c r="B3884" s="34" t="s">
        <v>9802</v>
      </c>
      <c r="C3884" s="34" t="s">
        <v>107</v>
      </c>
      <c r="E3884" s="30" t="s">
        <v>9802</v>
      </c>
      <c r="F3884" s="34" t="n">
        <f aca="false">IFERROR(VLOOKUP($A3884,'319'!$B:$H,7,0),0)</f>
        <v>0</v>
      </c>
      <c r="G3884" s="34" t="n">
        <f aca="false">SUMIFS('12.326ana'!$C:$C,'12.326ana'!$M:$M,redes!A3884)</f>
        <v>0</v>
      </c>
    </row>
    <row r="3885" customFormat="false" ht="14.4" hidden="true" customHeight="false" outlineLevel="0" collapsed="false">
      <c r="A3885" s="34" t="n">
        <v>65425278691</v>
      </c>
      <c r="B3885" s="34" t="s">
        <v>9803</v>
      </c>
      <c r="C3885" s="34" t="s">
        <v>77</v>
      </c>
      <c r="E3885" s="30"/>
      <c r="F3885" s="34" t="n">
        <f aca="false">IFERROR(VLOOKUP($A3885,'319'!$B:$H,7,0),0)</f>
        <v>0</v>
      </c>
      <c r="G3885" s="34" t="n">
        <f aca="false">SUMIFS('12.326ana'!$C:$C,'12.326ana'!$M:$M,redes!A3885)</f>
        <v>0</v>
      </c>
    </row>
    <row r="3886" customFormat="false" ht="14.4" hidden="true" customHeight="false" outlineLevel="0" collapsed="false">
      <c r="A3886" s="34" t="n">
        <v>65456327953</v>
      </c>
      <c r="B3886" s="34" t="s">
        <v>9804</v>
      </c>
      <c r="C3886" s="34" t="s">
        <v>197</v>
      </c>
      <c r="E3886" s="30" t="s">
        <v>9805</v>
      </c>
      <c r="F3886" s="34" t="n">
        <f aca="false">IFERROR(VLOOKUP($A3886,'319'!$B:$H,7,0),0)</f>
        <v>0</v>
      </c>
      <c r="G3886" s="34" t="n">
        <f aca="false">SUMIFS('12.326ana'!$C:$C,'12.326ana'!$M:$M,redes!A3886)</f>
        <v>0</v>
      </c>
    </row>
    <row r="3887" customFormat="false" ht="14.4" hidden="true" customHeight="false" outlineLevel="0" collapsed="false">
      <c r="A3887" s="34" t="n">
        <v>65467493868</v>
      </c>
      <c r="B3887" s="34" t="s">
        <v>9806</v>
      </c>
      <c r="C3887" s="34" t="s">
        <v>77</v>
      </c>
      <c r="E3887" s="30" t="s">
        <v>9807</v>
      </c>
      <c r="F3887" s="34" t="n">
        <f aca="false">IFERROR(VLOOKUP($A3887,'319'!$B:$H,7,0),0)</f>
        <v>0</v>
      </c>
      <c r="G3887" s="34" t="n">
        <f aca="false">SUMIFS('12.326ana'!$C:$C,'12.326ana'!$M:$M,redes!A3887)</f>
        <v>0</v>
      </c>
    </row>
    <row r="3888" customFormat="false" ht="14.4" hidden="true" customHeight="false" outlineLevel="0" collapsed="false">
      <c r="A3888" s="34" t="n">
        <v>65469321134</v>
      </c>
      <c r="B3888" s="34" t="s">
        <v>9808</v>
      </c>
      <c r="C3888" s="34" t="s">
        <v>77</v>
      </c>
      <c r="E3888" s="30" t="s">
        <v>9809</v>
      </c>
      <c r="F3888" s="34" t="n">
        <f aca="false">IFERROR(VLOOKUP($A3888,'319'!$B:$H,7,0),0)</f>
        <v>0</v>
      </c>
      <c r="G3888" s="34" t="n">
        <f aca="false">SUMIFS('12.326ana'!$C:$C,'12.326ana'!$M:$M,redes!A3888)</f>
        <v>0</v>
      </c>
    </row>
    <row r="3889" customFormat="false" ht="14.4" hidden="true" customHeight="false" outlineLevel="0" collapsed="false">
      <c r="A3889" s="34" t="n">
        <v>65581121087</v>
      </c>
      <c r="B3889" s="34" t="s">
        <v>9810</v>
      </c>
      <c r="C3889" s="34" t="s">
        <v>77</v>
      </c>
      <c r="E3889" s="30" t="s">
        <v>9811</v>
      </c>
      <c r="F3889" s="34" t="n">
        <f aca="false">IFERROR(VLOOKUP($A3889,'319'!$B:$H,7,0),0)</f>
        <v>0</v>
      </c>
      <c r="G3889" s="34" t="n">
        <f aca="false">SUMIFS('12.326ana'!$C:$C,'12.326ana'!$M:$M,redes!A3889)</f>
        <v>0</v>
      </c>
    </row>
    <row r="3890" customFormat="false" ht="14.4" hidden="true" customHeight="false" outlineLevel="0" collapsed="false">
      <c r="A3890" s="34" t="n">
        <v>65612892420</v>
      </c>
      <c r="B3890" s="34" t="s">
        <v>9812</v>
      </c>
      <c r="C3890" s="34" t="s">
        <v>192</v>
      </c>
      <c r="E3890" s="30" t="s">
        <v>9813</v>
      </c>
      <c r="F3890" s="34" t="n">
        <f aca="false">IFERROR(VLOOKUP($A3890,'319'!$B:$H,7,0),0)</f>
        <v>0</v>
      </c>
      <c r="G3890" s="34" t="n">
        <f aca="false">SUMIFS('12.326ana'!$C:$C,'12.326ana'!$M:$M,redes!A3890)</f>
        <v>0</v>
      </c>
    </row>
    <row r="3891" customFormat="false" ht="14.4" hidden="true" customHeight="false" outlineLevel="0" collapsed="false">
      <c r="A3891" s="34" t="n">
        <v>65680251868</v>
      </c>
      <c r="B3891" s="34" t="s">
        <v>9814</v>
      </c>
      <c r="C3891" s="34" t="s">
        <v>77</v>
      </c>
      <c r="E3891" s="30" t="s">
        <v>6974</v>
      </c>
      <c r="F3891" s="34" t="n">
        <f aca="false">IFERROR(VLOOKUP($A3891,'319'!$B:$H,7,0),0)</f>
        <v>0</v>
      </c>
      <c r="G3891" s="34" t="n">
        <f aca="false">SUMIFS('12.326ana'!$C:$C,'12.326ana'!$M:$M,redes!A3891)</f>
        <v>0</v>
      </c>
    </row>
    <row r="3892" customFormat="false" ht="14.4" hidden="true" customHeight="false" outlineLevel="0" collapsed="false">
      <c r="A3892" s="34" t="n">
        <v>65840496804</v>
      </c>
      <c r="B3892" s="34" t="s">
        <v>9815</v>
      </c>
      <c r="C3892" s="34" t="s">
        <v>77</v>
      </c>
      <c r="E3892" s="30"/>
      <c r="F3892" s="34" t="n">
        <f aca="false">IFERROR(VLOOKUP($A3892,'319'!$B:$H,7,0),0)</f>
        <v>0</v>
      </c>
      <c r="G3892" s="34" t="n">
        <f aca="false">SUMIFS('12.326ana'!$C:$C,'12.326ana'!$M:$M,redes!A3892)</f>
        <v>0</v>
      </c>
    </row>
    <row r="3893" customFormat="false" ht="14.4" hidden="true" customHeight="false" outlineLevel="0" collapsed="false">
      <c r="A3893" s="34" t="n">
        <v>65894065968</v>
      </c>
      <c r="B3893" s="34" t="s">
        <v>9816</v>
      </c>
      <c r="C3893" s="34" t="s">
        <v>309</v>
      </c>
      <c r="E3893" s="30" t="s">
        <v>8653</v>
      </c>
      <c r="F3893" s="34" t="n">
        <f aca="false">IFERROR(VLOOKUP($A3893,'319'!$B:$H,7,0),0)</f>
        <v>0</v>
      </c>
      <c r="G3893" s="34" t="n">
        <f aca="false">SUMIFS('12.326ana'!$C:$C,'12.326ana'!$M:$M,redes!A3893)</f>
        <v>0</v>
      </c>
    </row>
    <row r="3894" customFormat="false" ht="14.4" hidden="true" customHeight="false" outlineLevel="0" collapsed="false">
      <c r="A3894" s="34" t="n">
        <v>65966155968</v>
      </c>
      <c r="B3894" s="34" t="s">
        <v>9817</v>
      </c>
      <c r="C3894" s="34" t="s">
        <v>139</v>
      </c>
      <c r="E3894" s="30" t="s">
        <v>9818</v>
      </c>
      <c r="F3894" s="34" t="n">
        <f aca="false">IFERROR(VLOOKUP($A3894,'319'!$B:$H,7,0),0)</f>
        <v>0</v>
      </c>
      <c r="G3894" s="34" t="n">
        <f aca="false">SUMIFS('12.326ana'!$C:$C,'12.326ana'!$M:$M,redes!A3894)</f>
        <v>0</v>
      </c>
    </row>
    <row r="3895" customFormat="false" ht="14.4" hidden="true" customHeight="false" outlineLevel="0" collapsed="false">
      <c r="A3895" s="34" t="n">
        <v>66003130997</v>
      </c>
      <c r="B3895" s="34" t="s">
        <v>9819</v>
      </c>
      <c r="C3895" s="34" t="s">
        <v>117</v>
      </c>
      <c r="E3895" s="30" t="s">
        <v>9820</v>
      </c>
      <c r="F3895" s="34" t="n">
        <f aca="false">IFERROR(VLOOKUP($A3895,'319'!$B:$H,7,0),0)</f>
        <v>0</v>
      </c>
      <c r="G3895" s="34" t="n">
        <f aca="false">SUMIFS('12.326ana'!$C:$C,'12.326ana'!$M:$M,redes!A3895)</f>
        <v>0</v>
      </c>
    </row>
    <row r="3896" customFormat="false" ht="14.4" hidden="true" customHeight="false" outlineLevel="0" collapsed="false">
      <c r="A3896" s="34" t="n">
        <v>66031125900</v>
      </c>
      <c r="B3896" s="34" t="s">
        <v>9821</v>
      </c>
      <c r="C3896" s="34" t="s">
        <v>77</v>
      </c>
      <c r="E3896" s="30" t="s">
        <v>9822</v>
      </c>
      <c r="F3896" s="34" t="n">
        <f aca="false">IFERROR(VLOOKUP($A3896,'319'!$B:$H,7,0),0)</f>
        <v>0</v>
      </c>
      <c r="G3896" s="34" t="n">
        <f aca="false">SUMIFS('12.326ana'!$C:$C,'12.326ana'!$M:$M,redes!A3896)</f>
        <v>0</v>
      </c>
    </row>
    <row r="3897" customFormat="false" ht="14.4" hidden="true" customHeight="false" outlineLevel="0" collapsed="false">
      <c r="A3897" s="34" t="n">
        <v>66078326953</v>
      </c>
      <c r="B3897" s="34" t="s">
        <v>9823</v>
      </c>
      <c r="C3897" s="34" t="s">
        <v>357</v>
      </c>
      <c r="E3897" s="30" t="s">
        <v>9824</v>
      </c>
      <c r="F3897" s="34" t="n">
        <f aca="false">IFERROR(VLOOKUP($A3897,'319'!$B:$H,7,0),0)</f>
        <v>0</v>
      </c>
      <c r="G3897" s="34" t="n">
        <f aca="false">SUMIFS('12.326ana'!$C:$C,'12.326ana'!$M:$M,redes!A3897)</f>
        <v>0</v>
      </c>
    </row>
    <row r="3898" customFormat="false" ht="14.4" hidden="true" customHeight="false" outlineLevel="0" collapsed="false">
      <c r="A3898" s="34" t="n">
        <v>66086175004</v>
      </c>
      <c r="B3898" s="34" t="s">
        <v>9825</v>
      </c>
      <c r="C3898" s="34" t="s">
        <v>77</v>
      </c>
      <c r="E3898" s="30" t="s">
        <v>9826</v>
      </c>
      <c r="F3898" s="34" t="n">
        <f aca="false">IFERROR(VLOOKUP($A3898,'319'!$B:$H,7,0),0)</f>
        <v>0</v>
      </c>
      <c r="G3898" s="34" t="n">
        <f aca="false">SUMIFS('12.326ana'!$C:$C,'12.326ana'!$M:$M,redes!A3898)</f>
        <v>0</v>
      </c>
    </row>
    <row r="3899" customFormat="false" ht="14.4" hidden="true" customHeight="false" outlineLevel="0" collapsed="false">
      <c r="A3899" s="34" t="n">
        <v>66130743149</v>
      </c>
      <c r="B3899" s="34" t="s">
        <v>9827</v>
      </c>
      <c r="C3899" s="34" t="s">
        <v>77</v>
      </c>
      <c r="E3899" s="30"/>
      <c r="F3899" s="34" t="n">
        <f aca="false">IFERROR(VLOOKUP($A3899,'319'!$B:$H,7,0),0)</f>
        <v>0</v>
      </c>
      <c r="G3899" s="34" t="n">
        <f aca="false">SUMIFS('12.326ana'!$C:$C,'12.326ana'!$M:$M,redes!A3899)</f>
        <v>0</v>
      </c>
    </row>
    <row r="3900" customFormat="false" ht="14.4" hidden="true" customHeight="false" outlineLevel="0" collapsed="false">
      <c r="A3900" s="34" t="n">
        <v>66132258191</v>
      </c>
      <c r="B3900" s="34" t="s">
        <v>9828</v>
      </c>
      <c r="C3900" s="34" t="s">
        <v>77</v>
      </c>
      <c r="E3900" s="30" t="s">
        <v>9829</v>
      </c>
      <c r="F3900" s="34" t="n">
        <f aca="false">IFERROR(VLOOKUP($A3900,'319'!$B:$H,7,0),0)</f>
        <v>0</v>
      </c>
      <c r="G3900" s="34" t="n">
        <f aca="false">SUMIFS('12.326ana'!$C:$C,'12.326ana'!$M:$M,redes!A3900)</f>
        <v>0</v>
      </c>
    </row>
    <row r="3901" customFormat="false" ht="14.4" hidden="true" customHeight="false" outlineLevel="0" collapsed="false">
      <c r="A3901" s="34" t="n">
        <v>66166357168</v>
      </c>
      <c r="B3901" s="34" t="s">
        <v>9830</v>
      </c>
      <c r="C3901" s="34" t="s">
        <v>342</v>
      </c>
      <c r="E3901" s="30" t="s">
        <v>6690</v>
      </c>
      <c r="F3901" s="34" t="n">
        <f aca="false">IFERROR(VLOOKUP($A3901,'319'!$B:$H,7,0),0)</f>
        <v>0</v>
      </c>
      <c r="G3901" s="34" t="n">
        <f aca="false">SUMIFS('12.326ana'!$C:$C,'12.326ana'!$M:$M,redes!A3901)</f>
        <v>0</v>
      </c>
    </row>
    <row r="3902" customFormat="false" ht="14.4" hidden="true" customHeight="false" outlineLevel="0" collapsed="false">
      <c r="A3902" s="34" t="n">
        <v>66167809100</v>
      </c>
      <c r="B3902" s="34" t="s">
        <v>9831</v>
      </c>
      <c r="C3902" s="34" t="s">
        <v>342</v>
      </c>
      <c r="E3902" s="30" t="s">
        <v>9832</v>
      </c>
      <c r="F3902" s="34" t="n">
        <f aca="false">IFERROR(VLOOKUP($A3902,'319'!$B:$H,7,0),0)</f>
        <v>0</v>
      </c>
      <c r="G3902" s="34" t="n">
        <f aca="false">SUMIFS('12.326ana'!$C:$C,'12.326ana'!$M:$M,redes!A3902)</f>
        <v>0</v>
      </c>
    </row>
    <row r="3903" customFormat="false" ht="14.4" hidden="true" customHeight="false" outlineLevel="0" collapsed="false">
      <c r="A3903" s="34" t="n">
        <v>66198020100</v>
      </c>
      <c r="B3903" s="34" t="s">
        <v>9833</v>
      </c>
      <c r="C3903" s="34" t="s">
        <v>154</v>
      </c>
      <c r="E3903" s="30" t="s">
        <v>9834</v>
      </c>
      <c r="F3903" s="34" t="n">
        <f aca="false">IFERROR(VLOOKUP($A3903,'319'!$B:$H,7,0),0)</f>
        <v>0</v>
      </c>
      <c r="G3903" s="34" t="n">
        <f aca="false">SUMIFS('12.326ana'!$C:$C,'12.326ana'!$M:$M,redes!A3903)</f>
        <v>0</v>
      </c>
    </row>
    <row r="3904" customFormat="false" ht="14.4" hidden="true" customHeight="false" outlineLevel="0" collapsed="false">
      <c r="A3904" s="34" t="n">
        <v>66200920125</v>
      </c>
      <c r="B3904" s="34" t="s">
        <v>9835</v>
      </c>
      <c r="C3904" s="34" t="s">
        <v>127</v>
      </c>
      <c r="E3904" s="30" t="s">
        <v>9836</v>
      </c>
      <c r="F3904" s="34" t="n">
        <f aca="false">IFERROR(VLOOKUP($A3904,'319'!$B:$H,7,0),0)</f>
        <v>0</v>
      </c>
      <c r="G3904" s="34" t="n">
        <f aca="false">SUMIFS('12.326ana'!$C:$C,'12.326ana'!$M:$M,redes!A3904)</f>
        <v>0</v>
      </c>
    </row>
    <row r="3905" customFormat="false" ht="14.4" hidden="true" customHeight="false" outlineLevel="0" collapsed="false">
      <c r="A3905" s="34" t="n">
        <v>66201900144</v>
      </c>
      <c r="B3905" s="34" t="s">
        <v>9837</v>
      </c>
      <c r="C3905" s="34" t="s">
        <v>77</v>
      </c>
      <c r="E3905" s="30" t="s">
        <v>9838</v>
      </c>
      <c r="F3905" s="34" t="n">
        <f aca="false">IFERROR(VLOOKUP($A3905,'319'!$B:$H,7,0),0)</f>
        <v>0</v>
      </c>
      <c r="G3905" s="34" t="n">
        <f aca="false">SUMIFS('12.326ana'!$C:$C,'12.326ana'!$M:$M,redes!A3905)</f>
        <v>0</v>
      </c>
    </row>
    <row r="3906" customFormat="false" ht="14.4" hidden="true" customHeight="false" outlineLevel="0" collapsed="false">
      <c r="A3906" s="34" t="n">
        <v>66202205172</v>
      </c>
      <c r="B3906" s="34" t="s">
        <v>9839</v>
      </c>
      <c r="C3906" s="34" t="s">
        <v>77</v>
      </c>
      <c r="E3906" s="30" t="s">
        <v>9840</v>
      </c>
      <c r="F3906" s="34" t="n">
        <f aca="false">IFERROR(VLOOKUP($A3906,'319'!$B:$H,7,0),0)</f>
        <v>0</v>
      </c>
      <c r="G3906" s="34" t="n">
        <f aca="false">SUMIFS('12.326ana'!$C:$C,'12.326ana'!$M:$M,redes!A3906)</f>
        <v>0</v>
      </c>
    </row>
    <row r="3907" customFormat="false" ht="14.4" hidden="true" customHeight="false" outlineLevel="0" collapsed="false">
      <c r="A3907" s="34" t="n">
        <v>66202957115</v>
      </c>
      <c r="B3907" s="34" t="s">
        <v>9841</v>
      </c>
      <c r="C3907" s="34" t="s">
        <v>77</v>
      </c>
      <c r="E3907" s="30" t="s">
        <v>6221</v>
      </c>
      <c r="F3907" s="34" t="n">
        <f aca="false">IFERROR(VLOOKUP($A3907,'319'!$B:$H,7,0),0)</f>
        <v>0</v>
      </c>
      <c r="G3907" s="34" t="n">
        <f aca="false">SUMIFS('12.326ana'!$C:$C,'12.326ana'!$M:$M,redes!A3907)</f>
        <v>0</v>
      </c>
    </row>
    <row r="3908" customFormat="false" ht="14.4" hidden="true" customHeight="false" outlineLevel="0" collapsed="false">
      <c r="A3908" s="34" t="n">
        <v>66214211172</v>
      </c>
      <c r="B3908" s="34" t="s">
        <v>9842</v>
      </c>
      <c r="C3908" s="34" t="s">
        <v>107</v>
      </c>
      <c r="E3908" s="30" t="s">
        <v>9843</v>
      </c>
      <c r="F3908" s="34" t="n">
        <f aca="false">IFERROR(VLOOKUP($A3908,'319'!$B:$H,7,0),0)</f>
        <v>0</v>
      </c>
      <c r="G3908" s="34" t="n">
        <f aca="false">SUMIFS('12.326ana'!$C:$C,'12.326ana'!$M:$M,redes!A3908)</f>
        <v>0</v>
      </c>
    </row>
    <row r="3909" customFormat="false" ht="14.4" hidden="true" customHeight="false" outlineLevel="0" collapsed="false">
      <c r="A3909" s="34" t="n">
        <v>66223555920</v>
      </c>
      <c r="B3909" s="34" t="s">
        <v>9844</v>
      </c>
      <c r="C3909" s="34" t="s">
        <v>473</v>
      </c>
      <c r="E3909" s="30" t="s">
        <v>9845</v>
      </c>
      <c r="F3909" s="34" t="n">
        <f aca="false">IFERROR(VLOOKUP($A3909,'319'!$B:$H,7,0),0)</f>
        <v>0</v>
      </c>
      <c r="G3909" s="34" t="n">
        <f aca="false">SUMIFS('12.326ana'!$C:$C,'12.326ana'!$M:$M,redes!A3909)</f>
        <v>0</v>
      </c>
    </row>
    <row r="3910" customFormat="false" ht="14.4" hidden="true" customHeight="false" outlineLevel="0" collapsed="false">
      <c r="A3910" s="34" t="n">
        <v>66228301187</v>
      </c>
      <c r="B3910" s="34" t="s">
        <v>9846</v>
      </c>
      <c r="C3910" s="34" t="s">
        <v>77</v>
      </c>
      <c r="E3910" s="30" t="s">
        <v>6686</v>
      </c>
      <c r="F3910" s="34" t="n">
        <f aca="false">IFERROR(VLOOKUP($A3910,'319'!$B:$H,7,0),0)</f>
        <v>0</v>
      </c>
      <c r="G3910" s="34" t="n">
        <f aca="false">SUMIFS('12.326ana'!$C:$C,'12.326ana'!$M:$M,redes!A3910)</f>
        <v>0</v>
      </c>
    </row>
    <row r="3911" customFormat="false" ht="14.4" hidden="true" customHeight="false" outlineLevel="0" collapsed="false">
      <c r="A3911" s="34" t="n">
        <v>66228646168</v>
      </c>
      <c r="B3911" s="34" t="s">
        <v>9847</v>
      </c>
      <c r="C3911" s="34" t="s">
        <v>77</v>
      </c>
      <c r="E3911" s="30" t="s">
        <v>9848</v>
      </c>
      <c r="F3911" s="34" t="n">
        <f aca="false">IFERROR(VLOOKUP($A3911,'319'!$B:$H,7,0),0)</f>
        <v>0</v>
      </c>
      <c r="G3911" s="34" t="n">
        <f aca="false">SUMIFS('12.326ana'!$C:$C,'12.326ana'!$M:$M,redes!A3911)</f>
        <v>0</v>
      </c>
    </row>
    <row r="3912" customFormat="false" ht="14.4" hidden="true" customHeight="false" outlineLevel="0" collapsed="false">
      <c r="A3912" s="34" t="n">
        <v>66228905104</v>
      </c>
      <c r="B3912" s="34" t="s">
        <v>9849</v>
      </c>
      <c r="C3912" s="34" t="s">
        <v>77</v>
      </c>
      <c r="E3912" s="30"/>
      <c r="F3912" s="34" t="n">
        <f aca="false">IFERROR(VLOOKUP($A3912,'319'!$B:$H,7,0),0)</f>
        <v>0</v>
      </c>
      <c r="G3912" s="34" t="n">
        <f aca="false">SUMIFS('12.326ana'!$C:$C,'12.326ana'!$M:$M,redes!A3912)</f>
        <v>0</v>
      </c>
    </row>
    <row r="3913" customFormat="false" ht="14.4" hidden="true" customHeight="false" outlineLevel="0" collapsed="false">
      <c r="A3913" s="34" t="n">
        <v>66230330172</v>
      </c>
      <c r="B3913" s="34" t="s">
        <v>9850</v>
      </c>
      <c r="C3913" s="34" t="s">
        <v>77</v>
      </c>
      <c r="E3913" s="30" t="s">
        <v>9851</v>
      </c>
      <c r="F3913" s="34" t="n">
        <f aca="false">IFERROR(VLOOKUP($A3913,'319'!$B:$H,7,0),0)</f>
        <v>0</v>
      </c>
      <c r="G3913" s="34" t="n">
        <f aca="false">SUMIFS('12.326ana'!$C:$C,'12.326ana'!$M:$M,redes!A3913)</f>
        <v>0</v>
      </c>
    </row>
    <row r="3914" customFormat="false" ht="14.4" hidden="true" customHeight="false" outlineLevel="0" collapsed="false">
      <c r="A3914" s="34" t="n">
        <v>66234417191</v>
      </c>
      <c r="B3914" s="34" t="s">
        <v>9852</v>
      </c>
      <c r="C3914" s="34" t="s">
        <v>77</v>
      </c>
      <c r="E3914" s="30" t="s">
        <v>9853</v>
      </c>
      <c r="F3914" s="34" t="n">
        <f aca="false">IFERROR(VLOOKUP($A3914,'319'!$B:$H,7,0),0)</f>
        <v>0</v>
      </c>
      <c r="G3914" s="34" t="n">
        <f aca="false">SUMIFS('12.326ana'!$C:$C,'12.326ana'!$M:$M,redes!A3914)</f>
        <v>0</v>
      </c>
    </row>
    <row r="3915" customFormat="false" ht="14.4" hidden="true" customHeight="false" outlineLevel="0" collapsed="false">
      <c r="A3915" s="34" t="n">
        <v>66242932172</v>
      </c>
      <c r="B3915" s="34" t="s">
        <v>9854</v>
      </c>
      <c r="C3915" s="34" t="s">
        <v>77</v>
      </c>
      <c r="E3915" s="30" t="s">
        <v>9855</v>
      </c>
      <c r="F3915" s="34" t="n">
        <f aca="false">IFERROR(VLOOKUP($A3915,'319'!$B:$H,7,0),0)</f>
        <v>0</v>
      </c>
      <c r="G3915" s="34" t="n">
        <f aca="false">SUMIFS('12.326ana'!$C:$C,'12.326ana'!$M:$M,redes!A3915)</f>
        <v>0</v>
      </c>
    </row>
    <row r="3916" customFormat="false" ht="14.4" hidden="true" customHeight="false" outlineLevel="0" collapsed="false">
      <c r="A3916" s="34" t="n">
        <v>66244110153</v>
      </c>
      <c r="B3916" s="34" t="s">
        <v>9856</v>
      </c>
      <c r="C3916" s="34" t="s">
        <v>77</v>
      </c>
      <c r="E3916" s="30" t="s">
        <v>9857</v>
      </c>
      <c r="F3916" s="34" t="n">
        <f aca="false">IFERROR(VLOOKUP($A3916,'319'!$B:$H,7,0),0)</f>
        <v>0</v>
      </c>
      <c r="G3916" s="34" t="n">
        <f aca="false">SUMIFS('12.326ana'!$C:$C,'12.326ana'!$M:$M,redes!A3916)</f>
        <v>0</v>
      </c>
    </row>
    <row r="3917" customFormat="false" ht="14.4" hidden="true" customHeight="false" outlineLevel="0" collapsed="false">
      <c r="A3917" s="34" t="n">
        <v>66244188187</v>
      </c>
      <c r="B3917" s="34" t="s">
        <v>9858</v>
      </c>
      <c r="C3917" s="34" t="s">
        <v>77</v>
      </c>
      <c r="E3917" s="30" t="s">
        <v>9859</v>
      </c>
      <c r="F3917" s="34" t="n">
        <f aca="false">IFERROR(VLOOKUP($A3917,'319'!$B:$H,7,0),0)</f>
        <v>0</v>
      </c>
      <c r="G3917" s="34" t="n">
        <f aca="false">SUMIFS('12.326ana'!$C:$C,'12.326ana'!$M:$M,redes!A3917)</f>
        <v>0</v>
      </c>
    </row>
    <row r="3918" customFormat="false" ht="14.4" hidden="true" customHeight="false" outlineLevel="0" collapsed="false">
      <c r="A3918" s="34" t="n">
        <v>66245885191</v>
      </c>
      <c r="B3918" s="34" t="s">
        <v>9860</v>
      </c>
      <c r="C3918" s="34" t="s">
        <v>107</v>
      </c>
      <c r="E3918" s="30" t="s">
        <v>9861</v>
      </c>
      <c r="F3918" s="34" t="n">
        <f aca="false">IFERROR(VLOOKUP($A3918,'319'!$B:$H,7,0),0)</f>
        <v>0</v>
      </c>
      <c r="G3918" s="34" t="n">
        <f aca="false">SUMIFS('12.326ana'!$C:$C,'12.326ana'!$M:$M,redes!A3918)</f>
        <v>0</v>
      </c>
    </row>
    <row r="3919" customFormat="false" ht="14.4" hidden="true" customHeight="false" outlineLevel="0" collapsed="false">
      <c r="A3919" s="34" t="n">
        <v>66263344172</v>
      </c>
      <c r="B3919" s="34" t="s">
        <v>9862</v>
      </c>
      <c r="C3919" s="34" t="s">
        <v>77</v>
      </c>
      <c r="E3919" s="30" t="s">
        <v>9863</v>
      </c>
      <c r="F3919" s="34" t="n">
        <f aca="false">IFERROR(VLOOKUP($A3919,'319'!$B:$H,7,0),0)</f>
        <v>0</v>
      </c>
      <c r="G3919" s="34" t="n">
        <f aca="false">SUMIFS('12.326ana'!$C:$C,'12.326ana'!$M:$M,redes!A3919)</f>
        <v>0</v>
      </c>
    </row>
    <row r="3920" customFormat="false" ht="14.4" hidden="true" customHeight="false" outlineLevel="0" collapsed="false">
      <c r="A3920" s="34" t="n">
        <v>66270391172</v>
      </c>
      <c r="B3920" s="34" t="s">
        <v>9864</v>
      </c>
      <c r="C3920" s="34" t="s">
        <v>77</v>
      </c>
      <c r="E3920" s="30"/>
      <c r="F3920" s="34" t="n">
        <f aca="false">IFERROR(VLOOKUP($A3920,'319'!$B:$H,7,0),0)</f>
        <v>0</v>
      </c>
      <c r="G3920" s="34" t="n">
        <f aca="false">SUMIFS('12.326ana'!$C:$C,'12.326ana'!$M:$M,redes!A3920)</f>
        <v>0</v>
      </c>
    </row>
    <row r="3921" customFormat="false" ht="14.4" hidden="true" customHeight="false" outlineLevel="0" collapsed="false">
      <c r="A3921" s="34" t="n">
        <v>66271681115</v>
      </c>
      <c r="B3921" s="34" t="s">
        <v>9865</v>
      </c>
      <c r="C3921" s="34" t="s">
        <v>77</v>
      </c>
      <c r="E3921" s="30" t="s">
        <v>9866</v>
      </c>
      <c r="F3921" s="34" t="n">
        <f aca="false">IFERROR(VLOOKUP($A3921,'319'!$B:$H,7,0),0)</f>
        <v>0</v>
      </c>
      <c r="G3921" s="34" t="n">
        <f aca="false">SUMIFS('12.326ana'!$C:$C,'12.326ana'!$M:$M,redes!A3921)</f>
        <v>0</v>
      </c>
    </row>
    <row r="3922" customFormat="false" ht="14.4" hidden="true" customHeight="false" outlineLevel="0" collapsed="false">
      <c r="A3922" s="34" t="n">
        <v>66272602120</v>
      </c>
      <c r="B3922" s="34" t="s">
        <v>9867</v>
      </c>
      <c r="C3922" s="34" t="s">
        <v>77</v>
      </c>
      <c r="E3922" s="30" t="s">
        <v>9868</v>
      </c>
      <c r="F3922" s="34" t="n">
        <f aca="false">IFERROR(VLOOKUP($A3922,'319'!$B:$H,7,0),0)</f>
        <v>0</v>
      </c>
      <c r="G3922" s="34" t="n">
        <f aca="false">SUMIFS('12.326ana'!$C:$C,'12.326ana'!$M:$M,redes!A3922)</f>
        <v>0</v>
      </c>
    </row>
    <row r="3923" customFormat="false" ht="14.4" hidden="true" customHeight="false" outlineLevel="0" collapsed="false">
      <c r="A3923" s="34" t="n">
        <v>66272700130</v>
      </c>
      <c r="B3923" s="34" t="s">
        <v>9869</v>
      </c>
      <c r="C3923" s="34" t="s">
        <v>77</v>
      </c>
      <c r="E3923" s="30" t="s">
        <v>9870</v>
      </c>
      <c r="F3923" s="34" t="n">
        <f aca="false">IFERROR(VLOOKUP($A3923,'319'!$B:$H,7,0),0)</f>
        <v>0</v>
      </c>
      <c r="G3923" s="34" t="n">
        <f aca="false">SUMIFS('12.326ana'!$C:$C,'12.326ana'!$M:$M,redes!A3923)</f>
        <v>0</v>
      </c>
    </row>
    <row r="3924" customFormat="false" ht="14.4" hidden="true" customHeight="false" outlineLevel="0" collapsed="false">
      <c r="A3924" s="34" t="n">
        <v>66272726104</v>
      </c>
      <c r="B3924" s="34" t="s">
        <v>9871</v>
      </c>
      <c r="C3924" s="34" t="s">
        <v>77</v>
      </c>
      <c r="E3924" s="30" t="s">
        <v>9872</v>
      </c>
      <c r="F3924" s="34" t="n">
        <f aca="false">IFERROR(VLOOKUP($A3924,'319'!$B:$H,7,0),0)</f>
        <v>0</v>
      </c>
      <c r="G3924" s="34" t="n">
        <f aca="false">SUMIFS('12.326ana'!$C:$C,'12.326ana'!$M:$M,redes!A3924)</f>
        <v>0</v>
      </c>
    </row>
    <row r="3925" customFormat="false" ht="14.4" hidden="true" customHeight="false" outlineLevel="0" collapsed="false">
      <c r="A3925" s="34" t="n">
        <v>66273285187</v>
      </c>
      <c r="B3925" s="34" t="s">
        <v>9873</v>
      </c>
      <c r="C3925" s="34" t="s">
        <v>77</v>
      </c>
      <c r="E3925" s="30" t="s">
        <v>3496</v>
      </c>
      <c r="F3925" s="34" t="n">
        <f aca="false">IFERROR(VLOOKUP($A3925,'319'!$B:$H,7,0),0)</f>
        <v>0</v>
      </c>
      <c r="G3925" s="34" t="n">
        <f aca="false">SUMIFS('12.326ana'!$C:$C,'12.326ana'!$M:$M,redes!A3925)</f>
        <v>0</v>
      </c>
    </row>
    <row r="3926" customFormat="false" ht="14.4" hidden="true" customHeight="false" outlineLevel="0" collapsed="false">
      <c r="A3926" s="34" t="n">
        <v>66274613153</v>
      </c>
      <c r="B3926" s="34" t="s">
        <v>9874</v>
      </c>
      <c r="C3926" s="34" t="s">
        <v>77</v>
      </c>
      <c r="E3926" s="30"/>
      <c r="F3926" s="34" t="n">
        <f aca="false">IFERROR(VLOOKUP($A3926,'319'!$B:$H,7,0),0)</f>
        <v>0</v>
      </c>
      <c r="G3926" s="34" t="n">
        <f aca="false">SUMIFS('12.326ana'!$C:$C,'12.326ana'!$M:$M,redes!A3926)</f>
        <v>0</v>
      </c>
    </row>
    <row r="3927" customFormat="false" ht="14.4" hidden="true" customHeight="false" outlineLevel="0" collapsed="false">
      <c r="A3927" s="34" t="n">
        <v>66274923187</v>
      </c>
      <c r="B3927" s="34" t="s">
        <v>9875</v>
      </c>
      <c r="C3927" s="34" t="s">
        <v>77</v>
      </c>
      <c r="E3927" s="30" t="s">
        <v>9876</v>
      </c>
      <c r="F3927" s="34" t="n">
        <f aca="false">IFERROR(VLOOKUP($A3927,'319'!$B:$H,7,0),0)</f>
        <v>0</v>
      </c>
      <c r="G3927" s="34" t="n">
        <f aca="false">SUMIFS('12.326ana'!$C:$C,'12.326ana'!$M:$M,redes!A3927)</f>
        <v>0</v>
      </c>
    </row>
    <row r="3928" customFormat="false" ht="14.4" hidden="true" customHeight="false" outlineLevel="0" collapsed="false">
      <c r="A3928" s="34" t="n">
        <v>66274990100</v>
      </c>
      <c r="B3928" s="34" t="s">
        <v>9877</v>
      </c>
      <c r="C3928" s="34" t="s">
        <v>77</v>
      </c>
      <c r="E3928" s="30"/>
      <c r="F3928" s="34" t="n">
        <f aca="false">IFERROR(VLOOKUP($A3928,'319'!$B:$H,7,0),0)</f>
        <v>0</v>
      </c>
      <c r="G3928" s="34" t="n">
        <f aca="false">SUMIFS('12.326ana'!$C:$C,'12.326ana'!$M:$M,redes!A3928)</f>
        <v>0</v>
      </c>
    </row>
    <row r="3929" customFormat="false" ht="14.4" hidden="true" customHeight="false" outlineLevel="0" collapsed="false">
      <c r="A3929" s="34" t="n">
        <v>66275377100</v>
      </c>
      <c r="B3929" s="34" t="s">
        <v>9878</v>
      </c>
      <c r="C3929" s="34" t="s">
        <v>77</v>
      </c>
      <c r="E3929" s="30" t="s">
        <v>9879</v>
      </c>
      <c r="F3929" s="34" t="n">
        <f aca="false">IFERROR(VLOOKUP($A3929,'319'!$B:$H,7,0),0)</f>
        <v>0</v>
      </c>
      <c r="G3929" s="34" t="n">
        <f aca="false">SUMIFS('12.326ana'!$C:$C,'12.326ana'!$M:$M,redes!A3929)</f>
        <v>0</v>
      </c>
    </row>
    <row r="3930" customFormat="false" ht="14.4" hidden="true" customHeight="false" outlineLevel="0" collapsed="false">
      <c r="A3930" s="34" t="n">
        <v>66275733187</v>
      </c>
      <c r="B3930" s="34" t="s">
        <v>9880</v>
      </c>
      <c r="C3930" s="34" t="s">
        <v>77</v>
      </c>
      <c r="E3930" s="30" t="s">
        <v>9881</v>
      </c>
      <c r="F3930" s="34" t="n">
        <f aca="false">IFERROR(VLOOKUP($A3930,'319'!$B:$H,7,0),0)</f>
        <v>0</v>
      </c>
      <c r="G3930" s="34" t="n">
        <f aca="false">SUMIFS('12.326ana'!$C:$C,'12.326ana'!$M:$M,redes!A3930)</f>
        <v>0</v>
      </c>
    </row>
    <row r="3931" customFormat="false" ht="14.4" hidden="true" customHeight="false" outlineLevel="0" collapsed="false">
      <c r="A3931" s="34" t="n">
        <v>66278961172</v>
      </c>
      <c r="B3931" s="34" t="s">
        <v>9882</v>
      </c>
      <c r="C3931" s="34" t="s">
        <v>77</v>
      </c>
      <c r="E3931" s="30"/>
      <c r="F3931" s="34" t="n">
        <f aca="false">IFERROR(VLOOKUP($A3931,'319'!$B:$H,7,0),0)</f>
        <v>0</v>
      </c>
      <c r="G3931" s="34" t="n">
        <f aca="false">SUMIFS('12.326ana'!$C:$C,'12.326ana'!$M:$M,redes!A3931)</f>
        <v>0</v>
      </c>
    </row>
    <row r="3932" customFormat="false" ht="14.4" hidden="true" customHeight="false" outlineLevel="0" collapsed="false">
      <c r="A3932" s="34" t="n">
        <v>66289270168</v>
      </c>
      <c r="B3932" s="34" t="s">
        <v>9883</v>
      </c>
      <c r="C3932" s="34" t="s">
        <v>77</v>
      </c>
      <c r="E3932" s="30" t="s">
        <v>9884</v>
      </c>
      <c r="F3932" s="34" t="n">
        <f aca="false">IFERROR(VLOOKUP($A3932,'319'!$B:$H,7,0),0)</f>
        <v>0</v>
      </c>
      <c r="G3932" s="34" t="n">
        <f aca="false">SUMIFS('12.326ana'!$C:$C,'12.326ana'!$M:$M,redes!A3932)</f>
        <v>0</v>
      </c>
    </row>
    <row r="3933" customFormat="false" ht="14.4" hidden="true" customHeight="false" outlineLevel="0" collapsed="false">
      <c r="A3933" s="34" t="n">
        <v>66300096149</v>
      </c>
      <c r="B3933" s="34" t="s">
        <v>9885</v>
      </c>
      <c r="C3933" s="34" t="s">
        <v>77</v>
      </c>
      <c r="E3933" s="30" t="s">
        <v>3066</v>
      </c>
      <c r="F3933" s="34" t="n">
        <f aca="false">IFERROR(VLOOKUP($A3933,'319'!$B:$H,7,0),0)</f>
        <v>0</v>
      </c>
      <c r="G3933" s="34" t="n">
        <f aca="false">SUMIFS('12.326ana'!$C:$C,'12.326ana'!$M:$M,redes!A3933)</f>
        <v>0</v>
      </c>
    </row>
    <row r="3934" customFormat="false" ht="14.4" hidden="true" customHeight="false" outlineLevel="0" collapsed="false">
      <c r="A3934" s="34" t="n">
        <v>66308461172</v>
      </c>
      <c r="B3934" s="34" t="s">
        <v>9886</v>
      </c>
      <c r="C3934" s="34" t="s">
        <v>77</v>
      </c>
      <c r="E3934" s="30" t="s">
        <v>9887</v>
      </c>
      <c r="F3934" s="34" t="n">
        <f aca="false">IFERROR(VLOOKUP($A3934,'319'!$B:$H,7,0),0)</f>
        <v>0</v>
      </c>
      <c r="G3934" s="34" t="n">
        <f aca="false">SUMIFS('12.326ana'!$C:$C,'12.326ana'!$M:$M,redes!A3934)</f>
        <v>0</v>
      </c>
    </row>
    <row r="3935" customFormat="false" ht="14.4" hidden="true" customHeight="false" outlineLevel="0" collapsed="false">
      <c r="A3935" s="34" t="n">
        <v>66365619120</v>
      </c>
      <c r="B3935" s="34" t="s">
        <v>9888</v>
      </c>
      <c r="C3935" s="34" t="s">
        <v>77</v>
      </c>
      <c r="E3935" s="30" t="s">
        <v>6735</v>
      </c>
      <c r="F3935" s="34" t="n">
        <f aca="false">IFERROR(VLOOKUP($A3935,'319'!$B:$H,7,0),0)</f>
        <v>0</v>
      </c>
      <c r="G3935" s="34" t="n">
        <f aca="false">SUMIFS('12.326ana'!$C:$C,'12.326ana'!$M:$M,redes!A3935)</f>
        <v>0</v>
      </c>
    </row>
    <row r="3936" customFormat="false" ht="14.4" hidden="true" customHeight="false" outlineLevel="0" collapsed="false">
      <c r="A3936" s="34" t="n">
        <v>66366720134</v>
      </c>
      <c r="B3936" s="34" t="s">
        <v>9889</v>
      </c>
      <c r="C3936" s="34" t="s">
        <v>77</v>
      </c>
      <c r="E3936" s="30" t="s">
        <v>9344</v>
      </c>
      <c r="F3936" s="34" t="n">
        <f aca="false">IFERROR(VLOOKUP($A3936,'319'!$B:$H,7,0),0)</f>
        <v>0</v>
      </c>
      <c r="G3936" s="34" t="n">
        <f aca="false">SUMIFS('12.326ana'!$C:$C,'12.326ana'!$M:$M,redes!A3936)</f>
        <v>0</v>
      </c>
    </row>
    <row r="3937" customFormat="false" ht="14.4" hidden="true" customHeight="false" outlineLevel="0" collapsed="false">
      <c r="A3937" s="34" t="n">
        <v>66366747172</v>
      </c>
      <c r="B3937" s="34" t="s">
        <v>9890</v>
      </c>
      <c r="C3937" s="34" t="s">
        <v>77</v>
      </c>
      <c r="E3937" s="30" t="s">
        <v>9891</v>
      </c>
      <c r="F3937" s="34" t="n">
        <f aca="false">IFERROR(VLOOKUP($A3937,'319'!$B:$H,7,0),0)</f>
        <v>0</v>
      </c>
      <c r="G3937" s="34" t="n">
        <f aca="false">SUMIFS('12.326ana'!$C:$C,'12.326ana'!$M:$M,redes!A3937)</f>
        <v>0</v>
      </c>
    </row>
    <row r="3938" customFormat="false" ht="14.4" hidden="true" customHeight="false" outlineLevel="0" collapsed="false">
      <c r="A3938" s="34" t="n">
        <v>66367204172</v>
      </c>
      <c r="B3938" s="34" t="s">
        <v>9892</v>
      </c>
      <c r="C3938" s="34" t="s">
        <v>77</v>
      </c>
      <c r="E3938" s="30" t="s">
        <v>9893</v>
      </c>
      <c r="F3938" s="34" t="n">
        <f aca="false">IFERROR(VLOOKUP($A3938,'319'!$B:$H,7,0),0)</f>
        <v>0</v>
      </c>
      <c r="G3938" s="34" t="n">
        <f aca="false">SUMIFS('12.326ana'!$C:$C,'12.326ana'!$M:$M,redes!A3938)</f>
        <v>0</v>
      </c>
    </row>
    <row r="3939" customFormat="false" ht="14.4" hidden="true" customHeight="false" outlineLevel="0" collapsed="false">
      <c r="A3939" s="34" t="n">
        <v>66368090197</v>
      </c>
      <c r="B3939" s="34" t="s">
        <v>9894</v>
      </c>
      <c r="C3939" s="34" t="s">
        <v>77</v>
      </c>
      <c r="E3939" s="30" t="s">
        <v>9895</v>
      </c>
      <c r="F3939" s="34" t="n">
        <f aca="false">IFERROR(VLOOKUP($A3939,'319'!$B:$H,7,0),0)</f>
        <v>0</v>
      </c>
      <c r="G3939" s="34" t="n">
        <f aca="false">SUMIFS('12.326ana'!$C:$C,'12.326ana'!$M:$M,redes!A3939)</f>
        <v>0</v>
      </c>
    </row>
    <row r="3940" customFormat="false" ht="14.4" hidden="true" customHeight="false" outlineLevel="0" collapsed="false">
      <c r="A3940" s="34" t="n">
        <v>66370353191</v>
      </c>
      <c r="B3940" s="34" t="s">
        <v>9896</v>
      </c>
      <c r="C3940" s="34" t="s">
        <v>478</v>
      </c>
      <c r="E3940" s="30" t="s">
        <v>9897</v>
      </c>
      <c r="F3940" s="34" t="n">
        <f aca="false">IFERROR(VLOOKUP($A3940,'319'!$B:$H,7,0),0)</f>
        <v>0</v>
      </c>
      <c r="G3940" s="34" t="n">
        <f aca="false">SUMIFS('12.326ana'!$C:$C,'12.326ana'!$M:$M,redes!A3940)</f>
        <v>0</v>
      </c>
    </row>
    <row r="3941" customFormat="false" ht="14.4" hidden="true" customHeight="false" outlineLevel="0" collapsed="false">
      <c r="A3941" s="34" t="n">
        <v>66370698172</v>
      </c>
      <c r="B3941" s="34" t="s">
        <v>9898</v>
      </c>
      <c r="C3941" s="34" t="s">
        <v>77</v>
      </c>
      <c r="E3941" s="30" t="s">
        <v>9899</v>
      </c>
      <c r="F3941" s="34" t="n">
        <f aca="false">IFERROR(VLOOKUP($A3941,'319'!$B:$H,7,0),0)</f>
        <v>0</v>
      </c>
      <c r="G3941" s="34" t="n">
        <f aca="false">SUMIFS('12.326ana'!$C:$C,'12.326ana'!$M:$M,redes!A3941)</f>
        <v>0</v>
      </c>
    </row>
    <row r="3942" customFormat="false" ht="14.4" hidden="true" customHeight="false" outlineLevel="0" collapsed="false">
      <c r="A3942" s="34" t="n">
        <v>66446643934</v>
      </c>
      <c r="B3942" s="34" t="s">
        <v>9900</v>
      </c>
      <c r="C3942" s="34" t="s">
        <v>213</v>
      </c>
      <c r="E3942" s="30" t="s">
        <v>3108</v>
      </c>
      <c r="F3942" s="34" t="n">
        <f aca="false">IFERROR(VLOOKUP($A3942,'319'!$B:$H,7,0),0)</f>
        <v>0</v>
      </c>
      <c r="G3942" s="34" t="n">
        <f aca="false">SUMIFS('12.326ana'!$C:$C,'12.326ana'!$M:$M,redes!A3942)</f>
        <v>0</v>
      </c>
    </row>
    <row r="3943" customFormat="false" ht="14.4" hidden="true" customHeight="false" outlineLevel="0" collapsed="false">
      <c r="A3943" s="34" t="n">
        <v>66672872949</v>
      </c>
      <c r="B3943" s="34" t="s">
        <v>9901</v>
      </c>
      <c r="C3943" s="34" t="s">
        <v>357</v>
      </c>
      <c r="E3943" s="30" t="s">
        <v>9902</v>
      </c>
      <c r="F3943" s="34" t="n">
        <f aca="false">IFERROR(VLOOKUP($A3943,'319'!$B:$H,7,0),0)</f>
        <v>0</v>
      </c>
      <c r="G3943" s="34" t="n">
        <f aca="false">SUMIFS('12.326ana'!$C:$C,'12.326ana'!$M:$M,redes!A3943)</f>
        <v>0</v>
      </c>
    </row>
    <row r="3944" customFormat="false" ht="14.4" hidden="true" customHeight="false" outlineLevel="0" collapsed="false">
      <c r="A3944" s="34" t="n">
        <v>66680000146</v>
      </c>
      <c r="B3944" s="34" t="s">
        <v>9903</v>
      </c>
      <c r="C3944" s="34" t="s">
        <v>77</v>
      </c>
      <c r="E3944" s="30" t="s">
        <v>9904</v>
      </c>
      <c r="F3944" s="34" t="n">
        <f aca="false">IFERROR(VLOOKUP($A3944,'319'!$B:$H,7,0),0)</f>
        <v>0</v>
      </c>
      <c r="G3944" s="34" t="n">
        <f aca="false">SUMIFS('12.326ana'!$C:$C,'12.326ana'!$M:$M,redes!A3944)</f>
        <v>0</v>
      </c>
    </row>
    <row r="3945" customFormat="false" ht="14.4" hidden="true" customHeight="false" outlineLevel="0" collapsed="false">
      <c r="A3945" s="34" t="n">
        <v>66815193187</v>
      </c>
      <c r="B3945" s="34" t="s">
        <v>9905</v>
      </c>
      <c r="C3945" s="34" t="s">
        <v>463</v>
      </c>
      <c r="E3945" s="30" t="s">
        <v>9906</v>
      </c>
      <c r="F3945" s="34" t="n">
        <f aca="false">IFERROR(VLOOKUP($A3945,'319'!$B:$H,7,0),0)</f>
        <v>0</v>
      </c>
      <c r="G3945" s="34" t="n">
        <f aca="false">SUMIFS('12.326ana'!$C:$C,'12.326ana'!$M:$M,redes!A3945)</f>
        <v>0</v>
      </c>
    </row>
    <row r="3946" customFormat="false" ht="14.4" hidden="true" customHeight="false" outlineLevel="0" collapsed="false">
      <c r="A3946" s="34" t="n">
        <v>66815304191</v>
      </c>
      <c r="B3946" s="34" t="s">
        <v>9907</v>
      </c>
      <c r="C3946" s="34" t="s">
        <v>117</v>
      </c>
      <c r="E3946" s="30" t="s">
        <v>9908</v>
      </c>
      <c r="F3946" s="34" t="n">
        <f aca="false">IFERROR(VLOOKUP($A3946,'319'!$B:$H,7,0),0)</f>
        <v>0</v>
      </c>
      <c r="G3946" s="34" t="n">
        <f aca="false">SUMIFS('12.326ana'!$C:$C,'12.326ana'!$M:$M,redes!A3946)</f>
        <v>0</v>
      </c>
    </row>
    <row r="3947" customFormat="false" ht="14.4" hidden="true" customHeight="false" outlineLevel="0" collapsed="false">
      <c r="A3947" s="34" t="n">
        <v>66827710106</v>
      </c>
      <c r="B3947" s="34" t="s">
        <v>9909</v>
      </c>
      <c r="C3947" s="34" t="s">
        <v>117</v>
      </c>
      <c r="E3947" s="30" t="s">
        <v>9910</v>
      </c>
      <c r="F3947" s="34" t="n">
        <f aca="false">IFERROR(VLOOKUP($A3947,'319'!$B:$H,7,0),0)</f>
        <v>0</v>
      </c>
      <c r="G3947" s="34" t="n">
        <f aca="false">SUMIFS('12.326ana'!$C:$C,'12.326ana'!$M:$M,redes!A3947)</f>
        <v>0</v>
      </c>
    </row>
    <row r="3948" customFormat="false" ht="14.4" hidden="true" customHeight="false" outlineLevel="0" collapsed="false">
      <c r="A3948" s="34" t="n">
        <v>66910234804</v>
      </c>
      <c r="B3948" s="34" t="s">
        <v>9911</v>
      </c>
      <c r="C3948" s="34" t="s">
        <v>77</v>
      </c>
      <c r="E3948" s="30" t="s">
        <v>9912</v>
      </c>
      <c r="F3948" s="34" t="n">
        <f aca="false">IFERROR(VLOOKUP($A3948,'319'!$B:$H,7,0),0)</f>
        <v>0</v>
      </c>
      <c r="G3948" s="34" t="n">
        <f aca="false">SUMIFS('12.326ana'!$C:$C,'12.326ana'!$M:$M,redes!A3948)</f>
        <v>0</v>
      </c>
    </row>
    <row r="3949" customFormat="false" ht="14.4" hidden="true" customHeight="false" outlineLevel="0" collapsed="false">
      <c r="A3949" s="34" t="n">
        <v>67129153091</v>
      </c>
      <c r="B3949" s="34" t="s">
        <v>9913</v>
      </c>
      <c r="C3949" s="34" t="s">
        <v>473</v>
      </c>
      <c r="E3949" s="30" t="s">
        <v>9914</v>
      </c>
      <c r="F3949" s="34" t="n">
        <f aca="false">IFERROR(VLOOKUP($A3949,'319'!$B:$H,7,0),0)</f>
        <v>0</v>
      </c>
      <c r="G3949" s="34" t="n">
        <f aca="false">SUMIFS('12.326ana'!$C:$C,'12.326ana'!$M:$M,redes!A3949)</f>
        <v>0</v>
      </c>
    </row>
    <row r="3950" customFormat="false" ht="14.4" hidden="true" customHeight="false" outlineLevel="0" collapsed="false">
      <c r="A3950" s="34" t="n">
        <v>67208000128</v>
      </c>
      <c r="B3950" s="34" t="s">
        <v>9915</v>
      </c>
      <c r="C3950" s="34" t="s">
        <v>77</v>
      </c>
      <c r="E3950" s="30" t="s">
        <v>3213</v>
      </c>
      <c r="F3950" s="34" t="n">
        <f aca="false">IFERROR(VLOOKUP($A3950,'319'!$B:$H,7,0),0)</f>
        <v>0</v>
      </c>
      <c r="G3950" s="34" t="n">
        <f aca="false">SUMIFS('12.326ana'!$C:$C,'12.326ana'!$M:$M,redes!A3950)</f>
        <v>0</v>
      </c>
    </row>
    <row r="3951" customFormat="false" ht="14.4" hidden="true" customHeight="false" outlineLevel="0" collapsed="false">
      <c r="A3951" s="34" t="n">
        <v>67296670878</v>
      </c>
      <c r="B3951" s="34" t="s">
        <v>9916</v>
      </c>
      <c r="C3951" s="34" t="s">
        <v>77</v>
      </c>
      <c r="E3951" s="30" t="s">
        <v>9917</v>
      </c>
      <c r="F3951" s="34" t="n">
        <f aca="false">IFERROR(VLOOKUP($A3951,'319'!$B:$H,7,0),0)</f>
        <v>0</v>
      </c>
      <c r="G3951" s="34" t="n">
        <f aca="false">SUMIFS('12.326ana'!$C:$C,'12.326ana'!$M:$M,redes!A3951)</f>
        <v>0</v>
      </c>
    </row>
    <row r="3952" customFormat="false" ht="14.4" hidden="true" customHeight="false" outlineLevel="0" collapsed="false">
      <c r="A3952" s="34" t="n">
        <v>67568866220</v>
      </c>
      <c r="B3952" s="34" t="s">
        <v>9918</v>
      </c>
      <c r="C3952" s="34" t="s">
        <v>77</v>
      </c>
      <c r="E3952" s="30" t="s">
        <v>9919</v>
      </c>
      <c r="F3952" s="34" t="n">
        <f aca="false">IFERROR(VLOOKUP($A3952,'319'!$B:$H,7,0),0)</f>
        <v>0</v>
      </c>
      <c r="G3952" s="34" t="n">
        <f aca="false">SUMIFS('12.326ana'!$C:$C,'12.326ana'!$M:$M,redes!A3952)</f>
        <v>0</v>
      </c>
    </row>
    <row r="3953" customFormat="false" ht="14.4" hidden="true" customHeight="false" outlineLevel="0" collapsed="false">
      <c r="A3953" s="34" t="n">
        <v>67859739020</v>
      </c>
      <c r="B3953" s="34" t="s">
        <v>9920</v>
      </c>
      <c r="C3953" s="34" t="s">
        <v>4156</v>
      </c>
      <c r="E3953" s="30" t="s">
        <v>9921</v>
      </c>
      <c r="F3953" s="34" t="n">
        <f aca="false">IFERROR(VLOOKUP($A3953,'319'!$B:$H,7,0),0)</f>
        <v>0</v>
      </c>
      <c r="G3953" s="34" t="n">
        <f aca="false">SUMIFS('12.326ana'!$C:$C,'12.326ana'!$M:$M,redes!A3953)</f>
        <v>0</v>
      </c>
    </row>
    <row r="3954" customFormat="false" ht="14.4" hidden="true" customHeight="false" outlineLevel="0" collapsed="false">
      <c r="A3954" s="34" t="n">
        <v>67881564091</v>
      </c>
      <c r="B3954" s="34" t="s">
        <v>9922</v>
      </c>
      <c r="C3954" s="34" t="s">
        <v>4156</v>
      </c>
      <c r="D3954" s="34" t="s">
        <v>4797</v>
      </c>
      <c r="E3954" s="30" t="s">
        <v>9923</v>
      </c>
      <c r="F3954" s="34" t="n">
        <f aca="false">IFERROR(VLOOKUP($A3954,'319'!$B:$H,7,0),0)</f>
        <v>0</v>
      </c>
      <c r="G3954" s="34" t="n">
        <f aca="false">SUMIFS('12.326ana'!$C:$C,'12.326ana'!$M:$M,redes!A3954)</f>
        <v>0</v>
      </c>
    </row>
    <row r="3955" customFormat="false" ht="14.4" hidden="true" customHeight="false" outlineLevel="0" collapsed="false">
      <c r="A3955" s="34" t="n">
        <v>68157576415</v>
      </c>
      <c r="B3955" s="34" t="s">
        <v>9924</v>
      </c>
      <c r="C3955" s="34" t="s">
        <v>77</v>
      </c>
      <c r="E3955" s="30" t="s">
        <v>9925</v>
      </c>
      <c r="F3955" s="34" t="n">
        <f aca="false">IFERROR(VLOOKUP($A3955,'319'!$B:$H,7,0),0)</f>
        <v>0</v>
      </c>
      <c r="G3955" s="34" t="n">
        <f aca="false">SUMIFS('12.326ana'!$C:$C,'12.326ana'!$M:$M,redes!A3955)</f>
        <v>0</v>
      </c>
    </row>
    <row r="3956" customFormat="false" ht="14.4" hidden="true" customHeight="false" outlineLevel="0" collapsed="false">
      <c r="A3956" s="34" t="n">
        <v>68178417987</v>
      </c>
      <c r="B3956" s="34" t="s">
        <v>9926</v>
      </c>
      <c r="C3956" s="34" t="s">
        <v>77</v>
      </c>
      <c r="E3956" s="30"/>
      <c r="F3956" s="34" t="n">
        <f aca="false">IFERROR(VLOOKUP($A3956,'319'!$B:$H,7,0),0)</f>
        <v>0</v>
      </c>
      <c r="G3956" s="34" t="n">
        <f aca="false">SUMIFS('12.326ana'!$C:$C,'12.326ana'!$M:$M,redes!A3956)</f>
        <v>0</v>
      </c>
    </row>
    <row r="3957" customFormat="false" ht="14.4" hidden="true" customHeight="false" outlineLevel="0" collapsed="false">
      <c r="A3957" s="34" t="n">
        <v>68456190853</v>
      </c>
      <c r="B3957" s="34" t="s">
        <v>9927</v>
      </c>
      <c r="C3957" s="34" t="s">
        <v>107</v>
      </c>
      <c r="E3957" s="30" t="s">
        <v>9928</v>
      </c>
      <c r="F3957" s="34" t="n">
        <f aca="false">IFERROR(VLOOKUP($A3957,'319'!$B:$H,7,0),0)</f>
        <v>0</v>
      </c>
      <c r="G3957" s="34" t="n">
        <f aca="false">SUMIFS('12.326ana'!$C:$C,'12.326ana'!$M:$M,redes!A3957)</f>
        <v>0</v>
      </c>
    </row>
    <row r="3958" customFormat="false" ht="14.4" hidden="true" customHeight="false" outlineLevel="0" collapsed="false">
      <c r="A3958" s="34" t="n">
        <v>68767633820</v>
      </c>
      <c r="B3958" s="34" t="s">
        <v>9929</v>
      </c>
      <c r="C3958" s="34" t="s">
        <v>77</v>
      </c>
      <c r="E3958" s="30" t="s">
        <v>9930</v>
      </c>
      <c r="F3958" s="34" t="n">
        <f aca="false">IFERROR(VLOOKUP($A3958,'319'!$B:$H,7,0),0)</f>
        <v>0</v>
      </c>
      <c r="G3958" s="34" t="n">
        <f aca="false">SUMIFS('12.326ana'!$C:$C,'12.326ana'!$M:$M,redes!A3958)</f>
        <v>0</v>
      </c>
    </row>
    <row r="3959" customFormat="false" ht="14.4" hidden="true" customHeight="false" outlineLevel="0" collapsed="false">
      <c r="A3959" s="34" t="n">
        <v>68837305834</v>
      </c>
      <c r="B3959" s="34" t="s">
        <v>9931</v>
      </c>
      <c r="C3959" s="34" t="s">
        <v>764</v>
      </c>
      <c r="E3959" s="30" t="s">
        <v>9932</v>
      </c>
      <c r="F3959" s="34" t="n">
        <f aca="false">IFERROR(VLOOKUP($A3959,'319'!$B:$H,7,0),0)</f>
        <v>0</v>
      </c>
      <c r="G3959" s="34" t="n">
        <f aca="false">SUMIFS('12.326ana'!$C:$C,'12.326ana'!$M:$M,redes!A3959)</f>
        <v>0</v>
      </c>
    </row>
    <row r="3960" customFormat="false" ht="14.4" hidden="true" customHeight="false" outlineLevel="0" collapsed="false">
      <c r="A3960" s="34" t="n">
        <v>68860951100</v>
      </c>
      <c r="B3960" s="34" t="s">
        <v>9933</v>
      </c>
      <c r="C3960" s="34" t="s">
        <v>77</v>
      </c>
      <c r="E3960" s="30" t="s">
        <v>9934</v>
      </c>
      <c r="F3960" s="34" t="n">
        <f aca="false">IFERROR(VLOOKUP($A3960,'319'!$B:$H,7,0),0)</f>
        <v>0</v>
      </c>
      <c r="G3960" s="34" t="n">
        <f aca="false">SUMIFS('12.326ana'!$C:$C,'12.326ana'!$M:$M,redes!A3960)</f>
        <v>0</v>
      </c>
    </row>
    <row r="3961" customFormat="false" ht="14.4" hidden="true" customHeight="false" outlineLevel="0" collapsed="false">
      <c r="A3961" s="34" t="n">
        <v>68863012172</v>
      </c>
      <c r="B3961" s="34" t="s">
        <v>9935</v>
      </c>
      <c r="C3961" s="34" t="s">
        <v>737</v>
      </c>
      <c r="E3961" s="30" t="s">
        <v>4338</v>
      </c>
      <c r="F3961" s="34" t="n">
        <f aca="false">IFERROR(VLOOKUP($A3961,'319'!$B:$H,7,0),0)</f>
        <v>0</v>
      </c>
      <c r="G3961" s="34" t="n">
        <f aca="false">SUMIFS('12.326ana'!$C:$C,'12.326ana'!$M:$M,redes!A3961)</f>
        <v>0</v>
      </c>
    </row>
    <row r="3962" customFormat="false" ht="14.4" hidden="true" customHeight="false" outlineLevel="0" collapsed="false">
      <c r="A3962" s="34" t="n">
        <v>68863640149</v>
      </c>
      <c r="B3962" s="34" t="s">
        <v>9936</v>
      </c>
      <c r="C3962" s="34" t="s">
        <v>737</v>
      </c>
      <c r="E3962" s="30" t="s">
        <v>8577</v>
      </c>
      <c r="F3962" s="34" t="n">
        <f aca="false">IFERROR(VLOOKUP($A3962,'319'!$B:$H,7,0),0)</f>
        <v>0</v>
      </c>
      <c r="G3962" s="34" t="n">
        <f aca="false">SUMIFS('12.326ana'!$C:$C,'12.326ana'!$M:$M,redes!A3962)</f>
        <v>0</v>
      </c>
    </row>
    <row r="3963" customFormat="false" ht="14.4" hidden="true" customHeight="false" outlineLevel="0" collapsed="false">
      <c r="A3963" s="34" t="n">
        <v>68884737168</v>
      </c>
      <c r="B3963" s="34" t="s">
        <v>9937</v>
      </c>
      <c r="C3963" s="34" t="s">
        <v>77</v>
      </c>
      <c r="E3963" s="30" t="s">
        <v>9938</v>
      </c>
      <c r="F3963" s="34" t="n">
        <f aca="false">IFERROR(VLOOKUP($A3963,'319'!$B:$H,7,0),0)</f>
        <v>0</v>
      </c>
      <c r="G3963" s="34" t="n">
        <f aca="false">SUMIFS('12.326ana'!$C:$C,'12.326ana'!$M:$M,redes!A3963)</f>
        <v>0</v>
      </c>
    </row>
    <row r="3964" customFormat="false" ht="14.4" hidden="true" customHeight="false" outlineLevel="0" collapsed="false">
      <c r="A3964" s="34" t="n">
        <v>68897120130</v>
      </c>
      <c r="B3964" s="34" t="s">
        <v>9939</v>
      </c>
      <c r="C3964" s="34" t="s">
        <v>464</v>
      </c>
      <c r="E3964" s="30" t="s">
        <v>9940</v>
      </c>
      <c r="F3964" s="34" t="n">
        <f aca="false">IFERROR(VLOOKUP($A3964,'319'!$B:$H,7,0),0)</f>
        <v>0</v>
      </c>
      <c r="G3964" s="34" t="n">
        <f aca="false">SUMIFS('12.326ana'!$C:$C,'12.326ana'!$M:$M,redes!A3964)</f>
        <v>0</v>
      </c>
    </row>
    <row r="3965" customFormat="false" ht="14.4" hidden="true" customHeight="false" outlineLevel="0" collapsed="false">
      <c r="A3965" s="34" t="n">
        <v>68903561104</v>
      </c>
      <c r="B3965" s="34" t="s">
        <v>9941</v>
      </c>
      <c r="C3965" s="34" t="s">
        <v>77</v>
      </c>
      <c r="E3965" s="30" t="s">
        <v>9942</v>
      </c>
      <c r="F3965" s="34" t="n">
        <f aca="false">IFERROR(VLOOKUP($A3965,'319'!$B:$H,7,0),0)</f>
        <v>0</v>
      </c>
      <c r="G3965" s="34" t="n">
        <f aca="false">SUMIFS('12.326ana'!$C:$C,'12.326ana'!$M:$M,redes!A3965)</f>
        <v>0</v>
      </c>
    </row>
    <row r="3966" customFormat="false" ht="14.4" hidden="true" customHeight="false" outlineLevel="0" collapsed="false">
      <c r="A3966" s="34" t="n">
        <v>68946635134</v>
      </c>
      <c r="B3966" s="34" t="s">
        <v>9943</v>
      </c>
      <c r="C3966" s="34" t="s">
        <v>1602</v>
      </c>
      <c r="E3966" s="30" t="s">
        <v>9944</v>
      </c>
      <c r="F3966" s="34" t="n">
        <f aca="false">IFERROR(VLOOKUP($A3966,'319'!$B:$H,7,0),0)</f>
        <v>0</v>
      </c>
      <c r="G3966" s="34" t="n">
        <f aca="false">SUMIFS('12.326ana'!$C:$C,'12.326ana'!$M:$M,redes!A3966)</f>
        <v>0</v>
      </c>
    </row>
    <row r="3967" customFormat="false" ht="14.4" hidden="true" customHeight="false" outlineLevel="0" collapsed="false">
      <c r="A3967" s="34" t="n">
        <v>68947917168</v>
      </c>
      <c r="B3967" s="34" t="s">
        <v>9945</v>
      </c>
      <c r="C3967" s="34" t="s">
        <v>77</v>
      </c>
      <c r="E3967" s="30" t="s">
        <v>9946</v>
      </c>
      <c r="F3967" s="34" t="n">
        <f aca="false">IFERROR(VLOOKUP($A3967,'319'!$B:$H,7,0),0)</f>
        <v>0</v>
      </c>
      <c r="G3967" s="34" t="n">
        <f aca="false">SUMIFS('12.326ana'!$C:$C,'12.326ana'!$M:$M,redes!A3967)</f>
        <v>0</v>
      </c>
    </row>
    <row r="3968" customFormat="false" ht="14.4" hidden="true" customHeight="false" outlineLevel="0" collapsed="false">
      <c r="A3968" s="34" t="n">
        <v>68964196104</v>
      </c>
      <c r="B3968" s="34" t="s">
        <v>9947</v>
      </c>
      <c r="C3968" s="34" t="s">
        <v>737</v>
      </c>
      <c r="E3968" s="30" t="s">
        <v>5531</v>
      </c>
      <c r="F3968" s="34" t="n">
        <f aca="false">IFERROR(VLOOKUP($A3968,'319'!$B:$H,7,0),0)</f>
        <v>0</v>
      </c>
      <c r="G3968" s="34" t="n">
        <f aca="false">SUMIFS('12.326ana'!$C:$C,'12.326ana'!$M:$M,redes!A3968)</f>
        <v>0</v>
      </c>
    </row>
    <row r="3969" customFormat="false" ht="14.4" hidden="true" customHeight="false" outlineLevel="0" collapsed="false">
      <c r="A3969" s="34" t="n">
        <v>68972113115</v>
      </c>
      <c r="B3969" s="34" t="s">
        <v>9948</v>
      </c>
      <c r="C3969" s="34" t="s">
        <v>77</v>
      </c>
      <c r="E3969" s="30" t="s">
        <v>9949</v>
      </c>
      <c r="F3969" s="34" t="n">
        <f aca="false">IFERROR(VLOOKUP($A3969,'319'!$B:$H,7,0),0)</f>
        <v>0</v>
      </c>
      <c r="G3969" s="34" t="n">
        <f aca="false">SUMIFS('12.326ana'!$C:$C,'12.326ana'!$M:$M,redes!A3969)</f>
        <v>0</v>
      </c>
    </row>
    <row r="3970" customFormat="false" ht="14.4" hidden="true" customHeight="false" outlineLevel="0" collapsed="false">
      <c r="A3970" s="34" t="n">
        <v>69000891191</v>
      </c>
      <c r="B3970" s="34" t="s">
        <v>9950</v>
      </c>
      <c r="C3970" s="34" t="s">
        <v>77</v>
      </c>
      <c r="E3970" s="30"/>
      <c r="F3970" s="34" t="n">
        <f aca="false">IFERROR(VLOOKUP($A3970,'319'!$B:$H,7,0),0)</f>
        <v>0</v>
      </c>
      <c r="G3970" s="34" t="n">
        <f aca="false">SUMIFS('12.326ana'!$C:$C,'12.326ana'!$M:$M,redes!A3970)</f>
        <v>0</v>
      </c>
    </row>
    <row r="3971" customFormat="false" ht="14.4" hidden="true" customHeight="false" outlineLevel="0" collapsed="false">
      <c r="A3971" s="34" t="n">
        <v>69028000185</v>
      </c>
      <c r="B3971" s="34" t="s">
        <v>9951</v>
      </c>
      <c r="C3971" s="34" t="s">
        <v>107</v>
      </c>
      <c r="E3971" s="30" t="s">
        <v>9952</v>
      </c>
      <c r="F3971" s="34" t="n">
        <f aca="false">IFERROR(VLOOKUP($A3971,'319'!$B:$H,7,0),0)</f>
        <v>0</v>
      </c>
      <c r="G3971" s="34" t="n">
        <f aca="false">SUMIFS('12.326ana'!$C:$C,'12.326ana'!$M:$M,redes!A3971)</f>
        <v>0</v>
      </c>
    </row>
    <row r="3972" customFormat="false" ht="14.4" hidden="true" customHeight="false" outlineLevel="0" collapsed="false">
      <c r="A3972" s="34" t="n">
        <v>69029423153</v>
      </c>
      <c r="B3972" s="34" t="s">
        <v>9953</v>
      </c>
      <c r="C3972" s="34" t="s">
        <v>77</v>
      </c>
      <c r="E3972" s="30" t="s">
        <v>9954</v>
      </c>
      <c r="F3972" s="34" t="n">
        <f aca="false">IFERROR(VLOOKUP($A3972,'319'!$B:$H,7,0),0)</f>
        <v>0</v>
      </c>
      <c r="G3972" s="34" t="n">
        <f aca="false">SUMIFS('12.326ana'!$C:$C,'12.326ana'!$M:$M,redes!A3972)</f>
        <v>0</v>
      </c>
    </row>
    <row r="3973" customFormat="false" ht="14.4" hidden="true" customHeight="false" outlineLevel="0" collapsed="false">
      <c r="A3973" s="34" t="n">
        <v>69034311104</v>
      </c>
      <c r="B3973" s="34" t="s">
        <v>9955</v>
      </c>
      <c r="C3973" s="34" t="s">
        <v>77</v>
      </c>
      <c r="E3973" s="30" t="s">
        <v>8477</v>
      </c>
      <c r="F3973" s="34" t="n">
        <f aca="false">IFERROR(VLOOKUP($A3973,'319'!$B:$H,7,0),0)</f>
        <v>0</v>
      </c>
      <c r="G3973" s="34" t="n">
        <f aca="false">SUMIFS('12.326ana'!$C:$C,'12.326ana'!$M:$M,redes!A3973)</f>
        <v>0</v>
      </c>
    </row>
    <row r="3974" customFormat="false" ht="14.4" hidden="true" customHeight="false" outlineLevel="0" collapsed="false">
      <c r="A3974" s="34" t="n">
        <v>69036000121</v>
      </c>
      <c r="B3974" s="34" t="s">
        <v>9956</v>
      </c>
      <c r="C3974" s="34" t="s">
        <v>103</v>
      </c>
      <c r="E3974" s="30" t="s">
        <v>9957</v>
      </c>
      <c r="F3974" s="34" t="n">
        <f aca="false">IFERROR(VLOOKUP($A3974,'319'!$B:$H,7,0),0)</f>
        <v>0</v>
      </c>
      <c r="G3974" s="34" t="n">
        <f aca="false">SUMIFS('12.326ana'!$C:$C,'12.326ana'!$M:$M,redes!A3974)</f>
        <v>0</v>
      </c>
    </row>
    <row r="3975" customFormat="false" ht="14.4" hidden="true" customHeight="false" outlineLevel="0" collapsed="false">
      <c r="A3975" s="34" t="n">
        <v>69036411149</v>
      </c>
      <c r="B3975" s="34" t="s">
        <v>9958</v>
      </c>
      <c r="C3975" s="34" t="s">
        <v>77</v>
      </c>
      <c r="E3975" s="30" t="s">
        <v>9959</v>
      </c>
      <c r="F3975" s="34" t="n">
        <f aca="false">IFERROR(VLOOKUP($A3975,'319'!$B:$H,7,0),0)</f>
        <v>0</v>
      </c>
      <c r="G3975" s="34" t="n">
        <f aca="false">SUMIFS('12.326ana'!$C:$C,'12.326ana'!$M:$M,redes!A3975)</f>
        <v>0</v>
      </c>
    </row>
    <row r="3976" customFormat="false" ht="14.4" hidden="true" customHeight="false" outlineLevel="0" collapsed="false">
      <c r="A3976" s="34" t="n">
        <v>69036624134</v>
      </c>
      <c r="B3976" s="34" t="s">
        <v>9960</v>
      </c>
      <c r="C3976" s="34" t="s">
        <v>77</v>
      </c>
      <c r="E3976" s="30"/>
      <c r="F3976" s="34" t="n">
        <f aca="false">IFERROR(VLOOKUP($A3976,'319'!$B:$H,7,0),0)</f>
        <v>0</v>
      </c>
      <c r="G3976" s="34" t="n">
        <f aca="false">SUMIFS('12.326ana'!$C:$C,'12.326ana'!$M:$M,redes!A3976)</f>
        <v>0</v>
      </c>
    </row>
    <row r="3977" customFormat="false" ht="14.4" hidden="true" customHeight="false" outlineLevel="0" collapsed="false">
      <c r="A3977" s="34" t="n">
        <v>69044139134</v>
      </c>
      <c r="B3977" s="34" t="s">
        <v>9961</v>
      </c>
      <c r="C3977" s="34" t="s">
        <v>154</v>
      </c>
      <c r="E3977" s="30" t="s">
        <v>9962</v>
      </c>
      <c r="F3977" s="34" t="n">
        <f aca="false">IFERROR(VLOOKUP($A3977,'319'!$B:$H,7,0),0)</f>
        <v>0</v>
      </c>
      <c r="G3977" s="34" t="n">
        <f aca="false">SUMIFS('12.326ana'!$C:$C,'12.326ana'!$M:$M,redes!A3977)</f>
        <v>0</v>
      </c>
    </row>
    <row r="3978" customFormat="false" ht="14.4" hidden="true" customHeight="false" outlineLevel="0" collapsed="false">
      <c r="A3978" s="34" t="n">
        <v>69050414168</v>
      </c>
      <c r="B3978" s="34" t="s">
        <v>9963</v>
      </c>
      <c r="C3978" s="34" t="s">
        <v>77</v>
      </c>
      <c r="E3978" s="30" t="s">
        <v>3188</v>
      </c>
      <c r="F3978" s="34" t="n">
        <f aca="false">IFERROR(VLOOKUP($A3978,'319'!$B:$H,7,0),0)</f>
        <v>0</v>
      </c>
      <c r="G3978" s="34" t="n">
        <f aca="false">SUMIFS('12.326ana'!$C:$C,'12.326ana'!$M:$M,redes!A3978)</f>
        <v>0</v>
      </c>
    </row>
    <row r="3979" customFormat="false" ht="14.4" hidden="true" customHeight="false" outlineLevel="0" collapsed="false">
      <c r="A3979" s="34" t="n">
        <v>69103380149</v>
      </c>
      <c r="B3979" s="34" t="s">
        <v>9964</v>
      </c>
      <c r="C3979" s="34" t="s">
        <v>77</v>
      </c>
      <c r="E3979" s="30" t="s">
        <v>9965</v>
      </c>
      <c r="F3979" s="34" t="n">
        <f aca="false">IFERROR(VLOOKUP($A3979,'319'!$B:$H,7,0),0)</f>
        <v>0</v>
      </c>
      <c r="G3979" s="34" t="n">
        <f aca="false">SUMIFS('12.326ana'!$C:$C,'12.326ana'!$M:$M,redes!A3979)</f>
        <v>0</v>
      </c>
    </row>
    <row r="3980" customFormat="false" ht="14.4" hidden="true" customHeight="false" outlineLevel="0" collapsed="false">
      <c r="A3980" s="34" t="n">
        <v>69108510130</v>
      </c>
      <c r="B3980" s="34" t="s">
        <v>9966</v>
      </c>
      <c r="C3980" s="34" t="s">
        <v>107</v>
      </c>
      <c r="E3980" s="30" t="s">
        <v>9967</v>
      </c>
      <c r="F3980" s="34" t="n">
        <f aca="false">IFERROR(VLOOKUP($A3980,'319'!$B:$H,7,0),0)</f>
        <v>0</v>
      </c>
      <c r="G3980" s="34" t="n">
        <f aca="false">SUMIFS('12.326ana'!$C:$C,'12.326ana'!$M:$M,redes!A3980)</f>
        <v>0</v>
      </c>
    </row>
    <row r="3981" customFormat="false" ht="14.4" hidden="true" customHeight="false" outlineLevel="0" collapsed="false">
      <c r="A3981" s="34" t="n">
        <v>69117470153</v>
      </c>
      <c r="B3981" s="34" t="s">
        <v>9968</v>
      </c>
      <c r="C3981" s="34" t="s">
        <v>77</v>
      </c>
      <c r="E3981" s="30" t="s">
        <v>9969</v>
      </c>
      <c r="F3981" s="34" t="n">
        <f aca="false">IFERROR(VLOOKUP($A3981,'319'!$B:$H,7,0),0)</f>
        <v>0</v>
      </c>
      <c r="G3981" s="34" t="n">
        <f aca="false">SUMIFS('12.326ana'!$C:$C,'12.326ana'!$M:$M,redes!A3981)</f>
        <v>0</v>
      </c>
    </row>
    <row r="3982" customFormat="false" ht="14.4" hidden="true" customHeight="false" outlineLevel="0" collapsed="false">
      <c r="A3982" s="34" t="n">
        <v>69191964172</v>
      </c>
      <c r="B3982" s="34" t="s">
        <v>9970</v>
      </c>
      <c r="C3982" s="34" t="s">
        <v>77</v>
      </c>
      <c r="E3982" s="30" t="s">
        <v>9971</v>
      </c>
      <c r="F3982" s="34" t="n">
        <f aca="false">IFERROR(VLOOKUP($A3982,'319'!$B:$H,7,0),0)</f>
        <v>0</v>
      </c>
      <c r="G3982" s="34" t="n">
        <f aca="false">SUMIFS('12.326ana'!$C:$C,'12.326ana'!$M:$M,redes!A3982)</f>
        <v>0</v>
      </c>
    </row>
    <row r="3983" customFormat="false" ht="14.4" hidden="true" customHeight="false" outlineLevel="0" collapsed="false">
      <c r="A3983" s="34" t="n">
        <v>69199922134</v>
      </c>
      <c r="B3983" s="34" t="s">
        <v>9972</v>
      </c>
      <c r="C3983" s="34" t="s">
        <v>737</v>
      </c>
      <c r="E3983" s="30" t="s">
        <v>9973</v>
      </c>
      <c r="F3983" s="34" t="n">
        <f aca="false">IFERROR(VLOOKUP($A3983,'319'!$B:$H,7,0),0)</f>
        <v>0</v>
      </c>
      <c r="G3983" s="34" t="n">
        <f aca="false">SUMIFS('12.326ana'!$C:$C,'12.326ana'!$M:$M,redes!A3983)</f>
        <v>0</v>
      </c>
    </row>
    <row r="3984" customFormat="false" ht="14.4" hidden="true" customHeight="false" outlineLevel="0" collapsed="false">
      <c r="A3984" s="34" t="n">
        <v>69269190110</v>
      </c>
      <c r="B3984" s="34" t="s">
        <v>9974</v>
      </c>
      <c r="C3984" s="34" t="s">
        <v>77</v>
      </c>
      <c r="E3984" s="30" t="s">
        <v>9975</v>
      </c>
      <c r="F3984" s="34" t="n">
        <f aca="false">IFERROR(VLOOKUP($A3984,'319'!$B:$H,7,0),0)</f>
        <v>0</v>
      </c>
      <c r="G3984" s="34" t="n">
        <f aca="false">SUMIFS('12.326ana'!$C:$C,'12.326ana'!$M:$M,redes!A3984)</f>
        <v>0</v>
      </c>
    </row>
    <row r="3985" customFormat="false" ht="14.4" hidden="true" customHeight="false" outlineLevel="0" collapsed="false">
      <c r="A3985" s="34" t="n">
        <v>69317712134</v>
      </c>
      <c r="B3985" s="34" t="s">
        <v>9976</v>
      </c>
      <c r="C3985" s="34" t="s">
        <v>77</v>
      </c>
      <c r="E3985" s="30"/>
      <c r="F3985" s="34" t="n">
        <f aca="false">IFERROR(VLOOKUP($A3985,'319'!$B:$H,7,0),0)</f>
        <v>0</v>
      </c>
      <c r="G3985" s="34" t="n">
        <f aca="false">SUMIFS('12.326ana'!$C:$C,'12.326ana'!$M:$M,redes!A3985)</f>
        <v>0</v>
      </c>
    </row>
    <row r="3986" customFormat="false" ht="14.4" hidden="true" customHeight="false" outlineLevel="0" collapsed="false">
      <c r="A3986" s="34" t="n">
        <v>69350841134</v>
      </c>
      <c r="B3986" s="34" t="s">
        <v>9977</v>
      </c>
      <c r="C3986" s="34" t="s">
        <v>77</v>
      </c>
      <c r="E3986" s="30" t="s">
        <v>6872</v>
      </c>
      <c r="F3986" s="34" t="n">
        <f aca="false">IFERROR(VLOOKUP($A3986,'319'!$B:$H,7,0),0)</f>
        <v>0</v>
      </c>
      <c r="G3986" s="34" t="n">
        <f aca="false">SUMIFS('12.326ana'!$C:$C,'12.326ana'!$M:$M,redes!A3986)</f>
        <v>0</v>
      </c>
    </row>
    <row r="3987" customFormat="false" ht="14.4" hidden="true" customHeight="false" outlineLevel="0" collapsed="false">
      <c r="A3987" s="34" t="n">
        <v>69361690159</v>
      </c>
      <c r="B3987" s="34" t="s">
        <v>9978</v>
      </c>
      <c r="C3987" s="34" t="s">
        <v>77</v>
      </c>
      <c r="E3987" s="30" t="s">
        <v>9979</v>
      </c>
      <c r="F3987" s="34" t="n">
        <f aca="false">IFERROR(VLOOKUP($A3987,'319'!$B:$H,7,0),0)</f>
        <v>0</v>
      </c>
      <c r="G3987" s="34" t="n">
        <f aca="false">SUMIFS('12.326ana'!$C:$C,'12.326ana'!$M:$M,redes!A3987)</f>
        <v>0</v>
      </c>
    </row>
    <row r="3988" customFormat="false" ht="14.4" hidden="true" customHeight="false" outlineLevel="0" collapsed="false">
      <c r="A3988" s="34" t="n">
        <v>69398186853</v>
      </c>
      <c r="B3988" s="34" t="s">
        <v>9980</v>
      </c>
      <c r="C3988" s="34" t="s">
        <v>377</v>
      </c>
      <c r="E3988" s="30" t="s">
        <v>9981</v>
      </c>
      <c r="F3988" s="34" t="n">
        <f aca="false">IFERROR(VLOOKUP($A3988,'319'!$B:$H,7,0),0)</f>
        <v>0</v>
      </c>
      <c r="G3988" s="34" t="n">
        <f aca="false">SUMIFS('12.326ana'!$C:$C,'12.326ana'!$M:$M,redes!A3988)</f>
        <v>0</v>
      </c>
    </row>
    <row r="3989" customFormat="false" ht="14.4" hidden="true" customHeight="false" outlineLevel="0" collapsed="false">
      <c r="A3989" s="34" t="n">
        <v>69401799172</v>
      </c>
      <c r="B3989" s="34" t="s">
        <v>9982</v>
      </c>
      <c r="C3989" s="34" t="s">
        <v>103</v>
      </c>
      <c r="E3989" s="30" t="s">
        <v>9982</v>
      </c>
      <c r="F3989" s="34" t="n">
        <f aca="false">IFERROR(VLOOKUP($A3989,'319'!$B:$H,7,0),0)</f>
        <v>0</v>
      </c>
      <c r="G3989" s="34" t="n">
        <f aca="false">SUMIFS('12.326ana'!$C:$C,'12.326ana'!$M:$M,redes!A3989)</f>
        <v>0</v>
      </c>
    </row>
    <row r="3990" customFormat="false" ht="14.4" hidden="true" customHeight="false" outlineLevel="0" collapsed="false">
      <c r="A3990" s="34" t="n">
        <v>69411352120</v>
      </c>
      <c r="B3990" s="34" t="s">
        <v>9983</v>
      </c>
      <c r="C3990" s="34" t="s">
        <v>77</v>
      </c>
      <c r="E3990" s="30"/>
      <c r="F3990" s="34" t="n">
        <f aca="false">IFERROR(VLOOKUP($A3990,'319'!$B:$H,7,0),0)</f>
        <v>0</v>
      </c>
      <c r="G3990" s="34" t="n">
        <f aca="false">SUMIFS('12.326ana'!$C:$C,'12.326ana'!$M:$M,redes!A3990)</f>
        <v>0</v>
      </c>
    </row>
    <row r="3991" customFormat="false" ht="14.4" hidden="true" customHeight="false" outlineLevel="0" collapsed="false">
      <c r="A3991" s="34" t="n">
        <v>69416931187</v>
      </c>
      <c r="B3991" s="34" t="s">
        <v>9984</v>
      </c>
      <c r="C3991" s="34" t="s">
        <v>139</v>
      </c>
      <c r="E3991" s="30" t="s">
        <v>9985</v>
      </c>
      <c r="F3991" s="34" t="n">
        <f aca="false">IFERROR(VLOOKUP($A3991,'319'!$B:$H,7,0),0)</f>
        <v>0</v>
      </c>
      <c r="G3991" s="34" t="n">
        <f aca="false">SUMIFS('12.326ana'!$C:$C,'12.326ana'!$M:$M,redes!A3991)</f>
        <v>0</v>
      </c>
    </row>
    <row r="3992" customFormat="false" ht="14.4" hidden="true" customHeight="false" outlineLevel="0" collapsed="false">
      <c r="A3992" s="34" t="n">
        <v>69442215949</v>
      </c>
      <c r="B3992" s="34" t="s">
        <v>9986</v>
      </c>
      <c r="C3992" s="34" t="s">
        <v>139</v>
      </c>
      <c r="E3992" s="30" t="s">
        <v>9987</v>
      </c>
      <c r="F3992" s="34" t="n">
        <f aca="false">IFERROR(VLOOKUP($A3992,'319'!$B:$H,7,0),0)</f>
        <v>0</v>
      </c>
      <c r="G3992" s="34" t="n">
        <f aca="false">SUMIFS('12.326ana'!$C:$C,'12.326ana'!$M:$M,redes!A3992)</f>
        <v>0</v>
      </c>
    </row>
    <row r="3993" customFormat="false" ht="14.4" hidden="true" customHeight="false" outlineLevel="0" collapsed="false">
      <c r="A3993" s="34" t="n">
        <v>69451036172</v>
      </c>
      <c r="B3993" s="34" t="s">
        <v>9988</v>
      </c>
      <c r="C3993" s="34" t="s">
        <v>464</v>
      </c>
      <c r="E3993" s="30" t="s">
        <v>3314</v>
      </c>
      <c r="F3993" s="34" t="n">
        <f aca="false">IFERROR(VLOOKUP($A3993,'319'!$B:$H,7,0),0)</f>
        <v>0</v>
      </c>
      <c r="G3993" s="34" t="n">
        <f aca="false">SUMIFS('12.326ana'!$C:$C,'12.326ana'!$M:$M,redes!A3993)</f>
        <v>0</v>
      </c>
    </row>
    <row r="3994" customFormat="false" ht="14.4" hidden="true" customHeight="false" outlineLevel="0" collapsed="false">
      <c r="A3994" s="34" t="n">
        <v>69473595115</v>
      </c>
      <c r="B3994" s="34" t="s">
        <v>9989</v>
      </c>
      <c r="C3994" s="34" t="s">
        <v>77</v>
      </c>
      <c r="E3994" s="30" t="s">
        <v>9990</v>
      </c>
      <c r="F3994" s="34" t="n">
        <f aca="false">IFERROR(VLOOKUP($A3994,'319'!$B:$H,7,0),0)</f>
        <v>0</v>
      </c>
      <c r="G3994" s="34" t="n">
        <f aca="false">SUMIFS('12.326ana'!$C:$C,'12.326ana'!$M:$M,redes!A3994)</f>
        <v>0</v>
      </c>
    </row>
    <row r="3995" customFormat="false" ht="14.4" hidden="true" customHeight="false" outlineLevel="0" collapsed="false">
      <c r="A3995" s="34" t="n">
        <v>69485267134</v>
      </c>
      <c r="B3995" s="34" t="s">
        <v>9991</v>
      </c>
      <c r="C3995" s="34" t="s">
        <v>117</v>
      </c>
      <c r="E3995" s="30" t="s">
        <v>9992</v>
      </c>
      <c r="F3995" s="34" t="n">
        <f aca="false">IFERROR(VLOOKUP($A3995,'319'!$B:$H,7,0),0)</f>
        <v>0</v>
      </c>
      <c r="G3995" s="34" t="n">
        <f aca="false">SUMIFS('12.326ana'!$C:$C,'12.326ana'!$M:$M,redes!A3995)</f>
        <v>0</v>
      </c>
    </row>
    <row r="3996" customFormat="false" ht="14.4" hidden="true" customHeight="false" outlineLevel="0" collapsed="false">
      <c r="A3996" s="34" t="n">
        <v>69526311191</v>
      </c>
      <c r="B3996" s="34" t="s">
        <v>9993</v>
      </c>
      <c r="C3996" s="34" t="s">
        <v>139</v>
      </c>
      <c r="E3996" s="30" t="s">
        <v>9994</v>
      </c>
      <c r="F3996" s="34" t="n">
        <f aca="false">IFERROR(VLOOKUP($A3996,'319'!$B:$H,7,0),0)</f>
        <v>0</v>
      </c>
      <c r="G3996" s="34" t="n">
        <f aca="false">SUMIFS('12.326ana'!$C:$C,'12.326ana'!$M:$M,redes!A3996)</f>
        <v>0</v>
      </c>
    </row>
    <row r="3997" customFormat="false" ht="14.4" hidden="true" customHeight="false" outlineLevel="0" collapsed="false">
      <c r="A3997" s="34" t="n">
        <v>69536040182</v>
      </c>
      <c r="B3997" s="34" t="s">
        <v>9995</v>
      </c>
      <c r="C3997" s="34" t="s">
        <v>77</v>
      </c>
      <c r="E3997" s="30" t="s">
        <v>9996</v>
      </c>
      <c r="F3997" s="34" t="n">
        <f aca="false">IFERROR(VLOOKUP($A3997,'319'!$B:$H,7,0),0)</f>
        <v>0</v>
      </c>
      <c r="G3997" s="34" t="n">
        <f aca="false">SUMIFS('12.326ana'!$C:$C,'12.326ana'!$M:$M,redes!A3997)</f>
        <v>0</v>
      </c>
    </row>
    <row r="3998" customFormat="false" ht="14.4" hidden="true" customHeight="false" outlineLevel="0" collapsed="false">
      <c r="A3998" s="34" t="n">
        <v>69554447868</v>
      </c>
      <c r="B3998" s="34" t="s">
        <v>9618</v>
      </c>
      <c r="C3998" s="34" t="s">
        <v>77</v>
      </c>
      <c r="E3998" s="30" t="s">
        <v>6386</v>
      </c>
      <c r="F3998" s="34" t="n">
        <f aca="false">IFERROR(VLOOKUP($A3998,'319'!$B:$H,7,0),0)</f>
        <v>0</v>
      </c>
      <c r="G3998" s="34" t="n">
        <f aca="false">SUMIFS('12.326ana'!$C:$C,'12.326ana'!$M:$M,redes!A3998)</f>
        <v>0</v>
      </c>
    </row>
    <row r="3999" customFormat="false" ht="14.4" hidden="true" customHeight="false" outlineLevel="0" collapsed="false">
      <c r="A3999" s="34" t="n">
        <v>69564523168</v>
      </c>
      <c r="B3999" s="34" t="s">
        <v>9997</v>
      </c>
      <c r="C3999" s="34" t="s">
        <v>77</v>
      </c>
      <c r="E3999" s="30" t="s">
        <v>9998</v>
      </c>
      <c r="F3999" s="34" t="n">
        <f aca="false">IFERROR(VLOOKUP($A3999,'319'!$B:$H,7,0),0)</f>
        <v>0</v>
      </c>
      <c r="G3999" s="34" t="n">
        <f aca="false">SUMIFS('12.326ana'!$C:$C,'12.326ana'!$M:$M,redes!A3999)</f>
        <v>0</v>
      </c>
    </row>
    <row r="4000" customFormat="false" ht="14.4" hidden="true" customHeight="false" outlineLevel="0" collapsed="false">
      <c r="A4000" s="34" t="n">
        <v>69588147115</v>
      </c>
      <c r="B4000" s="34" t="s">
        <v>9999</v>
      </c>
      <c r="C4000" s="34" t="s">
        <v>979</v>
      </c>
      <c r="E4000" s="30" t="s">
        <v>2988</v>
      </c>
      <c r="F4000" s="34" t="n">
        <f aca="false">IFERROR(VLOOKUP($A4000,'319'!$B:$H,7,0),0)</f>
        <v>0</v>
      </c>
      <c r="G4000" s="34" t="n">
        <f aca="false">SUMIFS('12.326ana'!$C:$C,'12.326ana'!$M:$M,redes!A4000)</f>
        <v>0</v>
      </c>
    </row>
    <row r="4001" customFormat="false" ht="14.4" hidden="true" customHeight="false" outlineLevel="0" collapsed="false">
      <c r="A4001" s="34" t="n">
        <v>69607630106</v>
      </c>
      <c r="B4001" s="34" t="s">
        <v>10000</v>
      </c>
      <c r="C4001" s="34" t="s">
        <v>77</v>
      </c>
      <c r="E4001" s="30" t="s">
        <v>10001</v>
      </c>
      <c r="F4001" s="34" t="n">
        <f aca="false">IFERROR(VLOOKUP($A4001,'319'!$B:$H,7,0),0)</f>
        <v>0</v>
      </c>
      <c r="G4001" s="34" t="n">
        <f aca="false">SUMIFS('12.326ana'!$C:$C,'12.326ana'!$M:$M,redes!A4001)</f>
        <v>0</v>
      </c>
    </row>
    <row r="4002" customFormat="false" ht="14.4" hidden="true" customHeight="false" outlineLevel="0" collapsed="false">
      <c r="A4002" s="34" t="n">
        <v>69612234191</v>
      </c>
      <c r="B4002" s="34" t="s">
        <v>10002</v>
      </c>
      <c r="C4002" s="34" t="s">
        <v>77</v>
      </c>
      <c r="E4002" s="30" t="s">
        <v>3699</v>
      </c>
      <c r="F4002" s="34" t="n">
        <f aca="false">IFERROR(VLOOKUP($A4002,'319'!$B:$H,7,0),0)</f>
        <v>0</v>
      </c>
      <c r="G4002" s="34" t="n">
        <f aca="false">SUMIFS('12.326ana'!$C:$C,'12.326ana'!$M:$M,redes!A4002)</f>
        <v>0</v>
      </c>
    </row>
    <row r="4003" customFormat="false" ht="14.4" hidden="true" customHeight="false" outlineLevel="0" collapsed="false">
      <c r="A4003" s="34" t="n">
        <v>69623201168</v>
      </c>
      <c r="B4003" s="34" t="s">
        <v>10003</v>
      </c>
      <c r="C4003" s="34" t="s">
        <v>77</v>
      </c>
      <c r="E4003" s="30" t="s">
        <v>3699</v>
      </c>
      <c r="F4003" s="34" t="n">
        <f aca="false">IFERROR(VLOOKUP($A4003,'319'!$B:$H,7,0),0)</f>
        <v>0</v>
      </c>
      <c r="G4003" s="34" t="n">
        <f aca="false">SUMIFS('12.326ana'!$C:$C,'12.326ana'!$M:$M,redes!A4003)</f>
        <v>0</v>
      </c>
    </row>
    <row r="4004" customFormat="false" ht="14.4" hidden="true" customHeight="false" outlineLevel="0" collapsed="false">
      <c r="A4004" s="34" t="n">
        <v>69643920178</v>
      </c>
      <c r="B4004" s="34" t="s">
        <v>10004</v>
      </c>
      <c r="C4004" s="34" t="s">
        <v>192</v>
      </c>
      <c r="E4004" s="30" t="s">
        <v>10005</v>
      </c>
      <c r="F4004" s="34" t="n">
        <f aca="false">IFERROR(VLOOKUP($A4004,'319'!$B:$H,7,0),0)</f>
        <v>0</v>
      </c>
      <c r="G4004" s="34" t="n">
        <f aca="false">SUMIFS('12.326ana'!$C:$C,'12.326ana'!$M:$M,redes!A4004)</f>
        <v>0</v>
      </c>
    </row>
    <row r="4005" customFormat="false" ht="14.4" hidden="true" customHeight="false" outlineLevel="0" collapsed="false">
      <c r="A4005" s="34" t="n">
        <v>69666644134</v>
      </c>
      <c r="B4005" s="34" t="s">
        <v>10006</v>
      </c>
      <c r="C4005" s="34" t="s">
        <v>475</v>
      </c>
      <c r="E4005" s="30" t="s">
        <v>10007</v>
      </c>
      <c r="F4005" s="34" t="n">
        <f aca="false">IFERROR(VLOOKUP($A4005,'319'!$B:$H,7,0),0)</f>
        <v>0</v>
      </c>
      <c r="G4005" s="34" t="n">
        <f aca="false">SUMIFS('12.326ana'!$C:$C,'12.326ana'!$M:$M,redes!A4005)</f>
        <v>0</v>
      </c>
    </row>
    <row r="4006" customFormat="false" ht="14.4" hidden="true" customHeight="false" outlineLevel="0" collapsed="false">
      <c r="A4006" s="34" t="n">
        <v>69669953120</v>
      </c>
      <c r="B4006" s="34" t="s">
        <v>10008</v>
      </c>
      <c r="C4006" s="34" t="s">
        <v>631</v>
      </c>
      <c r="E4006" s="30" t="s">
        <v>10009</v>
      </c>
      <c r="F4006" s="34" t="n">
        <f aca="false">IFERROR(VLOOKUP($A4006,'319'!$B:$H,7,0),0)</f>
        <v>0</v>
      </c>
      <c r="G4006" s="34" t="n">
        <f aca="false">SUMIFS('12.326ana'!$C:$C,'12.326ana'!$M:$M,redes!A4006)</f>
        <v>0</v>
      </c>
    </row>
    <row r="4007" customFormat="false" ht="14.4" hidden="true" customHeight="false" outlineLevel="0" collapsed="false">
      <c r="A4007" s="34" t="n">
        <v>69675120134</v>
      </c>
      <c r="B4007" s="34" t="s">
        <v>10010</v>
      </c>
      <c r="C4007" s="34" t="s">
        <v>77</v>
      </c>
      <c r="E4007" s="30"/>
      <c r="F4007" s="34" t="n">
        <f aca="false">IFERROR(VLOOKUP($A4007,'319'!$B:$H,7,0),0)</f>
        <v>0</v>
      </c>
      <c r="G4007" s="34" t="n">
        <f aca="false">SUMIFS('12.326ana'!$C:$C,'12.326ana'!$M:$M,redes!A4007)</f>
        <v>0</v>
      </c>
    </row>
    <row r="4008" customFormat="false" ht="14.4" hidden="true" customHeight="false" outlineLevel="0" collapsed="false">
      <c r="A4008" s="34" t="n">
        <v>69698000100</v>
      </c>
      <c r="B4008" s="34" t="s">
        <v>10011</v>
      </c>
      <c r="C4008" s="34" t="s">
        <v>77</v>
      </c>
      <c r="E4008" s="30" t="s">
        <v>10012</v>
      </c>
      <c r="F4008" s="34" t="n">
        <f aca="false">IFERROR(VLOOKUP($A4008,'319'!$B:$H,7,0),0)</f>
        <v>0</v>
      </c>
      <c r="G4008" s="34" t="n">
        <f aca="false">SUMIFS('12.326ana'!$C:$C,'12.326ana'!$M:$M,redes!A4008)</f>
        <v>0</v>
      </c>
    </row>
    <row r="4009" customFormat="false" ht="14.4" hidden="true" customHeight="false" outlineLevel="0" collapsed="false">
      <c r="A4009" s="34" t="n">
        <v>69699453168</v>
      </c>
      <c r="B4009" s="34" t="s">
        <v>10013</v>
      </c>
      <c r="C4009" s="34" t="s">
        <v>77</v>
      </c>
      <c r="E4009" s="30" t="s">
        <v>10014</v>
      </c>
      <c r="F4009" s="34" t="n">
        <f aca="false">IFERROR(VLOOKUP($A4009,'319'!$B:$H,7,0),0)</f>
        <v>0</v>
      </c>
      <c r="G4009" s="34" t="n">
        <f aca="false">SUMIFS('12.326ana'!$C:$C,'12.326ana'!$M:$M,redes!A4009)</f>
        <v>0</v>
      </c>
    </row>
    <row r="4010" customFormat="false" ht="14.4" hidden="true" customHeight="false" outlineLevel="0" collapsed="false">
      <c r="A4010" s="34" t="n">
        <v>69700087115</v>
      </c>
      <c r="B4010" s="34" t="s">
        <v>10015</v>
      </c>
      <c r="C4010" s="34" t="s">
        <v>77</v>
      </c>
      <c r="E4010" s="30" t="s">
        <v>10016</v>
      </c>
      <c r="F4010" s="34" t="n">
        <f aca="false">IFERROR(VLOOKUP($A4010,'319'!$B:$H,7,0),0)</f>
        <v>0</v>
      </c>
      <c r="G4010" s="34" t="n">
        <f aca="false">SUMIFS('12.326ana'!$C:$C,'12.326ana'!$M:$M,redes!A4010)</f>
        <v>0</v>
      </c>
    </row>
    <row r="4011" customFormat="false" ht="14.4" hidden="true" customHeight="false" outlineLevel="0" collapsed="false">
      <c r="A4011" s="34" t="n">
        <v>69715000109</v>
      </c>
      <c r="B4011" s="34" t="s">
        <v>10017</v>
      </c>
      <c r="C4011" s="34" t="s">
        <v>213</v>
      </c>
      <c r="E4011" s="30" t="s">
        <v>10018</v>
      </c>
      <c r="F4011" s="34" t="n">
        <f aca="false">IFERROR(VLOOKUP($A4011,'319'!$B:$H,7,0),0)</f>
        <v>0</v>
      </c>
      <c r="G4011" s="34" t="n">
        <f aca="false">SUMIFS('12.326ana'!$C:$C,'12.326ana'!$M:$M,redes!A4011)</f>
        <v>0</v>
      </c>
    </row>
    <row r="4012" customFormat="false" ht="14.4" hidden="true" customHeight="false" outlineLevel="0" collapsed="false">
      <c r="A4012" s="34" t="n">
        <v>69739790178</v>
      </c>
      <c r="B4012" s="34" t="s">
        <v>10019</v>
      </c>
      <c r="C4012" s="34" t="s">
        <v>77</v>
      </c>
      <c r="E4012" s="30" t="s">
        <v>10019</v>
      </c>
      <c r="F4012" s="34" t="n">
        <f aca="false">IFERROR(VLOOKUP($A4012,'319'!$B:$H,7,0),0)</f>
        <v>0</v>
      </c>
      <c r="G4012" s="34" t="n">
        <f aca="false">SUMIFS('12.326ana'!$C:$C,'12.326ana'!$M:$M,redes!A4012)</f>
        <v>0</v>
      </c>
    </row>
    <row r="4013" customFormat="false" ht="14.4" hidden="true" customHeight="false" outlineLevel="0" collapsed="false">
      <c r="A4013" s="34" t="n">
        <v>69743398104</v>
      </c>
      <c r="B4013" s="34" t="s">
        <v>10020</v>
      </c>
      <c r="C4013" s="34" t="s">
        <v>77</v>
      </c>
      <c r="E4013" s="30"/>
      <c r="F4013" s="34" t="n">
        <f aca="false">IFERROR(VLOOKUP($A4013,'319'!$B:$H,7,0),0)</f>
        <v>0</v>
      </c>
      <c r="G4013" s="34" t="n">
        <f aca="false">SUMIFS('12.326ana'!$C:$C,'12.326ana'!$M:$M,redes!A4013)</f>
        <v>0</v>
      </c>
    </row>
    <row r="4014" customFormat="false" ht="14.4" hidden="true" customHeight="false" outlineLevel="0" collapsed="false">
      <c r="A4014" s="34" t="n">
        <v>69752729134</v>
      </c>
      <c r="B4014" s="34" t="s">
        <v>10021</v>
      </c>
      <c r="C4014" s="34" t="s">
        <v>77</v>
      </c>
      <c r="E4014" s="30" t="s">
        <v>5149</v>
      </c>
      <c r="F4014" s="34" t="n">
        <f aca="false">IFERROR(VLOOKUP($A4014,'319'!$B:$H,7,0),0)</f>
        <v>0</v>
      </c>
      <c r="G4014" s="34" t="n">
        <f aca="false">SUMIFS('12.326ana'!$C:$C,'12.326ana'!$M:$M,redes!A4014)</f>
        <v>0</v>
      </c>
    </row>
    <row r="4015" customFormat="false" ht="14.4" hidden="true" customHeight="false" outlineLevel="0" collapsed="false">
      <c r="A4015" s="34" t="n">
        <v>69781257172</v>
      </c>
      <c r="B4015" s="34" t="s">
        <v>10022</v>
      </c>
      <c r="C4015" s="34" t="s">
        <v>77</v>
      </c>
      <c r="E4015" s="30" t="s">
        <v>10023</v>
      </c>
      <c r="F4015" s="34" t="n">
        <f aca="false">IFERROR(VLOOKUP($A4015,'319'!$B:$H,7,0),0)</f>
        <v>0</v>
      </c>
      <c r="G4015" s="34" t="n">
        <f aca="false">SUMIFS('12.326ana'!$C:$C,'12.326ana'!$M:$M,redes!A4015)</f>
        <v>0</v>
      </c>
    </row>
    <row r="4016" customFormat="false" ht="14.4" hidden="true" customHeight="false" outlineLevel="0" collapsed="false">
      <c r="A4016" s="34" t="n">
        <v>69807051134</v>
      </c>
      <c r="B4016" s="34" t="s">
        <v>10024</v>
      </c>
      <c r="C4016" s="34" t="s">
        <v>77</v>
      </c>
      <c r="E4016" s="30" t="s">
        <v>3001</v>
      </c>
      <c r="F4016" s="34" t="n">
        <f aca="false">IFERROR(VLOOKUP($A4016,'319'!$B:$H,7,0),0)</f>
        <v>0</v>
      </c>
      <c r="G4016" s="34" t="n">
        <f aca="false">SUMIFS('12.326ana'!$C:$C,'12.326ana'!$M:$M,redes!A4016)</f>
        <v>0</v>
      </c>
    </row>
    <row r="4017" customFormat="false" ht="14.4" hidden="true" customHeight="false" outlineLevel="0" collapsed="false">
      <c r="A4017" s="34" t="n">
        <v>69859477191</v>
      </c>
      <c r="B4017" s="34" t="s">
        <v>10025</v>
      </c>
      <c r="C4017" s="34" t="s">
        <v>77</v>
      </c>
      <c r="E4017" s="30" t="s">
        <v>10026</v>
      </c>
      <c r="F4017" s="34" t="n">
        <f aca="false">IFERROR(VLOOKUP($A4017,'319'!$B:$H,7,0),0)</f>
        <v>0</v>
      </c>
      <c r="G4017" s="34" t="n">
        <f aca="false">SUMIFS('12.326ana'!$C:$C,'12.326ana'!$M:$M,redes!A4017)</f>
        <v>0</v>
      </c>
    </row>
    <row r="4018" customFormat="false" ht="14.4" hidden="true" customHeight="false" outlineLevel="0" collapsed="false">
      <c r="A4018" s="34" t="n">
        <v>69872414149</v>
      </c>
      <c r="B4018" s="34" t="s">
        <v>10027</v>
      </c>
      <c r="C4018" s="34" t="s">
        <v>139</v>
      </c>
      <c r="E4018" s="30" t="s">
        <v>10028</v>
      </c>
      <c r="F4018" s="34" t="n">
        <f aca="false">IFERROR(VLOOKUP($A4018,'319'!$B:$H,7,0),0)</f>
        <v>0</v>
      </c>
      <c r="G4018" s="34" t="n">
        <f aca="false">SUMIFS('12.326ana'!$C:$C,'12.326ana'!$M:$M,redes!A4018)</f>
        <v>0</v>
      </c>
    </row>
    <row r="4019" customFormat="false" ht="14.4" hidden="true" customHeight="false" outlineLevel="0" collapsed="false">
      <c r="A4019" s="34" t="n">
        <v>69876223100</v>
      </c>
      <c r="B4019" s="34" t="s">
        <v>10029</v>
      </c>
      <c r="C4019" s="34" t="s">
        <v>77</v>
      </c>
      <c r="E4019" s="30" t="s">
        <v>10030</v>
      </c>
      <c r="F4019" s="34" t="n">
        <f aca="false">IFERROR(VLOOKUP($A4019,'319'!$B:$H,7,0),0)</f>
        <v>0</v>
      </c>
      <c r="G4019" s="34" t="n">
        <f aca="false">SUMIFS('12.326ana'!$C:$C,'12.326ana'!$M:$M,redes!A4019)</f>
        <v>0</v>
      </c>
    </row>
    <row r="4020" customFormat="false" ht="14.4" hidden="true" customHeight="false" outlineLevel="0" collapsed="false">
      <c r="A4020" s="34" t="n">
        <v>69876851187</v>
      </c>
      <c r="B4020" s="34" t="s">
        <v>10031</v>
      </c>
      <c r="C4020" s="34" t="s">
        <v>77</v>
      </c>
      <c r="E4020" s="30" t="s">
        <v>10032</v>
      </c>
      <c r="F4020" s="34" t="n">
        <f aca="false">IFERROR(VLOOKUP($A4020,'319'!$B:$H,7,0),0)</f>
        <v>0</v>
      </c>
      <c r="G4020" s="34" t="n">
        <f aca="false">SUMIFS('12.326ana'!$C:$C,'12.326ana'!$M:$M,redes!A4020)</f>
        <v>0</v>
      </c>
    </row>
    <row r="4021" customFormat="false" ht="14.4" hidden="true" customHeight="false" outlineLevel="0" collapsed="false">
      <c r="A4021" s="34" t="n">
        <v>69882932134</v>
      </c>
      <c r="B4021" s="34" t="s">
        <v>10033</v>
      </c>
      <c r="C4021" s="34" t="s">
        <v>77</v>
      </c>
      <c r="E4021" s="30" t="s">
        <v>10034</v>
      </c>
      <c r="F4021" s="34" t="n">
        <f aca="false">IFERROR(VLOOKUP($A4021,'319'!$B:$H,7,0),0)</f>
        <v>0</v>
      </c>
      <c r="G4021" s="34" t="n">
        <f aca="false">SUMIFS('12.326ana'!$C:$C,'12.326ana'!$M:$M,redes!A4021)</f>
        <v>0</v>
      </c>
    </row>
    <row r="4022" customFormat="false" ht="14.4" hidden="true" customHeight="false" outlineLevel="0" collapsed="false">
      <c r="A4022" s="34" t="n">
        <v>69893004187</v>
      </c>
      <c r="B4022" s="34" t="s">
        <v>10035</v>
      </c>
      <c r="C4022" s="34" t="s">
        <v>107</v>
      </c>
      <c r="E4022" s="30" t="s">
        <v>10036</v>
      </c>
      <c r="F4022" s="34" t="n">
        <f aca="false">IFERROR(VLOOKUP($A4022,'319'!$B:$H,7,0),0)</f>
        <v>0</v>
      </c>
      <c r="G4022" s="34" t="n">
        <f aca="false">SUMIFS('12.326ana'!$C:$C,'12.326ana'!$M:$M,redes!A4022)</f>
        <v>0</v>
      </c>
    </row>
    <row r="4023" customFormat="false" ht="14.4" hidden="true" customHeight="false" outlineLevel="0" collapsed="false">
      <c r="A4023" s="34" t="n">
        <v>69896909172</v>
      </c>
      <c r="B4023" s="34" t="s">
        <v>10037</v>
      </c>
      <c r="C4023" s="34" t="s">
        <v>1680</v>
      </c>
      <c r="E4023" s="30" t="s">
        <v>10038</v>
      </c>
      <c r="F4023" s="34" t="n">
        <f aca="false">IFERROR(VLOOKUP($A4023,'319'!$B:$H,7,0),0)</f>
        <v>0</v>
      </c>
      <c r="G4023" s="34" t="n">
        <f aca="false">SUMIFS('12.326ana'!$C:$C,'12.326ana'!$M:$M,redes!A4023)</f>
        <v>0</v>
      </c>
    </row>
    <row r="4024" customFormat="false" ht="14.4" hidden="true" customHeight="false" outlineLevel="0" collapsed="false">
      <c r="A4024" s="34" t="n">
        <v>69935076172</v>
      </c>
      <c r="B4024" s="34" t="s">
        <v>10039</v>
      </c>
      <c r="C4024" s="34" t="s">
        <v>631</v>
      </c>
      <c r="E4024" s="30" t="s">
        <v>3540</v>
      </c>
      <c r="F4024" s="34" t="n">
        <f aca="false">IFERROR(VLOOKUP($A4024,'319'!$B:$H,7,0),0)</f>
        <v>0</v>
      </c>
      <c r="G4024" s="34" t="n">
        <f aca="false">SUMIFS('12.326ana'!$C:$C,'12.326ana'!$M:$M,redes!A4024)</f>
        <v>0</v>
      </c>
    </row>
    <row r="4025" customFormat="false" ht="14.4" hidden="true" customHeight="false" outlineLevel="0" collapsed="false">
      <c r="A4025" s="34" t="n">
        <v>69954313168</v>
      </c>
      <c r="B4025" s="34" t="s">
        <v>10040</v>
      </c>
      <c r="C4025" s="34" t="s">
        <v>77</v>
      </c>
      <c r="E4025" s="30" t="s">
        <v>10041</v>
      </c>
      <c r="F4025" s="34" t="n">
        <f aca="false">IFERROR(VLOOKUP($A4025,'319'!$B:$H,7,0),0)</f>
        <v>0</v>
      </c>
      <c r="G4025" s="34" t="n">
        <f aca="false">SUMIFS('12.326ana'!$C:$C,'12.326ana'!$M:$M,redes!A4025)</f>
        <v>0</v>
      </c>
    </row>
    <row r="4026" customFormat="false" ht="14.4" hidden="true" customHeight="false" outlineLevel="0" collapsed="false">
      <c r="A4026" s="34" t="n">
        <v>69957096168</v>
      </c>
      <c r="B4026" s="34" t="s">
        <v>10042</v>
      </c>
      <c r="C4026" s="34" t="s">
        <v>581</v>
      </c>
      <c r="E4026" s="30"/>
      <c r="F4026" s="34" t="n">
        <f aca="false">IFERROR(VLOOKUP($A4026,'319'!$B:$H,7,0),0)</f>
        <v>0</v>
      </c>
      <c r="G4026" s="34" t="n">
        <f aca="false">SUMIFS('12.326ana'!$C:$C,'12.326ana'!$M:$M,redes!A4026)</f>
        <v>0</v>
      </c>
    </row>
    <row r="4027" customFormat="false" ht="14.4" hidden="true" customHeight="false" outlineLevel="0" collapsed="false">
      <c r="A4027" s="34" t="n">
        <v>69978964053</v>
      </c>
      <c r="B4027" s="34" t="s">
        <v>10043</v>
      </c>
      <c r="C4027" s="34" t="s">
        <v>377</v>
      </c>
      <c r="E4027" s="30"/>
      <c r="F4027" s="34" t="n">
        <f aca="false">IFERROR(VLOOKUP($A4027,'319'!$B:$H,7,0),0)</f>
        <v>0</v>
      </c>
      <c r="G4027" s="34" t="n">
        <f aca="false">SUMIFS('12.326ana'!$C:$C,'12.326ana'!$M:$M,redes!A4027)</f>
        <v>0</v>
      </c>
    </row>
    <row r="4028" customFormat="false" ht="14.4" hidden="true" customHeight="false" outlineLevel="0" collapsed="false">
      <c r="A4028" s="34" t="n">
        <v>69986428149</v>
      </c>
      <c r="B4028" s="34" t="s">
        <v>10044</v>
      </c>
      <c r="C4028" s="34" t="s">
        <v>107</v>
      </c>
      <c r="E4028" s="30" t="s">
        <v>10045</v>
      </c>
      <c r="F4028" s="34" t="n">
        <f aca="false">IFERROR(VLOOKUP($A4028,'319'!$B:$H,7,0),0)</f>
        <v>0</v>
      </c>
      <c r="G4028" s="34" t="n">
        <f aca="false">SUMIFS('12.326ana'!$C:$C,'12.326ana'!$M:$M,redes!A4028)</f>
        <v>0</v>
      </c>
    </row>
    <row r="4029" customFormat="false" ht="14.4" hidden="true" customHeight="false" outlineLevel="0" collapsed="false">
      <c r="A4029" s="34" t="n">
        <v>70017182115</v>
      </c>
      <c r="B4029" s="34" t="s">
        <v>10046</v>
      </c>
      <c r="C4029" s="34" t="s">
        <v>77</v>
      </c>
      <c r="E4029" s="30" t="s">
        <v>10047</v>
      </c>
      <c r="F4029" s="34" t="n">
        <f aca="false">IFERROR(VLOOKUP($A4029,'319'!$B:$H,7,0),0)</f>
        <v>0</v>
      </c>
      <c r="G4029" s="34" t="n">
        <f aca="false">SUMIFS('12.326ana'!$C:$C,'12.326ana'!$M:$M,redes!A4029)</f>
        <v>0</v>
      </c>
    </row>
    <row r="4030" customFormat="false" ht="14.4" hidden="true" customHeight="false" outlineLevel="0" collapsed="false">
      <c r="A4030" s="34" t="n">
        <v>70020496150</v>
      </c>
      <c r="B4030" s="34" t="s">
        <v>10048</v>
      </c>
      <c r="C4030" s="34" t="s">
        <v>77</v>
      </c>
      <c r="E4030" s="30" t="s">
        <v>3143</v>
      </c>
      <c r="F4030" s="34" t="n">
        <f aca="false">IFERROR(VLOOKUP($A4030,'319'!$B:$H,7,0),0)</f>
        <v>0</v>
      </c>
      <c r="G4030" s="34" t="n">
        <f aca="false">SUMIFS('12.326ana'!$C:$C,'12.326ana'!$M:$M,redes!A4030)</f>
        <v>0</v>
      </c>
    </row>
    <row r="4031" customFormat="false" ht="14.4" hidden="true" customHeight="false" outlineLevel="0" collapsed="false">
      <c r="A4031" s="34" t="n">
        <v>70022348115</v>
      </c>
      <c r="B4031" s="34" t="s">
        <v>10049</v>
      </c>
      <c r="C4031" s="34" t="s">
        <v>77</v>
      </c>
      <c r="E4031" s="30" t="s">
        <v>10050</v>
      </c>
      <c r="F4031" s="34" t="n">
        <f aca="false">IFERROR(VLOOKUP($A4031,'319'!$B:$H,7,0),0)</f>
        <v>0</v>
      </c>
      <c r="G4031" s="34" t="n">
        <f aca="false">SUMIFS('12.326ana'!$C:$C,'12.326ana'!$M:$M,redes!A4031)</f>
        <v>0</v>
      </c>
    </row>
    <row r="4032" customFormat="false" ht="14.4" hidden="true" customHeight="false" outlineLevel="0" collapsed="false">
      <c r="A4032" s="34" t="n">
        <v>70068790198</v>
      </c>
      <c r="B4032" s="34" t="s">
        <v>10051</v>
      </c>
      <c r="C4032" s="34" t="s">
        <v>107</v>
      </c>
      <c r="E4032" s="30" t="s">
        <v>10052</v>
      </c>
      <c r="F4032" s="34" t="n">
        <f aca="false">IFERROR(VLOOKUP($A4032,'319'!$B:$H,7,0),0)</f>
        <v>0</v>
      </c>
      <c r="G4032" s="34" t="n">
        <f aca="false">SUMIFS('12.326ana'!$C:$C,'12.326ana'!$M:$M,redes!A4032)</f>
        <v>0</v>
      </c>
    </row>
    <row r="4033" customFormat="false" ht="14.4" hidden="true" customHeight="false" outlineLevel="0" collapsed="false">
      <c r="A4033" s="34" t="n">
        <v>70083029168</v>
      </c>
      <c r="B4033" s="34" t="s">
        <v>10053</v>
      </c>
      <c r="C4033" s="34" t="s">
        <v>77</v>
      </c>
      <c r="E4033" s="30" t="s">
        <v>10054</v>
      </c>
      <c r="F4033" s="34" t="n">
        <f aca="false">IFERROR(VLOOKUP($A4033,'319'!$B:$H,7,0),0)</f>
        <v>0</v>
      </c>
      <c r="G4033" s="34" t="n">
        <f aca="false">SUMIFS('12.326ana'!$C:$C,'12.326ana'!$M:$M,redes!A4033)</f>
        <v>0</v>
      </c>
    </row>
    <row r="4034" customFormat="false" ht="14.4" hidden="true" customHeight="false" outlineLevel="0" collapsed="false">
      <c r="A4034" s="34" t="n">
        <v>70110620178</v>
      </c>
      <c r="B4034" s="34" t="s">
        <v>10055</v>
      </c>
      <c r="C4034" s="34" t="s">
        <v>77</v>
      </c>
      <c r="E4034" s="30" t="s">
        <v>10056</v>
      </c>
      <c r="F4034" s="34" t="n">
        <f aca="false">IFERROR(VLOOKUP($A4034,'319'!$B:$H,7,0),0)</f>
        <v>0</v>
      </c>
      <c r="G4034" s="34" t="n">
        <f aca="false">SUMIFS('12.326ana'!$C:$C,'12.326ana'!$M:$M,redes!A4034)</f>
        <v>0</v>
      </c>
    </row>
    <row r="4035" customFormat="false" ht="14.4" hidden="true" customHeight="false" outlineLevel="0" collapsed="false">
      <c r="A4035" s="34" t="n">
        <v>70113857110</v>
      </c>
      <c r="B4035" s="34" t="s">
        <v>10057</v>
      </c>
      <c r="C4035" s="34" t="s">
        <v>103</v>
      </c>
      <c r="E4035" s="30" t="s">
        <v>3337</v>
      </c>
      <c r="F4035" s="34" t="n">
        <f aca="false">IFERROR(VLOOKUP($A4035,'319'!$B:$H,7,0),0)</f>
        <v>0</v>
      </c>
      <c r="G4035" s="34" t="n">
        <f aca="false">SUMIFS('12.326ana'!$C:$C,'12.326ana'!$M:$M,redes!A4035)</f>
        <v>0</v>
      </c>
    </row>
    <row r="4036" customFormat="false" ht="14.4" hidden="true" customHeight="false" outlineLevel="0" collapsed="false">
      <c r="A4036" s="34" t="n">
        <v>70115028153</v>
      </c>
      <c r="B4036" s="34" t="s">
        <v>10058</v>
      </c>
      <c r="C4036" s="34" t="s">
        <v>77</v>
      </c>
      <c r="E4036" s="30" t="s">
        <v>4276</v>
      </c>
      <c r="F4036" s="34" t="n">
        <f aca="false">IFERROR(VLOOKUP($A4036,'319'!$B:$H,7,0),0)</f>
        <v>0</v>
      </c>
      <c r="G4036" s="34" t="n">
        <f aca="false">SUMIFS('12.326ana'!$C:$C,'12.326ana'!$M:$M,redes!A4036)</f>
        <v>0</v>
      </c>
    </row>
    <row r="4037" customFormat="false" ht="14.4" hidden="true" customHeight="false" outlineLevel="0" collapsed="false">
      <c r="A4037" s="34" t="n">
        <v>70146691172</v>
      </c>
      <c r="B4037" s="34" t="s">
        <v>10059</v>
      </c>
      <c r="C4037" s="34" t="s">
        <v>77</v>
      </c>
      <c r="E4037" s="30" t="s">
        <v>10060</v>
      </c>
      <c r="F4037" s="34" t="n">
        <f aca="false">IFERROR(VLOOKUP($A4037,'319'!$B:$H,7,0),0)</f>
        <v>0</v>
      </c>
      <c r="G4037" s="34" t="n">
        <f aca="false">SUMIFS('12.326ana'!$C:$C,'12.326ana'!$M:$M,redes!A4037)</f>
        <v>0</v>
      </c>
    </row>
    <row r="4038" customFormat="false" ht="14.4" hidden="true" customHeight="false" outlineLevel="0" collapsed="false">
      <c r="A4038" s="34" t="n">
        <v>70171505115</v>
      </c>
      <c r="B4038" s="34" t="s">
        <v>10061</v>
      </c>
      <c r="C4038" s="34" t="s">
        <v>1272</v>
      </c>
      <c r="E4038" s="30" t="s">
        <v>10062</v>
      </c>
      <c r="F4038" s="34" t="n">
        <f aca="false">IFERROR(VLOOKUP($A4038,'319'!$B:$H,7,0),0)</f>
        <v>0</v>
      </c>
      <c r="G4038" s="34" t="n">
        <f aca="false">SUMIFS('12.326ana'!$C:$C,'12.326ana'!$M:$M,redes!A4038)</f>
        <v>0</v>
      </c>
    </row>
    <row r="4039" customFormat="false" ht="14.4" hidden="true" customHeight="false" outlineLevel="0" collapsed="false">
      <c r="A4039" s="34" t="n">
        <v>70187274134</v>
      </c>
      <c r="B4039" s="34" t="s">
        <v>10063</v>
      </c>
      <c r="C4039" s="34" t="s">
        <v>197</v>
      </c>
      <c r="E4039" s="30" t="s">
        <v>10064</v>
      </c>
      <c r="F4039" s="34" t="n">
        <f aca="false">IFERROR(VLOOKUP($A4039,'319'!$B:$H,7,0),0)</f>
        <v>0</v>
      </c>
      <c r="G4039" s="34" t="n">
        <f aca="false">SUMIFS('12.326ana'!$C:$C,'12.326ana'!$M:$M,redes!A4039)</f>
        <v>0</v>
      </c>
    </row>
    <row r="4040" customFormat="false" ht="14.4" hidden="true" customHeight="false" outlineLevel="0" collapsed="false">
      <c r="A4040" s="34" t="n">
        <v>70254885187</v>
      </c>
      <c r="B4040" s="34" t="s">
        <v>10065</v>
      </c>
      <c r="C4040" s="34" t="s">
        <v>77</v>
      </c>
      <c r="E4040" s="30" t="s">
        <v>10066</v>
      </c>
      <c r="F4040" s="34" t="n">
        <f aca="false">IFERROR(VLOOKUP($A4040,'319'!$B:$H,7,0),0)</f>
        <v>0</v>
      </c>
      <c r="G4040" s="34" t="n">
        <f aca="false">SUMIFS('12.326ana'!$C:$C,'12.326ana'!$M:$M,redes!A4040)</f>
        <v>0</v>
      </c>
    </row>
    <row r="4041" customFormat="false" ht="14.4" hidden="true" customHeight="false" outlineLevel="0" collapsed="false">
      <c r="A4041" s="34" t="n">
        <v>70278075134</v>
      </c>
      <c r="B4041" s="34" t="s">
        <v>10067</v>
      </c>
      <c r="C4041" s="34" t="s">
        <v>77</v>
      </c>
      <c r="E4041" s="30" t="s">
        <v>10068</v>
      </c>
      <c r="F4041" s="34" t="n">
        <f aca="false">IFERROR(VLOOKUP($A4041,'319'!$B:$H,7,0),0)</f>
        <v>0</v>
      </c>
      <c r="G4041" s="34" t="n">
        <f aca="false">SUMIFS('12.326ana'!$C:$C,'12.326ana'!$M:$M,redes!A4041)</f>
        <v>0</v>
      </c>
    </row>
    <row r="4042" customFormat="false" ht="14.4" hidden="true" customHeight="false" outlineLevel="0" collapsed="false">
      <c r="A4042" s="34" t="n">
        <v>70294666168</v>
      </c>
      <c r="B4042" s="34" t="s">
        <v>10069</v>
      </c>
      <c r="C4042" s="34" t="s">
        <v>475</v>
      </c>
      <c r="E4042" s="30" t="s">
        <v>10070</v>
      </c>
      <c r="F4042" s="34" t="n">
        <f aca="false">IFERROR(VLOOKUP($A4042,'319'!$B:$H,7,0),0)</f>
        <v>0</v>
      </c>
      <c r="G4042" s="34" t="n">
        <f aca="false">SUMIFS('12.326ana'!$C:$C,'12.326ana'!$M:$M,redes!A4042)</f>
        <v>0</v>
      </c>
    </row>
    <row r="4043" customFormat="false" ht="14.4" hidden="true" customHeight="false" outlineLevel="0" collapsed="false">
      <c r="A4043" s="34" t="n">
        <v>70307679187</v>
      </c>
      <c r="B4043" s="34" t="s">
        <v>10071</v>
      </c>
      <c r="C4043" s="34" t="s">
        <v>77</v>
      </c>
      <c r="E4043" s="30" t="s">
        <v>10072</v>
      </c>
      <c r="F4043" s="34" t="n">
        <f aca="false">IFERROR(VLOOKUP($A4043,'319'!$B:$H,7,0),0)</f>
        <v>0</v>
      </c>
      <c r="G4043" s="34" t="n">
        <f aca="false">SUMIFS('12.326ana'!$C:$C,'12.326ana'!$M:$M,redes!A4043)</f>
        <v>0</v>
      </c>
    </row>
    <row r="4044" customFormat="false" ht="14.4" hidden="true" customHeight="false" outlineLevel="0" collapsed="false">
      <c r="A4044" s="34" t="n">
        <v>70337896100</v>
      </c>
      <c r="B4044" s="34" t="s">
        <v>10073</v>
      </c>
      <c r="C4044" s="34" t="s">
        <v>107</v>
      </c>
      <c r="E4044" s="30" t="s">
        <v>10074</v>
      </c>
      <c r="F4044" s="34" t="n">
        <f aca="false">IFERROR(VLOOKUP($A4044,'319'!$B:$H,7,0),0)</f>
        <v>0</v>
      </c>
      <c r="G4044" s="34" t="n">
        <f aca="false">SUMIFS('12.326ana'!$C:$C,'12.326ana'!$M:$M,redes!A4044)</f>
        <v>0</v>
      </c>
    </row>
    <row r="4045" customFormat="false" ht="14.4" hidden="true" customHeight="false" outlineLevel="0" collapsed="false">
      <c r="A4045" s="34" t="n">
        <v>70339830182</v>
      </c>
      <c r="B4045" s="34" t="s">
        <v>10075</v>
      </c>
      <c r="C4045" s="34" t="s">
        <v>129</v>
      </c>
      <c r="E4045" s="30" t="s">
        <v>10076</v>
      </c>
      <c r="F4045" s="34" t="n">
        <f aca="false">IFERROR(VLOOKUP($A4045,'319'!$B:$H,7,0),0)</f>
        <v>0</v>
      </c>
      <c r="G4045" s="34" t="n">
        <f aca="false">SUMIFS('12.326ana'!$C:$C,'12.326ana'!$M:$M,redes!A4045)</f>
        <v>0</v>
      </c>
    </row>
    <row r="4046" customFormat="false" ht="14.4" hidden="true" customHeight="false" outlineLevel="0" collapsed="false">
      <c r="A4046" s="34" t="n">
        <v>70366683187</v>
      </c>
      <c r="B4046" s="34" t="s">
        <v>10077</v>
      </c>
      <c r="C4046" s="34" t="s">
        <v>77</v>
      </c>
      <c r="E4046" s="30" t="s">
        <v>10078</v>
      </c>
      <c r="F4046" s="34" t="n">
        <f aca="false">IFERROR(VLOOKUP($A4046,'319'!$B:$H,7,0),0)</f>
        <v>0</v>
      </c>
      <c r="G4046" s="34" t="n">
        <f aca="false">SUMIFS('12.326ana'!$C:$C,'12.326ana'!$M:$M,redes!A4046)</f>
        <v>0</v>
      </c>
    </row>
    <row r="4047" customFormat="false" ht="14.4" hidden="true" customHeight="false" outlineLevel="0" collapsed="false">
      <c r="A4047" s="34" t="n">
        <v>70416000186</v>
      </c>
      <c r="B4047" s="34" t="s">
        <v>10079</v>
      </c>
      <c r="C4047" s="34" t="s">
        <v>351</v>
      </c>
      <c r="E4047" s="30" t="s">
        <v>10080</v>
      </c>
      <c r="F4047" s="34" t="n">
        <f aca="false">IFERROR(VLOOKUP($A4047,'319'!$B:$H,7,0),0)</f>
        <v>0</v>
      </c>
      <c r="G4047" s="34" t="n">
        <f aca="false">SUMIFS('12.326ana'!$C:$C,'12.326ana'!$M:$M,redes!A4047)</f>
        <v>0</v>
      </c>
    </row>
    <row r="4048" customFormat="false" ht="14.4" hidden="true" customHeight="false" outlineLevel="0" collapsed="false">
      <c r="A4048" s="34" t="n">
        <v>70416303153</v>
      </c>
      <c r="B4048" s="34" t="s">
        <v>10081</v>
      </c>
      <c r="C4048" s="34" t="s">
        <v>192</v>
      </c>
      <c r="E4048" s="30" t="s">
        <v>10082</v>
      </c>
      <c r="F4048" s="34" t="n">
        <f aca="false">IFERROR(VLOOKUP($A4048,'319'!$B:$H,7,0),0)</f>
        <v>0</v>
      </c>
      <c r="G4048" s="34" t="n">
        <f aca="false">SUMIFS('12.326ana'!$C:$C,'12.326ana'!$M:$M,redes!A4048)</f>
        <v>0</v>
      </c>
    </row>
    <row r="4049" customFormat="false" ht="14.4" hidden="true" customHeight="false" outlineLevel="0" collapsed="false">
      <c r="A4049" s="34" t="n">
        <v>70421000199</v>
      </c>
      <c r="B4049" s="34" t="s">
        <v>10083</v>
      </c>
      <c r="C4049" s="34" t="s">
        <v>377</v>
      </c>
      <c r="E4049" s="30" t="s">
        <v>10084</v>
      </c>
      <c r="F4049" s="34" t="n">
        <f aca="false">IFERROR(VLOOKUP($A4049,'319'!$B:$H,7,0),0)</f>
        <v>0</v>
      </c>
      <c r="G4049" s="34" t="n">
        <f aca="false">SUMIFS('12.326ana'!$C:$C,'12.326ana'!$M:$M,redes!A4049)</f>
        <v>0</v>
      </c>
    </row>
    <row r="4050" customFormat="false" ht="14.4" hidden="true" customHeight="false" outlineLevel="0" collapsed="false">
      <c r="A4050" s="34" t="n">
        <v>70428085172</v>
      </c>
      <c r="B4050" s="34" t="s">
        <v>10085</v>
      </c>
      <c r="C4050" s="34" t="s">
        <v>77</v>
      </c>
      <c r="E4050" s="30" t="s">
        <v>10086</v>
      </c>
      <c r="F4050" s="34" t="n">
        <f aca="false">IFERROR(VLOOKUP($A4050,'319'!$B:$H,7,0),0)</f>
        <v>0</v>
      </c>
      <c r="G4050" s="34" t="n">
        <f aca="false">SUMIFS('12.326ana'!$C:$C,'12.326ana'!$M:$M,redes!A4050)</f>
        <v>0</v>
      </c>
    </row>
    <row r="4051" customFormat="false" ht="14.4" hidden="true" customHeight="false" outlineLevel="0" collapsed="false">
      <c r="A4051" s="34" t="n">
        <v>70432864849</v>
      </c>
      <c r="B4051" s="34" t="s">
        <v>10087</v>
      </c>
      <c r="C4051" s="34" t="s">
        <v>744</v>
      </c>
      <c r="E4051" s="30" t="s">
        <v>10088</v>
      </c>
      <c r="F4051" s="34" t="n">
        <f aca="false">IFERROR(VLOOKUP($A4051,'319'!$B:$H,7,0),0)</f>
        <v>0</v>
      </c>
      <c r="G4051" s="34" t="n">
        <f aca="false">SUMIFS('12.326ana'!$C:$C,'12.326ana'!$M:$M,redes!A4051)</f>
        <v>0</v>
      </c>
    </row>
    <row r="4052" customFormat="false" ht="14.4" hidden="true" customHeight="false" outlineLevel="0" collapsed="false">
      <c r="A4052" s="34" t="n">
        <v>70445923849</v>
      </c>
      <c r="B4052" s="34" t="s">
        <v>10089</v>
      </c>
      <c r="C4052" s="34" t="s">
        <v>77</v>
      </c>
      <c r="E4052" s="30"/>
      <c r="F4052" s="34" t="n">
        <f aca="false">IFERROR(VLOOKUP($A4052,'319'!$B:$H,7,0),0)</f>
        <v>0</v>
      </c>
      <c r="G4052" s="34" t="n">
        <f aca="false">SUMIFS('12.326ana'!$C:$C,'12.326ana'!$M:$M,redes!A4052)</f>
        <v>0</v>
      </c>
    </row>
    <row r="4053" customFormat="false" ht="14.4" hidden="true" customHeight="false" outlineLevel="0" collapsed="false">
      <c r="A4053" s="34" t="n">
        <v>70473226120</v>
      </c>
      <c r="B4053" s="34" t="s">
        <v>10090</v>
      </c>
      <c r="C4053" s="34" t="s">
        <v>77</v>
      </c>
      <c r="E4053" s="30" t="s">
        <v>3922</v>
      </c>
      <c r="F4053" s="34" t="n">
        <f aca="false">IFERROR(VLOOKUP($A4053,'319'!$B:$H,7,0),0)</f>
        <v>0</v>
      </c>
      <c r="G4053" s="34" t="n">
        <f aca="false">SUMIFS('12.326ana'!$C:$C,'12.326ana'!$M:$M,redes!A4053)</f>
        <v>0</v>
      </c>
    </row>
    <row r="4054" customFormat="false" ht="14.4" hidden="true" customHeight="false" outlineLevel="0" collapsed="false">
      <c r="A4054" s="34" t="n">
        <v>70499519191</v>
      </c>
      <c r="B4054" s="34" t="s">
        <v>10091</v>
      </c>
      <c r="C4054" s="34" t="s">
        <v>103</v>
      </c>
      <c r="E4054" s="30" t="s">
        <v>10092</v>
      </c>
      <c r="F4054" s="34" t="n">
        <f aca="false">IFERROR(VLOOKUP($A4054,'319'!$B:$H,7,0),0)</f>
        <v>0</v>
      </c>
      <c r="G4054" s="34" t="n">
        <f aca="false">SUMIFS('12.326ana'!$C:$C,'12.326ana'!$M:$M,redes!A4054)</f>
        <v>0</v>
      </c>
    </row>
    <row r="4055" customFormat="false" ht="14.4" hidden="true" customHeight="false" outlineLevel="0" collapsed="false">
      <c r="A4055" s="34" t="n">
        <v>70500320187</v>
      </c>
      <c r="B4055" s="34" t="s">
        <v>10093</v>
      </c>
      <c r="C4055" s="34" t="s">
        <v>77</v>
      </c>
      <c r="E4055" s="30" t="s">
        <v>5070</v>
      </c>
      <c r="F4055" s="34" t="n">
        <f aca="false">IFERROR(VLOOKUP($A4055,'319'!$B:$H,7,0),0)</f>
        <v>0</v>
      </c>
      <c r="G4055" s="34" t="n">
        <f aca="false">SUMIFS('12.326ana'!$C:$C,'12.326ana'!$M:$M,redes!A4055)</f>
        <v>0</v>
      </c>
    </row>
    <row r="4056" customFormat="false" ht="14.4" hidden="true" customHeight="false" outlineLevel="0" collapsed="false">
      <c r="A4056" s="34" t="n">
        <v>70500339104</v>
      </c>
      <c r="B4056" s="34" t="s">
        <v>10094</v>
      </c>
      <c r="C4056" s="34" t="s">
        <v>77</v>
      </c>
      <c r="E4056" s="30" t="s">
        <v>10095</v>
      </c>
      <c r="F4056" s="34" t="n">
        <f aca="false">IFERROR(VLOOKUP($A4056,'319'!$B:$H,7,0),0)</f>
        <v>0</v>
      </c>
      <c r="G4056" s="34" t="n">
        <f aca="false">SUMIFS('12.326ana'!$C:$C,'12.326ana'!$M:$M,redes!A4056)</f>
        <v>0</v>
      </c>
    </row>
    <row r="4057" customFormat="false" ht="14.4" hidden="true" customHeight="false" outlineLevel="0" collapsed="false">
      <c r="A4057" s="34" t="n">
        <v>70511713134</v>
      </c>
      <c r="B4057" s="34" t="s">
        <v>10096</v>
      </c>
      <c r="C4057" s="34" t="s">
        <v>631</v>
      </c>
      <c r="E4057" s="30" t="s">
        <v>10097</v>
      </c>
      <c r="F4057" s="34" t="n">
        <f aca="false">IFERROR(VLOOKUP($A4057,'319'!$B:$H,7,0),0)</f>
        <v>0</v>
      </c>
      <c r="G4057" s="34" t="n">
        <f aca="false">SUMIFS('12.326ana'!$C:$C,'12.326ana'!$M:$M,redes!A4057)</f>
        <v>0</v>
      </c>
    </row>
    <row r="4058" customFormat="false" ht="14.4" hidden="true" customHeight="false" outlineLevel="0" collapsed="false">
      <c r="A4058" s="34" t="n">
        <v>70532508149</v>
      </c>
      <c r="B4058" s="34" t="s">
        <v>10098</v>
      </c>
      <c r="C4058" s="34" t="s">
        <v>4139</v>
      </c>
      <c r="E4058" s="30" t="s">
        <v>10099</v>
      </c>
      <c r="F4058" s="34" t="n">
        <f aca="false">IFERROR(VLOOKUP($A4058,'319'!$B:$H,7,0),0)</f>
        <v>0</v>
      </c>
      <c r="G4058" s="34" t="n">
        <f aca="false">SUMIFS('12.326ana'!$C:$C,'12.326ana'!$M:$M,redes!A4058)</f>
        <v>0</v>
      </c>
    </row>
    <row r="4059" customFormat="false" ht="14.4" hidden="true" customHeight="false" outlineLevel="0" collapsed="false">
      <c r="A4059" s="34" t="n">
        <v>70536406120</v>
      </c>
      <c r="B4059" s="34" t="s">
        <v>10100</v>
      </c>
      <c r="C4059" s="34" t="s">
        <v>463</v>
      </c>
      <c r="E4059" s="30" t="s">
        <v>10101</v>
      </c>
      <c r="F4059" s="34" t="n">
        <f aca="false">IFERROR(VLOOKUP($A4059,'319'!$B:$H,7,0),0)</f>
        <v>0</v>
      </c>
      <c r="G4059" s="34" t="n">
        <f aca="false">SUMIFS('12.326ana'!$C:$C,'12.326ana'!$M:$M,redes!A4059)</f>
        <v>0</v>
      </c>
    </row>
    <row r="4060" customFormat="false" ht="14.4" hidden="true" customHeight="false" outlineLevel="0" collapsed="false">
      <c r="A4060" s="34" t="n">
        <v>70541981153</v>
      </c>
      <c r="B4060" s="34" t="s">
        <v>10102</v>
      </c>
      <c r="C4060" s="34" t="s">
        <v>10103</v>
      </c>
      <c r="E4060" s="30" t="s">
        <v>10104</v>
      </c>
      <c r="F4060" s="34" t="n">
        <f aca="false">IFERROR(VLOOKUP($A4060,'319'!$B:$H,7,0),0)</f>
        <v>0</v>
      </c>
      <c r="G4060" s="34" t="n">
        <f aca="false">SUMIFS('12.326ana'!$C:$C,'12.326ana'!$M:$M,redes!A4060)</f>
        <v>0</v>
      </c>
    </row>
    <row r="4061" customFormat="false" ht="14.4" hidden="true" customHeight="false" outlineLevel="0" collapsed="false">
      <c r="A4061" s="34" t="n">
        <v>70588260134</v>
      </c>
      <c r="B4061" s="34" t="s">
        <v>10105</v>
      </c>
      <c r="C4061" s="34" t="s">
        <v>77</v>
      </c>
      <c r="E4061" s="30" t="s">
        <v>10106</v>
      </c>
      <c r="F4061" s="34" t="n">
        <f aca="false">IFERROR(VLOOKUP($A4061,'319'!$B:$H,7,0),0)</f>
        <v>0</v>
      </c>
      <c r="G4061" s="34" t="n">
        <f aca="false">SUMIFS('12.326ana'!$C:$C,'12.326ana'!$M:$M,redes!A4061)</f>
        <v>0</v>
      </c>
    </row>
    <row r="4062" customFormat="false" ht="14.4" hidden="true" customHeight="false" outlineLevel="0" collapsed="false">
      <c r="A4062" s="34" t="n">
        <v>70595950159</v>
      </c>
      <c r="B4062" s="34" t="s">
        <v>10107</v>
      </c>
      <c r="C4062" s="34" t="s">
        <v>77</v>
      </c>
      <c r="E4062" s="30" t="s">
        <v>9361</v>
      </c>
      <c r="F4062" s="34" t="n">
        <f aca="false">IFERROR(VLOOKUP($A4062,'319'!$B:$H,7,0),0)</f>
        <v>0</v>
      </c>
      <c r="G4062" s="34" t="n">
        <f aca="false">SUMIFS('12.326ana'!$C:$C,'12.326ana'!$M:$M,redes!A4062)</f>
        <v>0</v>
      </c>
    </row>
    <row r="4063" customFormat="false" ht="14.4" hidden="true" customHeight="false" outlineLevel="0" collapsed="false">
      <c r="A4063" s="34" t="n">
        <v>70605114153</v>
      </c>
      <c r="B4063" s="34" t="s">
        <v>10108</v>
      </c>
      <c r="C4063" s="34" t="s">
        <v>117</v>
      </c>
      <c r="E4063" s="30" t="s">
        <v>10109</v>
      </c>
      <c r="F4063" s="34" t="n">
        <f aca="false">IFERROR(VLOOKUP($A4063,'319'!$B:$H,7,0),0)</f>
        <v>0</v>
      </c>
      <c r="G4063" s="34" t="n">
        <f aca="false">SUMIFS('12.326ana'!$C:$C,'12.326ana'!$M:$M,redes!A4063)</f>
        <v>0</v>
      </c>
    </row>
    <row r="4064" customFormat="false" ht="14.4" hidden="true" customHeight="false" outlineLevel="0" collapsed="false">
      <c r="A4064" s="34" t="n">
        <v>70605300100</v>
      </c>
      <c r="B4064" s="34" t="s">
        <v>10110</v>
      </c>
      <c r="C4064" s="34" t="s">
        <v>77</v>
      </c>
      <c r="E4064" s="30" t="s">
        <v>10111</v>
      </c>
      <c r="F4064" s="34" t="n">
        <f aca="false">IFERROR(VLOOKUP($A4064,'319'!$B:$H,7,0),0)</f>
        <v>0</v>
      </c>
      <c r="G4064" s="34" t="n">
        <f aca="false">SUMIFS('12.326ana'!$C:$C,'12.326ana'!$M:$M,redes!A4064)</f>
        <v>0</v>
      </c>
    </row>
    <row r="4065" customFormat="false" ht="14.4" hidden="true" customHeight="false" outlineLevel="0" collapsed="false">
      <c r="A4065" s="34" t="n">
        <v>70670315168</v>
      </c>
      <c r="B4065" s="34" t="s">
        <v>10112</v>
      </c>
      <c r="C4065" s="34" t="s">
        <v>77</v>
      </c>
      <c r="E4065" s="30" t="s">
        <v>10113</v>
      </c>
      <c r="F4065" s="34" t="n">
        <f aca="false">IFERROR(VLOOKUP($A4065,'319'!$B:$H,7,0),0)</f>
        <v>0</v>
      </c>
      <c r="G4065" s="34" t="n">
        <f aca="false">SUMIFS('12.326ana'!$C:$C,'12.326ana'!$M:$M,redes!A4065)</f>
        <v>0</v>
      </c>
    </row>
    <row r="4066" customFormat="false" ht="14.4" hidden="true" customHeight="false" outlineLevel="0" collapsed="false">
      <c r="A4066" s="34" t="n">
        <v>70673055191</v>
      </c>
      <c r="B4066" s="34" t="s">
        <v>10114</v>
      </c>
      <c r="C4066" s="34" t="s">
        <v>1272</v>
      </c>
      <c r="E4066" s="30" t="s">
        <v>10115</v>
      </c>
      <c r="F4066" s="34" t="n">
        <f aca="false">IFERROR(VLOOKUP($A4066,'319'!$B:$H,7,0),0)</f>
        <v>0</v>
      </c>
      <c r="G4066" s="34" t="n">
        <f aca="false">SUMIFS('12.326ana'!$C:$C,'12.326ana'!$M:$M,redes!A4066)</f>
        <v>0</v>
      </c>
    </row>
    <row r="4067" customFormat="false" ht="14.4" hidden="true" customHeight="false" outlineLevel="0" collapsed="false">
      <c r="A4067" s="34" t="n">
        <v>70685584100</v>
      </c>
      <c r="B4067" s="34" t="s">
        <v>10116</v>
      </c>
      <c r="C4067" s="34" t="s">
        <v>342</v>
      </c>
      <c r="E4067" s="30" t="s">
        <v>10116</v>
      </c>
      <c r="F4067" s="34" t="n">
        <f aca="false">IFERROR(VLOOKUP($A4067,'319'!$B:$H,7,0),0)</f>
        <v>0</v>
      </c>
      <c r="G4067" s="34" t="n">
        <f aca="false">SUMIFS('12.326ana'!$C:$C,'12.326ana'!$M:$M,redes!A4067)</f>
        <v>0</v>
      </c>
    </row>
    <row r="4068" customFormat="false" ht="14.4" hidden="true" customHeight="false" outlineLevel="0" collapsed="false">
      <c r="A4068" s="34" t="n">
        <v>70700400915</v>
      </c>
      <c r="B4068" s="34" t="s">
        <v>10117</v>
      </c>
      <c r="C4068" s="34" t="s">
        <v>77</v>
      </c>
      <c r="E4068" s="30" t="s">
        <v>10118</v>
      </c>
      <c r="F4068" s="34" t="n">
        <f aca="false">IFERROR(VLOOKUP($A4068,'319'!$B:$H,7,0),0)</f>
        <v>0</v>
      </c>
      <c r="G4068" s="34" t="n">
        <f aca="false">SUMIFS('12.326ana'!$C:$C,'12.326ana'!$M:$M,redes!A4068)</f>
        <v>0</v>
      </c>
    </row>
    <row r="4069" customFormat="false" ht="14.4" hidden="true" customHeight="false" outlineLevel="0" collapsed="false">
      <c r="A4069" s="34" t="n">
        <v>70735182191</v>
      </c>
      <c r="B4069" s="34" t="s">
        <v>10119</v>
      </c>
      <c r="C4069" s="34" t="s">
        <v>631</v>
      </c>
      <c r="E4069" s="30" t="s">
        <v>10120</v>
      </c>
      <c r="F4069" s="34" t="n">
        <f aca="false">IFERROR(VLOOKUP($A4069,'319'!$B:$H,7,0),0)</f>
        <v>0</v>
      </c>
      <c r="G4069" s="34" t="n">
        <f aca="false">SUMIFS('12.326ana'!$C:$C,'12.326ana'!$M:$M,redes!A4069)</f>
        <v>0</v>
      </c>
    </row>
    <row r="4070" customFormat="false" ht="14.4" hidden="true" customHeight="false" outlineLevel="0" collapsed="false">
      <c r="A4070" s="34" t="n">
        <v>70746613172</v>
      </c>
      <c r="B4070" s="34" t="s">
        <v>10121</v>
      </c>
      <c r="C4070" s="34" t="s">
        <v>192</v>
      </c>
      <c r="E4070" s="30" t="s">
        <v>10122</v>
      </c>
      <c r="F4070" s="34" t="n">
        <f aca="false">IFERROR(VLOOKUP($A4070,'319'!$B:$H,7,0),0)</f>
        <v>0</v>
      </c>
      <c r="G4070" s="34" t="n">
        <f aca="false">SUMIFS('12.326ana'!$C:$C,'12.326ana'!$M:$M,redes!A4070)</f>
        <v>0</v>
      </c>
    </row>
    <row r="4071" customFormat="false" ht="14.4" hidden="true" customHeight="false" outlineLevel="0" collapsed="false">
      <c r="A4071" s="34" t="n">
        <v>70759154872</v>
      </c>
      <c r="B4071" s="34" t="s">
        <v>10123</v>
      </c>
      <c r="C4071" s="34" t="s">
        <v>103</v>
      </c>
      <c r="E4071" s="30" t="s">
        <v>10124</v>
      </c>
      <c r="F4071" s="34" t="n">
        <f aca="false">IFERROR(VLOOKUP($A4071,'319'!$B:$H,7,0),0)</f>
        <v>0</v>
      </c>
      <c r="G4071" s="34" t="n">
        <f aca="false">SUMIFS('12.326ana'!$C:$C,'12.326ana'!$M:$M,redes!A4071)</f>
        <v>0</v>
      </c>
    </row>
    <row r="4072" customFormat="false" ht="14.4" hidden="true" customHeight="false" outlineLevel="0" collapsed="false">
      <c r="A4072" s="34" t="n">
        <v>70812357191</v>
      </c>
      <c r="B4072" s="34" t="s">
        <v>10125</v>
      </c>
      <c r="C4072" s="34" t="s">
        <v>77</v>
      </c>
      <c r="E4072" s="30" t="s">
        <v>5994</v>
      </c>
      <c r="F4072" s="34" t="n">
        <f aca="false">IFERROR(VLOOKUP($A4072,'319'!$B:$H,7,0),0)</f>
        <v>0</v>
      </c>
      <c r="G4072" s="34" t="n">
        <f aca="false">SUMIFS('12.326ana'!$C:$C,'12.326ana'!$M:$M,redes!A4072)</f>
        <v>0</v>
      </c>
    </row>
    <row r="4073" customFormat="false" ht="14.4" hidden="true" customHeight="false" outlineLevel="0" collapsed="false">
      <c r="A4073" s="34" t="n">
        <v>70821984187</v>
      </c>
      <c r="B4073" s="34" t="s">
        <v>10126</v>
      </c>
      <c r="C4073" s="34" t="s">
        <v>1272</v>
      </c>
      <c r="E4073" s="30" t="s">
        <v>10127</v>
      </c>
      <c r="F4073" s="34" t="n">
        <f aca="false">IFERROR(VLOOKUP($A4073,'319'!$B:$H,7,0),0)</f>
        <v>0</v>
      </c>
      <c r="G4073" s="34" t="n">
        <f aca="false">SUMIFS('12.326ana'!$C:$C,'12.326ana'!$M:$M,redes!A4073)</f>
        <v>0</v>
      </c>
    </row>
    <row r="4074" customFormat="false" ht="14.4" hidden="true" customHeight="false" outlineLevel="0" collapsed="false">
      <c r="A4074" s="34" t="n">
        <v>70839662149</v>
      </c>
      <c r="B4074" s="34" t="s">
        <v>10128</v>
      </c>
      <c r="C4074" s="34" t="s">
        <v>581</v>
      </c>
      <c r="E4074" s="30" t="s">
        <v>5070</v>
      </c>
      <c r="F4074" s="34" t="n">
        <f aca="false">IFERROR(VLOOKUP($A4074,'319'!$B:$H,7,0),0)</f>
        <v>0</v>
      </c>
      <c r="G4074" s="34" t="n">
        <f aca="false">SUMIFS('12.326ana'!$C:$C,'12.326ana'!$M:$M,redes!A4074)</f>
        <v>0</v>
      </c>
    </row>
    <row r="4075" customFormat="false" ht="14.4" hidden="true" customHeight="false" outlineLevel="0" collapsed="false">
      <c r="A4075" s="34" t="n">
        <v>70898260159</v>
      </c>
      <c r="B4075" s="34" t="s">
        <v>10129</v>
      </c>
      <c r="C4075" s="34" t="s">
        <v>77</v>
      </c>
      <c r="E4075" s="30"/>
      <c r="F4075" s="34" t="n">
        <f aca="false">IFERROR(VLOOKUP($A4075,'319'!$B:$H,7,0),0)</f>
        <v>0</v>
      </c>
      <c r="G4075" s="34" t="n">
        <f aca="false">SUMIFS('12.326ana'!$C:$C,'12.326ana'!$M:$M,redes!A4075)</f>
        <v>0</v>
      </c>
    </row>
    <row r="4076" customFormat="false" ht="14.4" hidden="true" customHeight="false" outlineLevel="0" collapsed="false">
      <c r="A4076" s="34" t="n">
        <v>70916381153</v>
      </c>
      <c r="B4076" s="34" t="s">
        <v>10130</v>
      </c>
      <c r="C4076" s="34" t="s">
        <v>107</v>
      </c>
      <c r="E4076" s="30" t="s">
        <v>10131</v>
      </c>
      <c r="F4076" s="34" t="n">
        <f aca="false">IFERROR(VLOOKUP($A4076,'319'!$B:$H,7,0),0)</f>
        <v>0</v>
      </c>
      <c r="G4076" s="34" t="n">
        <f aca="false">SUMIFS('12.326ana'!$C:$C,'12.326ana'!$M:$M,redes!A4076)</f>
        <v>0</v>
      </c>
    </row>
    <row r="4077" customFormat="false" ht="14.4" hidden="true" customHeight="false" outlineLevel="0" collapsed="false">
      <c r="A4077" s="34" t="n">
        <v>70918759153</v>
      </c>
      <c r="B4077" s="34" t="s">
        <v>10132</v>
      </c>
      <c r="C4077" s="34" t="s">
        <v>103</v>
      </c>
      <c r="E4077" s="30" t="s">
        <v>10133</v>
      </c>
      <c r="F4077" s="34" t="n">
        <f aca="false">IFERROR(VLOOKUP($A4077,'319'!$B:$H,7,0),0)</f>
        <v>0</v>
      </c>
      <c r="G4077" s="34" t="n">
        <f aca="false">SUMIFS('12.326ana'!$C:$C,'12.326ana'!$M:$M,redes!A4077)</f>
        <v>0</v>
      </c>
    </row>
    <row r="4078" customFormat="false" ht="14.4" hidden="true" customHeight="false" outlineLevel="0" collapsed="false">
      <c r="A4078" s="34" t="n">
        <v>70953112187</v>
      </c>
      <c r="B4078" s="34" t="s">
        <v>10134</v>
      </c>
      <c r="C4078" s="34" t="s">
        <v>77</v>
      </c>
      <c r="E4078" s="30" t="s">
        <v>6648</v>
      </c>
      <c r="F4078" s="34" t="n">
        <f aca="false">IFERROR(VLOOKUP($A4078,'319'!$B:$H,7,0),0)</f>
        <v>0</v>
      </c>
      <c r="G4078" s="34" t="n">
        <f aca="false">SUMIFS('12.326ana'!$C:$C,'12.326ana'!$M:$M,redes!A4078)</f>
        <v>0</v>
      </c>
    </row>
    <row r="4079" customFormat="false" ht="14.4" hidden="true" customHeight="false" outlineLevel="0" collapsed="false">
      <c r="A4079" s="34" t="n">
        <v>71087419115</v>
      </c>
      <c r="B4079" s="34" t="s">
        <v>10135</v>
      </c>
      <c r="C4079" s="34" t="s">
        <v>77</v>
      </c>
      <c r="E4079" s="30"/>
      <c r="F4079" s="34" t="n">
        <f aca="false">IFERROR(VLOOKUP($A4079,'319'!$B:$H,7,0),0)</f>
        <v>0</v>
      </c>
      <c r="G4079" s="34" t="n">
        <f aca="false">SUMIFS('12.326ana'!$C:$C,'12.326ana'!$M:$M,redes!A4079)</f>
        <v>0</v>
      </c>
    </row>
    <row r="4080" customFormat="false" ht="14.4" hidden="true" customHeight="false" outlineLevel="0" collapsed="false">
      <c r="A4080" s="34" t="n">
        <v>71113800100</v>
      </c>
      <c r="B4080" s="34" t="s">
        <v>10136</v>
      </c>
      <c r="C4080" s="34" t="s">
        <v>77</v>
      </c>
      <c r="E4080" s="30" t="s">
        <v>10137</v>
      </c>
      <c r="F4080" s="34" t="n">
        <f aca="false">IFERROR(VLOOKUP($A4080,'319'!$B:$H,7,0),0)</f>
        <v>0</v>
      </c>
      <c r="G4080" s="34" t="n">
        <f aca="false">SUMIFS('12.326ana'!$C:$C,'12.326ana'!$M:$M,redes!A4080)</f>
        <v>0</v>
      </c>
    </row>
    <row r="4081" customFormat="false" ht="14.4" hidden="true" customHeight="false" outlineLevel="0" collapsed="false">
      <c r="A4081" s="34" t="n">
        <v>71121013104</v>
      </c>
      <c r="B4081" s="34" t="s">
        <v>10138</v>
      </c>
      <c r="C4081" s="34" t="s">
        <v>77</v>
      </c>
      <c r="E4081" s="30" t="s">
        <v>10139</v>
      </c>
      <c r="F4081" s="34" t="n">
        <f aca="false">IFERROR(VLOOKUP($A4081,'319'!$B:$H,7,0),0)</f>
        <v>0</v>
      </c>
      <c r="G4081" s="34" t="n">
        <f aca="false">SUMIFS('12.326ana'!$C:$C,'12.326ana'!$M:$M,redes!A4081)</f>
        <v>0</v>
      </c>
    </row>
    <row r="4082" customFormat="false" ht="14.4" hidden="true" customHeight="false" outlineLevel="0" collapsed="false">
      <c r="A4082" s="34" t="n">
        <v>71125850159</v>
      </c>
      <c r="B4082" s="34" t="s">
        <v>10140</v>
      </c>
      <c r="C4082" s="34" t="s">
        <v>781</v>
      </c>
      <c r="E4082" s="30" t="s">
        <v>10141</v>
      </c>
      <c r="F4082" s="34" t="n">
        <f aca="false">IFERROR(VLOOKUP($A4082,'319'!$B:$H,7,0),0)</f>
        <v>0</v>
      </c>
      <c r="G4082" s="34" t="n">
        <f aca="false">SUMIFS('12.326ana'!$C:$C,'12.326ana'!$M:$M,redes!A4082)</f>
        <v>0</v>
      </c>
    </row>
    <row r="4083" customFormat="false" ht="14.4" hidden="true" customHeight="false" outlineLevel="0" collapsed="false">
      <c r="A4083" s="34" t="n">
        <v>71152849115</v>
      </c>
      <c r="B4083" s="34" t="s">
        <v>10142</v>
      </c>
      <c r="C4083" s="34" t="s">
        <v>103</v>
      </c>
      <c r="E4083" s="30" t="s">
        <v>8871</v>
      </c>
      <c r="F4083" s="34" t="n">
        <f aca="false">IFERROR(VLOOKUP($A4083,'319'!$B:$H,7,0),0)</f>
        <v>0</v>
      </c>
      <c r="G4083" s="34" t="n">
        <f aca="false">SUMIFS('12.326ana'!$C:$C,'12.326ana'!$M:$M,redes!A4083)</f>
        <v>0</v>
      </c>
    </row>
    <row r="4084" customFormat="false" ht="14.4" hidden="true" customHeight="false" outlineLevel="0" collapsed="false">
      <c r="A4084" s="34" t="n">
        <v>71156135168</v>
      </c>
      <c r="B4084" s="34" t="s">
        <v>10143</v>
      </c>
      <c r="C4084" s="34" t="s">
        <v>77</v>
      </c>
      <c r="E4084" s="30" t="s">
        <v>10144</v>
      </c>
      <c r="F4084" s="34" t="n">
        <f aca="false">IFERROR(VLOOKUP($A4084,'319'!$B:$H,7,0),0)</f>
        <v>0</v>
      </c>
      <c r="G4084" s="34" t="n">
        <f aca="false">SUMIFS('12.326ana'!$C:$C,'12.326ana'!$M:$M,redes!A4084)</f>
        <v>0</v>
      </c>
    </row>
    <row r="4085" customFormat="false" ht="14.4" hidden="true" customHeight="false" outlineLevel="0" collapsed="false">
      <c r="A4085" s="34" t="n">
        <v>71163018104</v>
      </c>
      <c r="B4085" s="34" t="s">
        <v>10145</v>
      </c>
      <c r="C4085" s="34" t="s">
        <v>77</v>
      </c>
      <c r="E4085" s="30"/>
      <c r="F4085" s="34" t="n">
        <f aca="false">IFERROR(VLOOKUP($A4085,'319'!$B:$H,7,0),0)</f>
        <v>0</v>
      </c>
      <c r="G4085" s="34" t="n">
        <f aca="false">SUMIFS('12.326ana'!$C:$C,'12.326ana'!$M:$M,redes!A4085)</f>
        <v>0</v>
      </c>
    </row>
    <row r="4086" customFormat="false" ht="14.4" hidden="true" customHeight="false" outlineLevel="0" collapsed="false">
      <c r="A4086" s="34" t="n">
        <v>71166700178</v>
      </c>
      <c r="B4086" s="34" t="s">
        <v>10146</v>
      </c>
      <c r="C4086" s="34" t="s">
        <v>107</v>
      </c>
      <c r="E4086" s="30" t="s">
        <v>10147</v>
      </c>
      <c r="F4086" s="34" t="n">
        <f aca="false">IFERROR(VLOOKUP($A4086,'319'!$B:$H,7,0),0)</f>
        <v>0</v>
      </c>
      <c r="G4086" s="34" t="n">
        <f aca="false">SUMIFS('12.326ana'!$C:$C,'12.326ana'!$M:$M,redes!A4086)</f>
        <v>0</v>
      </c>
    </row>
    <row r="4087" customFormat="false" ht="14.4" hidden="true" customHeight="false" outlineLevel="0" collapsed="false">
      <c r="A4087" s="34" t="n">
        <v>71169776191</v>
      </c>
      <c r="B4087" s="34" t="s">
        <v>10148</v>
      </c>
      <c r="C4087" s="34" t="s">
        <v>89</v>
      </c>
      <c r="E4087" s="30" t="s">
        <v>10149</v>
      </c>
      <c r="F4087" s="34" t="n">
        <f aca="false">IFERROR(VLOOKUP($A4087,'319'!$B:$H,7,0),0)</f>
        <v>0</v>
      </c>
      <c r="G4087" s="34" t="n">
        <f aca="false">SUMIFS('12.326ana'!$C:$C,'12.326ana'!$M:$M,redes!A4087)</f>
        <v>0</v>
      </c>
    </row>
    <row r="4088" customFormat="false" ht="14.4" hidden="true" customHeight="false" outlineLevel="0" collapsed="false">
      <c r="A4088" s="34" t="n">
        <v>71170065104</v>
      </c>
      <c r="B4088" s="34" t="s">
        <v>10150</v>
      </c>
      <c r="C4088" s="34" t="s">
        <v>77</v>
      </c>
      <c r="E4088" s="30" t="s">
        <v>10151</v>
      </c>
      <c r="F4088" s="34" t="n">
        <f aca="false">IFERROR(VLOOKUP($A4088,'319'!$B:$H,7,0),0)</f>
        <v>0</v>
      </c>
      <c r="G4088" s="34" t="n">
        <f aca="false">SUMIFS('12.326ana'!$C:$C,'12.326ana'!$M:$M,redes!A4088)</f>
        <v>0</v>
      </c>
    </row>
    <row r="4089" customFormat="false" ht="14.4" hidden="true" customHeight="false" outlineLevel="0" collapsed="false">
      <c r="A4089" s="34" t="n">
        <v>71181563100</v>
      </c>
      <c r="B4089" s="34" t="s">
        <v>10152</v>
      </c>
      <c r="C4089" s="34" t="s">
        <v>89</v>
      </c>
      <c r="E4089" s="30"/>
      <c r="F4089" s="34" t="n">
        <f aca="false">IFERROR(VLOOKUP($A4089,'319'!$B:$H,7,0),0)</f>
        <v>0</v>
      </c>
      <c r="G4089" s="34" t="n">
        <f aca="false">SUMIFS('12.326ana'!$C:$C,'12.326ana'!$M:$M,redes!A4089)</f>
        <v>0</v>
      </c>
    </row>
    <row r="4090" customFormat="false" ht="14.4" hidden="true" customHeight="false" outlineLevel="0" collapsed="false">
      <c r="A4090" s="34" t="n">
        <v>71197389172</v>
      </c>
      <c r="B4090" s="34" t="s">
        <v>10153</v>
      </c>
      <c r="C4090" s="34" t="s">
        <v>77</v>
      </c>
      <c r="E4090" s="30" t="s">
        <v>10154</v>
      </c>
      <c r="F4090" s="34" t="n">
        <f aca="false">IFERROR(VLOOKUP($A4090,'319'!$B:$H,7,0),0)</f>
        <v>0</v>
      </c>
      <c r="G4090" s="34" t="n">
        <f aca="false">SUMIFS('12.326ana'!$C:$C,'12.326ana'!$M:$M,redes!A4090)</f>
        <v>0</v>
      </c>
    </row>
    <row r="4091" customFormat="false" ht="14.4" hidden="true" customHeight="false" outlineLevel="0" collapsed="false">
      <c r="A4091" s="34" t="n">
        <v>71203680104</v>
      </c>
      <c r="B4091" s="34" t="s">
        <v>10155</v>
      </c>
      <c r="C4091" s="34" t="s">
        <v>77</v>
      </c>
      <c r="E4091" s="30"/>
      <c r="F4091" s="34" t="n">
        <f aca="false">IFERROR(VLOOKUP($A4091,'319'!$B:$H,7,0),0)</f>
        <v>0</v>
      </c>
      <c r="G4091" s="34" t="n">
        <f aca="false">SUMIFS('12.326ana'!$C:$C,'12.326ana'!$M:$M,redes!A4091)</f>
        <v>0</v>
      </c>
    </row>
    <row r="4092" customFormat="false" ht="14.4" hidden="true" customHeight="false" outlineLevel="0" collapsed="false">
      <c r="A4092" s="34" t="n">
        <v>71211101134</v>
      </c>
      <c r="B4092" s="34" t="s">
        <v>10156</v>
      </c>
      <c r="C4092" s="34" t="s">
        <v>77</v>
      </c>
      <c r="E4092" s="30"/>
      <c r="F4092" s="34" t="n">
        <f aca="false">IFERROR(VLOOKUP($A4092,'319'!$B:$H,7,0),0)</f>
        <v>0</v>
      </c>
      <c r="G4092" s="34" t="n">
        <f aca="false">SUMIFS('12.326ana'!$C:$C,'12.326ana'!$M:$M,redes!A4092)</f>
        <v>0</v>
      </c>
    </row>
    <row r="4093" customFormat="false" ht="14.4" hidden="true" customHeight="false" outlineLevel="0" collapsed="false">
      <c r="A4093" s="34" t="n">
        <v>71212230159</v>
      </c>
      <c r="B4093" s="34" t="s">
        <v>10157</v>
      </c>
      <c r="C4093" s="34" t="s">
        <v>77</v>
      </c>
      <c r="E4093" s="30"/>
      <c r="F4093" s="34" t="n">
        <f aca="false">IFERROR(VLOOKUP($A4093,'319'!$B:$H,7,0),0)</f>
        <v>0</v>
      </c>
      <c r="G4093" s="34" t="n">
        <f aca="false">SUMIFS('12.326ana'!$C:$C,'12.326ana'!$M:$M,redes!A4093)</f>
        <v>0</v>
      </c>
    </row>
    <row r="4094" customFormat="false" ht="14.4" hidden="true" customHeight="false" outlineLevel="0" collapsed="false">
      <c r="A4094" s="34" t="n">
        <v>71214453104</v>
      </c>
      <c r="B4094" s="34" t="s">
        <v>10158</v>
      </c>
      <c r="C4094" s="34" t="s">
        <v>77</v>
      </c>
      <c r="E4094" s="30" t="s">
        <v>10159</v>
      </c>
      <c r="F4094" s="34" t="n">
        <f aca="false">IFERROR(VLOOKUP($A4094,'319'!$B:$H,7,0),0)</f>
        <v>0</v>
      </c>
      <c r="G4094" s="34" t="n">
        <f aca="false">SUMIFS('12.326ana'!$C:$C,'12.326ana'!$M:$M,redes!A4094)</f>
        <v>0</v>
      </c>
    </row>
    <row r="4095" customFormat="false" ht="14.4" hidden="true" customHeight="false" outlineLevel="0" collapsed="false">
      <c r="A4095" s="34" t="n">
        <v>71222987104</v>
      </c>
      <c r="B4095" s="34" t="s">
        <v>10160</v>
      </c>
      <c r="C4095" s="34" t="s">
        <v>77</v>
      </c>
      <c r="E4095" s="30" t="s">
        <v>3931</v>
      </c>
      <c r="F4095" s="34" t="n">
        <f aca="false">IFERROR(VLOOKUP($A4095,'319'!$B:$H,7,0),0)</f>
        <v>0</v>
      </c>
      <c r="G4095" s="34" t="n">
        <f aca="false">SUMIFS('12.326ana'!$C:$C,'12.326ana'!$M:$M,redes!A4095)</f>
        <v>0</v>
      </c>
    </row>
    <row r="4096" customFormat="false" ht="14.4" hidden="true" customHeight="false" outlineLevel="0" collapsed="false">
      <c r="A4096" s="34" t="n">
        <v>71227423187</v>
      </c>
      <c r="B4096" s="34" t="s">
        <v>10161</v>
      </c>
      <c r="C4096" s="34" t="s">
        <v>103</v>
      </c>
      <c r="E4096" s="30" t="s">
        <v>10162</v>
      </c>
      <c r="F4096" s="34" t="n">
        <f aca="false">IFERROR(VLOOKUP($A4096,'319'!$B:$H,7,0),0)</f>
        <v>0</v>
      </c>
      <c r="G4096" s="34" t="n">
        <f aca="false">SUMIFS('12.326ana'!$C:$C,'12.326ana'!$M:$M,redes!A4096)</f>
        <v>0</v>
      </c>
    </row>
    <row r="4097" customFormat="false" ht="14.4" hidden="true" customHeight="false" outlineLevel="0" collapsed="false">
      <c r="A4097" s="34" t="n">
        <v>71250395100</v>
      </c>
      <c r="B4097" s="34" t="s">
        <v>10163</v>
      </c>
      <c r="C4097" s="34" t="s">
        <v>351</v>
      </c>
      <c r="E4097" s="30" t="s">
        <v>10164</v>
      </c>
      <c r="F4097" s="34" t="n">
        <f aca="false">IFERROR(VLOOKUP($A4097,'319'!$B:$H,7,0),0)</f>
        <v>0</v>
      </c>
      <c r="G4097" s="34" t="n">
        <f aca="false">SUMIFS('12.326ana'!$C:$C,'12.326ana'!$M:$M,redes!A4097)</f>
        <v>0</v>
      </c>
    </row>
    <row r="4098" customFormat="false" ht="14.4" hidden="true" customHeight="false" outlineLevel="0" collapsed="false">
      <c r="A4098" s="34" t="n">
        <v>71264434120</v>
      </c>
      <c r="B4098" s="34" t="s">
        <v>10165</v>
      </c>
      <c r="C4098" s="34" t="s">
        <v>127</v>
      </c>
      <c r="E4098" s="30" t="s">
        <v>10166</v>
      </c>
      <c r="F4098" s="34" t="n">
        <f aca="false">IFERROR(VLOOKUP($A4098,'319'!$B:$H,7,0),0)</f>
        <v>0</v>
      </c>
      <c r="G4098" s="34" t="n">
        <f aca="false">SUMIFS('12.326ana'!$C:$C,'12.326ana'!$M:$M,redes!A4098)</f>
        <v>0</v>
      </c>
    </row>
    <row r="4099" customFormat="false" ht="14.4" hidden="true" customHeight="false" outlineLevel="0" collapsed="false">
      <c r="A4099" s="34" t="n">
        <v>71269665120</v>
      </c>
      <c r="B4099" s="34" t="s">
        <v>10167</v>
      </c>
      <c r="C4099" s="34" t="s">
        <v>77</v>
      </c>
      <c r="E4099" s="30" t="s">
        <v>10167</v>
      </c>
      <c r="F4099" s="34" t="n">
        <f aca="false">IFERROR(VLOOKUP($A4099,'319'!$B:$H,7,0),0)</f>
        <v>0</v>
      </c>
      <c r="G4099" s="34" t="n">
        <f aca="false">SUMIFS('12.326ana'!$C:$C,'12.326ana'!$M:$M,redes!A4099)</f>
        <v>0</v>
      </c>
    </row>
    <row r="4100" customFormat="false" ht="14.4" hidden="true" customHeight="false" outlineLevel="0" collapsed="false">
      <c r="A4100" s="34" t="n">
        <v>71310266115</v>
      </c>
      <c r="B4100" s="34" t="s">
        <v>10168</v>
      </c>
      <c r="C4100" s="34" t="s">
        <v>77</v>
      </c>
      <c r="E4100" s="30" t="s">
        <v>10169</v>
      </c>
      <c r="F4100" s="34" t="n">
        <f aca="false">IFERROR(VLOOKUP($A4100,'319'!$B:$H,7,0),0)</f>
        <v>0</v>
      </c>
      <c r="G4100" s="34" t="n">
        <f aca="false">SUMIFS('12.326ana'!$C:$C,'12.326ana'!$M:$M,redes!A4100)</f>
        <v>0</v>
      </c>
    </row>
    <row r="4101" customFormat="false" ht="14.4" hidden="true" customHeight="false" outlineLevel="0" collapsed="false">
      <c r="A4101" s="34" t="n">
        <v>71318259134</v>
      </c>
      <c r="B4101" s="34" t="s">
        <v>10170</v>
      </c>
      <c r="C4101" s="34" t="s">
        <v>77</v>
      </c>
      <c r="E4101" s="30" t="s">
        <v>10171</v>
      </c>
      <c r="F4101" s="34" t="n">
        <f aca="false">IFERROR(VLOOKUP($A4101,'319'!$B:$H,7,0),0)</f>
        <v>0</v>
      </c>
      <c r="G4101" s="34" t="n">
        <f aca="false">SUMIFS('12.326ana'!$C:$C,'12.326ana'!$M:$M,redes!A4101)</f>
        <v>0</v>
      </c>
    </row>
    <row r="4102" customFormat="false" ht="14.4" hidden="true" customHeight="false" outlineLevel="0" collapsed="false">
      <c r="A4102" s="34" t="n">
        <v>71347461191</v>
      </c>
      <c r="B4102" s="34" t="s">
        <v>10172</v>
      </c>
      <c r="C4102" s="34" t="s">
        <v>77</v>
      </c>
      <c r="E4102" s="30"/>
      <c r="F4102" s="34" t="n">
        <f aca="false">IFERROR(VLOOKUP($A4102,'319'!$B:$H,7,0),0)</f>
        <v>0</v>
      </c>
      <c r="G4102" s="34" t="n">
        <f aca="false">SUMIFS('12.326ana'!$C:$C,'12.326ana'!$M:$M,redes!A4102)</f>
        <v>0</v>
      </c>
    </row>
    <row r="4103" customFormat="false" ht="14.4" hidden="true" customHeight="false" outlineLevel="0" collapsed="false">
      <c r="A4103" s="34" t="n">
        <v>71405330163</v>
      </c>
      <c r="B4103" s="34" t="s">
        <v>10173</v>
      </c>
      <c r="C4103" s="34" t="s">
        <v>77</v>
      </c>
      <c r="E4103" s="30"/>
      <c r="F4103" s="34" t="n">
        <f aca="false">IFERROR(VLOOKUP($A4103,'319'!$B:$H,7,0),0)</f>
        <v>0</v>
      </c>
      <c r="G4103" s="34" t="n">
        <f aca="false">SUMIFS('12.326ana'!$C:$C,'12.326ana'!$M:$M,redes!A4103)</f>
        <v>0</v>
      </c>
    </row>
    <row r="4104" customFormat="false" ht="14.4" hidden="true" customHeight="false" outlineLevel="0" collapsed="false">
      <c r="A4104" s="34" t="n">
        <v>71412646987</v>
      </c>
      <c r="B4104" s="34" t="s">
        <v>10174</v>
      </c>
      <c r="C4104" s="34" t="s">
        <v>77</v>
      </c>
      <c r="E4104" s="30" t="s">
        <v>10175</v>
      </c>
      <c r="F4104" s="34" t="n">
        <f aca="false">IFERROR(VLOOKUP($A4104,'319'!$B:$H,7,0),0)</f>
        <v>0</v>
      </c>
      <c r="G4104" s="34" t="n">
        <f aca="false">SUMIFS('12.326ana'!$C:$C,'12.326ana'!$M:$M,redes!A4104)</f>
        <v>0</v>
      </c>
    </row>
    <row r="4105" customFormat="false" ht="14.4" hidden="true" customHeight="false" outlineLevel="0" collapsed="false">
      <c r="A4105" s="34" t="n">
        <v>71478795115</v>
      </c>
      <c r="B4105" s="34" t="s">
        <v>10176</v>
      </c>
      <c r="C4105" s="34" t="s">
        <v>979</v>
      </c>
      <c r="E4105" s="30" t="s">
        <v>3933</v>
      </c>
      <c r="F4105" s="34" t="n">
        <f aca="false">IFERROR(VLOOKUP($A4105,'319'!$B:$H,7,0),0)</f>
        <v>0</v>
      </c>
      <c r="G4105" s="34" t="n">
        <f aca="false">SUMIFS('12.326ana'!$C:$C,'12.326ana'!$M:$M,redes!A4105)</f>
        <v>0</v>
      </c>
    </row>
    <row r="4106" customFormat="false" ht="14.4" hidden="true" customHeight="false" outlineLevel="0" collapsed="false">
      <c r="A4106" s="34" t="n">
        <v>71531483100</v>
      </c>
      <c r="B4106" s="34" t="s">
        <v>10177</v>
      </c>
      <c r="C4106" s="34" t="s">
        <v>77</v>
      </c>
      <c r="E4106" s="30" t="s">
        <v>10178</v>
      </c>
      <c r="F4106" s="34" t="n">
        <f aca="false">IFERROR(VLOOKUP($A4106,'319'!$B:$H,7,0),0)</f>
        <v>0</v>
      </c>
      <c r="G4106" s="34" t="n">
        <f aca="false">SUMIFS('12.326ana'!$C:$C,'12.326ana'!$M:$M,redes!A4106)</f>
        <v>0</v>
      </c>
    </row>
    <row r="4107" customFormat="false" ht="14.4" hidden="true" customHeight="false" outlineLevel="0" collapsed="false">
      <c r="A4107" s="34" t="n">
        <v>71567100104</v>
      </c>
      <c r="B4107" s="34" t="s">
        <v>10179</v>
      </c>
      <c r="C4107" s="34" t="s">
        <v>197</v>
      </c>
      <c r="E4107" s="30" t="s">
        <v>5036</v>
      </c>
      <c r="F4107" s="34" t="n">
        <f aca="false">IFERROR(VLOOKUP($A4107,'319'!$B:$H,7,0),0)</f>
        <v>0</v>
      </c>
      <c r="G4107" s="34" t="n">
        <f aca="false">SUMIFS('12.326ana'!$C:$C,'12.326ana'!$M:$M,redes!A4107)</f>
        <v>0</v>
      </c>
    </row>
    <row r="4108" customFormat="false" ht="14.4" hidden="true" customHeight="false" outlineLevel="0" collapsed="false">
      <c r="A4108" s="34" t="n">
        <v>71594655120</v>
      </c>
      <c r="B4108" s="34" t="s">
        <v>10180</v>
      </c>
      <c r="C4108" s="34" t="s">
        <v>77</v>
      </c>
      <c r="E4108" s="30" t="s">
        <v>10181</v>
      </c>
      <c r="F4108" s="34" t="n">
        <f aca="false">IFERROR(VLOOKUP($A4108,'319'!$B:$H,7,0),0)</f>
        <v>0</v>
      </c>
      <c r="G4108" s="34" t="n">
        <f aca="false">SUMIFS('12.326ana'!$C:$C,'12.326ana'!$M:$M,redes!A4108)</f>
        <v>0</v>
      </c>
    </row>
    <row r="4109" customFormat="false" ht="14.4" hidden="true" customHeight="false" outlineLevel="0" collapsed="false">
      <c r="A4109" s="34" t="n">
        <v>71597921149</v>
      </c>
      <c r="B4109" s="34" t="s">
        <v>10182</v>
      </c>
      <c r="C4109" s="34" t="s">
        <v>77</v>
      </c>
      <c r="E4109" s="30"/>
      <c r="F4109" s="34" t="n">
        <f aca="false">IFERROR(VLOOKUP($A4109,'319'!$B:$H,7,0),0)</f>
        <v>0</v>
      </c>
      <c r="G4109" s="34" t="n">
        <f aca="false">SUMIFS('12.326ana'!$C:$C,'12.326ana'!$M:$M,redes!A4109)</f>
        <v>0</v>
      </c>
    </row>
    <row r="4110" customFormat="false" ht="14.4" hidden="true" customHeight="false" outlineLevel="0" collapsed="false">
      <c r="A4110" s="34" t="n">
        <v>71598391100</v>
      </c>
      <c r="B4110" s="34" t="s">
        <v>10183</v>
      </c>
      <c r="C4110" s="34" t="s">
        <v>77</v>
      </c>
      <c r="E4110" s="30" t="s">
        <v>10184</v>
      </c>
      <c r="F4110" s="34" t="n">
        <f aca="false">IFERROR(VLOOKUP($A4110,'319'!$B:$H,7,0),0)</f>
        <v>0</v>
      </c>
      <c r="G4110" s="34" t="n">
        <f aca="false">SUMIFS('12.326ana'!$C:$C,'12.326ana'!$M:$M,redes!A4110)</f>
        <v>0</v>
      </c>
    </row>
    <row r="4111" customFormat="false" ht="14.4" hidden="true" customHeight="false" outlineLevel="0" collapsed="false">
      <c r="A4111" s="34" t="n">
        <v>71650423268</v>
      </c>
      <c r="B4111" s="34" t="s">
        <v>10185</v>
      </c>
      <c r="C4111" s="34" t="s">
        <v>77</v>
      </c>
      <c r="E4111" s="30" t="s">
        <v>10186</v>
      </c>
      <c r="F4111" s="34" t="n">
        <f aca="false">IFERROR(VLOOKUP($A4111,'319'!$B:$H,7,0),0)</f>
        <v>0</v>
      </c>
      <c r="G4111" s="34" t="n">
        <f aca="false">SUMIFS('12.326ana'!$C:$C,'12.326ana'!$M:$M,redes!A4111)</f>
        <v>0</v>
      </c>
    </row>
    <row r="4112" customFormat="false" ht="14.4" hidden="true" customHeight="false" outlineLevel="0" collapsed="false">
      <c r="A4112" s="34" t="n">
        <v>71657509168</v>
      </c>
      <c r="B4112" s="34" t="s">
        <v>10187</v>
      </c>
      <c r="C4112" s="34" t="s">
        <v>342</v>
      </c>
      <c r="E4112" s="30" t="s">
        <v>4807</v>
      </c>
      <c r="F4112" s="34" t="n">
        <f aca="false">IFERROR(VLOOKUP($A4112,'319'!$B:$H,7,0),0)</f>
        <v>0</v>
      </c>
      <c r="G4112" s="34" t="n">
        <f aca="false">SUMIFS('12.326ana'!$C:$C,'12.326ana'!$M:$M,redes!A4112)</f>
        <v>0</v>
      </c>
    </row>
    <row r="4113" customFormat="false" ht="14.4" hidden="true" customHeight="false" outlineLevel="0" collapsed="false">
      <c r="A4113" s="34" t="n">
        <v>71743189168</v>
      </c>
      <c r="B4113" s="34" t="s">
        <v>10188</v>
      </c>
      <c r="C4113" s="34" t="s">
        <v>77</v>
      </c>
      <c r="E4113" s="30" t="s">
        <v>10189</v>
      </c>
      <c r="F4113" s="34" t="n">
        <f aca="false">IFERROR(VLOOKUP($A4113,'319'!$B:$H,7,0),0)</f>
        <v>0</v>
      </c>
      <c r="G4113" s="34" t="n">
        <f aca="false">SUMIFS('12.326ana'!$C:$C,'12.326ana'!$M:$M,redes!A4113)</f>
        <v>0</v>
      </c>
    </row>
    <row r="4114" customFormat="false" ht="14.4" hidden="true" customHeight="false" outlineLevel="0" collapsed="false">
      <c r="A4114" s="34" t="n">
        <v>71807250130</v>
      </c>
      <c r="B4114" s="34" t="s">
        <v>10190</v>
      </c>
      <c r="C4114" s="34" t="s">
        <v>107</v>
      </c>
      <c r="E4114" s="30" t="s">
        <v>10191</v>
      </c>
      <c r="F4114" s="34" t="n">
        <f aca="false">IFERROR(VLOOKUP($A4114,'319'!$B:$H,7,0),0)</f>
        <v>0</v>
      </c>
      <c r="G4114" s="34" t="n">
        <f aca="false">SUMIFS('12.326ana'!$C:$C,'12.326ana'!$M:$M,redes!A4114)</f>
        <v>0</v>
      </c>
    </row>
    <row r="4115" customFormat="false" ht="14.4" hidden="true" customHeight="false" outlineLevel="0" collapsed="false">
      <c r="A4115" s="34" t="n">
        <v>71818235153</v>
      </c>
      <c r="B4115" s="34" t="s">
        <v>10192</v>
      </c>
      <c r="C4115" s="34" t="s">
        <v>77</v>
      </c>
      <c r="E4115" s="30" t="s">
        <v>10193</v>
      </c>
      <c r="F4115" s="34" t="n">
        <f aca="false">IFERROR(VLOOKUP($A4115,'319'!$B:$H,7,0),0)</f>
        <v>0</v>
      </c>
      <c r="G4115" s="34" t="n">
        <f aca="false">SUMIFS('12.326ana'!$C:$C,'12.326ana'!$M:$M,redes!A4115)</f>
        <v>0</v>
      </c>
    </row>
    <row r="4116" customFormat="false" ht="14.4" hidden="true" customHeight="false" outlineLevel="0" collapsed="false">
      <c r="A4116" s="34" t="n">
        <v>72006692100</v>
      </c>
      <c r="B4116" s="34" t="s">
        <v>10194</v>
      </c>
      <c r="C4116" s="34" t="s">
        <v>342</v>
      </c>
      <c r="E4116" s="30" t="s">
        <v>4297</v>
      </c>
      <c r="F4116" s="34" t="n">
        <f aca="false">IFERROR(VLOOKUP($A4116,'319'!$B:$H,7,0),0)</f>
        <v>0</v>
      </c>
      <c r="G4116" s="34" t="n">
        <f aca="false">SUMIFS('12.326ana'!$C:$C,'12.326ana'!$M:$M,redes!A4116)</f>
        <v>0</v>
      </c>
    </row>
    <row r="4117" customFormat="false" ht="14.4" hidden="true" customHeight="false" outlineLevel="0" collapsed="false">
      <c r="A4117" s="34" t="n">
        <v>72067330187</v>
      </c>
      <c r="B4117" s="34" t="s">
        <v>10195</v>
      </c>
      <c r="C4117" s="34" t="s">
        <v>342</v>
      </c>
      <c r="E4117" s="30" t="s">
        <v>10196</v>
      </c>
      <c r="F4117" s="34" t="n">
        <f aca="false">IFERROR(VLOOKUP($A4117,'319'!$B:$H,7,0),0)</f>
        <v>0</v>
      </c>
      <c r="G4117" s="34" t="n">
        <f aca="false">SUMIFS('12.326ana'!$C:$C,'12.326ana'!$M:$M,redes!A4117)</f>
        <v>0</v>
      </c>
    </row>
    <row r="4118" customFormat="false" ht="14.4" hidden="true" customHeight="false" outlineLevel="0" collapsed="false">
      <c r="A4118" s="34" t="n">
        <v>72127155149</v>
      </c>
      <c r="B4118" s="34" t="s">
        <v>10197</v>
      </c>
      <c r="C4118" s="34" t="s">
        <v>809</v>
      </c>
      <c r="E4118" s="30" t="s">
        <v>4373</v>
      </c>
      <c r="F4118" s="34" t="n">
        <f aca="false">IFERROR(VLOOKUP($A4118,'319'!$B:$H,7,0),0)</f>
        <v>0</v>
      </c>
      <c r="G4118" s="34" t="n">
        <f aca="false">SUMIFS('12.326ana'!$C:$C,'12.326ana'!$M:$M,redes!A4118)</f>
        <v>0</v>
      </c>
    </row>
    <row r="4119" customFormat="false" ht="14.4" hidden="true" customHeight="false" outlineLevel="0" collapsed="false">
      <c r="A4119" s="34" t="n">
        <v>72172410810</v>
      </c>
      <c r="B4119" s="34" t="s">
        <v>10198</v>
      </c>
      <c r="C4119" s="34" t="s">
        <v>77</v>
      </c>
      <c r="E4119" s="30" t="s">
        <v>9517</v>
      </c>
      <c r="F4119" s="34" t="n">
        <f aca="false">IFERROR(VLOOKUP($A4119,'319'!$B:$H,7,0),0)</f>
        <v>0</v>
      </c>
      <c r="G4119" s="34" t="n">
        <f aca="false">SUMIFS('12.326ana'!$C:$C,'12.326ana'!$M:$M,redes!A4119)</f>
        <v>0</v>
      </c>
    </row>
    <row r="4120" customFormat="false" ht="14.4" hidden="true" customHeight="false" outlineLevel="0" collapsed="false">
      <c r="A4120" s="34" t="n">
        <v>72267020106</v>
      </c>
      <c r="B4120" s="34" t="s">
        <v>10199</v>
      </c>
      <c r="C4120" s="34" t="s">
        <v>77</v>
      </c>
      <c r="E4120" s="30" t="s">
        <v>10200</v>
      </c>
      <c r="F4120" s="34" t="n">
        <f aca="false">IFERROR(VLOOKUP($A4120,'319'!$B:$H,7,0),0)</f>
        <v>0</v>
      </c>
      <c r="G4120" s="34" t="n">
        <f aca="false">SUMIFS('12.326ana'!$C:$C,'12.326ana'!$M:$M,redes!A4120)</f>
        <v>0</v>
      </c>
    </row>
    <row r="4121" customFormat="false" ht="14.4" hidden="true" customHeight="false" outlineLevel="0" collapsed="false">
      <c r="A4121" s="34" t="n">
        <v>72278544187</v>
      </c>
      <c r="B4121" s="34" t="s">
        <v>10201</v>
      </c>
      <c r="C4121" s="34" t="s">
        <v>77</v>
      </c>
      <c r="E4121" s="30" t="s">
        <v>10202</v>
      </c>
      <c r="F4121" s="34" t="n">
        <f aca="false">IFERROR(VLOOKUP($A4121,'319'!$B:$H,7,0),0)</f>
        <v>0</v>
      </c>
      <c r="G4121" s="34" t="n">
        <f aca="false">SUMIFS('12.326ana'!$C:$C,'12.326ana'!$M:$M,redes!A4121)</f>
        <v>0</v>
      </c>
    </row>
    <row r="4122" customFormat="false" ht="14.4" hidden="true" customHeight="false" outlineLevel="0" collapsed="false">
      <c r="A4122" s="34" t="n">
        <v>72320427104</v>
      </c>
      <c r="B4122" s="34" t="s">
        <v>10203</v>
      </c>
      <c r="C4122" s="34" t="s">
        <v>103</v>
      </c>
      <c r="E4122" s="30" t="s">
        <v>4408</v>
      </c>
      <c r="F4122" s="34" t="n">
        <f aca="false">IFERROR(VLOOKUP($A4122,'319'!$B:$H,7,0),0)</f>
        <v>0</v>
      </c>
      <c r="G4122" s="34" t="n">
        <f aca="false">SUMIFS('12.326ana'!$C:$C,'12.326ana'!$M:$M,redes!A4122)</f>
        <v>0</v>
      </c>
    </row>
    <row r="4123" customFormat="false" ht="14.4" hidden="true" customHeight="false" outlineLevel="0" collapsed="false">
      <c r="A4123" s="34" t="n">
        <v>72501073134</v>
      </c>
      <c r="B4123" s="34" t="s">
        <v>10204</v>
      </c>
      <c r="C4123" s="34" t="s">
        <v>4139</v>
      </c>
      <c r="E4123" s="30" t="s">
        <v>5994</v>
      </c>
      <c r="F4123" s="34" t="n">
        <f aca="false">IFERROR(VLOOKUP($A4123,'319'!$B:$H,7,0),0)</f>
        <v>0</v>
      </c>
      <c r="G4123" s="34" t="n">
        <f aca="false">SUMIFS('12.326ana'!$C:$C,'12.326ana'!$M:$M,redes!A4123)</f>
        <v>0</v>
      </c>
    </row>
    <row r="4124" customFormat="false" ht="14.4" hidden="true" customHeight="false" outlineLevel="0" collapsed="false">
      <c r="A4124" s="34" t="n">
        <v>72581514191</v>
      </c>
      <c r="B4124" s="34" t="s">
        <v>10205</v>
      </c>
      <c r="C4124" s="34" t="s">
        <v>77</v>
      </c>
      <c r="E4124" s="30" t="s">
        <v>10206</v>
      </c>
      <c r="F4124" s="34" t="n">
        <f aca="false">IFERROR(VLOOKUP($A4124,'319'!$B:$H,7,0),0)</f>
        <v>0</v>
      </c>
      <c r="G4124" s="34" t="n">
        <f aca="false">SUMIFS('12.326ana'!$C:$C,'12.326ana'!$M:$M,redes!A4124)</f>
        <v>0</v>
      </c>
    </row>
    <row r="4125" customFormat="false" ht="14.4" hidden="true" customHeight="false" outlineLevel="0" collapsed="false">
      <c r="A4125" s="34" t="n">
        <v>72588225853</v>
      </c>
      <c r="B4125" s="34" t="s">
        <v>10207</v>
      </c>
      <c r="C4125" s="34" t="s">
        <v>77</v>
      </c>
      <c r="E4125" s="30" t="s">
        <v>10208</v>
      </c>
      <c r="F4125" s="34" t="n">
        <f aca="false">IFERROR(VLOOKUP($A4125,'319'!$B:$H,7,0),0)</f>
        <v>0</v>
      </c>
      <c r="G4125" s="34" t="n">
        <f aca="false">SUMIFS('12.326ana'!$C:$C,'12.326ana'!$M:$M,redes!A4125)</f>
        <v>0</v>
      </c>
    </row>
    <row r="4126" customFormat="false" ht="14.4" hidden="true" customHeight="false" outlineLevel="0" collapsed="false">
      <c r="A4126" s="34" t="n">
        <v>72589175949</v>
      </c>
      <c r="B4126" s="34" t="s">
        <v>10209</v>
      </c>
      <c r="C4126" s="34" t="s">
        <v>405</v>
      </c>
      <c r="E4126" s="30" t="s">
        <v>10210</v>
      </c>
      <c r="F4126" s="34" t="n">
        <f aca="false">IFERROR(VLOOKUP($A4126,'319'!$B:$H,7,0),0)</f>
        <v>0</v>
      </c>
      <c r="G4126" s="34" t="n">
        <f aca="false">SUMIFS('12.326ana'!$C:$C,'12.326ana'!$M:$M,redes!A4126)</f>
        <v>0</v>
      </c>
    </row>
    <row r="4127" customFormat="false" ht="14.4" hidden="true" customHeight="false" outlineLevel="0" collapsed="false">
      <c r="A4127" s="34" t="n">
        <v>72714107834</v>
      </c>
      <c r="B4127" s="34" t="s">
        <v>10211</v>
      </c>
      <c r="C4127" s="34" t="s">
        <v>77</v>
      </c>
      <c r="E4127" s="30" t="s">
        <v>10212</v>
      </c>
      <c r="F4127" s="34" t="n">
        <f aca="false">IFERROR(VLOOKUP($A4127,'319'!$B:$H,7,0),0)</f>
        <v>0</v>
      </c>
      <c r="G4127" s="34" t="n">
        <f aca="false">SUMIFS('12.326ana'!$C:$C,'12.326ana'!$M:$M,redes!A4127)</f>
        <v>0</v>
      </c>
    </row>
    <row r="4128" customFormat="false" ht="14.4" hidden="true" customHeight="false" outlineLevel="0" collapsed="false">
      <c r="A4128" s="34" t="n">
        <v>72731249900</v>
      </c>
      <c r="B4128" s="34" t="s">
        <v>10213</v>
      </c>
      <c r="C4128" s="34" t="s">
        <v>357</v>
      </c>
      <c r="E4128" s="30" t="s">
        <v>10214</v>
      </c>
      <c r="F4128" s="34" t="n">
        <f aca="false">IFERROR(VLOOKUP($A4128,'319'!$B:$H,7,0),0)</f>
        <v>0</v>
      </c>
      <c r="G4128" s="34" t="n">
        <f aca="false">SUMIFS('12.326ana'!$C:$C,'12.326ana'!$M:$M,redes!A4128)</f>
        <v>0</v>
      </c>
    </row>
    <row r="4129" customFormat="false" ht="14.4" hidden="true" customHeight="false" outlineLevel="0" collapsed="false">
      <c r="A4129" s="34" t="n">
        <v>72733101153</v>
      </c>
      <c r="B4129" s="34" t="s">
        <v>10215</v>
      </c>
      <c r="C4129" s="34" t="s">
        <v>77</v>
      </c>
      <c r="E4129" s="30" t="s">
        <v>10216</v>
      </c>
      <c r="F4129" s="34" t="n">
        <f aca="false">IFERROR(VLOOKUP($A4129,'319'!$B:$H,7,0),0)</f>
        <v>0</v>
      </c>
      <c r="G4129" s="34" t="n">
        <f aca="false">SUMIFS('12.326ana'!$C:$C,'12.326ana'!$M:$M,redes!A4129)</f>
        <v>0</v>
      </c>
    </row>
    <row r="4130" customFormat="false" ht="14.4" hidden="true" customHeight="false" outlineLevel="0" collapsed="false">
      <c r="A4130" s="34" t="n">
        <v>72748591372</v>
      </c>
      <c r="B4130" s="34" t="s">
        <v>10217</v>
      </c>
      <c r="C4130" s="34" t="s">
        <v>77</v>
      </c>
      <c r="E4130" s="30" t="s">
        <v>6376</v>
      </c>
      <c r="F4130" s="34" t="n">
        <f aca="false">IFERROR(VLOOKUP($A4130,'319'!$B:$H,7,0),0)</f>
        <v>0</v>
      </c>
      <c r="G4130" s="34" t="n">
        <f aca="false">SUMIFS('12.326ana'!$C:$C,'12.326ana'!$M:$M,redes!A4130)</f>
        <v>0</v>
      </c>
    </row>
    <row r="4131" customFormat="false" ht="14.4" hidden="true" customHeight="false" outlineLevel="0" collapsed="false">
      <c r="A4131" s="34" t="n">
        <v>72790750963</v>
      </c>
      <c r="B4131" s="34" t="s">
        <v>10218</v>
      </c>
      <c r="C4131" s="34" t="s">
        <v>77</v>
      </c>
      <c r="E4131" s="30" t="s">
        <v>10219</v>
      </c>
      <c r="F4131" s="34" t="n">
        <f aca="false">IFERROR(VLOOKUP($A4131,'319'!$B:$H,7,0),0)</f>
        <v>0</v>
      </c>
      <c r="G4131" s="34" t="n">
        <f aca="false">SUMIFS('12.326ana'!$C:$C,'12.326ana'!$M:$M,redes!A4131)</f>
        <v>0</v>
      </c>
    </row>
    <row r="4132" customFormat="false" ht="14.4" hidden="true" customHeight="false" outlineLevel="0" collapsed="false">
      <c r="A4132" s="34" t="n">
        <v>72809159149</v>
      </c>
      <c r="B4132" s="34" t="s">
        <v>10220</v>
      </c>
      <c r="C4132" s="34" t="s">
        <v>103</v>
      </c>
      <c r="E4132" s="30" t="s">
        <v>10221</v>
      </c>
      <c r="F4132" s="34" t="n">
        <f aca="false">IFERROR(VLOOKUP($A4132,'319'!$B:$H,7,0),0)</f>
        <v>0</v>
      </c>
      <c r="G4132" s="34" t="n">
        <f aca="false">SUMIFS('12.326ana'!$C:$C,'12.326ana'!$M:$M,redes!A4132)</f>
        <v>0</v>
      </c>
    </row>
    <row r="4133" customFormat="false" ht="14.4" hidden="true" customHeight="false" outlineLevel="0" collapsed="false">
      <c r="A4133" s="34" t="n">
        <v>72812460130</v>
      </c>
      <c r="B4133" s="34" t="s">
        <v>10222</v>
      </c>
      <c r="C4133" s="34" t="s">
        <v>77</v>
      </c>
      <c r="E4133" s="30" t="s">
        <v>5994</v>
      </c>
      <c r="F4133" s="34" t="n">
        <f aca="false">IFERROR(VLOOKUP($A4133,'319'!$B:$H,7,0),0)</f>
        <v>0</v>
      </c>
      <c r="G4133" s="34" t="n">
        <f aca="false">SUMIFS('12.326ana'!$C:$C,'12.326ana'!$M:$M,redes!A4133)</f>
        <v>0</v>
      </c>
    </row>
    <row r="4134" customFormat="false" ht="14.4" hidden="true" customHeight="false" outlineLevel="0" collapsed="false">
      <c r="A4134" s="34" t="n">
        <v>72865091449</v>
      </c>
      <c r="B4134" s="34" t="s">
        <v>10223</v>
      </c>
      <c r="C4134" s="34" t="s">
        <v>192</v>
      </c>
      <c r="E4134" s="30"/>
      <c r="F4134" s="34" t="n">
        <f aca="false">IFERROR(VLOOKUP($A4134,'319'!$B:$H,7,0),0)</f>
        <v>0</v>
      </c>
      <c r="G4134" s="34" t="n">
        <f aca="false">SUMIFS('12.326ana'!$C:$C,'12.326ana'!$M:$M,redes!A4134)</f>
        <v>0</v>
      </c>
    </row>
    <row r="4135" customFormat="false" ht="14.4" hidden="true" customHeight="false" outlineLevel="0" collapsed="false">
      <c r="A4135" s="34" t="n">
        <v>72866934172</v>
      </c>
      <c r="B4135" s="34" t="s">
        <v>10224</v>
      </c>
      <c r="C4135" s="34" t="s">
        <v>89</v>
      </c>
      <c r="E4135" s="30" t="s">
        <v>10224</v>
      </c>
      <c r="F4135" s="34" t="n">
        <f aca="false">IFERROR(VLOOKUP($A4135,'319'!$B:$H,7,0),0)</f>
        <v>0</v>
      </c>
      <c r="G4135" s="34" t="n">
        <f aca="false">SUMIFS('12.326ana'!$C:$C,'12.326ana'!$M:$M,redes!A4135)</f>
        <v>0</v>
      </c>
    </row>
    <row r="4136" customFormat="false" ht="14.4" hidden="true" customHeight="false" outlineLevel="0" collapsed="false">
      <c r="A4136" s="34" t="n">
        <v>72875402153</v>
      </c>
      <c r="B4136" s="34" t="s">
        <v>10225</v>
      </c>
      <c r="C4136" s="34" t="s">
        <v>77</v>
      </c>
      <c r="E4136" s="30" t="s">
        <v>6700</v>
      </c>
      <c r="F4136" s="34" t="n">
        <f aca="false">IFERROR(VLOOKUP($A4136,'319'!$B:$H,7,0),0)</f>
        <v>0</v>
      </c>
      <c r="G4136" s="34" t="n">
        <f aca="false">SUMIFS('12.326ana'!$C:$C,'12.326ana'!$M:$M,redes!A4136)</f>
        <v>0</v>
      </c>
    </row>
    <row r="4137" customFormat="false" ht="14.4" hidden="true" customHeight="false" outlineLevel="0" collapsed="false">
      <c r="A4137" s="34" t="n">
        <v>72890460991</v>
      </c>
      <c r="B4137" s="34" t="s">
        <v>10226</v>
      </c>
      <c r="C4137" s="34" t="s">
        <v>77</v>
      </c>
      <c r="E4137" s="30" t="s">
        <v>10227</v>
      </c>
      <c r="F4137" s="34" t="n">
        <f aca="false">IFERROR(VLOOKUP($A4137,'319'!$B:$H,7,0),0)</f>
        <v>0</v>
      </c>
      <c r="G4137" s="34" t="n">
        <f aca="false">SUMIFS('12.326ana'!$C:$C,'12.326ana'!$M:$M,redes!A4137)</f>
        <v>0</v>
      </c>
    </row>
    <row r="4138" customFormat="false" ht="14.4" hidden="true" customHeight="false" outlineLevel="0" collapsed="false">
      <c r="A4138" s="34" t="n">
        <v>72935774191</v>
      </c>
      <c r="B4138" s="34" t="s">
        <v>10228</v>
      </c>
      <c r="C4138" s="34" t="s">
        <v>77</v>
      </c>
      <c r="E4138" s="30" t="s">
        <v>10229</v>
      </c>
      <c r="F4138" s="34" t="n">
        <f aca="false">IFERROR(VLOOKUP($A4138,'319'!$B:$H,7,0),0)</f>
        <v>0</v>
      </c>
      <c r="G4138" s="34" t="n">
        <f aca="false">SUMIFS('12.326ana'!$C:$C,'12.326ana'!$M:$M,redes!A4138)</f>
        <v>0</v>
      </c>
    </row>
    <row r="4139" customFormat="false" ht="14.4" hidden="true" customHeight="false" outlineLevel="0" collapsed="false">
      <c r="A4139" s="34" t="n">
        <v>72981989553</v>
      </c>
      <c r="B4139" s="34" t="s">
        <v>10230</v>
      </c>
      <c r="C4139" s="34" t="s">
        <v>77</v>
      </c>
      <c r="E4139" s="30" t="s">
        <v>10231</v>
      </c>
      <c r="F4139" s="34" t="n">
        <f aca="false">IFERROR(VLOOKUP($A4139,'319'!$B:$H,7,0),0)</f>
        <v>0</v>
      </c>
      <c r="G4139" s="34" t="n">
        <f aca="false">SUMIFS('12.326ana'!$C:$C,'12.326ana'!$M:$M,redes!A4139)</f>
        <v>0</v>
      </c>
    </row>
    <row r="4140" customFormat="false" ht="14.4" hidden="true" customHeight="false" outlineLevel="0" collapsed="false">
      <c r="A4140" s="34" t="n">
        <v>73009385234</v>
      </c>
      <c r="B4140" s="34" t="s">
        <v>10232</v>
      </c>
      <c r="C4140" s="34" t="s">
        <v>77</v>
      </c>
      <c r="E4140" s="30" t="s">
        <v>6650</v>
      </c>
      <c r="F4140" s="34" t="n">
        <f aca="false">IFERROR(VLOOKUP($A4140,'319'!$B:$H,7,0),0)</f>
        <v>0</v>
      </c>
      <c r="G4140" s="34" t="n">
        <f aca="false">SUMIFS('12.326ana'!$C:$C,'12.326ana'!$M:$M,redes!A4140)</f>
        <v>0</v>
      </c>
    </row>
    <row r="4141" customFormat="false" ht="14.4" hidden="true" customHeight="false" outlineLevel="0" collapsed="false">
      <c r="A4141" s="34" t="n">
        <v>73052582968</v>
      </c>
      <c r="B4141" s="34" t="s">
        <v>10233</v>
      </c>
      <c r="C4141" s="34" t="s">
        <v>77</v>
      </c>
      <c r="E4141" s="30" t="s">
        <v>10234</v>
      </c>
      <c r="F4141" s="34" t="n">
        <f aca="false">IFERROR(VLOOKUP($A4141,'319'!$B:$H,7,0),0)</f>
        <v>0</v>
      </c>
      <c r="G4141" s="34" t="n">
        <f aca="false">SUMIFS('12.326ana'!$C:$C,'12.326ana'!$M:$M,redes!A4141)</f>
        <v>0</v>
      </c>
    </row>
    <row r="4142" customFormat="false" ht="14.4" hidden="true" customHeight="false" outlineLevel="0" collapsed="false">
      <c r="A4142" s="34" t="n">
        <v>73054062104</v>
      </c>
      <c r="B4142" s="34" t="s">
        <v>10235</v>
      </c>
      <c r="C4142" s="34" t="s">
        <v>77</v>
      </c>
      <c r="E4142" s="30" t="s">
        <v>10236</v>
      </c>
      <c r="F4142" s="34" t="n">
        <f aca="false">IFERROR(VLOOKUP($A4142,'319'!$B:$H,7,0),0)</f>
        <v>0</v>
      </c>
      <c r="G4142" s="34" t="n">
        <f aca="false">SUMIFS('12.326ana'!$C:$C,'12.326ana'!$M:$M,redes!A4142)</f>
        <v>0</v>
      </c>
    </row>
    <row r="4143" customFormat="false" ht="14.4" hidden="true" customHeight="false" outlineLevel="0" collapsed="false">
      <c r="A4143" s="34" t="n">
        <v>73068675120</v>
      </c>
      <c r="B4143" s="34" t="s">
        <v>10237</v>
      </c>
      <c r="C4143" s="34" t="s">
        <v>77</v>
      </c>
      <c r="E4143" s="30" t="s">
        <v>10237</v>
      </c>
      <c r="F4143" s="34" t="n">
        <f aca="false">IFERROR(VLOOKUP($A4143,'319'!$B:$H,7,0),0)</f>
        <v>0</v>
      </c>
      <c r="G4143" s="34" t="n">
        <f aca="false">SUMIFS('12.326ana'!$C:$C,'12.326ana'!$M:$M,redes!A4143)</f>
        <v>0</v>
      </c>
    </row>
    <row r="4144" customFormat="false" ht="14.4" hidden="true" customHeight="false" outlineLevel="0" collapsed="false">
      <c r="A4144" s="34" t="n">
        <v>73089486172</v>
      </c>
      <c r="B4144" s="34" t="s">
        <v>10238</v>
      </c>
      <c r="C4144" s="34" t="s">
        <v>89</v>
      </c>
      <c r="E4144" s="30" t="s">
        <v>10239</v>
      </c>
      <c r="F4144" s="34" t="n">
        <f aca="false">IFERROR(VLOOKUP($A4144,'319'!$B:$H,7,0),0)</f>
        <v>0</v>
      </c>
      <c r="G4144" s="34" t="n">
        <f aca="false">SUMIFS('12.326ana'!$C:$C,'12.326ana'!$M:$M,redes!A4144)</f>
        <v>0</v>
      </c>
    </row>
    <row r="4145" customFormat="false" ht="14.4" hidden="true" customHeight="false" outlineLevel="0" collapsed="false">
      <c r="A4145" s="34" t="n">
        <v>73111635953</v>
      </c>
      <c r="B4145" s="34" t="s">
        <v>10240</v>
      </c>
      <c r="C4145" s="34" t="s">
        <v>478</v>
      </c>
      <c r="E4145" s="30" t="s">
        <v>10241</v>
      </c>
      <c r="F4145" s="34" t="n">
        <f aca="false">IFERROR(VLOOKUP($A4145,'319'!$B:$H,7,0),0)</f>
        <v>0</v>
      </c>
      <c r="G4145" s="34" t="n">
        <f aca="false">SUMIFS('12.326ana'!$C:$C,'12.326ana'!$M:$M,redes!A4145)</f>
        <v>0</v>
      </c>
    </row>
    <row r="4146" customFormat="false" ht="14.4" hidden="true" customHeight="false" outlineLevel="0" collapsed="false">
      <c r="A4146" s="34" t="n">
        <v>73140139187</v>
      </c>
      <c r="B4146" s="34" t="s">
        <v>10242</v>
      </c>
      <c r="C4146" s="34" t="s">
        <v>77</v>
      </c>
      <c r="E4146" s="30" t="s">
        <v>4499</v>
      </c>
      <c r="F4146" s="34" t="n">
        <f aca="false">IFERROR(VLOOKUP($A4146,'319'!$B:$H,7,0),0)</f>
        <v>0</v>
      </c>
      <c r="G4146" s="34" t="n">
        <f aca="false">SUMIFS('12.326ana'!$C:$C,'12.326ana'!$M:$M,redes!A4146)</f>
        <v>0</v>
      </c>
    </row>
    <row r="4147" customFormat="false" ht="14.4" hidden="true" customHeight="false" outlineLevel="0" collapsed="false">
      <c r="A4147" s="34" t="n">
        <v>73192465115</v>
      </c>
      <c r="B4147" s="34" t="s">
        <v>10243</v>
      </c>
      <c r="C4147" s="34" t="s">
        <v>107</v>
      </c>
      <c r="E4147" s="30" t="s">
        <v>10244</v>
      </c>
      <c r="F4147" s="34" t="n">
        <f aca="false">IFERROR(VLOOKUP($A4147,'319'!$B:$H,7,0),0)</f>
        <v>0</v>
      </c>
      <c r="G4147" s="34" t="n">
        <f aca="false">SUMIFS('12.326ana'!$C:$C,'12.326ana'!$M:$M,redes!A4147)</f>
        <v>0</v>
      </c>
    </row>
    <row r="4148" customFormat="false" ht="14.4" hidden="true" customHeight="false" outlineLevel="0" collapsed="false">
      <c r="A4148" s="34" t="n">
        <v>73273066172</v>
      </c>
      <c r="B4148" s="34" t="s">
        <v>10245</v>
      </c>
      <c r="C4148" s="34" t="s">
        <v>478</v>
      </c>
      <c r="E4148" s="30" t="s">
        <v>10246</v>
      </c>
      <c r="F4148" s="34" t="n">
        <f aca="false">IFERROR(VLOOKUP($A4148,'319'!$B:$H,7,0),0)</f>
        <v>0</v>
      </c>
      <c r="G4148" s="34" t="n">
        <f aca="false">SUMIFS('12.326ana'!$C:$C,'12.326ana'!$M:$M,redes!A4148)</f>
        <v>0</v>
      </c>
    </row>
    <row r="4149" customFormat="false" ht="14.4" hidden="true" customHeight="false" outlineLevel="0" collapsed="false">
      <c r="A4149" s="34" t="n">
        <v>73306304549</v>
      </c>
      <c r="B4149" s="34" t="s">
        <v>10247</v>
      </c>
      <c r="C4149" s="34" t="s">
        <v>309</v>
      </c>
      <c r="E4149" s="30" t="s">
        <v>10248</v>
      </c>
      <c r="F4149" s="34" t="n">
        <f aca="false">IFERROR(VLOOKUP($A4149,'319'!$B:$H,7,0),0)</f>
        <v>0</v>
      </c>
      <c r="G4149" s="34" t="n">
        <f aca="false">SUMIFS('12.326ana'!$C:$C,'12.326ana'!$M:$M,redes!A4149)</f>
        <v>0</v>
      </c>
    </row>
    <row r="4150" customFormat="false" ht="14.4" hidden="true" customHeight="false" outlineLevel="0" collapsed="false">
      <c r="A4150" s="34" t="n">
        <v>73312940168</v>
      </c>
      <c r="B4150" s="34" t="s">
        <v>10249</v>
      </c>
      <c r="C4150" s="34" t="s">
        <v>77</v>
      </c>
      <c r="E4150" s="30"/>
      <c r="F4150" s="34" t="n">
        <f aca="false">IFERROR(VLOOKUP($A4150,'319'!$B:$H,7,0),0)</f>
        <v>0</v>
      </c>
      <c r="G4150" s="34" t="n">
        <f aca="false">SUMIFS('12.326ana'!$C:$C,'12.326ana'!$M:$M,redes!A4150)</f>
        <v>0</v>
      </c>
    </row>
    <row r="4151" customFormat="false" ht="14.4" hidden="true" customHeight="false" outlineLevel="0" collapsed="false">
      <c r="A4151" s="34" t="n">
        <v>73351000122</v>
      </c>
      <c r="B4151" s="34" t="s">
        <v>747</v>
      </c>
      <c r="C4151" s="34" t="s">
        <v>713</v>
      </c>
      <c r="E4151" s="30" t="s">
        <v>10250</v>
      </c>
      <c r="F4151" s="34" t="n">
        <f aca="false">IFERROR(VLOOKUP($A4151,'319'!$B:$H,7,0),0)</f>
        <v>4552.55</v>
      </c>
      <c r="G4151" s="34" t="n">
        <f aca="false">SUMIFS('12.326ana'!$C:$C,'12.326ana'!$M:$M,redes!A4151)</f>
        <v>0</v>
      </c>
    </row>
    <row r="4152" customFormat="false" ht="14.4" hidden="true" customHeight="false" outlineLevel="0" collapsed="false">
      <c r="A4152" s="34" t="n">
        <v>73355000100</v>
      </c>
      <c r="B4152" s="34" t="s">
        <v>10251</v>
      </c>
      <c r="C4152" s="34" t="s">
        <v>192</v>
      </c>
      <c r="E4152" s="30" t="s">
        <v>10252</v>
      </c>
      <c r="F4152" s="34" t="n">
        <f aca="false">IFERROR(VLOOKUP($A4152,'319'!$B:$H,7,0),0)</f>
        <v>0</v>
      </c>
      <c r="G4152" s="34" t="n">
        <f aca="false">SUMIFS('12.326ana'!$C:$C,'12.326ana'!$M:$M,redes!A4152)</f>
        <v>0</v>
      </c>
    </row>
    <row r="4153" customFormat="false" ht="14.4" hidden="true" customHeight="false" outlineLevel="0" collapsed="false">
      <c r="A4153" s="34" t="n">
        <v>73356751115</v>
      </c>
      <c r="B4153" s="34" t="s">
        <v>10253</v>
      </c>
      <c r="C4153" s="34" t="s">
        <v>103</v>
      </c>
      <c r="E4153" s="30" t="s">
        <v>10254</v>
      </c>
      <c r="F4153" s="34" t="n">
        <f aca="false">IFERROR(VLOOKUP($A4153,'319'!$B:$H,7,0),0)</f>
        <v>0</v>
      </c>
      <c r="G4153" s="34" t="n">
        <f aca="false">SUMIFS('12.326ana'!$C:$C,'12.326ana'!$M:$M,redes!A4153)</f>
        <v>0</v>
      </c>
    </row>
    <row r="4154" customFormat="false" ht="14.4" hidden="true" customHeight="false" outlineLevel="0" collapsed="false">
      <c r="A4154" s="34" t="n">
        <v>73368555120</v>
      </c>
      <c r="B4154" s="34" t="s">
        <v>10255</v>
      </c>
      <c r="C4154" s="34" t="s">
        <v>77</v>
      </c>
      <c r="E4154" s="30" t="s">
        <v>10256</v>
      </c>
      <c r="F4154" s="34" t="n">
        <f aca="false">IFERROR(VLOOKUP($A4154,'319'!$B:$H,7,0),0)</f>
        <v>0</v>
      </c>
      <c r="G4154" s="34" t="n">
        <f aca="false">SUMIFS('12.326ana'!$C:$C,'12.326ana'!$M:$M,redes!A4154)</f>
        <v>0</v>
      </c>
    </row>
    <row r="4155" customFormat="false" ht="14.4" hidden="true" customHeight="false" outlineLevel="0" collapsed="false">
      <c r="A4155" s="34" t="n">
        <v>73385395100</v>
      </c>
      <c r="B4155" s="34" t="s">
        <v>10257</v>
      </c>
      <c r="C4155" s="34" t="s">
        <v>77</v>
      </c>
      <c r="E4155" s="30"/>
      <c r="F4155" s="34" t="n">
        <f aca="false">IFERROR(VLOOKUP($A4155,'319'!$B:$H,7,0),0)</f>
        <v>0</v>
      </c>
      <c r="G4155" s="34" t="n">
        <f aca="false">SUMIFS('12.326ana'!$C:$C,'12.326ana'!$M:$M,redes!A4155)</f>
        <v>0</v>
      </c>
    </row>
    <row r="4156" customFormat="false" ht="14.4" hidden="true" customHeight="false" outlineLevel="0" collapsed="false">
      <c r="A4156" s="34" t="n">
        <v>73387878168</v>
      </c>
      <c r="B4156" s="34" t="s">
        <v>10258</v>
      </c>
      <c r="C4156" s="34" t="s">
        <v>77</v>
      </c>
      <c r="E4156" s="30" t="s">
        <v>5725</v>
      </c>
      <c r="F4156" s="34" t="n">
        <f aca="false">IFERROR(VLOOKUP($A4156,'319'!$B:$H,7,0),0)</f>
        <v>0</v>
      </c>
      <c r="G4156" s="34" t="n">
        <f aca="false">SUMIFS('12.326ana'!$C:$C,'12.326ana'!$M:$M,redes!A4156)</f>
        <v>0</v>
      </c>
    </row>
    <row r="4157" customFormat="false" ht="14.4" hidden="true" customHeight="false" outlineLevel="0" collapsed="false">
      <c r="A4157" s="34" t="n">
        <v>73407259115</v>
      </c>
      <c r="B4157" s="34" t="s">
        <v>10259</v>
      </c>
      <c r="C4157" s="34" t="s">
        <v>77</v>
      </c>
      <c r="E4157" s="30" t="s">
        <v>10260</v>
      </c>
      <c r="F4157" s="34" t="n">
        <f aca="false">IFERROR(VLOOKUP($A4157,'319'!$B:$H,7,0),0)</f>
        <v>0</v>
      </c>
      <c r="G4157" s="34" t="n">
        <f aca="false">SUMIFS('12.326ana'!$C:$C,'12.326ana'!$M:$M,redes!A4157)</f>
        <v>0</v>
      </c>
    </row>
    <row r="4158" customFormat="false" ht="14.4" hidden="true" customHeight="false" outlineLevel="0" collapsed="false">
      <c r="A4158" s="34" t="n">
        <v>73411817100</v>
      </c>
      <c r="B4158" s="34" t="s">
        <v>10261</v>
      </c>
      <c r="C4158" s="34" t="s">
        <v>77</v>
      </c>
      <c r="E4158" s="30" t="s">
        <v>10262</v>
      </c>
      <c r="F4158" s="34" t="n">
        <f aca="false">IFERROR(VLOOKUP($A4158,'319'!$B:$H,7,0),0)</f>
        <v>0</v>
      </c>
      <c r="G4158" s="34" t="n">
        <f aca="false">SUMIFS('12.326ana'!$C:$C,'12.326ana'!$M:$M,redes!A4158)</f>
        <v>0</v>
      </c>
    </row>
    <row r="4159" customFormat="false" ht="14.4" hidden="true" customHeight="false" outlineLevel="0" collapsed="false">
      <c r="A4159" s="34" t="n">
        <v>73463965887</v>
      </c>
      <c r="B4159" s="34" t="s">
        <v>10263</v>
      </c>
      <c r="C4159" s="34" t="s">
        <v>77</v>
      </c>
      <c r="E4159" s="30" t="s">
        <v>9302</v>
      </c>
      <c r="F4159" s="34" t="n">
        <f aca="false">IFERROR(VLOOKUP($A4159,'319'!$B:$H,7,0),0)</f>
        <v>0</v>
      </c>
      <c r="G4159" s="34" t="n">
        <f aca="false">SUMIFS('12.326ana'!$C:$C,'12.326ana'!$M:$M,redes!A4159)</f>
        <v>0</v>
      </c>
    </row>
    <row r="4160" customFormat="false" ht="14.4" hidden="true" customHeight="false" outlineLevel="0" collapsed="false">
      <c r="A4160" s="34" t="n">
        <v>73623075868</v>
      </c>
      <c r="B4160" s="34" t="s">
        <v>10264</v>
      </c>
      <c r="C4160" s="34" t="s">
        <v>77</v>
      </c>
      <c r="E4160" s="30" t="s">
        <v>10265</v>
      </c>
      <c r="F4160" s="34" t="n">
        <f aca="false">IFERROR(VLOOKUP($A4160,'319'!$B:$H,7,0),0)</f>
        <v>0</v>
      </c>
      <c r="G4160" s="34" t="n">
        <f aca="false">SUMIFS('12.326ana'!$C:$C,'12.326ana'!$M:$M,redes!A4160)</f>
        <v>0</v>
      </c>
    </row>
    <row r="4161" customFormat="false" ht="14.4" hidden="true" customHeight="false" outlineLevel="0" collapsed="false">
      <c r="A4161" s="34" t="n">
        <v>73647128104</v>
      </c>
      <c r="B4161" s="34" t="s">
        <v>10266</v>
      </c>
      <c r="C4161" s="34" t="s">
        <v>77</v>
      </c>
      <c r="E4161" s="30" t="s">
        <v>10266</v>
      </c>
      <c r="F4161" s="34" t="n">
        <f aca="false">IFERROR(VLOOKUP($A4161,'319'!$B:$H,7,0),0)</f>
        <v>0</v>
      </c>
      <c r="G4161" s="34" t="n">
        <f aca="false">SUMIFS('12.326ana'!$C:$C,'12.326ana'!$M:$M,redes!A4161)</f>
        <v>0</v>
      </c>
    </row>
    <row r="4162" customFormat="false" ht="14.4" hidden="true" customHeight="false" outlineLevel="0" collapsed="false">
      <c r="A4162" s="34" t="n">
        <v>73668419191</v>
      </c>
      <c r="B4162" s="34" t="s">
        <v>10267</v>
      </c>
      <c r="C4162" s="34" t="s">
        <v>139</v>
      </c>
      <c r="E4162" s="30" t="s">
        <v>10268</v>
      </c>
      <c r="F4162" s="34" t="n">
        <f aca="false">IFERROR(VLOOKUP($A4162,'319'!$B:$H,7,0),0)</f>
        <v>0</v>
      </c>
      <c r="G4162" s="34" t="n">
        <f aca="false">SUMIFS('12.326ana'!$C:$C,'12.326ana'!$M:$M,redes!A4162)</f>
        <v>0</v>
      </c>
    </row>
    <row r="4163" customFormat="false" ht="14.4" hidden="true" customHeight="false" outlineLevel="0" collapsed="false">
      <c r="A4163" s="34" t="n">
        <v>73764868104</v>
      </c>
      <c r="B4163" s="34" t="s">
        <v>10269</v>
      </c>
      <c r="C4163" s="34" t="s">
        <v>77</v>
      </c>
      <c r="E4163" s="30" t="s">
        <v>10270</v>
      </c>
      <c r="F4163" s="34" t="n">
        <f aca="false">IFERROR(VLOOKUP($A4163,'319'!$B:$H,7,0),0)</f>
        <v>0</v>
      </c>
      <c r="G4163" s="34" t="n">
        <f aca="false">SUMIFS('12.326ana'!$C:$C,'12.326ana'!$M:$M,redes!A4163)</f>
        <v>0</v>
      </c>
    </row>
    <row r="4164" customFormat="false" ht="14.4" hidden="true" customHeight="false" outlineLevel="0" collapsed="false">
      <c r="A4164" s="34" t="n">
        <v>73779601168</v>
      </c>
      <c r="B4164" s="34" t="s">
        <v>10271</v>
      </c>
      <c r="C4164" s="34" t="s">
        <v>77</v>
      </c>
      <c r="E4164" s="30" t="s">
        <v>3902</v>
      </c>
      <c r="F4164" s="34" t="n">
        <f aca="false">IFERROR(VLOOKUP($A4164,'319'!$B:$H,7,0),0)</f>
        <v>0</v>
      </c>
      <c r="G4164" s="34" t="n">
        <f aca="false">SUMIFS('12.326ana'!$C:$C,'12.326ana'!$M:$M,redes!A4164)</f>
        <v>0</v>
      </c>
    </row>
    <row r="4165" customFormat="false" ht="14.4" hidden="true" customHeight="false" outlineLevel="0" collapsed="false">
      <c r="A4165" s="34" t="n">
        <v>73843636915</v>
      </c>
      <c r="B4165" s="34" t="s">
        <v>10272</v>
      </c>
      <c r="C4165" s="34" t="s">
        <v>77</v>
      </c>
      <c r="E4165" s="30" t="s">
        <v>10273</v>
      </c>
      <c r="F4165" s="34" t="n">
        <f aca="false">IFERROR(VLOOKUP($A4165,'319'!$B:$H,7,0),0)</f>
        <v>0</v>
      </c>
      <c r="G4165" s="34" t="n">
        <f aca="false">SUMIFS('12.326ana'!$C:$C,'12.326ana'!$M:$M,redes!A4165)</f>
        <v>0</v>
      </c>
    </row>
    <row r="4166" customFormat="false" ht="14.4" hidden="true" customHeight="false" outlineLevel="0" collapsed="false">
      <c r="A4166" s="34" t="n">
        <v>73969117453</v>
      </c>
      <c r="B4166" s="34" t="s">
        <v>10274</v>
      </c>
      <c r="C4166" s="34" t="s">
        <v>77</v>
      </c>
      <c r="E4166" s="30" t="s">
        <v>10275</v>
      </c>
      <c r="F4166" s="34" t="n">
        <f aca="false">IFERROR(VLOOKUP($A4166,'319'!$B:$H,7,0),0)</f>
        <v>0</v>
      </c>
      <c r="G4166" s="34" t="n">
        <f aca="false">SUMIFS('12.326ana'!$C:$C,'12.326ana'!$M:$M,redes!A4166)</f>
        <v>0</v>
      </c>
    </row>
    <row r="4167" customFormat="false" ht="14.4" hidden="true" customHeight="false" outlineLevel="0" collapsed="false">
      <c r="A4167" s="34" t="n">
        <v>74030418104</v>
      </c>
      <c r="B4167" s="34" t="s">
        <v>10276</v>
      </c>
      <c r="C4167" s="34" t="s">
        <v>464</v>
      </c>
      <c r="E4167" s="30" t="s">
        <v>10277</v>
      </c>
      <c r="F4167" s="34" t="n">
        <f aca="false">IFERROR(VLOOKUP($A4167,'319'!$B:$H,7,0),0)</f>
        <v>0</v>
      </c>
      <c r="G4167" s="34" t="n">
        <f aca="false">SUMIFS('12.326ana'!$C:$C,'12.326ana'!$M:$M,redes!A4167)</f>
        <v>0</v>
      </c>
    </row>
    <row r="4168" customFormat="false" ht="14.4" hidden="true" customHeight="false" outlineLevel="0" collapsed="false">
      <c r="A4168" s="34" t="n">
        <v>74452258468</v>
      </c>
      <c r="B4168" s="34" t="s">
        <v>10278</v>
      </c>
      <c r="C4168" s="34" t="s">
        <v>129</v>
      </c>
      <c r="E4168" s="30" t="s">
        <v>10279</v>
      </c>
      <c r="F4168" s="34" t="n">
        <f aca="false">IFERROR(VLOOKUP($A4168,'319'!$B:$H,7,0),0)</f>
        <v>0</v>
      </c>
      <c r="G4168" s="34" t="n">
        <f aca="false">SUMIFS('12.326ana'!$C:$C,'12.326ana'!$M:$M,redes!A4168)</f>
        <v>0</v>
      </c>
    </row>
    <row r="4169" customFormat="false" ht="14.4" hidden="true" customHeight="false" outlineLevel="0" collapsed="false">
      <c r="A4169" s="34" t="n">
        <v>74465031653</v>
      </c>
      <c r="B4169" s="34" t="s">
        <v>10280</v>
      </c>
      <c r="C4169" s="34" t="s">
        <v>77</v>
      </c>
      <c r="E4169" s="30"/>
      <c r="F4169" s="34" t="n">
        <f aca="false">IFERROR(VLOOKUP($A4169,'319'!$B:$H,7,0),0)</f>
        <v>0</v>
      </c>
      <c r="G4169" s="34" t="n">
        <f aca="false">SUMIFS('12.326ana'!$C:$C,'12.326ana'!$M:$M,redes!A4169)</f>
        <v>0</v>
      </c>
    </row>
    <row r="4170" customFormat="false" ht="14.4" hidden="true" customHeight="false" outlineLevel="0" collapsed="false">
      <c r="A4170" s="34" t="n">
        <v>74481460687</v>
      </c>
      <c r="B4170" s="34" t="s">
        <v>10280</v>
      </c>
      <c r="C4170" s="34" t="s">
        <v>77</v>
      </c>
      <c r="E4170" s="30" t="s">
        <v>10281</v>
      </c>
      <c r="F4170" s="34" t="n">
        <f aca="false">IFERROR(VLOOKUP($A4170,'319'!$B:$H,7,0),0)</f>
        <v>0</v>
      </c>
      <c r="G4170" s="34" t="n">
        <f aca="false">SUMIFS('12.326ana'!$C:$C,'12.326ana'!$M:$M,redes!A4170)</f>
        <v>0</v>
      </c>
    </row>
    <row r="4171" customFormat="false" ht="14.4" hidden="true" customHeight="false" outlineLevel="0" collapsed="false">
      <c r="A4171" s="34" t="n">
        <v>74652060904</v>
      </c>
      <c r="B4171" s="34" t="s">
        <v>10282</v>
      </c>
      <c r="C4171" s="34" t="s">
        <v>103</v>
      </c>
      <c r="E4171" s="30" t="s">
        <v>10283</v>
      </c>
      <c r="F4171" s="34" t="n">
        <f aca="false">IFERROR(VLOOKUP($A4171,'319'!$B:$H,7,0),0)</f>
        <v>0</v>
      </c>
      <c r="G4171" s="34" t="n">
        <f aca="false">SUMIFS('12.326ana'!$C:$C,'12.326ana'!$M:$M,redes!A4171)</f>
        <v>0</v>
      </c>
    </row>
    <row r="4172" customFormat="false" ht="14.4" hidden="true" customHeight="false" outlineLevel="0" collapsed="false">
      <c r="A4172" s="34" t="n">
        <v>74777580415</v>
      </c>
      <c r="B4172" s="34" t="s">
        <v>10284</v>
      </c>
      <c r="C4172" s="34" t="s">
        <v>107</v>
      </c>
      <c r="E4172" s="30" t="s">
        <v>10285</v>
      </c>
      <c r="F4172" s="34" t="n">
        <f aca="false">IFERROR(VLOOKUP($A4172,'319'!$B:$H,7,0),0)</f>
        <v>0</v>
      </c>
      <c r="G4172" s="34" t="n">
        <f aca="false">SUMIFS('12.326ana'!$C:$C,'12.326ana'!$M:$M,redes!A4172)</f>
        <v>0</v>
      </c>
    </row>
    <row r="4173" customFormat="false" ht="14.4" hidden="true" customHeight="false" outlineLevel="0" collapsed="false">
      <c r="A4173" s="34" t="n">
        <v>74991957915</v>
      </c>
      <c r="B4173" s="34" t="s">
        <v>10286</v>
      </c>
      <c r="C4173" s="34" t="s">
        <v>77</v>
      </c>
      <c r="E4173" s="30" t="s">
        <v>8730</v>
      </c>
      <c r="F4173" s="34" t="n">
        <f aca="false">IFERROR(VLOOKUP($A4173,'319'!$B:$H,7,0),0)</f>
        <v>0</v>
      </c>
      <c r="G4173" s="34" t="n">
        <f aca="false">SUMIFS('12.326ana'!$C:$C,'12.326ana'!$M:$M,redes!A4173)</f>
        <v>0</v>
      </c>
    </row>
    <row r="4174" customFormat="false" ht="14.4" hidden="true" customHeight="false" outlineLevel="0" collapsed="false">
      <c r="A4174" s="34" t="n">
        <v>75267586153</v>
      </c>
      <c r="B4174" s="34" t="s">
        <v>10287</v>
      </c>
      <c r="C4174" s="34" t="s">
        <v>77</v>
      </c>
      <c r="E4174" s="30" t="s">
        <v>10288</v>
      </c>
      <c r="F4174" s="34" t="n">
        <f aca="false">IFERROR(VLOOKUP($A4174,'319'!$B:$H,7,0),0)</f>
        <v>0</v>
      </c>
      <c r="G4174" s="34" t="n">
        <f aca="false">SUMIFS('12.326ana'!$C:$C,'12.326ana'!$M:$M,redes!A4174)</f>
        <v>0</v>
      </c>
    </row>
    <row r="4175" customFormat="false" ht="14.4" hidden="true" customHeight="false" outlineLevel="0" collapsed="false">
      <c r="A4175" s="34" t="n">
        <v>75626225900</v>
      </c>
      <c r="B4175" s="34" t="s">
        <v>10289</v>
      </c>
      <c r="C4175" s="34" t="s">
        <v>77</v>
      </c>
      <c r="E4175" s="30" t="s">
        <v>10290</v>
      </c>
      <c r="F4175" s="34" t="n">
        <f aca="false">IFERROR(VLOOKUP($A4175,'319'!$B:$H,7,0),0)</f>
        <v>0</v>
      </c>
      <c r="G4175" s="34" t="n">
        <f aca="false">SUMIFS('12.326ana'!$C:$C,'12.326ana'!$M:$M,redes!A4175)</f>
        <v>0</v>
      </c>
    </row>
    <row r="4176" customFormat="false" ht="14.4" hidden="true" customHeight="false" outlineLevel="0" collapsed="false">
      <c r="A4176" s="34" t="n">
        <v>75662957991</v>
      </c>
      <c r="B4176" s="34" t="s">
        <v>7825</v>
      </c>
      <c r="C4176" s="34" t="s">
        <v>1272</v>
      </c>
      <c r="E4176" s="30" t="s">
        <v>7826</v>
      </c>
      <c r="F4176" s="34" t="n">
        <f aca="false">IFERROR(VLOOKUP($A4176,'319'!$B:$H,7,0),0)</f>
        <v>0</v>
      </c>
      <c r="G4176" s="34" t="n">
        <f aca="false">SUMIFS('12.326ana'!$C:$C,'12.326ana'!$M:$M,redes!A4176)</f>
        <v>0</v>
      </c>
    </row>
    <row r="4177" customFormat="false" ht="14.4" hidden="true" customHeight="false" outlineLevel="0" collapsed="false">
      <c r="A4177" s="34" t="n">
        <v>75817489953</v>
      </c>
      <c r="B4177" s="34" t="s">
        <v>10291</v>
      </c>
      <c r="C4177" s="34" t="s">
        <v>77</v>
      </c>
      <c r="E4177" s="30" t="s">
        <v>10292</v>
      </c>
      <c r="F4177" s="34" t="n">
        <f aca="false">IFERROR(VLOOKUP($A4177,'319'!$B:$H,7,0),0)</f>
        <v>0</v>
      </c>
      <c r="G4177" s="34" t="n">
        <f aca="false">SUMIFS('12.326ana'!$C:$C,'12.326ana'!$M:$M,redes!A4177)</f>
        <v>0</v>
      </c>
    </row>
    <row r="4178" customFormat="false" ht="14.4" hidden="true" customHeight="false" outlineLevel="0" collapsed="false">
      <c r="A4178" s="34" t="n">
        <v>75867168115</v>
      </c>
      <c r="B4178" s="34" t="s">
        <v>10293</v>
      </c>
      <c r="C4178" s="34" t="s">
        <v>77</v>
      </c>
      <c r="E4178" s="30" t="s">
        <v>10294</v>
      </c>
      <c r="F4178" s="34" t="n">
        <f aca="false">IFERROR(VLOOKUP($A4178,'319'!$B:$H,7,0),0)</f>
        <v>0</v>
      </c>
      <c r="G4178" s="34" t="n">
        <f aca="false">SUMIFS('12.326ana'!$C:$C,'12.326ana'!$M:$M,redes!A4178)</f>
        <v>0</v>
      </c>
    </row>
    <row r="4179" customFormat="false" ht="14.4" hidden="true" customHeight="false" outlineLevel="0" collapsed="false">
      <c r="A4179" s="34" t="n">
        <v>75882620104</v>
      </c>
      <c r="B4179" s="34" t="s">
        <v>10295</v>
      </c>
      <c r="C4179" s="34" t="s">
        <v>107</v>
      </c>
      <c r="E4179" s="30" t="s">
        <v>4004</v>
      </c>
      <c r="F4179" s="34" t="n">
        <f aca="false">IFERROR(VLOOKUP($A4179,'319'!$B:$H,7,0),0)</f>
        <v>0</v>
      </c>
      <c r="G4179" s="34" t="n">
        <f aca="false">SUMIFS('12.326ana'!$C:$C,'12.326ana'!$M:$M,redes!A4179)</f>
        <v>0</v>
      </c>
    </row>
    <row r="4180" customFormat="false" ht="14.4" hidden="true" customHeight="false" outlineLevel="0" collapsed="false">
      <c r="A4180" s="34" t="n">
        <v>75898160191</v>
      </c>
      <c r="B4180" s="34" t="s">
        <v>10296</v>
      </c>
      <c r="C4180" s="34" t="s">
        <v>77</v>
      </c>
      <c r="E4180" s="30" t="s">
        <v>10297</v>
      </c>
      <c r="F4180" s="34" t="n">
        <f aca="false">IFERROR(VLOOKUP($A4180,'319'!$B:$H,7,0),0)</f>
        <v>0</v>
      </c>
      <c r="G4180" s="34" t="n">
        <f aca="false">SUMIFS('12.326ana'!$C:$C,'12.326ana'!$M:$M,redes!A4180)</f>
        <v>0</v>
      </c>
    </row>
    <row r="4181" customFormat="false" ht="14.4" hidden="true" customHeight="false" outlineLevel="0" collapsed="false">
      <c r="A4181" s="34" t="n">
        <v>75901234120</v>
      </c>
      <c r="B4181" s="34" t="s">
        <v>10298</v>
      </c>
      <c r="C4181" s="34" t="s">
        <v>309</v>
      </c>
      <c r="E4181" s="30" t="s">
        <v>10299</v>
      </c>
      <c r="F4181" s="34" t="n">
        <f aca="false">IFERROR(VLOOKUP($A4181,'319'!$B:$H,7,0),0)</f>
        <v>0</v>
      </c>
      <c r="G4181" s="34" t="n">
        <f aca="false">SUMIFS('12.326ana'!$C:$C,'12.326ana'!$M:$M,redes!A4181)</f>
        <v>0</v>
      </c>
    </row>
    <row r="4182" customFormat="false" ht="14.4" hidden="true" customHeight="false" outlineLevel="0" collapsed="false">
      <c r="A4182" s="34" t="n">
        <v>75948389120</v>
      </c>
      <c r="B4182" s="34" t="s">
        <v>10300</v>
      </c>
      <c r="C4182" s="34" t="s">
        <v>77</v>
      </c>
      <c r="E4182" s="30" t="s">
        <v>10301</v>
      </c>
      <c r="F4182" s="34" t="n">
        <f aca="false">IFERROR(VLOOKUP($A4182,'319'!$B:$H,7,0),0)</f>
        <v>0</v>
      </c>
      <c r="G4182" s="34" t="n">
        <f aca="false">SUMIFS('12.326ana'!$C:$C,'12.326ana'!$M:$M,redes!A4182)</f>
        <v>0</v>
      </c>
    </row>
    <row r="4183" customFormat="false" ht="14.4" hidden="true" customHeight="false" outlineLevel="0" collapsed="false">
      <c r="A4183" s="34" t="n">
        <v>75957680125</v>
      </c>
      <c r="B4183" s="34" t="s">
        <v>10302</v>
      </c>
      <c r="C4183" s="34" t="s">
        <v>77</v>
      </c>
      <c r="E4183" s="30" t="s">
        <v>10303</v>
      </c>
      <c r="F4183" s="34" t="n">
        <f aca="false">IFERROR(VLOOKUP($A4183,'319'!$B:$H,7,0),0)</f>
        <v>0</v>
      </c>
      <c r="G4183" s="34" t="n">
        <f aca="false">SUMIFS('12.326ana'!$C:$C,'12.326ana'!$M:$M,redes!A4183)</f>
        <v>0</v>
      </c>
    </row>
    <row r="4184" customFormat="false" ht="14.4" hidden="true" customHeight="false" outlineLevel="0" collapsed="false">
      <c r="A4184" s="34" t="n">
        <v>75959615134</v>
      </c>
      <c r="B4184" s="34" t="s">
        <v>10304</v>
      </c>
      <c r="C4184" s="34" t="s">
        <v>77</v>
      </c>
      <c r="E4184" s="30" t="s">
        <v>10305</v>
      </c>
      <c r="F4184" s="34" t="n">
        <f aca="false">IFERROR(VLOOKUP($A4184,'319'!$B:$H,7,0),0)</f>
        <v>0</v>
      </c>
      <c r="G4184" s="34" t="n">
        <f aca="false">SUMIFS('12.326ana'!$C:$C,'12.326ana'!$M:$M,redes!A4184)</f>
        <v>0</v>
      </c>
    </row>
    <row r="4185" customFormat="false" ht="14.4" hidden="true" customHeight="false" outlineLevel="0" collapsed="false">
      <c r="A4185" s="34" t="n">
        <v>76004570168</v>
      </c>
      <c r="B4185" s="34" t="s">
        <v>10306</v>
      </c>
      <c r="C4185" s="34" t="s">
        <v>954</v>
      </c>
      <c r="E4185" s="30" t="s">
        <v>3112</v>
      </c>
      <c r="F4185" s="34" t="n">
        <f aca="false">IFERROR(VLOOKUP($A4185,'319'!$B:$H,7,0),0)</f>
        <v>0</v>
      </c>
      <c r="G4185" s="34" t="n">
        <f aca="false">SUMIFS('12.326ana'!$C:$C,'12.326ana'!$M:$M,redes!A4185)</f>
        <v>0</v>
      </c>
    </row>
    <row r="4186" customFormat="false" ht="14.4" hidden="true" customHeight="false" outlineLevel="0" collapsed="false">
      <c r="A4186" s="34" t="n">
        <v>76010821134</v>
      </c>
      <c r="B4186" s="34" t="s">
        <v>10307</v>
      </c>
      <c r="C4186" s="34" t="s">
        <v>77</v>
      </c>
      <c r="E4186" s="30" t="s">
        <v>10308</v>
      </c>
      <c r="F4186" s="34" t="n">
        <f aca="false">IFERROR(VLOOKUP($A4186,'319'!$B:$H,7,0),0)</f>
        <v>0</v>
      </c>
      <c r="G4186" s="34" t="n">
        <f aca="false">SUMIFS('12.326ana'!$C:$C,'12.326ana'!$M:$M,redes!A4186)</f>
        <v>0</v>
      </c>
    </row>
    <row r="4187" customFormat="false" ht="14.4" hidden="true" customHeight="false" outlineLevel="0" collapsed="false">
      <c r="A4187" s="34" t="n">
        <v>76057461134</v>
      </c>
      <c r="B4187" s="34" t="s">
        <v>10309</v>
      </c>
      <c r="C4187" s="34" t="s">
        <v>107</v>
      </c>
      <c r="E4187" s="30" t="s">
        <v>10310</v>
      </c>
      <c r="F4187" s="34" t="n">
        <f aca="false">IFERROR(VLOOKUP($A4187,'319'!$B:$H,7,0),0)</f>
        <v>0</v>
      </c>
      <c r="G4187" s="34" t="n">
        <f aca="false">SUMIFS('12.326ana'!$C:$C,'12.326ana'!$M:$M,redes!A4187)</f>
        <v>0</v>
      </c>
    </row>
    <row r="4188" customFormat="false" ht="14.4" hidden="true" customHeight="false" outlineLevel="0" collapsed="false">
      <c r="A4188" s="34" t="n">
        <v>76127362172</v>
      </c>
      <c r="B4188" s="34" t="s">
        <v>10311</v>
      </c>
      <c r="C4188" s="34" t="s">
        <v>117</v>
      </c>
      <c r="E4188" s="30" t="s">
        <v>10312</v>
      </c>
      <c r="F4188" s="34" t="n">
        <f aca="false">IFERROR(VLOOKUP($A4188,'319'!$B:$H,7,0),0)</f>
        <v>0</v>
      </c>
      <c r="G4188" s="34" t="n">
        <f aca="false">SUMIFS('12.326ana'!$C:$C,'12.326ana'!$M:$M,redes!A4188)</f>
        <v>0</v>
      </c>
    </row>
    <row r="4189" customFormat="false" ht="14.4" hidden="true" customHeight="false" outlineLevel="0" collapsed="false">
      <c r="A4189" s="34" t="n">
        <v>76154807104</v>
      </c>
      <c r="B4189" s="34" t="s">
        <v>10313</v>
      </c>
      <c r="C4189" s="34" t="s">
        <v>77</v>
      </c>
      <c r="E4189" s="30" t="s">
        <v>10314</v>
      </c>
      <c r="F4189" s="34" t="n">
        <f aca="false">IFERROR(VLOOKUP($A4189,'319'!$B:$H,7,0),0)</f>
        <v>0</v>
      </c>
      <c r="G4189" s="34" t="n">
        <f aca="false">SUMIFS('12.326ana'!$C:$C,'12.326ana'!$M:$M,redes!A4189)</f>
        <v>0</v>
      </c>
    </row>
    <row r="4190" customFormat="false" ht="14.4" hidden="true" customHeight="false" outlineLevel="0" collapsed="false">
      <c r="A4190" s="34" t="n">
        <v>76162940900</v>
      </c>
      <c r="B4190" s="34" t="s">
        <v>10315</v>
      </c>
      <c r="C4190" s="34" t="s">
        <v>994</v>
      </c>
      <c r="E4190" s="30" t="s">
        <v>6029</v>
      </c>
      <c r="F4190" s="34" t="n">
        <f aca="false">IFERROR(VLOOKUP($A4190,'319'!$B:$H,7,0),0)</f>
        <v>0</v>
      </c>
      <c r="G4190" s="34" t="n">
        <f aca="false">SUMIFS('12.326ana'!$C:$C,'12.326ana'!$M:$M,redes!A4190)</f>
        <v>0</v>
      </c>
    </row>
    <row r="4191" customFormat="false" ht="14.4" hidden="true" customHeight="false" outlineLevel="0" collapsed="false">
      <c r="A4191" s="34" t="n">
        <v>76211118104</v>
      </c>
      <c r="B4191" s="34" t="s">
        <v>10316</v>
      </c>
      <c r="C4191" s="34" t="s">
        <v>107</v>
      </c>
      <c r="E4191" s="30" t="s">
        <v>10317</v>
      </c>
      <c r="F4191" s="34" t="n">
        <f aca="false">IFERROR(VLOOKUP($A4191,'319'!$B:$H,7,0),0)</f>
        <v>0</v>
      </c>
      <c r="G4191" s="34" t="n">
        <f aca="false">SUMIFS('12.326ana'!$C:$C,'12.326ana'!$M:$M,redes!A4191)</f>
        <v>0</v>
      </c>
    </row>
    <row r="4192" customFormat="false" ht="14.4" hidden="true" customHeight="false" outlineLevel="0" collapsed="false">
      <c r="A4192" s="34" t="n">
        <v>76264076104</v>
      </c>
      <c r="B4192" s="34" t="s">
        <v>10318</v>
      </c>
      <c r="C4192" s="34" t="s">
        <v>473</v>
      </c>
      <c r="E4192" s="30" t="s">
        <v>10319</v>
      </c>
      <c r="F4192" s="34" t="n">
        <f aca="false">IFERROR(VLOOKUP($A4192,'319'!$B:$H,7,0),0)</f>
        <v>0</v>
      </c>
      <c r="G4192" s="34" t="n">
        <f aca="false">SUMIFS('12.326ana'!$C:$C,'12.326ana'!$M:$M,redes!A4192)</f>
        <v>0</v>
      </c>
    </row>
    <row r="4193" customFormat="false" ht="14.4" hidden="true" customHeight="false" outlineLevel="0" collapsed="false">
      <c r="A4193" s="34" t="n">
        <v>76282767849</v>
      </c>
      <c r="B4193" s="34" t="s">
        <v>10320</v>
      </c>
      <c r="C4193" s="34" t="s">
        <v>77</v>
      </c>
      <c r="E4193" s="30" t="s">
        <v>10321</v>
      </c>
      <c r="F4193" s="34" t="n">
        <f aca="false">IFERROR(VLOOKUP($A4193,'319'!$B:$H,7,0),0)</f>
        <v>0</v>
      </c>
      <c r="G4193" s="34" t="n">
        <f aca="false">SUMIFS('12.326ana'!$C:$C,'12.326ana'!$M:$M,redes!A4193)</f>
        <v>0</v>
      </c>
    </row>
    <row r="4194" customFormat="false" ht="14.4" hidden="true" customHeight="false" outlineLevel="0" collapsed="false">
      <c r="A4194" s="34" t="n">
        <v>76309843168</v>
      </c>
      <c r="B4194" s="34" t="s">
        <v>10322</v>
      </c>
      <c r="C4194" s="34" t="s">
        <v>77</v>
      </c>
      <c r="E4194" s="30" t="s">
        <v>10323</v>
      </c>
      <c r="F4194" s="34" t="n">
        <f aca="false">IFERROR(VLOOKUP($A4194,'319'!$B:$H,7,0),0)</f>
        <v>0</v>
      </c>
      <c r="G4194" s="34" t="n">
        <f aca="false">SUMIFS('12.326ana'!$C:$C,'12.326ana'!$M:$M,redes!A4194)</f>
        <v>0</v>
      </c>
    </row>
    <row r="4195" customFormat="false" ht="14.4" hidden="true" customHeight="false" outlineLevel="0" collapsed="false">
      <c r="A4195" s="34" t="n">
        <v>76310159100</v>
      </c>
      <c r="B4195" s="34" t="s">
        <v>10324</v>
      </c>
      <c r="C4195" s="34" t="s">
        <v>77</v>
      </c>
      <c r="E4195" s="30" t="s">
        <v>3562</v>
      </c>
      <c r="F4195" s="34" t="n">
        <f aca="false">IFERROR(VLOOKUP($A4195,'319'!$B:$H,7,0),0)</f>
        <v>0</v>
      </c>
      <c r="G4195" s="34" t="n">
        <f aca="false">SUMIFS('12.326ana'!$C:$C,'12.326ana'!$M:$M,redes!A4195)</f>
        <v>0</v>
      </c>
    </row>
    <row r="4196" customFormat="false" ht="14.4" hidden="true" customHeight="false" outlineLevel="0" collapsed="false">
      <c r="A4196" s="34" t="n">
        <v>76347451468</v>
      </c>
      <c r="B4196" s="34" t="s">
        <v>10325</v>
      </c>
      <c r="C4196" s="34" t="s">
        <v>77</v>
      </c>
      <c r="E4196" s="30" t="s">
        <v>10326</v>
      </c>
      <c r="F4196" s="34" t="n">
        <f aca="false">IFERROR(VLOOKUP($A4196,'319'!$B:$H,7,0),0)</f>
        <v>0</v>
      </c>
      <c r="G4196" s="34" t="n">
        <f aca="false">SUMIFS('12.326ana'!$C:$C,'12.326ana'!$M:$M,redes!A4196)</f>
        <v>0</v>
      </c>
    </row>
    <row r="4197" customFormat="false" ht="14.4" hidden="true" customHeight="false" outlineLevel="0" collapsed="false">
      <c r="A4197" s="34" t="n">
        <v>76375064953</v>
      </c>
      <c r="B4197" s="34" t="s">
        <v>10327</v>
      </c>
      <c r="C4197" s="34" t="s">
        <v>77</v>
      </c>
      <c r="E4197" s="30" t="s">
        <v>7820</v>
      </c>
      <c r="F4197" s="34" t="n">
        <f aca="false">IFERROR(VLOOKUP($A4197,'319'!$B:$H,7,0),0)</f>
        <v>0</v>
      </c>
      <c r="G4197" s="34" t="n">
        <f aca="false">SUMIFS('12.326ana'!$C:$C,'12.326ana'!$M:$M,redes!A4197)</f>
        <v>0</v>
      </c>
    </row>
    <row r="4198" customFormat="false" ht="14.4" hidden="true" customHeight="false" outlineLevel="0" collapsed="false">
      <c r="A4198" s="34" t="n">
        <v>76457346804</v>
      </c>
      <c r="B4198" s="34" t="s">
        <v>10328</v>
      </c>
      <c r="C4198" s="34" t="s">
        <v>77</v>
      </c>
      <c r="E4198" s="30" t="s">
        <v>10329</v>
      </c>
      <c r="F4198" s="34" t="n">
        <f aca="false">IFERROR(VLOOKUP($A4198,'319'!$B:$H,7,0),0)</f>
        <v>0</v>
      </c>
      <c r="G4198" s="34" t="n">
        <f aca="false">SUMIFS('12.326ana'!$C:$C,'12.326ana'!$M:$M,redes!A4198)</f>
        <v>0</v>
      </c>
    </row>
    <row r="4199" customFormat="false" ht="14.4" hidden="true" customHeight="false" outlineLevel="0" collapsed="false">
      <c r="A4199" s="34" t="n">
        <v>76458288972</v>
      </c>
      <c r="B4199" s="34" t="s">
        <v>10330</v>
      </c>
      <c r="C4199" s="34" t="s">
        <v>77</v>
      </c>
      <c r="E4199" s="30" t="s">
        <v>3902</v>
      </c>
      <c r="F4199" s="34" t="n">
        <f aca="false">IFERROR(VLOOKUP($A4199,'319'!$B:$H,7,0),0)</f>
        <v>0</v>
      </c>
      <c r="G4199" s="34" t="n">
        <f aca="false">SUMIFS('12.326ana'!$C:$C,'12.326ana'!$M:$M,redes!A4199)</f>
        <v>0</v>
      </c>
    </row>
    <row r="4200" customFormat="false" ht="14.4" hidden="true" customHeight="false" outlineLevel="0" collapsed="false">
      <c r="A4200" s="34" t="n">
        <v>76494551149</v>
      </c>
      <c r="B4200" s="34" t="s">
        <v>10331</v>
      </c>
      <c r="C4200" s="34" t="s">
        <v>192</v>
      </c>
      <c r="E4200" s="30" t="s">
        <v>3721</v>
      </c>
      <c r="F4200" s="34" t="n">
        <f aca="false">IFERROR(VLOOKUP($A4200,'319'!$B:$H,7,0),0)</f>
        <v>0</v>
      </c>
      <c r="G4200" s="34" t="n">
        <f aca="false">SUMIFS('12.326ana'!$C:$C,'12.326ana'!$M:$M,redes!A4200)</f>
        <v>0</v>
      </c>
    </row>
    <row r="4201" customFormat="false" ht="14.4" hidden="true" customHeight="false" outlineLevel="0" collapsed="false">
      <c r="A4201" s="34" t="n">
        <v>76532038920</v>
      </c>
      <c r="B4201" s="34" t="s">
        <v>10332</v>
      </c>
      <c r="C4201" s="34" t="s">
        <v>103</v>
      </c>
      <c r="E4201" s="30" t="s">
        <v>3192</v>
      </c>
      <c r="F4201" s="34" t="n">
        <f aca="false">IFERROR(VLOOKUP($A4201,'319'!$B:$H,7,0),0)</f>
        <v>0</v>
      </c>
      <c r="G4201" s="34" t="n">
        <f aca="false">SUMIFS('12.326ana'!$C:$C,'12.326ana'!$M:$M,redes!A4201)</f>
        <v>0</v>
      </c>
    </row>
    <row r="4202" customFormat="false" ht="14.4" hidden="true" customHeight="false" outlineLevel="0" collapsed="false">
      <c r="A4202" s="34" t="n">
        <v>76532194115</v>
      </c>
      <c r="B4202" s="34" t="s">
        <v>10333</v>
      </c>
      <c r="C4202" s="34" t="s">
        <v>192</v>
      </c>
      <c r="E4202" s="30" t="s">
        <v>10334</v>
      </c>
      <c r="F4202" s="34" t="n">
        <f aca="false">IFERROR(VLOOKUP($A4202,'319'!$B:$H,7,0),0)</f>
        <v>0</v>
      </c>
      <c r="G4202" s="34" t="n">
        <f aca="false">SUMIFS('12.326ana'!$C:$C,'12.326ana'!$M:$M,redes!A4202)</f>
        <v>0</v>
      </c>
    </row>
    <row r="4203" customFormat="false" ht="14.4" hidden="true" customHeight="false" outlineLevel="0" collapsed="false">
      <c r="A4203" s="34" t="n">
        <v>76536700163</v>
      </c>
      <c r="B4203" s="34" t="s">
        <v>10335</v>
      </c>
      <c r="C4203" s="34" t="s">
        <v>129</v>
      </c>
      <c r="E4203" s="30" t="s">
        <v>10336</v>
      </c>
      <c r="F4203" s="34" t="n">
        <f aca="false">IFERROR(VLOOKUP($A4203,'319'!$B:$H,7,0),0)</f>
        <v>0</v>
      </c>
      <c r="G4203" s="34" t="n">
        <f aca="false">SUMIFS('12.326ana'!$C:$C,'12.326ana'!$M:$M,redes!A4203)</f>
        <v>0</v>
      </c>
    </row>
    <row r="4204" customFormat="false" ht="14.4" hidden="true" customHeight="false" outlineLevel="0" collapsed="false">
      <c r="A4204" s="34" t="n">
        <v>76536823168</v>
      </c>
      <c r="B4204" s="34" t="s">
        <v>10337</v>
      </c>
      <c r="C4204" s="34" t="s">
        <v>77</v>
      </c>
      <c r="E4204" s="30" t="s">
        <v>5496</v>
      </c>
      <c r="F4204" s="34" t="n">
        <f aca="false">IFERROR(VLOOKUP($A4204,'319'!$B:$H,7,0),0)</f>
        <v>0</v>
      </c>
      <c r="G4204" s="34" t="n">
        <f aca="false">SUMIFS('12.326ana'!$C:$C,'12.326ana'!$M:$M,redes!A4204)</f>
        <v>0</v>
      </c>
    </row>
    <row r="4205" customFormat="false" ht="14.4" hidden="true" customHeight="false" outlineLevel="0" collapsed="false">
      <c r="A4205" s="34" t="n">
        <v>76647307168</v>
      </c>
      <c r="B4205" s="34" t="s">
        <v>10338</v>
      </c>
      <c r="C4205" s="34" t="s">
        <v>377</v>
      </c>
      <c r="E4205" s="30" t="s">
        <v>10339</v>
      </c>
      <c r="F4205" s="34" t="n">
        <f aca="false">IFERROR(VLOOKUP($A4205,'319'!$B:$H,7,0),0)</f>
        <v>0</v>
      </c>
      <c r="G4205" s="34" t="n">
        <f aca="false">SUMIFS('12.326ana'!$C:$C,'12.326ana'!$M:$M,redes!A4205)</f>
        <v>0</v>
      </c>
    </row>
    <row r="4206" customFormat="false" ht="14.4" hidden="true" customHeight="false" outlineLevel="0" collapsed="false">
      <c r="A4206" s="34" t="n">
        <v>76651871815</v>
      </c>
      <c r="B4206" s="34" t="s">
        <v>10340</v>
      </c>
      <c r="C4206" s="34" t="s">
        <v>77</v>
      </c>
      <c r="E4206" s="30"/>
      <c r="F4206" s="34" t="n">
        <f aca="false">IFERROR(VLOOKUP($A4206,'319'!$B:$H,7,0),0)</f>
        <v>0</v>
      </c>
      <c r="G4206" s="34" t="n">
        <f aca="false">SUMIFS('12.326ana'!$C:$C,'12.326ana'!$M:$M,redes!A4206)</f>
        <v>0</v>
      </c>
    </row>
    <row r="4207" customFormat="false" ht="14.4" hidden="true" customHeight="false" outlineLevel="0" collapsed="false">
      <c r="A4207" s="34" t="n">
        <v>76652327104</v>
      </c>
      <c r="B4207" s="34" t="s">
        <v>10341</v>
      </c>
      <c r="C4207" s="34" t="s">
        <v>979</v>
      </c>
      <c r="E4207" s="30" t="s">
        <v>10342</v>
      </c>
      <c r="F4207" s="34" t="n">
        <f aca="false">IFERROR(VLOOKUP($A4207,'319'!$B:$H,7,0),0)</f>
        <v>0</v>
      </c>
      <c r="G4207" s="34" t="n">
        <f aca="false">SUMIFS('12.326ana'!$C:$C,'12.326ana'!$M:$M,redes!A4207)</f>
        <v>0</v>
      </c>
    </row>
    <row r="4208" customFormat="false" ht="14.4" hidden="true" customHeight="false" outlineLevel="0" collapsed="false">
      <c r="A4208" s="34" t="n">
        <v>76657370130</v>
      </c>
      <c r="B4208" s="34" t="s">
        <v>10343</v>
      </c>
      <c r="C4208" s="34" t="s">
        <v>77</v>
      </c>
      <c r="E4208" s="30" t="s">
        <v>10344</v>
      </c>
      <c r="F4208" s="34" t="n">
        <f aca="false">IFERROR(VLOOKUP($A4208,'319'!$B:$H,7,0),0)</f>
        <v>0</v>
      </c>
      <c r="G4208" s="34" t="n">
        <f aca="false">SUMIFS('12.326ana'!$C:$C,'12.326ana'!$M:$M,redes!A4208)</f>
        <v>0</v>
      </c>
    </row>
    <row r="4209" customFormat="false" ht="14.4" hidden="true" customHeight="false" outlineLevel="0" collapsed="false">
      <c r="A4209" s="34" t="n">
        <v>76704009191</v>
      </c>
      <c r="B4209" s="34" t="s">
        <v>10345</v>
      </c>
      <c r="C4209" s="34" t="s">
        <v>848</v>
      </c>
      <c r="E4209" s="30" t="s">
        <v>3446</v>
      </c>
      <c r="F4209" s="34" t="n">
        <f aca="false">IFERROR(VLOOKUP($A4209,'319'!$B:$H,7,0),0)</f>
        <v>0</v>
      </c>
      <c r="G4209" s="34" t="n">
        <f aca="false">SUMIFS('12.326ana'!$C:$C,'12.326ana'!$M:$M,redes!A4209)</f>
        <v>0</v>
      </c>
    </row>
    <row r="4210" customFormat="false" ht="14.4" hidden="true" customHeight="false" outlineLevel="0" collapsed="false">
      <c r="A4210" s="34" t="n">
        <v>76726215134</v>
      </c>
      <c r="B4210" s="34" t="s">
        <v>10346</v>
      </c>
      <c r="C4210" s="34" t="s">
        <v>77</v>
      </c>
      <c r="E4210" s="30" t="s">
        <v>10347</v>
      </c>
      <c r="F4210" s="34" t="n">
        <f aca="false">IFERROR(VLOOKUP($A4210,'319'!$B:$H,7,0),0)</f>
        <v>0</v>
      </c>
      <c r="G4210" s="34" t="n">
        <f aca="false">SUMIFS('12.326ana'!$C:$C,'12.326ana'!$M:$M,redes!A4210)</f>
        <v>0</v>
      </c>
    </row>
    <row r="4211" customFormat="false" ht="14.4" hidden="true" customHeight="false" outlineLevel="0" collapsed="false">
      <c r="A4211" s="34" t="n">
        <v>76740552134</v>
      </c>
      <c r="B4211" s="34" t="s">
        <v>10348</v>
      </c>
      <c r="C4211" s="34" t="s">
        <v>463</v>
      </c>
      <c r="E4211" s="30" t="s">
        <v>10349</v>
      </c>
      <c r="F4211" s="34" t="n">
        <f aca="false">IFERROR(VLOOKUP($A4211,'319'!$B:$H,7,0),0)</f>
        <v>0</v>
      </c>
      <c r="G4211" s="34" t="n">
        <f aca="false">SUMIFS('12.326ana'!$C:$C,'12.326ana'!$M:$M,redes!A4211)</f>
        <v>0</v>
      </c>
    </row>
    <row r="4212" customFormat="false" ht="14.4" hidden="true" customHeight="false" outlineLevel="0" collapsed="false">
      <c r="A4212" s="34" t="n">
        <v>76740617104</v>
      </c>
      <c r="B4212" s="34" t="s">
        <v>10350</v>
      </c>
      <c r="C4212" s="34" t="s">
        <v>207</v>
      </c>
      <c r="E4212" s="30" t="s">
        <v>10351</v>
      </c>
      <c r="F4212" s="34" t="n">
        <f aca="false">IFERROR(VLOOKUP($A4212,'319'!$B:$H,7,0),0)</f>
        <v>0</v>
      </c>
      <c r="G4212" s="34" t="n">
        <f aca="false">SUMIFS('12.326ana'!$C:$C,'12.326ana'!$M:$M,redes!A4212)</f>
        <v>0</v>
      </c>
    </row>
    <row r="4213" customFormat="false" ht="14.4" hidden="true" customHeight="false" outlineLevel="0" collapsed="false">
      <c r="A4213" s="34" t="n">
        <v>76751317115</v>
      </c>
      <c r="B4213" s="34" t="s">
        <v>10352</v>
      </c>
      <c r="C4213" s="34" t="s">
        <v>117</v>
      </c>
      <c r="E4213" s="30" t="s">
        <v>4006</v>
      </c>
      <c r="F4213" s="34" t="n">
        <f aca="false">IFERROR(VLOOKUP($A4213,'319'!$B:$H,7,0),0)</f>
        <v>0</v>
      </c>
      <c r="G4213" s="34" t="n">
        <f aca="false">SUMIFS('12.326ana'!$C:$C,'12.326ana'!$M:$M,redes!A4213)</f>
        <v>0</v>
      </c>
    </row>
    <row r="4214" customFormat="false" ht="14.4" hidden="true" customHeight="false" outlineLevel="0" collapsed="false">
      <c r="A4214" s="34" t="n">
        <v>76754863153</v>
      </c>
      <c r="B4214" s="34" t="s">
        <v>10353</v>
      </c>
      <c r="C4214" s="34" t="s">
        <v>77</v>
      </c>
      <c r="E4214" s="30" t="s">
        <v>10354</v>
      </c>
      <c r="F4214" s="34" t="n">
        <f aca="false">IFERROR(VLOOKUP($A4214,'319'!$B:$H,7,0),0)</f>
        <v>0</v>
      </c>
      <c r="G4214" s="34" t="n">
        <f aca="false">SUMIFS('12.326ana'!$C:$C,'12.326ana'!$M:$M,redes!A4214)</f>
        <v>0</v>
      </c>
    </row>
    <row r="4215" customFormat="false" ht="14.4" hidden="true" customHeight="false" outlineLevel="0" collapsed="false">
      <c r="A4215" s="34" t="n">
        <v>76757668149</v>
      </c>
      <c r="B4215" s="34" t="s">
        <v>10355</v>
      </c>
      <c r="C4215" s="34" t="s">
        <v>77</v>
      </c>
      <c r="E4215" s="30" t="s">
        <v>10356</v>
      </c>
      <c r="F4215" s="34" t="n">
        <f aca="false">IFERROR(VLOOKUP($A4215,'319'!$B:$H,7,0),0)</f>
        <v>0</v>
      </c>
      <c r="G4215" s="34" t="n">
        <f aca="false">SUMIFS('12.326ana'!$C:$C,'12.326ana'!$M:$M,redes!A4215)</f>
        <v>0</v>
      </c>
    </row>
    <row r="4216" customFormat="false" ht="14.4" hidden="true" customHeight="false" outlineLevel="0" collapsed="false">
      <c r="A4216" s="34" t="n">
        <v>76780554120</v>
      </c>
      <c r="B4216" s="34" t="s">
        <v>10357</v>
      </c>
      <c r="C4216" s="34" t="s">
        <v>463</v>
      </c>
      <c r="E4216" s="30" t="s">
        <v>10358</v>
      </c>
      <c r="F4216" s="34" t="n">
        <f aca="false">IFERROR(VLOOKUP($A4216,'319'!$B:$H,7,0),0)</f>
        <v>0</v>
      </c>
      <c r="G4216" s="34" t="n">
        <f aca="false">SUMIFS('12.326ana'!$C:$C,'12.326ana'!$M:$M,redes!A4216)</f>
        <v>0</v>
      </c>
    </row>
    <row r="4217" customFormat="false" ht="14.4" hidden="true" customHeight="false" outlineLevel="0" collapsed="false">
      <c r="A4217" s="34" t="n">
        <v>76912620191</v>
      </c>
      <c r="B4217" s="34" t="s">
        <v>10359</v>
      </c>
      <c r="C4217" s="34" t="s">
        <v>475</v>
      </c>
      <c r="E4217" s="30" t="s">
        <v>10360</v>
      </c>
      <c r="F4217" s="34" t="n">
        <f aca="false">IFERROR(VLOOKUP($A4217,'319'!$B:$H,7,0),0)</f>
        <v>0</v>
      </c>
      <c r="G4217" s="34" t="n">
        <f aca="false">SUMIFS('12.326ana'!$C:$C,'12.326ana'!$M:$M,redes!A4217)</f>
        <v>0</v>
      </c>
    </row>
    <row r="4218" customFormat="false" ht="14.4" hidden="true" customHeight="false" outlineLevel="0" collapsed="false">
      <c r="A4218" s="34" t="n">
        <v>76967352172</v>
      </c>
      <c r="B4218" s="34" t="s">
        <v>10361</v>
      </c>
      <c r="C4218" s="34" t="s">
        <v>77</v>
      </c>
      <c r="E4218" s="30" t="s">
        <v>10362</v>
      </c>
      <c r="F4218" s="34" t="n">
        <f aca="false">IFERROR(VLOOKUP($A4218,'319'!$B:$H,7,0),0)</f>
        <v>0</v>
      </c>
      <c r="G4218" s="34" t="n">
        <f aca="false">SUMIFS('12.326ana'!$C:$C,'12.326ana'!$M:$M,redes!A4218)</f>
        <v>0</v>
      </c>
    </row>
    <row r="4219" customFormat="false" ht="14.4" hidden="true" customHeight="false" outlineLevel="0" collapsed="false">
      <c r="A4219" s="34" t="n">
        <v>77019911153</v>
      </c>
      <c r="B4219" s="34" t="s">
        <v>10363</v>
      </c>
      <c r="C4219" s="34" t="s">
        <v>342</v>
      </c>
      <c r="E4219" s="30" t="s">
        <v>10364</v>
      </c>
      <c r="F4219" s="34" t="n">
        <f aca="false">IFERROR(VLOOKUP($A4219,'319'!$B:$H,7,0),0)</f>
        <v>0</v>
      </c>
      <c r="G4219" s="34" t="n">
        <f aca="false">SUMIFS('12.326ana'!$C:$C,'12.326ana'!$M:$M,redes!A4219)</f>
        <v>0</v>
      </c>
    </row>
    <row r="4220" customFormat="false" ht="14.4" hidden="true" customHeight="false" outlineLevel="0" collapsed="false">
      <c r="A4220" s="34" t="n">
        <v>77027833115</v>
      </c>
      <c r="B4220" s="34" t="s">
        <v>10365</v>
      </c>
      <c r="C4220" s="34" t="s">
        <v>77</v>
      </c>
      <c r="E4220" s="30" t="s">
        <v>3194</v>
      </c>
      <c r="F4220" s="34" t="n">
        <f aca="false">IFERROR(VLOOKUP($A4220,'319'!$B:$H,7,0),0)</f>
        <v>0</v>
      </c>
      <c r="G4220" s="34" t="n">
        <f aca="false">SUMIFS('12.326ana'!$C:$C,'12.326ana'!$M:$M,redes!A4220)</f>
        <v>0</v>
      </c>
    </row>
    <row r="4221" customFormat="false" ht="14.4" hidden="true" customHeight="false" outlineLevel="0" collapsed="false">
      <c r="A4221" s="34" t="n">
        <v>77031849187</v>
      </c>
      <c r="B4221" s="34" t="s">
        <v>10366</v>
      </c>
      <c r="C4221" s="34" t="s">
        <v>197</v>
      </c>
      <c r="E4221" s="30" t="s">
        <v>10367</v>
      </c>
      <c r="F4221" s="34" t="n">
        <f aca="false">IFERROR(VLOOKUP($A4221,'319'!$B:$H,7,0),0)</f>
        <v>0</v>
      </c>
      <c r="G4221" s="34" t="n">
        <f aca="false">SUMIFS('12.326ana'!$C:$C,'12.326ana'!$M:$M,redes!A4221)</f>
        <v>0</v>
      </c>
    </row>
    <row r="4222" customFormat="false" ht="14.4" hidden="true" customHeight="false" outlineLevel="0" collapsed="false">
      <c r="A4222" s="34" t="n">
        <v>77066910125</v>
      </c>
      <c r="B4222" s="34" t="s">
        <v>10368</v>
      </c>
      <c r="C4222" s="34" t="s">
        <v>631</v>
      </c>
      <c r="E4222" s="30" t="s">
        <v>5846</v>
      </c>
      <c r="F4222" s="34" t="n">
        <f aca="false">IFERROR(VLOOKUP($A4222,'319'!$B:$H,7,0),0)</f>
        <v>0</v>
      </c>
      <c r="G4222" s="34" t="n">
        <f aca="false">SUMIFS('12.326ana'!$C:$C,'12.326ana'!$M:$M,redes!A4222)</f>
        <v>0</v>
      </c>
    </row>
    <row r="4223" customFormat="false" ht="14.4" hidden="true" customHeight="false" outlineLevel="0" collapsed="false">
      <c r="A4223" s="34" t="n">
        <v>77081277187</v>
      </c>
      <c r="B4223" s="34" t="s">
        <v>10369</v>
      </c>
      <c r="C4223" s="34" t="s">
        <v>77</v>
      </c>
      <c r="E4223" s="30" t="s">
        <v>10370</v>
      </c>
      <c r="F4223" s="34" t="n">
        <f aca="false">IFERROR(VLOOKUP($A4223,'319'!$B:$H,7,0),0)</f>
        <v>0</v>
      </c>
      <c r="G4223" s="34" t="n">
        <f aca="false">SUMIFS('12.326ana'!$C:$C,'12.326ana'!$M:$M,redes!A4223)</f>
        <v>0</v>
      </c>
    </row>
    <row r="4224" customFormat="false" ht="14.4" hidden="true" customHeight="false" outlineLevel="0" collapsed="false">
      <c r="A4224" s="34" t="n">
        <v>77115759120</v>
      </c>
      <c r="B4224" s="34" t="s">
        <v>10371</v>
      </c>
      <c r="C4224" s="34" t="s">
        <v>127</v>
      </c>
      <c r="E4224" s="30"/>
      <c r="F4224" s="34" t="n">
        <f aca="false">IFERROR(VLOOKUP($A4224,'319'!$B:$H,7,0),0)</f>
        <v>0</v>
      </c>
      <c r="G4224" s="34" t="n">
        <f aca="false">SUMIFS('12.326ana'!$C:$C,'12.326ana'!$M:$M,redes!A4224)</f>
        <v>0</v>
      </c>
    </row>
    <row r="4225" customFormat="false" ht="14.4" hidden="true" customHeight="false" outlineLevel="0" collapsed="false">
      <c r="A4225" s="34" t="n">
        <v>77120957104</v>
      </c>
      <c r="B4225" s="34" t="s">
        <v>10372</v>
      </c>
      <c r="C4225" s="34" t="s">
        <v>77</v>
      </c>
      <c r="E4225" s="30"/>
      <c r="F4225" s="34" t="n">
        <f aca="false">IFERROR(VLOOKUP($A4225,'319'!$B:$H,7,0),0)</f>
        <v>0</v>
      </c>
      <c r="G4225" s="34" t="n">
        <f aca="false">SUMIFS('12.326ana'!$C:$C,'12.326ana'!$M:$M,redes!A4225)</f>
        <v>0</v>
      </c>
    </row>
    <row r="4226" customFormat="false" ht="14.4" hidden="true" customHeight="false" outlineLevel="0" collapsed="false">
      <c r="A4226" s="34" t="n">
        <v>77125185134</v>
      </c>
      <c r="B4226" s="34" t="s">
        <v>10373</v>
      </c>
      <c r="C4226" s="34" t="s">
        <v>77</v>
      </c>
      <c r="E4226" s="30" t="s">
        <v>10374</v>
      </c>
      <c r="F4226" s="34" t="n">
        <f aca="false">IFERROR(VLOOKUP($A4226,'319'!$B:$H,7,0),0)</f>
        <v>0</v>
      </c>
      <c r="G4226" s="34" t="n">
        <f aca="false">SUMIFS('12.326ana'!$C:$C,'12.326ana'!$M:$M,redes!A4226)</f>
        <v>0</v>
      </c>
    </row>
    <row r="4227" customFormat="false" ht="14.4" hidden="true" customHeight="false" outlineLevel="0" collapsed="false">
      <c r="A4227" s="34" t="n">
        <v>77128710191</v>
      </c>
      <c r="B4227" s="34" t="s">
        <v>7621</v>
      </c>
      <c r="C4227" s="34" t="s">
        <v>764</v>
      </c>
      <c r="E4227" s="30" t="s">
        <v>473</v>
      </c>
      <c r="F4227" s="34" t="n">
        <f aca="false">IFERROR(VLOOKUP($A4227,'319'!$B:$H,7,0),0)</f>
        <v>0</v>
      </c>
      <c r="G4227" s="34" t="n">
        <f aca="false">SUMIFS('12.326ana'!$C:$C,'12.326ana'!$M:$M,redes!A4227)</f>
        <v>0</v>
      </c>
    </row>
    <row r="4228" customFormat="false" ht="14.4" hidden="true" customHeight="false" outlineLevel="0" collapsed="false">
      <c r="A4228" s="34" t="n">
        <v>77142152915</v>
      </c>
      <c r="B4228" s="34" t="s">
        <v>10375</v>
      </c>
      <c r="C4228" s="34" t="s">
        <v>77</v>
      </c>
      <c r="E4228" s="30"/>
      <c r="F4228" s="34" t="n">
        <f aca="false">IFERROR(VLOOKUP($A4228,'319'!$B:$H,7,0),0)</f>
        <v>0</v>
      </c>
      <c r="G4228" s="34" t="n">
        <f aca="false">SUMIFS('12.326ana'!$C:$C,'12.326ana'!$M:$M,redes!A4228)</f>
        <v>0</v>
      </c>
    </row>
    <row r="4229" customFormat="false" ht="14.4" hidden="true" customHeight="false" outlineLevel="0" collapsed="false">
      <c r="A4229" s="34" t="n">
        <v>77157737191</v>
      </c>
      <c r="B4229" s="34" t="s">
        <v>10376</v>
      </c>
      <c r="C4229" s="34" t="s">
        <v>77</v>
      </c>
      <c r="E4229" s="30" t="s">
        <v>10377</v>
      </c>
      <c r="F4229" s="34" t="n">
        <f aca="false">IFERROR(VLOOKUP($A4229,'319'!$B:$H,7,0),0)</f>
        <v>0</v>
      </c>
      <c r="G4229" s="34" t="n">
        <f aca="false">SUMIFS('12.326ana'!$C:$C,'12.326ana'!$M:$M,redes!A4229)</f>
        <v>0</v>
      </c>
    </row>
    <row r="4230" customFormat="false" ht="14.4" hidden="true" customHeight="false" outlineLevel="0" collapsed="false">
      <c r="A4230" s="34" t="n">
        <v>77210743120</v>
      </c>
      <c r="B4230" s="34" t="s">
        <v>10378</v>
      </c>
      <c r="C4230" s="34" t="s">
        <v>103</v>
      </c>
      <c r="E4230" s="30" t="s">
        <v>10379</v>
      </c>
      <c r="F4230" s="34" t="n">
        <f aca="false">IFERROR(VLOOKUP($A4230,'319'!$B:$H,7,0),0)</f>
        <v>0</v>
      </c>
      <c r="G4230" s="34" t="n">
        <f aca="false">SUMIFS('12.326ana'!$C:$C,'12.326ana'!$M:$M,redes!A4230)</f>
        <v>0</v>
      </c>
    </row>
    <row r="4231" customFormat="false" ht="14.4" hidden="true" customHeight="false" outlineLevel="0" collapsed="false">
      <c r="A4231" s="34" t="n">
        <v>77218736149</v>
      </c>
      <c r="B4231" s="34" t="s">
        <v>10380</v>
      </c>
      <c r="C4231" s="34" t="s">
        <v>309</v>
      </c>
      <c r="E4231" s="30" t="s">
        <v>10381</v>
      </c>
      <c r="F4231" s="34" t="n">
        <f aca="false">IFERROR(VLOOKUP($A4231,'319'!$B:$H,7,0),0)</f>
        <v>0</v>
      </c>
      <c r="G4231" s="34" t="n">
        <f aca="false">SUMIFS('12.326ana'!$C:$C,'12.326ana'!$M:$M,redes!A4231)</f>
        <v>0</v>
      </c>
    </row>
    <row r="4232" customFormat="false" ht="14.4" hidden="true" customHeight="false" outlineLevel="0" collapsed="false">
      <c r="A4232" s="34" t="n">
        <v>77241991168</v>
      </c>
      <c r="B4232" s="34" t="s">
        <v>10382</v>
      </c>
      <c r="C4232" s="34" t="s">
        <v>336</v>
      </c>
      <c r="E4232" s="30" t="s">
        <v>2912</v>
      </c>
      <c r="F4232" s="34" t="n">
        <f aca="false">IFERROR(VLOOKUP($A4232,'319'!$B:$H,7,0),0)</f>
        <v>0</v>
      </c>
      <c r="G4232" s="34" t="n">
        <f aca="false">SUMIFS('12.326ana'!$C:$C,'12.326ana'!$M:$M,redes!A4232)</f>
        <v>0</v>
      </c>
    </row>
    <row r="4233" customFormat="false" ht="14.4" hidden="true" customHeight="false" outlineLevel="0" collapsed="false">
      <c r="A4233" s="34" t="n">
        <v>77248830178</v>
      </c>
      <c r="B4233" s="34" t="s">
        <v>10383</v>
      </c>
      <c r="C4233" s="34" t="s">
        <v>77</v>
      </c>
      <c r="E4233" s="30" t="s">
        <v>10384</v>
      </c>
      <c r="F4233" s="34" t="n">
        <f aca="false">IFERROR(VLOOKUP($A4233,'319'!$B:$H,7,0),0)</f>
        <v>0</v>
      </c>
      <c r="G4233" s="34" t="n">
        <f aca="false">SUMIFS('12.326ana'!$C:$C,'12.326ana'!$M:$M,redes!A4233)</f>
        <v>0</v>
      </c>
    </row>
    <row r="4234" customFormat="false" ht="14.4" hidden="true" customHeight="false" outlineLevel="0" collapsed="false">
      <c r="A4234" s="34" t="n">
        <v>77249151134</v>
      </c>
      <c r="B4234" s="34" t="s">
        <v>10385</v>
      </c>
      <c r="C4234" s="34" t="s">
        <v>77</v>
      </c>
      <c r="E4234" s="30"/>
      <c r="F4234" s="34" t="n">
        <f aca="false">IFERROR(VLOOKUP($A4234,'319'!$B:$H,7,0),0)</f>
        <v>0</v>
      </c>
      <c r="G4234" s="34" t="n">
        <f aca="false">SUMIFS('12.326ana'!$C:$C,'12.326ana'!$M:$M,redes!A4234)</f>
        <v>0</v>
      </c>
    </row>
    <row r="4235" customFormat="false" ht="14.4" hidden="true" customHeight="false" outlineLevel="0" collapsed="false">
      <c r="A4235" s="34" t="n">
        <v>77253078187</v>
      </c>
      <c r="B4235" s="34" t="s">
        <v>10386</v>
      </c>
      <c r="C4235" s="34" t="s">
        <v>89</v>
      </c>
      <c r="E4235" s="30" t="s">
        <v>10387</v>
      </c>
      <c r="F4235" s="34" t="n">
        <f aca="false">IFERROR(VLOOKUP($A4235,'319'!$B:$H,7,0),0)</f>
        <v>0</v>
      </c>
      <c r="G4235" s="34" t="n">
        <f aca="false">SUMIFS('12.326ana'!$C:$C,'12.326ana'!$M:$M,redes!A4235)</f>
        <v>0</v>
      </c>
    </row>
    <row r="4236" customFormat="false" ht="14.4" hidden="true" customHeight="false" outlineLevel="0" collapsed="false">
      <c r="A4236" s="34" t="n">
        <v>77258037187</v>
      </c>
      <c r="B4236" s="34" t="s">
        <v>10388</v>
      </c>
      <c r="C4236" s="34" t="s">
        <v>7250</v>
      </c>
      <c r="E4236" s="30" t="s">
        <v>10389</v>
      </c>
      <c r="F4236" s="34" t="n">
        <f aca="false">IFERROR(VLOOKUP($A4236,'319'!$B:$H,7,0),0)</f>
        <v>0</v>
      </c>
      <c r="G4236" s="34" t="n">
        <f aca="false">SUMIFS('12.326ana'!$C:$C,'12.326ana'!$M:$M,redes!A4236)</f>
        <v>0</v>
      </c>
    </row>
    <row r="4237" customFormat="false" ht="14.4" hidden="true" customHeight="false" outlineLevel="0" collapsed="false">
      <c r="A4237" s="34" t="n">
        <v>77297059153</v>
      </c>
      <c r="B4237" s="34" t="s">
        <v>10390</v>
      </c>
      <c r="C4237" s="34" t="s">
        <v>351</v>
      </c>
      <c r="E4237" s="30" t="s">
        <v>10391</v>
      </c>
      <c r="F4237" s="34" t="n">
        <f aca="false">IFERROR(VLOOKUP($A4237,'319'!$B:$H,7,0),0)</f>
        <v>0</v>
      </c>
      <c r="G4237" s="34" t="n">
        <f aca="false">SUMIFS('12.326ana'!$C:$C,'12.326ana'!$M:$M,redes!A4237)</f>
        <v>0</v>
      </c>
    </row>
    <row r="4238" customFormat="false" ht="14.4" hidden="true" customHeight="false" outlineLevel="0" collapsed="false">
      <c r="A4238" s="34" t="n">
        <v>77298136100</v>
      </c>
      <c r="B4238" s="34" t="s">
        <v>10392</v>
      </c>
      <c r="C4238" s="34" t="s">
        <v>77</v>
      </c>
      <c r="E4238" s="30" t="s">
        <v>10393</v>
      </c>
      <c r="F4238" s="34" t="n">
        <f aca="false">IFERROR(VLOOKUP($A4238,'319'!$B:$H,7,0),0)</f>
        <v>0</v>
      </c>
      <c r="G4238" s="34" t="n">
        <f aca="false">SUMIFS('12.326ana'!$C:$C,'12.326ana'!$M:$M,redes!A4238)</f>
        <v>0</v>
      </c>
    </row>
    <row r="4239" customFormat="false" ht="14.4" hidden="true" customHeight="false" outlineLevel="0" collapsed="false">
      <c r="A4239" s="34" t="n">
        <v>77305779172</v>
      </c>
      <c r="B4239" s="34" t="s">
        <v>10394</v>
      </c>
      <c r="C4239" s="34" t="s">
        <v>192</v>
      </c>
      <c r="E4239" s="30" t="s">
        <v>10395</v>
      </c>
      <c r="F4239" s="34" t="n">
        <f aca="false">IFERROR(VLOOKUP($A4239,'319'!$B:$H,7,0),0)</f>
        <v>0</v>
      </c>
      <c r="G4239" s="34" t="n">
        <f aca="false">SUMIFS('12.326ana'!$C:$C,'12.326ana'!$M:$M,redes!A4239)</f>
        <v>0</v>
      </c>
    </row>
    <row r="4240" customFormat="false" ht="14.4" hidden="true" customHeight="false" outlineLevel="0" collapsed="false">
      <c r="A4240" s="34" t="n">
        <v>77326210187</v>
      </c>
      <c r="B4240" s="34" t="s">
        <v>10396</v>
      </c>
      <c r="C4240" s="34" t="s">
        <v>77</v>
      </c>
      <c r="E4240" s="30" t="s">
        <v>5725</v>
      </c>
      <c r="F4240" s="34" t="n">
        <f aca="false">IFERROR(VLOOKUP($A4240,'319'!$B:$H,7,0),0)</f>
        <v>0</v>
      </c>
      <c r="G4240" s="34" t="n">
        <f aca="false">SUMIFS('12.326ana'!$C:$C,'12.326ana'!$M:$M,redes!A4240)</f>
        <v>0</v>
      </c>
    </row>
    <row r="4241" customFormat="false" ht="14.4" hidden="true" customHeight="false" outlineLevel="0" collapsed="false">
      <c r="A4241" s="34" t="n">
        <v>77363620172</v>
      </c>
      <c r="B4241" s="34" t="s">
        <v>10397</v>
      </c>
      <c r="C4241" s="34" t="s">
        <v>77</v>
      </c>
      <c r="E4241" s="30" t="s">
        <v>4394</v>
      </c>
      <c r="F4241" s="34" t="n">
        <f aca="false">IFERROR(VLOOKUP($A4241,'319'!$B:$H,7,0),0)</f>
        <v>0</v>
      </c>
      <c r="G4241" s="34" t="n">
        <f aca="false">SUMIFS('12.326ana'!$C:$C,'12.326ana'!$M:$M,redes!A4241)</f>
        <v>0</v>
      </c>
    </row>
    <row r="4242" customFormat="false" ht="14.4" hidden="true" customHeight="false" outlineLevel="0" collapsed="false">
      <c r="A4242" s="34" t="n">
        <v>77367600125</v>
      </c>
      <c r="B4242" s="34" t="s">
        <v>10398</v>
      </c>
      <c r="C4242" s="34" t="s">
        <v>77</v>
      </c>
      <c r="E4242" s="30" t="s">
        <v>10399</v>
      </c>
      <c r="F4242" s="34" t="n">
        <f aca="false">IFERROR(VLOOKUP($A4242,'319'!$B:$H,7,0),0)</f>
        <v>0</v>
      </c>
      <c r="G4242" s="34" t="n">
        <f aca="false">SUMIFS('12.326ana'!$C:$C,'12.326ana'!$M:$M,redes!A4242)</f>
        <v>0</v>
      </c>
    </row>
    <row r="4243" customFormat="false" ht="14.4" hidden="true" customHeight="false" outlineLevel="0" collapsed="false">
      <c r="A4243" s="34" t="n">
        <v>77385489168</v>
      </c>
      <c r="B4243" s="34" t="s">
        <v>10400</v>
      </c>
      <c r="C4243" s="34" t="s">
        <v>475</v>
      </c>
      <c r="E4243" s="30" t="s">
        <v>10401</v>
      </c>
      <c r="F4243" s="34" t="n">
        <f aca="false">IFERROR(VLOOKUP($A4243,'319'!$B:$H,7,0),0)</f>
        <v>0</v>
      </c>
      <c r="G4243" s="34" t="n">
        <f aca="false">SUMIFS('12.326ana'!$C:$C,'12.326ana'!$M:$M,redes!A4243)</f>
        <v>0</v>
      </c>
    </row>
    <row r="4244" customFormat="false" ht="14.4" hidden="true" customHeight="false" outlineLevel="0" collapsed="false">
      <c r="A4244" s="34" t="n">
        <v>77390741104</v>
      </c>
      <c r="B4244" s="34" t="s">
        <v>10402</v>
      </c>
      <c r="C4244" s="34" t="s">
        <v>77</v>
      </c>
      <c r="E4244" s="30" t="s">
        <v>10403</v>
      </c>
      <c r="F4244" s="34" t="n">
        <f aca="false">IFERROR(VLOOKUP($A4244,'319'!$B:$H,7,0),0)</f>
        <v>0</v>
      </c>
      <c r="G4244" s="34" t="n">
        <f aca="false">SUMIFS('12.326ana'!$C:$C,'12.326ana'!$M:$M,redes!A4244)</f>
        <v>0</v>
      </c>
    </row>
    <row r="4245" customFormat="false" ht="14.4" hidden="true" customHeight="false" outlineLevel="0" collapsed="false">
      <c r="A4245" s="34" t="n">
        <v>77390806168</v>
      </c>
      <c r="B4245" s="34" t="s">
        <v>10404</v>
      </c>
      <c r="C4245" s="34" t="s">
        <v>463</v>
      </c>
      <c r="E4245" s="30" t="s">
        <v>6376</v>
      </c>
      <c r="F4245" s="34" t="n">
        <f aca="false">IFERROR(VLOOKUP($A4245,'319'!$B:$H,7,0),0)</f>
        <v>0</v>
      </c>
      <c r="G4245" s="34" t="n">
        <f aca="false">SUMIFS('12.326ana'!$C:$C,'12.326ana'!$M:$M,redes!A4245)</f>
        <v>0</v>
      </c>
    </row>
    <row r="4246" customFormat="false" ht="14.4" hidden="true" customHeight="false" outlineLevel="0" collapsed="false">
      <c r="A4246" s="34" t="n">
        <v>77408217134</v>
      </c>
      <c r="B4246" s="34" t="s">
        <v>10405</v>
      </c>
      <c r="C4246" s="34" t="s">
        <v>706</v>
      </c>
      <c r="E4246" s="30" t="s">
        <v>10406</v>
      </c>
      <c r="F4246" s="34" t="n">
        <f aca="false">IFERROR(VLOOKUP($A4246,'319'!$B:$H,7,0),0)</f>
        <v>0</v>
      </c>
      <c r="G4246" s="34" t="n">
        <f aca="false">SUMIFS('12.326ana'!$C:$C,'12.326ana'!$M:$M,redes!A4246)</f>
        <v>0</v>
      </c>
    </row>
    <row r="4247" customFormat="false" ht="14.4" hidden="true" customHeight="false" outlineLevel="0" collapsed="false">
      <c r="A4247" s="34" t="n">
        <v>77408446168</v>
      </c>
      <c r="B4247" s="34" t="s">
        <v>10407</v>
      </c>
      <c r="C4247" s="34" t="s">
        <v>77</v>
      </c>
      <c r="E4247" s="30" t="s">
        <v>10408</v>
      </c>
      <c r="F4247" s="34" t="n">
        <f aca="false">IFERROR(VLOOKUP($A4247,'319'!$B:$H,7,0),0)</f>
        <v>0</v>
      </c>
      <c r="G4247" s="34" t="n">
        <f aca="false">SUMIFS('12.326ana'!$C:$C,'12.326ana'!$M:$M,redes!A4247)</f>
        <v>0</v>
      </c>
    </row>
    <row r="4248" customFormat="false" ht="14.4" hidden="true" customHeight="false" outlineLevel="0" collapsed="false">
      <c r="A4248" s="34" t="n">
        <v>77447174149</v>
      </c>
      <c r="B4248" s="34" t="s">
        <v>10409</v>
      </c>
      <c r="C4248" s="34" t="s">
        <v>103</v>
      </c>
      <c r="E4248" s="30" t="s">
        <v>10410</v>
      </c>
      <c r="F4248" s="34" t="n">
        <f aca="false">IFERROR(VLOOKUP($A4248,'319'!$B:$H,7,0),0)</f>
        <v>0</v>
      </c>
      <c r="G4248" s="34" t="n">
        <f aca="false">SUMIFS('12.326ana'!$C:$C,'12.326ana'!$M:$M,redes!A4248)</f>
        <v>0</v>
      </c>
    </row>
    <row r="4249" customFormat="false" ht="14.4" hidden="true" customHeight="false" outlineLevel="0" collapsed="false">
      <c r="A4249" s="34" t="n">
        <v>77451015149</v>
      </c>
      <c r="B4249" s="34" t="s">
        <v>10411</v>
      </c>
      <c r="C4249" s="34" t="s">
        <v>706</v>
      </c>
      <c r="E4249" s="30" t="s">
        <v>10412</v>
      </c>
      <c r="F4249" s="34" t="n">
        <f aca="false">IFERROR(VLOOKUP($A4249,'319'!$B:$H,7,0),0)</f>
        <v>0</v>
      </c>
      <c r="G4249" s="34" t="n">
        <f aca="false">SUMIFS('12.326ana'!$C:$C,'12.326ana'!$M:$M,redes!A4249)</f>
        <v>0</v>
      </c>
    </row>
    <row r="4250" customFormat="false" ht="14.4" hidden="true" customHeight="false" outlineLevel="0" collapsed="false">
      <c r="A4250" s="34" t="n">
        <v>77492498187</v>
      </c>
      <c r="B4250" s="34" t="s">
        <v>10413</v>
      </c>
      <c r="C4250" s="34" t="s">
        <v>103</v>
      </c>
      <c r="E4250" s="30" t="s">
        <v>10414</v>
      </c>
      <c r="F4250" s="34" t="n">
        <f aca="false">IFERROR(VLOOKUP($A4250,'319'!$B:$H,7,0),0)</f>
        <v>0</v>
      </c>
      <c r="G4250" s="34" t="n">
        <f aca="false">SUMIFS('12.326ana'!$C:$C,'12.326ana'!$M:$M,redes!A4250)</f>
        <v>0</v>
      </c>
    </row>
    <row r="4251" customFormat="false" ht="14.4" hidden="true" customHeight="false" outlineLevel="0" collapsed="false">
      <c r="A4251" s="34" t="n">
        <v>77505859668</v>
      </c>
      <c r="B4251" s="34" t="s">
        <v>10415</v>
      </c>
      <c r="C4251" s="34" t="s">
        <v>77</v>
      </c>
      <c r="E4251" s="30" t="s">
        <v>10416</v>
      </c>
      <c r="F4251" s="34" t="n">
        <f aca="false">IFERROR(VLOOKUP($A4251,'319'!$B:$H,7,0),0)</f>
        <v>0</v>
      </c>
      <c r="G4251" s="34" t="n">
        <f aca="false">SUMIFS('12.326ana'!$C:$C,'12.326ana'!$M:$M,redes!A4251)</f>
        <v>0</v>
      </c>
    </row>
    <row r="4252" customFormat="false" ht="14.4" hidden="true" customHeight="false" outlineLevel="0" collapsed="false">
      <c r="A4252" s="34" t="n">
        <v>77527000114</v>
      </c>
      <c r="B4252" s="34" t="s">
        <v>10417</v>
      </c>
      <c r="C4252" s="34" t="s">
        <v>77</v>
      </c>
      <c r="D4252" s="34" t="s">
        <v>9598</v>
      </c>
      <c r="E4252" s="30" t="s">
        <v>10418</v>
      </c>
      <c r="F4252" s="34" t="n">
        <f aca="false">IFERROR(VLOOKUP($A4252,'319'!$B:$H,7,0),0)</f>
        <v>0</v>
      </c>
      <c r="G4252" s="34" t="n">
        <f aca="false">SUMIFS('12.326ana'!$C:$C,'12.326ana'!$M:$M,redes!A4252)</f>
        <v>0</v>
      </c>
    </row>
    <row r="4253" customFormat="false" ht="14.4" hidden="true" customHeight="false" outlineLevel="0" collapsed="false">
      <c r="A4253" s="34" t="n">
        <v>77543670097</v>
      </c>
      <c r="B4253" s="34" t="s">
        <v>10419</v>
      </c>
      <c r="C4253" s="34" t="s">
        <v>1054</v>
      </c>
      <c r="E4253" s="30" t="s">
        <v>10420</v>
      </c>
      <c r="F4253" s="34" t="n">
        <f aca="false">IFERROR(VLOOKUP($A4253,'319'!$B:$H,7,0),0)</f>
        <v>0</v>
      </c>
      <c r="G4253" s="34" t="n">
        <f aca="false">SUMIFS('12.326ana'!$C:$C,'12.326ana'!$M:$M,redes!A4253)</f>
        <v>0</v>
      </c>
    </row>
    <row r="4254" customFormat="false" ht="14.4" hidden="true" customHeight="false" outlineLevel="0" collapsed="false">
      <c r="A4254" s="34" t="n">
        <v>77572521134</v>
      </c>
      <c r="B4254" s="34" t="s">
        <v>10421</v>
      </c>
      <c r="C4254" s="34" t="s">
        <v>4139</v>
      </c>
      <c r="E4254" s="30" t="s">
        <v>10422</v>
      </c>
      <c r="F4254" s="34" t="n">
        <f aca="false">IFERROR(VLOOKUP($A4254,'319'!$B:$H,7,0),0)</f>
        <v>0</v>
      </c>
      <c r="G4254" s="34" t="n">
        <f aca="false">SUMIFS('12.326ana'!$C:$C,'12.326ana'!$M:$M,redes!A4254)</f>
        <v>0</v>
      </c>
    </row>
    <row r="4255" customFormat="false" ht="14.4" hidden="true" customHeight="false" outlineLevel="0" collapsed="false">
      <c r="A4255" s="34" t="n">
        <v>77642767153</v>
      </c>
      <c r="B4255" s="34" t="s">
        <v>10423</v>
      </c>
      <c r="C4255" s="34" t="s">
        <v>848</v>
      </c>
      <c r="E4255" s="30" t="s">
        <v>3112</v>
      </c>
      <c r="F4255" s="34" t="n">
        <f aca="false">IFERROR(VLOOKUP($A4255,'319'!$B:$H,7,0),0)</f>
        <v>0</v>
      </c>
      <c r="G4255" s="34" t="n">
        <f aca="false">SUMIFS('12.326ana'!$C:$C,'12.326ana'!$M:$M,redes!A4255)</f>
        <v>0</v>
      </c>
    </row>
    <row r="4256" customFormat="false" ht="14.4" hidden="true" customHeight="false" outlineLevel="0" collapsed="false">
      <c r="A4256" s="34" t="n">
        <v>77657888172</v>
      </c>
      <c r="B4256" s="34" t="s">
        <v>10424</v>
      </c>
      <c r="C4256" s="34" t="s">
        <v>89</v>
      </c>
      <c r="E4256" s="30" t="s">
        <v>10425</v>
      </c>
      <c r="F4256" s="34" t="n">
        <f aca="false">IFERROR(VLOOKUP($A4256,'319'!$B:$H,7,0),0)</f>
        <v>0</v>
      </c>
      <c r="G4256" s="34" t="n">
        <f aca="false">SUMIFS('12.326ana'!$C:$C,'12.326ana'!$M:$M,redes!A4256)</f>
        <v>0</v>
      </c>
    </row>
    <row r="4257" customFormat="false" ht="14.4" hidden="true" customHeight="false" outlineLevel="0" collapsed="false">
      <c r="A4257" s="34" t="n">
        <v>77666828187</v>
      </c>
      <c r="B4257" s="34" t="s">
        <v>10426</v>
      </c>
      <c r="C4257" s="34" t="s">
        <v>139</v>
      </c>
      <c r="E4257" s="30" t="s">
        <v>10427</v>
      </c>
      <c r="F4257" s="34" t="n">
        <f aca="false">IFERROR(VLOOKUP($A4257,'319'!$B:$H,7,0),0)</f>
        <v>0</v>
      </c>
      <c r="G4257" s="34" t="n">
        <f aca="false">SUMIFS('12.326ana'!$C:$C,'12.326ana'!$M:$M,redes!A4257)</f>
        <v>0</v>
      </c>
    </row>
    <row r="4258" customFormat="false" ht="14.4" hidden="true" customHeight="false" outlineLevel="0" collapsed="false">
      <c r="A4258" s="34" t="n">
        <v>77677773168</v>
      </c>
      <c r="B4258" s="34" t="s">
        <v>10428</v>
      </c>
      <c r="C4258" s="34" t="s">
        <v>77</v>
      </c>
      <c r="E4258" s="30" t="s">
        <v>10429</v>
      </c>
      <c r="F4258" s="34" t="n">
        <f aca="false">IFERROR(VLOOKUP($A4258,'319'!$B:$H,7,0),0)</f>
        <v>0</v>
      </c>
      <c r="G4258" s="34" t="n">
        <f aca="false">SUMIFS('12.326ana'!$C:$C,'12.326ana'!$M:$M,redes!A4258)</f>
        <v>0</v>
      </c>
    </row>
    <row r="4259" customFormat="false" ht="14.4" hidden="true" customHeight="false" outlineLevel="0" collapsed="false">
      <c r="A4259" s="34" t="n">
        <v>77681398104</v>
      </c>
      <c r="B4259" s="34" t="s">
        <v>10430</v>
      </c>
      <c r="C4259" s="34" t="s">
        <v>77</v>
      </c>
      <c r="E4259" s="30" t="s">
        <v>10431</v>
      </c>
      <c r="F4259" s="34" t="n">
        <f aca="false">IFERROR(VLOOKUP($A4259,'319'!$B:$H,7,0),0)</f>
        <v>0</v>
      </c>
      <c r="G4259" s="34" t="n">
        <f aca="false">SUMIFS('12.326ana'!$C:$C,'12.326ana'!$M:$M,redes!A4259)</f>
        <v>0</v>
      </c>
    </row>
    <row r="4260" customFormat="false" ht="14.4" hidden="true" customHeight="false" outlineLevel="0" collapsed="false">
      <c r="A4260" s="34" t="n">
        <v>77710258115</v>
      </c>
      <c r="B4260" s="34" t="s">
        <v>8821</v>
      </c>
      <c r="C4260" s="34" t="s">
        <v>77</v>
      </c>
      <c r="E4260" s="30" t="s">
        <v>10432</v>
      </c>
      <c r="F4260" s="34" t="n">
        <f aca="false">IFERROR(VLOOKUP($A4260,'319'!$B:$H,7,0),0)</f>
        <v>0</v>
      </c>
      <c r="G4260" s="34" t="n">
        <f aca="false">SUMIFS('12.326ana'!$C:$C,'12.326ana'!$M:$M,redes!A4260)</f>
        <v>0</v>
      </c>
    </row>
    <row r="4261" customFormat="false" ht="14.4" hidden="true" customHeight="false" outlineLevel="0" collapsed="false">
      <c r="A4261" s="34" t="n">
        <v>77712099120</v>
      </c>
      <c r="B4261" s="34" t="s">
        <v>10433</v>
      </c>
      <c r="C4261" s="34" t="s">
        <v>881</v>
      </c>
      <c r="E4261" s="30" t="s">
        <v>10434</v>
      </c>
      <c r="F4261" s="34" t="n">
        <f aca="false">IFERROR(VLOOKUP($A4261,'319'!$B:$H,7,0),0)</f>
        <v>0</v>
      </c>
      <c r="G4261" s="34" t="n">
        <f aca="false">SUMIFS('12.326ana'!$C:$C,'12.326ana'!$M:$M,redes!A4261)</f>
        <v>0</v>
      </c>
    </row>
    <row r="4262" customFormat="false" ht="14.4" hidden="true" customHeight="false" outlineLevel="0" collapsed="false">
      <c r="A4262" s="34" t="n">
        <v>77764234400</v>
      </c>
      <c r="B4262" s="34" t="s">
        <v>10435</v>
      </c>
      <c r="C4262" s="34" t="s">
        <v>77</v>
      </c>
      <c r="E4262" s="30" t="s">
        <v>10436</v>
      </c>
      <c r="F4262" s="34" t="n">
        <f aca="false">IFERROR(VLOOKUP($A4262,'319'!$B:$H,7,0),0)</f>
        <v>0</v>
      </c>
      <c r="G4262" s="34" t="n">
        <f aca="false">SUMIFS('12.326ana'!$C:$C,'12.326ana'!$M:$M,redes!A4262)</f>
        <v>0</v>
      </c>
    </row>
    <row r="4263" customFormat="false" ht="14.4" hidden="true" customHeight="false" outlineLevel="0" collapsed="false">
      <c r="A4263" s="34" t="n">
        <v>77785614849</v>
      </c>
      <c r="B4263" s="34" t="s">
        <v>10437</v>
      </c>
      <c r="C4263" s="34" t="s">
        <v>77</v>
      </c>
      <c r="E4263" s="30" t="s">
        <v>10438</v>
      </c>
      <c r="F4263" s="34" t="n">
        <f aca="false">IFERROR(VLOOKUP($A4263,'319'!$B:$H,7,0),0)</f>
        <v>0</v>
      </c>
      <c r="G4263" s="34" t="n">
        <f aca="false">SUMIFS('12.326ana'!$C:$C,'12.326ana'!$M:$M,redes!A4263)</f>
        <v>0</v>
      </c>
    </row>
    <row r="4264" customFormat="false" ht="14.4" hidden="true" customHeight="false" outlineLevel="0" collapsed="false">
      <c r="A4264" s="34" t="n">
        <v>77797124191</v>
      </c>
      <c r="B4264" s="34" t="s">
        <v>10439</v>
      </c>
      <c r="C4264" s="34" t="s">
        <v>107</v>
      </c>
      <c r="E4264" s="30" t="s">
        <v>10440</v>
      </c>
      <c r="F4264" s="34" t="n">
        <f aca="false">IFERROR(VLOOKUP($A4264,'319'!$B:$H,7,0),0)</f>
        <v>0</v>
      </c>
      <c r="G4264" s="34" t="n">
        <f aca="false">SUMIFS('12.326ana'!$C:$C,'12.326ana'!$M:$M,redes!A4264)</f>
        <v>0</v>
      </c>
    </row>
    <row r="4265" customFormat="false" ht="14.4" hidden="true" customHeight="false" outlineLevel="0" collapsed="false">
      <c r="A4265" s="34" t="n">
        <v>77803868134</v>
      </c>
      <c r="B4265" s="34" t="s">
        <v>10441</v>
      </c>
      <c r="C4265" s="34" t="s">
        <v>562</v>
      </c>
      <c r="E4265" s="30" t="s">
        <v>10442</v>
      </c>
      <c r="F4265" s="34" t="n">
        <f aca="false">IFERROR(VLOOKUP($A4265,'319'!$B:$H,7,0),0)</f>
        <v>0</v>
      </c>
      <c r="G4265" s="34" t="n">
        <f aca="false">SUMIFS('12.326ana'!$C:$C,'12.326ana'!$M:$M,redes!A4265)</f>
        <v>0</v>
      </c>
    </row>
    <row r="4266" customFormat="false" ht="14.4" hidden="true" customHeight="false" outlineLevel="0" collapsed="false">
      <c r="A4266" s="34" t="n">
        <v>77813030168</v>
      </c>
      <c r="B4266" s="34" t="s">
        <v>10443</v>
      </c>
      <c r="C4266" s="34" t="s">
        <v>357</v>
      </c>
      <c r="E4266" s="30" t="s">
        <v>10444</v>
      </c>
      <c r="F4266" s="34" t="n">
        <f aca="false">IFERROR(VLOOKUP($A4266,'319'!$B:$H,7,0),0)</f>
        <v>0</v>
      </c>
      <c r="G4266" s="34" t="n">
        <f aca="false">SUMIFS('12.326ana'!$C:$C,'12.326ana'!$M:$M,redes!A4266)</f>
        <v>0</v>
      </c>
    </row>
    <row r="4267" customFormat="false" ht="14.4" hidden="true" customHeight="false" outlineLevel="0" collapsed="false">
      <c r="A4267" s="34" t="n">
        <v>77824806120</v>
      </c>
      <c r="B4267" s="34" t="s">
        <v>10445</v>
      </c>
      <c r="C4267" s="34" t="s">
        <v>296</v>
      </c>
      <c r="E4267" s="30" t="s">
        <v>10446</v>
      </c>
      <c r="F4267" s="34" t="n">
        <f aca="false">IFERROR(VLOOKUP($A4267,'319'!$B:$H,7,0),0)</f>
        <v>0</v>
      </c>
      <c r="G4267" s="34" t="n">
        <f aca="false">SUMIFS('12.326ana'!$C:$C,'12.326ana'!$M:$M,redes!A4267)</f>
        <v>0</v>
      </c>
    </row>
    <row r="4268" customFormat="false" ht="14.4" hidden="true" customHeight="false" outlineLevel="0" collapsed="false">
      <c r="A4268" s="34" t="n">
        <v>77830660115</v>
      </c>
      <c r="B4268" s="34" t="s">
        <v>10447</v>
      </c>
      <c r="C4268" s="34" t="s">
        <v>781</v>
      </c>
      <c r="E4268" s="30" t="s">
        <v>10448</v>
      </c>
      <c r="F4268" s="34" t="n">
        <f aca="false">IFERROR(VLOOKUP($A4268,'319'!$B:$H,7,0),0)</f>
        <v>0</v>
      </c>
      <c r="G4268" s="34" t="n">
        <f aca="false">SUMIFS('12.326ana'!$C:$C,'12.326ana'!$M:$M,redes!A4268)</f>
        <v>0</v>
      </c>
    </row>
    <row r="4269" customFormat="false" ht="14.4" hidden="true" customHeight="false" outlineLevel="0" collapsed="false">
      <c r="A4269" s="34" t="n">
        <v>77831365168</v>
      </c>
      <c r="B4269" s="34" t="s">
        <v>10449</v>
      </c>
      <c r="C4269" s="34" t="s">
        <v>77</v>
      </c>
      <c r="E4269" s="30" t="s">
        <v>10450</v>
      </c>
      <c r="F4269" s="34" t="n">
        <f aca="false">IFERROR(VLOOKUP($A4269,'319'!$B:$H,7,0),0)</f>
        <v>0</v>
      </c>
      <c r="G4269" s="34" t="n">
        <f aca="false">SUMIFS('12.326ana'!$C:$C,'12.326ana'!$M:$M,redes!A4269)</f>
        <v>0</v>
      </c>
    </row>
    <row r="4270" customFormat="false" ht="14.4" hidden="true" customHeight="false" outlineLevel="0" collapsed="false">
      <c r="A4270" s="34" t="n">
        <v>77888790100</v>
      </c>
      <c r="B4270" s="34" t="s">
        <v>10451</v>
      </c>
      <c r="C4270" s="34" t="s">
        <v>77</v>
      </c>
      <c r="E4270" s="30" t="s">
        <v>10452</v>
      </c>
      <c r="F4270" s="34" t="n">
        <f aca="false">IFERROR(VLOOKUP($A4270,'319'!$B:$H,7,0),0)</f>
        <v>0</v>
      </c>
      <c r="G4270" s="34" t="n">
        <f aca="false">SUMIFS('12.326ana'!$C:$C,'12.326ana'!$M:$M,redes!A4270)</f>
        <v>0</v>
      </c>
    </row>
    <row r="4271" customFormat="false" ht="14.4" hidden="true" customHeight="false" outlineLevel="0" collapsed="false">
      <c r="A4271" s="34" t="n">
        <v>77912349120</v>
      </c>
      <c r="B4271" s="34" t="s">
        <v>10453</v>
      </c>
      <c r="C4271" s="34" t="s">
        <v>1680</v>
      </c>
      <c r="E4271" s="30" t="s">
        <v>10454</v>
      </c>
      <c r="F4271" s="34" t="n">
        <f aca="false">IFERROR(VLOOKUP($A4271,'319'!$B:$H,7,0),0)</f>
        <v>0</v>
      </c>
      <c r="G4271" s="34" t="n">
        <f aca="false">SUMIFS('12.326ana'!$C:$C,'12.326ana'!$M:$M,redes!A4271)</f>
        <v>0</v>
      </c>
    </row>
    <row r="4272" customFormat="false" ht="14.4" hidden="true" customHeight="false" outlineLevel="0" collapsed="false">
      <c r="A4272" s="34" t="n">
        <v>77947525153</v>
      </c>
      <c r="B4272" s="34" t="s">
        <v>10455</v>
      </c>
      <c r="C4272" s="34" t="s">
        <v>107</v>
      </c>
      <c r="E4272" s="30" t="s">
        <v>10456</v>
      </c>
      <c r="F4272" s="34" t="n">
        <f aca="false">IFERROR(VLOOKUP($A4272,'319'!$B:$H,7,0),0)</f>
        <v>0</v>
      </c>
      <c r="G4272" s="34" t="n">
        <f aca="false">SUMIFS('12.326ana'!$C:$C,'12.326ana'!$M:$M,redes!A4272)</f>
        <v>0</v>
      </c>
    </row>
    <row r="4273" customFormat="false" ht="14.4" hidden="true" customHeight="false" outlineLevel="0" collapsed="false">
      <c r="A4273" s="34" t="n">
        <v>77948173153</v>
      </c>
      <c r="B4273" s="34" t="s">
        <v>10457</v>
      </c>
      <c r="C4273" s="34" t="s">
        <v>448</v>
      </c>
      <c r="E4273" s="30" t="s">
        <v>10458</v>
      </c>
      <c r="F4273" s="34" t="n">
        <f aca="false">IFERROR(VLOOKUP($A4273,'319'!$B:$H,7,0),0)</f>
        <v>0</v>
      </c>
      <c r="G4273" s="34" t="n">
        <f aca="false">SUMIFS('12.326ana'!$C:$C,'12.326ana'!$M:$M,redes!A4273)</f>
        <v>0</v>
      </c>
    </row>
    <row r="4274" customFormat="false" ht="14.4" hidden="true" customHeight="false" outlineLevel="0" collapsed="false">
      <c r="A4274" s="34" t="n">
        <v>77954181120</v>
      </c>
      <c r="B4274" s="34" t="s">
        <v>10459</v>
      </c>
      <c r="C4274" s="34" t="s">
        <v>781</v>
      </c>
      <c r="E4274" s="30" t="s">
        <v>8981</v>
      </c>
      <c r="F4274" s="34" t="n">
        <f aca="false">IFERROR(VLOOKUP($A4274,'319'!$B:$H,7,0),0)</f>
        <v>0</v>
      </c>
      <c r="G4274" s="34" t="n">
        <f aca="false">SUMIFS('12.326ana'!$C:$C,'12.326ana'!$M:$M,redes!A4274)</f>
        <v>0</v>
      </c>
    </row>
    <row r="4275" customFormat="false" ht="14.4" hidden="true" customHeight="false" outlineLevel="0" collapsed="false">
      <c r="A4275" s="34" t="n">
        <v>77955293800</v>
      </c>
      <c r="B4275" s="34" t="s">
        <v>10460</v>
      </c>
      <c r="C4275" s="34" t="s">
        <v>77</v>
      </c>
      <c r="E4275" s="30" t="s">
        <v>7951</v>
      </c>
      <c r="F4275" s="34" t="n">
        <f aca="false">IFERROR(VLOOKUP($A4275,'319'!$B:$H,7,0),0)</f>
        <v>0</v>
      </c>
      <c r="G4275" s="34" t="n">
        <f aca="false">SUMIFS('12.326ana'!$C:$C,'12.326ana'!$M:$M,redes!A4275)</f>
        <v>0</v>
      </c>
    </row>
    <row r="4276" customFormat="false" ht="14.4" hidden="true" customHeight="false" outlineLevel="0" collapsed="false">
      <c r="A4276" s="34" t="n">
        <v>77985931104</v>
      </c>
      <c r="B4276" s="34" t="s">
        <v>10461</v>
      </c>
      <c r="C4276" s="34" t="s">
        <v>77</v>
      </c>
      <c r="E4276" s="30" t="s">
        <v>10461</v>
      </c>
      <c r="F4276" s="34" t="n">
        <f aca="false">IFERROR(VLOOKUP($A4276,'319'!$B:$H,7,0),0)</f>
        <v>0</v>
      </c>
      <c r="G4276" s="34" t="n">
        <f aca="false">SUMIFS('12.326ana'!$C:$C,'12.326ana'!$M:$M,redes!A4276)</f>
        <v>0</v>
      </c>
    </row>
    <row r="4277" customFormat="false" ht="14.4" hidden="true" customHeight="false" outlineLevel="0" collapsed="false">
      <c r="A4277" s="34" t="n">
        <v>77987500100</v>
      </c>
      <c r="B4277" s="34" t="s">
        <v>10462</v>
      </c>
      <c r="C4277" s="34" t="s">
        <v>77</v>
      </c>
      <c r="E4277" s="30" t="s">
        <v>10463</v>
      </c>
      <c r="F4277" s="34" t="n">
        <f aca="false">IFERROR(VLOOKUP($A4277,'319'!$B:$H,7,0),0)</f>
        <v>0</v>
      </c>
      <c r="G4277" s="34" t="n">
        <f aca="false">SUMIFS('12.326ana'!$C:$C,'12.326ana'!$M:$M,redes!A4277)</f>
        <v>0</v>
      </c>
    </row>
    <row r="4278" customFormat="false" ht="14.4" hidden="true" customHeight="false" outlineLevel="0" collapsed="false">
      <c r="A4278" s="34" t="n">
        <v>78012880172</v>
      </c>
      <c r="B4278" s="34" t="s">
        <v>10464</v>
      </c>
      <c r="C4278" s="34" t="s">
        <v>77</v>
      </c>
      <c r="E4278" s="30" t="s">
        <v>10465</v>
      </c>
      <c r="F4278" s="34" t="n">
        <f aca="false">IFERROR(VLOOKUP($A4278,'319'!$B:$H,7,0),0)</f>
        <v>0</v>
      </c>
      <c r="G4278" s="34" t="n">
        <f aca="false">SUMIFS('12.326ana'!$C:$C,'12.326ana'!$M:$M,redes!A4278)</f>
        <v>0</v>
      </c>
    </row>
    <row r="4279" customFormat="false" ht="14.4" hidden="true" customHeight="false" outlineLevel="0" collapsed="false">
      <c r="A4279" s="34" t="n">
        <v>78031249849</v>
      </c>
      <c r="B4279" s="34" t="s">
        <v>10466</v>
      </c>
      <c r="C4279" s="34" t="s">
        <v>77</v>
      </c>
      <c r="E4279" s="30" t="s">
        <v>10467</v>
      </c>
      <c r="F4279" s="34" t="n">
        <f aca="false">IFERROR(VLOOKUP($A4279,'319'!$B:$H,7,0),0)</f>
        <v>0</v>
      </c>
      <c r="G4279" s="34" t="n">
        <f aca="false">SUMIFS('12.326ana'!$C:$C,'12.326ana'!$M:$M,redes!A4279)</f>
        <v>0</v>
      </c>
    </row>
    <row r="4280" customFormat="false" ht="14.4" hidden="true" customHeight="false" outlineLevel="0" collapsed="false">
      <c r="A4280" s="34" t="n">
        <v>78043514968</v>
      </c>
      <c r="B4280" s="34" t="s">
        <v>10468</v>
      </c>
      <c r="C4280" s="34" t="s">
        <v>89</v>
      </c>
      <c r="E4280" s="30" t="s">
        <v>10469</v>
      </c>
      <c r="F4280" s="34" t="n">
        <f aca="false">IFERROR(VLOOKUP($A4280,'319'!$B:$H,7,0),0)</f>
        <v>0</v>
      </c>
      <c r="G4280" s="34" t="n">
        <f aca="false">SUMIFS('12.326ana'!$C:$C,'12.326ana'!$M:$M,redes!A4280)</f>
        <v>0</v>
      </c>
    </row>
    <row r="4281" customFormat="false" ht="14.4" hidden="true" customHeight="false" outlineLevel="0" collapsed="false">
      <c r="A4281" s="34" t="n">
        <v>78048370115</v>
      </c>
      <c r="B4281" s="34" t="s">
        <v>10470</v>
      </c>
      <c r="C4281" s="34" t="s">
        <v>351</v>
      </c>
      <c r="E4281" s="30" t="s">
        <v>10471</v>
      </c>
      <c r="F4281" s="34" t="n">
        <f aca="false">IFERROR(VLOOKUP($A4281,'319'!$B:$H,7,0),0)</f>
        <v>0</v>
      </c>
      <c r="G4281" s="34" t="n">
        <f aca="false">SUMIFS('12.326ana'!$C:$C,'12.326ana'!$M:$M,redes!A4281)</f>
        <v>0</v>
      </c>
    </row>
    <row r="4282" customFormat="false" ht="14.4" hidden="true" customHeight="false" outlineLevel="0" collapsed="false">
      <c r="A4282" s="34" t="n">
        <v>78059577115</v>
      </c>
      <c r="B4282" s="34" t="s">
        <v>10472</v>
      </c>
      <c r="C4282" s="34" t="s">
        <v>139</v>
      </c>
      <c r="E4282" s="30" t="s">
        <v>10473</v>
      </c>
      <c r="F4282" s="34" t="n">
        <f aca="false">IFERROR(VLOOKUP($A4282,'319'!$B:$H,7,0),0)</f>
        <v>0</v>
      </c>
      <c r="G4282" s="34" t="n">
        <f aca="false">SUMIFS('12.326ana'!$C:$C,'12.326ana'!$M:$M,redes!A4282)</f>
        <v>0</v>
      </c>
    </row>
    <row r="4283" customFormat="false" ht="14.4" hidden="true" customHeight="false" outlineLevel="0" collapsed="false">
      <c r="A4283" s="34" t="n">
        <v>78102812168</v>
      </c>
      <c r="B4283" s="34" t="s">
        <v>10474</v>
      </c>
      <c r="C4283" s="34" t="s">
        <v>77</v>
      </c>
      <c r="E4283" s="30" t="s">
        <v>10475</v>
      </c>
      <c r="F4283" s="34" t="n">
        <f aca="false">IFERROR(VLOOKUP($A4283,'319'!$B:$H,7,0),0)</f>
        <v>0</v>
      </c>
      <c r="G4283" s="34" t="n">
        <f aca="false">SUMIFS('12.326ana'!$C:$C,'12.326ana'!$M:$M,redes!A4283)</f>
        <v>0</v>
      </c>
    </row>
    <row r="4284" customFormat="false" ht="14.4" hidden="true" customHeight="false" outlineLevel="0" collapsed="false">
      <c r="A4284" s="34" t="n">
        <v>78104955349</v>
      </c>
      <c r="B4284" s="34" t="s">
        <v>10476</v>
      </c>
      <c r="C4284" s="34" t="s">
        <v>77</v>
      </c>
      <c r="E4284" s="30" t="s">
        <v>6917</v>
      </c>
      <c r="F4284" s="34" t="n">
        <f aca="false">IFERROR(VLOOKUP($A4284,'319'!$B:$H,7,0),0)</f>
        <v>0</v>
      </c>
      <c r="G4284" s="34" t="n">
        <f aca="false">SUMIFS('12.326ana'!$C:$C,'12.326ana'!$M:$M,redes!A4284)</f>
        <v>0</v>
      </c>
    </row>
    <row r="4285" customFormat="false" ht="14.4" hidden="true" customHeight="false" outlineLevel="0" collapsed="false">
      <c r="A4285" s="34" t="n">
        <v>78152127191</v>
      </c>
      <c r="B4285" s="34" t="s">
        <v>10477</v>
      </c>
      <c r="C4285" s="34" t="s">
        <v>77</v>
      </c>
      <c r="E4285" s="30" t="s">
        <v>10478</v>
      </c>
      <c r="F4285" s="34" t="n">
        <f aca="false">IFERROR(VLOOKUP($A4285,'319'!$B:$H,7,0),0)</f>
        <v>0</v>
      </c>
      <c r="G4285" s="34" t="n">
        <f aca="false">SUMIFS('12.326ana'!$C:$C,'12.326ana'!$M:$M,redes!A4285)</f>
        <v>0</v>
      </c>
    </row>
    <row r="4286" customFormat="false" ht="14.4" hidden="true" customHeight="false" outlineLevel="0" collapsed="false">
      <c r="A4286" s="34" t="n">
        <v>78159199104</v>
      </c>
      <c r="B4286" s="34" t="s">
        <v>10479</v>
      </c>
      <c r="C4286" s="34" t="s">
        <v>4829</v>
      </c>
      <c r="E4286" s="30" t="s">
        <v>6972</v>
      </c>
      <c r="F4286" s="34" t="n">
        <f aca="false">IFERROR(VLOOKUP($A4286,'319'!$B:$H,7,0),0)</f>
        <v>0</v>
      </c>
      <c r="G4286" s="34" t="n">
        <f aca="false">SUMIFS('12.326ana'!$C:$C,'12.326ana'!$M:$M,redes!A4286)</f>
        <v>0</v>
      </c>
    </row>
    <row r="4287" customFormat="false" ht="14.4" hidden="true" customHeight="false" outlineLevel="0" collapsed="false">
      <c r="A4287" s="34" t="n">
        <v>78165466100</v>
      </c>
      <c r="B4287" s="34" t="s">
        <v>10480</v>
      </c>
      <c r="C4287" s="34" t="s">
        <v>336</v>
      </c>
      <c r="E4287" s="30" t="s">
        <v>10481</v>
      </c>
      <c r="F4287" s="34" t="n">
        <f aca="false">IFERROR(VLOOKUP($A4287,'319'!$B:$H,7,0),0)</f>
        <v>0</v>
      </c>
      <c r="G4287" s="34" t="n">
        <f aca="false">SUMIFS('12.326ana'!$C:$C,'12.326ana'!$M:$M,redes!A4287)</f>
        <v>0</v>
      </c>
    </row>
    <row r="4288" customFormat="false" ht="14.4" hidden="true" customHeight="false" outlineLevel="0" collapsed="false">
      <c r="A4288" s="34" t="n">
        <v>78167973115</v>
      </c>
      <c r="B4288" s="34" t="s">
        <v>10482</v>
      </c>
      <c r="C4288" s="34" t="s">
        <v>77</v>
      </c>
      <c r="E4288" s="30" t="s">
        <v>10482</v>
      </c>
      <c r="F4288" s="34" t="n">
        <f aca="false">IFERROR(VLOOKUP($A4288,'319'!$B:$H,7,0),0)</f>
        <v>0</v>
      </c>
      <c r="G4288" s="34" t="n">
        <f aca="false">SUMIFS('12.326ana'!$C:$C,'12.326ana'!$M:$M,redes!A4288)</f>
        <v>0</v>
      </c>
    </row>
    <row r="4289" customFormat="false" ht="14.4" hidden="true" customHeight="false" outlineLevel="0" collapsed="false">
      <c r="A4289" s="34" t="n">
        <v>78179688100</v>
      </c>
      <c r="B4289" s="34" t="s">
        <v>10483</v>
      </c>
      <c r="C4289" s="34" t="s">
        <v>77</v>
      </c>
      <c r="E4289" s="30" t="s">
        <v>5846</v>
      </c>
      <c r="F4289" s="34" t="n">
        <f aca="false">IFERROR(VLOOKUP($A4289,'319'!$B:$H,7,0),0)</f>
        <v>0</v>
      </c>
      <c r="G4289" s="34" t="n">
        <f aca="false">SUMIFS('12.326ana'!$C:$C,'12.326ana'!$M:$M,redes!A4289)</f>
        <v>0</v>
      </c>
    </row>
    <row r="4290" customFormat="false" ht="14.4" hidden="true" customHeight="false" outlineLevel="0" collapsed="false">
      <c r="A4290" s="34" t="n">
        <v>78201411404</v>
      </c>
      <c r="B4290" s="34" t="s">
        <v>10484</v>
      </c>
      <c r="C4290" s="34" t="s">
        <v>77</v>
      </c>
      <c r="E4290" s="30" t="s">
        <v>10485</v>
      </c>
      <c r="F4290" s="34" t="n">
        <f aca="false">IFERROR(VLOOKUP($A4290,'319'!$B:$H,7,0),0)</f>
        <v>0</v>
      </c>
      <c r="G4290" s="34" t="n">
        <f aca="false">SUMIFS('12.326ana'!$C:$C,'12.326ana'!$M:$M,redes!A4290)</f>
        <v>0</v>
      </c>
    </row>
    <row r="4291" customFormat="false" ht="14.4" hidden="true" customHeight="false" outlineLevel="0" collapsed="false">
      <c r="A4291" s="34" t="n">
        <v>78207665149</v>
      </c>
      <c r="B4291" s="34" t="s">
        <v>10486</v>
      </c>
      <c r="C4291" s="34" t="s">
        <v>405</v>
      </c>
      <c r="E4291" s="30" t="s">
        <v>10487</v>
      </c>
      <c r="F4291" s="34" t="n">
        <f aca="false">IFERROR(VLOOKUP($A4291,'319'!$B:$H,7,0),0)</f>
        <v>0</v>
      </c>
      <c r="G4291" s="34" t="n">
        <f aca="false">SUMIFS('12.326ana'!$C:$C,'12.326ana'!$M:$M,redes!A4291)</f>
        <v>0</v>
      </c>
    </row>
    <row r="4292" customFormat="false" ht="14.4" hidden="true" customHeight="false" outlineLevel="0" collapsed="false">
      <c r="A4292" s="34" t="n">
        <v>78236509168</v>
      </c>
      <c r="B4292" s="34" t="s">
        <v>10488</v>
      </c>
      <c r="C4292" s="34" t="s">
        <v>781</v>
      </c>
      <c r="E4292" s="30" t="s">
        <v>3401</v>
      </c>
      <c r="F4292" s="34" t="n">
        <f aca="false">IFERROR(VLOOKUP($A4292,'319'!$B:$H,7,0),0)</f>
        <v>0</v>
      </c>
      <c r="G4292" s="34" t="n">
        <f aca="false">SUMIFS('12.326ana'!$C:$C,'12.326ana'!$M:$M,redes!A4292)</f>
        <v>0</v>
      </c>
    </row>
    <row r="4293" customFormat="false" ht="14.4" hidden="true" customHeight="false" outlineLevel="0" collapsed="false">
      <c r="A4293" s="34" t="n">
        <v>78252334172</v>
      </c>
      <c r="B4293" s="34" t="s">
        <v>10489</v>
      </c>
      <c r="C4293" s="34" t="s">
        <v>342</v>
      </c>
      <c r="E4293" s="30" t="s">
        <v>10490</v>
      </c>
      <c r="F4293" s="34" t="n">
        <f aca="false">IFERROR(VLOOKUP($A4293,'319'!$B:$H,7,0),0)</f>
        <v>0</v>
      </c>
      <c r="G4293" s="34" t="n">
        <f aca="false">SUMIFS('12.326ana'!$C:$C,'12.326ana'!$M:$M,redes!A4293)</f>
        <v>0</v>
      </c>
    </row>
    <row r="4294" customFormat="false" ht="14.4" hidden="true" customHeight="false" outlineLevel="0" collapsed="false">
      <c r="A4294" s="34" t="n">
        <v>78258324187</v>
      </c>
      <c r="B4294" s="34" t="s">
        <v>10491</v>
      </c>
      <c r="C4294" s="34" t="s">
        <v>979</v>
      </c>
      <c r="E4294" s="30" t="s">
        <v>10492</v>
      </c>
      <c r="F4294" s="34" t="n">
        <f aca="false">IFERROR(VLOOKUP($A4294,'319'!$B:$H,7,0),0)</f>
        <v>0</v>
      </c>
      <c r="G4294" s="34" t="n">
        <f aca="false">SUMIFS('12.326ana'!$C:$C,'12.326ana'!$M:$M,redes!A4294)</f>
        <v>0</v>
      </c>
    </row>
    <row r="4295" customFormat="false" ht="14.4" hidden="true" customHeight="false" outlineLevel="0" collapsed="false">
      <c r="A4295" s="34" t="n">
        <v>78275288134</v>
      </c>
      <c r="B4295" s="34" t="s">
        <v>10493</v>
      </c>
      <c r="C4295" s="34" t="s">
        <v>154</v>
      </c>
      <c r="E4295" s="30" t="s">
        <v>10494</v>
      </c>
      <c r="F4295" s="34" t="n">
        <f aca="false">IFERROR(VLOOKUP($A4295,'319'!$B:$H,7,0),0)</f>
        <v>0</v>
      </c>
      <c r="G4295" s="34" t="n">
        <f aca="false">SUMIFS('12.326ana'!$C:$C,'12.326ana'!$M:$M,redes!A4295)</f>
        <v>0</v>
      </c>
    </row>
    <row r="4296" customFormat="false" ht="14.4" hidden="true" customHeight="false" outlineLevel="0" collapsed="false">
      <c r="A4296" s="34" t="n">
        <v>78306787153</v>
      </c>
      <c r="B4296" s="34" t="s">
        <v>10495</v>
      </c>
      <c r="C4296" s="34" t="s">
        <v>357</v>
      </c>
      <c r="E4296" s="30" t="s">
        <v>10496</v>
      </c>
      <c r="F4296" s="34" t="n">
        <f aca="false">IFERROR(VLOOKUP($A4296,'319'!$B:$H,7,0),0)</f>
        <v>0</v>
      </c>
      <c r="G4296" s="34" t="n">
        <f aca="false">SUMIFS('12.326ana'!$C:$C,'12.326ana'!$M:$M,redes!A4296)</f>
        <v>0</v>
      </c>
    </row>
    <row r="4297" customFormat="false" ht="14.4" hidden="true" customHeight="false" outlineLevel="0" collapsed="false">
      <c r="A4297" s="34" t="n">
        <v>78323479100</v>
      </c>
      <c r="B4297" s="34" t="s">
        <v>10497</v>
      </c>
      <c r="C4297" s="34" t="s">
        <v>103</v>
      </c>
      <c r="E4297" s="30" t="s">
        <v>10498</v>
      </c>
      <c r="F4297" s="34" t="n">
        <f aca="false">IFERROR(VLOOKUP($A4297,'319'!$B:$H,7,0),0)</f>
        <v>0</v>
      </c>
      <c r="G4297" s="34" t="n">
        <f aca="false">SUMIFS('12.326ana'!$C:$C,'12.326ana'!$M:$M,redes!A4297)</f>
        <v>0</v>
      </c>
    </row>
    <row r="4298" customFormat="false" ht="14.4" hidden="true" customHeight="false" outlineLevel="0" collapsed="false">
      <c r="A4298" s="34" t="n">
        <v>78354889815</v>
      </c>
      <c r="B4298" s="34" t="s">
        <v>10499</v>
      </c>
      <c r="C4298" s="34" t="s">
        <v>197</v>
      </c>
      <c r="E4298" s="30"/>
      <c r="F4298" s="34" t="n">
        <f aca="false">IFERROR(VLOOKUP($A4298,'319'!$B:$H,7,0),0)</f>
        <v>0</v>
      </c>
      <c r="G4298" s="34" t="n">
        <f aca="false">SUMIFS('12.326ana'!$C:$C,'12.326ana'!$M:$M,redes!A4298)</f>
        <v>0</v>
      </c>
    </row>
    <row r="4299" customFormat="false" ht="14.4" hidden="true" customHeight="false" outlineLevel="0" collapsed="false">
      <c r="A4299" s="34" t="n">
        <v>78375657115</v>
      </c>
      <c r="B4299" s="34" t="s">
        <v>10500</v>
      </c>
      <c r="C4299" s="34" t="s">
        <v>77</v>
      </c>
      <c r="E4299" s="30" t="s">
        <v>10501</v>
      </c>
      <c r="F4299" s="34" t="n">
        <f aca="false">IFERROR(VLOOKUP($A4299,'319'!$B:$H,7,0),0)</f>
        <v>0</v>
      </c>
      <c r="G4299" s="34" t="n">
        <f aca="false">SUMIFS('12.326ana'!$C:$C,'12.326ana'!$M:$M,redes!A4299)</f>
        <v>0</v>
      </c>
    </row>
    <row r="4300" customFormat="false" ht="14.4" hidden="true" customHeight="false" outlineLevel="0" collapsed="false">
      <c r="A4300" s="34" t="n">
        <v>78483646153</v>
      </c>
      <c r="B4300" s="34" t="s">
        <v>10502</v>
      </c>
      <c r="C4300" s="34" t="s">
        <v>103</v>
      </c>
      <c r="E4300" s="30" t="s">
        <v>10503</v>
      </c>
      <c r="F4300" s="34" t="n">
        <f aca="false">IFERROR(VLOOKUP($A4300,'319'!$B:$H,7,0),0)</f>
        <v>0</v>
      </c>
      <c r="G4300" s="34" t="n">
        <f aca="false">SUMIFS('12.326ana'!$C:$C,'12.326ana'!$M:$M,redes!A4300)</f>
        <v>0</v>
      </c>
    </row>
    <row r="4301" customFormat="false" ht="14.4" hidden="true" customHeight="false" outlineLevel="0" collapsed="false">
      <c r="A4301" s="34" t="n">
        <v>78491967168</v>
      </c>
      <c r="B4301" s="34" t="s">
        <v>10504</v>
      </c>
      <c r="C4301" s="34" t="s">
        <v>473</v>
      </c>
      <c r="E4301" s="30" t="s">
        <v>10505</v>
      </c>
      <c r="F4301" s="34" t="n">
        <f aca="false">IFERROR(VLOOKUP($A4301,'319'!$B:$H,7,0),0)</f>
        <v>0</v>
      </c>
      <c r="G4301" s="34" t="n">
        <f aca="false">SUMIFS('12.326ana'!$C:$C,'12.326ana'!$M:$M,redes!A4301)</f>
        <v>0</v>
      </c>
    </row>
    <row r="4302" customFormat="false" ht="14.4" hidden="true" customHeight="false" outlineLevel="0" collapsed="false">
      <c r="A4302" s="34" t="n">
        <v>78500311134</v>
      </c>
      <c r="B4302" s="34" t="s">
        <v>10506</v>
      </c>
      <c r="C4302" s="34" t="s">
        <v>309</v>
      </c>
      <c r="E4302" s="30" t="s">
        <v>10507</v>
      </c>
      <c r="F4302" s="34" t="n">
        <f aca="false">IFERROR(VLOOKUP($A4302,'319'!$B:$H,7,0),0)</f>
        <v>0</v>
      </c>
      <c r="G4302" s="34" t="n">
        <f aca="false">SUMIFS('12.326ana'!$C:$C,'12.326ana'!$M:$M,redes!A4302)</f>
        <v>0</v>
      </c>
    </row>
    <row r="4303" customFormat="false" ht="14.4" hidden="true" customHeight="false" outlineLevel="0" collapsed="false">
      <c r="A4303" s="34" t="n">
        <v>78517206134</v>
      </c>
      <c r="B4303" s="34" t="s">
        <v>10508</v>
      </c>
      <c r="C4303" s="34" t="s">
        <v>77</v>
      </c>
      <c r="E4303" s="30"/>
      <c r="F4303" s="34" t="n">
        <f aca="false">IFERROR(VLOOKUP($A4303,'319'!$B:$H,7,0),0)</f>
        <v>0</v>
      </c>
      <c r="G4303" s="34" t="n">
        <f aca="false">SUMIFS('12.326ana'!$C:$C,'12.326ana'!$M:$M,redes!A4303)</f>
        <v>0</v>
      </c>
    </row>
    <row r="4304" customFormat="false" ht="14.4" hidden="true" customHeight="false" outlineLevel="0" collapsed="false">
      <c r="A4304" s="34" t="n">
        <v>78549698172</v>
      </c>
      <c r="B4304" s="34" t="s">
        <v>10509</v>
      </c>
      <c r="C4304" s="34" t="s">
        <v>77</v>
      </c>
      <c r="E4304" s="30" t="s">
        <v>10510</v>
      </c>
      <c r="F4304" s="34" t="n">
        <f aca="false">IFERROR(VLOOKUP($A4304,'319'!$B:$H,7,0),0)</f>
        <v>0</v>
      </c>
      <c r="G4304" s="34" t="n">
        <f aca="false">SUMIFS('12.326ana'!$C:$C,'12.326ana'!$M:$M,redes!A4304)</f>
        <v>0</v>
      </c>
    </row>
    <row r="4305" customFormat="false" ht="14.4" hidden="true" customHeight="false" outlineLevel="0" collapsed="false">
      <c r="A4305" s="34" t="n">
        <v>78551536168</v>
      </c>
      <c r="B4305" s="34" t="s">
        <v>10511</v>
      </c>
      <c r="C4305" s="34" t="s">
        <v>77</v>
      </c>
      <c r="E4305" s="30" t="s">
        <v>10512</v>
      </c>
      <c r="F4305" s="34" t="n">
        <f aca="false">IFERROR(VLOOKUP($A4305,'319'!$B:$H,7,0),0)</f>
        <v>0</v>
      </c>
      <c r="G4305" s="34" t="n">
        <f aca="false">SUMIFS('12.326ana'!$C:$C,'12.326ana'!$M:$M,redes!A4305)</f>
        <v>0</v>
      </c>
    </row>
    <row r="4306" customFormat="false" ht="14.4" hidden="true" customHeight="false" outlineLevel="0" collapsed="false">
      <c r="A4306" s="34" t="n">
        <v>78565413187</v>
      </c>
      <c r="B4306" s="34" t="s">
        <v>10513</v>
      </c>
      <c r="C4306" s="34" t="s">
        <v>77</v>
      </c>
      <c r="E4306" s="30" t="s">
        <v>3632</v>
      </c>
      <c r="F4306" s="34" t="n">
        <f aca="false">IFERROR(VLOOKUP($A4306,'319'!$B:$H,7,0),0)</f>
        <v>0</v>
      </c>
      <c r="G4306" s="34" t="n">
        <f aca="false">SUMIFS('12.326ana'!$C:$C,'12.326ana'!$M:$M,redes!A4306)</f>
        <v>0</v>
      </c>
    </row>
    <row r="4307" customFormat="false" ht="14.4" hidden="true" customHeight="false" outlineLevel="0" collapsed="false">
      <c r="A4307" s="34" t="n">
        <v>78575745115</v>
      </c>
      <c r="B4307" s="34" t="s">
        <v>10514</v>
      </c>
      <c r="C4307" s="34" t="s">
        <v>77</v>
      </c>
      <c r="E4307" s="30" t="s">
        <v>10515</v>
      </c>
      <c r="F4307" s="34" t="n">
        <f aca="false">IFERROR(VLOOKUP($A4307,'319'!$B:$H,7,0),0)</f>
        <v>0</v>
      </c>
      <c r="G4307" s="34" t="n">
        <f aca="false">SUMIFS('12.326ana'!$C:$C,'12.326ana'!$M:$M,redes!A4307)</f>
        <v>0</v>
      </c>
    </row>
    <row r="4308" customFormat="false" ht="14.4" hidden="true" customHeight="false" outlineLevel="0" collapsed="false">
      <c r="A4308" s="34" t="n">
        <v>78582512104</v>
      </c>
      <c r="B4308" s="34" t="s">
        <v>10516</v>
      </c>
      <c r="C4308" s="34" t="s">
        <v>77</v>
      </c>
      <c r="E4308" s="30" t="s">
        <v>10517</v>
      </c>
      <c r="F4308" s="34" t="n">
        <f aca="false">IFERROR(VLOOKUP($A4308,'319'!$B:$H,7,0),0)</f>
        <v>0</v>
      </c>
      <c r="G4308" s="34" t="n">
        <f aca="false">SUMIFS('12.326ana'!$C:$C,'12.326ana'!$M:$M,redes!A4308)</f>
        <v>0</v>
      </c>
    </row>
    <row r="4309" customFormat="false" ht="14.4" hidden="true" customHeight="false" outlineLevel="0" collapsed="false">
      <c r="A4309" s="34" t="n">
        <v>78631181153</v>
      </c>
      <c r="B4309" s="34" t="s">
        <v>10518</v>
      </c>
      <c r="C4309" s="34" t="s">
        <v>77</v>
      </c>
      <c r="E4309" s="30" t="s">
        <v>10519</v>
      </c>
      <c r="F4309" s="34" t="n">
        <f aca="false">IFERROR(VLOOKUP($A4309,'319'!$B:$H,7,0),0)</f>
        <v>0</v>
      </c>
      <c r="G4309" s="34" t="n">
        <f aca="false">SUMIFS('12.326ana'!$C:$C,'12.326ana'!$M:$M,redes!A4309)</f>
        <v>0</v>
      </c>
    </row>
    <row r="4310" customFormat="false" ht="14.4" hidden="true" customHeight="false" outlineLevel="0" collapsed="false">
      <c r="A4310" s="34" t="n">
        <v>78637465820</v>
      </c>
      <c r="B4310" s="34" t="s">
        <v>10520</v>
      </c>
      <c r="C4310" s="34" t="s">
        <v>475</v>
      </c>
      <c r="E4310" s="30" t="s">
        <v>3337</v>
      </c>
      <c r="F4310" s="34" t="n">
        <f aca="false">IFERROR(VLOOKUP($A4310,'319'!$B:$H,7,0),0)</f>
        <v>0</v>
      </c>
      <c r="G4310" s="34" t="n">
        <f aca="false">SUMIFS('12.326ana'!$C:$C,'12.326ana'!$M:$M,redes!A4310)</f>
        <v>0</v>
      </c>
    </row>
    <row r="4311" customFormat="false" ht="14.4" hidden="true" customHeight="false" outlineLevel="0" collapsed="false">
      <c r="A4311" s="34" t="n">
        <v>78638755104</v>
      </c>
      <c r="B4311" s="34" t="s">
        <v>10521</v>
      </c>
      <c r="C4311" s="34" t="s">
        <v>328</v>
      </c>
      <c r="E4311" s="30" t="s">
        <v>9284</v>
      </c>
      <c r="F4311" s="34" t="n">
        <f aca="false">IFERROR(VLOOKUP($A4311,'319'!$B:$H,7,0),0)</f>
        <v>0</v>
      </c>
      <c r="G4311" s="34" t="n">
        <f aca="false">SUMIFS('12.326ana'!$C:$C,'12.326ana'!$M:$M,redes!A4311)</f>
        <v>0</v>
      </c>
    </row>
    <row r="4312" customFormat="false" ht="14.4" hidden="true" customHeight="false" outlineLevel="0" collapsed="false">
      <c r="A4312" s="34" t="n">
        <v>78676860106</v>
      </c>
      <c r="B4312" s="34" t="s">
        <v>10522</v>
      </c>
      <c r="C4312" s="34" t="s">
        <v>77</v>
      </c>
      <c r="E4312" s="30" t="s">
        <v>10523</v>
      </c>
      <c r="F4312" s="34" t="n">
        <f aca="false">IFERROR(VLOOKUP($A4312,'319'!$B:$H,7,0),0)</f>
        <v>0</v>
      </c>
      <c r="G4312" s="34" t="n">
        <f aca="false">SUMIFS('12.326ana'!$C:$C,'12.326ana'!$M:$M,redes!A4312)</f>
        <v>0</v>
      </c>
    </row>
    <row r="4313" customFormat="false" ht="14.4" hidden="true" customHeight="false" outlineLevel="0" collapsed="false">
      <c r="A4313" s="34" t="n">
        <v>78685079934</v>
      </c>
      <c r="B4313" s="34" t="s">
        <v>10524</v>
      </c>
      <c r="C4313" s="34" t="s">
        <v>77</v>
      </c>
      <c r="E4313" s="30" t="s">
        <v>10525</v>
      </c>
      <c r="F4313" s="34" t="n">
        <f aca="false">IFERROR(VLOOKUP($A4313,'319'!$B:$H,7,0),0)</f>
        <v>0</v>
      </c>
      <c r="G4313" s="34" t="n">
        <f aca="false">SUMIFS('12.326ana'!$C:$C,'12.326ana'!$M:$M,redes!A4313)</f>
        <v>0</v>
      </c>
    </row>
    <row r="4314" customFormat="false" ht="14.4" hidden="true" customHeight="false" outlineLevel="0" collapsed="false">
      <c r="A4314" s="34" t="n">
        <v>78687101104</v>
      </c>
      <c r="B4314" s="34" t="s">
        <v>5209</v>
      </c>
      <c r="C4314" s="34" t="s">
        <v>77</v>
      </c>
      <c r="E4314" s="30" t="s">
        <v>5210</v>
      </c>
      <c r="F4314" s="34" t="n">
        <f aca="false">IFERROR(VLOOKUP($A4314,'319'!$B:$H,7,0),0)</f>
        <v>0</v>
      </c>
      <c r="G4314" s="34" t="n">
        <f aca="false">SUMIFS('12.326ana'!$C:$C,'12.326ana'!$M:$M,redes!A4314)</f>
        <v>0</v>
      </c>
    </row>
    <row r="4315" customFormat="false" ht="14.4" hidden="true" customHeight="false" outlineLevel="0" collapsed="false">
      <c r="A4315" s="34" t="n">
        <v>78689007172</v>
      </c>
      <c r="B4315" s="34" t="s">
        <v>10526</v>
      </c>
      <c r="C4315" s="34" t="s">
        <v>77</v>
      </c>
      <c r="E4315" s="30"/>
      <c r="F4315" s="34" t="n">
        <f aca="false">IFERROR(VLOOKUP($A4315,'319'!$B:$H,7,0),0)</f>
        <v>0</v>
      </c>
      <c r="G4315" s="34" t="n">
        <f aca="false">SUMIFS('12.326ana'!$C:$C,'12.326ana'!$M:$M,redes!A4315)</f>
        <v>0</v>
      </c>
    </row>
    <row r="4316" customFormat="false" ht="14.4" hidden="true" customHeight="false" outlineLevel="0" collapsed="false">
      <c r="A4316" s="34" t="n">
        <v>78689015191</v>
      </c>
      <c r="B4316" s="34" t="s">
        <v>10527</v>
      </c>
      <c r="C4316" s="34" t="s">
        <v>713</v>
      </c>
      <c r="E4316" s="30" t="s">
        <v>7266</v>
      </c>
      <c r="F4316" s="34" t="n">
        <f aca="false">IFERROR(VLOOKUP($A4316,'319'!$B:$H,7,0),0)</f>
        <v>0</v>
      </c>
      <c r="G4316" s="34" t="n">
        <f aca="false">SUMIFS('12.326ana'!$C:$C,'12.326ana'!$M:$M,redes!A4316)</f>
        <v>0</v>
      </c>
    </row>
    <row r="4317" customFormat="false" ht="14.4" hidden="true" customHeight="false" outlineLevel="0" collapsed="false">
      <c r="A4317" s="34" t="n">
        <v>78713579134</v>
      </c>
      <c r="B4317" s="34" t="s">
        <v>10528</v>
      </c>
      <c r="C4317" s="34" t="s">
        <v>107</v>
      </c>
      <c r="E4317" s="30" t="s">
        <v>10529</v>
      </c>
      <c r="F4317" s="34" t="n">
        <f aca="false">IFERROR(VLOOKUP($A4317,'319'!$B:$H,7,0),0)</f>
        <v>0</v>
      </c>
      <c r="G4317" s="34" t="n">
        <f aca="false">SUMIFS('12.326ana'!$C:$C,'12.326ana'!$M:$M,redes!A4317)</f>
        <v>0</v>
      </c>
    </row>
    <row r="4318" customFormat="false" ht="14.4" hidden="true" customHeight="false" outlineLevel="0" collapsed="false">
      <c r="A4318" s="34" t="n">
        <v>78714176149</v>
      </c>
      <c r="B4318" s="34" t="s">
        <v>10530</v>
      </c>
      <c r="C4318" s="34" t="s">
        <v>103</v>
      </c>
      <c r="E4318" s="30" t="s">
        <v>10531</v>
      </c>
      <c r="F4318" s="34" t="n">
        <f aca="false">IFERROR(VLOOKUP($A4318,'319'!$B:$H,7,0),0)</f>
        <v>0</v>
      </c>
      <c r="G4318" s="34" t="n">
        <f aca="false">SUMIFS('12.326ana'!$C:$C,'12.326ana'!$M:$M,redes!A4318)</f>
        <v>0</v>
      </c>
    </row>
    <row r="4319" customFormat="false" ht="14.4" hidden="true" customHeight="false" outlineLevel="0" collapsed="false">
      <c r="A4319" s="34" t="n">
        <v>78742099153</v>
      </c>
      <c r="B4319" s="34" t="s">
        <v>10532</v>
      </c>
      <c r="C4319" s="34" t="s">
        <v>77</v>
      </c>
      <c r="E4319" s="30" t="s">
        <v>10533</v>
      </c>
      <c r="F4319" s="34" t="n">
        <f aca="false">IFERROR(VLOOKUP($A4319,'319'!$B:$H,7,0),0)</f>
        <v>0</v>
      </c>
      <c r="G4319" s="34" t="n">
        <f aca="false">SUMIFS('12.326ana'!$C:$C,'12.326ana'!$M:$M,redes!A4319)</f>
        <v>0</v>
      </c>
    </row>
    <row r="4320" customFormat="false" ht="14.4" hidden="true" customHeight="false" outlineLevel="0" collapsed="false">
      <c r="A4320" s="34" t="n">
        <v>78841690100</v>
      </c>
      <c r="B4320" s="34" t="s">
        <v>10534</v>
      </c>
      <c r="C4320" s="34" t="s">
        <v>77</v>
      </c>
      <c r="E4320" s="30" t="s">
        <v>10535</v>
      </c>
      <c r="F4320" s="34" t="n">
        <f aca="false">IFERROR(VLOOKUP($A4320,'319'!$B:$H,7,0),0)</f>
        <v>0</v>
      </c>
      <c r="G4320" s="34" t="n">
        <f aca="false">SUMIFS('12.326ana'!$C:$C,'12.326ana'!$M:$M,redes!A4320)</f>
        <v>0</v>
      </c>
    </row>
    <row r="4321" customFormat="false" ht="14.4" hidden="true" customHeight="false" outlineLevel="0" collapsed="false">
      <c r="A4321" s="34" t="n">
        <v>78852323104</v>
      </c>
      <c r="B4321" s="34" t="s">
        <v>10536</v>
      </c>
      <c r="C4321" s="34" t="s">
        <v>107</v>
      </c>
      <c r="E4321" s="30" t="s">
        <v>10537</v>
      </c>
      <c r="F4321" s="34" t="n">
        <f aca="false">IFERROR(VLOOKUP($A4321,'319'!$B:$H,7,0),0)</f>
        <v>0</v>
      </c>
      <c r="G4321" s="34" t="n">
        <f aca="false">SUMIFS('12.326ana'!$C:$C,'12.326ana'!$M:$M,redes!A4321)</f>
        <v>0</v>
      </c>
    </row>
    <row r="4322" customFormat="false" ht="14.4" hidden="true" customHeight="false" outlineLevel="0" collapsed="false">
      <c r="A4322" s="34" t="n">
        <v>78869625168</v>
      </c>
      <c r="B4322" s="34" t="s">
        <v>10538</v>
      </c>
      <c r="C4322" s="34" t="s">
        <v>77</v>
      </c>
      <c r="E4322" s="30"/>
      <c r="F4322" s="34" t="n">
        <f aca="false">IFERROR(VLOOKUP($A4322,'319'!$B:$H,7,0),0)</f>
        <v>0</v>
      </c>
      <c r="G4322" s="34" t="n">
        <f aca="false">SUMIFS('12.326ana'!$C:$C,'12.326ana'!$M:$M,redes!A4322)</f>
        <v>0</v>
      </c>
    </row>
    <row r="4323" customFormat="false" ht="14.4" hidden="true" customHeight="false" outlineLevel="0" collapsed="false">
      <c r="A4323" s="34" t="n">
        <v>78871565134</v>
      </c>
      <c r="B4323" s="34" t="s">
        <v>10539</v>
      </c>
      <c r="C4323" s="34" t="s">
        <v>77</v>
      </c>
      <c r="E4323" s="30" t="s">
        <v>10540</v>
      </c>
      <c r="F4323" s="34" t="n">
        <f aca="false">IFERROR(VLOOKUP($A4323,'319'!$B:$H,7,0),0)</f>
        <v>0</v>
      </c>
      <c r="G4323" s="34" t="n">
        <f aca="false">SUMIFS('12.326ana'!$C:$C,'12.326ana'!$M:$M,redes!A4323)</f>
        <v>0</v>
      </c>
    </row>
    <row r="4324" customFormat="false" ht="14.4" hidden="true" customHeight="false" outlineLevel="0" collapsed="false">
      <c r="A4324" s="34" t="n">
        <v>78899338191</v>
      </c>
      <c r="B4324" s="34" t="s">
        <v>10541</v>
      </c>
      <c r="C4324" s="34" t="s">
        <v>77</v>
      </c>
      <c r="E4324" s="30" t="s">
        <v>10542</v>
      </c>
      <c r="F4324" s="34" t="n">
        <f aca="false">IFERROR(VLOOKUP($A4324,'319'!$B:$H,7,0),0)</f>
        <v>0</v>
      </c>
      <c r="G4324" s="34" t="n">
        <f aca="false">SUMIFS('12.326ana'!$C:$C,'12.326ana'!$M:$M,redes!A4324)</f>
        <v>0</v>
      </c>
    </row>
    <row r="4325" customFormat="false" ht="14.4" hidden="true" customHeight="false" outlineLevel="0" collapsed="false">
      <c r="A4325" s="34" t="n">
        <v>78913136104</v>
      </c>
      <c r="B4325" s="34" t="s">
        <v>10543</v>
      </c>
      <c r="C4325" s="34" t="s">
        <v>77</v>
      </c>
      <c r="E4325" s="30" t="s">
        <v>10544</v>
      </c>
      <c r="F4325" s="34" t="n">
        <f aca="false">IFERROR(VLOOKUP($A4325,'319'!$B:$H,7,0),0)</f>
        <v>0</v>
      </c>
      <c r="G4325" s="34" t="n">
        <f aca="false">SUMIFS('12.326ana'!$C:$C,'12.326ana'!$M:$M,redes!A4325)</f>
        <v>0</v>
      </c>
    </row>
    <row r="4326" customFormat="false" ht="14.4" hidden="true" customHeight="false" outlineLevel="0" collapsed="false">
      <c r="A4326" s="34" t="n">
        <v>78966590187</v>
      </c>
      <c r="B4326" s="34" t="s">
        <v>10545</v>
      </c>
      <c r="C4326" s="34" t="s">
        <v>77</v>
      </c>
      <c r="E4326" s="30" t="s">
        <v>10546</v>
      </c>
      <c r="F4326" s="34" t="n">
        <f aca="false">IFERROR(VLOOKUP($A4326,'319'!$B:$H,7,0),0)</f>
        <v>0</v>
      </c>
      <c r="G4326" s="34" t="n">
        <f aca="false">SUMIFS('12.326ana'!$C:$C,'12.326ana'!$M:$M,redes!A4326)</f>
        <v>0</v>
      </c>
    </row>
    <row r="4327" customFormat="false" ht="14.4" hidden="true" customHeight="false" outlineLevel="0" collapsed="false">
      <c r="A4327" s="34" t="n">
        <v>78980178115</v>
      </c>
      <c r="B4327" s="34" t="s">
        <v>10547</v>
      </c>
      <c r="C4327" s="34" t="s">
        <v>328</v>
      </c>
      <c r="E4327" s="30" t="s">
        <v>1832</v>
      </c>
      <c r="F4327" s="34" t="n">
        <f aca="false">IFERROR(VLOOKUP($A4327,'319'!$B:$H,7,0),0)</f>
        <v>0</v>
      </c>
      <c r="G4327" s="34" t="n">
        <f aca="false">SUMIFS('12.326ana'!$C:$C,'12.326ana'!$M:$M,redes!A4327)</f>
        <v>0</v>
      </c>
    </row>
    <row r="4328" customFormat="false" ht="14.4" hidden="true" customHeight="false" outlineLevel="0" collapsed="false">
      <c r="A4328" s="34" t="n">
        <v>78998450178</v>
      </c>
      <c r="B4328" s="34" t="s">
        <v>10548</v>
      </c>
      <c r="C4328" s="34" t="s">
        <v>77</v>
      </c>
      <c r="E4328" s="30" t="s">
        <v>10549</v>
      </c>
      <c r="F4328" s="34" t="n">
        <f aca="false">IFERROR(VLOOKUP($A4328,'319'!$B:$H,7,0),0)</f>
        <v>0</v>
      </c>
      <c r="G4328" s="34" t="n">
        <f aca="false">SUMIFS('12.326ana'!$C:$C,'12.326ana'!$M:$M,redes!A4328)</f>
        <v>0</v>
      </c>
    </row>
    <row r="4329" customFormat="false" ht="14.4" hidden="true" customHeight="false" outlineLevel="0" collapsed="false">
      <c r="A4329" s="34" t="n">
        <v>79038476191</v>
      </c>
      <c r="B4329" s="34" t="s">
        <v>10550</v>
      </c>
      <c r="C4329" s="34" t="s">
        <v>103</v>
      </c>
      <c r="E4329" s="30" t="s">
        <v>10551</v>
      </c>
      <c r="F4329" s="34" t="n">
        <f aca="false">IFERROR(VLOOKUP($A4329,'319'!$B:$H,7,0),0)</f>
        <v>0</v>
      </c>
      <c r="G4329" s="34" t="n">
        <f aca="false">SUMIFS('12.326ana'!$C:$C,'12.326ana'!$M:$M,redes!A4329)</f>
        <v>0</v>
      </c>
    </row>
    <row r="4330" customFormat="false" ht="14.4" hidden="true" customHeight="false" outlineLevel="0" collapsed="false">
      <c r="A4330" s="34" t="n">
        <v>79039308187</v>
      </c>
      <c r="B4330" s="34" t="s">
        <v>10552</v>
      </c>
      <c r="C4330" s="34" t="s">
        <v>77</v>
      </c>
      <c r="E4330" s="30" t="s">
        <v>10553</v>
      </c>
      <c r="F4330" s="34" t="n">
        <f aca="false">IFERROR(VLOOKUP($A4330,'319'!$B:$H,7,0),0)</f>
        <v>0</v>
      </c>
      <c r="G4330" s="34" t="n">
        <f aca="false">SUMIFS('12.326ana'!$C:$C,'12.326ana'!$M:$M,redes!A4330)</f>
        <v>0</v>
      </c>
    </row>
    <row r="4331" customFormat="false" ht="14.4" hidden="true" customHeight="false" outlineLevel="0" collapsed="false">
      <c r="A4331" s="34" t="n">
        <v>79089941134</v>
      </c>
      <c r="B4331" s="34" t="s">
        <v>10554</v>
      </c>
      <c r="C4331" s="34" t="s">
        <v>463</v>
      </c>
      <c r="E4331" s="30" t="s">
        <v>8871</v>
      </c>
      <c r="F4331" s="34" t="n">
        <f aca="false">IFERROR(VLOOKUP($A4331,'319'!$B:$H,7,0),0)</f>
        <v>0</v>
      </c>
      <c r="G4331" s="34" t="n">
        <f aca="false">SUMIFS('12.326ana'!$C:$C,'12.326ana'!$M:$M,redes!A4331)</f>
        <v>0</v>
      </c>
    </row>
    <row r="4332" customFormat="false" ht="14.4" hidden="true" customHeight="false" outlineLevel="0" collapsed="false">
      <c r="A4332" s="34" t="n">
        <v>79090486100</v>
      </c>
      <c r="B4332" s="34" t="s">
        <v>10555</v>
      </c>
      <c r="C4332" s="34" t="s">
        <v>478</v>
      </c>
      <c r="E4332" s="30" t="s">
        <v>3066</v>
      </c>
      <c r="F4332" s="34" t="n">
        <f aca="false">IFERROR(VLOOKUP($A4332,'319'!$B:$H,7,0),0)</f>
        <v>0</v>
      </c>
      <c r="G4332" s="34" t="n">
        <f aca="false">SUMIFS('12.326ana'!$C:$C,'12.326ana'!$M:$M,redes!A4332)</f>
        <v>0</v>
      </c>
    </row>
    <row r="4333" customFormat="false" ht="14.4" hidden="true" customHeight="false" outlineLevel="0" collapsed="false">
      <c r="A4333" s="34" t="n">
        <v>79102352168</v>
      </c>
      <c r="B4333" s="34" t="s">
        <v>10556</v>
      </c>
      <c r="C4333" s="34" t="s">
        <v>77</v>
      </c>
      <c r="E4333" s="30" t="s">
        <v>10557</v>
      </c>
      <c r="F4333" s="34" t="n">
        <f aca="false">IFERROR(VLOOKUP($A4333,'319'!$B:$H,7,0),0)</f>
        <v>0</v>
      </c>
      <c r="G4333" s="34" t="n">
        <f aca="false">SUMIFS('12.326ana'!$C:$C,'12.326ana'!$M:$M,redes!A4333)</f>
        <v>0</v>
      </c>
    </row>
    <row r="4334" customFormat="false" ht="14.4" hidden="true" customHeight="false" outlineLevel="0" collapsed="false">
      <c r="A4334" s="34" t="n">
        <v>79116949900</v>
      </c>
      <c r="B4334" s="34" t="s">
        <v>10558</v>
      </c>
      <c r="C4334" s="34" t="s">
        <v>77</v>
      </c>
      <c r="E4334" s="30" t="s">
        <v>10558</v>
      </c>
      <c r="F4334" s="34" t="n">
        <f aca="false">IFERROR(VLOOKUP($A4334,'319'!$B:$H,7,0),0)</f>
        <v>0</v>
      </c>
      <c r="G4334" s="34" t="n">
        <f aca="false">SUMIFS('12.326ana'!$C:$C,'12.326ana'!$M:$M,redes!A4334)</f>
        <v>0</v>
      </c>
    </row>
    <row r="4335" customFormat="false" ht="14.4" hidden="true" customHeight="false" outlineLevel="0" collapsed="false">
      <c r="A4335" s="34" t="n">
        <v>79181465149</v>
      </c>
      <c r="B4335" s="34" t="s">
        <v>10559</v>
      </c>
      <c r="C4335" s="34" t="s">
        <v>139</v>
      </c>
      <c r="E4335" s="30"/>
      <c r="F4335" s="34" t="n">
        <f aca="false">IFERROR(VLOOKUP($A4335,'319'!$B:$H,7,0),0)</f>
        <v>0</v>
      </c>
      <c r="G4335" s="34" t="n">
        <f aca="false">SUMIFS('12.326ana'!$C:$C,'12.326ana'!$M:$M,redes!A4335)</f>
        <v>0</v>
      </c>
    </row>
    <row r="4336" customFormat="false" ht="14.4" hidden="true" customHeight="false" outlineLevel="0" collapsed="false">
      <c r="A4336" s="34" t="n">
        <v>79225888104</v>
      </c>
      <c r="B4336" s="34" t="s">
        <v>10560</v>
      </c>
      <c r="C4336" s="34" t="s">
        <v>77</v>
      </c>
      <c r="E4336" s="30" t="s">
        <v>10561</v>
      </c>
      <c r="F4336" s="34" t="n">
        <f aca="false">IFERROR(VLOOKUP($A4336,'319'!$B:$H,7,0),0)</f>
        <v>0</v>
      </c>
      <c r="G4336" s="34" t="n">
        <f aca="false">SUMIFS('12.326ana'!$C:$C,'12.326ana'!$M:$M,redes!A4336)</f>
        <v>0</v>
      </c>
    </row>
    <row r="4337" customFormat="false" ht="14.4" hidden="true" customHeight="false" outlineLevel="0" collapsed="false">
      <c r="A4337" s="34" t="n">
        <v>79233651134</v>
      </c>
      <c r="B4337" s="34" t="s">
        <v>10562</v>
      </c>
      <c r="C4337" s="34" t="s">
        <v>309</v>
      </c>
      <c r="E4337" s="30" t="s">
        <v>10563</v>
      </c>
      <c r="F4337" s="34" t="n">
        <f aca="false">IFERROR(VLOOKUP($A4337,'319'!$B:$H,7,0),0)</f>
        <v>0</v>
      </c>
      <c r="G4337" s="34" t="n">
        <f aca="false">SUMIFS('12.326ana'!$C:$C,'12.326ana'!$M:$M,redes!A4337)</f>
        <v>0</v>
      </c>
    </row>
    <row r="4338" customFormat="false" ht="14.4" hidden="true" customHeight="false" outlineLevel="0" collapsed="false">
      <c r="A4338" s="34" t="n">
        <v>79234364449</v>
      </c>
      <c r="B4338" s="34" t="s">
        <v>10564</v>
      </c>
      <c r="C4338" s="34" t="s">
        <v>77</v>
      </c>
      <c r="E4338" s="30" t="s">
        <v>10565</v>
      </c>
      <c r="F4338" s="34" t="n">
        <f aca="false">IFERROR(VLOOKUP($A4338,'319'!$B:$H,7,0),0)</f>
        <v>0</v>
      </c>
      <c r="G4338" s="34" t="n">
        <f aca="false">SUMIFS('12.326ana'!$C:$C,'12.326ana'!$M:$M,redes!A4338)</f>
        <v>0</v>
      </c>
    </row>
    <row r="4339" customFormat="false" ht="14.4" hidden="true" customHeight="false" outlineLevel="0" collapsed="false">
      <c r="A4339" s="34" t="n">
        <v>79247512115</v>
      </c>
      <c r="B4339" s="34" t="s">
        <v>10566</v>
      </c>
      <c r="C4339" s="34" t="s">
        <v>77</v>
      </c>
      <c r="E4339" s="30" t="s">
        <v>10567</v>
      </c>
      <c r="F4339" s="34" t="n">
        <f aca="false">IFERROR(VLOOKUP($A4339,'319'!$B:$H,7,0),0)</f>
        <v>0</v>
      </c>
      <c r="G4339" s="34" t="n">
        <f aca="false">SUMIFS('12.326ana'!$C:$C,'12.326ana'!$M:$M,redes!A4339)</f>
        <v>0</v>
      </c>
    </row>
    <row r="4340" customFormat="false" ht="14.4" hidden="true" customHeight="false" outlineLevel="0" collapsed="false">
      <c r="A4340" s="34" t="n">
        <v>79251650144</v>
      </c>
      <c r="B4340" s="34" t="s">
        <v>10568</v>
      </c>
      <c r="C4340" s="34" t="s">
        <v>299</v>
      </c>
      <c r="E4340" s="30" t="s">
        <v>10569</v>
      </c>
      <c r="F4340" s="34" t="n">
        <f aca="false">IFERROR(VLOOKUP($A4340,'319'!$B:$H,7,0),0)</f>
        <v>0</v>
      </c>
      <c r="G4340" s="34" t="n">
        <f aca="false">SUMIFS('12.326ana'!$C:$C,'12.326ana'!$M:$M,redes!A4340)</f>
        <v>0</v>
      </c>
    </row>
    <row r="4341" customFormat="false" ht="14.4" hidden="true" customHeight="false" outlineLevel="0" collapsed="false">
      <c r="A4341" s="34" t="n">
        <v>79271642872</v>
      </c>
      <c r="B4341" s="34" t="s">
        <v>10570</v>
      </c>
      <c r="C4341" s="34" t="s">
        <v>77</v>
      </c>
      <c r="E4341" s="30" t="s">
        <v>10571</v>
      </c>
      <c r="F4341" s="34" t="n">
        <f aca="false">IFERROR(VLOOKUP($A4341,'319'!$B:$H,7,0),0)</f>
        <v>0</v>
      </c>
      <c r="G4341" s="34" t="n">
        <f aca="false">SUMIFS('12.326ana'!$C:$C,'12.326ana'!$M:$M,redes!A4341)</f>
        <v>0</v>
      </c>
    </row>
    <row r="4342" customFormat="false" ht="14.4" hidden="true" customHeight="false" outlineLevel="0" collapsed="false">
      <c r="A4342" s="34" t="n">
        <v>79311563153</v>
      </c>
      <c r="B4342" s="34" t="s">
        <v>10572</v>
      </c>
      <c r="C4342" s="34" t="s">
        <v>77</v>
      </c>
      <c r="E4342" s="30" t="s">
        <v>3507</v>
      </c>
      <c r="F4342" s="34" t="n">
        <f aca="false">IFERROR(VLOOKUP($A4342,'319'!$B:$H,7,0),0)</f>
        <v>0</v>
      </c>
      <c r="G4342" s="34" t="n">
        <f aca="false">SUMIFS('12.326ana'!$C:$C,'12.326ana'!$M:$M,redes!A4342)</f>
        <v>0</v>
      </c>
    </row>
    <row r="4343" customFormat="false" ht="14.4" hidden="true" customHeight="false" outlineLevel="0" collapsed="false">
      <c r="A4343" s="34" t="n">
        <v>79322123168</v>
      </c>
      <c r="B4343" s="34" t="s">
        <v>10573</v>
      </c>
      <c r="C4343" s="34" t="s">
        <v>721</v>
      </c>
      <c r="E4343" s="30" t="s">
        <v>10574</v>
      </c>
      <c r="F4343" s="34" t="n">
        <f aca="false">IFERROR(VLOOKUP($A4343,'319'!$B:$H,7,0),0)</f>
        <v>0</v>
      </c>
      <c r="G4343" s="34" t="n">
        <f aca="false">SUMIFS('12.326ana'!$C:$C,'12.326ana'!$M:$M,redes!A4343)</f>
        <v>0</v>
      </c>
    </row>
    <row r="4344" customFormat="false" ht="14.4" hidden="true" customHeight="false" outlineLevel="0" collapsed="false">
      <c r="A4344" s="34" t="n">
        <v>79327273168</v>
      </c>
      <c r="B4344" s="34" t="s">
        <v>10575</v>
      </c>
      <c r="C4344" s="34" t="s">
        <v>77</v>
      </c>
      <c r="E4344" s="30" t="s">
        <v>10576</v>
      </c>
      <c r="F4344" s="34" t="n">
        <f aca="false">IFERROR(VLOOKUP($A4344,'319'!$B:$H,7,0),0)</f>
        <v>0</v>
      </c>
      <c r="G4344" s="34" t="n">
        <f aca="false">SUMIFS('12.326ana'!$C:$C,'12.326ana'!$M:$M,redes!A4344)</f>
        <v>0</v>
      </c>
    </row>
    <row r="4345" customFormat="false" ht="14.4" hidden="true" customHeight="false" outlineLevel="0" collapsed="false">
      <c r="A4345" s="34" t="n">
        <v>79329144187</v>
      </c>
      <c r="B4345" s="34" t="s">
        <v>10577</v>
      </c>
      <c r="C4345" s="34" t="s">
        <v>197</v>
      </c>
      <c r="E4345" s="30" t="s">
        <v>3664</v>
      </c>
      <c r="F4345" s="34" t="n">
        <f aca="false">IFERROR(VLOOKUP($A4345,'319'!$B:$H,7,0),0)</f>
        <v>0</v>
      </c>
      <c r="G4345" s="34" t="n">
        <f aca="false">SUMIFS('12.326ana'!$C:$C,'12.326ana'!$M:$M,redes!A4345)</f>
        <v>0</v>
      </c>
    </row>
    <row r="4346" customFormat="false" ht="14.4" hidden="true" customHeight="false" outlineLevel="0" collapsed="false">
      <c r="A4346" s="34" t="n">
        <v>79334067187</v>
      </c>
      <c r="B4346" s="34" t="s">
        <v>10578</v>
      </c>
      <c r="C4346" s="34" t="s">
        <v>103</v>
      </c>
      <c r="E4346" s="30" t="s">
        <v>10579</v>
      </c>
      <c r="F4346" s="34" t="n">
        <f aca="false">IFERROR(VLOOKUP($A4346,'319'!$B:$H,7,0),0)</f>
        <v>0</v>
      </c>
      <c r="G4346" s="34" t="n">
        <f aca="false">SUMIFS('12.326ana'!$C:$C,'12.326ana'!$M:$M,redes!A4346)</f>
        <v>0</v>
      </c>
    </row>
    <row r="4347" customFormat="false" ht="14.4" hidden="true" customHeight="false" outlineLevel="0" collapsed="false">
      <c r="A4347" s="34" t="n">
        <v>79340504100</v>
      </c>
      <c r="B4347" s="34" t="s">
        <v>10580</v>
      </c>
      <c r="C4347" s="34" t="s">
        <v>77</v>
      </c>
      <c r="E4347" s="30" t="s">
        <v>10581</v>
      </c>
      <c r="F4347" s="34" t="n">
        <f aca="false">IFERROR(VLOOKUP($A4347,'319'!$B:$H,7,0),0)</f>
        <v>0</v>
      </c>
      <c r="G4347" s="34" t="n">
        <f aca="false">SUMIFS('12.326ana'!$C:$C,'12.326ana'!$M:$M,redes!A4347)</f>
        <v>0</v>
      </c>
    </row>
    <row r="4348" customFormat="false" ht="14.4" hidden="true" customHeight="false" outlineLevel="0" collapsed="false">
      <c r="A4348" s="34" t="n">
        <v>79405495100</v>
      </c>
      <c r="B4348" s="34" t="s">
        <v>10582</v>
      </c>
      <c r="C4348" s="34" t="s">
        <v>107</v>
      </c>
      <c r="E4348" s="30" t="s">
        <v>9638</v>
      </c>
      <c r="F4348" s="34" t="n">
        <f aca="false">IFERROR(VLOOKUP($A4348,'319'!$B:$H,7,0),0)</f>
        <v>0</v>
      </c>
      <c r="G4348" s="34" t="n">
        <f aca="false">SUMIFS('12.326ana'!$C:$C,'12.326ana'!$M:$M,redes!A4348)</f>
        <v>0</v>
      </c>
    </row>
    <row r="4349" customFormat="false" ht="14.4" hidden="true" customHeight="false" outlineLevel="0" collapsed="false">
      <c r="A4349" s="34" t="n">
        <v>79445810104</v>
      </c>
      <c r="B4349" s="34" t="s">
        <v>10583</v>
      </c>
      <c r="C4349" s="34" t="s">
        <v>77</v>
      </c>
      <c r="E4349" s="30" t="s">
        <v>3222</v>
      </c>
      <c r="F4349" s="34" t="n">
        <f aca="false">IFERROR(VLOOKUP($A4349,'319'!$B:$H,7,0),0)</f>
        <v>0</v>
      </c>
      <c r="G4349" s="34" t="n">
        <f aca="false">SUMIFS('12.326ana'!$C:$C,'12.326ana'!$M:$M,redes!A4349)</f>
        <v>0</v>
      </c>
    </row>
    <row r="4350" customFormat="false" ht="14.4" hidden="true" customHeight="false" outlineLevel="0" collapsed="false">
      <c r="A4350" s="34" t="n">
        <v>79450903115</v>
      </c>
      <c r="B4350" s="34" t="s">
        <v>10584</v>
      </c>
      <c r="C4350" s="34" t="s">
        <v>77</v>
      </c>
      <c r="E4350" s="30" t="s">
        <v>10585</v>
      </c>
      <c r="F4350" s="34" t="n">
        <f aca="false">IFERROR(VLOOKUP($A4350,'319'!$B:$H,7,0),0)</f>
        <v>0</v>
      </c>
      <c r="G4350" s="34" t="n">
        <f aca="false">SUMIFS('12.326ana'!$C:$C,'12.326ana'!$M:$M,redes!A4350)</f>
        <v>0</v>
      </c>
    </row>
    <row r="4351" customFormat="false" ht="14.4" hidden="true" customHeight="false" outlineLevel="0" collapsed="false">
      <c r="A4351" s="34" t="n">
        <v>79455409100</v>
      </c>
      <c r="B4351" s="34" t="s">
        <v>10586</v>
      </c>
      <c r="C4351" s="34" t="s">
        <v>103</v>
      </c>
      <c r="E4351" s="30" t="s">
        <v>10587</v>
      </c>
      <c r="F4351" s="34" t="n">
        <f aca="false">IFERROR(VLOOKUP($A4351,'319'!$B:$H,7,0),0)</f>
        <v>0</v>
      </c>
      <c r="G4351" s="34" t="n">
        <f aca="false">SUMIFS('12.326ana'!$C:$C,'12.326ana'!$M:$M,redes!A4351)</f>
        <v>0</v>
      </c>
    </row>
    <row r="4352" customFormat="false" ht="14.4" hidden="true" customHeight="false" outlineLevel="0" collapsed="false">
      <c r="A4352" s="34" t="n">
        <v>79458033187</v>
      </c>
      <c r="B4352" s="34" t="s">
        <v>10588</v>
      </c>
      <c r="C4352" s="34" t="s">
        <v>103</v>
      </c>
      <c r="E4352" s="30" t="s">
        <v>10589</v>
      </c>
      <c r="F4352" s="34" t="n">
        <f aca="false">IFERROR(VLOOKUP($A4352,'319'!$B:$H,7,0),0)</f>
        <v>0</v>
      </c>
      <c r="G4352" s="34" t="n">
        <f aca="false">SUMIFS('12.326ana'!$C:$C,'12.326ana'!$M:$M,redes!A4352)</f>
        <v>0</v>
      </c>
    </row>
    <row r="4353" customFormat="false" ht="14.4" hidden="true" customHeight="false" outlineLevel="0" collapsed="false">
      <c r="A4353" s="34" t="n">
        <v>79464114134</v>
      </c>
      <c r="B4353" s="34" t="s">
        <v>10590</v>
      </c>
      <c r="C4353" s="34" t="s">
        <v>77</v>
      </c>
      <c r="E4353" s="30"/>
      <c r="F4353" s="34" t="n">
        <f aca="false">IFERROR(VLOOKUP($A4353,'319'!$B:$H,7,0),0)</f>
        <v>0</v>
      </c>
      <c r="G4353" s="34" t="n">
        <f aca="false">SUMIFS('12.326ana'!$C:$C,'12.326ana'!$M:$M,redes!A4353)</f>
        <v>0</v>
      </c>
    </row>
    <row r="4354" customFormat="false" ht="14.4" hidden="true" customHeight="false" outlineLevel="0" collapsed="false">
      <c r="A4354" s="34" t="n">
        <v>79478891120</v>
      </c>
      <c r="B4354" s="34" t="s">
        <v>10591</v>
      </c>
      <c r="C4354" s="34" t="s">
        <v>77</v>
      </c>
      <c r="E4354" s="30" t="s">
        <v>10592</v>
      </c>
      <c r="F4354" s="34" t="n">
        <f aca="false">IFERROR(VLOOKUP($A4354,'319'!$B:$H,7,0),0)</f>
        <v>0</v>
      </c>
      <c r="G4354" s="34" t="n">
        <f aca="false">SUMIFS('12.326ana'!$C:$C,'12.326ana'!$M:$M,redes!A4354)</f>
        <v>0</v>
      </c>
    </row>
    <row r="4355" customFormat="false" ht="14.4" hidden="true" customHeight="false" outlineLevel="0" collapsed="false">
      <c r="A4355" s="34" t="n">
        <v>79483216168</v>
      </c>
      <c r="B4355" s="34" t="s">
        <v>10593</v>
      </c>
      <c r="C4355" s="34" t="s">
        <v>77</v>
      </c>
      <c r="E4355" s="30" t="s">
        <v>3112</v>
      </c>
      <c r="F4355" s="34" t="n">
        <f aca="false">IFERROR(VLOOKUP($A4355,'319'!$B:$H,7,0),0)</f>
        <v>0</v>
      </c>
      <c r="G4355" s="34" t="n">
        <f aca="false">SUMIFS('12.326ana'!$C:$C,'12.326ana'!$M:$M,redes!A4355)</f>
        <v>0</v>
      </c>
    </row>
    <row r="4356" customFormat="false" ht="14.4" hidden="true" customHeight="false" outlineLevel="0" collapsed="false">
      <c r="A4356" s="34" t="n">
        <v>79488170182</v>
      </c>
      <c r="B4356" s="34" t="s">
        <v>10594</v>
      </c>
      <c r="C4356" s="34" t="s">
        <v>103</v>
      </c>
      <c r="E4356" s="30" t="s">
        <v>10595</v>
      </c>
      <c r="F4356" s="34" t="n">
        <f aca="false">IFERROR(VLOOKUP($A4356,'319'!$B:$H,7,0),0)</f>
        <v>0</v>
      </c>
      <c r="G4356" s="34" t="n">
        <f aca="false">SUMIFS('12.326ana'!$C:$C,'12.326ana'!$M:$M,redes!A4356)</f>
        <v>0</v>
      </c>
    </row>
    <row r="4357" customFormat="false" ht="14.4" hidden="true" customHeight="false" outlineLevel="0" collapsed="false">
      <c r="A4357" s="34" t="n">
        <v>79488714115</v>
      </c>
      <c r="B4357" s="34" t="s">
        <v>10596</v>
      </c>
      <c r="C4357" s="34" t="s">
        <v>107</v>
      </c>
      <c r="E4357" s="30" t="s">
        <v>10597</v>
      </c>
      <c r="F4357" s="34" t="n">
        <f aca="false">IFERROR(VLOOKUP($A4357,'319'!$B:$H,7,0),0)</f>
        <v>0</v>
      </c>
      <c r="G4357" s="34" t="n">
        <f aca="false">SUMIFS('12.326ana'!$C:$C,'12.326ana'!$M:$M,redes!A4357)</f>
        <v>0</v>
      </c>
    </row>
    <row r="4358" customFormat="false" ht="14.4" hidden="true" customHeight="false" outlineLevel="0" collapsed="false">
      <c r="A4358" s="34" t="n">
        <v>79503500168</v>
      </c>
      <c r="B4358" s="34" t="s">
        <v>10598</v>
      </c>
      <c r="C4358" s="34" t="s">
        <v>351</v>
      </c>
      <c r="E4358" s="30" t="s">
        <v>10599</v>
      </c>
      <c r="F4358" s="34" t="n">
        <f aca="false">IFERROR(VLOOKUP($A4358,'319'!$B:$H,7,0),0)</f>
        <v>0</v>
      </c>
      <c r="G4358" s="34" t="n">
        <f aca="false">SUMIFS('12.326ana'!$C:$C,'12.326ana'!$M:$M,redes!A4358)</f>
        <v>0</v>
      </c>
    </row>
    <row r="4359" customFormat="false" ht="14.4" hidden="true" customHeight="false" outlineLevel="0" collapsed="false">
      <c r="A4359" s="34" t="n">
        <v>79506143153</v>
      </c>
      <c r="B4359" s="34" t="s">
        <v>10600</v>
      </c>
      <c r="C4359" s="34" t="s">
        <v>192</v>
      </c>
      <c r="E4359" s="30" t="s">
        <v>10601</v>
      </c>
      <c r="F4359" s="34" t="n">
        <f aca="false">IFERROR(VLOOKUP($A4359,'319'!$B:$H,7,0),0)</f>
        <v>0</v>
      </c>
      <c r="G4359" s="34" t="n">
        <f aca="false">SUMIFS('12.326ana'!$C:$C,'12.326ana'!$M:$M,redes!A4359)</f>
        <v>0</v>
      </c>
    </row>
    <row r="4360" customFormat="false" ht="14.4" hidden="true" customHeight="false" outlineLevel="0" collapsed="false">
      <c r="A4360" s="34" t="n">
        <v>79509045187</v>
      </c>
      <c r="B4360" s="34" t="s">
        <v>10602</v>
      </c>
      <c r="C4360" s="34" t="s">
        <v>89</v>
      </c>
      <c r="E4360" s="30" t="s">
        <v>10603</v>
      </c>
      <c r="F4360" s="34" t="n">
        <f aca="false">IFERROR(VLOOKUP($A4360,'319'!$B:$H,7,0),0)</f>
        <v>0</v>
      </c>
      <c r="G4360" s="34" t="n">
        <f aca="false">SUMIFS('12.326ana'!$C:$C,'12.326ana'!$M:$M,redes!A4360)</f>
        <v>0</v>
      </c>
    </row>
    <row r="4361" customFormat="false" ht="14.4" hidden="true" customHeight="false" outlineLevel="0" collapsed="false">
      <c r="A4361" s="34" t="n">
        <v>79517099134</v>
      </c>
      <c r="B4361" s="34" t="s">
        <v>10604</v>
      </c>
      <c r="C4361" s="34" t="s">
        <v>309</v>
      </c>
      <c r="E4361" s="30" t="s">
        <v>10605</v>
      </c>
      <c r="F4361" s="34" t="n">
        <f aca="false">IFERROR(VLOOKUP($A4361,'319'!$B:$H,7,0),0)</f>
        <v>0</v>
      </c>
      <c r="G4361" s="34" t="n">
        <f aca="false">SUMIFS('12.326ana'!$C:$C,'12.326ana'!$M:$M,redes!A4361)</f>
        <v>0</v>
      </c>
    </row>
    <row r="4362" customFormat="false" ht="14.4" hidden="true" customHeight="false" outlineLevel="0" collapsed="false">
      <c r="A4362" s="34" t="n">
        <v>79578330120</v>
      </c>
      <c r="B4362" s="34" t="s">
        <v>10606</v>
      </c>
      <c r="C4362" s="34" t="s">
        <v>594</v>
      </c>
      <c r="E4362" s="30" t="s">
        <v>10607</v>
      </c>
      <c r="F4362" s="34" t="n">
        <f aca="false">IFERROR(VLOOKUP($A4362,'319'!$B:$H,7,0),0)</f>
        <v>0</v>
      </c>
      <c r="G4362" s="34" t="n">
        <f aca="false">SUMIFS('12.326ana'!$C:$C,'12.326ana'!$M:$M,redes!A4362)</f>
        <v>0</v>
      </c>
    </row>
    <row r="4363" customFormat="false" ht="14.4" hidden="true" customHeight="false" outlineLevel="0" collapsed="false">
      <c r="A4363" s="34" t="n">
        <v>79594816104</v>
      </c>
      <c r="B4363" s="34" t="s">
        <v>10608</v>
      </c>
      <c r="C4363" s="34" t="s">
        <v>192</v>
      </c>
      <c r="E4363" s="30" t="s">
        <v>10609</v>
      </c>
      <c r="F4363" s="34" t="n">
        <f aca="false">IFERROR(VLOOKUP($A4363,'319'!$B:$H,7,0),0)</f>
        <v>0</v>
      </c>
      <c r="G4363" s="34" t="n">
        <f aca="false">SUMIFS('12.326ana'!$C:$C,'12.326ana'!$M:$M,redes!A4363)</f>
        <v>0</v>
      </c>
    </row>
    <row r="4364" customFormat="false" ht="14.4" hidden="true" customHeight="false" outlineLevel="0" collapsed="false">
      <c r="A4364" s="34" t="n">
        <v>79608841100</v>
      </c>
      <c r="B4364" s="34" t="s">
        <v>10610</v>
      </c>
      <c r="C4364" s="34" t="s">
        <v>77</v>
      </c>
      <c r="E4364" s="30" t="s">
        <v>10611</v>
      </c>
      <c r="F4364" s="34" t="n">
        <f aca="false">IFERROR(VLOOKUP($A4364,'319'!$B:$H,7,0),0)</f>
        <v>0</v>
      </c>
      <c r="G4364" s="34" t="n">
        <f aca="false">SUMIFS('12.326ana'!$C:$C,'12.326ana'!$M:$M,redes!A4364)</f>
        <v>0</v>
      </c>
    </row>
    <row r="4365" customFormat="false" ht="14.4" hidden="true" customHeight="false" outlineLevel="0" collapsed="false">
      <c r="A4365" s="34" t="n">
        <v>79635474172</v>
      </c>
      <c r="B4365" s="34" t="s">
        <v>10612</v>
      </c>
      <c r="C4365" s="34" t="s">
        <v>107</v>
      </c>
      <c r="E4365" s="30" t="s">
        <v>8805</v>
      </c>
      <c r="F4365" s="34" t="n">
        <f aca="false">IFERROR(VLOOKUP($A4365,'319'!$B:$H,7,0),0)</f>
        <v>0</v>
      </c>
      <c r="G4365" s="34" t="n">
        <f aca="false">SUMIFS('12.326ana'!$C:$C,'12.326ana'!$M:$M,redes!A4365)</f>
        <v>0</v>
      </c>
    </row>
    <row r="4366" customFormat="false" ht="14.4" hidden="true" customHeight="false" outlineLevel="0" collapsed="false">
      <c r="A4366" s="34" t="n">
        <v>79637531149</v>
      </c>
      <c r="B4366" s="34" t="s">
        <v>10613</v>
      </c>
      <c r="C4366" s="34" t="s">
        <v>706</v>
      </c>
      <c r="E4366" s="30" t="s">
        <v>10614</v>
      </c>
      <c r="F4366" s="34" t="n">
        <f aca="false">IFERROR(VLOOKUP($A4366,'319'!$B:$H,7,0),0)</f>
        <v>0</v>
      </c>
      <c r="G4366" s="34" t="n">
        <f aca="false">SUMIFS('12.326ana'!$C:$C,'12.326ana'!$M:$M,redes!A4366)</f>
        <v>0</v>
      </c>
    </row>
    <row r="4367" customFormat="false" ht="14.4" hidden="true" customHeight="false" outlineLevel="0" collapsed="false">
      <c r="A4367" s="34" t="n">
        <v>79652875104</v>
      </c>
      <c r="B4367" s="34" t="s">
        <v>10615</v>
      </c>
      <c r="C4367" s="34" t="s">
        <v>139</v>
      </c>
      <c r="E4367" s="30" t="s">
        <v>10616</v>
      </c>
      <c r="F4367" s="34" t="n">
        <f aca="false">IFERROR(VLOOKUP($A4367,'319'!$B:$H,7,0),0)</f>
        <v>0</v>
      </c>
      <c r="G4367" s="34" t="n">
        <f aca="false">SUMIFS('12.326ana'!$C:$C,'12.326ana'!$M:$M,redes!A4367)</f>
        <v>0</v>
      </c>
    </row>
    <row r="4368" customFormat="false" ht="14.4" hidden="true" customHeight="false" outlineLevel="0" collapsed="false">
      <c r="A4368" s="34" t="n">
        <v>79664000198</v>
      </c>
      <c r="B4368" s="34" t="s">
        <v>10617</v>
      </c>
      <c r="C4368" s="34" t="s">
        <v>448</v>
      </c>
      <c r="E4368" s="30" t="s">
        <v>10618</v>
      </c>
      <c r="F4368" s="34" t="n">
        <f aca="false">IFERROR(VLOOKUP($A4368,'319'!$B:$H,7,0),0)</f>
        <v>0</v>
      </c>
      <c r="G4368" s="34" t="n">
        <f aca="false">SUMIFS('12.326ana'!$C:$C,'12.326ana'!$M:$M,redes!A4368)</f>
        <v>0</v>
      </c>
    </row>
    <row r="4369" customFormat="false" ht="14.4" hidden="true" customHeight="false" outlineLevel="0" collapsed="false">
      <c r="A4369" s="34" t="n">
        <v>79668000176</v>
      </c>
      <c r="B4369" s="34" t="s">
        <v>10619</v>
      </c>
      <c r="C4369" s="34" t="s">
        <v>594</v>
      </c>
      <c r="E4369" s="30" t="s">
        <v>10620</v>
      </c>
      <c r="F4369" s="34" t="n">
        <f aca="false">IFERROR(VLOOKUP($A4369,'319'!$B:$H,7,0),0)</f>
        <v>0</v>
      </c>
      <c r="G4369" s="34" t="n">
        <f aca="false">SUMIFS('12.326ana'!$C:$C,'12.326ana'!$M:$M,redes!A4369)</f>
        <v>0</v>
      </c>
    </row>
    <row r="4370" customFormat="false" ht="14.4" hidden="true" customHeight="false" outlineLevel="0" collapsed="false">
      <c r="A4370" s="34" t="n">
        <v>79683100163</v>
      </c>
      <c r="B4370" s="34" t="s">
        <v>10621</v>
      </c>
      <c r="C4370" s="34" t="s">
        <v>107</v>
      </c>
      <c r="E4370" s="30" t="s">
        <v>8258</v>
      </c>
      <c r="F4370" s="34" t="n">
        <f aca="false">IFERROR(VLOOKUP($A4370,'319'!$B:$H,7,0),0)</f>
        <v>0</v>
      </c>
      <c r="G4370" s="34" t="n">
        <f aca="false">SUMIFS('12.326ana'!$C:$C,'12.326ana'!$M:$M,redes!A4370)</f>
        <v>0</v>
      </c>
    </row>
    <row r="4371" customFormat="false" ht="14.4" hidden="true" customHeight="false" outlineLevel="0" collapsed="false">
      <c r="A4371" s="34" t="n">
        <v>79686699104</v>
      </c>
      <c r="B4371" s="34" t="s">
        <v>10622</v>
      </c>
      <c r="C4371" s="34" t="s">
        <v>77</v>
      </c>
      <c r="E4371" s="30"/>
      <c r="F4371" s="34" t="n">
        <f aca="false">IFERROR(VLOOKUP($A4371,'319'!$B:$H,7,0),0)</f>
        <v>0</v>
      </c>
      <c r="G4371" s="34" t="n">
        <f aca="false">SUMIFS('12.326ana'!$C:$C,'12.326ana'!$M:$M,redes!A4371)</f>
        <v>0</v>
      </c>
    </row>
    <row r="4372" customFormat="false" ht="14.4" hidden="true" customHeight="false" outlineLevel="0" collapsed="false">
      <c r="A4372" s="34" t="n">
        <v>79700969134</v>
      </c>
      <c r="B4372" s="34" t="s">
        <v>10623</v>
      </c>
      <c r="C4372" s="34" t="s">
        <v>77</v>
      </c>
      <c r="E4372" s="30" t="s">
        <v>10624</v>
      </c>
      <c r="F4372" s="34" t="n">
        <f aca="false">IFERROR(VLOOKUP($A4372,'319'!$B:$H,7,0),0)</f>
        <v>0</v>
      </c>
      <c r="G4372" s="34" t="n">
        <f aca="false">SUMIFS('12.326ana'!$C:$C,'12.326ana'!$M:$M,redes!A4372)</f>
        <v>0</v>
      </c>
    </row>
    <row r="4373" customFormat="false" ht="14.4" hidden="true" customHeight="false" outlineLevel="0" collapsed="false">
      <c r="A4373" s="34" t="n">
        <v>79747248972</v>
      </c>
      <c r="B4373" s="34" t="s">
        <v>10625</v>
      </c>
      <c r="C4373" s="34" t="s">
        <v>77</v>
      </c>
      <c r="E4373" s="30" t="s">
        <v>10626</v>
      </c>
      <c r="F4373" s="34" t="n">
        <f aca="false">IFERROR(VLOOKUP($A4373,'319'!$B:$H,7,0),0)</f>
        <v>0</v>
      </c>
      <c r="G4373" s="34" t="n">
        <f aca="false">SUMIFS('12.326ana'!$C:$C,'12.326ana'!$M:$M,redes!A4373)</f>
        <v>0</v>
      </c>
    </row>
    <row r="4374" customFormat="false" ht="14.4" hidden="true" customHeight="false" outlineLevel="0" collapsed="false">
      <c r="A4374" s="34" t="n">
        <v>79764380182</v>
      </c>
      <c r="B4374" s="34" t="s">
        <v>10627</v>
      </c>
      <c r="C4374" s="34" t="s">
        <v>77</v>
      </c>
      <c r="E4374" s="30" t="s">
        <v>10628</v>
      </c>
      <c r="F4374" s="34" t="n">
        <f aca="false">IFERROR(VLOOKUP($A4374,'319'!$B:$H,7,0),0)</f>
        <v>0</v>
      </c>
      <c r="G4374" s="34" t="n">
        <f aca="false">SUMIFS('12.326ana'!$C:$C,'12.326ana'!$M:$M,redes!A4374)</f>
        <v>0</v>
      </c>
    </row>
    <row r="4375" customFormat="false" ht="14.4" hidden="true" customHeight="false" outlineLevel="0" collapsed="false">
      <c r="A4375" s="34" t="n">
        <v>79767559191</v>
      </c>
      <c r="B4375" s="34" t="s">
        <v>10629</v>
      </c>
      <c r="C4375" s="34" t="s">
        <v>77</v>
      </c>
      <c r="E4375" s="30" t="s">
        <v>10630</v>
      </c>
      <c r="F4375" s="34" t="n">
        <f aca="false">IFERROR(VLOOKUP($A4375,'319'!$B:$H,7,0),0)</f>
        <v>0</v>
      </c>
      <c r="G4375" s="34" t="n">
        <f aca="false">SUMIFS('12.326ana'!$C:$C,'12.326ana'!$M:$M,redes!A4375)</f>
        <v>0</v>
      </c>
    </row>
    <row r="4376" customFormat="false" ht="14.4" hidden="true" customHeight="false" outlineLevel="0" collapsed="false">
      <c r="A4376" s="34" t="n">
        <v>79812597115</v>
      </c>
      <c r="B4376" s="34" t="s">
        <v>4765</v>
      </c>
      <c r="C4376" s="34" t="s">
        <v>77</v>
      </c>
      <c r="E4376" s="30" t="s">
        <v>3833</v>
      </c>
      <c r="F4376" s="34" t="n">
        <f aca="false">IFERROR(VLOOKUP($A4376,'319'!$B:$H,7,0),0)</f>
        <v>0</v>
      </c>
      <c r="G4376" s="34" t="n">
        <f aca="false">SUMIFS('12.326ana'!$C:$C,'12.326ana'!$M:$M,redes!A4376)</f>
        <v>0</v>
      </c>
    </row>
    <row r="4377" customFormat="false" ht="14.4" hidden="true" customHeight="false" outlineLevel="0" collapsed="false">
      <c r="A4377" s="34" t="n">
        <v>79839002104</v>
      </c>
      <c r="B4377" s="34" t="s">
        <v>10631</v>
      </c>
      <c r="C4377" s="34" t="s">
        <v>77</v>
      </c>
      <c r="E4377" s="30" t="s">
        <v>10632</v>
      </c>
      <c r="F4377" s="34" t="n">
        <f aca="false">IFERROR(VLOOKUP($A4377,'319'!$B:$H,7,0),0)</f>
        <v>0</v>
      </c>
      <c r="G4377" s="34" t="n">
        <f aca="false">SUMIFS('12.326ana'!$C:$C,'12.326ana'!$M:$M,redes!A4377)</f>
        <v>0</v>
      </c>
    </row>
    <row r="4378" customFormat="false" ht="14.4" hidden="true" customHeight="false" outlineLevel="0" collapsed="false">
      <c r="A4378" s="34" t="n">
        <v>79842526100</v>
      </c>
      <c r="B4378" s="34" t="s">
        <v>10633</v>
      </c>
      <c r="C4378" s="34" t="s">
        <v>77</v>
      </c>
      <c r="E4378" s="30" t="s">
        <v>10634</v>
      </c>
      <c r="F4378" s="34" t="n">
        <f aca="false">IFERROR(VLOOKUP($A4378,'319'!$B:$H,7,0),0)</f>
        <v>0</v>
      </c>
      <c r="G4378" s="34" t="n">
        <f aca="false">SUMIFS('12.326ana'!$C:$C,'12.326ana'!$M:$M,redes!A4378)</f>
        <v>0</v>
      </c>
    </row>
    <row r="4379" customFormat="false" ht="14.4" hidden="true" customHeight="false" outlineLevel="0" collapsed="false">
      <c r="A4379" s="34" t="n">
        <v>79872484104</v>
      </c>
      <c r="B4379" s="34" t="s">
        <v>10635</v>
      </c>
      <c r="C4379" s="34" t="s">
        <v>77</v>
      </c>
      <c r="E4379" s="30" t="s">
        <v>10636</v>
      </c>
      <c r="F4379" s="34" t="n">
        <f aca="false">IFERROR(VLOOKUP($A4379,'319'!$B:$H,7,0),0)</f>
        <v>0</v>
      </c>
      <c r="G4379" s="34" t="n">
        <f aca="false">SUMIFS('12.326ana'!$C:$C,'12.326ana'!$M:$M,redes!A4379)</f>
        <v>0</v>
      </c>
    </row>
    <row r="4380" customFormat="false" ht="14.4" hidden="true" customHeight="false" outlineLevel="0" collapsed="false">
      <c r="A4380" s="34" t="n">
        <v>79954839100</v>
      </c>
      <c r="B4380" s="34" t="s">
        <v>10637</v>
      </c>
      <c r="C4380" s="34" t="s">
        <v>139</v>
      </c>
      <c r="E4380" s="30" t="s">
        <v>6526</v>
      </c>
      <c r="F4380" s="34" t="n">
        <f aca="false">IFERROR(VLOOKUP($A4380,'319'!$B:$H,7,0),0)</f>
        <v>0</v>
      </c>
      <c r="G4380" s="34" t="n">
        <f aca="false">SUMIFS('12.326ana'!$C:$C,'12.326ana'!$M:$M,redes!A4380)</f>
        <v>0</v>
      </c>
    </row>
    <row r="4381" customFormat="false" ht="14.4" hidden="true" customHeight="false" outlineLevel="0" collapsed="false">
      <c r="A4381" s="34" t="n">
        <v>79967949104</v>
      </c>
      <c r="B4381" s="34" t="s">
        <v>10638</v>
      </c>
      <c r="C4381" s="34" t="s">
        <v>1591</v>
      </c>
      <c r="E4381" s="30" t="s">
        <v>10639</v>
      </c>
      <c r="F4381" s="34" t="n">
        <f aca="false">IFERROR(VLOOKUP($A4381,'319'!$B:$H,7,0),0)</f>
        <v>0</v>
      </c>
      <c r="G4381" s="34" t="n">
        <f aca="false">SUMIFS('12.326ana'!$C:$C,'12.326ana'!$M:$M,redes!A4381)</f>
        <v>0</v>
      </c>
    </row>
    <row r="4382" customFormat="false" ht="14.4" hidden="true" customHeight="false" outlineLevel="0" collapsed="false">
      <c r="A4382" s="34" t="n">
        <v>80016391187</v>
      </c>
      <c r="B4382" s="34" t="s">
        <v>10640</v>
      </c>
      <c r="C4382" s="34" t="s">
        <v>197</v>
      </c>
      <c r="E4382" s="30" t="s">
        <v>10641</v>
      </c>
      <c r="F4382" s="34" t="n">
        <f aca="false">IFERROR(VLOOKUP($A4382,'319'!$B:$H,7,0),0)</f>
        <v>0</v>
      </c>
      <c r="G4382" s="34" t="n">
        <f aca="false">SUMIFS('12.326ana'!$C:$C,'12.326ana'!$M:$M,redes!A4382)</f>
        <v>0</v>
      </c>
    </row>
    <row r="4383" customFormat="false" ht="14.4" hidden="true" customHeight="false" outlineLevel="0" collapsed="false">
      <c r="A4383" s="34" t="n">
        <v>80019013191</v>
      </c>
      <c r="B4383" s="34" t="s">
        <v>10642</v>
      </c>
      <c r="C4383" s="34" t="s">
        <v>77</v>
      </c>
      <c r="E4383" s="30" t="s">
        <v>10643</v>
      </c>
      <c r="F4383" s="34" t="n">
        <f aca="false">IFERROR(VLOOKUP($A4383,'319'!$B:$H,7,0),0)</f>
        <v>0</v>
      </c>
      <c r="G4383" s="34" t="n">
        <f aca="false">SUMIFS('12.326ana'!$C:$C,'12.326ana'!$M:$M,redes!A4383)</f>
        <v>0</v>
      </c>
    </row>
    <row r="4384" customFormat="false" ht="14.4" hidden="true" customHeight="false" outlineLevel="0" collapsed="false">
      <c r="A4384" s="34" t="n">
        <v>80020119100</v>
      </c>
      <c r="B4384" s="34" t="s">
        <v>10644</v>
      </c>
      <c r="C4384" s="34" t="s">
        <v>737</v>
      </c>
      <c r="E4384" s="30" t="s">
        <v>10645</v>
      </c>
      <c r="F4384" s="34" t="n">
        <f aca="false">IFERROR(VLOOKUP($A4384,'319'!$B:$H,7,0),0)</f>
        <v>0</v>
      </c>
      <c r="G4384" s="34" t="n">
        <f aca="false">SUMIFS('12.326ana'!$C:$C,'12.326ana'!$M:$M,redes!A4384)</f>
        <v>0</v>
      </c>
    </row>
    <row r="4385" customFormat="false" ht="14.4" hidden="true" customHeight="false" outlineLevel="0" collapsed="false">
      <c r="A4385" s="34" t="n">
        <v>80028705904</v>
      </c>
      <c r="B4385" s="34" t="s">
        <v>10646</v>
      </c>
      <c r="C4385" s="34" t="s">
        <v>309</v>
      </c>
      <c r="E4385" s="30" t="s">
        <v>10647</v>
      </c>
      <c r="F4385" s="34" t="n">
        <f aca="false">IFERROR(VLOOKUP($A4385,'319'!$B:$H,7,0),0)</f>
        <v>0</v>
      </c>
      <c r="G4385" s="34" t="n">
        <f aca="false">SUMIFS('12.326ana'!$C:$C,'12.326ana'!$M:$M,redes!A4385)</f>
        <v>0</v>
      </c>
    </row>
    <row r="4386" customFormat="false" ht="14.4" hidden="true" customHeight="false" outlineLevel="0" collapsed="false">
      <c r="A4386" s="34" t="n">
        <v>80048897191</v>
      </c>
      <c r="B4386" s="34" t="s">
        <v>10648</v>
      </c>
      <c r="C4386" s="34" t="s">
        <v>77</v>
      </c>
      <c r="E4386" s="30" t="s">
        <v>10649</v>
      </c>
      <c r="F4386" s="34" t="n">
        <f aca="false">IFERROR(VLOOKUP($A4386,'319'!$B:$H,7,0),0)</f>
        <v>0</v>
      </c>
      <c r="G4386" s="34" t="n">
        <f aca="false">SUMIFS('12.326ana'!$C:$C,'12.326ana'!$M:$M,redes!A4386)</f>
        <v>0</v>
      </c>
    </row>
    <row r="4387" customFormat="false" ht="14.4" hidden="true" customHeight="false" outlineLevel="0" collapsed="false">
      <c r="A4387" s="34" t="n">
        <v>80055958168</v>
      </c>
      <c r="B4387" s="34" t="s">
        <v>10650</v>
      </c>
      <c r="C4387" s="34" t="s">
        <v>77</v>
      </c>
      <c r="E4387" s="30" t="s">
        <v>10650</v>
      </c>
      <c r="F4387" s="34" t="n">
        <f aca="false">IFERROR(VLOOKUP($A4387,'319'!$B:$H,7,0),0)</f>
        <v>0</v>
      </c>
      <c r="G4387" s="34" t="n">
        <f aca="false">SUMIFS('12.326ana'!$C:$C,'12.326ana'!$M:$M,redes!A4387)</f>
        <v>0</v>
      </c>
    </row>
    <row r="4388" customFormat="false" ht="14.4" hidden="true" customHeight="false" outlineLevel="0" collapsed="false">
      <c r="A4388" s="34" t="n">
        <v>80061214949</v>
      </c>
      <c r="B4388" s="34" t="s">
        <v>10651</v>
      </c>
      <c r="C4388" s="34" t="s">
        <v>744</v>
      </c>
      <c r="E4388" s="30" t="s">
        <v>10652</v>
      </c>
      <c r="F4388" s="34" t="n">
        <f aca="false">IFERROR(VLOOKUP($A4388,'319'!$B:$H,7,0),0)</f>
        <v>0</v>
      </c>
      <c r="G4388" s="34" t="n">
        <f aca="false">SUMIFS('12.326ana'!$C:$C,'12.326ana'!$M:$M,redes!A4388)</f>
        <v>0</v>
      </c>
    </row>
    <row r="4389" customFormat="false" ht="14.4" hidden="true" customHeight="false" outlineLevel="0" collapsed="false">
      <c r="A4389" s="34" t="n">
        <v>80061524115</v>
      </c>
      <c r="B4389" s="34" t="s">
        <v>10653</v>
      </c>
      <c r="C4389" s="34" t="s">
        <v>77</v>
      </c>
      <c r="E4389" s="30" t="s">
        <v>10654</v>
      </c>
      <c r="F4389" s="34" t="n">
        <f aca="false">IFERROR(VLOOKUP($A4389,'319'!$B:$H,7,0),0)</f>
        <v>0</v>
      </c>
      <c r="G4389" s="34" t="n">
        <f aca="false">SUMIFS('12.326ana'!$C:$C,'12.326ana'!$M:$M,redes!A4389)</f>
        <v>0</v>
      </c>
    </row>
    <row r="4390" customFormat="false" ht="14.4" hidden="true" customHeight="false" outlineLevel="0" collapsed="false">
      <c r="A4390" s="34" t="n">
        <v>80067387187</v>
      </c>
      <c r="B4390" s="34" t="s">
        <v>10655</v>
      </c>
      <c r="C4390" s="34" t="s">
        <v>77</v>
      </c>
      <c r="E4390" s="30" t="s">
        <v>10656</v>
      </c>
      <c r="F4390" s="34" t="n">
        <f aca="false">IFERROR(VLOOKUP($A4390,'319'!$B:$H,7,0),0)</f>
        <v>0</v>
      </c>
      <c r="G4390" s="34" t="n">
        <f aca="false">SUMIFS('12.326ana'!$C:$C,'12.326ana'!$M:$M,redes!A4390)</f>
        <v>0</v>
      </c>
    </row>
    <row r="4391" customFormat="false" ht="14.4" hidden="true" customHeight="false" outlineLevel="0" collapsed="false">
      <c r="A4391" s="34" t="n">
        <v>80076823172</v>
      </c>
      <c r="B4391" s="34" t="s">
        <v>10657</v>
      </c>
      <c r="C4391" s="34" t="s">
        <v>463</v>
      </c>
      <c r="E4391" s="30" t="s">
        <v>10658</v>
      </c>
      <c r="F4391" s="34" t="n">
        <f aca="false">IFERROR(VLOOKUP($A4391,'319'!$B:$H,7,0),0)</f>
        <v>0</v>
      </c>
      <c r="G4391" s="34" t="n">
        <f aca="false">SUMIFS('12.326ana'!$C:$C,'12.326ana'!$M:$M,redes!A4391)</f>
        <v>0</v>
      </c>
    </row>
    <row r="4392" customFormat="false" ht="14.4" hidden="true" customHeight="false" outlineLevel="0" collapsed="false">
      <c r="A4392" s="34" t="n">
        <v>80089720172</v>
      </c>
      <c r="B4392" s="34" t="s">
        <v>10659</v>
      </c>
      <c r="C4392" s="34" t="s">
        <v>77</v>
      </c>
      <c r="E4392" s="30" t="s">
        <v>3569</v>
      </c>
      <c r="F4392" s="34" t="n">
        <f aca="false">IFERROR(VLOOKUP($A4392,'319'!$B:$H,7,0),0)</f>
        <v>0</v>
      </c>
      <c r="G4392" s="34" t="n">
        <f aca="false">SUMIFS('12.326ana'!$C:$C,'12.326ana'!$M:$M,redes!A4392)</f>
        <v>0</v>
      </c>
    </row>
    <row r="4393" customFormat="false" ht="14.4" hidden="true" customHeight="false" outlineLevel="0" collapsed="false">
      <c r="A4393" s="34" t="n">
        <v>80103898115</v>
      </c>
      <c r="B4393" s="34" t="s">
        <v>10660</v>
      </c>
      <c r="C4393" s="34" t="s">
        <v>197</v>
      </c>
      <c r="E4393" s="30" t="s">
        <v>3664</v>
      </c>
      <c r="F4393" s="34" t="n">
        <f aca="false">IFERROR(VLOOKUP($A4393,'319'!$B:$H,7,0),0)</f>
        <v>0</v>
      </c>
      <c r="G4393" s="34" t="n">
        <f aca="false">SUMIFS('12.326ana'!$C:$C,'12.326ana'!$M:$M,redes!A4393)</f>
        <v>0</v>
      </c>
    </row>
    <row r="4394" customFormat="false" ht="14.4" hidden="true" customHeight="false" outlineLevel="0" collapsed="false">
      <c r="A4394" s="34" t="n">
        <v>80108369153</v>
      </c>
      <c r="B4394" s="34" t="s">
        <v>10661</v>
      </c>
      <c r="C4394" s="34" t="s">
        <v>77</v>
      </c>
      <c r="E4394" s="30" t="s">
        <v>3275</v>
      </c>
      <c r="F4394" s="34" t="n">
        <f aca="false">IFERROR(VLOOKUP($A4394,'319'!$B:$H,7,0),0)</f>
        <v>0</v>
      </c>
      <c r="G4394" s="34" t="n">
        <f aca="false">SUMIFS('12.326ana'!$C:$C,'12.326ana'!$M:$M,redes!A4394)</f>
        <v>0</v>
      </c>
    </row>
    <row r="4395" customFormat="false" ht="14.4" hidden="true" customHeight="false" outlineLevel="0" collapsed="false">
      <c r="A4395" s="34" t="n">
        <v>80110266153</v>
      </c>
      <c r="B4395" s="34" t="s">
        <v>10662</v>
      </c>
      <c r="C4395" s="34" t="s">
        <v>77</v>
      </c>
      <c r="E4395" s="30" t="s">
        <v>10663</v>
      </c>
      <c r="F4395" s="34" t="n">
        <f aca="false">IFERROR(VLOOKUP($A4395,'319'!$B:$H,7,0),0)</f>
        <v>0</v>
      </c>
      <c r="G4395" s="34" t="n">
        <f aca="false">SUMIFS('12.326ana'!$C:$C,'12.326ana'!$M:$M,redes!A4395)</f>
        <v>0</v>
      </c>
    </row>
    <row r="4396" customFormat="false" ht="14.4" hidden="true" customHeight="false" outlineLevel="0" collapsed="false">
      <c r="A4396" s="34" t="n">
        <v>80114628149</v>
      </c>
      <c r="B4396" s="34" t="s">
        <v>10664</v>
      </c>
      <c r="C4396" s="34" t="s">
        <v>299</v>
      </c>
      <c r="E4396" s="30" t="s">
        <v>10665</v>
      </c>
      <c r="F4396" s="34" t="n">
        <f aca="false">IFERROR(VLOOKUP($A4396,'319'!$B:$H,7,0),0)</f>
        <v>0</v>
      </c>
      <c r="G4396" s="34" t="n">
        <f aca="false">SUMIFS('12.326ana'!$C:$C,'12.326ana'!$M:$M,redes!A4396)</f>
        <v>0</v>
      </c>
    </row>
    <row r="4397" customFormat="false" ht="14.4" hidden="true" customHeight="false" outlineLevel="0" collapsed="false">
      <c r="A4397" s="34" t="n">
        <v>80127479104</v>
      </c>
      <c r="B4397" s="34" t="s">
        <v>10666</v>
      </c>
      <c r="C4397" s="34" t="s">
        <v>77</v>
      </c>
      <c r="E4397" s="30"/>
      <c r="F4397" s="34" t="n">
        <f aca="false">IFERROR(VLOOKUP($A4397,'319'!$B:$H,7,0),0)</f>
        <v>0</v>
      </c>
      <c r="G4397" s="34" t="n">
        <f aca="false">SUMIFS('12.326ana'!$C:$C,'12.326ana'!$M:$M,redes!A4397)</f>
        <v>0</v>
      </c>
    </row>
    <row r="4398" customFormat="false" ht="14.4" hidden="true" customHeight="false" outlineLevel="0" collapsed="false">
      <c r="A4398" s="34" t="n">
        <v>80129579149</v>
      </c>
      <c r="B4398" s="34" t="s">
        <v>10667</v>
      </c>
      <c r="C4398" s="34" t="s">
        <v>77</v>
      </c>
      <c r="E4398" s="30"/>
      <c r="F4398" s="34" t="n">
        <f aca="false">IFERROR(VLOOKUP($A4398,'319'!$B:$H,7,0),0)</f>
        <v>0</v>
      </c>
      <c r="G4398" s="34" t="n">
        <f aca="false">SUMIFS('12.326ana'!$C:$C,'12.326ana'!$M:$M,redes!A4398)</f>
        <v>0</v>
      </c>
    </row>
    <row r="4399" customFormat="false" ht="14.4" hidden="true" customHeight="false" outlineLevel="0" collapsed="false">
      <c r="A4399" s="34" t="n">
        <v>80130135100</v>
      </c>
      <c r="B4399" s="34" t="s">
        <v>10668</v>
      </c>
      <c r="C4399" s="34" t="s">
        <v>1680</v>
      </c>
      <c r="E4399" s="30" t="s">
        <v>10668</v>
      </c>
      <c r="F4399" s="34" t="n">
        <f aca="false">IFERROR(VLOOKUP($A4399,'319'!$B:$H,7,0),0)</f>
        <v>0</v>
      </c>
      <c r="G4399" s="34" t="n">
        <f aca="false">SUMIFS('12.326ana'!$C:$C,'12.326ana'!$M:$M,redes!A4399)</f>
        <v>0</v>
      </c>
    </row>
    <row r="4400" customFormat="false" ht="14.4" hidden="true" customHeight="false" outlineLevel="0" collapsed="false">
      <c r="A4400" s="34" t="n">
        <v>80159249104</v>
      </c>
      <c r="B4400" s="34" t="s">
        <v>10669</v>
      </c>
      <c r="C4400" s="34" t="s">
        <v>342</v>
      </c>
      <c r="E4400" s="30" t="s">
        <v>3927</v>
      </c>
      <c r="F4400" s="34" t="n">
        <f aca="false">IFERROR(VLOOKUP($A4400,'319'!$B:$H,7,0),0)</f>
        <v>0</v>
      </c>
      <c r="G4400" s="34" t="n">
        <f aca="false">SUMIFS('12.326ana'!$C:$C,'12.326ana'!$M:$M,redes!A4400)</f>
        <v>0</v>
      </c>
    </row>
    <row r="4401" customFormat="false" ht="14.4" hidden="true" customHeight="false" outlineLevel="0" collapsed="false">
      <c r="A4401" s="34" t="n">
        <v>80188214968</v>
      </c>
      <c r="B4401" s="34" t="s">
        <v>10670</v>
      </c>
      <c r="C4401" s="34" t="s">
        <v>77</v>
      </c>
      <c r="E4401" s="30" t="s">
        <v>10671</v>
      </c>
      <c r="F4401" s="34" t="n">
        <f aca="false">IFERROR(VLOOKUP($A4401,'319'!$B:$H,7,0),0)</f>
        <v>0</v>
      </c>
      <c r="G4401" s="34" t="n">
        <f aca="false">SUMIFS('12.326ana'!$C:$C,'12.326ana'!$M:$M,redes!A4401)</f>
        <v>0</v>
      </c>
    </row>
    <row r="4402" customFormat="false" ht="14.4" hidden="true" customHeight="false" outlineLevel="0" collapsed="false">
      <c r="A4402" s="34" t="n">
        <v>80193684691</v>
      </c>
      <c r="B4402" s="34" t="s">
        <v>10672</v>
      </c>
      <c r="C4402" s="34" t="s">
        <v>77</v>
      </c>
      <c r="E4402" s="30" t="s">
        <v>10673</v>
      </c>
      <c r="F4402" s="34" t="n">
        <f aca="false">IFERROR(VLOOKUP($A4402,'319'!$B:$H,7,0),0)</f>
        <v>0</v>
      </c>
      <c r="G4402" s="34" t="n">
        <f aca="false">SUMIFS('12.326ana'!$C:$C,'12.326ana'!$M:$M,redes!A4402)</f>
        <v>0</v>
      </c>
    </row>
    <row r="4403" customFormat="false" ht="14.4" hidden="true" customHeight="false" outlineLevel="0" collapsed="false">
      <c r="A4403" s="34" t="n">
        <v>80243665172</v>
      </c>
      <c r="B4403" s="34" t="s">
        <v>10674</v>
      </c>
      <c r="C4403" s="34" t="s">
        <v>473</v>
      </c>
      <c r="E4403" s="30" t="s">
        <v>10675</v>
      </c>
      <c r="F4403" s="34" t="n">
        <f aca="false">IFERROR(VLOOKUP($A4403,'319'!$B:$H,7,0),0)</f>
        <v>0</v>
      </c>
      <c r="G4403" s="34" t="n">
        <f aca="false">SUMIFS('12.326ana'!$C:$C,'12.326ana'!$M:$M,redes!A4403)</f>
        <v>0</v>
      </c>
    </row>
    <row r="4404" customFormat="false" ht="14.4" hidden="true" customHeight="false" outlineLevel="0" collapsed="false">
      <c r="A4404" s="34" t="n">
        <v>80251382915</v>
      </c>
      <c r="B4404" s="34" t="s">
        <v>10676</v>
      </c>
      <c r="C4404" s="34" t="s">
        <v>1680</v>
      </c>
      <c r="E4404" s="30" t="s">
        <v>10677</v>
      </c>
      <c r="F4404" s="34" t="n">
        <f aca="false">IFERROR(VLOOKUP($A4404,'319'!$B:$H,7,0),0)</f>
        <v>0</v>
      </c>
      <c r="G4404" s="34" t="n">
        <f aca="false">SUMIFS('12.326ana'!$C:$C,'12.326ana'!$M:$M,redes!A4404)</f>
        <v>0</v>
      </c>
    </row>
    <row r="4405" customFormat="false" ht="14.4" hidden="true" customHeight="false" outlineLevel="0" collapsed="false">
      <c r="A4405" s="34" t="n">
        <v>80251668991</v>
      </c>
      <c r="B4405" s="34" t="s">
        <v>10678</v>
      </c>
      <c r="C4405" s="34" t="s">
        <v>89</v>
      </c>
      <c r="E4405" s="30" t="s">
        <v>10679</v>
      </c>
      <c r="F4405" s="34" t="n">
        <f aca="false">IFERROR(VLOOKUP($A4405,'319'!$B:$H,7,0),0)</f>
        <v>0</v>
      </c>
      <c r="G4405" s="34" t="n">
        <f aca="false">SUMIFS('12.326ana'!$C:$C,'12.326ana'!$M:$M,redes!A4405)</f>
        <v>0</v>
      </c>
    </row>
    <row r="4406" customFormat="false" ht="14.4" hidden="true" customHeight="false" outlineLevel="0" collapsed="false">
      <c r="A4406" s="34" t="n">
        <v>80252109953</v>
      </c>
      <c r="B4406" s="34" t="s">
        <v>10680</v>
      </c>
      <c r="C4406" s="34" t="s">
        <v>77</v>
      </c>
      <c r="E4406" s="30" t="s">
        <v>5703</v>
      </c>
      <c r="F4406" s="34" t="n">
        <f aca="false">IFERROR(VLOOKUP($A4406,'319'!$B:$H,7,0),0)</f>
        <v>0</v>
      </c>
      <c r="G4406" s="34" t="n">
        <f aca="false">SUMIFS('12.326ana'!$C:$C,'12.326ana'!$M:$M,redes!A4406)</f>
        <v>0</v>
      </c>
    </row>
    <row r="4407" customFormat="false" ht="14.4" hidden="true" customHeight="false" outlineLevel="0" collapsed="false">
      <c r="A4407" s="34" t="n">
        <v>80261434187</v>
      </c>
      <c r="B4407" s="34" t="s">
        <v>10681</v>
      </c>
      <c r="C4407" s="34" t="s">
        <v>77</v>
      </c>
      <c r="E4407" s="30" t="s">
        <v>10682</v>
      </c>
      <c r="F4407" s="34" t="n">
        <f aca="false">IFERROR(VLOOKUP($A4407,'319'!$B:$H,7,0),0)</f>
        <v>0</v>
      </c>
      <c r="G4407" s="34" t="n">
        <f aca="false">SUMIFS('12.326ana'!$C:$C,'12.326ana'!$M:$M,redes!A4407)</f>
        <v>0</v>
      </c>
    </row>
    <row r="4408" customFormat="false" ht="14.4" hidden="true" customHeight="false" outlineLevel="0" collapsed="false">
      <c r="A4408" s="34" t="n">
        <v>80272320153</v>
      </c>
      <c r="B4408" s="34" t="s">
        <v>10683</v>
      </c>
      <c r="C4408" s="34" t="s">
        <v>848</v>
      </c>
      <c r="E4408" s="30" t="s">
        <v>10684</v>
      </c>
      <c r="F4408" s="34" t="n">
        <f aca="false">IFERROR(VLOOKUP($A4408,'319'!$B:$H,7,0),0)</f>
        <v>0</v>
      </c>
      <c r="G4408" s="34" t="n">
        <f aca="false">SUMIFS('12.326ana'!$C:$C,'12.326ana'!$M:$M,redes!A4408)</f>
        <v>0</v>
      </c>
    </row>
    <row r="4409" customFormat="false" ht="14.4" hidden="true" customHeight="false" outlineLevel="0" collapsed="false">
      <c r="A4409" s="34" t="n">
        <v>80330479172</v>
      </c>
      <c r="B4409" s="34" t="s">
        <v>10685</v>
      </c>
      <c r="C4409" s="34" t="s">
        <v>103</v>
      </c>
      <c r="E4409" s="30" t="s">
        <v>5091</v>
      </c>
      <c r="F4409" s="34" t="n">
        <f aca="false">IFERROR(VLOOKUP($A4409,'319'!$B:$H,7,0),0)</f>
        <v>0</v>
      </c>
      <c r="G4409" s="34" t="n">
        <f aca="false">SUMIFS('12.326ana'!$C:$C,'12.326ana'!$M:$M,redes!A4409)</f>
        <v>0</v>
      </c>
    </row>
    <row r="4410" customFormat="false" ht="14.4" hidden="true" customHeight="false" outlineLevel="0" collapsed="false">
      <c r="A4410" s="34" t="n">
        <v>80343090104</v>
      </c>
      <c r="B4410" s="34" t="s">
        <v>10686</v>
      </c>
      <c r="C4410" s="34" t="s">
        <v>77</v>
      </c>
      <c r="E4410" s="30" t="s">
        <v>10687</v>
      </c>
      <c r="F4410" s="34" t="n">
        <f aca="false">IFERROR(VLOOKUP($A4410,'319'!$B:$H,7,0),0)</f>
        <v>0</v>
      </c>
      <c r="G4410" s="34" t="n">
        <f aca="false">SUMIFS('12.326ana'!$C:$C,'12.326ana'!$M:$M,redes!A4410)</f>
        <v>0</v>
      </c>
    </row>
    <row r="4411" customFormat="false" ht="14.4" hidden="true" customHeight="false" outlineLevel="0" collapsed="false">
      <c r="A4411" s="34" t="n">
        <v>80346901120</v>
      </c>
      <c r="B4411" s="34" t="s">
        <v>10688</v>
      </c>
      <c r="C4411" s="34" t="s">
        <v>77</v>
      </c>
      <c r="E4411" s="30" t="s">
        <v>4276</v>
      </c>
      <c r="F4411" s="34" t="n">
        <f aca="false">IFERROR(VLOOKUP($A4411,'319'!$B:$H,7,0),0)</f>
        <v>0</v>
      </c>
      <c r="G4411" s="34" t="n">
        <f aca="false">SUMIFS('12.326ana'!$C:$C,'12.326ana'!$M:$M,redes!A4411)</f>
        <v>0</v>
      </c>
    </row>
    <row r="4412" customFormat="false" ht="14.4" hidden="true" customHeight="false" outlineLevel="0" collapsed="false">
      <c r="A4412" s="34" t="n">
        <v>80383971853</v>
      </c>
      <c r="B4412" s="34" t="s">
        <v>10689</v>
      </c>
      <c r="C4412" s="34" t="s">
        <v>565</v>
      </c>
      <c r="E4412" s="30" t="s">
        <v>10690</v>
      </c>
      <c r="F4412" s="34" t="n">
        <f aca="false">IFERROR(VLOOKUP($A4412,'319'!$B:$H,7,0),0)</f>
        <v>0</v>
      </c>
      <c r="G4412" s="34" t="n">
        <f aca="false">SUMIFS('12.326ana'!$C:$C,'12.326ana'!$M:$M,redes!A4412)</f>
        <v>0</v>
      </c>
    </row>
    <row r="4413" customFormat="false" ht="14.4" hidden="true" customHeight="false" outlineLevel="0" collapsed="false">
      <c r="A4413" s="34" t="n">
        <v>80430228104</v>
      </c>
      <c r="B4413" s="34" t="s">
        <v>10691</v>
      </c>
      <c r="C4413" s="34" t="s">
        <v>77</v>
      </c>
      <c r="E4413" s="30" t="s">
        <v>3674</v>
      </c>
      <c r="F4413" s="34" t="n">
        <f aca="false">IFERROR(VLOOKUP($A4413,'319'!$B:$H,7,0),0)</f>
        <v>0</v>
      </c>
      <c r="G4413" s="34" t="n">
        <f aca="false">SUMIFS('12.326ana'!$C:$C,'12.326ana'!$M:$M,redes!A4413)</f>
        <v>0</v>
      </c>
    </row>
    <row r="4414" customFormat="false" ht="14.4" hidden="true" customHeight="false" outlineLevel="0" collapsed="false">
      <c r="A4414" s="34" t="n">
        <v>80430694172</v>
      </c>
      <c r="B4414" s="34" t="s">
        <v>10692</v>
      </c>
      <c r="C4414" s="34" t="s">
        <v>77</v>
      </c>
      <c r="E4414" s="30"/>
      <c r="F4414" s="34" t="n">
        <f aca="false">IFERROR(VLOOKUP($A4414,'319'!$B:$H,7,0),0)</f>
        <v>0</v>
      </c>
      <c r="G4414" s="34" t="n">
        <f aca="false">SUMIFS('12.326ana'!$C:$C,'12.326ana'!$M:$M,redes!A4414)</f>
        <v>0</v>
      </c>
    </row>
    <row r="4415" customFormat="false" ht="14.4" hidden="true" customHeight="false" outlineLevel="0" collapsed="false">
      <c r="A4415" s="34" t="n">
        <v>80433073187</v>
      </c>
      <c r="B4415" s="34" t="s">
        <v>10693</v>
      </c>
      <c r="C4415" s="34" t="s">
        <v>77</v>
      </c>
      <c r="E4415" s="30" t="s">
        <v>10694</v>
      </c>
      <c r="F4415" s="34" t="n">
        <f aca="false">IFERROR(VLOOKUP($A4415,'319'!$B:$H,7,0),0)</f>
        <v>0</v>
      </c>
      <c r="G4415" s="34" t="n">
        <f aca="false">SUMIFS('12.326ana'!$C:$C,'12.326ana'!$M:$M,redes!A4415)</f>
        <v>0</v>
      </c>
    </row>
    <row r="4416" customFormat="false" ht="14.4" hidden="true" customHeight="false" outlineLevel="0" collapsed="false">
      <c r="A4416" s="34" t="n">
        <v>80469833149</v>
      </c>
      <c r="B4416" s="34" t="s">
        <v>10695</v>
      </c>
      <c r="C4416" s="34" t="s">
        <v>77</v>
      </c>
      <c r="E4416" s="30" t="s">
        <v>10696</v>
      </c>
      <c r="F4416" s="34" t="n">
        <f aca="false">IFERROR(VLOOKUP($A4416,'319'!$B:$H,7,0),0)</f>
        <v>0</v>
      </c>
      <c r="G4416" s="34" t="n">
        <f aca="false">SUMIFS('12.326ana'!$C:$C,'12.326ana'!$M:$M,redes!A4416)</f>
        <v>0</v>
      </c>
    </row>
    <row r="4417" customFormat="false" ht="14.4" hidden="true" customHeight="false" outlineLevel="0" collapsed="false">
      <c r="A4417" s="34" t="n">
        <v>80471439134</v>
      </c>
      <c r="B4417" s="34" t="s">
        <v>10697</v>
      </c>
      <c r="C4417" s="34" t="s">
        <v>478</v>
      </c>
      <c r="E4417" s="30" t="s">
        <v>8760</v>
      </c>
      <c r="F4417" s="34" t="n">
        <f aca="false">IFERROR(VLOOKUP($A4417,'319'!$B:$H,7,0),0)</f>
        <v>0</v>
      </c>
      <c r="G4417" s="34" t="n">
        <f aca="false">SUMIFS('12.326ana'!$C:$C,'12.326ana'!$M:$M,redes!A4417)</f>
        <v>0</v>
      </c>
    </row>
    <row r="4418" customFormat="false" ht="14.4" hidden="true" customHeight="false" outlineLevel="0" collapsed="false">
      <c r="A4418" s="34" t="n">
        <v>80492401187</v>
      </c>
      <c r="B4418" s="34" t="s">
        <v>10698</v>
      </c>
      <c r="C4418" s="34" t="s">
        <v>562</v>
      </c>
      <c r="E4418" s="30" t="s">
        <v>10699</v>
      </c>
      <c r="F4418" s="34" t="n">
        <f aca="false">IFERROR(VLOOKUP($A4418,'319'!$B:$H,7,0),0)</f>
        <v>0</v>
      </c>
      <c r="G4418" s="34" t="n">
        <f aca="false">SUMIFS('12.326ana'!$C:$C,'12.326ana'!$M:$M,redes!A4418)</f>
        <v>0</v>
      </c>
    </row>
    <row r="4419" customFormat="false" ht="14.4" hidden="true" customHeight="false" outlineLevel="0" collapsed="false">
      <c r="A4419" s="34" t="n">
        <v>80493688153</v>
      </c>
      <c r="B4419" s="34" t="s">
        <v>10700</v>
      </c>
      <c r="C4419" s="34" t="s">
        <v>377</v>
      </c>
      <c r="E4419" s="30" t="s">
        <v>10701</v>
      </c>
      <c r="F4419" s="34" t="n">
        <f aca="false">IFERROR(VLOOKUP($A4419,'319'!$B:$H,7,0),0)</f>
        <v>0</v>
      </c>
      <c r="G4419" s="34" t="n">
        <f aca="false">SUMIFS('12.326ana'!$C:$C,'12.326ana'!$M:$M,redes!A4419)</f>
        <v>0</v>
      </c>
    </row>
    <row r="4420" customFormat="false" ht="14.4" hidden="true" customHeight="false" outlineLevel="0" collapsed="false">
      <c r="A4420" s="34" t="n">
        <v>80500790159</v>
      </c>
      <c r="B4420" s="34" t="s">
        <v>10702</v>
      </c>
      <c r="C4420" s="34" t="s">
        <v>89</v>
      </c>
      <c r="E4420" s="30" t="s">
        <v>10703</v>
      </c>
      <c r="F4420" s="34" t="n">
        <f aca="false">IFERROR(VLOOKUP($A4420,'319'!$B:$H,7,0),0)</f>
        <v>0</v>
      </c>
      <c r="G4420" s="34" t="n">
        <f aca="false">SUMIFS('12.326ana'!$C:$C,'12.326ana'!$M:$M,redes!A4420)</f>
        <v>0</v>
      </c>
    </row>
    <row r="4421" customFormat="false" ht="14.4" hidden="true" customHeight="false" outlineLevel="0" collapsed="false">
      <c r="A4421" s="34" t="n">
        <v>80505406187</v>
      </c>
      <c r="B4421" s="34" t="s">
        <v>10704</v>
      </c>
      <c r="C4421" s="34" t="s">
        <v>77</v>
      </c>
      <c r="E4421" s="30" t="s">
        <v>10705</v>
      </c>
      <c r="F4421" s="34" t="n">
        <f aca="false">IFERROR(VLOOKUP($A4421,'319'!$B:$H,7,0),0)</f>
        <v>0</v>
      </c>
      <c r="G4421" s="34" t="n">
        <f aca="false">SUMIFS('12.326ana'!$C:$C,'12.326ana'!$M:$M,redes!A4421)</f>
        <v>0</v>
      </c>
    </row>
    <row r="4422" customFormat="false" ht="14.4" hidden="true" customHeight="false" outlineLevel="0" collapsed="false">
      <c r="A4422" s="34" t="n">
        <v>80511309104</v>
      </c>
      <c r="B4422" s="34" t="s">
        <v>10706</v>
      </c>
      <c r="C4422" s="34" t="s">
        <v>77</v>
      </c>
      <c r="E4422" s="30" t="s">
        <v>10707</v>
      </c>
      <c r="F4422" s="34" t="n">
        <f aca="false">IFERROR(VLOOKUP($A4422,'319'!$B:$H,7,0),0)</f>
        <v>0</v>
      </c>
      <c r="G4422" s="34" t="n">
        <f aca="false">SUMIFS('12.326ana'!$C:$C,'12.326ana'!$M:$M,redes!A4422)</f>
        <v>0</v>
      </c>
    </row>
    <row r="4423" customFormat="false" ht="14.4" hidden="true" customHeight="false" outlineLevel="0" collapsed="false">
      <c r="A4423" s="34" t="n">
        <v>80541941100</v>
      </c>
      <c r="B4423" s="34" t="s">
        <v>10708</v>
      </c>
      <c r="C4423" s="34" t="s">
        <v>77</v>
      </c>
      <c r="E4423" s="30" t="s">
        <v>10709</v>
      </c>
      <c r="F4423" s="34" t="n">
        <f aca="false">IFERROR(VLOOKUP($A4423,'319'!$B:$H,7,0),0)</f>
        <v>0</v>
      </c>
      <c r="G4423" s="34" t="n">
        <f aca="false">SUMIFS('12.326ana'!$C:$C,'12.326ana'!$M:$M,redes!A4423)</f>
        <v>0</v>
      </c>
    </row>
    <row r="4424" customFormat="false" ht="14.4" hidden="true" customHeight="false" outlineLevel="0" collapsed="false">
      <c r="A4424" s="34" t="n">
        <v>80594026172</v>
      </c>
      <c r="B4424" s="34" t="s">
        <v>10710</v>
      </c>
      <c r="C4424" s="34" t="s">
        <v>77</v>
      </c>
      <c r="E4424" s="30"/>
      <c r="F4424" s="34" t="n">
        <f aca="false">IFERROR(VLOOKUP($A4424,'319'!$B:$H,7,0),0)</f>
        <v>0</v>
      </c>
      <c r="G4424" s="34" t="n">
        <f aca="false">SUMIFS('12.326ana'!$C:$C,'12.326ana'!$M:$M,redes!A4424)</f>
        <v>0</v>
      </c>
    </row>
    <row r="4425" customFormat="false" ht="14.4" hidden="true" customHeight="false" outlineLevel="0" collapsed="false">
      <c r="A4425" s="34" t="n">
        <v>80595251153</v>
      </c>
      <c r="B4425" s="34" t="s">
        <v>10711</v>
      </c>
      <c r="C4425" s="34" t="s">
        <v>77</v>
      </c>
      <c r="E4425" s="30" t="s">
        <v>3577</v>
      </c>
      <c r="F4425" s="34" t="n">
        <f aca="false">IFERROR(VLOOKUP($A4425,'319'!$B:$H,7,0),0)</f>
        <v>0</v>
      </c>
      <c r="G4425" s="34" t="n">
        <f aca="false">SUMIFS('12.326ana'!$C:$C,'12.326ana'!$M:$M,redes!A4425)</f>
        <v>0</v>
      </c>
    </row>
    <row r="4426" customFormat="false" ht="14.4" hidden="true" customHeight="false" outlineLevel="0" collapsed="false">
      <c r="A4426" s="34" t="n">
        <v>80623476134</v>
      </c>
      <c r="B4426" s="34" t="s">
        <v>10712</v>
      </c>
      <c r="C4426" s="34" t="s">
        <v>565</v>
      </c>
      <c r="E4426" s="30" t="s">
        <v>10713</v>
      </c>
      <c r="F4426" s="34" t="n">
        <f aca="false">IFERROR(VLOOKUP($A4426,'319'!$B:$H,7,0),0)</f>
        <v>0</v>
      </c>
      <c r="G4426" s="34" t="n">
        <f aca="false">SUMIFS('12.326ana'!$C:$C,'12.326ana'!$M:$M,redes!A4426)</f>
        <v>0</v>
      </c>
    </row>
    <row r="4427" customFormat="false" ht="14.4" hidden="true" customHeight="false" outlineLevel="0" collapsed="false">
      <c r="A4427" s="34" t="n">
        <v>80703712187</v>
      </c>
      <c r="B4427" s="34" t="s">
        <v>10714</v>
      </c>
      <c r="C4427" s="34" t="s">
        <v>1602</v>
      </c>
      <c r="E4427" s="30"/>
      <c r="F4427" s="34" t="n">
        <f aca="false">IFERROR(VLOOKUP($A4427,'319'!$B:$H,7,0),0)</f>
        <v>0</v>
      </c>
      <c r="G4427" s="34" t="n">
        <f aca="false">SUMIFS('12.326ana'!$C:$C,'12.326ana'!$M:$M,redes!A4427)</f>
        <v>0</v>
      </c>
    </row>
    <row r="4428" customFormat="false" ht="14.4" hidden="true" customHeight="false" outlineLevel="0" collapsed="false">
      <c r="A4428" s="34" t="n">
        <v>80748171134</v>
      </c>
      <c r="B4428" s="34" t="s">
        <v>10715</v>
      </c>
      <c r="C4428" s="34" t="s">
        <v>77</v>
      </c>
      <c r="E4428" s="30" t="s">
        <v>10716</v>
      </c>
      <c r="F4428" s="34" t="n">
        <f aca="false">IFERROR(VLOOKUP($A4428,'319'!$B:$H,7,0),0)</f>
        <v>0</v>
      </c>
      <c r="G4428" s="34" t="n">
        <f aca="false">SUMIFS('12.326ana'!$C:$C,'12.326ana'!$M:$M,redes!A4428)</f>
        <v>0</v>
      </c>
    </row>
    <row r="4429" customFormat="false" ht="14.4" hidden="true" customHeight="false" outlineLevel="0" collapsed="false">
      <c r="A4429" s="34" t="n">
        <v>80750079134</v>
      </c>
      <c r="B4429" s="34" t="s">
        <v>10717</v>
      </c>
      <c r="C4429" s="34" t="s">
        <v>107</v>
      </c>
      <c r="E4429" s="30" t="s">
        <v>7166</v>
      </c>
      <c r="F4429" s="34" t="n">
        <f aca="false">IFERROR(VLOOKUP($A4429,'319'!$B:$H,7,0),0)</f>
        <v>0</v>
      </c>
      <c r="G4429" s="34" t="n">
        <f aca="false">SUMIFS('12.326ana'!$C:$C,'12.326ana'!$M:$M,redes!A4429)</f>
        <v>0</v>
      </c>
    </row>
    <row r="4430" customFormat="false" ht="14.4" hidden="true" customHeight="false" outlineLevel="0" collapsed="false">
      <c r="A4430" s="34" t="n">
        <v>80765173115</v>
      </c>
      <c r="B4430" s="34" t="s">
        <v>10718</v>
      </c>
      <c r="C4430" s="34" t="s">
        <v>7250</v>
      </c>
      <c r="E4430" s="30" t="s">
        <v>7179</v>
      </c>
      <c r="F4430" s="34" t="n">
        <f aca="false">IFERROR(VLOOKUP($A4430,'319'!$B:$H,7,0),0)</f>
        <v>0</v>
      </c>
      <c r="G4430" s="34" t="n">
        <f aca="false">SUMIFS('12.326ana'!$C:$C,'12.326ana'!$M:$M,redes!A4430)</f>
        <v>0</v>
      </c>
    </row>
    <row r="4431" customFormat="false" ht="14.4" hidden="true" customHeight="false" outlineLevel="0" collapsed="false">
      <c r="A4431" s="34" t="n">
        <v>80785069100</v>
      </c>
      <c r="B4431" s="34" t="s">
        <v>10719</v>
      </c>
      <c r="C4431" s="34" t="s">
        <v>737</v>
      </c>
      <c r="E4431" s="30" t="s">
        <v>3440</v>
      </c>
      <c r="F4431" s="34" t="n">
        <f aca="false">IFERROR(VLOOKUP($A4431,'319'!$B:$H,7,0),0)</f>
        <v>0</v>
      </c>
      <c r="G4431" s="34" t="n">
        <f aca="false">SUMIFS('12.326ana'!$C:$C,'12.326ana'!$M:$M,redes!A4431)</f>
        <v>0</v>
      </c>
    </row>
    <row r="4432" customFormat="false" ht="14.4" hidden="true" customHeight="false" outlineLevel="0" collapsed="false">
      <c r="A4432" s="34" t="n">
        <v>80837611172</v>
      </c>
      <c r="B4432" s="34" t="s">
        <v>10720</v>
      </c>
      <c r="C4432" s="34" t="s">
        <v>77</v>
      </c>
      <c r="E4432" s="30" t="s">
        <v>10721</v>
      </c>
      <c r="F4432" s="34" t="n">
        <f aca="false">IFERROR(VLOOKUP($A4432,'319'!$B:$H,7,0),0)</f>
        <v>0</v>
      </c>
      <c r="G4432" s="34" t="n">
        <f aca="false">SUMIFS('12.326ana'!$C:$C,'12.326ana'!$M:$M,redes!A4432)</f>
        <v>0</v>
      </c>
    </row>
    <row r="4433" customFormat="false" ht="14.4" hidden="true" customHeight="false" outlineLevel="0" collapsed="false">
      <c r="A4433" s="34" t="n">
        <v>80857540106</v>
      </c>
      <c r="B4433" s="34" t="s">
        <v>10722</v>
      </c>
      <c r="C4433" s="34" t="s">
        <v>77</v>
      </c>
      <c r="E4433" s="30"/>
      <c r="F4433" s="34" t="n">
        <f aca="false">IFERROR(VLOOKUP($A4433,'319'!$B:$H,7,0),0)</f>
        <v>0</v>
      </c>
      <c r="G4433" s="34" t="n">
        <f aca="false">SUMIFS('12.326ana'!$C:$C,'12.326ana'!$M:$M,redes!A4433)</f>
        <v>0</v>
      </c>
    </row>
    <row r="4434" customFormat="false" ht="14.4" hidden="true" customHeight="false" outlineLevel="0" collapsed="false">
      <c r="A4434" s="34" t="n">
        <v>80860753115</v>
      </c>
      <c r="B4434" s="34" t="s">
        <v>10723</v>
      </c>
      <c r="C4434" s="34" t="s">
        <v>77</v>
      </c>
      <c r="E4434" s="30"/>
      <c r="F4434" s="34" t="n">
        <f aca="false">IFERROR(VLOOKUP($A4434,'319'!$B:$H,7,0),0)</f>
        <v>0</v>
      </c>
      <c r="G4434" s="34" t="n">
        <f aca="false">SUMIFS('12.326ana'!$C:$C,'12.326ana'!$M:$M,redes!A4434)</f>
        <v>0</v>
      </c>
    </row>
    <row r="4435" customFormat="false" ht="14.4" hidden="true" customHeight="false" outlineLevel="0" collapsed="false">
      <c r="A4435" s="34" t="n">
        <v>80862853168</v>
      </c>
      <c r="B4435" s="34" t="s">
        <v>10724</v>
      </c>
      <c r="C4435" s="34" t="s">
        <v>77</v>
      </c>
      <c r="E4435" s="30"/>
      <c r="F4435" s="34" t="n">
        <f aca="false">IFERROR(VLOOKUP($A4435,'319'!$B:$H,7,0),0)</f>
        <v>0</v>
      </c>
      <c r="G4435" s="34" t="n">
        <f aca="false">SUMIFS('12.326ana'!$C:$C,'12.326ana'!$M:$M,redes!A4435)</f>
        <v>0</v>
      </c>
    </row>
    <row r="4436" customFormat="false" ht="14.4" hidden="true" customHeight="false" outlineLevel="0" collapsed="false">
      <c r="A4436" s="34" t="n">
        <v>80891691120</v>
      </c>
      <c r="B4436" s="34" t="s">
        <v>10725</v>
      </c>
      <c r="C4436" s="34" t="s">
        <v>77</v>
      </c>
      <c r="E4436" s="30" t="s">
        <v>10726</v>
      </c>
      <c r="F4436" s="34" t="n">
        <f aca="false">IFERROR(VLOOKUP($A4436,'319'!$B:$H,7,0),0)</f>
        <v>0</v>
      </c>
      <c r="G4436" s="34" t="n">
        <f aca="false">SUMIFS('12.326ana'!$C:$C,'12.326ana'!$M:$M,redes!A4436)</f>
        <v>0</v>
      </c>
    </row>
    <row r="4437" customFormat="false" ht="14.4" hidden="true" customHeight="false" outlineLevel="0" collapsed="false">
      <c r="A4437" s="34" t="n">
        <v>80942121104</v>
      </c>
      <c r="B4437" s="34" t="s">
        <v>10727</v>
      </c>
      <c r="C4437" s="34" t="s">
        <v>1054</v>
      </c>
      <c r="E4437" s="30" t="s">
        <v>10728</v>
      </c>
      <c r="F4437" s="34" t="n">
        <f aca="false">IFERROR(VLOOKUP($A4437,'319'!$B:$H,7,0),0)</f>
        <v>0</v>
      </c>
      <c r="G4437" s="34" t="n">
        <f aca="false">SUMIFS('12.326ana'!$C:$C,'12.326ana'!$M:$M,redes!A4437)</f>
        <v>0</v>
      </c>
    </row>
    <row r="4438" customFormat="false" ht="14.4" hidden="true" customHeight="false" outlineLevel="0" collapsed="false">
      <c r="A4438" s="34" t="n">
        <v>80959326120</v>
      </c>
      <c r="B4438" s="34" t="s">
        <v>10729</v>
      </c>
      <c r="C4438" s="34" t="s">
        <v>77</v>
      </c>
      <c r="E4438" s="30" t="s">
        <v>10729</v>
      </c>
      <c r="F4438" s="34" t="n">
        <f aca="false">IFERROR(VLOOKUP($A4438,'319'!$B:$H,7,0),0)</f>
        <v>0</v>
      </c>
      <c r="G4438" s="34" t="n">
        <f aca="false">SUMIFS('12.326ana'!$C:$C,'12.326ana'!$M:$M,redes!A4438)</f>
        <v>0</v>
      </c>
    </row>
    <row r="4439" customFormat="false" ht="14.4" hidden="true" customHeight="false" outlineLevel="0" collapsed="false">
      <c r="A4439" s="34" t="n">
        <v>81006543104</v>
      </c>
      <c r="B4439" s="34" t="s">
        <v>10730</v>
      </c>
      <c r="C4439" s="34" t="s">
        <v>77</v>
      </c>
      <c r="E4439" s="30" t="s">
        <v>10731</v>
      </c>
      <c r="F4439" s="34" t="n">
        <f aca="false">IFERROR(VLOOKUP($A4439,'319'!$B:$H,7,0),0)</f>
        <v>0</v>
      </c>
      <c r="G4439" s="34" t="n">
        <f aca="false">SUMIFS('12.326ana'!$C:$C,'12.326ana'!$M:$M,redes!A4439)</f>
        <v>0</v>
      </c>
    </row>
    <row r="4440" customFormat="false" ht="14.4" hidden="true" customHeight="false" outlineLevel="0" collapsed="false">
      <c r="A4440" s="34" t="n">
        <v>81061935949</v>
      </c>
      <c r="B4440" s="34" t="s">
        <v>10732</v>
      </c>
      <c r="C4440" s="34" t="s">
        <v>77</v>
      </c>
      <c r="E4440" s="30" t="s">
        <v>10733</v>
      </c>
      <c r="F4440" s="34" t="n">
        <f aca="false">IFERROR(VLOOKUP($A4440,'319'!$B:$H,7,0),0)</f>
        <v>0</v>
      </c>
      <c r="G4440" s="34" t="n">
        <f aca="false">SUMIFS('12.326ana'!$C:$C,'12.326ana'!$M:$M,redes!A4440)</f>
        <v>0</v>
      </c>
    </row>
    <row r="4441" customFormat="false" ht="14.4" hidden="true" customHeight="false" outlineLevel="0" collapsed="false">
      <c r="A4441" s="34" t="n">
        <v>81062044134</v>
      </c>
      <c r="B4441" s="34" t="s">
        <v>10734</v>
      </c>
      <c r="C4441" s="34" t="s">
        <v>328</v>
      </c>
      <c r="E4441" s="30" t="s">
        <v>6648</v>
      </c>
      <c r="F4441" s="34" t="n">
        <f aca="false">IFERROR(VLOOKUP($A4441,'319'!$B:$H,7,0),0)</f>
        <v>0</v>
      </c>
      <c r="G4441" s="34" t="n">
        <f aca="false">SUMIFS('12.326ana'!$C:$C,'12.326ana'!$M:$M,redes!A4441)</f>
        <v>0</v>
      </c>
    </row>
    <row r="4442" customFormat="false" ht="14.4" hidden="true" customHeight="false" outlineLevel="0" collapsed="false">
      <c r="A4442" s="34" t="n">
        <v>81079265104</v>
      </c>
      <c r="B4442" s="34" t="s">
        <v>10735</v>
      </c>
      <c r="C4442" s="34" t="s">
        <v>77</v>
      </c>
      <c r="E4442" s="30" t="s">
        <v>10736</v>
      </c>
      <c r="F4442" s="34" t="n">
        <f aca="false">IFERROR(VLOOKUP($A4442,'319'!$B:$H,7,0),0)</f>
        <v>0</v>
      </c>
      <c r="G4442" s="34" t="n">
        <f aca="false">SUMIFS('12.326ana'!$C:$C,'12.326ana'!$M:$M,redes!A4442)</f>
        <v>0</v>
      </c>
    </row>
    <row r="4443" customFormat="false" ht="14.4" hidden="true" customHeight="false" outlineLevel="0" collapsed="false">
      <c r="A4443" s="34" t="n">
        <v>81132697115</v>
      </c>
      <c r="B4443" s="34" t="s">
        <v>10737</v>
      </c>
      <c r="C4443" s="34" t="s">
        <v>207</v>
      </c>
      <c r="E4443" s="30" t="s">
        <v>10738</v>
      </c>
      <c r="F4443" s="34" t="n">
        <f aca="false">IFERROR(VLOOKUP($A4443,'319'!$B:$H,7,0),0)</f>
        <v>0</v>
      </c>
      <c r="G4443" s="34" t="n">
        <f aca="false">SUMIFS('12.326ana'!$C:$C,'12.326ana'!$M:$M,redes!A4443)</f>
        <v>0</v>
      </c>
    </row>
    <row r="4444" customFormat="false" ht="14.4" hidden="true" customHeight="false" outlineLevel="0" collapsed="false">
      <c r="A4444" s="34" t="n">
        <v>81154801187</v>
      </c>
      <c r="B4444" s="34" t="s">
        <v>10739</v>
      </c>
      <c r="C4444" s="34" t="s">
        <v>77</v>
      </c>
      <c r="E4444" s="30" t="s">
        <v>10740</v>
      </c>
      <c r="F4444" s="34" t="n">
        <f aca="false">IFERROR(VLOOKUP($A4444,'319'!$B:$H,7,0),0)</f>
        <v>0</v>
      </c>
      <c r="G4444" s="34" t="n">
        <f aca="false">SUMIFS('12.326ana'!$C:$C,'12.326ana'!$M:$M,redes!A4444)</f>
        <v>0</v>
      </c>
    </row>
    <row r="4445" customFormat="false" ht="14.4" hidden="true" customHeight="false" outlineLevel="0" collapsed="false">
      <c r="A4445" s="34" t="n">
        <v>81248000124</v>
      </c>
      <c r="B4445" s="34" t="s">
        <v>10741</v>
      </c>
      <c r="C4445" s="34" t="s">
        <v>77</v>
      </c>
      <c r="E4445" s="30"/>
      <c r="F4445" s="34" t="n">
        <f aca="false">IFERROR(VLOOKUP($A4445,'319'!$B:$H,7,0),0)</f>
        <v>0</v>
      </c>
      <c r="G4445" s="34" t="n">
        <f aca="false">SUMIFS('12.326ana'!$C:$C,'12.326ana'!$M:$M,redes!A4445)</f>
        <v>0</v>
      </c>
    </row>
    <row r="4446" customFormat="false" ht="14.4" hidden="true" customHeight="false" outlineLevel="0" collapsed="false">
      <c r="A4446" s="34" t="n">
        <v>81265301115</v>
      </c>
      <c r="B4446" s="34" t="s">
        <v>10742</v>
      </c>
      <c r="C4446" s="34" t="s">
        <v>935</v>
      </c>
      <c r="E4446" s="30" t="s">
        <v>10743</v>
      </c>
      <c r="F4446" s="34" t="n">
        <f aca="false">IFERROR(VLOOKUP($A4446,'319'!$B:$H,7,0),0)</f>
        <v>0</v>
      </c>
      <c r="G4446" s="34" t="n">
        <f aca="false">SUMIFS('12.326ana'!$C:$C,'12.326ana'!$M:$M,redes!A4446)</f>
        <v>0</v>
      </c>
    </row>
    <row r="4447" customFormat="false" ht="14.4" hidden="true" customHeight="false" outlineLevel="0" collapsed="false">
      <c r="A4447" s="34" t="n">
        <v>81268041149</v>
      </c>
      <c r="B4447" s="34" t="s">
        <v>10744</v>
      </c>
      <c r="C4447" s="34" t="s">
        <v>77</v>
      </c>
      <c r="E4447" s="30" t="s">
        <v>9749</v>
      </c>
      <c r="F4447" s="34" t="n">
        <f aca="false">IFERROR(VLOOKUP($A4447,'319'!$B:$H,7,0),0)</f>
        <v>0</v>
      </c>
      <c r="G4447" s="34" t="n">
        <f aca="false">SUMIFS('12.326ana'!$C:$C,'12.326ana'!$M:$M,redes!A4447)</f>
        <v>0</v>
      </c>
    </row>
    <row r="4448" customFormat="false" ht="14.4" hidden="true" customHeight="false" outlineLevel="0" collapsed="false">
      <c r="A4448" s="34" t="n">
        <v>81269196120</v>
      </c>
      <c r="B4448" s="34" t="s">
        <v>10745</v>
      </c>
      <c r="C4448" s="34" t="s">
        <v>117</v>
      </c>
      <c r="E4448" s="30" t="s">
        <v>5206</v>
      </c>
      <c r="F4448" s="34" t="n">
        <f aca="false">IFERROR(VLOOKUP($A4448,'319'!$B:$H,7,0),0)</f>
        <v>0</v>
      </c>
      <c r="G4448" s="34" t="n">
        <f aca="false">SUMIFS('12.326ana'!$C:$C,'12.326ana'!$M:$M,redes!A4448)</f>
        <v>0</v>
      </c>
    </row>
    <row r="4449" customFormat="false" ht="14.4" hidden="true" customHeight="false" outlineLevel="0" collapsed="false">
      <c r="A4449" s="34" t="n">
        <v>81272545172</v>
      </c>
      <c r="B4449" s="34" t="s">
        <v>10746</v>
      </c>
      <c r="C4449" s="34" t="s">
        <v>77</v>
      </c>
      <c r="E4449" s="30"/>
      <c r="F4449" s="34" t="n">
        <f aca="false">IFERROR(VLOOKUP($A4449,'319'!$B:$H,7,0),0)</f>
        <v>0</v>
      </c>
      <c r="G4449" s="34" t="n">
        <f aca="false">SUMIFS('12.326ana'!$C:$C,'12.326ana'!$M:$M,redes!A4449)</f>
        <v>0</v>
      </c>
    </row>
    <row r="4450" customFormat="false" ht="14.4" hidden="true" customHeight="false" outlineLevel="0" collapsed="false">
      <c r="A4450" s="34" t="n">
        <v>81273690125</v>
      </c>
      <c r="B4450" s="34" t="s">
        <v>10747</v>
      </c>
      <c r="C4450" s="34" t="s">
        <v>117</v>
      </c>
      <c r="E4450" s="30"/>
      <c r="F4450" s="34" t="n">
        <f aca="false">IFERROR(VLOOKUP($A4450,'319'!$B:$H,7,0),0)</f>
        <v>0</v>
      </c>
      <c r="G4450" s="34" t="n">
        <f aca="false">SUMIFS('12.326ana'!$C:$C,'12.326ana'!$M:$M,redes!A4450)</f>
        <v>0</v>
      </c>
    </row>
    <row r="4451" customFormat="false" ht="14.4" hidden="true" customHeight="false" outlineLevel="0" collapsed="false">
      <c r="A4451" s="34" t="n">
        <v>81291191100</v>
      </c>
      <c r="B4451" s="34" t="s">
        <v>10748</v>
      </c>
      <c r="C4451" s="34" t="s">
        <v>77</v>
      </c>
      <c r="E4451" s="30" t="s">
        <v>10749</v>
      </c>
      <c r="F4451" s="34" t="n">
        <f aca="false">IFERROR(VLOOKUP($A4451,'319'!$B:$H,7,0),0)</f>
        <v>0</v>
      </c>
      <c r="G4451" s="34" t="n">
        <f aca="false">SUMIFS('12.326ana'!$C:$C,'12.326ana'!$M:$M,redes!A4451)</f>
        <v>0</v>
      </c>
    </row>
    <row r="4452" customFormat="false" ht="14.4" hidden="true" customHeight="false" outlineLevel="0" collapsed="false">
      <c r="A4452" s="34" t="n">
        <v>81293291153</v>
      </c>
      <c r="B4452" s="34" t="s">
        <v>10750</v>
      </c>
      <c r="C4452" s="34" t="s">
        <v>117</v>
      </c>
      <c r="E4452" s="30" t="s">
        <v>10751</v>
      </c>
      <c r="F4452" s="34" t="n">
        <f aca="false">IFERROR(VLOOKUP($A4452,'319'!$B:$H,7,0),0)</f>
        <v>0</v>
      </c>
      <c r="G4452" s="34" t="n">
        <f aca="false">SUMIFS('12.326ana'!$C:$C,'12.326ana'!$M:$M,redes!A4452)</f>
        <v>0</v>
      </c>
    </row>
    <row r="4453" customFormat="false" ht="14.4" hidden="true" customHeight="false" outlineLevel="0" collapsed="false">
      <c r="A4453" s="34" t="n">
        <v>81325959120</v>
      </c>
      <c r="B4453" s="34" t="s">
        <v>10752</v>
      </c>
      <c r="C4453" s="34" t="s">
        <v>473</v>
      </c>
      <c r="E4453" s="30" t="s">
        <v>7896</v>
      </c>
      <c r="F4453" s="34" t="n">
        <f aca="false">IFERROR(VLOOKUP($A4453,'319'!$B:$H,7,0),0)</f>
        <v>0</v>
      </c>
      <c r="G4453" s="34" t="n">
        <f aca="false">SUMIFS('12.326ana'!$C:$C,'12.326ana'!$M:$M,redes!A4453)</f>
        <v>0</v>
      </c>
    </row>
    <row r="4454" customFormat="false" ht="14.4" hidden="true" customHeight="false" outlineLevel="0" collapsed="false">
      <c r="A4454" s="34" t="n">
        <v>81346093920</v>
      </c>
      <c r="B4454" s="34" t="s">
        <v>10753</v>
      </c>
      <c r="C4454" s="34" t="s">
        <v>107</v>
      </c>
      <c r="E4454" s="30" t="s">
        <v>10754</v>
      </c>
      <c r="F4454" s="34" t="n">
        <f aca="false">IFERROR(VLOOKUP($A4454,'319'!$B:$H,7,0),0)</f>
        <v>0</v>
      </c>
      <c r="G4454" s="34" t="n">
        <f aca="false">SUMIFS('12.326ana'!$C:$C,'12.326ana'!$M:$M,redes!A4454)</f>
        <v>0</v>
      </c>
    </row>
    <row r="4455" customFormat="false" ht="14.4" hidden="true" customHeight="false" outlineLevel="0" collapsed="false">
      <c r="A4455" s="34" t="n">
        <v>81346476187</v>
      </c>
      <c r="B4455" s="34" t="s">
        <v>10755</v>
      </c>
      <c r="C4455" s="34" t="s">
        <v>77</v>
      </c>
      <c r="E4455" s="30" t="s">
        <v>10756</v>
      </c>
      <c r="F4455" s="34" t="n">
        <f aca="false">IFERROR(VLOOKUP($A4455,'319'!$B:$H,7,0),0)</f>
        <v>0</v>
      </c>
      <c r="G4455" s="34" t="n">
        <f aca="false">SUMIFS('12.326ana'!$C:$C,'12.326ana'!$M:$M,redes!A4455)</f>
        <v>0</v>
      </c>
    </row>
    <row r="4456" customFormat="false" ht="14.4" hidden="true" customHeight="false" outlineLevel="0" collapsed="false">
      <c r="A4456" s="34" t="n">
        <v>81349300187</v>
      </c>
      <c r="B4456" s="34" t="s">
        <v>10757</v>
      </c>
      <c r="C4456" s="34" t="s">
        <v>154</v>
      </c>
      <c r="E4456" s="30" t="s">
        <v>10758</v>
      </c>
      <c r="F4456" s="34" t="n">
        <f aca="false">IFERROR(VLOOKUP($A4456,'319'!$B:$H,7,0),0)</f>
        <v>0</v>
      </c>
      <c r="G4456" s="34" t="n">
        <f aca="false">SUMIFS('12.326ana'!$C:$C,'12.326ana'!$M:$M,redes!A4456)</f>
        <v>0</v>
      </c>
    </row>
    <row r="4457" customFormat="false" ht="14.4" hidden="true" customHeight="false" outlineLevel="0" collapsed="false">
      <c r="A4457" s="34" t="n">
        <v>81358024120</v>
      </c>
      <c r="B4457" s="34" t="s">
        <v>10759</v>
      </c>
      <c r="C4457" s="34" t="s">
        <v>77</v>
      </c>
      <c r="E4457" s="30" t="s">
        <v>10760</v>
      </c>
      <c r="F4457" s="34" t="n">
        <f aca="false">IFERROR(VLOOKUP($A4457,'319'!$B:$H,7,0),0)</f>
        <v>0</v>
      </c>
      <c r="G4457" s="34" t="n">
        <f aca="false">SUMIFS('12.326ana'!$C:$C,'12.326ana'!$M:$M,redes!A4457)</f>
        <v>0</v>
      </c>
    </row>
    <row r="4458" customFormat="false" ht="14.4" hidden="true" customHeight="false" outlineLevel="0" collapsed="false">
      <c r="A4458" s="34" t="n">
        <v>81370210191</v>
      </c>
      <c r="B4458" s="34" t="s">
        <v>10761</v>
      </c>
      <c r="C4458" s="34" t="s">
        <v>77</v>
      </c>
      <c r="E4458" s="30" t="s">
        <v>10762</v>
      </c>
      <c r="F4458" s="34" t="n">
        <f aca="false">IFERROR(VLOOKUP($A4458,'319'!$B:$H,7,0),0)</f>
        <v>0</v>
      </c>
      <c r="G4458" s="34" t="n">
        <f aca="false">SUMIFS('12.326ana'!$C:$C,'12.326ana'!$M:$M,redes!A4458)</f>
        <v>0</v>
      </c>
    </row>
    <row r="4459" customFormat="false" ht="14.4" hidden="true" customHeight="false" outlineLevel="0" collapsed="false">
      <c r="A4459" s="34" t="n">
        <v>81370490100</v>
      </c>
      <c r="B4459" s="34" t="s">
        <v>10763</v>
      </c>
      <c r="C4459" s="34" t="s">
        <v>77</v>
      </c>
      <c r="E4459" s="30" t="s">
        <v>3194</v>
      </c>
      <c r="F4459" s="34" t="n">
        <f aca="false">IFERROR(VLOOKUP($A4459,'319'!$B:$H,7,0),0)</f>
        <v>0</v>
      </c>
      <c r="G4459" s="34" t="n">
        <f aca="false">SUMIFS('12.326ana'!$C:$C,'12.326ana'!$M:$M,redes!A4459)</f>
        <v>0</v>
      </c>
    </row>
    <row r="4460" customFormat="false" ht="14.4" hidden="true" customHeight="false" outlineLevel="0" collapsed="false">
      <c r="A4460" s="34" t="n">
        <v>81384858172</v>
      </c>
      <c r="B4460" s="34" t="s">
        <v>10764</v>
      </c>
      <c r="C4460" s="34" t="s">
        <v>77</v>
      </c>
      <c r="E4460" s="30" t="s">
        <v>10764</v>
      </c>
      <c r="F4460" s="34" t="n">
        <f aca="false">IFERROR(VLOOKUP($A4460,'319'!$B:$H,7,0),0)</f>
        <v>0</v>
      </c>
      <c r="G4460" s="34" t="n">
        <f aca="false">SUMIFS('12.326ana'!$C:$C,'12.326ana'!$M:$M,redes!A4460)</f>
        <v>0</v>
      </c>
    </row>
    <row r="4461" customFormat="false" ht="14.4" hidden="true" customHeight="false" outlineLevel="0" collapsed="false">
      <c r="A4461" s="34" t="n">
        <v>81385676191</v>
      </c>
      <c r="B4461" s="34" t="s">
        <v>10765</v>
      </c>
      <c r="C4461" s="34" t="s">
        <v>475</v>
      </c>
      <c r="E4461" s="30" t="s">
        <v>10766</v>
      </c>
      <c r="F4461" s="34" t="n">
        <f aca="false">IFERROR(VLOOKUP($A4461,'319'!$B:$H,7,0),0)</f>
        <v>0</v>
      </c>
      <c r="G4461" s="34" t="n">
        <f aca="false">SUMIFS('12.326ana'!$C:$C,'12.326ana'!$M:$M,redes!A4461)</f>
        <v>0</v>
      </c>
    </row>
    <row r="4462" customFormat="false" ht="14.4" hidden="true" customHeight="false" outlineLevel="0" collapsed="false">
      <c r="A4462" s="34" t="n">
        <v>81403321191</v>
      </c>
      <c r="B4462" s="34" t="s">
        <v>10767</v>
      </c>
      <c r="C4462" s="34" t="s">
        <v>197</v>
      </c>
      <c r="E4462" s="30" t="s">
        <v>3579</v>
      </c>
      <c r="F4462" s="34" t="n">
        <f aca="false">IFERROR(VLOOKUP($A4462,'319'!$B:$H,7,0),0)</f>
        <v>0</v>
      </c>
      <c r="G4462" s="34" t="n">
        <f aca="false">SUMIFS('12.326ana'!$C:$C,'12.326ana'!$M:$M,redes!A4462)</f>
        <v>0</v>
      </c>
    </row>
    <row r="4463" customFormat="false" ht="14.4" hidden="true" customHeight="false" outlineLevel="0" collapsed="false">
      <c r="A4463" s="34" t="n">
        <v>81464533920</v>
      </c>
      <c r="B4463" s="34" t="s">
        <v>10768</v>
      </c>
      <c r="C4463" s="34" t="s">
        <v>77</v>
      </c>
      <c r="E4463" s="30" t="s">
        <v>10769</v>
      </c>
      <c r="F4463" s="34" t="n">
        <f aca="false">IFERROR(VLOOKUP($A4463,'319'!$B:$H,7,0),0)</f>
        <v>0</v>
      </c>
      <c r="G4463" s="34" t="n">
        <f aca="false">SUMIFS('12.326ana'!$C:$C,'12.326ana'!$M:$M,redes!A4463)</f>
        <v>0</v>
      </c>
    </row>
    <row r="4464" customFormat="false" ht="14.4" hidden="true" customHeight="false" outlineLevel="0" collapsed="false">
      <c r="A4464" s="34" t="n">
        <v>81493622153</v>
      </c>
      <c r="B4464" s="34" t="s">
        <v>10770</v>
      </c>
      <c r="C4464" s="34" t="s">
        <v>107</v>
      </c>
      <c r="E4464" s="30" t="s">
        <v>10771</v>
      </c>
      <c r="F4464" s="34" t="n">
        <f aca="false">IFERROR(VLOOKUP($A4464,'319'!$B:$H,7,0),0)</f>
        <v>0</v>
      </c>
      <c r="G4464" s="34" t="n">
        <f aca="false">SUMIFS('12.326ana'!$C:$C,'12.326ana'!$M:$M,redes!A4464)</f>
        <v>0</v>
      </c>
    </row>
    <row r="4465" customFormat="false" ht="14.4" hidden="true" customHeight="false" outlineLevel="0" collapsed="false">
      <c r="A4465" s="34" t="n">
        <v>81561164100</v>
      </c>
      <c r="B4465" s="34" t="s">
        <v>10772</v>
      </c>
      <c r="C4465" s="34" t="s">
        <v>77</v>
      </c>
      <c r="E4465" s="30" t="s">
        <v>10773</v>
      </c>
      <c r="F4465" s="34" t="n">
        <f aca="false">IFERROR(VLOOKUP($A4465,'319'!$B:$H,7,0),0)</f>
        <v>0</v>
      </c>
      <c r="G4465" s="34" t="n">
        <f aca="false">SUMIFS('12.326ana'!$C:$C,'12.326ana'!$M:$M,redes!A4465)</f>
        <v>0</v>
      </c>
    </row>
    <row r="4466" customFormat="false" ht="14.4" hidden="true" customHeight="false" outlineLevel="0" collapsed="false">
      <c r="A4466" s="34" t="n">
        <v>81587670100</v>
      </c>
      <c r="B4466" s="34" t="s">
        <v>3877</v>
      </c>
      <c r="C4466" s="34" t="s">
        <v>77</v>
      </c>
      <c r="E4466" s="30"/>
      <c r="F4466" s="34" t="n">
        <f aca="false">IFERROR(VLOOKUP($A4466,'319'!$B:$H,7,0),0)</f>
        <v>0</v>
      </c>
      <c r="G4466" s="34" t="n">
        <f aca="false">SUMIFS('12.326ana'!$C:$C,'12.326ana'!$M:$M,redes!A4466)</f>
        <v>0</v>
      </c>
    </row>
    <row r="4467" customFormat="false" ht="14.4" hidden="true" customHeight="false" outlineLevel="0" collapsed="false">
      <c r="A4467" s="34" t="n">
        <v>81588828115</v>
      </c>
      <c r="B4467" s="34" t="s">
        <v>10774</v>
      </c>
      <c r="C4467" s="34" t="s">
        <v>77</v>
      </c>
      <c r="E4467" s="30" t="s">
        <v>10775</v>
      </c>
      <c r="F4467" s="34" t="n">
        <f aca="false">IFERROR(VLOOKUP($A4467,'319'!$B:$H,7,0),0)</f>
        <v>0</v>
      </c>
      <c r="G4467" s="34" t="n">
        <f aca="false">SUMIFS('12.326ana'!$C:$C,'12.326ana'!$M:$M,redes!A4467)</f>
        <v>0</v>
      </c>
    </row>
    <row r="4468" customFormat="false" ht="14.4" hidden="true" customHeight="false" outlineLevel="0" collapsed="false">
      <c r="A4468" s="34" t="n">
        <v>81601301120</v>
      </c>
      <c r="B4468" s="34" t="s">
        <v>10776</v>
      </c>
      <c r="C4468" s="34" t="s">
        <v>979</v>
      </c>
      <c r="E4468" s="30" t="s">
        <v>10777</v>
      </c>
      <c r="F4468" s="34" t="n">
        <f aca="false">IFERROR(VLOOKUP($A4468,'319'!$B:$H,7,0),0)</f>
        <v>0</v>
      </c>
      <c r="G4468" s="34" t="n">
        <f aca="false">SUMIFS('12.326ana'!$C:$C,'12.326ana'!$M:$M,redes!A4468)</f>
        <v>0</v>
      </c>
    </row>
    <row r="4469" customFormat="false" ht="14.4" hidden="true" customHeight="false" outlineLevel="0" collapsed="false">
      <c r="A4469" s="34" t="n">
        <v>81621957187</v>
      </c>
      <c r="B4469" s="34" t="s">
        <v>10778</v>
      </c>
      <c r="C4469" s="34" t="s">
        <v>77</v>
      </c>
      <c r="E4469" s="30"/>
      <c r="F4469" s="34" t="n">
        <f aca="false">IFERROR(VLOOKUP($A4469,'319'!$B:$H,7,0),0)</f>
        <v>0</v>
      </c>
      <c r="G4469" s="34" t="n">
        <f aca="false">SUMIFS('12.326ana'!$C:$C,'12.326ana'!$M:$M,redes!A4469)</f>
        <v>0</v>
      </c>
    </row>
    <row r="4470" customFormat="false" ht="14.4" hidden="true" customHeight="false" outlineLevel="0" collapsed="false">
      <c r="A4470" s="34" t="n">
        <v>81624425100</v>
      </c>
      <c r="B4470" s="34" t="s">
        <v>10779</v>
      </c>
      <c r="C4470" s="34" t="s">
        <v>77</v>
      </c>
      <c r="E4470" s="30" t="s">
        <v>10780</v>
      </c>
      <c r="F4470" s="34" t="n">
        <f aca="false">IFERROR(VLOOKUP($A4470,'319'!$B:$H,7,0),0)</f>
        <v>0</v>
      </c>
      <c r="G4470" s="34" t="n">
        <f aca="false">SUMIFS('12.326ana'!$C:$C,'12.326ana'!$M:$M,redes!A4470)</f>
        <v>0</v>
      </c>
    </row>
    <row r="4471" customFormat="false" ht="14.4" hidden="true" customHeight="false" outlineLevel="0" collapsed="false">
      <c r="A4471" s="34" t="n">
        <v>81635176115</v>
      </c>
      <c r="B4471" s="34" t="s">
        <v>10781</v>
      </c>
      <c r="C4471" s="34" t="s">
        <v>77</v>
      </c>
      <c r="E4471" s="30" t="s">
        <v>4776</v>
      </c>
      <c r="F4471" s="34" t="n">
        <f aca="false">IFERROR(VLOOKUP($A4471,'319'!$B:$H,7,0),0)</f>
        <v>0</v>
      </c>
      <c r="G4471" s="34" t="n">
        <f aca="false">SUMIFS('12.326ana'!$C:$C,'12.326ana'!$M:$M,redes!A4471)</f>
        <v>0</v>
      </c>
    </row>
    <row r="4472" customFormat="false" ht="14.4" hidden="true" customHeight="false" outlineLevel="0" collapsed="false">
      <c r="A4472" s="34" t="n">
        <v>81650205104</v>
      </c>
      <c r="B4472" s="34" t="s">
        <v>10782</v>
      </c>
      <c r="C4472" s="34" t="s">
        <v>77</v>
      </c>
      <c r="E4472" s="30" t="s">
        <v>9544</v>
      </c>
      <c r="F4472" s="34" t="n">
        <f aca="false">IFERROR(VLOOKUP($A4472,'319'!$B:$H,7,0),0)</f>
        <v>0</v>
      </c>
      <c r="G4472" s="34" t="n">
        <f aca="false">SUMIFS('12.326ana'!$C:$C,'12.326ana'!$M:$M,redes!A4472)</f>
        <v>0</v>
      </c>
    </row>
    <row r="4473" customFormat="false" ht="14.4" hidden="true" customHeight="false" outlineLevel="0" collapsed="false">
      <c r="A4473" s="34" t="n">
        <v>81667060163</v>
      </c>
      <c r="B4473" s="34" t="s">
        <v>10783</v>
      </c>
      <c r="C4473" s="34" t="s">
        <v>107</v>
      </c>
      <c r="E4473" s="30" t="s">
        <v>10784</v>
      </c>
      <c r="F4473" s="34" t="n">
        <f aca="false">IFERROR(VLOOKUP($A4473,'319'!$B:$H,7,0),0)</f>
        <v>0</v>
      </c>
      <c r="G4473" s="34" t="n">
        <f aca="false">SUMIFS('12.326ana'!$C:$C,'12.326ana'!$M:$M,redes!A4473)</f>
        <v>0</v>
      </c>
    </row>
    <row r="4474" customFormat="false" ht="14.4" hidden="true" customHeight="false" outlineLevel="0" collapsed="false">
      <c r="A4474" s="34" t="n">
        <v>81672560144</v>
      </c>
      <c r="B4474" s="34" t="s">
        <v>10785</v>
      </c>
      <c r="C4474" s="34" t="s">
        <v>77</v>
      </c>
      <c r="E4474" s="30"/>
      <c r="F4474" s="34" t="n">
        <f aca="false">IFERROR(VLOOKUP($A4474,'319'!$B:$H,7,0),0)</f>
        <v>0</v>
      </c>
      <c r="G4474" s="34" t="n">
        <f aca="false">SUMIFS('12.326ana'!$C:$C,'12.326ana'!$M:$M,redes!A4474)</f>
        <v>0</v>
      </c>
    </row>
    <row r="4475" customFormat="false" ht="14.4" hidden="true" customHeight="false" outlineLevel="0" collapsed="false">
      <c r="A4475" s="34" t="n">
        <v>81697236120</v>
      </c>
      <c r="B4475" s="34" t="s">
        <v>10786</v>
      </c>
      <c r="C4475" s="34" t="s">
        <v>207</v>
      </c>
      <c r="E4475" s="30"/>
      <c r="F4475" s="34" t="n">
        <f aca="false">IFERROR(VLOOKUP($A4475,'319'!$B:$H,7,0),0)</f>
        <v>0</v>
      </c>
      <c r="G4475" s="34" t="n">
        <f aca="false">SUMIFS('12.326ana'!$C:$C,'12.326ana'!$M:$M,redes!A4475)</f>
        <v>0</v>
      </c>
    </row>
    <row r="4476" customFormat="false" ht="14.4" hidden="true" customHeight="false" outlineLevel="0" collapsed="false">
      <c r="A4476" s="34" t="n">
        <v>81711263168</v>
      </c>
      <c r="B4476" s="34" t="s">
        <v>10787</v>
      </c>
      <c r="C4476" s="34" t="s">
        <v>77</v>
      </c>
      <c r="E4476" s="30" t="s">
        <v>10788</v>
      </c>
      <c r="F4476" s="34" t="n">
        <f aca="false">IFERROR(VLOOKUP($A4476,'319'!$B:$H,7,0),0)</f>
        <v>0</v>
      </c>
      <c r="G4476" s="34" t="n">
        <f aca="false">SUMIFS('12.326ana'!$C:$C,'12.326ana'!$M:$M,redes!A4476)</f>
        <v>0</v>
      </c>
    </row>
    <row r="4477" customFormat="false" ht="14.4" hidden="true" customHeight="false" outlineLevel="0" collapsed="false">
      <c r="A4477" s="34" t="n">
        <v>81713037149</v>
      </c>
      <c r="B4477" s="34" t="s">
        <v>10789</v>
      </c>
      <c r="C4477" s="34" t="s">
        <v>594</v>
      </c>
      <c r="E4477" s="30" t="s">
        <v>10790</v>
      </c>
      <c r="F4477" s="34" t="n">
        <f aca="false">IFERROR(VLOOKUP($A4477,'319'!$B:$H,7,0),0)</f>
        <v>0</v>
      </c>
      <c r="G4477" s="34" t="n">
        <f aca="false">SUMIFS('12.326ana'!$C:$C,'12.326ana'!$M:$M,redes!A4477)</f>
        <v>0</v>
      </c>
    </row>
    <row r="4478" customFormat="false" ht="14.4" hidden="true" customHeight="false" outlineLevel="0" collapsed="false">
      <c r="A4478" s="34" t="n">
        <v>81721145168</v>
      </c>
      <c r="B4478" s="34" t="s">
        <v>10791</v>
      </c>
      <c r="C4478" s="34" t="s">
        <v>604</v>
      </c>
      <c r="E4478" s="30" t="s">
        <v>10792</v>
      </c>
      <c r="F4478" s="34" t="n">
        <f aca="false">IFERROR(VLOOKUP($A4478,'319'!$B:$H,7,0),0)</f>
        <v>0</v>
      </c>
      <c r="G4478" s="34" t="n">
        <f aca="false">SUMIFS('12.326ana'!$C:$C,'12.326ana'!$M:$M,redes!A4478)</f>
        <v>0</v>
      </c>
    </row>
    <row r="4479" customFormat="false" ht="14.4" hidden="true" customHeight="false" outlineLevel="0" collapsed="false">
      <c r="A4479" s="34" t="n">
        <v>81744544115</v>
      </c>
      <c r="B4479" s="34" t="s">
        <v>10793</v>
      </c>
      <c r="C4479" s="34" t="s">
        <v>77</v>
      </c>
      <c r="E4479" s="30" t="s">
        <v>3206</v>
      </c>
      <c r="F4479" s="34" t="n">
        <f aca="false">IFERROR(VLOOKUP($A4479,'319'!$B:$H,7,0),0)</f>
        <v>0</v>
      </c>
      <c r="G4479" s="34" t="n">
        <f aca="false">SUMIFS('12.326ana'!$C:$C,'12.326ana'!$M:$M,redes!A4479)</f>
        <v>0</v>
      </c>
    </row>
    <row r="4480" customFormat="false" ht="14.4" hidden="true" customHeight="false" outlineLevel="0" collapsed="false">
      <c r="A4480" s="34" t="n">
        <v>81749139120</v>
      </c>
      <c r="B4480" s="34" t="s">
        <v>10794</v>
      </c>
      <c r="C4480" s="34" t="s">
        <v>77</v>
      </c>
      <c r="E4480" s="30" t="s">
        <v>4387</v>
      </c>
      <c r="F4480" s="34" t="n">
        <f aca="false">IFERROR(VLOOKUP($A4480,'319'!$B:$H,7,0),0)</f>
        <v>0</v>
      </c>
      <c r="G4480" s="34" t="n">
        <f aca="false">SUMIFS('12.326ana'!$C:$C,'12.326ana'!$M:$M,redes!A4480)</f>
        <v>0</v>
      </c>
    </row>
    <row r="4481" customFormat="false" ht="14.4" hidden="true" customHeight="false" outlineLevel="0" collapsed="false">
      <c r="A4481" s="34" t="n">
        <v>81750200163</v>
      </c>
      <c r="B4481" s="34" t="s">
        <v>10795</v>
      </c>
      <c r="C4481" s="34" t="s">
        <v>77</v>
      </c>
      <c r="E4481" s="30"/>
      <c r="F4481" s="34" t="n">
        <f aca="false">IFERROR(VLOOKUP($A4481,'319'!$B:$H,7,0),0)</f>
        <v>0</v>
      </c>
      <c r="G4481" s="34" t="n">
        <f aca="false">SUMIFS('12.326ana'!$C:$C,'12.326ana'!$M:$M,redes!A4481)</f>
        <v>0</v>
      </c>
    </row>
    <row r="4482" customFormat="false" ht="14.4" hidden="true" customHeight="false" outlineLevel="0" collapsed="false">
      <c r="A4482" s="34" t="n">
        <v>81750684187</v>
      </c>
      <c r="B4482" s="34" t="s">
        <v>10796</v>
      </c>
      <c r="C4482" s="34" t="s">
        <v>154</v>
      </c>
      <c r="E4482" s="30" t="s">
        <v>10797</v>
      </c>
      <c r="F4482" s="34" t="n">
        <f aca="false">IFERROR(VLOOKUP($A4482,'319'!$B:$H,7,0),0)</f>
        <v>0</v>
      </c>
      <c r="G4482" s="34" t="n">
        <f aca="false">SUMIFS('12.326ana'!$C:$C,'12.326ana'!$M:$M,redes!A4482)</f>
        <v>0</v>
      </c>
    </row>
    <row r="4483" customFormat="false" ht="14.4" hidden="true" customHeight="false" outlineLevel="0" collapsed="false">
      <c r="A4483" s="34" t="n">
        <v>81751826104</v>
      </c>
      <c r="B4483" s="34" t="s">
        <v>10798</v>
      </c>
      <c r="C4483" s="34" t="s">
        <v>77</v>
      </c>
      <c r="E4483" s="30"/>
      <c r="F4483" s="34" t="n">
        <f aca="false">IFERROR(VLOOKUP($A4483,'319'!$B:$H,7,0),0)</f>
        <v>0</v>
      </c>
      <c r="G4483" s="34" t="n">
        <f aca="false">SUMIFS('12.326ana'!$C:$C,'12.326ana'!$M:$M,redes!A4483)</f>
        <v>0</v>
      </c>
    </row>
    <row r="4484" customFormat="false" ht="14.4" hidden="true" customHeight="false" outlineLevel="0" collapsed="false">
      <c r="A4484" s="34" t="n">
        <v>81861338104</v>
      </c>
      <c r="B4484" s="34" t="s">
        <v>10799</v>
      </c>
      <c r="C4484" s="34" t="s">
        <v>954</v>
      </c>
      <c r="E4484" s="30" t="s">
        <v>5434</v>
      </c>
      <c r="F4484" s="34" t="n">
        <f aca="false">IFERROR(VLOOKUP($A4484,'319'!$B:$H,7,0),0)</f>
        <v>0</v>
      </c>
      <c r="G4484" s="34" t="n">
        <f aca="false">SUMIFS('12.326ana'!$C:$C,'12.326ana'!$M:$M,redes!A4484)</f>
        <v>0</v>
      </c>
    </row>
    <row r="4485" customFormat="false" ht="14.4" hidden="true" customHeight="false" outlineLevel="0" collapsed="false">
      <c r="A4485" s="34" t="n">
        <v>81865210110</v>
      </c>
      <c r="B4485" s="34" t="s">
        <v>10800</v>
      </c>
      <c r="C4485" s="34" t="s">
        <v>77</v>
      </c>
      <c r="E4485" s="30" t="s">
        <v>10801</v>
      </c>
      <c r="F4485" s="34" t="n">
        <f aca="false">IFERROR(VLOOKUP($A4485,'319'!$B:$H,7,0),0)</f>
        <v>0</v>
      </c>
      <c r="G4485" s="34" t="n">
        <f aca="false">SUMIFS('12.326ana'!$C:$C,'12.326ana'!$M:$M,redes!A4485)</f>
        <v>0</v>
      </c>
    </row>
    <row r="4486" customFormat="false" ht="14.4" hidden="true" customHeight="false" outlineLevel="0" collapsed="false">
      <c r="A4486" s="34" t="n">
        <v>81867590182</v>
      </c>
      <c r="B4486" s="34" t="s">
        <v>10802</v>
      </c>
      <c r="C4486" s="34" t="s">
        <v>781</v>
      </c>
      <c r="E4486" s="30" t="s">
        <v>10803</v>
      </c>
      <c r="F4486" s="34" t="n">
        <f aca="false">IFERROR(VLOOKUP($A4486,'319'!$B:$H,7,0),0)</f>
        <v>0</v>
      </c>
      <c r="G4486" s="34" t="n">
        <f aca="false">SUMIFS('12.326ana'!$C:$C,'12.326ana'!$M:$M,redes!A4486)</f>
        <v>0</v>
      </c>
    </row>
    <row r="4487" customFormat="false" ht="14.4" hidden="true" customHeight="false" outlineLevel="0" collapsed="false">
      <c r="A4487" s="34" t="n">
        <v>81870990110</v>
      </c>
      <c r="B4487" s="34" t="s">
        <v>10804</v>
      </c>
      <c r="C4487" s="34" t="s">
        <v>77</v>
      </c>
      <c r="E4487" s="30" t="s">
        <v>10805</v>
      </c>
      <c r="F4487" s="34" t="n">
        <f aca="false">IFERROR(VLOOKUP($A4487,'319'!$B:$H,7,0),0)</f>
        <v>0</v>
      </c>
      <c r="G4487" s="34" t="n">
        <f aca="false">SUMIFS('12.326ana'!$C:$C,'12.326ana'!$M:$M,redes!A4487)</f>
        <v>0</v>
      </c>
    </row>
    <row r="4488" customFormat="false" ht="14.4" hidden="true" customHeight="false" outlineLevel="0" collapsed="false">
      <c r="A4488" s="34" t="n">
        <v>81876327120</v>
      </c>
      <c r="B4488" s="34" t="s">
        <v>10806</v>
      </c>
      <c r="C4488" s="34" t="s">
        <v>77</v>
      </c>
      <c r="E4488" s="30" t="s">
        <v>3194</v>
      </c>
      <c r="F4488" s="34" t="n">
        <f aca="false">IFERROR(VLOOKUP($A4488,'319'!$B:$H,7,0),0)</f>
        <v>0</v>
      </c>
      <c r="G4488" s="34" t="n">
        <f aca="false">SUMIFS('12.326ana'!$C:$C,'12.326ana'!$M:$M,redes!A4488)</f>
        <v>0</v>
      </c>
    </row>
    <row r="4489" customFormat="false" ht="14.4" hidden="true" customHeight="false" outlineLevel="0" collapsed="false">
      <c r="A4489" s="34" t="n">
        <v>81878389149</v>
      </c>
      <c r="B4489" s="34" t="s">
        <v>10807</v>
      </c>
      <c r="C4489" s="34" t="s">
        <v>77</v>
      </c>
      <c r="E4489" s="30" t="s">
        <v>10808</v>
      </c>
      <c r="F4489" s="34" t="n">
        <f aca="false">IFERROR(VLOOKUP($A4489,'319'!$B:$H,7,0),0)</f>
        <v>0</v>
      </c>
      <c r="G4489" s="34" t="n">
        <f aca="false">SUMIFS('12.326ana'!$C:$C,'12.326ana'!$M:$M,redes!A4489)</f>
        <v>0</v>
      </c>
    </row>
    <row r="4490" customFormat="false" ht="14.4" hidden="true" customHeight="false" outlineLevel="0" collapsed="false">
      <c r="A4490" s="34" t="n">
        <v>81979410178</v>
      </c>
      <c r="B4490" s="34" t="s">
        <v>10809</v>
      </c>
      <c r="C4490" s="34" t="s">
        <v>77</v>
      </c>
      <c r="E4490" s="30"/>
      <c r="F4490" s="34" t="n">
        <f aca="false">IFERROR(VLOOKUP($A4490,'319'!$B:$H,7,0),0)</f>
        <v>0</v>
      </c>
      <c r="G4490" s="34" t="n">
        <f aca="false">SUMIFS('12.326ana'!$C:$C,'12.326ana'!$M:$M,redes!A4490)</f>
        <v>0</v>
      </c>
    </row>
    <row r="4491" customFormat="false" ht="14.4" hidden="true" customHeight="false" outlineLevel="0" collapsed="false">
      <c r="A4491" s="34" t="n">
        <v>82005133191</v>
      </c>
      <c r="B4491" s="34" t="s">
        <v>10810</v>
      </c>
      <c r="C4491" s="34" t="s">
        <v>77</v>
      </c>
      <c r="E4491" s="30" t="s">
        <v>10810</v>
      </c>
      <c r="F4491" s="34" t="n">
        <f aca="false">IFERROR(VLOOKUP($A4491,'319'!$B:$H,7,0),0)</f>
        <v>0</v>
      </c>
      <c r="G4491" s="34" t="n">
        <f aca="false">SUMIFS('12.326ana'!$C:$C,'12.326ana'!$M:$M,redes!A4491)</f>
        <v>0</v>
      </c>
    </row>
    <row r="4492" customFormat="false" ht="14.4" hidden="true" customHeight="false" outlineLevel="0" collapsed="false">
      <c r="A4492" s="34" t="n">
        <v>82006423134</v>
      </c>
      <c r="B4492" s="34" t="s">
        <v>10811</v>
      </c>
      <c r="C4492" s="34" t="s">
        <v>77</v>
      </c>
      <c r="E4492" s="30"/>
      <c r="F4492" s="34" t="n">
        <f aca="false">IFERROR(VLOOKUP($A4492,'319'!$B:$H,7,0),0)</f>
        <v>0</v>
      </c>
      <c r="G4492" s="34" t="n">
        <f aca="false">SUMIFS('12.326ana'!$C:$C,'12.326ana'!$M:$M,redes!A4492)</f>
        <v>0</v>
      </c>
    </row>
    <row r="4493" customFormat="false" ht="14.4" hidden="true" customHeight="false" outlineLevel="0" collapsed="false">
      <c r="A4493" s="34" t="n">
        <v>82007152134</v>
      </c>
      <c r="B4493" s="34" t="s">
        <v>10812</v>
      </c>
      <c r="C4493" s="34" t="s">
        <v>103</v>
      </c>
      <c r="E4493" s="30" t="s">
        <v>3965</v>
      </c>
      <c r="F4493" s="34" t="n">
        <f aca="false">IFERROR(VLOOKUP($A4493,'319'!$B:$H,7,0),0)</f>
        <v>0</v>
      </c>
      <c r="G4493" s="34" t="n">
        <f aca="false">SUMIFS('12.326ana'!$C:$C,'12.326ana'!$M:$M,redes!A4493)</f>
        <v>0</v>
      </c>
    </row>
    <row r="4494" customFormat="false" ht="14.4" hidden="true" customHeight="false" outlineLevel="0" collapsed="false">
      <c r="A4494" s="34" t="n">
        <v>82010285115</v>
      </c>
      <c r="B4494" s="34" t="s">
        <v>10813</v>
      </c>
      <c r="C4494" s="34" t="s">
        <v>77</v>
      </c>
      <c r="E4494" s="30" t="s">
        <v>10813</v>
      </c>
      <c r="F4494" s="34" t="n">
        <f aca="false">IFERROR(VLOOKUP($A4494,'319'!$B:$H,7,0),0)</f>
        <v>0</v>
      </c>
      <c r="G4494" s="34" t="n">
        <f aca="false">SUMIFS('12.326ana'!$C:$C,'12.326ana'!$M:$M,redes!A4494)</f>
        <v>0</v>
      </c>
    </row>
    <row r="4495" customFormat="false" ht="14.4" hidden="true" customHeight="false" outlineLevel="0" collapsed="false">
      <c r="A4495" s="34" t="n">
        <v>82010820100</v>
      </c>
      <c r="B4495" s="34" t="s">
        <v>10814</v>
      </c>
      <c r="C4495" s="34" t="s">
        <v>154</v>
      </c>
      <c r="E4495" s="30" t="s">
        <v>10815</v>
      </c>
      <c r="F4495" s="34" t="n">
        <f aca="false">IFERROR(VLOOKUP($A4495,'319'!$B:$H,7,0),0)</f>
        <v>0</v>
      </c>
      <c r="G4495" s="34" t="n">
        <f aca="false">SUMIFS('12.326ana'!$C:$C,'12.326ana'!$M:$M,redes!A4495)</f>
        <v>0</v>
      </c>
    </row>
    <row r="4496" customFormat="false" ht="14.4" hidden="true" customHeight="false" outlineLevel="0" collapsed="false">
      <c r="A4496" s="34" t="n">
        <v>82011990149</v>
      </c>
      <c r="B4496" s="34" t="s">
        <v>10816</v>
      </c>
      <c r="C4496" s="34" t="s">
        <v>77</v>
      </c>
      <c r="E4496" s="30" t="s">
        <v>10817</v>
      </c>
      <c r="F4496" s="34" t="n">
        <f aca="false">IFERROR(VLOOKUP($A4496,'319'!$B:$H,7,0),0)</f>
        <v>0</v>
      </c>
      <c r="G4496" s="34" t="n">
        <f aca="false">SUMIFS('12.326ana'!$C:$C,'12.326ana'!$M:$M,redes!A4496)</f>
        <v>0</v>
      </c>
    </row>
    <row r="4497" customFormat="false" ht="14.4" hidden="true" customHeight="false" outlineLevel="0" collapsed="false">
      <c r="A4497" s="34" t="n">
        <v>82017956104</v>
      </c>
      <c r="B4497" s="34" t="s">
        <v>10818</v>
      </c>
      <c r="C4497" s="34" t="s">
        <v>77</v>
      </c>
      <c r="E4497" s="30" t="s">
        <v>3066</v>
      </c>
      <c r="F4497" s="34" t="n">
        <f aca="false">IFERROR(VLOOKUP($A4497,'319'!$B:$H,7,0),0)</f>
        <v>0</v>
      </c>
      <c r="G4497" s="34" t="n">
        <f aca="false">SUMIFS('12.326ana'!$C:$C,'12.326ana'!$M:$M,redes!A4497)</f>
        <v>0</v>
      </c>
    </row>
    <row r="4498" customFormat="false" ht="14.4" hidden="true" customHeight="false" outlineLevel="0" collapsed="false">
      <c r="A4498" s="34" t="n">
        <v>82019460149</v>
      </c>
      <c r="B4498" s="34" t="s">
        <v>10819</v>
      </c>
      <c r="C4498" s="34" t="s">
        <v>77</v>
      </c>
      <c r="E4498" s="30" t="s">
        <v>10820</v>
      </c>
      <c r="F4498" s="34" t="n">
        <f aca="false">IFERROR(VLOOKUP($A4498,'319'!$B:$H,7,0),0)</f>
        <v>0</v>
      </c>
      <c r="G4498" s="34" t="n">
        <f aca="false">SUMIFS('12.326ana'!$C:$C,'12.326ana'!$M:$M,redes!A4498)</f>
        <v>0</v>
      </c>
    </row>
    <row r="4499" customFormat="false" ht="14.4" hidden="true" customHeight="false" outlineLevel="0" collapsed="false">
      <c r="A4499" s="34" t="n">
        <v>82022941187</v>
      </c>
      <c r="B4499" s="34" t="s">
        <v>10821</v>
      </c>
      <c r="C4499" s="34" t="s">
        <v>103</v>
      </c>
      <c r="E4499" s="30" t="s">
        <v>10822</v>
      </c>
      <c r="F4499" s="34" t="n">
        <f aca="false">IFERROR(VLOOKUP($A4499,'319'!$B:$H,7,0),0)</f>
        <v>0</v>
      </c>
      <c r="G4499" s="34" t="n">
        <f aca="false">SUMIFS('12.326ana'!$C:$C,'12.326ana'!$M:$M,redes!A4499)</f>
        <v>0</v>
      </c>
    </row>
    <row r="4500" customFormat="false" ht="14.4" hidden="true" customHeight="false" outlineLevel="0" collapsed="false">
      <c r="A4500" s="34" t="n">
        <v>82027137149</v>
      </c>
      <c r="B4500" s="34" t="s">
        <v>10823</v>
      </c>
      <c r="C4500" s="34" t="s">
        <v>77</v>
      </c>
      <c r="E4500" s="30" t="s">
        <v>10824</v>
      </c>
      <c r="F4500" s="34" t="n">
        <f aca="false">IFERROR(VLOOKUP($A4500,'319'!$B:$H,7,0),0)</f>
        <v>0</v>
      </c>
      <c r="G4500" s="34" t="n">
        <f aca="false">SUMIFS('12.326ana'!$C:$C,'12.326ana'!$M:$M,redes!A4500)</f>
        <v>0</v>
      </c>
    </row>
    <row r="4501" customFormat="false" ht="14.4" hidden="true" customHeight="false" outlineLevel="0" collapsed="false">
      <c r="A4501" s="34" t="n">
        <v>82054738115</v>
      </c>
      <c r="B4501" s="34" t="s">
        <v>10825</v>
      </c>
      <c r="C4501" s="34" t="s">
        <v>463</v>
      </c>
      <c r="E4501" s="30" t="s">
        <v>10826</v>
      </c>
      <c r="F4501" s="34" t="n">
        <f aca="false">IFERROR(VLOOKUP($A4501,'319'!$B:$H,7,0),0)</f>
        <v>0</v>
      </c>
      <c r="G4501" s="34" t="n">
        <f aca="false">SUMIFS('12.326ana'!$C:$C,'12.326ana'!$M:$M,redes!A4501)</f>
        <v>0</v>
      </c>
    </row>
    <row r="4502" customFormat="false" ht="14.4" hidden="true" customHeight="false" outlineLevel="0" collapsed="false">
      <c r="A4502" s="34" t="n">
        <v>82083967100</v>
      </c>
      <c r="B4502" s="34" t="s">
        <v>10827</v>
      </c>
      <c r="C4502" s="34" t="s">
        <v>77</v>
      </c>
      <c r="E4502" s="30" t="s">
        <v>10828</v>
      </c>
      <c r="F4502" s="34" t="n">
        <f aca="false">IFERROR(VLOOKUP($A4502,'319'!$B:$H,7,0),0)</f>
        <v>0</v>
      </c>
      <c r="G4502" s="34" t="n">
        <f aca="false">SUMIFS('12.326ana'!$C:$C,'12.326ana'!$M:$M,redes!A4502)</f>
        <v>0</v>
      </c>
    </row>
    <row r="4503" customFormat="false" ht="14.4" hidden="true" customHeight="false" outlineLevel="0" collapsed="false">
      <c r="A4503" s="34" t="n">
        <v>82161046004</v>
      </c>
      <c r="B4503" s="34" t="s">
        <v>10829</v>
      </c>
      <c r="C4503" s="34" t="s">
        <v>478</v>
      </c>
      <c r="E4503" s="30" t="s">
        <v>10830</v>
      </c>
      <c r="F4503" s="34" t="n">
        <f aca="false">IFERROR(VLOOKUP($A4503,'319'!$B:$H,7,0),0)</f>
        <v>0</v>
      </c>
      <c r="G4503" s="34" t="n">
        <f aca="false">SUMIFS('12.326ana'!$C:$C,'12.326ana'!$M:$M,redes!A4503)</f>
        <v>0</v>
      </c>
    </row>
    <row r="4504" customFormat="false" ht="14.4" hidden="true" customHeight="false" outlineLevel="0" collapsed="false">
      <c r="A4504" s="34" t="n">
        <v>82171173149</v>
      </c>
      <c r="B4504" s="34" t="s">
        <v>10831</v>
      </c>
      <c r="C4504" s="34" t="s">
        <v>604</v>
      </c>
      <c r="E4504" s="30" t="s">
        <v>10832</v>
      </c>
      <c r="F4504" s="34" t="n">
        <f aca="false">IFERROR(VLOOKUP($A4504,'319'!$B:$H,7,0),0)</f>
        <v>0</v>
      </c>
      <c r="G4504" s="34" t="n">
        <f aca="false">SUMIFS('12.326ana'!$C:$C,'12.326ana'!$M:$M,redes!A4504)</f>
        <v>0</v>
      </c>
    </row>
    <row r="4505" customFormat="false" ht="14.4" hidden="true" customHeight="false" outlineLevel="0" collapsed="false">
      <c r="A4505" s="34" t="n">
        <v>82177171172</v>
      </c>
      <c r="B4505" s="34" t="s">
        <v>10833</v>
      </c>
      <c r="C4505" s="34" t="s">
        <v>213</v>
      </c>
      <c r="E4505" s="30" t="s">
        <v>5136</v>
      </c>
      <c r="F4505" s="34" t="n">
        <f aca="false">IFERROR(VLOOKUP($A4505,'319'!$B:$H,7,0),0)</f>
        <v>0</v>
      </c>
      <c r="G4505" s="34" t="n">
        <f aca="false">SUMIFS('12.326ana'!$C:$C,'12.326ana'!$M:$M,redes!A4505)</f>
        <v>0</v>
      </c>
    </row>
    <row r="4506" customFormat="false" ht="14.4" hidden="true" customHeight="false" outlineLevel="0" collapsed="false">
      <c r="A4506" s="34" t="n">
        <v>82184127191</v>
      </c>
      <c r="B4506" s="34" t="s">
        <v>10834</v>
      </c>
      <c r="C4506" s="34" t="s">
        <v>77</v>
      </c>
      <c r="E4506" s="30" t="s">
        <v>10835</v>
      </c>
      <c r="F4506" s="34" t="n">
        <f aca="false">IFERROR(VLOOKUP($A4506,'319'!$B:$H,7,0),0)</f>
        <v>0</v>
      </c>
      <c r="G4506" s="34" t="n">
        <f aca="false">SUMIFS('12.326ana'!$C:$C,'12.326ana'!$M:$M,redes!A4506)</f>
        <v>0</v>
      </c>
    </row>
    <row r="4507" customFormat="false" ht="14.4" hidden="true" customHeight="false" outlineLevel="0" collapsed="false">
      <c r="A4507" s="34" t="n">
        <v>82234361168</v>
      </c>
      <c r="B4507" s="34" t="s">
        <v>10836</v>
      </c>
      <c r="C4507" s="34" t="s">
        <v>192</v>
      </c>
      <c r="E4507" s="30" t="s">
        <v>10837</v>
      </c>
      <c r="F4507" s="34" t="n">
        <f aca="false">IFERROR(VLOOKUP($A4507,'319'!$B:$H,7,0),0)</f>
        <v>0</v>
      </c>
      <c r="G4507" s="34" t="n">
        <f aca="false">SUMIFS('12.326ana'!$C:$C,'12.326ana'!$M:$M,redes!A4507)</f>
        <v>0</v>
      </c>
    </row>
    <row r="4508" customFormat="false" ht="14.4" hidden="true" customHeight="false" outlineLevel="0" collapsed="false">
      <c r="A4508" s="34" t="n">
        <v>82243867168</v>
      </c>
      <c r="B4508" s="34" t="s">
        <v>10838</v>
      </c>
      <c r="C4508" s="34" t="s">
        <v>77</v>
      </c>
      <c r="E4508" s="30" t="s">
        <v>10839</v>
      </c>
      <c r="F4508" s="34" t="n">
        <f aca="false">IFERROR(VLOOKUP($A4508,'319'!$B:$H,7,0),0)</f>
        <v>0</v>
      </c>
      <c r="G4508" s="34" t="n">
        <f aca="false">SUMIFS('12.326ana'!$C:$C,'12.326ana'!$M:$M,redes!A4508)</f>
        <v>0</v>
      </c>
    </row>
    <row r="4509" customFormat="false" ht="14.4" hidden="true" customHeight="false" outlineLevel="0" collapsed="false">
      <c r="A4509" s="34" t="n">
        <v>82244693104</v>
      </c>
      <c r="B4509" s="34" t="s">
        <v>10840</v>
      </c>
      <c r="C4509" s="34" t="s">
        <v>77</v>
      </c>
      <c r="E4509" s="30" t="s">
        <v>10841</v>
      </c>
      <c r="F4509" s="34" t="n">
        <f aca="false">IFERROR(VLOOKUP($A4509,'319'!$B:$H,7,0),0)</f>
        <v>0</v>
      </c>
      <c r="G4509" s="34" t="n">
        <f aca="false">SUMIFS('12.326ana'!$C:$C,'12.326ana'!$M:$M,redes!A4509)</f>
        <v>0</v>
      </c>
    </row>
    <row r="4510" customFormat="false" ht="14.4" hidden="true" customHeight="false" outlineLevel="0" collapsed="false">
      <c r="A4510" s="34" t="n">
        <v>82245282191</v>
      </c>
      <c r="B4510" s="34" t="s">
        <v>10842</v>
      </c>
      <c r="C4510" s="34" t="s">
        <v>342</v>
      </c>
      <c r="E4510" s="30" t="s">
        <v>10843</v>
      </c>
      <c r="F4510" s="34" t="n">
        <f aca="false">IFERROR(VLOOKUP($A4510,'319'!$B:$H,7,0),0)</f>
        <v>0</v>
      </c>
      <c r="G4510" s="34" t="n">
        <f aca="false">SUMIFS('12.326ana'!$C:$C,'12.326ana'!$M:$M,redes!A4510)</f>
        <v>0</v>
      </c>
    </row>
    <row r="4511" customFormat="false" ht="14.4" hidden="true" customHeight="false" outlineLevel="0" collapsed="false">
      <c r="A4511" s="34" t="n">
        <v>82245614100</v>
      </c>
      <c r="B4511" s="34" t="s">
        <v>10844</v>
      </c>
      <c r="C4511" s="34" t="s">
        <v>154</v>
      </c>
      <c r="E4511" s="30" t="s">
        <v>10845</v>
      </c>
      <c r="F4511" s="34" t="n">
        <f aca="false">IFERROR(VLOOKUP($A4511,'319'!$B:$H,7,0),0)</f>
        <v>0</v>
      </c>
      <c r="G4511" s="34" t="n">
        <f aca="false">SUMIFS('12.326ana'!$C:$C,'12.326ana'!$M:$M,redes!A4511)</f>
        <v>0</v>
      </c>
    </row>
    <row r="4512" customFormat="false" ht="14.4" hidden="true" customHeight="false" outlineLevel="0" collapsed="false">
      <c r="A4512" s="34" t="n">
        <v>82247820182</v>
      </c>
      <c r="B4512" s="34" t="s">
        <v>10846</v>
      </c>
      <c r="C4512" s="34" t="s">
        <v>631</v>
      </c>
      <c r="E4512" s="30" t="s">
        <v>10847</v>
      </c>
      <c r="F4512" s="34" t="n">
        <f aca="false">IFERROR(VLOOKUP($A4512,'319'!$B:$H,7,0),0)</f>
        <v>0</v>
      </c>
      <c r="G4512" s="34" t="n">
        <f aca="false">SUMIFS('12.326ana'!$C:$C,'12.326ana'!$M:$M,redes!A4512)</f>
        <v>0</v>
      </c>
    </row>
    <row r="4513" customFormat="false" ht="14.4" hidden="true" customHeight="false" outlineLevel="0" collapsed="false">
      <c r="A4513" s="34" t="n">
        <v>82248451172</v>
      </c>
      <c r="B4513" s="34" t="s">
        <v>10848</v>
      </c>
      <c r="C4513" s="34" t="s">
        <v>77</v>
      </c>
      <c r="E4513" s="30" t="s">
        <v>10849</v>
      </c>
      <c r="F4513" s="34" t="n">
        <f aca="false">IFERROR(VLOOKUP($A4513,'319'!$B:$H,7,0),0)</f>
        <v>0</v>
      </c>
      <c r="G4513" s="34" t="n">
        <f aca="false">SUMIFS('12.326ana'!$C:$C,'12.326ana'!$M:$M,redes!A4513)</f>
        <v>0</v>
      </c>
    </row>
    <row r="4514" customFormat="false" ht="14.4" hidden="true" customHeight="false" outlineLevel="0" collapsed="false">
      <c r="A4514" s="34" t="n">
        <v>82251894187</v>
      </c>
      <c r="B4514" s="34" t="s">
        <v>10850</v>
      </c>
      <c r="C4514" s="34" t="s">
        <v>77</v>
      </c>
      <c r="E4514" s="30" t="s">
        <v>10850</v>
      </c>
      <c r="F4514" s="34" t="n">
        <f aca="false">IFERROR(VLOOKUP($A4514,'319'!$B:$H,7,0),0)</f>
        <v>0</v>
      </c>
      <c r="G4514" s="34" t="n">
        <f aca="false">SUMIFS('12.326ana'!$C:$C,'12.326ana'!$M:$M,redes!A4514)</f>
        <v>0</v>
      </c>
    </row>
    <row r="4515" customFormat="false" ht="14.4" hidden="true" customHeight="false" outlineLevel="0" collapsed="false">
      <c r="A4515" s="34" t="n">
        <v>82305412134</v>
      </c>
      <c r="B4515" s="34" t="s">
        <v>10851</v>
      </c>
      <c r="C4515" s="34" t="s">
        <v>107</v>
      </c>
      <c r="E4515" s="30" t="s">
        <v>10852</v>
      </c>
      <c r="F4515" s="34" t="n">
        <f aca="false">IFERROR(VLOOKUP($A4515,'319'!$B:$H,7,0),0)</f>
        <v>0</v>
      </c>
      <c r="G4515" s="34" t="n">
        <f aca="false">SUMIFS('12.326ana'!$C:$C,'12.326ana'!$M:$M,redes!A4515)</f>
        <v>0</v>
      </c>
    </row>
    <row r="4516" customFormat="false" ht="14.4" hidden="true" customHeight="false" outlineLevel="0" collapsed="false">
      <c r="A4516" s="34" t="n">
        <v>82333459115</v>
      </c>
      <c r="B4516" s="34" t="s">
        <v>10853</v>
      </c>
      <c r="C4516" s="34" t="s">
        <v>107</v>
      </c>
      <c r="E4516" s="30" t="s">
        <v>9759</v>
      </c>
      <c r="F4516" s="34" t="n">
        <f aca="false">IFERROR(VLOOKUP($A4516,'319'!$B:$H,7,0),0)</f>
        <v>0</v>
      </c>
      <c r="G4516" s="34" t="n">
        <f aca="false">SUMIFS('12.326ana'!$C:$C,'12.326ana'!$M:$M,redes!A4516)</f>
        <v>0</v>
      </c>
    </row>
    <row r="4517" customFormat="false" ht="14.4" hidden="true" customHeight="false" outlineLevel="0" collapsed="false">
      <c r="A4517" s="34" t="n">
        <v>82334889172</v>
      </c>
      <c r="B4517" s="34" t="s">
        <v>10854</v>
      </c>
      <c r="C4517" s="34" t="s">
        <v>77</v>
      </c>
      <c r="E4517" s="30" t="s">
        <v>10855</v>
      </c>
      <c r="F4517" s="34" t="n">
        <f aca="false">IFERROR(VLOOKUP($A4517,'319'!$B:$H,7,0),0)</f>
        <v>0</v>
      </c>
      <c r="G4517" s="34" t="n">
        <f aca="false">SUMIFS('12.326ana'!$C:$C,'12.326ana'!$M:$M,redes!A4517)</f>
        <v>0</v>
      </c>
    </row>
    <row r="4518" customFormat="false" ht="14.4" hidden="true" customHeight="false" outlineLevel="0" collapsed="false">
      <c r="A4518" s="34" t="n">
        <v>82335427172</v>
      </c>
      <c r="B4518" s="34" t="s">
        <v>10856</v>
      </c>
      <c r="C4518" s="34" t="s">
        <v>77</v>
      </c>
      <c r="E4518" s="30" t="s">
        <v>10857</v>
      </c>
      <c r="F4518" s="34" t="n">
        <f aca="false">IFERROR(VLOOKUP($A4518,'319'!$B:$H,7,0),0)</f>
        <v>0</v>
      </c>
      <c r="G4518" s="34" t="n">
        <f aca="false">SUMIFS('12.326ana'!$C:$C,'12.326ana'!$M:$M,redes!A4518)</f>
        <v>0</v>
      </c>
    </row>
    <row r="4519" customFormat="false" ht="14.4" hidden="true" customHeight="false" outlineLevel="0" collapsed="false">
      <c r="A4519" s="34" t="n">
        <v>82417156172</v>
      </c>
      <c r="B4519" s="34" t="s">
        <v>10858</v>
      </c>
      <c r="C4519" s="34" t="s">
        <v>309</v>
      </c>
      <c r="E4519" s="30" t="s">
        <v>10859</v>
      </c>
      <c r="F4519" s="34" t="n">
        <f aca="false">IFERROR(VLOOKUP($A4519,'319'!$B:$H,7,0),0)</f>
        <v>0</v>
      </c>
      <c r="G4519" s="34" t="n">
        <f aca="false">SUMIFS('12.326ana'!$C:$C,'12.326ana'!$M:$M,redes!A4519)</f>
        <v>0</v>
      </c>
    </row>
    <row r="4520" customFormat="false" ht="14.4" hidden="true" customHeight="false" outlineLevel="0" collapsed="false">
      <c r="A4520" s="34" t="n">
        <v>82420750187</v>
      </c>
      <c r="B4520" s="34" t="s">
        <v>10860</v>
      </c>
      <c r="C4520" s="34" t="s">
        <v>127</v>
      </c>
      <c r="E4520" s="30" t="s">
        <v>10861</v>
      </c>
      <c r="F4520" s="34" t="n">
        <f aca="false">IFERROR(VLOOKUP($A4520,'319'!$B:$H,7,0),0)</f>
        <v>0</v>
      </c>
      <c r="G4520" s="34" t="n">
        <f aca="false">SUMIFS('12.326ana'!$C:$C,'12.326ana'!$M:$M,redes!A4520)</f>
        <v>0</v>
      </c>
    </row>
    <row r="4521" customFormat="false" ht="14.4" hidden="true" customHeight="false" outlineLevel="0" collapsed="false">
      <c r="A4521" s="34" t="n">
        <v>82423229968</v>
      </c>
      <c r="B4521" s="34" t="s">
        <v>10862</v>
      </c>
      <c r="C4521" s="34" t="s">
        <v>77</v>
      </c>
      <c r="E4521" s="30" t="s">
        <v>10863</v>
      </c>
      <c r="F4521" s="34" t="n">
        <f aca="false">IFERROR(VLOOKUP($A4521,'319'!$B:$H,7,0),0)</f>
        <v>0</v>
      </c>
      <c r="G4521" s="34" t="n">
        <f aca="false">SUMIFS('12.326ana'!$C:$C,'12.326ana'!$M:$M,redes!A4521)</f>
        <v>0</v>
      </c>
    </row>
    <row r="4522" customFormat="false" ht="14.4" hidden="true" customHeight="false" outlineLevel="0" collapsed="false">
      <c r="A4522" s="34" t="n">
        <v>82450927115</v>
      </c>
      <c r="B4522" s="34" t="s">
        <v>10864</v>
      </c>
      <c r="C4522" s="34" t="s">
        <v>77</v>
      </c>
      <c r="E4522" s="30" t="s">
        <v>8866</v>
      </c>
      <c r="F4522" s="34" t="n">
        <f aca="false">IFERROR(VLOOKUP($A4522,'319'!$B:$H,7,0),0)</f>
        <v>0</v>
      </c>
      <c r="G4522" s="34" t="n">
        <f aca="false">SUMIFS('12.326ana'!$C:$C,'12.326ana'!$M:$M,redes!A4522)</f>
        <v>0</v>
      </c>
    </row>
    <row r="4523" customFormat="false" ht="14.4" hidden="true" customHeight="false" outlineLevel="0" collapsed="false">
      <c r="A4523" s="34" t="n">
        <v>82455040178</v>
      </c>
      <c r="B4523" s="34" t="s">
        <v>10865</v>
      </c>
      <c r="C4523" s="34" t="s">
        <v>463</v>
      </c>
      <c r="D4523" s="34" t="s">
        <v>4797</v>
      </c>
      <c r="E4523" s="30" t="s">
        <v>10866</v>
      </c>
      <c r="F4523" s="34" t="n">
        <f aca="false">IFERROR(VLOOKUP($A4523,'319'!$B:$H,7,0),0)</f>
        <v>0</v>
      </c>
      <c r="G4523" s="34" t="n">
        <f aca="false">SUMIFS('12.326ana'!$C:$C,'12.326ana'!$M:$M,redes!A4523)</f>
        <v>0</v>
      </c>
    </row>
    <row r="4524" customFormat="false" ht="14.4" hidden="true" customHeight="false" outlineLevel="0" collapsed="false">
      <c r="A4524" s="34" t="n">
        <v>82483485120</v>
      </c>
      <c r="B4524" s="34" t="s">
        <v>10867</v>
      </c>
      <c r="C4524" s="34" t="s">
        <v>994</v>
      </c>
      <c r="E4524" s="30" t="s">
        <v>9127</v>
      </c>
      <c r="F4524" s="34" t="n">
        <f aca="false">IFERROR(VLOOKUP($A4524,'319'!$B:$H,7,0),0)</f>
        <v>0</v>
      </c>
      <c r="G4524" s="34" t="n">
        <f aca="false">SUMIFS('12.326ana'!$C:$C,'12.326ana'!$M:$M,redes!A4524)</f>
        <v>0</v>
      </c>
    </row>
    <row r="4525" customFormat="false" ht="14.4" hidden="true" customHeight="false" outlineLevel="0" collapsed="false">
      <c r="A4525" s="34" t="n">
        <v>82487308168</v>
      </c>
      <c r="B4525" s="34" t="s">
        <v>10868</v>
      </c>
      <c r="C4525" s="34" t="s">
        <v>77</v>
      </c>
      <c r="E4525" s="30" t="s">
        <v>10869</v>
      </c>
      <c r="F4525" s="34" t="n">
        <f aca="false">IFERROR(VLOOKUP($A4525,'319'!$B:$H,7,0),0)</f>
        <v>0</v>
      </c>
      <c r="G4525" s="34" t="n">
        <f aca="false">SUMIFS('12.326ana'!$C:$C,'12.326ana'!$M:$M,redes!A4525)</f>
        <v>0</v>
      </c>
    </row>
    <row r="4526" customFormat="false" ht="14.4" hidden="true" customHeight="false" outlineLevel="0" collapsed="false">
      <c r="A4526" s="34" t="n">
        <v>82488673153</v>
      </c>
      <c r="B4526" s="34" t="s">
        <v>10870</v>
      </c>
      <c r="C4526" s="34" t="s">
        <v>4418</v>
      </c>
      <c r="E4526" s="30" t="s">
        <v>10871</v>
      </c>
      <c r="F4526" s="34" t="n">
        <f aca="false">IFERROR(VLOOKUP($A4526,'319'!$B:$H,7,0),0)</f>
        <v>0</v>
      </c>
      <c r="G4526" s="34" t="n">
        <f aca="false">SUMIFS('12.326ana'!$C:$C,'12.326ana'!$M:$M,redes!A4526)</f>
        <v>0</v>
      </c>
    </row>
    <row r="4527" customFormat="false" ht="14.4" hidden="true" customHeight="false" outlineLevel="0" collapsed="false">
      <c r="A4527" s="34" t="n">
        <v>82512272834</v>
      </c>
      <c r="B4527" s="34" t="s">
        <v>10872</v>
      </c>
      <c r="C4527" s="34" t="s">
        <v>107</v>
      </c>
      <c r="E4527" s="30" t="s">
        <v>10873</v>
      </c>
      <c r="F4527" s="34" t="n">
        <f aca="false">IFERROR(VLOOKUP($A4527,'319'!$B:$H,7,0),0)</f>
        <v>0</v>
      </c>
      <c r="G4527" s="34" t="n">
        <f aca="false">SUMIFS('12.326ana'!$C:$C,'12.326ana'!$M:$M,redes!A4527)</f>
        <v>0</v>
      </c>
    </row>
    <row r="4528" customFormat="false" ht="14.4" hidden="true" customHeight="false" outlineLevel="0" collapsed="false">
      <c r="A4528" s="34" t="n">
        <v>82526354153</v>
      </c>
      <c r="B4528" s="34" t="s">
        <v>10874</v>
      </c>
      <c r="C4528" s="34" t="s">
        <v>77</v>
      </c>
      <c r="E4528" s="30" t="s">
        <v>10875</v>
      </c>
      <c r="F4528" s="34" t="n">
        <f aca="false">IFERROR(VLOOKUP($A4528,'319'!$B:$H,7,0),0)</f>
        <v>0</v>
      </c>
      <c r="G4528" s="34" t="n">
        <f aca="false">SUMIFS('12.326ana'!$C:$C,'12.326ana'!$M:$M,redes!A4528)</f>
        <v>0</v>
      </c>
    </row>
    <row r="4529" customFormat="false" ht="14.4" hidden="true" customHeight="false" outlineLevel="0" collapsed="false">
      <c r="A4529" s="34" t="n">
        <v>82545456187</v>
      </c>
      <c r="B4529" s="34" t="s">
        <v>10876</v>
      </c>
      <c r="C4529" s="34" t="s">
        <v>103</v>
      </c>
      <c r="E4529" s="30" t="s">
        <v>10877</v>
      </c>
      <c r="F4529" s="34" t="n">
        <f aca="false">IFERROR(VLOOKUP($A4529,'319'!$B:$H,7,0),0)</f>
        <v>0</v>
      </c>
      <c r="G4529" s="34" t="n">
        <f aca="false">SUMIFS('12.326ana'!$C:$C,'12.326ana'!$M:$M,redes!A4529)</f>
        <v>0</v>
      </c>
    </row>
    <row r="4530" customFormat="false" ht="14.4" hidden="true" customHeight="false" outlineLevel="0" collapsed="false">
      <c r="A4530" s="34" t="n">
        <v>82564973191</v>
      </c>
      <c r="B4530" s="34" t="s">
        <v>10878</v>
      </c>
      <c r="C4530" s="34" t="s">
        <v>207</v>
      </c>
      <c r="E4530" s="30" t="s">
        <v>10879</v>
      </c>
      <c r="F4530" s="34" t="n">
        <f aca="false">IFERROR(VLOOKUP($A4530,'319'!$B:$H,7,0),0)</f>
        <v>0</v>
      </c>
      <c r="G4530" s="34" t="n">
        <f aca="false">SUMIFS('12.326ana'!$C:$C,'12.326ana'!$M:$M,redes!A4530)</f>
        <v>0</v>
      </c>
    </row>
    <row r="4531" customFormat="false" ht="14.4" hidden="true" customHeight="false" outlineLevel="0" collapsed="false">
      <c r="A4531" s="34" t="n">
        <v>82566062153</v>
      </c>
      <c r="B4531" s="34" t="s">
        <v>10880</v>
      </c>
      <c r="C4531" s="34" t="s">
        <v>737</v>
      </c>
      <c r="E4531" s="30" t="s">
        <v>10881</v>
      </c>
      <c r="F4531" s="34" t="n">
        <f aca="false">IFERROR(VLOOKUP($A4531,'319'!$B:$H,7,0),0)</f>
        <v>0</v>
      </c>
      <c r="G4531" s="34" t="n">
        <f aca="false">SUMIFS('12.326ana'!$C:$C,'12.326ana'!$M:$M,redes!A4531)</f>
        <v>0</v>
      </c>
    </row>
    <row r="4532" customFormat="false" ht="14.4" hidden="true" customHeight="false" outlineLevel="0" collapsed="false">
      <c r="A4532" s="34" t="n">
        <v>82594643149</v>
      </c>
      <c r="B4532" s="34" t="s">
        <v>10882</v>
      </c>
      <c r="C4532" s="34" t="s">
        <v>77</v>
      </c>
      <c r="E4532" s="30" t="s">
        <v>10883</v>
      </c>
      <c r="F4532" s="34" t="n">
        <f aca="false">IFERROR(VLOOKUP($A4532,'319'!$B:$H,7,0),0)</f>
        <v>0</v>
      </c>
      <c r="G4532" s="34" t="n">
        <f aca="false">SUMIFS('12.326ana'!$C:$C,'12.326ana'!$M:$M,redes!A4532)</f>
        <v>0</v>
      </c>
    </row>
    <row r="4533" customFormat="false" ht="14.4" hidden="true" customHeight="false" outlineLevel="0" collapsed="false">
      <c r="A4533" s="34" t="n">
        <v>82596026872</v>
      </c>
      <c r="B4533" s="34" t="s">
        <v>10884</v>
      </c>
      <c r="C4533" s="34" t="s">
        <v>77</v>
      </c>
      <c r="E4533" s="30"/>
      <c r="F4533" s="34" t="n">
        <f aca="false">IFERROR(VLOOKUP($A4533,'319'!$B:$H,7,0),0)</f>
        <v>0</v>
      </c>
      <c r="G4533" s="34" t="n">
        <f aca="false">SUMIFS('12.326ana'!$C:$C,'12.326ana'!$M:$M,redes!A4533)</f>
        <v>0</v>
      </c>
    </row>
    <row r="4534" customFormat="false" ht="14.4" hidden="true" customHeight="false" outlineLevel="0" collapsed="false">
      <c r="A4534" s="34" t="n">
        <v>82599971349</v>
      </c>
      <c r="B4534" s="34" t="s">
        <v>10885</v>
      </c>
      <c r="C4534" s="34" t="s">
        <v>77</v>
      </c>
      <c r="E4534" s="30" t="s">
        <v>10886</v>
      </c>
      <c r="F4534" s="34" t="n">
        <f aca="false">IFERROR(VLOOKUP($A4534,'319'!$B:$H,7,0),0)</f>
        <v>0</v>
      </c>
      <c r="G4534" s="34" t="n">
        <f aca="false">SUMIFS('12.326ana'!$C:$C,'12.326ana'!$M:$M,redes!A4534)</f>
        <v>0</v>
      </c>
    </row>
    <row r="4535" customFormat="false" ht="14.4" hidden="true" customHeight="false" outlineLevel="0" collapsed="false">
      <c r="A4535" s="34" t="n">
        <v>82621691153</v>
      </c>
      <c r="B4535" s="34" t="s">
        <v>10887</v>
      </c>
      <c r="C4535" s="34" t="s">
        <v>77</v>
      </c>
      <c r="E4535" s="30" t="s">
        <v>10888</v>
      </c>
      <c r="F4535" s="34" t="n">
        <f aca="false">IFERROR(VLOOKUP($A4535,'319'!$B:$H,7,0),0)</f>
        <v>0</v>
      </c>
      <c r="G4535" s="34" t="n">
        <f aca="false">SUMIFS('12.326ana'!$C:$C,'12.326ana'!$M:$M,redes!A4535)</f>
        <v>0</v>
      </c>
    </row>
    <row r="4536" customFormat="false" ht="14.4" hidden="true" customHeight="false" outlineLevel="0" collapsed="false">
      <c r="A4536" s="34" t="n">
        <v>82683409168</v>
      </c>
      <c r="B4536" s="34" t="s">
        <v>10889</v>
      </c>
      <c r="C4536" s="34" t="s">
        <v>737</v>
      </c>
      <c r="E4536" s="30" t="s">
        <v>10890</v>
      </c>
      <c r="F4536" s="34" t="n">
        <f aca="false">IFERROR(VLOOKUP($A4536,'319'!$B:$H,7,0),0)</f>
        <v>0</v>
      </c>
      <c r="G4536" s="34" t="n">
        <f aca="false">SUMIFS('12.326ana'!$C:$C,'12.326ana'!$M:$M,redes!A4536)</f>
        <v>0</v>
      </c>
    </row>
    <row r="4537" customFormat="false" ht="14.4" hidden="true" customHeight="false" outlineLevel="0" collapsed="false">
      <c r="A4537" s="34" t="n">
        <v>82714681115</v>
      </c>
      <c r="B4537" s="34" t="s">
        <v>10891</v>
      </c>
      <c r="C4537" s="34" t="s">
        <v>77</v>
      </c>
      <c r="E4537" s="30"/>
      <c r="F4537" s="34" t="n">
        <f aca="false">IFERROR(VLOOKUP($A4537,'319'!$B:$H,7,0),0)</f>
        <v>0</v>
      </c>
      <c r="G4537" s="34" t="n">
        <f aca="false">SUMIFS('12.326ana'!$C:$C,'12.326ana'!$M:$M,redes!A4537)</f>
        <v>0</v>
      </c>
    </row>
    <row r="4538" customFormat="false" ht="14.4" hidden="true" customHeight="false" outlineLevel="0" collapsed="false">
      <c r="A4538" s="34" t="n">
        <v>82733090968</v>
      </c>
      <c r="B4538" s="34" t="s">
        <v>10892</v>
      </c>
      <c r="C4538" s="34" t="s">
        <v>77</v>
      </c>
      <c r="E4538" s="30" t="s">
        <v>10893</v>
      </c>
      <c r="F4538" s="34" t="n">
        <f aca="false">IFERROR(VLOOKUP($A4538,'319'!$B:$H,7,0),0)</f>
        <v>0</v>
      </c>
      <c r="G4538" s="34" t="n">
        <f aca="false">SUMIFS('12.326ana'!$C:$C,'12.326ana'!$M:$M,redes!A4538)</f>
        <v>0</v>
      </c>
    </row>
    <row r="4539" customFormat="false" ht="14.4" hidden="true" customHeight="false" outlineLevel="0" collapsed="false">
      <c r="A4539" s="34" t="n">
        <v>82737959187</v>
      </c>
      <c r="B4539" s="34" t="s">
        <v>10894</v>
      </c>
      <c r="C4539" s="34" t="s">
        <v>594</v>
      </c>
      <c r="E4539" s="30" t="s">
        <v>6310</v>
      </c>
      <c r="F4539" s="34" t="n">
        <f aca="false">IFERROR(VLOOKUP($A4539,'319'!$B:$H,7,0),0)</f>
        <v>0</v>
      </c>
      <c r="G4539" s="34" t="n">
        <f aca="false">SUMIFS('12.326ana'!$C:$C,'12.326ana'!$M:$M,redes!A4539)</f>
        <v>0</v>
      </c>
    </row>
    <row r="4540" customFormat="false" ht="14.4" hidden="true" customHeight="false" outlineLevel="0" collapsed="false">
      <c r="A4540" s="34" t="n">
        <v>82751510159</v>
      </c>
      <c r="B4540" s="34" t="s">
        <v>10895</v>
      </c>
      <c r="C4540" s="34" t="s">
        <v>77</v>
      </c>
      <c r="E4540" s="30" t="s">
        <v>10896</v>
      </c>
      <c r="F4540" s="34" t="n">
        <f aca="false">IFERROR(VLOOKUP($A4540,'319'!$B:$H,7,0),0)</f>
        <v>0</v>
      </c>
      <c r="G4540" s="34" t="n">
        <f aca="false">SUMIFS('12.326ana'!$C:$C,'12.326ana'!$M:$M,redes!A4540)</f>
        <v>0</v>
      </c>
    </row>
    <row r="4541" customFormat="false" ht="14.4" hidden="true" customHeight="false" outlineLevel="0" collapsed="false">
      <c r="A4541" s="34" t="n">
        <v>82842019172</v>
      </c>
      <c r="B4541" s="34" t="s">
        <v>10897</v>
      </c>
      <c r="C4541" s="34" t="s">
        <v>77</v>
      </c>
      <c r="E4541" s="30" t="s">
        <v>10898</v>
      </c>
      <c r="F4541" s="34" t="n">
        <f aca="false">IFERROR(VLOOKUP($A4541,'319'!$B:$H,7,0),0)</f>
        <v>0</v>
      </c>
      <c r="G4541" s="34" t="n">
        <f aca="false">SUMIFS('12.326ana'!$C:$C,'12.326ana'!$M:$M,redes!A4541)</f>
        <v>0</v>
      </c>
    </row>
    <row r="4542" customFormat="false" ht="14.4" hidden="true" customHeight="false" outlineLevel="0" collapsed="false">
      <c r="A4542" s="34" t="n">
        <v>82844984134</v>
      </c>
      <c r="B4542" s="34" t="s">
        <v>10899</v>
      </c>
      <c r="C4542" s="34" t="s">
        <v>77</v>
      </c>
      <c r="E4542" s="30" t="s">
        <v>10900</v>
      </c>
      <c r="F4542" s="34" t="n">
        <f aca="false">IFERROR(VLOOKUP($A4542,'319'!$B:$H,7,0),0)</f>
        <v>0</v>
      </c>
      <c r="G4542" s="34" t="n">
        <f aca="false">SUMIFS('12.326ana'!$C:$C,'12.326ana'!$M:$M,redes!A4542)</f>
        <v>0</v>
      </c>
    </row>
    <row r="4543" customFormat="false" ht="14.4" hidden="true" customHeight="false" outlineLevel="0" collapsed="false">
      <c r="A4543" s="34" t="n">
        <v>82897247991</v>
      </c>
      <c r="B4543" s="34" t="s">
        <v>10901</v>
      </c>
      <c r="C4543" s="34" t="s">
        <v>1591</v>
      </c>
      <c r="E4543" s="30" t="s">
        <v>6537</v>
      </c>
      <c r="F4543" s="34" t="n">
        <f aca="false">IFERROR(VLOOKUP($A4543,'319'!$B:$H,7,0),0)</f>
        <v>0</v>
      </c>
      <c r="G4543" s="34" t="n">
        <f aca="false">SUMIFS('12.326ana'!$C:$C,'12.326ana'!$M:$M,redes!A4543)</f>
        <v>0</v>
      </c>
    </row>
    <row r="4544" customFormat="false" ht="14.4" hidden="true" customHeight="false" outlineLevel="0" collapsed="false">
      <c r="A4544" s="34" t="n">
        <v>82990468820</v>
      </c>
      <c r="B4544" s="34" t="s">
        <v>10902</v>
      </c>
      <c r="C4544" s="34" t="s">
        <v>342</v>
      </c>
      <c r="E4544" s="30" t="s">
        <v>10903</v>
      </c>
      <c r="F4544" s="34" t="n">
        <f aca="false">IFERROR(VLOOKUP($A4544,'319'!$B:$H,7,0),0)</f>
        <v>0</v>
      </c>
      <c r="G4544" s="34" t="n">
        <f aca="false">SUMIFS('12.326ana'!$C:$C,'12.326ana'!$M:$M,redes!A4544)</f>
        <v>0</v>
      </c>
    </row>
    <row r="4545" customFormat="false" ht="14.4" hidden="true" customHeight="false" outlineLevel="0" collapsed="false">
      <c r="A4545" s="34" t="n">
        <v>82995230104</v>
      </c>
      <c r="B4545" s="34" t="s">
        <v>10904</v>
      </c>
      <c r="C4545" s="34" t="s">
        <v>77</v>
      </c>
      <c r="E4545" s="30"/>
      <c r="F4545" s="34" t="n">
        <f aca="false">IFERROR(VLOOKUP($A4545,'319'!$B:$H,7,0),0)</f>
        <v>0</v>
      </c>
      <c r="G4545" s="34" t="n">
        <f aca="false">SUMIFS('12.326ana'!$C:$C,'12.326ana'!$M:$M,redes!A4545)</f>
        <v>0</v>
      </c>
    </row>
    <row r="4546" customFormat="false" ht="14.4" hidden="true" customHeight="false" outlineLevel="0" collapsed="false">
      <c r="A4546" s="34" t="n">
        <v>83031138104</v>
      </c>
      <c r="B4546" s="34" t="s">
        <v>10905</v>
      </c>
      <c r="C4546" s="34" t="s">
        <v>336</v>
      </c>
      <c r="E4546" s="30" t="s">
        <v>10906</v>
      </c>
      <c r="F4546" s="34" t="n">
        <f aca="false">IFERROR(VLOOKUP($A4546,'319'!$B:$H,7,0),0)</f>
        <v>0</v>
      </c>
      <c r="G4546" s="34" t="n">
        <f aca="false">SUMIFS('12.326ana'!$C:$C,'12.326ana'!$M:$M,redes!A4546)</f>
        <v>0</v>
      </c>
    </row>
    <row r="4547" customFormat="false" ht="14.4" hidden="true" customHeight="false" outlineLevel="0" collapsed="false">
      <c r="A4547" s="34" t="n">
        <v>83039147153</v>
      </c>
      <c r="B4547" s="34" t="s">
        <v>10907</v>
      </c>
      <c r="C4547" s="34" t="s">
        <v>77</v>
      </c>
      <c r="E4547" s="30"/>
      <c r="F4547" s="34" t="n">
        <f aca="false">IFERROR(VLOOKUP($A4547,'319'!$B:$H,7,0),0)</f>
        <v>0</v>
      </c>
      <c r="G4547" s="34" t="n">
        <f aca="false">SUMIFS('12.326ana'!$C:$C,'12.326ana'!$M:$M,redes!A4547)</f>
        <v>0</v>
      </c>
    </row>
    <row r="4548" customFormat="false" ht="14.4" hidden="true" customHeight="false" outlineLevel="0" collapsed="false">
      <c r="A4548" s="34" t="n">
        <v>83044043115</v>
      </c>
      <c r="B4548" s="34" t="s">
        <v>10908</v>
      </c>
      <c r="C4548" s="34" t="s">
        <v>935</v>
      </c>
      <c r="E4548" s="30" t="s">
        <v>9914</v>
      </c>
      <c r="F4548" s="34" t="n">
        <f aca="false">IFERROR(VLOOKUP($A4548,'319'!$B:$H,7,0),0)</f>
        <v>0</v>
      </c>
      <c r="G4548" s="34" t="n">
        <f aca="false">SUMIFS('12.326ana'!$C:$C,'12.326ana'!$M:$M,redes!A4548)</f>
        <v>0</v>
      </c>
    </row>
    <row r="4549" customFormat="false" ht="14.4" hidden="true" customHeight="false" outlineLevel="0" collapsed="false">
      <c r="A4549" s="34" t="n">
        <v>83083448104</v>
      </c>
      <c r="B4549" s="34" t="s">
        <v>10909</v>
      </c>
      <c r="C4549" s="34" t="s">
        <v>309</v>
      </c>
      <c r="E4549" s="30" t="s">
        <v>10910</v>
      </c>
      <c r="F4549" s="34" t="n">
        <f aca="false">IFERROR(VLOOKUP($A4549,'319'!$B:$H,7,0),0)</f>
        <v>0</v>
      </c>
      <c r="G4549" s="34" t="n">
        <f aca="false">SUMIFS('12.326ana'!$C:$C,'12.326ana'!$M:$M,redes!A4549)</f>
        <v>0</v>
      </c>
    </row>
    <row r="4550" customFormat="false" ht="14.4" hidden="true" customHeight="false" outlineLevel="0" collapsed="false">
      <c r="A4550" s="34" t="n">
        <v>83084711100</v>
      </c>
      <c r="B4550" s="34" t="s">
        <v>10911</v>
      </c>
      <c r="C4550" s="34" t="s">
        <v>848</v>
      </c>
      <c r="E4550" s="30" t="s">
        <v>10912</v>
      </c>
      <c r="F4550" s="34" t="n">
        <f aca="false">IFERROR(VLOOKUP($A4550,'319'!$B:$H,7,0),0)</f>
        <v>0</v>
      </c>
      <c r="G4550" s="34" t="n">
        <f aca="false">SUMIFS('12.326ana'!$C:$C,'12.326ana'!$M:$M,redes!A4550)</f>
        <v>0</v>
      </c>
    </row>
    <row r="4551" customFormat="false" ht="14.4" hidden="true" customHeight="false" outlineLevel="0" collapsed="false">
      <c r="A4551" s="34" t="n">
        <v>83117733191</v>
      </c>
      <c r="B4551" s="34" t="s">
        <v>10913</v>
      </c>
      <c r="C4551" s="34" t="s">
        <v>357</v>
      </c>
      <c r="E4551" s="30" t="s">
        <v>10914</v>
      </c>
      <c r="F4551" s="34" t="n">
        <f aca="false">IFERROR(VLOOKUP($A4551,'319'!$B:$H,7,0),0)</f>
        <v>0</v>
      </c>
      <c r="G4551" s="34" t="n">
        <f aca="false">SUMIFS('12.326ana'!$C:$C,'12.326ana'!$M:$M,redes!A4551)</f>
        <v>0</v>
      </c>
    </row>
    <row r="4552" customFormat="false" ht="14.4" hidden="true" customHeight="false" outlineLevel="0" collapsed="false">
      <c r="A4552" s="34" t="n">
        <v>83190309191</v>
      </c>
      <c r="B4552" s="34" t="s">
        <v>10915</v>
      </c>
      <c r="C4552" s="34" t="s">
        <v>77</v>
      </c>
      <c r="E4552" s="30" t="s">
        <v>10916</v>
      </c>
      <c r="F4552" s="34" t="n">
        <f aca="false">IFERROR(VLOOKUP($A4552,'319'!$B:$H,7,0),0)</f>
        <v>0</v>
      </c>
      <c r="G4552" s="34" t="n">
        <f aca="false">SUMIFS('12.326ana'!$C:$C,'12.326ana'!$M:$M,redes!A4552)</f>
        <v>0</v>
      </c>
    </row>
    <row r="4553" customFormat="false" ht="14.4" hidden="true" customHeight="false" outlineLevel="0" collapsed="false">
      <c r="A4553" s="34" t="n">
        <v>83194665120</v>
      </c>
      <c r="B4553" s="34" t="s">
        <v>10917</v>
      </c>
      <c r="C4553" s="34" t="s">
        <v>77</v>
      </c>
      <c r="E4553" s="30" t="s">
        <v>10918</v>
      </c>
      <c r="F4553" s="34" t="n">
        <f aca="false">IFERROR(VLOOKUP($A4553,'319'!$B:$H,7,0),0)</f>
        <v>0</v>
      </c>
      <c r="G4553" s="34" t="n">
        <f aca="false">SUMIFS('12.326ana'!$C:$C,'12.326ana'!$M:$M,redes!A4553)</f>
        <v>0</v>
      </c>
    </row>
    <row r="4554" customFormat="false" ht="14.4" hidden="true" customHeight="false" outlineLevel="0" collapsed="false">
      <c r="A4554" s="34" t="n">
        <v>83197354915</v>
      </c>
      <c r="B4554" s="34" t="s">
        <v>10919</v>
      </c>
      <c r="C4554" s="34" t="s">
        <v>631</v>
      </c>
      <c r="E4554" s="30" t="s">
        <v>10920</v>
      </c>
      <c r="F4554" s="34" t="n">
        <f aca="false">IFERROR(VLOOKUP($A4554,'319'!$B:$H,7,0),0)</f>
        <v>0</v>
      </c>
      <c r="G4554" s="34" t="n">
        <f aca="false">SUMIFS('12.326ana'!$C:$C,'12.326ana'!$M:$M,redes!A4554)</f>
        <v>0</v>
      </c>
    </row>
    <row r="4555" customFormat="false" ht="14.4" hidden="true" customHeight="false" outlineLevel="0" collapsed="false">
      <c r="A4555" s="34" t="n">
        <v>83202706187</v>
      </c>
      <c r="B4555" s="34" t="s">
        <v>10921</v>
      </c>
      <c r="C4555" s="34" t="s">
        <v>1054</v>
      </c>
      <c r="E4555" s="30" t="s">
        <v>10922</v>
      </c>
      <c r="F4555" s="34" t="n">
        <f aca="false">IFERROR(VLOOKUP($A4555,'319'!$B:$H,7,0),0)</f>
        <v>0</v>
      </c>
      <c r="G4555" s="34" t="n">
        <f aca="false">SUMIFS('12.326ana'!$C:$C,'12.326ana'!$M:$M,redes!A4555)</f>
        <v>0</v>
      </c>
    </row>
    <row r="4556" customFormat="false" ht="14.4" hidden="true" customHeight="false" outlineLevel="0" collapsed="false">
      <c r="A4556" s="34" t="n">
        <v>83205950100</v>
      </c>
      <c r="B4556" s="34" t="s">
        <v>10923</v>
      </c>
      <c r="C4556" s="34" t="s">
        <v>77</v>
      </c>
      <c r="E4556" s="30" t="s">
        <v>10924</v>
      </c>
      <c r="F4556" s="34" t="n">
        <f aca="false">IFERROR(VLOOKUP($A4556,'319'!$B:$H,7,0),0)</f>
        <v>0</v>
      </c>
      <c r="G4556" s="34" t="n">
        <f aca="false">SUMIFS('12.326ana'!$C:$C,'12.326ana'!$M:$M,redes!A4556)</f>
        <v>0</v>
      </c>
    </row>
    <row r="4557" customFormat="false" ht="14.4" hidden="true" customHeight="false" outlineLevel="0" collapsed="false">
      <c r="A4557" s="34" t="n">
        <v>83217932153</v>
      </c>
      <c r="B4557" s="34" t="s">
        <v>10925</v>
      </c>
      <c r="C4557" s="34" t="s">
        <v>103</v>
      </c>
      <c r="E4557" s="30" t="s">
        <v>10926</v>
      </c>
      <c r="F4557" s="34" t="n">
        <f aca="false">IFERROR(VLOOKUP($A4557,'319'!$B:$H,7,0),0)</f>
        <v>0</v>
      </c>
      <c r="G4557" s="34" t="n">
        <f aca="false">SUMIFS('12.326ana'!$C:$C,'12.326ana'!$M:$M,redes!A4557)</f>
        <v>0</v>
      </c>
    </row>
    <row r="4558" customFormat="false" ht="14.4" hidden="true" customHeight="false" outlineLevel="0" collapsed="false">
      <c r="A4558" s="34" t="n">
        <v>83232230172</v>
      </c>
      <c r="B4558" s="34" t="s">
        <v>10927</v>
      </c>
      <c r="C4558" s="34" t="s">
        <v>77</v>
      </c>
      <c r="E4558" s="30" t="s">
        <v>10928</v>
      </c>
      <c r="F4558" s="34" t="n">
        <f aca="false">IFERROR(VLOOKUP($A4558,'319'!$B:$H,7,0),0)</f>
        <v>0</v>
      </c>
      <c r="G4558" s="34" t="n">
        <f aca="false">SUMIFS('12.326ana'!$C:$C,'12.326ana'!$M:$M,redes!A4558)</f>
        <v>0</v>
      </c>
    </row>
    <row r="4559" customFormat="false" ht="14.4" hidden="true" customHeight="false" outlineLevel="0" collapsed="false">
      <c r="A4559" s="34" t="n">
        <v>83245766149</v>
      </c>
      <c r="B4559" s="34" t="s">
        <v>10929</v>
      </c>
      <c r="C4559" s="34" t="s">
        <v>478</v>
      </c>
      <c r="E4559" s="30" t="s">
        <v>10930</v>
      </c>
      <c r="F4559" s="34" t="n">
        <f aca="false">IFERROR(VLOOKUP($A4559,'319'!$B:$H,7,0),0)</f>
        <v>0</v>
      </c>
      <c r="G4559" s="34" t="n">
        <f aca="false">SUMIFS('12.326ana'!$C:$C,'12.326ana'!$M:$M,redes!A4559)</f>
        <v>0</v>
      </c>
    </row>
    <row r="4560" customFormat="false" ht="14.4" hidden="true" customHeight="false" outlineLevel="0" collapsed="false">
      <c r="A4560" s="34" t="n">
        <v>83254048172</v>
      </c>
      <c r="B4560" s="34" t="s">
        <v>10931</v>
      </c>
      <c r="C4560" s="34" t="s">
        <v>77</v>
      </c>
      <c r="E4560" s="30" t="s">
        <v>10932</v>
      </c>
      <c r="F4560" s="34" t="n">
        <f aca="false">IFERROR(VLOOKUP($A4560,'319'!$B:$H,7,0),0)</f>
        <v>0</v>
      </c>
      <c r="G4560" s="34" t="n">
        <f aca="false">SUMIFS('12.326ana'!$C:$C,'12.326ana'!$M:$M,redes!A4560)</f>
        <v>0</v>
      </c>
    </row>
    <row r="4561" customFormat="false" ht="14.4" hidden="true" customHeight="false" outlineLevel="0" collapsed="false">
      <c r="A4561" s="34" t="n">
        <v>83310410110</v>
      </c>
      <c r="B4561" s="34" t="s">
        <v>10933</v>
      </c>
      <c r="C4561" s="34" t="s">
        <v>154</v>
      </c>
      <c r="E4561" s="30" t="s">
        <v>10934</v>
      </c>
      <c r="F4561" s="34" t="n">
        <f aca="false">IFERROR(VLOOKUP($A4561,'319'!$B:$H,7,0),0)</f>
        <v>0</v>
      </c>
      <c r="G4561" s="34" t="n">
        <f aca="false">SUMIFS('12.326ana'!$C:$C,'12.326ana'!$M:$M,redes!A4561)</f>
        <v>0</v>
      </c>
    </row>
    <row r="4562" customFormat="false" ht="14.4" hidden="true" customHeight="false" outlineLevel="0" collapsed="false">
      <c r="A4562" s="34" t="n">
        <v>83327533172</v>
      </c>
      <c r="B4562" s="34" t="s">
        <v>10935</v>
      </c>
      <c r="C4562" s="34" t="s">
        <v>89</v>
      </c>
      <c r="E4562" s="30" t="s">
        <v>10936</v>
      </c>
      <c r="F4562" s="34" t="n">
        <f aca="false">IFERROR(VLOOKUP($A4562,'319'!$B:$H,7,0),0)</f>
        <v>0</v>
      </c>
      <c r="G4562" s="34" t="n">
        <f aca="false">SUMIFS('12.326ana'!$C:$C,'12.326ana'!$M:$M,redes!A4562)</f>
        <v>0</v>
      </c>
    </row>
    <row r="4563" customFormat="false" ht="14.4" hidden="true" customHeight="false" outlineLevel="0" collapsed="false">
      <c r="A4563" s="34" t="n">
        <v>83351671172</v>
      </c>
      <c r="B4563" s="34" t="s">
        <v>10937</v>
      </c>
      <c r="C4563" s="34" t="s">
        <v>107</v>
      </c>
      <c r="E4563" s="30" t="s">
        <v>10938</v>
      </c>
      <c r="F4563" s="34" t="n">
        <f aca="false">IFERROR(VLOOKUP($A4563,'319'!$B:$H,7,0),0)</f>
        <v>0</v>
      </c>
      <c r="G4563" s="34" t="n">
        <f aca="false">SUMIFS('12.326ana'!$C:$C,'12.326ana'!$M:$M,redes!A4563)</f>
        <v>0</v>
      </c>
    </row>
    <row r="4564" customFormat="false" ht="14.4" hidden="true" customHeight="false" outlineLevel="0" collapsed="false">
      <c r="A4564" s="34" t="n">
        <v>83375058187</v>
      </c>
      <c r="B4564" s="34" t="s">
        <v>10939</v>
      </c>
      <c r="C4564" s="34" t="s">
        <v>781</v>
      </c>
      <c r="E4564" s="30" t="s">
        <v>10940</v>
      </c>
      <c r="F4564" s="34" t="n">
        <f aca="false">IFERROR(VLOOKUP($A4564,'319'!$B:$H,7,0),0)</f>
        <v>0</v>
      </c>
      <c r="G4564" s="34" t="n">
        <f aca="false">SUMIFS('12.326ana'!$C:$C,'12.326ana'!$M:$M,redes!A4564)</f>
        <v>0</v>
      </c>
    </row>
    <row r="4565" customFormat="false" ht="14.4" hidden="true" customHeight="false" outlineLevel="0" collapsed="false">
      <c r="A4565" s="34" t="n">
        <v>83375180144</v>
      </c>
      <c r="B4565" s="34" t="s">
        <v>10941</v>
      </c>
      <c r="C4565" s="34" t="s">
        <v>463</v>
      </c>
      <c r="E4565" s="30" t="s">
        <v>10941</v>
      </c>
      <c r="F4565" s="34" t="n">
        <f aca="false">IFERROR(VLOOKUP($A4565,'319'!$B:$H,7,0),0)</f>
        <v>0</v>
      </c>
      <c r="G4565" s="34" t="n">
        <f aca="false">SUMIFS('12.326ana'!$C:$C,'12.326ana'!$M:$M,redes!A4565)</f>
        <v>0</v>
      </c>
    </row>
    <row r="4566" customFormat="false" ht="14.4" hidden="true" customHeight="false" outlineLevel="0" collapsed="false">
      <c r="A4566" s="34" t="n">
        <v>83398627153</v>
      </c>
      <c r="B4566" s="34" t="s">
        <v>10942</v>
      </c>
      <c r="C4566" s="34" t="s">
        <v>4462</v>
      </c>
      <c r="E4566" s="30" t="s">
        <v>10943</v>
      </c>
      <c r="F4566" s="34" t="n">
        <f aca="false">IFERROR(VLOOKUP($A4566,'319'!$B:$H,7,0),0)</f>
        <v>0</v>
      </c>
      <c r="G4566" s="34" t="n">
        <f aca="false">SUMIFS('12.326ana'!$C:$C,'12.326ana'!$M:$M,redes!A4566)</f>
        <v>0</v>
      </c>
    </row>
    <row r="4567" customFormat="false" ht="14.4" hidden="true" customHeight="false" outlineLevel="0" collapsed="false">
      <c r="A4567" s="34" t="n">
        <v>83422862900</v>
      </c>
      <c r="B4567" s="34" t="s">
        <v>10944</v>
      </c>
      <c r="C4567" s="34" t="s">
        <v>463</v>
      </c>
      <c r="E4567" s="30" t="s">
        <v>6698</v>
      </c>
      <c r="F4567" s="34" t="n">
        <f aca="false">IFERROR(VLOOKUP($A4567,'319'!$B:$H,7,0),0)</f>
        <v>0</v>
      </c>
      <c r="G4567" s="34" t="n">
        <f aca="false">SUMIFS('12.326ana'!$C:$C,'12.326ana'!$M:$M,redes!A4567)</f>
        <v>0</v>
      </c>
    </row>
    <row r="4568" customFormat="false" ht="14.4" hidden="true" customHeight="false" outlineLevel="0" collapsed="false">
      <c r="A4568" s="34" t="n">
        <v>83438521172</v>
      </c>
      <c r="B4568" s="34" t="s">
        <v>10945</v>
      </c>
      <c r="C4568" s="34" t="s">
        <v>77</v>
      </c>
      <c r="E4568" s="30" t="s">
        <v>10946</v>
      </c>
      <c r="F4568" s="34" t="n">
        <f aca="false">IFERROR(VLOOKUP($A4568,'319'!$B:$H,7,0),0)</f>
        <v>0</v>
      </c>
      <c r="G4568" s="34" t="n">
        <f aca="false">SUMIFS('12.326ana'!$C:$C,'12.326ana'!$M:$M,redes!A4568)</f>
        <v>0</v>
      </c>
    </row>
    <row r="4569" customFormat="false" ht="14.4" hidden="true" customHeight="false" outlineLevel="0" collapsed="false">
      <c r="A4569" s="34" t="n">
        <v>83456090153</v>
      </c>
      <c r="B4569" s="34" t="s">
        <v>10947</v>
      </c>
      <c r="C4569" s="34" t="s">
        <v>342</v>
      </c>
      <c r="E4569" s="30" t="s">
        <v>10948</v>
      </c>
      <c r="F4569" s="34" t="n">
        <f aca="false">IFERROR(VLOOKUP($A4569,'319'!$B:$H,7,0),0)</f>
        <v>0</v>
      </c>
      <c r="G4569" s="34" t="n">
        <f aca="false">SUMIFS('12.326ana'!$C:$C,'12.326ana'!$M:$M,redes!A4569)</f>
        <v>0</v>
      </c>
    </row>
    <row r="4570" customFormat="false" ht="14.4" hidden="true" customHeight="false" outlineLevel="0" collapsed="false">
      <c r="A4570" s="34" t="n">
        <v>83478221153</v>
      </c>
      <c r="B4570" s="34" t="s">
        <v>10949</v>
      </c>
      <c r="C4570" s="34" t="s">
        <v>77</v>
      </c>
      <c r="E4570" s="30"/>
      <c r="F4570" s="34" t="n">
        <f aca="false">IFERROR(VLOOKUP($A4570,'319'!$B:$H,7,0),0)</f>
        <v>0</v>
      </c>
      <c r="G4570" s="34" t="n">
        <f aca="false">SUMIFS('12.326ana'!$C:$C,'12.326ana'!$M:$M,redes!A4570)</f>
        <v>0</v>
      </c>
    </row>
    <row r="4571" customFormat="false" ht="14.4" hidden="true" customHeight="false" outlineLevel="0" collapsed="false">
      <c r="A4571" s="34" t="n">
        <v>83479473172</v>
      </c>
      <c r="B4571" s="34" t="s">
        <v>10950</v>
      </c>
      <c r="C4571" s="34" t="s">
        <v>89</v>
      </c>
      <c r="E4571" s="30" t="s">
        <v>10951</v>
      </c>
      <c r="F4571" s="34" t="n">
        <f aca="false">IFERROR(VLOOKUP($A4571,'319'!$B:$H,7,0),0)</f>
        <v>0</v>
      </c>
      <c r="G4571" s="34" t="n">
        <f aca="false">SUMIFS('12.326ana'!$C:$C,'12.326ana'!$M:$M,redes!A4571)</f>
        <v>0</v>
      </c>
    </row>
    <row r="4572" customFormat="false" ht="14.4" hidden="true" customHeight="false" outlineLevel="0" collapsed="false">
      <c r="A4572" s="34" t="n">
        <v>83521771172</v>
      </c>
      <c r="B4572" s="34" t="s">
        <v>10952</v>
      </c>
      <c r="C4572" s="34" t="s">
        <v>77</v>
      </c>
      <c r="E4572" s="30" t="s">
        <v>3001</v>
      </c>
      <c r="F4572" s="34" t="n">
        <f aca="false">IFERROR(VLOOKUP($A4572,'319'!$B:$H,7,0),0)</f>
        <v>0</v>
      </c>
      <c r="G4572" s="34" t="n">
        <f aca="false">SUMIFS('12.326ana'!$C:$C,'12.326ana'!$M:$M,redes!A4572)</f>
        <v>0</v>
      </c>
    </row>
    <row r="4573" customFormat="false" ht="14.4" hidden="true" customHeight="false" outlineLevel="0" collapsed="false">
      <c r="A4573" s="34" t="n">
        <v>83525050178</v>
      </c>
      <c r="B4573" s="34" t="s">
        <v>10953</v>
      </c>
      <c r="C4573" s="34" t="s">
        <v>464</v>
      </c>
      <c r="E4573" s="30" t="s">
        <v>3446</v>
      </c>
      <c r="F4573" s="34" t="n">
        <f aca="false">IFERROR(VLOOKUP($A4573,'319'!$B:$H,7,0),0)</f>
        <v>0</v>
      </c>
      <c r="G4573" s="34" t="n">
        <f aca="false">SUMIFS('12.326ana'!$C:$C,'12.326ana'!$M:$M,redes!A4573)</f>
        <v>0</v>
      </c>
    </row>
    <row r="4574" customFormat="false" ht="14.4" hidden="true" customHeight="false" outlineLevel="0" collapsed="false">
      <c r="A4574" s="34" t="n">
        <v>83526102104</v>
      </c>
      <c r="B4574" s="34" t="s">
        <v>10954</v>
      </c>
      <c r="C4574" s="34" t="s">
        <v>77</v>
      </c>
      <c r="E4574" s="30" t="s">
        <v>10955</v>
      </c>
      <c r="F4574" s="34" t="n">
        <f aca="false">IFERROR(VLOOKUP($A4574,'319'!$B:$H,7,0),0)</f>
        <v>0</v>
      </c>
      <c r="G4574" s="34" t="n">
        <f aca="false">SUMIFS('12.326ana'!$C:$C,'12.326ana'!$M:$M,redes!A4574)</f>
        <v>0</v>
      </c>
    </row>
    <row r="4575" customFormat="false" ht="14.4" hidden="true" customHeight="false" outlineLevel="0" collapsed="false">
      <c r="A4575" s="34" t="n">
        <v>83541748168</v>
      </c>
      <c r="B4575" s="34" t="s">
        <v>10956</v>
      </c>
      <c r="C4575" s="34" t="s">
        <v>103</v>
      </c>
      <c r="E4575" s="30" t="s">
        <v>10957</v>
      </c>
      <c r="F4575" s="34" t="n">
        <f aca="false">IFERROR(VLOOKUP($A4575,'319'!$B:$H,7,0),0)</f>
        <v>0</v>
      </c>
      <c r="G4575" s="34" t="n">
        <f aca="false">SUMIFS('12.326ana'!$C:$C,'12.326ana'!$M:$M,redes!A4575)</f>
        <v>0</v>
      </c>
    </row>
    <row r="4576" customFormat="false" ht="14.4" hidden="true" customHeight="false" outlineLevel="0" collapsed="false">
      <c r="A4576" s="34" t="n">
        <v>83546251172</v>
      </c>
      <c r="B4576" s="34" t="s">
        <v>10958</v>
      </c>
      <c r="C4576" s="34" t="s">
        <v>7250</v>
      </c>
      <c r="E4576" s="30" t="s">
        <v>8235</v>
      </c>
      <c r="F4576" s="34" t="n">
        <f aca="false">IFERROR(VLOOKUP($A4576,'319'!$B:$H,7,0),0)</f>
        <v>0</v>
      </c>
      <c r="G4576" s="34" t="n">
        <f aca="false">SUMIFS('12.326ana'!$C:$C,'12.326ana'!$M:$M,redes!A4576)</f>
        <v>0</v>
      </c>
    </row>
    <row r="4577" customFormat="false" ht="14.4" hidden="true" customHeight="false" outlineLevel="0" collapsed="false">
      <c r="A4577" s="34" t="n">
        <v>83591699187</v>
      </c>
      <c r="B4577" s="34" t="s">
        <v>10959</v>
      </c>
      <c r="C4577" s="34" t="s">
        <v>77</v>
      </c>
      <c r="E4577" s="30" t="s">
        <v>10960</v>
      </c>
      <c r="F4577" s="34" t="n">
        <f aca="false">IFERROR(VLOOKUP($A4577,'319'!$B:$H,7,0),0)</f>
        <v>0</v>
      </c>
      <c r="G4577" s="34" t="n">
        <f aca="false">SUMIFS('12.326ana'!$C:$C,'12.326ana'!$M:$M,redes!A4577)</f>
        <v>0</v>
      </c>
    </row>
    <row r="4578" customFormat="false" ht="14.4" hidden="true" customHeight="false" outlineLevel="0" collapsed="false">
      <c r="A4578" s="34" t="n">
        <v>83595902149</v>
      </c>
      <c r="B4578" s="34" t="s">
        <v>10961</v>
      </c>
      <c r="C4578" s="34" t="s">
        <v>77</v>
      </c>
      <c r="E4578" s="30" t="s">
        <v>10962</v>
      </c>
      <c r="F4578" s="34" t="n">
        <f aca="false">IFERROR(VLOOKUP($A4578,'319'!$B:$H,7,0),0)</f>
        <v>0</v>
      </c>
      <c r="G4578" s="34" t="n">
        <f aca="false">SUMIFS('12.326ana'!$C:$C,'12.326ana'!$M:$M,redes!A4578)</f>
        <v>0</v>
      </c>
    </row>
    <row r="4579" customFormat="false" ht="14.4" hidden="true" customHeight="false" outlineLevel="0" collapsed="false">
      <c r="A4579" s="34" t="n">
        <v>83599444153</v>
      </c>
      <c r="B4579" s="34" t="s">
        <v>10963</v>
      </c>
      <c r="C4579" s="34" t="s">
        <v>192</v>
      </c>
      <c r="E4579" s="30" t="s">
        <v>10964</v>
      </c>
      <c r="F4579" s="34" t="n">
        <f aca="false">IFERROR(VLOOKUP($A4579,'319'!$B:$H,7,0),0)</f>
        <v>0</v>
      </c>
      <c r="G4579" s="34" t="n">
        <f aca="false">SUMIFS('12.326ana'!$C:$C,'12.326ana'!$M:$M,redes!A4579)</f>
        <v>0</v>
      </c>
    </row>
    <row r="4580" customFormat="false" ht="14.4" hidden="true" customHeight="false" outlineLevel="0" collapsed="false">
      <c r="A4580" s="34" t="n">
        <v>83612513168</v>
      </c>
      <c r="B4580" s="34" t="s">
        <v>10965</v>
      </c>
      <c r="C4580" s="34" t="s">
        <v>77</v>
      </c>
      <c r="E4580" s="30" t="s">
        <v>10966</v>
      </c>
      <c r="F4580" s="34" t="n">
        <f aca="false">IFERROR(VLOOKUP($A4580,'319'!$B:$H,7,0),0)</f>
        <v>0</v>
      </c>
      <c r="G4580" s="34" t="n">
        <f aca="false">SUMIFS('12.326ana'!$C:$C,'12.326ana'!$M:$M,redes!A4580)</f>
        <v>0</v>
      </c>
    </row>
    <row r="4581" customFormat="false" ht="14.4" hidden="true" customHeight="false" outlineLevel="0" collapsed="false">
      <c r="A4581" s="34" t="n">
        <v>83615032187</v>
      </c>
      <c r="B4581" s="34" t="s">
        <v>10967</v>
      </c>
      <c r="C4581" s="34" t="s">
        <v>77</v>
      </c>
      <c r="E4581" s="30" t="s">
        <v>10968</v>
      </c>
      <c r="F4581" s="34" t="n">
        <f aca="false">IFERROR(VLOOKUP($A4581,'319'!$B:$H,7,0),0)</f>
        <v>0</v>
      </c>
      <c r="G4581" s="34" t="n">
        <f aca="false">SUMIFS('12.326ana'!$C:$C,'12.326ana'!$M:$M,redes!A4581)</f>
        <v>0</v>
      </c>
    </row>
    <row r="4582" customFormat="false" ht="14.4" hidden="true" customHeight="false" outlineLevel="0" collapsed="false">
      <c r="A4582" s="34" t="n">
        <v>83672575100</v>
      </c>
      <c r="B4582" s="34" t="s">
        <v>10969</v>
      </c>
      <c r="C4582" s="34" t="s">
        <v>77</v>
      </c>
      <c r="E4582" s="30" t="s">
        <v>10970</v>
      </c>
      <c r="F4582" s="34" t="n">
        <f aca="false">IFERROR(VLOOKUP($A4582,'319'!$B:$H,7,0),0)</f>
        <v>0</v>
      </c>
      <c r="G4582" s="34" t="n">
        <f aca="false">SUMIFS('12.326ana'!$C:$C,'12.326ana'!$M:$M,redes!A4582)</f>
        <v>0</v>
      </c>
    </row>
    <row r="4583" customFormat="false" ht="14.4" hidden="true" customHeight="false" outlineLevel="0" collapsed="false">
      <c r="A4583" s="34" t="n">
        <v>83692479972</v>
      </c>
      <c r="B4583" s="34" t="s">
        <v>10971</v>
      </c>
      <c r="C4583" s="34" t="s">
        <v>463</v>
      </c>
      <c r="E4583" s="30" t="s">
        <v>3333</v>
      </c>
      <c r="F4583" s="34" t="n">
        <f aca="false">IFERROR(VLOOKUP($A4583,'319'!$B:$H,7,0),0)</f>
        <v>0</v>
      </c>
      <c r="G4583" s="34" t="n">
        <f aca="false">SUMIFS('12.326ana'!$C:$C,'12.326ana'!$M:$M,redes!A4583)</f>
        <v>0</v>
      </c>
    </row>
    <row r="4584" customFormat="false" ht="14.4" hidden="true" customHeight="false" outlineLevel="0" collapsed="false">
      <c r="A4584" s="34" t="n">
        <v>83692533187</v>
      </c>
      <c r="B4584" s="34" t="s">
        <v>10972</v>
      </c>
      <c r="C4584" s="34" t="s">
        <v>77</v>
      </c>
      <c r="D4584" s="34" t="s">
        <v>3324</v>
      </c>
      <c r="E4584" s="30" t="s">
        <v>10973</v>
      </c>
      <c r="F4584" s="34" t="n">
        <f aca="false">IFERROR(VLOOKUP($A4584,'319'!$B:$H,7,0),0)</f>
        <v>0</v>
      </c>
      <c r="G4584" s="34" t="n">
        <f aca="false">SUMIFS('12.326ana'!$C:$C,'12.326ana'!$M:$M,redes!A4584)</f>
        <v>0</v>
      </c>
    </row>
    <row r="4585" customFormat="false" ht="14.4" hidden="true" customHeight="false" outlineLevel="0" collapsed="false">
      <c r="A4585" s="34" t="n">
        <v>83697730100</v>
      </c>
      <c r="B4585" s="34" t="s">
        <v>10974</v>
      </c>
      <c r="C4585" s="34" t="s">
        <v>192</v>
      </c>
      <c r="E4585" s="30" t="s">
        <v>10975</v>
      </c>
      <c r="F4585" s="34" t="n">
        <f aca="false">IFERROR(VLOOKUP($A4585,'319'!$B:$H,7,0),0)</f>
        <v>0</v>
      </c>
      <c r="G4585" s="34" t="n">
        <f aca="false">SUMIFS('12.326ana'!$C:$C,'12.326ana'!$M:$M,redes!A4585)</f>
        <v>0</v>
      </c>
    </row>
    <row r="4586" customFormat="false" ht="14.4" hidden="true" customHeight="false" outlineLevel="0" collapsed="false">
      <c r="A4586" s="34" t="n">
        <v>83698922134</v>
      </c>
      <c r="B4586" s="34" t="s">
        <v>10976</v>
      </c>
      <c r="C4586" s="34" t="s">
        <v>77</v>
      </c>
      <c r="E4586" s="30" t="s">
        <v>4731</v>
      </c>
      <c r="F4586" s="34" t="n">
        <f aca="false">IFERROR(VLOOKUP($A4586,'319'!$B:$H,7,0),0)</f>
        <v>0</v>
      </c>
      <c r="G4586" s="34" t="n">
        <f aca="false">SUMIFS('12.326ana'!$C:$C,'12.326ana'!$M:$M,redes!A4586)</f>
        <v>0</v>
      </c>
    </row>
    <row r="4587" customFormat="false" ht="14.4" hidden="true" customHeight="false" outlineLevel="0" collapsed="false">
      <c r="A4587" s="34" t="n">
        <v>83704663115</v>
      </c>
      <c r="B4587" s="34" t="s">
        <v>10977</v>
      </c>
      <c r="C4587" s="34" t="s">
        <v>77</v>
      </c>
      <c r="E4587" s="30" t="s">
        <v>10978</v>
      </c>
      <c r="F4587" s="34" t="n">
        <f aca="false">IFERROR(VLOOKUP($A4587,'319'!$B:$H,7,0),0)</f>
        <v>0</v>
      </c>
      <c r="G4587" s="34" t="n">
        <f aca="false">SUMIFS('12.326ana'!$C:$C,'12.326ana'!$M:$M,redes!A4587)</f>
        <v>0</v>
      </c>
    </row>
    <row r="4588" customFormat="false" ht="14.4" hidden="true" customHeight="false" outlineLevel="0" collapsed="false">
      <c r="A4588" s="34" t="n">
        <v>83727388153</v>
      </c>
      <c r="B4588" s="34" t="s">
        <v>10979</v>
      </c>
      <c r="C4588" s="34" t="s">
        <v>77</v>
      </c>
      <c r="E4588" s="30" t="s">
        <v>10980</v>
      </c>
      <c r="F4588" s="34" t="n">
        <f aca="false">IFERROR(VLOOKUP($A4588,'319'!$B:$H,7,0),0)</f>
        <v>0</v>
      </c>
      <c r="G4588" s="34" t="n">
        <f aca="false">SUMIFS('12.326ana'!$C:$C,'12.326ana'!$M:$M,redes!A4588)</f>
        <v>0</v>
      </c>
    </row>
    <row r="4589" customFormat="false" ht="14.4" hidden="true" customHeight="false" outlineLevel="0" collapsed="false">
      <c r="A4589" s="34" t="n">
        <v>83751408134</v>
      </c>
      <c r="B4589" s="34" t="s">
        <v>10981</v>
      </c>
      <c r="C4589" s="34" t="s">
        <v>77</v>
      </c>
      <c r="E4589" s="30" t="s">
        <v>10982</v>
      </c>
      <c r="F4589" s="34" t="n">
        <f aca="false">IFERROR(VLOOKUP($A4589,'319'!$B:$H,7,0),0)</f>
        <v>0</v>
      </c>
      <c r="G4589" s="34" t="n">
        <f aca="false">SUMIFS('12.326ana'!$C:$C,'12.326ana'!$M:$M,redes!A4589)</f>
        <v>0</v>
      </c>
    </row>
    <row r="4590" customFormat="false" ht="14.4" hidden="true" customHeight="false" outlineLevel="0" collapsed="false">
      <c r="A4590" s="34" t="n">
        <v>83756230163</v>
      </c>
      <c r="B4590" s="34" t="s">
        <v>10983</v>
      </c>
      <c r="C4590" s="34" t="s">
        <v>631</v>
      </c>
      <c r="E4590" s="30" t="s">
        <v>10984</v>
      </c>
      <c r="F4590" s="34" t="n">
        <f aca="false">IFERROR(VLOOKUP($A4590,'319'!$B:$H,7,0),0)</f>
        <v>0</v>
      </c>
      <c r="G4590" s="34" t="n">
        <f aca="false">SUMIFS('12.326ana'!$C:$C,'12.326ana'!$M:$M,redes!A4590)</f>
        <v>0</v>
      </c>
    </row>
    <row r="4591" customFormat="false" ht="14.4" hidden="true" customHeight="false" outlineLevel="0" collapsed="false">
      <c r="A4591" s="34" t="n">
        <v>83767819104</v>
      </c>
      <c r="B4591" s="34" t="s">
        <v>10985</v>
      </c>
      <c r="C4591" s="34" t="s">
        <v>77</v>
      </c>
      <c r="E4591" s="30" t="s">
        <v>10986</v>
      </c>
      <c r="F4591" s="34" t="n">
        <f aca="false">IFERROR(VLOOKUP($A4591,'319'!$B:$H,7,0),0)</f>
        <v>0</v>
      </c>
      <c r="G4591" s="34" t="n">
        <f aca="false">SUMIFS('12.326ana'!$C:$C,'12.326ana'!$M:$M,redes!A4591)</f>
        <v>0</v>
      </c>
    </row>
    <row r="4592" customFormat="false" ht="14.4" hidden="true" customHeight="false" outlineLevel="0" collapsed="false">
      <c r="A4592" s="34" t="n">
        <v>83805630182</v>
      </c>
      <c r="B4592" s="34" t="s">
        <v>10987</v>
      </c>
      <c r="C4592" s="34" t="s">
        <v>77</v>
      </c>
      <c r="E4592" s="30" t="s">
        <v>10988</v>
      </c>
      <c r="F4592" s="34" t="n">
        <f aca="false">IFERROR(VLOOKUP($A4592,'319'!$B:$H,7,0),0)</f>
        <v>0</v>
      </c>
      <c r="G4592" s="34" t="n">
        <f aca="false">SUMIFS('12.326ana'!$C:$C,'12.326ana'!$M:$M,redes!A4592)</f>
        <v>0</v>
      </c>
    </row>
    <row r="4593" customFormat="false" ht="14.4" hidden="true" customHeight="false" outlineLevel="0" collapsed="false">
      <c r="A4593" s="34" t="n">
        <v>83814101783</v>
      </c>
      <c r="B4593" s="34" t="s">
        <v>10989</v>
      </c>
      <c r="C4593" s="34" t="s">
        <v>89</v>
      </c>
      <c r="E4593" s="30" t="s">
        <v>10990</v>
      </c>
      <c r="F4593" s="34" t="n">
        <f aca="false">IFERROR(VLOOKUP($A4593,'319'!$B:$H,7,0),0)</f>
        <v>0</v>
      </c>
      <c r="G4593" s="34" t="n">
        <f aca="false">SUMIFS('12.326ana'!$C:$C,'12.326ana'!$M:$M,redes!A4593)</f>
        <v>0</v>
      </c>
    </row>
    <row r="4594" customFormat="false" ht="14.4" hidden="true" customHeight="false" outlineLevel="0" collapsed="false">
      <c r="A4594" s="34" t="n">
        <v>83833676191</v>
      </c>
      <c r="B4594" s="34" t="s">
        <v>10991</v>
      </c>
      <c r="C4594" s="34" t="s">
        <v>77</v>
      </c>
      <c r="E4594" s="30" t="s">
        <v>10992</v>
      </c>
      <c r="F4594" s="34" t="n">
        <f aca="false">IFERROR(VLOOKUP($A4594,'319'!$B:$H,7,0),0)</f>
        <v>0</v>
      </c>
      <c r="G4594" s="34" t="n">
        <f aca="false">SUMIFS('12.326ana'!$C:$C,'12.326ana'!$M:$M,redes!A4594)</f>
        <v>0</v>
      </c>
    </row>
    <row r="4595" customFormat="false" ht="14.4" hidden="true" customHeight="false" outlineLevel="0" collapsed="false">
      <c r="A4595" s="34" t="n">
        <v>83837418804</v>
      </c>
      <c r="B4595" s="34" t="s">
        <v>10993</v>
      </c>
      <c r="C4595" s="34" t="s">
        <v>77</v>
      </c>
      <c r="E4595" s="30" t="s">
        <v>10994</v>
      </c>
      <c r="F4595" s="34" t="n">
        <f aca="false">IFERROR(VLOOKUP($A4595,'319'!$B:$H,7,0),0)</f>
        <v>0</v>
      </c>
      <c r="G4595" s="34" t="n">
        <f aca="false">SUMIFS('12.326ana'!$C:$C,'12.326ana'!$M:$M,redes!A4595)</f>
        <v>0</v>
      </c>
    </row>
    <row r="4596" customFormat="false" ht="14.4" hidden="true" customHeight="false" outlineLevel="0" collapsed="false">
      <c r="A4596" s="34" t="n">
        <v>83838007115</v>
      </c>
      <c r="B4596" s="34" t="s">
        <v>10995</v>
      </c>
      <c r="C4596" s="34" t="s">
        <v>77</v>
      </c>
      <c r="E4596" s="30" t="s">
        <v>10996</v>
      </c>
      <c r="F4596" s="34" t="n">
        <f aca="false">IFERROR(VLOOKUP($A4596,'319'!$B:$H,7,0),0)</f>
        <v>0</v>
      </c>
      <c r="G4596" s="34" t="n">
        <f aca="false">SUMIFS('12.326ana'!$C:$C,'12.326ana'!$M:$M,redes!A4596)</f>
        <v>0</v>
      </c>
    </row>
    <row r="4597" customFormat="false" ht="14.4" hidden="true" customHeight="false" outlineLevel="0" collapsed="false">
      <c r="A4597" s="34" t="n">
        <v>83932151100</v>
      </c>
      <c r="B4597" s="34" t="s">
        <v>10997</v>
      </c>
      <c r="C4597" s="34" t="s">
        <v>107</v>
      </c>
      <c r="E4597" s="30" t="s">
        <v>10998</v>
      </c>
      <c r="F4597" s="34" t="n">
        <f aca="false">IFERROR(VLOOKUP($A4597,'319'!$B:$H,7,0),0)</f>
        <v>0</v>
      </c>
      <c r="G4597" s="34" t="n">
        <f aca="false">SUMIFS('12.326ana'!$C:$C,'12.326ana'!$M:$M,redes!A4597)</f>
        <v>0</v>
      </c>
    </row>
    <row r="4598" customFormat="false" ht="14.4" hidden="true" customHeight="false" outlineLevel="0" collapsed="false">
      <c r="A4598" s="34" t="n">
        <v>83980172953</v>
      </c>
      <c r="B4598" s="34" t="s">
        <v>10999</v>
      </c>
      <c r="C4598" s="34" t="s">
        <v>107</v>
      </c>
      <c r="E4598" s="30" t="s">
        <v>11000</v>
      </c>
      <c r="F4598" s="34" t="n">
        <f aca="false">IFERROR(VLOOKUP($A4598,'319'!$B:$H,7,0),0)</f>
        <v>0</v>
      </c>
      <c r="G4598" s="34" t="n">
        <f aca="false">SUMIFS('12.326ana'!$C:$C,'12.326ana'!$M:$M,redes!A4598)</f>
        <v>0</v>
      </c>
    </row>
    <row r="4599" customFormat="false" ht="14.4" hidden="true" customHeight="false" outlineLevel="0" collapsed="false">
      <c r="A4599" s="34" t="n">
        <v>84042036104</v>
      </c>
      <c r="B4599" s="34" t="s">
        <v>11001</v>
      </c>
      <c r="C4599" s="34" t="s">
        <v>594</v>
      </c>
      <c r="E4599" s="30" t="s">
        <v>11002</v>
      </c>
      <c r="F4599" s="34" t="n">
        <f aca="false">IFERROR(VLOOKUP($A4599,'319'!$B:$H,7,0),0)</f>
        <v>0</v>
      </c>
      <c r="G4599" s="34" t="n">
        <f aca="false">SUMIFS('12.326ana'!$C:$C,'12.326ana'!$M:$M,redes!A4599)</f>
        <v>0</v>
      </c>
    </row>
    <row r="4600" customFormat="false" ht="14.4" hidden="true" customHeight="false" outlineLevel="0" collapsed="false">
      <c r="A4600" s="34" t="n">
        <v>84047429104</v>
      </c>
      <c r="B4600" s="34" t="s">
        <v>11003</v>
      </c>
      <c r="C4600" s="34" t="s">
        <v>463</v>
      </c>
      <c r="E4600" s="30" t="s">
        <v>11004</v>
      </c>
      <c r="F4600" s="34" t="n">
        <f aca="false">IFERROR(VLOOKUP($A4600,'319'!$B:$H,7,0),0)</f>
        <v>0</v>
      </c>
      <c r="G4600" s="34" t="n">
        <f aca="false">SUMIFS('12.326ana'!$C:$C,'12.326ana'!$M:$M,redes!A4600)</f>
        <v>0</v>
      </c>
    </row>
    <row r="4601" customFormat="false" ht="14.4" hidden="true" customHeight="false" outlineLevel="0" collapsed="false">
      <c r="A4601" s="34" t="n">
        <v>84055669100</v>
      </c>
      <c r="B4601" s="34" t="s">
        <v>11005</v>
      </c>
      <c r="C4601" s="34" t="s">
        <v>77</v>
      </c>
      <c r="E4601" s="30" t="s">
        <v>5917</v>
      </c>
      <c r="F4601" s="34" t="n">
        <f aca="false">IFERROR(VLOOKUP($A4601,'319'!$B:$H,7,0),0)</f>
        <v>0</v>
      </c>
      <c r="G4601" s="34" t="n">
        <f aca="false">SUMIFS('12.326ana'!$C:$C,'12.326ana'!$M:$M,redes!A4601)</f>
        <v>0</v>
      </c>
    </row>
    <row r="4602" customFormat="false" ht="14.4" hidden="true" customHeight="false" outlineLevel="0" collapsed="false">
      <c r="A4602" s="34" t="n">
        <v>84071419172</v>
      </c>
      <c r="B4602" s="34" t="s">
        <v>11006</v>
      </c>
      <c r="C4602" s="34" t="s">
        <v>77</v>
      </c>
      <c r="E4602" s="30" t="s">
        <v>11007</v>
      </c>
      <c r="F4602" s="34" t="n">
        <f aca="false">IFERROR(VLOOKUP($A4602,'319'!$B:$H,7,0),0)</f>
        <v>0</v>
      </c>
      <c r="G4602" s="34" t="n">
        <f aca="false">SUMIFS('12.326ana'!$C:$C,'12.326ana'!$M:$M,redes!A4602)</f>
        <v>0</v>
      </c>
    </row>
    <row r="4603" customFormat="false" ht="14.4" hidden="true" customHeight="false" outlineLevel="0" collapsed="false">
      <c r="A4603" s="34" t="n">
        <v>84078081134</v>
      </c>
      <c r="B4603" s="34" t="s">
        <v>11008</v>
      </c>
      <c r="C4603" s="34" t="s">
        <v>478</v>
      </c>
      <c r="E4603" s="30" t="s">
        <v>10912</v>
      </c>
      <c r="F4603" s="34" t="n">
        <f aca="false">IFERROR(VLOOKUP($A4603,'319'!$B:$H,7,0),0)</f>
        <v>0</v>
      </c>
      <c r="G4603" s="34" t="n">
        <f aca="false">SUMIFS('12.326ana'!$C:$C,'12.326ana'!$M:$M,redes!A4603)</f>
        <v>0</v>
      </c>
    </row>
    <row r="4604" customFormat="false" ht="14.4" hidden="true" customHeight="false" outlineLevel="0" collapsed="false">
      <c r="A4604" s="34" t="n">
        <v>84081759120</v>
      </c>
      <c r="B4604" s="34" t="s">
        <v>11009</v>
      </c>
      <c r="C4604" s="34" t="s">
        <v>935</v>
      </c>
      <c r="E4604" s="30" t="s">
        <v>11010</v>
      </c>
      <c r="F4604" s="34" t="n">
        <f aca="false">IFERROR(VLOOKUP($A4604,'319'!$B:$H,7,0),0)</f>
        <v>0</v>
      </c>
      <c r="G4604" s="34" t="n">
        <f aca="false">SUMIFS('12.326ana'!$C:$C,'12.326ana'!$M:$M,redes!A4604)</f>
        <v>0</v>
      </c>
    </row>
    <row r="4605" customFormat="false" ht="14.4" hidden="true" customHeight="false" outlineLevel="0" collapsed="false">
      <c r="A4605" s="34" t="n">
        <v>84082658149</v>
      </c>
      <c r="B4605" s="34" t="s">
        <v>11011</v>
      </c>
      <c r="C4605" s="34" t="s">
        <v>77</v>
      </c>
      <c r="E4605" s="30" t="s">
        <v>11012</v>
      </c>
      <c r="F4605" s="34" t="n">
        <f aca="false">IFERROR(VLOOKUP($A4605,'319'!$B:$H,7,0),0)</f>
        <v>0</v>
      </c>
      <c r="G4605" s="34" t="n">
        <f aca="false">SUMIFS('12.326ana'!$C:$C,'12.326ana'!$M:$M,redes!A4605)</f>
        <v>0</v>
      </c>
    </row>
    <row r="4606" customFormat="false" ht="14.4" hidden="true" customHeight="false" outlineLevel="0" collapsed="false">
      <c r="A4606" s="34" t="n">
        <v>84089385849</v>
      </c>
      <c r="B4606" s="34" t="s">
        <v>11013</v>
      </c>
      <c r="C4606" s="34" t="s">
        <v>77</v>
      </c>
      <c r="E4606" s="30"/>
      <c r="F4606" s="34" t="n">
        <f aca="false">IFERROR(VLOOKUP($A4606,'319'!$B:$H,7,0),0)</f>
        <v>0</v>
      </c>
      <c r="G4606" s="34" t="n">
        <f aca="false">SUMIFS('12.326ana'!$C:$C,'12.326ana'!$M:$M,redes!A4606)</f>
        <v>0</v>
      </c>
    </row>
    <row r="4607" customFormat="false" ht="14.4" hidden="true" customHeight="false" outlineLevel="0" collapsed="false">
      <c r="A4607" s="34" t="n">
        <v>84090006104</v>
      </c>
      <c r="B4607" s="34" t="s">
        <v>11014</v>
      </c>
      <c r="C4607" s="34" t="s">
        <v>77</v>
      </c>
      <c r="E4607" s="30" t="s">
        <v>11015</v>
      </c>
      <c r="F4607" s="34" t="n">
        <f aca="false">IFERROR(VLOOKUP($A4607,'319'!$B:$H,7,0),0)</f>
        <v>0</v>
      </c>
      <c r="G4607" s="34" t="n">
        <f aca="false">SUMIFS('12.326ana'!$C:$C,'12.326ana'!$M:$M,redes!A4607)</f>
        <v>0</v>
      </c>
    </row>
    <row r="4608" customFormat="false" ht="14.4" hidden="true" customHeight="false" outlineLevel="0" collapsed="false">
      <c r="A4608" s="34" t="n">
        <v>84104910104</v>
      </c>
      <c r="B4608" s="34" t="s">
        <v>11016</v>
      </c>
      <c r="C4608" s="34" t="s">
        <v>781</v>
      </c>
      <c r="E4608" s="30" t="s">
        <v>11017</v>
      </c>
      <c r="F4608" s="34" t="n">
        <f aca="false">IFERROR(VLOOKUP($A4608,'319'!$B:$H,7,0),0)</f>
        <v>0</v>
      </c>
      <c r="G4608" s="34" t="n">
        <f aca="false">SUMIFS('12.326ana'!$C:$C,'12.326ana'!$M:$M,redes!A4608)</f>
        <v>0</v>
      </c>
    </row>
    <row r="4609" customFormat="false" ht="14.4" hidden="true" customHeight="false" outlineLevel="0" collapsed="false">
      <c r="A4609" s="34" t="n">
        <v>84126442120</v>
      </c>
      <c r="B4609" s="34" t="s">
        <v>11018</v>
      </c>
      <c r="C4609" s="34" t="s">
        <v>842</v>
      </c>
      <c r="E4609" s="30" t="s">
        <v>11019</v>
      </c>
      <c r="F4609" s="34" t="n">
        <f aca="false">IFERROR(VLOOKUP($A4609,'319'!$B:$H,7,0),0)</f>
        <v>0</v>
      </c>
      <c r="G4609" s="34" t="n">
        <f aca="false">SUMIFS('12.326ana'!$C:$C,'12.326ana'!$M:$M,redes!A4609)</f>
        <v>0</v>
      </c>
    </row>
    <row r="4610" customFormat="false" ht="14.4" hidden="true" customHeight="false" outlineLevel="0" collapsed="false">
      <c r="A4610" s="34" t="n">
        <v>84136936168</v>
      </c>
      <c r="B4610" s="34" t="s">
        <v>11020</v>
      </c>
      <c r="C4610" s="34" t="s">
        <v>478</v>
      </c>
      <c r="E4610" s="30" t="s">
        <v>11021</v>
      </c>
      <c r="F4610" s="34" t="n">
        <f aca="false">IFERROR(VLOOKUP($A4610,'319'!$B:$H,7,0),0)</f>
        <v>0</v>
      </c>
      <c r="G4610" s="34" t="n">
        <f aca="false">SUMIFS('12.326ana'!$C:$C,'12.326ana'!$M:$M,redes!A4610)</f>
        <v>0</v>
      </c>
    </row>
    <row r="4611" customFormat="false" ht="14.4" hidden="true" customHeight="false" outlineLevel="0" collapsed="false">
      <c r="A4611" s="34" t="n">
        <v>84146940125</v>
      </c>
      <c r="B4611" s="34" t="s">
        <v>11022</v>
      </c>
      <c r="C4611" s="34" t="s">
        <v>77</v>
      </c>
      <c r="E4611" s="30" t="s">
        <v>11023</v>
      </c>
      <c r="F4611" s="34" t="n">
        <f aca="false">IFERROR(VLOOKUP($A4611,'319'!$B:$H,7,0),0)</f>
        <v>0</v>
      </c>
      <c r="G4611" s="34" t="n">
        <f aca="false">SUMIFS('12.326ana'!$C:$C,'12.326ana'!$M:$M,redes!A4611)</f>
        <v>0</v>
      </c>
    </row>
    <row r="4612" customFormat="false" ht="14.4" hidden="true" customHeight="false" outlineLevel="0" collapsed="false">
      <c r="A4612" s="34" t="n">
        <v>84156074153</v>
      </c>
      <c r="B4612" s="34" t="s">
        <v>8544</v>
      </c>
      <c r="C4612" s="34" t="s">
        <v>77</v>
      </c>
      <c r="E4612" s="30" t="s">
        <v>8545</v>
      </c>
      <c r="F4612" s="34" t="n">
        <f aca="false">IFERROR(VLOOKUP($A4612,'319'!$B:$H,7,0),0)</f>
        <v>0</v>
      </c>
      <c r="G4612" s="34" t="n">
        <f aca="false">SUMIFS('12.326ana'!$C:$C,'12.326ana'!$M:$M,redes!A4612)</f>
        <v>0</v>
      </c>
    </row>
    <row r="4613" customFormat="false" ht="14.4" hidden="true" customHeight="false" outlineLevel="0" collapsed="false">
      <c r="A4613" s="34" t="n">
        <v>84169320182</v>
      </c>
      <c r="B4613" s="34" t="s">
        <v>11024</v>
      </c>
      <c r="C4613" s="34" t="s">
        <v>464</v>
      </c>
      <c r="E4613" s="30" t="s">
        <v>11025</v>
      </c>
      <c r="F4613" s="34" t="n">
        <f aca="false">IFERROR(VLOOKUP($A4613,'319'!$B:$H,7,0),0)</f>
        <v>0</v>
      </c>
      <c r="G4613" s="34" t="n">
        <f aca="false">SUMIFS('12.326ana'!$C:$C,'12.326ana'!$M:$M,redes!A4613)</f>
        <v>0</v>
      </c>
    </row>
    <row r="4614" customFormat="false" ht="14.4" hidden="true" customHeight="false" outlineLevel="0" collapsed="false">
      <c r="A4614" s="34" t="n">
        <v>84247304100</v>
      </c>
      <c r="B4614" s="34" t="s">
        <v>11026</v>
      </c>
      <c r="C4614" s="34" t="s">
        <v>994</v>
      </c>
      <c r="E4614" s="30" t="s">
        <v>11027</v>
      </c>
      <c r="F4614" s="34" t="n">
        <f aca="false">IFERROR(VLOOKUP($A4614,'319'!$B:$H,7,0),0)</f>
        <v>0</v>
      </c>
      <c r="G4614" s="34" t="n">
        <f aca="false">SUMIFS('12.326ana'!$C:$C,'12.326ana'!$M:$M,redes!A4614)</f>
        <v>0</v>
      </c>
    </row>
    <row r="4615" customFormat="false" ht="14.4" hidden="true" customHeight="false" outlineLevel="0" collapsed="false">
      <c r="A4615" s="34" t="n">
        <v>84260157191</v>
      </c>
      <c r="B4615" s="34" t="s">
        <v>11028</v>
      </c>
      <c r="C4615" s="34" t="s">
        <v>197</v>
      </c>
      <c r="E4615" s="30" t="s">
        <v>5746</v>
      </c>
      <c r="F4615" s="34" t="n">
        <f aca="false">IFERROR(VLOOKUP($A4615,'319'!$B:$H,7,0),0)</f>
        <v>0</v>
      </c>
      <c r="G4615" s="34" t="n">
        <f aca="false">SUMIFS('12.326ana'!$C:$C,'12.326ana'!$M:$M,redes!A4615)</f>
        <v>0</v>
      </c>
    </row>
    <row r="4616" customFormat="false" ht="14.4" hidden="true" customHeight="false" outlineLevel="0" collapsed="false">
      <c r="A4616" s="34" t="n">
        <v>84263407172</v>
      </c>
      <c r="B4616" s="34" t="s">
        <v>11029</v>
      </c>
      <c r="C4616" s="34" t="s">
        <v>107</v>
      </c>
      <c r="E4616" s="30" t="s">
        <v>3084</v>
      </c>
      <c r="F4616" s="34" t="n">
        <f aca="false">IFERROR(VLOOKUP($A4616,'319'!$B:$H,7,0),0)</f>
        <v>0</v>
      </c>
      <c r="G4616" s="34" t="n">
        <f aca="false">SUMIFS('12.326ana'!$C:$C,'12.326ana'!$M:$M,redes!A4616)</f>
        <v>0</v>
      </c>
    </row>
    <row r="4617" customFormat="false" ht="14.4" hidden="true" customHeight="false" outlineLevel="0" collapsed="false">
      <c r="A4617" s="34" t="n">
        <v>84265922368</v>
      </c>
      <c r="B4617" s="34" t="s">
        <v>11030</v>
      </c>
      <c r="C4617" s="34" t="s">
        <v>197</v>
      </c>
      <c r="E4617" s="30" t="s">
        <v>11031</v>
      </c>
      <c r="F4617" s="34" t="n">
        <f aca="false">IFERROR(VLOOKUP($A4617,'319'!$B:$H,7,0),0)</f>
        <v>0</v>
      </c>
      <c r="G4617" s="34" t="n">
        <f aca="false">SUMIFS('12.326ana'!$C:$C,'12.326ana'!$M:$M,redes!A4617)</f>
        <v>0</v>
      </c>
    </row>
    <row r="4618" customFormat="false" ht="14.4" hidden="true" customHeight="false" outlineLevel="0" collapsed="false">
      <c r="A4618" s="34" t="n">
        <v>84292300178</v>
      </c>
      <c r="B4618" s="34" t="s">
        <v>11032</v>
      </c>
      <c r="C4618" s="34" t="s">
        <v>192</v>
      </c>
      <c r="E4618" s="30" t="s">
        <v>11033</v>
      </c>
      <c r="F4618" s="34" t="n">
        <f aca="false">IFERROR(VLOOKUP($A4618,'319'!$B:$H,7,0),0)</f>
        <v>0</v>
      </c>
      <c r="G4618" s="34" t="n">
        <f aca="false">SUMIFS('12.326ana'!$C:$C,'12.326ana'!$M:$M,redes!A4618)</f>
        <v>0</v>
      </c>
    </row>
    <row r="4619" customFormat="false" ht="14.4" hidden="true" customHeight="false" outlineLevel="0" collapsed="false">
      <c r="A4619" s="34" t="n">
        <v>84319089120</v>
      </c>
      <c r="B4619" s="34" t="s">
        <v>11034</v>
      </c>
      <c r="C4619" s="34" t="s">
        <v>77</v>
      </c>
      <c r="E4619" s="30" t="s">
        <v>11035</v>
      </c>
      <c r="F4619" s="34" t="n">
        <f aca="false">IFERROR(VLOOKUP($A4619,'319'!$B:$H,7,0),0)</f>
        <v>0</v>
      </c>
      <c r="G4619" s="34" t="n">
        <f aca="false">SUMIFS('12.326ana'!$C:$C,'12.326ana'!$M:$M,redes!A4619)</f>
        <v>0</v>
      </c>
    </row>
    <row r="4620" customFormat="false" ht="14.4" hidden="true" customHeight="false" outlineLevel="0" collapsed="false">
      <c r="A4620" s="34" t="n">
        <v>84325194720</v>
      </c>
      <c r="B4620" s="34" t="s">
        <v>11036</v>
      </c>
      <c r="C4620" s="34" t="s">
        <v>197</v>
      </c>
      <c r="E4620" s="30" t="s">
        <v>11037</v>
      </c>
      <c r="F4620" s="34" t="n">
        <f aca="false">IFERROR(VLOOKUP($A4620,'319'!$B:$H,7,0),0)</f>
        <v>0</v>
      </c>
      <c r="G4620" s="34" t="n">
        <f aca="false">SUMIFS('12.326ana'!$C:$C,'12.326ana'!$M:$M,redes!A4620)</f>
        <v>0</v>
      </c>
    </row>
    <row r="4621" customFormat="false" ht="14.4" hidden="true" customHeight="false" outlineLevel="0" collapsed="false">
      <c r="A4621" s="34" t="n">
        <v>84363398191</v>
      </c>
      <c r="B4621" s="34" t="s">
        <v>11038</v>
      </c>
      <c r="C4621" s="34" t="s">
        <v>197</v>
      </c>
      <c r="E4621" s="30" t="s">
        <v>11039</v>
      </c>
      <c r="F4621" s="34" t="n">
        <f aca="false">IFERROR(VLOOKUP($A4621,'319'!$B:$H,7,0),0)</f>
        <v>0</v>
      </c>
      <c r="G4621" s="34" t="n">
        <f aca="false">SUMIFS('12.326ana'!$C:$C,'12.326ana'!$M:$M,redes!A4621)</f>
        <v>0</v>
      </c>
    </row>
    <row r="4622" customFormat="false" ht="14.4" hidden="true" customHeight="false" outlineLevel="0" collapsed="false">
      <c r="A4622" s="34" t="n">
        <v>84365730134</v>
      </c>
      <c r="B4622" s="34" t="s">
        <v>11040</v>
      </c>
      <c r="C4622" s="34" t="s">
        <v>77</v>
      </c>
      <c r="E4622" s="30" t="s">
        <v>4649</v>
      </c>
      <c r="F4622" s="34" t="n">
        <f aca="false">IFERROR(VLOOKUP($A4622,'319'!$B:$H,7,0),0)</f>
        <v>0</v>
      </c>
      <c r="G4622" s="34" t="n">
        <f aca="false">SUMIFS('12.326ana'!$C:$C,'12.326ana'!$M:$M,redes!A4622)</f>
        <v>0</v>
      </c>
    </row>
    <row r="4623" customFormat="false" ht="14.4" hidden="true" customHeight="false" outlineLevel="0" collapsed="false">
      <c r="A4623" s="34" t="n">
        <v>84531037120</v>
      </c>
      <c r="B4623" s="34" t="s">
        <v>11041</v>
      </c>
      <c r="C4623" s="34" t="s">
        <v>77</v>
      </c>
      <c r="E4623" s="30" t="s">
        <v>11042</v>
      </c>
      <c r="F4623" s="34" t="n">
        <f aca="false">IFERROR(VLOOKUP($A4623,'319'!$B:$H,7,0),0)</f>
        <v>0</v>
      </c>
      <c r="G4623" s="34" t="n">
        <f aca="false">SUMIFS('12.326ana'!$C:$C,'12.326ana'!$M:$M,redes!A4623)</f>
        <v>0</v>
      </c>
    </row>
    <row r="4624" customFormat="false" ht="14.4" hidden="true" customHeight="false" outlineLevel="0" collapsed="false">
      <c r="A4624" s="34" t="n">
        <v>84534508115</v>
      </c>
      <c r="B4624" s="34" t="s">
        <v>11043</v>
      </c>
      <c r="C4624" s="34" t="s">
        <v>77</v>
      </c>
      <c r="E4624" s="30"/>
      <c r="F4624" s="34" t="n">
        <f aca="false">IFERROR(VLOOKUP($A4624,'319'!$B:$H,7,0),0)</f>
        <v>0</v>
      </c>
      <c r="G4624" s="34" t="n">
        <f aca="false">SUMIFS('12.326ana'!$C:$C,'12.326ana'!$M:$M,redes!A4624)</f>
        <v>0</v>
      </c>
    </row>
    <row r="4625" customFormat="false" ht="14.4" hidden="true" customHeight="false" outlineLevel="0" collapsed="false">
      <c r="A4625" s="34" t="n">
        <v>84578858120</v>
      </c>
      <c r="B4625" s="34" t="s">
        <v>11044</v>
      </c>
      <c r="C4625" s="34" t="s">
        <v>77</v>
      </c>
      <c r="E4625" s="30" t="s">
        <v>11045</v>
      </c>
      <c r="F4625" s="34" t="n">
        <f aca="false">IFERROR(VLOOKUP($A4625,'319'!$B:$H,7,0),0)</f>
        <v>0</v>
      </c>
      <c r="G4625" s="34" t="n">
        <f aca="false">SUMIFS('12.326ana'!$C:$C,'12.326ana'!$M:$M,redes!A4625)</f>
        <v>0</v>
      </c>
    </row>
    <row r="4626" customFormat="false" ht="14.4" hidden="true" customHeight="false" outlineLevel="0" collapsed="false">
      <c r="A4626" s="34" t="n">
        <v>84584165149</v>
      </c>
      <c r="B4626" s="34" t="s">
        <v>11046</v>
      </c>
      <c r="C4626" s="34" t="s">
        <v>546</v>
      </c>
      <c r="E4626" s="30" t="s">
        <v>11047</v>
      </c>
      <c r="F4626" s="34" t="n">
        <f aca="false">IFERROR(VLOOKUP($A4626,'319'!$B:$H,7,0),0)</f>
        <v>0</v>
      </c>
      <c r="G4626" s="34" t="n">
        <f aca="false">SUMIFS('12.326ana'!$C:$C,'12.326ana'!$M:$M,redes!A4626)</f>
        <v>0</v>
      </c>
    </row>
    <row r="4627" customFormat="false" ht="14.4" hidden="true" customHeight="false" outlineLevel="0" collapsed="false">
      <c r="A4627" s="34" t="n">
        <v>84587792187</v>
      </c>
      <c r="B4627" s="34" t="s">
        <v>11048</v>
      </c>
      <c r="C4627" s="34" t="s">
        <v>77</v>
      </c>
      <c r="E4627" s="30" t="s">
        <v>11049</v>
      </c>
      <c r="F4627" s="34" t="n">
        <f aca="false">IFERROR(VLOOKUP($A4627,'319'!$B:$H,7,0),0)</f>
        <v>0</v>
      </c>
      <c r="G4627" s="34" t="n">
        <f aca="false">SUMIFS('12.326ana'!$C:$C,'12.326ana'!$M:$M,redes!A4627)</f>
        <v>0</v>
      </c>
    </row>
    <row r="4628" customFormat="false" ht="14.4" hidden="true" customHeight="false" outlineLevel="0" collapsed="false">
      <c r="A4628" s="34" t="n">
        <v>84639865104</v>
      </c>
      <c r="B4628" s="34" t="s">
        <v>11050</v>
      </c>
      <c r="C4628" s="34" t="s">
        <v>737</v>
      </c>
      <c r="E4628" s="30" t="s">
        <v>3632</v>
      </c>
      <c r="F4628" s="34" t="n">
        <f aca="false">IFERROR(VLOOKUP($A4628,'319'!$B:$H,7,0),0)</f>
        <v>0</v>
      </c>
      <c r="G4628" s="34" t="n">
        <f aca="false">SUMIFS('12.326ana'!$C:$C,'12.326ana'!$M:$M,redes!A4628)</f>
        <v>0</v>
      </c>
    </row>
    <row r="4629" customFormat="false" ht="14.4" hidden="true" customHeight="false" outlineLevel="0" collapsed="false">
      <c r="A4629" s="34" t="n">
        <v>84715030853</v>
      </c>
      <c r="B4629" s="34" t="s">
        <v>11051</v>
      </c>
      <c r="C4629" s="34" t="s">
        <v>77</v>
      </c>
      <c r="E4629" s="30"/>
      <c r="F4629" s="34" t="n">
        <f aca="false">IFERROR(VLOOKUP($A4629,'319'!$B:$H,7,0),0)</f>
        <v>0</v>
      </c>
      <c r="G4629" s="34" t="n">
        <f aca="false">SUMIFS('12.326ana'!$C:$C,'12.326ana'!$M:$M,redes!A4629)</f>
        <v>0</v>
      </c>
    </row>
    <row r="4630" customFormat="false" ht="14.4" hidden="true" customHeight="false" outlineLevel="0" collapsed="false">
      <c r="A4630" s="34" t="n">
        <v>84724188120</v>
      </c>
      <c r="B4630" s="34" t="s">
        <v>11052</v>
      </c>
      <c r="C4630" s="34" t="s">
        <v>680</v>
      </c>
      <c r="E4630" s="30" t="s">
        <v>3827</v>
      </c>
      <c r="F4630" s="34" t="n">
        <f aca="false">IFERROR(VLOOKUP($A4630,'319'!$B:$H,7,0),0)</f>
        <v>0</v>
      </c>
      <c r="G4630" s="34" t="n">
        <f aca="false">SUMIFS('12.326ana'!$C:$C,'12.326ana'!$M:$M,redes!A4630)</f>
        <v>0</v>
      </c>
    </row>
    <row r="4631" customFormat="false" ht="14.4" hidden="true" customHeight="false" outlineLevel="0" collapsed="false">
      <c r="A4631" s="34" t="n">
        <v>84733233191</v>
      </c>
      <c r="B4631" s="34" t="s">
        <v>11053</v>
      </c>
      <c r="C4631" s="34" t="s">
        <v>478</v>
      </c>
      <c r="E4631" s="30" t="s">
        <v>11054</v>
      </c>
      <c r="F4631" s="34" t="n">
        <f aca="false">IFERROR(VLOOKUP($A4631,'319'!$B:$H,7,0),0)</f>
        <v>0</v>
      </c>
      <c r="G4631" s="34" t="n">
        <f aca="false">SUMIFS('12.326ana'!$C:$C,'12.326ana'!$M:$M,redes!A4631)</f>
        <v>0</v>
      </c>
    </row>
    <row r="4632" customFormat="false" ht="14.4" hidden="true" customHeight="false" outlineLevel="0" collapsed="false">
      <c r="A4632" s="34" t="n">
        <v>84734361800</v>
      </c>
      <c r="B4632" s="34" t="s">
        <v>11055</v>
      </c>
      <c r="C4632" s="34" t="s">
        <v>296</v>
      </c>
      <c r="E4632" s="30" t="s">
        <v>11056</v>
      </c>
      <c r="F4632" s="34" t="n">
        <f aca="false">IFERROR(VLOOKUP($A4632,'319'!$B:$H,7,0),0)</f>
        <v>0</v>
      </c>
      <c r="G4632" s="34" t="n">
        <f aca="false">SUMIFS('12.326ana'!$C:$C,'12.326ana'!$M:$M,redes!A4632)</f>
        <v>0</v>
      </c>
    </row>
    <row r="4633" customFormat="false" ht="14.4" hidden="true" customHeight="false" outlineLevel="0" collapsed="false">
      <c r="A4633" s="34" t="n">
        <v>84737409120</v>
      </c>
      <c r="B4633" s="34" t="s">
        <v>11057</v>
      </c>
      <c r="C4633" s="34" t="s">
        <v>77</v>
      </c>
      <c r="E4633" s="30"/>
      <c r="F4633" s="34" t="n">
        <f aca="false">IFERROR(VLOOKUP($A4633,'319'!$B:$H,7,0),0)</f>
        <v>0</v>
      </c>
      <c r="G4633" s="34" t="n">
        <f aca="false">SUMIFS('12.326ana'!$C:$C,'12.326ana'!$M:$M,redes!A4633)</f>
        <v>0</v>
      </c>
    </row>
    <row r="4634" customFormat="false" ht="14.4" hidden="true" customHeight="false" outlineLevel="0" collapsed="false">
      <c r="A4634" s="34" t="n">
        <v>84749270130</v>
      </c>
      <c r="B4634" s="34" t="s">
        <v>11058</v>
      </c>
      <c r="C4634" s="34" t="s">
        <v>77</v>
      </c>
      <c r="E4634" s="30" t="s">
        <v>4799</v>
      </c>
      <c r="F4634" s="34" t="n">
        <f aca="false">IFERROR(VLOOKUP($A4634,'319'!$B:$H,7,0),0)</f>
        <v>0</v>
      </c>
      <c r="G4634" s="34" t="n">
        <f aca="false">SUMIFS('12.326ana'!$C:$C,'12.326ana'!$M:$M,redes!A4634)</f>
        <v>0</v>
      </c>
    </row>
    <row r="4635" customFormat="false" ht="14.4" hidden="true" customHeight="false" outlineLevel="0" collapsed="false">
      <c r="A4635" s="34" t="n">
        <v>84753820106</v>
      </c>
      <c r="B4635" s="34" t="s">
        <v>11059</v>
      </c>
      <c r="C4635" s="34" t="s">
        <v>1591</v>
      </c>
      <c r="E4635" s="30" t="s">
        <v>11060</v>
      </c>
      <c r="F4635" s="34" t="n">
        <f aca="false">IFERROR(VLOOKUP($A4635,'319'!$B:$H,7,0),0)</f>
        <v>0</v>
      </c>
      <c r="G4635" s="34" t="n">
        <f aca="false">SUMIFS('12.326ana'!$C:$C,'12.326ana'!$M:$M,redes!A4635)</f>
        <v>0</v>
      </c>
    </row>
    <row r="4636" customFormat="false" ht="14.4" hidden="true" customHeight="false" outlineLevel="0" collapsed="false">
      <c r="A4636" s="34" t="n">
        <v>84793880134</v>
      </c>
      <c r="B4636" s="34" t="s">
        <v>11061</v>
      </c>
      <c r="C4636" s="34" t="s">
        <v>994</v>
      </c>
      <c r="E4636" s="30" t="s">
        <v>11062</v>
      </c>
      <c r="F4636" s="34" t="n">
        <f aca="false">IFERROR(VLOOKUP($A4636,'319'!$B:$H,7,0),0)</f>
        <v>0</v>
      </c>
      <c r="G4636" s="34" t="n">
        <f aca="false">SUMIFS('12.326ana'!$C:$C,'12.326ana'!$M:$M,redes!A4636)</f>
        <v>0</v>
      </c>
    </row>
    <row r="4637" customFormat="false" ht="14.4" hidden="true" customHeight="false" outlineLevel="0" collapsed="false">
      <c r="A4637" s="34" t="n">
        <v>84812664187</v>
      </c>
      <c r="B4637" s="34" t="s">
        <v>11063</v>
      </c>
      <c r="C4637" s="34" t="s">
        <v>77</v>
      </c>
      <c r="E4637" s="30" t="s">
        <v>11064</v>
      </c>
      <c r="F4637" s="34" t="n">
        <f aca="false">IFERROR(VLOOKUP($A4637,'319'!$B:$H,7,0),0)</f>
        <v>0</v>
      </c>
      <c r="G4637" s="34" t="n">
        <f aca="false">SUMIFS('12.326ana'!$C:$C,'12.326ana'!$M:$M,redes!A4637)</f>
        <v>0</v>
      </c>
    </row>
    <row r="4638" customFormat="false" ht="14.4" hidden="true" customHeight="false" outlineLevel="0" collapsed="false">
      <c r="A4638" s="34" t="n">
        <v>84816228187</v>
      </c>
      <c r="B4638" s="34" t="s">
        <v>11065</v>
      </c>
      <c r="C4638" s="34" t="s">
        <v>77</v>
      </c>
      <c r="E4638" s="30" t="s">
        <v>11066</v>
      </c>
      <c r="F4638" s="34" t="n">
        <f aca="false">IFERROR(VLOOKUP($A4638,'319'!$B:$H,7,0),0)</f>
        <v>0</v>
      </c>
      <c r="G4638" s="34" t="n">
        <f aca="false">SUMIFS('12.326ana'!$C:$C,'12.326ana'!$M:$M,redes!A4638)</f>
        <v>0</v>
      </c>
    </row>
    <row r="4639" customFormat="false" ht="14.4" hidden="true" customHeight="false" outlineLevel="0" collapsed="false">
      <c r="A4639" s="34" t="n">
        <v>84862416187</v>
      </c>
      <c r="B4639" s="34" t="s">
        <v>11067</v>
      </c>
      <c r="C4639" s="34" t="s">
        <v>4139</v>
      </c>
      <c r="E4639" s="30" t="s">
        <v>11068</v>
      </c>
      <c r="F4639" s="34" t="n">
        <f aca="false">IFERROR(VLOOKUP($A4639,'319'!$B:$H,7,0),0)</f>
        <v>0</v>
      </c>
      <c r="G4639" s="34" t="n">
        <f aca="false">SUMIFS('12.326ana'!$C:$C,'12.326ana'!$M:$M,redes!A4639)</f>
        <v>0</v>
      </c>
    </row>
    <row r="4640" customFormat="false" ht="14.4" hidden="true" customHeight="false" outlineLevel="0" collapsed="false">
      <c r="A4640" s="34" t="n">
        <v>84909340106</v>
      </c>
      <c r="B4640" s="34" t="s">
        <v>11069</v>
      </c>
      <c r="C4640" s="34" t="s">
        <v>77</v>
      </c>
      <c r="E4640" s="30" t="s">
        <v>11070</v>
      </c>
      <c r="F4640" s="34" t="n">
        <f aca="false">IFERROR(VLOOKUP($A4640,'319'!$B:$H,7,0),0)</f>
        <v>0</v>
      </c>
      <c r="G4640" s="34" t="n">
        <f aca="false">SUMIFS('12.326ana'!$C:$C,'12.326ana'!$M:$M,redes!A4640)</f>
        <v>0</v>
      </c>
    </row>
    <row r="4641" customFormat="false" ht="14.4" hidden="true" customHeight="false" outlineLevel="0" collapsed="false">
      <c r="A4641" s="34" t="n">
        <v>84912103934</v>
      </c>
      <c r="B4641" s="34" t="s">
        <v>11071</v>
      </c>
      <c r="C4641" s="34" t="s">
        <v>4156</v>
      </c>
      <c r="E4641" s="30" t="s">
        <v>11072</v>
      </c>
      <c r="F4641" s="34" t="n">
        <f aca="false">IFERROR(VLOOKUP($A4641,'319'!$B:$H,7,0),0)</f>
        <v>0</v>
      </c>
      <c r="G4641" s="34" t="n">
        <f aca="false">SUMIFS('12.326ana'!$C:$C,'12.326ana'!$M:$M,redes!A4641)</f>
        <v>0</v>
      </c>
    </row>
    <row r="4642" customFormat="false" ht="14.4" hidden="true" customHeight="false" outlineLevel="0" collapsed="false">
      <c r="A4642" s="34" t="n">
        <v>84923202149</v>
      </c>
      <c r="B4642" s="34" t="s">
        <v>11073</v>
      </c>
      <c r="C4642" s="34" t="s">
        <v>107</v>
      </c>
      <c r="E4642" s="30" t="s">
        <v>11074</v>
      </c>
      <c r="F4642" s="34" t="n">
        <f aca="false">IFERROR(VLOOKUP($A4642,'319'!$B:$H,7,0),0)</f>
        <v>0</v>
      </c>
      <c r="G4642" s="34" t="n">
        <f aca="false">SUMIFS('12.326ana'!$C:$C,'12.326ana'!$M:$M,redes!A4642)</f>
        <v>0</v>
      </c>
    </row>
    <row r="4643" customFormat="false" ht="14.4" hidden="true" customHeight="false" outlineLevel="0" collapsed="false">
      <c r="A4643" s="34" t="n">
        <v>84934093168</v>
      </c>
      <c r="B4643" s="34" t="s">
        <v>11075</v>
      </c>
      <c r="C4643" s="34" t="s">
        <v>631</v>
      </c>
      <c r="E4643" s="30" t="s">
        <v>6748</v>
      </c>
      <c r="F4643" s="34" t="n">
        <f aca="false">IFERROR(VLOOKUP($A4643,'319'!$B:$H,7,0),0)</f>
        <v>0</v>
      </c>
      <c r="G4643" s="34" t="n">
        <f aca="false">SUMIFS('12.326ana'!$C:$C,'12.326ana'!$M:$M,redes!A4643)</f>
        <v>0</v>
      </c>
    </row>
    <row r="4644" customFormat="false" ht="14.4" hidden="true" customHeight="false" outlineLevel="0" collapsed="false">
      <c r="A4644" s="34" t="n">
        <v>84955031153</v>
      </c>
      <c r="B4644" s="34" t="s">
        <v>11076</v>
      </c>
      <c r="C4644" s="34" t="s">
        <v>107</v>
      </c>
      <c r="E4644" s="30"/>
      <c r="F4644" s="34" t="n">
        <f aca="false">IFERROR(VLOOKUP($A4644,'319'!$B:$H,7,0),0)</f>
        <v>0</v>
      </c>
      <c r="G4644" s="34" t="n">
        <f aca="false">SUMIFS('12.326ana'!$C:$C,'12.326ana'!$M:$M,redes!A4644)</f>
        <v>0</v>
      </c>
    </row>
    <row r="4645" customFormat="false" ht="14.4" hidden="true" customHeight="false" outlineLevel="0" collapsed="false">
      <c r="A4645" s="34" t="n">
        <v>84994282153</v>
      </c>
      <c r="B4645" s="34" t="s">
        <v>11077</v>
      </c>
      <c r="C4645" s="34" t="s">
        <v>107</v>
      </c>
      <c r="E4645" s="30" t="s">
        <v>11078</v>
      </c>
      <c r="F4645" s="34" t="n">
        <f aca="false">IFERROR(VLOOKUP($A4645,'319'!$B:$H,7,0),0)</f>
        <v>0</v>
      </c>
      <c r="G4645" s="34" t="n">
        <f aca="false">SUMIFS('12.326ana'!$C:$C,'12.326ana'!$M:$M,redes!A4645)</f>
        <v>0</v>
      </c>
    </row>
    <row r="4646" customFormat="false" ht="14.4" hidden="true" customHeight="false" outlineLevel="0" collapsed="false">
      <c r="A4646" s="34" t="n">
        <v>84998270125</v>
      </c>
      <c r="B4646" s="34" t="s">
        <v>11079</v>
      </c>
      <c r="C4646" s="34" t="s">
        <v>77</v>
      </c>
      <c r="E4646" s="30" t="s">
        <v>11080</v>
      </c>
      <c r="F4646" s="34" t="n">
        <f aca="false">IFERROR(VLOOKUP($A4646,'319'!$B:$H,7,0),0)</f>
        <v>0</v>
      </c>
      <c r="G4646" s="34" t="n">
        <f aca="false">SUMIFS('12.326ana'!$C:$C,'12.326ana'!$M:$M,redes!A4646)</f>
        <v>0</v>
      </c>
    </row>
    <row r="4647" customFormat="false" ht="14.4" hidden="true" customHeight="false" outlineLevel="0" collapsed="false">
      <c r="A4647" s="34" t="n">
        <v>85033650149</v>
      </c>
      <c r="B4647" s="34" t="s">
        <v>11081</v>
      </c>
      <c r="C4647" s="34" t="s">
        <v>77</v>
      </c>
      <c r="E4647" s="30" t="s">
        <v>3496</v>
      </c>
      <c r="F4647" s="34" t="n">
        <f aca="false">IFERROR(VLOOKUP($A4647,'319'!$B:$H,7,0),0)</f>
        <v>0</v>
      </c>
      <c r="G4647" s="34" t="n">
        <f aca="false">SUMIFS('12.326ana'!$C:$C,'12.326ana'!$M:$M,redes!A4647)</f>
        <v>0</v>
      </c>
    </row>
    <row r="4648" customFormat="false" ht="14.4" hidden="true" customHeight="false" outlineLevel="0" collapsed="false">
      <c r="A4648" s="34" t="n">
        <v>85034169134</v>
      </c>
      <c r="B4648" s="34" t="s">
        <v>11082</v>
      </c>
      <c r="C4648" s="34" t="s">
        <v>77</v>
      </c>
      <c r="E4648" s="30" t="s">
        <v>11083</v>
      </c>
      <c r="F4648" s="34" t="n">
        <f aca="false">IFERROR(VLOOKUP($A4648,'319'!$B:$H,7,0),0)</f>
        <v>0</v>
      </c>
      <c r="G4648" s="34" t="n">
        <f aca="false">SUMIFS('12.326ana'!$C:$C,'12.326ana'!$M:$M,redes!A4648)</f>
        <v>0</v>
      </c>
    </row>
    <row r="4649" customFormat="false" ht="14.4" hidden="true" customHeight="false" outlineLevel="0" collapsed="false">
      <c r="A4649" s="34" t="n">
        <v>85117749120</v>
      </c>
      <c r="B4649" s="34" t="s">
        <v>11084</v>
      </c>
      <c r="C4649" s="34" t="s">
        <v>77</v>
      </c>
      <c r="E4649" s="30" t="s">
        <v>11085</v>
      </c>
      <c r="F4649" s="34" t="n">
        <f aca="false">IFERROR(VLOOKUP($A4649,'319'!$B:$H,7,0),0)</f>
        <v>0</v>
      </c>
      <c r="G4649" s="34" t="n">
        <f aca="false">SUMIFS('12.326ana'!$C:$C,'12.326ana'!$M:$M,redes!A4649)</f>
        <v>0</v>
      </c>
    </row>
    <row r="4650" customFormat="false" ht="14.4" hidden="true" customHeight="false" outlineLevel="0" collapsed="false">
      <c r="A4650" s="34" t="n">
        <v>85124303115</v>
      </c>
      <c r="B4650" s="34" t="s">
        <v>11086</v>
      </c>
      <c r="C4650" s="34" t="s">
        <v>631</v>
      </c>
      <c r="E4650" s="30"/>
      <c r="F4650" s="34" t="n">
        <f aca="false">IFERROR(VLOOKUP($A4650,'319'!$B:$H,7,0),0)</f>
        <v>0</v>
      </c>
      <c r="G4650" s="34" t="n">
        <f aca="false">SUMIFS('12.326ana'!$C:$C,'12.326ana'!$M:$M,redes!A4650)</f>
        <v>0</v>
      </c>
    </row>
    <row r="4651" customFormat="false" ht="14.4" hidden="true" customHeight="false" outlineLevel="0" collapsed="false">
      <c r="A4651" s="34" t="n">
        <v>85159891153</v>
      </c>
      <c r="B4651" s="34" t="s">
        <v>11087</v>
      </c>
      <c r="C4651" s="34" t="s">
        <v>604</v>
      </c>
      <c r="E4651" s="30"/>
      <c r="F4651" s="34" t="n">
        <f aca="false">IFERROR(VLOOKUP($A4651,'319'!$B:$H,7,0),0)</f>
        <v>0</v>
      </c>
      <c r="G4651" s="34" t="n">
        <f aca="false">SUMIFS('12.326ana'!$C:$C,'12.326ana'!$M:$M,redes!A4651)</f>
        <v>0</v>
      </c>
    </row>
    <row r="4652" customFormat="false" ht="14.4" hidden="true" customHeight="false" outlineLevel="0" collapsed="false">
      <c r="A4652" s="34" t="n">
        <v>85166510100</v>
      </c>
      <c r="B4652" s="34" t="s">
        <v>11088</v>
      </c>
      <c r="C4652" s="34" t="s">
        <v>139</v>
      </c>
      <c r="E4652" s="30" t="s">
        <v>11089</v>
      </c>
      <c r="F4652" s="34" t="n">
        <f aca="false">IFERROR(VLOOKUP($A4652,'319'!$B:$H,7,0),0)</f>
        <v>0</v>
      </c>
      <c r="G4652" s="34" t="n">
        <f aca="false">SUMIFS('12.326ana'!$C:$C,'12.326ana'!$M:$M,redes!A4652)</f>
        <v>0</v>
      </c>
    </row>
    <row r="4653" customFormat="false" ht="14.4" hidden="true" customHeight="false" outlineLevel="0" collapsed="false">
      <c r="A4653" s="34" t="n">
        <v>85170372191</v>
      </c>
      <c r="B4653" s="34" t="s">
        <v>11090</v>
      </c>
      <c r="C4653" s="34" t="s">
        <v>737</v>
      </c>
      <c r="E4653" s="30" t="s">
        <v>11091</v>
      </c>
      <c r="F4653" s="34" t="n">
        <f aca="false">IFERROR(VLOOKUP($A4653,'319'!$B:$H,7,0),0)</f>
        <v>0</v>
      </c>
      <c r="G4653" s="34" t="n">
        <f aca="false">SUMIFS('12.326ana'!$C:$C,'12.326ana'!$M:$M,redes!A4653)</f>
        <v>0</v>
      </c>
    </row>
    <row r="4654" customFormat="false" ht="14.4" hidden="true" customHeight="false" outlineLevel="0" collapsed="false">
      <c r="A4654" s="34" t="n">
        <v>85193950159</v>
      </c>
      <c r="B4654" s="34" t="s">
        <v>11092</v>
      </c>
      <c r="C4654" s="34" t="s">
        <v>737</v>
      </c>
      <c r="E4654" s="30" t="s">
        <v>11093</v>
      </c>
      <c r="F4654" s="34" t="n">
        <f aca="false">IFERROR(VLOOKUP($A4654,'319'!$B:$H,7,0),0)</f>
        <v>0</v>
      </c>
      <c r="G4654" s="34" t="n">
        <f aca="false">SUMIFS('12.326ana'!$C:$C,'12.326ana'!$M:$M,redes!A4654)</f>
        <v>0</v>
      </c>
    </row>
    <row r="4655" customFormat="false" ht="14.4" hidden="true" customHeight="false" outlineLevel="0" collapsed="false">
      <c r="A4655" s="34" t="n">
        <v>85327000103</v>
      </c>
      <c r="B4655" s="34" t="s">
        <v>11094</v>
      </c>
      <c r="C4655" s="34" t="s">
        <v>405</v>
      </c>
      <c r="E4655" s="30" t="s">
        <v>11095</v>
      </c>
      <c r="F4655" s="34" t="n">
        <f aca="false">IFERROR(VLOOKUP($A4655,'319'!$B:$H,7,0),0)</f>
        <v>0</v>
      </c>
      <c r="G4655" s="34" t="n">
        <f aca="false">SUMIFS('12.326ana'!$C:$C,'12.326ana'!$M:$M,redes!A4655)</f>
        <v>0</v>
      </c>
    </row>
    <row r="4656" customFormat="false" ht="14.4" hidden="true" customHeight="false" outlineLevel="0" collapsed="false">
      <c r="A4656" s="34" t="n">
        <v>85335215100</v>
      </c>
      <c r="B4656" s="34" t="s">
        <v>11096</v>
      </c>
      <c r="C4656" s="34" t="s">
        <v>77</v>
      </c>
      <c r="E4656" s="30" t="s">
        <v>11097</v>
      </c>
      <c r="F4656" s="34" t="n">
        <f aca="false">IFERROR(VLOOKUP($A4656,'319'!$B:$H,7,0),0)</f>
        <v>0</v>
      </c>
      <c r="G4656" s="34" t="n">
        <f aca="false">SUMIFS('12.326ana'!$C:$C,'12.326ana'!$M:$M,redes!A4656)</f>
        <v>0</v>
      </c>
    </row>
    <row r="4657" customFormat="false" ht="14.4" hidden="true" customHeight="false" outlineLevel="0" collapsed="false">
      <c r="A4657" s="34" t="n">
        <v>85357650187</v>
      </c>
      <c r="B4657" s="34" t="s">
        <v>11098</v>
      </c>
      <c r="C4657" s="34" t="s">
        <v>77</v>
      </c>
      <c r="E4657" s="30" t="s">
        <v>7213</v>
      </c>
      <c r="F4657" s="34" t="n">
        <f aca="false">IFERROR(VLOOKUP($A4657,'319'!$B:$H,7,0),0)</f>
        <v>0</v>
      </c>
      <c r="G4657" s="34" t="n">
        <f aca="false">SUMIFS('12.326ana'!$C:$C,'12.326ana'!$M:$M,redes!A4657)</f>
        <v>0</v>
      </c>
    </row>
    <row r="4658" customFormat="false" ht="14.4" hidden="true" customHeight="false" outlineLevel="0" collapsed="false">
      <c r="A4658" s="34" t="n">
        <v>85362620878</v>
      </c>
      <c r="B4658" s="34" t="s">
        <v>11099</v>
      </c>
      <c r="C4658" s="34" t="s">
        <v>77</v>
      </c>
      <c r="E4658" s="30"/>
      <c r="F4658" s="34" t="n">
        <f aca="false">IFERROR(VLOOKUP($A4658,'319'!$B:$H,7,0),0)</f>
        <v>0</v>
      </c>
      <c r="G4658" s="34" t="n">
        <f aca="false">SUMIFS('12.326ana'!$C:$C,'12.326ana'!$M:$M,redes!A4658)</f>
        <v>0</v>
      </c>
    </row>
    <row r="4659" customFormat="false" ht="14.4" hidden="true" customHeight="false" outlineLevel="0" collapsed="false">
      <c r="A4659" s="34" t="n">
        <v>85395188800</v>
      </c>
      <c r="B4659" s="34" t="s">
        <v>11100</v>
      </c>
      <c r="C4659" s="34" t="s">
        <v>77</v>
      </c>
      <c r="E4659" s="30" t="s">
        <v>11101</v>
      </c>
      <c r="F4659" s="34" t="n">
        <f aca="false">IFERROR(VLOOKUP($A4659,'319'!$B:$H,7,0),0)</f>
        <v>0</v>
      </c>
      <c r="G4659" s="34" t="n">
        <f aca="false">SUMIFS('12.326ana'!$C:$C,'12.326ana'!$M:$M,redes!A4659)</f>
        <v>0</v>
      </c>
    </row>
    <row r="4660" customFormat="false" ht="14.4" hidden="true" customHeight="false" outlineLevel="0" collapsed="false">
      <c r="A4660" s="34" t="n">
        <v>85397318604</v>
      </c>
      <c r="B4660" s="34" t="s">
        <v>11102</v>
      </c>
      <c r="C4660" s="34" t="s">
        <v>77</v>
      </c>
      <c r="E4660" s="30" t="s">
        <v>11103</v>
      </c>
      <c r="F4660" s="34" t="n">
        <f aca="false">IFERROR(VLOOKUP($A4660,'319'!$B:$H,7,0),0)</f>
        <v>0</v>
      </c>
      <c r="G4660" s="34" t="n">
        <f aca="false">SUMIFS('12.326ana'!$C:$C,'12.326ana'!$M:$M,redes!A4660)</f>
        <v>0</v>
      </c>
    </row>
    <row r="4661" customFormat="false" ht="14.4" hidden="true" customHeight="false" outlineLevel="0" collapsed="false">
      <c r="A4661" s="34" t="n">
        <v>85421030172</v>
      </c>
      <c r="B4661" s="34" t="s">
        <v>11104</v>
      </c>
      <c r="C4661" s="34" t="s">
        <v>77</v>
      </c>
      <c r="E4661" s="30" t="s">
        <v>11105</v>
      </c>
      <c r="F4661" s="34" t="n">
        <f aca="false">IFERROR(VLOOKUP($A4661,'319'!$B:$H,7,0),0)</f>
        <v>0</v>
      </c>
      <c r="G4661" s="34" t="n">
        <f aca="false">SUMIFS('12.326ana'!$C:$C,'12.326ana'!$M:$M,redes!A4661)</f>
        <v>0</v>
      </c>
    </row>
    <row r="4662" customFormat="false" ht="14.4" hidden="true" customHeight="false" outlineLevel="0" collapsed="false">
      <c r="A4662" s="34" t="n">
        <v>85423424100</v>
      </c>
      <c r="B4662" s="34" t="s">
        <v>11106</v>
      </c>
      <c r="C4662" s="34" t="s">
        <v>77</v>
      </c>
      <c r="E4662" s="30" t="s">
        <v>11107</v>
      </c>
      <c r="F4662" s="34" t="n">
        <f aca="false">IFERROR(VLOOKUP($A4662,'319'!$B:$H,7,0),0)</f>
        <v>0</v>
      </c>
      <c r="G4662" s="34" t="n">
        <f aca="false">SUMIFS('12.326ana'!$C:$C,'12.326ana'!$M:$M,redes!A4662)</f>
        <v>0</v>
      </c>
    </row>
    <row r="4663" customFormat="false" ht="14.4" hidden="true" customHeight="false" outlineLevel="0" collapsed="false">
      <c r="A4663" s="34" t="n">
        <v>85527190106</v>
      </c>
      <c r="B4663" s="34" t="s">
        <v>11108</v>
      </c>
      <c r="C4663" s="34" t="s">
        <v>107</v>
      </c>
      <c r="E4663" s="30" t="s">
        <v>11109</v>
      </c>
      <c r="F4663" s="34" t="n">
        <f aca="false">IFERROR(VLOOKUP($A4663,'319'!$B:$H,7,0),0)</f>
        <v>0</v>
      </c>
      <c r="G4663" s="34" t="n">
        <f aca="false">SUMIFS('12.326ana'!$C:$C,'12.326ana'!$M:$M,redes!A4663)</f>
        <v>0</v>
      </c>
    </row>
    <row r="4664" customFormat="false" ht="14.4" hidden="true" customHeight="false" outlineLevel="0" collapsed="false">
      <c r="A4664" s="34" t="n">
        <v>85548260197</v>
      </c>
      <c r="B4664" s="34" t="s">
        <v>11110</v>
      </c>
      <c r="C4664" s="34" t="s">
        <v>77</v>
      </c>
      <c r="E4664" s="30" t="s">
        <v>11111</v>
      </c>
      <c r="F4664" s="34" t="n">
        <f aca="false">IFERROR(VLOOKUP($A4664,'319'!$B:$H,7,0),0)</f>
        <v>0</v>
      </c>
      <c r="G4664" s="34" t="n">
        <f aca="false">SUMIFS('12.326ana'!$C:$C,'12.326ana'!$M:$M,redes!A4664)</f>
        <v>0</v>
      </c>
    </row>
    <row r="4665" customFormat="false" ht="14.4" hidden="true" customHeight="false" outlineLevel="0" collapsed="false">
      <c r="A4665" s="34" t="n">
        <v>85553735815</v>
      </c>
      <c r="B4665" s="34" t="s">
        <v>11112</v>
      </c>
      <c r="C4665" s="34" t="s">
        <v>77</v>
      </c>
      <c r="E4665" s="30" t="s">
        <v>11113</v>
      </c>
      <c r="F4665" s="34" t="n">
        <f aca="false">IFERROR(VLOOKUP($A4665,'319'!$B:$H,7,0),0)</f>
        <v>0</v>
      </c>
      <c r="G4665" s="34" t="n">
        <f aca="false">SUMIFS('12.326ana'!$C:$C,'12.326ana'!$M:$M,redes!A4665)</f>
        <v>0</v>
      </c>
    </row>
    <row r="4666" customFormat="false" ht="14.4" hidden="true" customHeight="false" outlineLevel="0" collapsed="false">
      <c r="A4666" s="34" t="n">
        <v>85570150110</v>
      </c>
      <c r="B4666" s="34" t="s">
        <v>11114</v>
      </c>
      <c r="C4666" s="34" t="s">
        <v>103</v>
      </c>
      <c r="E4666" s="30" t="s">
        <v>11115</v>
      </c>
      <c r="F4666" s="34" t="n">
        <f aca="false">IFERROR(VLOOKUP($A4666,'319'!$B:$H,7,0),0)</f>
        <v>0</v>
      </c>
      <c r="G4666" s="34" t="n">
        <f aca="false">SUMIFS('12.326ana'!$C:$C,'12.326ana'!$M:$M,redes!A4666)</f>
        <v>0</v>
      </c>
    </row>
    <row r="4667" customFormat="false" ht="14.4" hidden="true" customHeight="false" outlineLevel="0" collapsed="false">
      <c r="A4667" s="34" t="n">
        <v>85606286149</v>
      </c>
      <c r="B4667" s="34" t="s">
        <v>11116</v>
      </c>
      <c r="C4667" s="34" t="s">
        <v>77</v>
      </c>
      <c r="E4667" s="30" t="s">
        <v>11117</v>
      </c>
      <c r="F4667" s="34" t="n">
        <f aca="false">IFERROR(VLOOKUP($A4667,'319'!$B:$H,7,0),0)</f>
        <v>0</v>
      </c>
      <c r="G4667" s="34" t="n">
        <f aca="false">SUMIFS('12.326ana'!$C:$C,'12.326ana'!$M:$M,redes!A4667)</f>
        <v>0</v>
      </c>
    </row>
    <row r="4668" customFormat="false" ht="14.4" hidden="true" customHeight="false" outlineLevel="0" collapsed="false">
      <c r="A4668" s="34" t="n">
        <v>85607185168</v>
      </c>
      <c r="B4668" s="34" t="s">
        <v>11118</v>
      </c>
      <c r="C4668" s="34" t="s">
        <v>77</v>
      </c>
      <c r="E4668" s="30" t="s">
        <v>11119</v>
      </c>
      <c r="F4668" s="34" t="n">
        <f aca="false">IFERROR(VLOOKUP($A4668,'319'!$B:$H,7,0),0)</f>
        <v>0</v>
      </c>
      <c r="G4668" s="34" t="n">
        <f aca="false">SUMIFS('12.326ana'!$C:$C,'12.326ana'!$M:$M,redes!A4668)</f>
        <v>0</v>
      </c>
    </row>
    <row r="4669" customFormat="false" ht="14.4" hidden="true" customHeight="false" outlineLevel="0" collapsed="false">
      <c r="A4669" s="34" t="n">
        <v>85629197134</v>
      </c>
      <c r="B4669" s="34" t="s">
        <v>11120</v>
      </c>
      <c r="C4669" s="34" t="s">
        <v>979</v>
      </c>
      <c r="E4669" s="30" t="s">
        <v>11121</v>
      </c>
      <c r="F4669" s="34" t="n">
        <f aca="false">IFERROR(VLOOKUP($A4669,'319'!$B:$H,7,0),0)</f>
        <v>0</v>
      </c>
      <c r="G4669" s="34" t="n">
        <f aca="false">SUMIFS('12.326ana'!$C:$C,'12.326ana'!$M:$M,redes!A4669)</f>
        <v>0</v>
      </c>
    </row>
    <row r="4670" customFormat="false" ht="14.4" hidden="true" customHeight="false" outlineLevel="0" collapsed="false">
      <c r="A4670" s="34" t="n">
        <v>85630632191</v>
      </c>
      <c r="B4670" s="34" t="s">
        <v>11122</v>
      </c>
      <c r="C4670" s="34" t="s">
        <v>77</v>
      </c>
      <c r="E4670" s="30" t="s">
        <v>11123</v>
      </c>
      <c r="F4670" s="34" t="n">
        <f aca="false">IFERROR(VLOOKUP($A4670,'319'!$B:$H,7,0),0)</f>
        <v>0</v>
      </c>
      <c r="G4670" s="34" t="n">
        <f aca="false">SUMIFS('12.326ana'!$C:$C,'12.326ana'!$M:$M,redes!A4670)</f>
        <v>0</v>
      </c>
    </row>
    <row r="4671" customFormat="false" ht="14.4" hidden="true" customHeight="false" outlineLevel="0" collapsed="false">
      <c r="A4671" s="34" t="n">
        <v>85640077115</v>
      </c>
      <c r="B4671" s="34" t="s">
        <v>11124</v>
      </c>
      <c r="C4671" s="34" t="s">
        <v>357</v>
      </c>
      <c r="E4671" s="30" t="s">
        <v>11125</v>
      </c>
      <c r="F4671" s="34" t="n">
        <f aca="false">IFERROR(VLOOKUP($A4671,'319'!$B:$H,7,0),0)</f>
        <v>0</v>
      </c>
      <c r="G4671" s="34" t="n">
        <f aca="false">SUMIFS('12.326ana'!$C:$C,'12.326ana'!$M:$M,redes!A4671)</f>
        <v>0</v>
      </c>
    </row>
    <row r="4672" customFormat="false" ht="14.4" hidden="true" customHeight="false" outlineLevel="0" collapsed="false">
      <c r="A4672" s="34" t="n">
        <v>85646695104</v>
      </c>
      <c r="B4672" s="34" t="s">
        <v>11126</v>
      </c>
      <c r="C4672" s="34" t="s">
        <v>2998</v>
      </c>
      <c r="E4672" s="30" t="s">
        <v>5836</v>
      </c>
      <c r="F4672" s="34" t="n">
        <f aca="false">IFERROR(VLOOKUP($A4672,'319'!$B:$H,7,0),0)</f>
        <v>0</v>
      </c>
      <c r="G4672" s="34" t="n">
        <f aca="false">SUMIFS('12.326ana'!$C:$C,'12.326ana'!$M:$M,redes!A4672)</f>
        <v>0</v>
      </c>
    </row>
    <row r="4673" customFormat="false" ht="14.4" hidden="true" customHeight="false" outlineLevel="0" collapsed="false">
      <c r="A4673" s="34" t="n">
        <v>85649767149</v>
      </c>
      <c r="B4673" s="34" t="s">
        <v>11127</v>
      </c>
      <c r="C4673" s="34" t="s">
        <v>309</v>
      </c>
      <c r="E4673" s="30" t="s">
        <v>11128</v>
      </c>
      <c r="F4673" s="34" t="n">
        <f aca="false">IFERROR(VLOOKUP($A4673,'319'!$B:$H,7,0),0)</f>
        <v>0</v>
      </c>
      <c r="G4673" s="34" t="n">
        <f aca="false">SUMIFS('12.326ana'!$C:$C,'12.326ana'!$M:$M,redes!A4673)</f>
        <v>0</v>
      </c>
    </row>
    <row r="4674" customFormat="false" ht="14.4" hidden="true" customHeight="false" outlineLevel="0" collapsed="false">
      <c r="A4674" s="34" t="n">
        <v>85663050191</v>
      </c>
      <c r="B4674" s="34" t="s">
        <v>11129</v>
      </c>
      <c r="C4674" s="34" t="s">
        <v>77</v>
      </c>
      <c r="E4674" s="30" t="s">
        <v>11130</v>
      </c>
      <c r="F4674" s="34" t="n">
        <f aca="false">IFERROR(VLOOKUP($A4674,'319'!$B:$H,7,0),0)</f>
        <v>0</v>
      </c>
      <c r="G4674" s="34" t="n">
        <f aca="false">SUMIFS('12.326ana'!$C:$C,'12.326ana'!$M:$M,redes!A4674)</f>
        <v>0</v>
      </c>
    </row>
    <row r="4675" customFormat="false" ht="14.4" hidden="true" customHeight="false" outlineLevel="0" collapsed="false">
      <c r="A4675" s="34" t="n">
        <v>85672475191</v>
      </c>
      <c r="B4675" s="34" t="s">
        <v>11131</v>
      </c>
      <c r="C4675" s="34" t="s">
        <v>77</v>
      </c>
      <c r="E4675" s="30" t="s">
        <v>11132</v>
      </c>
      <c r="F4675" s="34" t="n">
        <f aca="false">IFERROR(VLOOKUP($A4675,'319'!$B:$H,7,0),0)</f>
        <v>0</v>
      </c>
      <c r="G4675" s="34" t="n">
        <f aca="false">SUMIFS('12.326ana'!$C:$C,'12.326ana'!$M:$M,redes!A4675)</f>
        <v>0</v>
      </c>
    </row>
    <row r="4676" customFormat="false" ht="14.4" hidden="true" customHeight="false" outlineLevel="0" collapsed="false">
      <c r="A4676" s="34" t="n">
        <v>85672998100</v>
      </c>
      <c r="B4676" s="34" t="s">
        <v>11133</v>
      </c>
      <c r="C4676" s="34" t="s">
        <v>77</v>
      </c>
      <c r="E4676" s="30" t="s">
        <v>11134</v>
      </c>
      <c r="F4676" s="34" t="n">
        <f aca="false">IFERROR(VLOOKUP($A4676,'319'!$B:$H,7,0),0)</f>
        <v>0</v>
      </c>
      <c r="G4676" s="34" t="n">
        <f aca="false">SUMIFS('12.326ana'!$C:$C,'12.326ana'!$M:$M,redes!A4676)</f>
        <v>0</v>
      </c>
    </row>
    <row r="4677" customFormat="false" ht="14.4" hidden="true" customHeight="false" outlineLevel="0" collapsed="false">
      <c r="A4677" s="34" t="n">
        <v>85673145187</v>
      </c>
      <c r="B4677" s="34" t="s">
        <v>11135</v>
      </c>
      <c r="C4677" s="34" t="s">
        <v>77</v>
      </c>
      <c r="E4677" s="30" t="s">
        <v>11136</v>
      </c>
      <c r="F4677" s="34" t="n">
        <f aca="false">IFERROR(VLOOKUP($A4677,'319'!$B:$H,7,0),0)</f>
        <v>0</v>
      </c>
      <c r="G4677" s="34" t="n">
        <f aca="false">SUMIFS('12.326ana'!$C:$C,'12.326ana'!$M:$M,redes!A4677)</f>
        <v>0</v>
      </c>
    </row>
    <row r="4678" customFormat="false" ht="14.4" hidden="true" customHeight="false" outlineLevel="0" collapsed="false">
      <c r="A4678" s="34" t="n">
        <v>85772852191</v>
      </c>
      <c r="B4678" s="34" t="s">
        <v>11137</v>
      </c>
      <c r="C4678" s="34" t="s">
        <v>737</v>
      </c>
      <c r="E4678" s="30" t="s">
        <v>11138</v>
      </c>
      <c r="F4678" s="34" t="n">
        <f aca="false">IFERROR(VLOOKUP($A4678,'319'!$B:$H,7,0),0)</f>
        <v>0</v>
      </c>
      <c r="G4678" s="34" t="n">
        <f aca="false">SUMIFS('12.326ana'!$C:$C,'12.326ana'!$M:$M,redes!A4678)</f>
        <v>0</v>
      </c>
    </row>
    <row r="4679" customFormat="false" ht="14.4" hidden="true" customHeight="false" outlineLevel="0" collapsed="false">
      <c r="A4679" s="34" t="n">
        <v>85788732115</v>
      </c>
      <c r="B4679" s="34" t="s">
        <v>11139</v>
      </c>
      <c r="C4679" s="34" t="s">
        <v>192</v>
      </c>
      <c r="E4679" s="30" t="s">
        <v>11140</v>
      </c>
      <c r="F4679" s="34" t="n">
        <f aca="false">IFERROR(VLOOKUP($A4679,'319'!$B:$H,7,0),0)</f>
        <v>0</v>
      </c>
      <c r="G4679" s="34" t="n">
        <f aca="false">SUMIFS('12.326ana'!$C:$C,'12.326ana'!$M:$M,redes!A4679)</f>
        <v>0</v>
      </c>
    </row>
    <row r="4680" customFormat="false" ht="14.4" hidden="true" customHeight="false" outlineLevel="0" collapsed="false">
      <c r="A4680" s="34" t="n">
        <v>85805840197</v>
      </c>
      <c r="B4680" s="34" t="s">
        <v>11141</v>
      </c>
      <c r="C4680" s="34" t="s">
        <v>77</v>
      </c>
      <c r="E4680" s="30" t="s">
        <v>5266</v>
      </c>
      <c r="F4680" s="34" t="n">
        <f aca="false">IFERROR(VLOOKUP($A4680,'319'!$B:$H,7,0),0)</f>
        <v>0</v>
      </c>
      <c r="G4680" s="34" t="n">
        <f aca="false">SUMIFS('12.326ana'!$C:$C,'12.326ana'!$M:$M,redes!A4680)</f>
        <v>0</v>
      </c>
    </row>
    <row r="4681" customFormat="false" ht="14.4" hidden="true" customHeight="false" outlineLevel="0" collapsed="false">
      <c r="A4681" s="34" t="n">
        <v>85912530191</v>
      </c>
      <c r="B4681" s="34" t="s">
        <v>11142</v>
      </c>
      <c r="C4681" s="34" t="s">
        <v>89</v>
      </c>
      <c r="E4681" s="30" t="s">
        <v>11143</v>
      </c>
      <c r="F4681" s="34" t="n">
        <f aca="false">IFERROR(VLOOKUP($A4681,'319'!$B:$H,7,0),0)</f>
        <v>0</v>
      </c>
      <c r="G4681" s="34" t="n">
        <f aca="false">SUMIFS('12.326ana'!$C:$C,'12.326ana'!$M:$M,redes!A4681)</f>
        <v>0</v>
      </c>
    </row>
    <row r="4682" customFormat="false" ht="14.4" hidden="true" customHeight="false" outlineLevel="0" collapsed="false">
      <c r="A4682" s="34" t="n">
        <v>85917753172</v>
      </c>
      <c r="B4682" s="34" t="s">
        <v>11144</v>
      </c>
      <c r="C4682" s="34" t="s">
        <v>107</v>
      </c>
      <c r="E4682" s="30" t="s">
        <v>11145</v>
      </c>
      <c r="F4682" s="34" t="n">
        <f aca="false">IFERROR(VLOOKUP($A4682,'319'!$B:$H,7,0),0)</f>
        <v>0</v>
      </c>
      <c r="G4682" s="34" t="n">
        <f aca="false">SUMIFS('12.326ana'!$C:$C,'12.326ana'!$M:$M,redes!A4682)</f>
        <v>0</v>
      </c>
    </row>
    <row r="4683" customFormat="false" ht="14.4" hidden="true" customHeight="false" outlineLevel="0" collapsed="false">
      <c r="A4683" s="34" t="n">
        <v>85917826153</v>
      </c>
      <c r="B4683" s="34" t="s">
        <v>11146</v>
      </c>
      <c r="C4683" s="34" t="s">
        <v>77</v>
      </c>
      <c r="E4683" s="30" t="s">
        <v>11147</v>
      </c>
      <c r="F4683" s="34" t="n">
        <f aca="false">IFERROR(VLOOKUP($A4683,'319'!$B:$H,7,0),0)</f>
        <v>0</v>
      </c>
      <c r="G4683" s="34" t="n">
        <f aca="false">SUMIFS('12.326ana'!$C:$C,'12.326ana'!$M:$M,redes!A4683)</f>
        <v>0</v>
      </c>
    </row>
    <row r="4684" customFormat="false" ht="14.4" hidden="true" customHeight="false" outlineLevel="0" collapsed="false">
      <c r="A4684" s="34" t="n">
        <v>85923460882</v>
      </c>
      <c r="B4684" s="34" t="s">
        <v>11148</v>
      </c>
      <c r="C4684" s="34" t="s">
        <v>77</v>
      </c>
      <c r="E4684" s="30" t="s">
        <v>11149</v>
      </c>
      <c r="F4684" s="34" t="n">
        <f aca="false">IFERROR(VLOOKUP($A4684,'319'!$B:$H,7,0),0)</f>
        <v>0</v>
      </c>
      <c r="G4684" s="34" t="n">
        <f aca="false">SUMIFS('12.326ana'!$C:$C,'12.326ana'!$M:$M,redes!A4684)</f>
        <v>0</v>
      </c>
    </row>
    <row r="4685" customFormat="false" ht="14.4" hidden="true" customHeight="false" outlineLevel="0" collapsed="false">
      <c r="A4685" s="34" t="n">
        <v>85960985187</v>
      </c>
      <c r="B4685" s="34" t="s">
        <v>11150</v>
      </c>
      <c r="C4685" s="34" t="s">
        <v>77</v>
      </c>
      <c r="E4685" s="30" t="s">
        <v>4061</v>
      </c>
      <c r="F4685" s="34" t="n">
        <f aca="false">IFERROR(VLOOKUP($A4685,'319'!$B:$H,7,0),0)</f>
        <v>0</v>
      </c>
      <c r="G4685" s="34" t="n">
        <f aca="false">SUMIFS('12.326ana'!$C:$C,'12.326ana'!$M:$M,redes!A4685)</f>
        <v>0</v>
      </c>
    </row>
    <row r="4686" customFormat="false" ht="14.4" hidden="true" customHeight="false" outlineLevel="0" collapsed="false">
      <c r="A4686" s="34" t="n">
        <v>85978264104</v>
      </c>
      <c r="B4686" s="34" t="s">
        <v>11151</v>
      </c>
      <c r="C4686" s="34" t="s">
        <v>89</v>
      </c>
      <c r="E4686" s="30" t="s">
        <v>11152</v>
      </c>
      <c r="F4686" s="34" t="n">
        <f aca="false">IFERROR(VLOOKUP($A4686,'319'!$B:$H,7,0),0)</f>
        <v>0</v>
      </c>
      <c r="G4686" s="34" t="n">
        <f aca="false">SUMIFS('12.326ana'!$C:$C,'12.326ana'!$M:$M,redes!A4686)</f>
        <v>0</v>
      </c>
    </row>
    <row r="4687" customFormat="false" ht="14.4" hidden="true" customHeight="false" outlineLevel="0" collapsed="false">
      <c r="A4687" s="34" t="n">
        <v>86007440168</v>
      </c>
      <c r="B4687" s="34" t="s">
        <v>11153</v>
      </c>
      <c r="C4687" s="34" t="s">
        <v>107</v>
      </c>
      <c r="E4687" s="30" t="s">
        <v>11154</v>
      </c>
      <c r="F4687" s="34" t="n">
        <f aca="false">IFERROR(VLOOKUP($A4687,'319'!$B:$H,7,0),0)</f>
        <v>0</v>
      </c>
      <c r="G4687" s="34" t="n">
        <f aca="false">SUMIFS('12.326ana'!$C:$C,'12.326ana'!$M:$M,redes!A4687)</f>
        <v>0</v>
      </c>
    </row>
    <row r="4688" customFormat="false" ht="14.4" hidden="true" customHeight="false" outlineLevel="0" collapsed="false">
      <c r="A4688" s="34" t="n">
        <v>86014374191</v>
      </c>
      <c r="B4688" s="34" t="s">
        <v>11155</v>
      </c>
      <c r="C4688" s="34" t="s">
        <v>103</v>
      </c>
      <c r="E4688" s="30" t="s">
        <v>11156</v>
      </c>
      <c r="F4688" s="34" t="n">
        <f aca="false">IFERROR(VLOOKUP($A4688,'319'!$B:$H,7,0),0)</f>
        <v>0</v>
      </c>
      <c r="G4688" s="34" t="n">
        <f aca="false">SUMIFS('12.326ana'!$C:$C,'12.326ana'!$M:$M,redes!A4688)</f>
        <v>0</v>
      </c>
    </row>
    <row r="4689" customFormat="false" ht="14.4" hidden="true" customHeight="false" outlineLevel="0" collapsed="false">
      <c r="A4689" s="34" t="n">
        <v>86020781100</v>
      </c>
      <c r="B4689" s="34" t="s">
        <v>11157</v>
      </c>
      <c r="C4689" s="34" t="s">
        <v>77</v>
      </c>
      <c r="E4689" s="30" t="s">
        <v>11157</v>
      </c>
      <c r="F4689" s="34" t="n">
        <f aca="false">IFERROR(VLOOKUP($A4689,'319'!$B:$H,7,0),0)</f>
        <v>0</v>
      </c>
      <c r="G4689" s="34" t="n">
        <f aca="false">SUMIFS('12.326ana'!$C:$C,'12.326ana'!$M:$M,redes!A4689)</f>
        <v>0</v>
      </c>
    </row>
    <row r="4690" customFormat="false" ht="14.4" hidden="true" customHeight="false" outlineLevel="0" collapsed="false">
      <c r="A4690" s="34" t="n">
        <v>86105990197</v>
      </c>
      <c r="B4690" s="34" t="s">
        <v>11158</v>
      </c>
      <c r="C4690" s="34" t="s">
        <v>154</v>
      </c>
      <c r="E4690" s="30" t="s">
        <v>6528</v>
      </c>
      <c r="F4690" s="34" t="n">
        <f aca="false">IFERROR(VLOOKUP($A4690,'319'!$B:$H,7,0),0)</f>
        <v>0</v>
      </c>
      <c r="G4690" s="34" t="n">
        <f aca="false">SUMIFS('12.326ana'!$C:$C,'12.326ana'!$M:$M,redes!A4690)</f>
        <v>0</v>
      </c>
    </row>
    <row r="4691" customFormat="false" ht="14.4" hidden="true" customHeight="false" outlineLevel="0" collapsed="false">
      <c r="A4691" s="34" t="n">
        <v>86110462187</v>
      </c>
      <c r="B4691" s="34" t="s">
        <v>11159</v>
      </c>
      <c r="C4691" s="34" t="s">
        <v>117</v>
      </c>
      <c r="E4691" s="30" t="s">
        <v>11160</v>
      </c>
      <c r="F4691" s="34" t="n">
        <f aca="false">IFERROR(VLOOKUP($A4691,'319'!$B:$H,7,0),0)</f>
        <v>0</v>
      </c>
      <c r="G4691" s="34" t="n">
        <f aca="false">SUMIFS('12.326ana'!$C:$C,'12.326ana'!$M:$M,redes!A4691)</f>
        <v>0</v>
      </c>
    </row>
    <row r="4692" customFormat="false" ht="14.4" hidden="true" customHeight="false" outlineLevel="0" collapsed="false">
      <c r="A4692" s="34" t="n">
        <v>86126210115</v>
      </c>
      <c r="B4692" s="34" t="s">
        <v>11161</v>
      </c>
      <c r="C4692" s="34" t="s">
        <v>77</v>
      </c>
      <c r="E4692" s="30" t="s">
        <v>6448</v>
      </c>
      <c r="F4692" s="34" t="n">
        <f aca="false">IFERROR(VLOOKUP($A4692,'319'!$B:$H,7,0),0)</f>
        <v>0</v>
      </c>
      <c r="G4692" s="34" t="n">
        <f aca="false">SUMIFS('12.326ana'!$C:$C,'12.326ana'!$M:$M,redes!A4692)</f>
        <v>0</v>
      </c>
    </row>
    <row r="4693" customFormat="false" ht="14.4" hidden="true" customHeight="false" outlineLevel="0" collapsed="false">
      <c r="A4693" s="34" t="n">
        <v>86126237153</v>
      </c>
      <c r="B4693" s="34" t="s">
        <v>11162</v>
      </c>
      <c r="C4693" s="34" t="s">
        <v>77</v>
      </c>
      <c r="E4693" s="30" t="s">
        <v>11163</v>
      </c>
      <c r="F4693" s="34" t="n">
        <f aca="false">IFERROR(VLOOKUP($A4693,'319'!$B:$H,7,0),0)</f>
        <v>0</v>
      </c>
      <c r="G4693" s="34" t="n">
        <f aca="false">SUMIFS('12.326ana'!$C:$C,'12.326ana'!$M:$M,redes!A4693)</f>
        <v>0</v>
      </c>
    </row>
    <row r="4694" customFormat="false" ht="14.4" hidden="true" customHeight="false" outlineLevel="0" collapsed="false">
      <c r="A4694" s="34" t="n">
        <v>86138871120</v>
      </c>
      <c r="B4694" s="34" t="s">
        <v>11164</v>
      </c>
      <c r="C4694" s="34" t="s">
        <v>77</v>
      </c>
      <c r="E4694" s="30" t="s">
        <v>11165</v>
      </c>
      <c r="F4694" s="34" t="n">
        <f aca="false">IFERROR(VLOOKUP($A4694,'319'!$B:$H,7,0),0)</f>
        <v>0</v>
      </c>
      <c r="G4694" s="34" t="n">
        <f aca="false">SUMIFS('12.326ana'!$C:$C,'12.326ana'!$M:$M,redes!A4694)</f>
        <v>0</v>
      </c>
    </row>
    <row r="4695" customFormat="false" ht="14.4" hidden="true" customHeight="false" outlineLevel="0" collapsed="false">
      <c r="A4695" s="34" t="n">
        <v>86141244149</v>
      </c>
      <c r="B4695" s="34" t="s">
        <v>11166</v>
      </c>
      <c r="C4695" s="34" t="s">
        <v>377</v>
      </c>
      <c r="E4695" s="30" t="s">
        <v>11166</v>
      </c>
      <c r="F4695" s="34" t="n">
        <f aca="false">IFERROR(VLOOKUP($A4695,'319'!$B:$H,7,0),0)</f>
        <v>0</v>
      </c>
      <c r="G4695" s="34" t="n">
        <f aca="false">SUMIFS('12.326ana'!$C:$C,'12.326ana'!$M:$M,redes!A4695)</f>
        <v>0</v>
      </c>
    </row>
    <row r="4696" customFormat="false" ht="14.4" hidden="true" customHeight="false" outlineLevel="0" collapsed="false">
      <c r="A4696" s="34" t="n">
        <v>86163833104</v>
      </c>
      <c r="B4696" s="34" t="s">
        <v>11167</v>
      </c>
      <c r="C4696" s="34" t="s">
        <v>77</v>
      </c>
      <c r="E4696" s="30"/>
      <c r="F4696" s="34" t="n">
        <f aca="false">IFERROR(VLOOKUP($A4696,'319'!$B:$H,7,0),0)</f>
        <v>0</v>
      </c>
      <c r="G4696" s="34" t="n">
        <f aca="false">SUMIFS('12.326ana'!$C:$C,'12.326ana'!$M:$M,redes!A4696)</f>
        <v>0</v>
      </c>
    </row>
    <row r="4697" customFormat="false" ht="14.4" hidden="true" customHeight="false" outlineLevel="0" collapsed="false">
      <c r="A4697" s="34" t="n">
        <v>86164546168</v>
      </c>
      <c r="B4697" s="34" t="s">
        <v>11168</v>
      </c>
      <c r="C4697" s="34" t="s">
        <v>706</v>
      </c>
      <c r="E4697" s="30" t="s">
        <v>11169</v>
      </c>
      <c r="F4697" s="34" t="n">
        <f aca="false">IFERROR(VLOOKUP($A4697,'319'!$B:$H,7,0),0)</f>
        <v>0</v>
      </c>
      <c r="G4697" s="34" t="n">
        <f aca="false">SUMIFS('12.326ana'!$C:$C,'12.326ana'!$M:$M,redes!A4697)</f>
        <v>0</v>
      </c>
    </row>
    <row r="4698" customFormat="false" ht="14.4" hidden="true" customHeight="false" outlineLevel="0" collapsed="false">
      <c r="A4698" s="34" t="n">
        <v>86167502153</v>
      </c>
      <c r="B4698" s="34" t="s">
        <v>11170</v>
      </c>
      <c r="C4698" s="34" t="s">
        <v>77</v>
      </c>
      <c r="E4698" s="30" t="s">
        <v>11171</v>
      </c>
      <c r="F4698" s="34" t="n">
        <f aca="false">IFERROR(VLOOKUP($A4698,'319'!$B:$H,7,0),0)</f>
        <v>0</v>
      </c>
      <c r="G4698" s="34" t="n">
        <f aca="false">SUMIFS('12.326ana'!$C:$C,'12.326ana'!$M:$M,redes!A4698)</f>
        <v>0</v>
      </c>
    </row>
    <row r="4699" customFormat="false" ht="14.4" hidden="true" customHeight="false" outlineLevel="0" collapsed="false">
      <c r="A4699" s="34" t="n">
        <v>86178105134</v>
      </c>
      <c r="B4699" s="34" t="s">
        <v>11172</v>
      </c>
      <c r="C4699" s="34" t="s">
        <v>77</v>
      </c>
      <c r="E4699" s="30" t="s">
        <v>11173</v>
      </c>
      <c r="F4699" s="34" t="n">
        <f aca="false">IFERROR(VLOOKUP($A4699,'319'!$B:$H,7,0),0)</f>
        <v>0</v>
      </c>
      <c r="G4699" s="34" t="n">
        <f aca="false">SUMIFS('12.326ana'!$C:$C,'12.326ana'!$M:$M,redes!A4699)</f>
        <v>0</v>
      </c>
    </row>
    <row r="4700" customFormat="false" ht="14.4" hidden="true" customHeight="false" outlineLevel="0" collapsed="false">
      <c r="A4700" s="34" t="n">
        <v>86180371172</v>
      </c>
      <c r="B4700" s="34" t="s">
        <v>11174</v>
      </c>
      <c r="C4700" s="34" t="s">
        <v>197</v>
      </c>
      <c r="E4700" s="30" t="s">
        <v>11175</v>
      </c>
      <c r="F4700" s="34" t="n">
        <f aca="false">IFERROR(VLOOKUP($A4700,'319'!$B:$H,7,0),0)</f>
        <v>0</v>
      </c>
      <c r="G4700" s="34" t="n">
        <f aca="false">SUMIFS('12.326ana'!$C:$C,'12.326ana'!$M:$M,redes!A4700)</f>
        <v>0</v>
      </c>
    </row>
    <row r="4701" customFormat="false" ht="14.4" hidden="true" customHeight="false" outlineLevel="0" collapsed="false">
      <c r="A4701" s="34" t="n">
        <v>86417355187</v>
      </c>
      <c r="B4701" s="34" t="s">
        <v>11176</v>
      </c>
      <c r="C4701" s="34" t="s">
        <v>77</v>
      </c>
      <c r="E4701" s="30" t="s">
        <v>11177</v>
      </c>
      <c r="F4701" s="34" t="n">
        <f aca="false">IFERROR(VLOOKUP($A4701,'319'!$B:$H,7,0),0)</f>
        <v>0</v>
      </c>
      <c r="G4701" s="34" t="n">
        <f aca="false">SUMIFS('12.326ana'!$C:$C,'12.326ana'!$M:$M,redes!A4701)</f>
        <v>0</v>
      </c>
    </row>
    <row r="4702" customFormat="false" ht="14.4" hidden="true" customHeight="false" outlineLevel="0" collapsed="false">
      <c r="A4702" s="34" t="n">
        <v>86441531968</v>
      </c>
      <c r="B4702" s="34" t="s">
        <v>11178</v>
      </c>
      <c r="C4702" s="34" t="s">
        <v>213</v>
      </c>
      <c r="E4702" s="30" t="s">
        <v>11179</v>
      </c>
      <c r="F4702" s="34" t="n">
        <f aca="false">IFERROR(VLOOKUP($A4702,'319'!$B:$H,7,0),0)</f>
        <v>0</v>
      </c>
      <c r="G4702" s="34" t="n">
        <f aca="false">SUMIFS('12.326ana'!$C:$C,'12.326ana'!$M:$M,redes!A4702)</f>
        <v>0</v>
      </c>
    </row>
    <row r="4703" customFormat="false" ht="14.4" hidden="true" customHeight="false" outlineLevel="0" collapsed="false">
      <c r="A4703" s="34" t="n">
        <v>86447726191</v>
      </c>
      <c r="B4703" s="34" t="s">
        <v>11180</v>
      </c>
      <c r="C4703" s="34" t="s">
        <v>309</v>
      </c>
      <c r="E4703" s="30" t="s">
        <v>11181</v>
      </c>
      <c r="F4703" s="34" t="n">
        <f aca="false">IFERROR(VLOOKUP($A4703,'319'!$B:$H,7,0),0)</f>
        <v>0</v>
      </c>
      <c r="G4703" s="34" t="n">
        <f aca="false">SUMIFS('12.326ana'!$C:$C,'12.326ana'!$M:$M,redes!A4703)</f>
        <v>0</v>
      </c>
    </row>
    <row r="4704" customFormat="false" ht="14.4" hidden="true" customHeight="false" outlineLevel="0" collapsed="false">
      <c r="A4704" s="34" t="n">
        <v>86481169100</v>
      </c>
      <c r="B4704" s="34" t="s">
        <v>11182</v>
      </c>
      <c r="C4704" s="34" t="s">
        <v>77</v>
      </c>
      <c r="E4704" s="30" t="s">
        <v>11183</v>
      </c>
      <c r="F4704" s="34" t="n">
        <f aca="false">IFERROR(VLOOKUP($A4704,'319'!$B:$H,7,0),0)</f>
        <v>0</v>
      </c>
      <c r="G4704" s="34" t="n">
        <f aca="false">SUMIFS('12.326ana'!$C:$C,'12.326ana'!$M:$M,redes!A4704)</f>
        <v>0</v>
      </c>
    </row>
    <row r="4705" customFormat="false" ht="14.4" hidden="true" customHeight="false" outlineLevel="0" collapsed="false">
      <c r="A4705" s="34" t="n">
        <v>86496697191</v>
      </c>
      <c r="B4705" s="34" t="s">
        <v>11184</v>
      </c>
      <c r="C4705" s="34" t="s">
        <v>77</v>
      </c>
      <c r="E4705" s="30" t="s">
        <v>11185</v>
      </c>
      <c r="F4705" s="34" t="n">
        <f aca="false">IFERROR(VLOOKUP($A4705,'319'!$B:$H,7,0),0)</f>
        <v>0</v>
      </c>
      <c r="G4705" s="34" t="n">
        <f aca="false">SUMIFS('12.326ana'!$C:$C,'12.326ana'!$M:$M,redes!A4705)</f>
        <v>0</v>
      </c>
    </row>
    <row r="4706" customFormat="false" ht="14.4" hidden="true" customHeight="false" outlineLevel="0" collapsed="false">
      <c r="A4706" s="34" t="n">
        <v>86592360178</v>
      </c>
      <c r="B4706" s="34" t="s">
        <v>11186</v>
      </c>
      <c r="C4706" s="34" t="s">
        <v>77</v>
      </c>
      <c r="E4706" s="30" t="s">
        <v>3505</v>
      </c>
      <c r="F4706" s="34" t="n">
        <f aca="false">IFERROR(VLOOKUP($A4706,'319'!$B:$H,7,0),0)</f>
        <v>0</v>
      </c>
      <c r="G4706" s="34" t="n">
        <f aca="false">SUMIFS('12.326ana'!$C:$C,'12.326ana'!$M:$M,redes!A4706)</f>
        <v>0</v>
      </c>
    </row>
    <row r="4707" customFormat="false" ht="14.4" hidden="true" customHeight="false" outlineLevel="0" collapsed="false">
      <c r="A4707" s="34" t="n">
        <v>86608479115</v>
      </c>
      <c r="B4707" s="34" t="s">
        <v>11187</v>
      </c>
      <c r="C4707" s="34" t="s">
        <v>954</v>
      </c>
      <c r="E4707" s="30" t="s">
        <v>1832</v>
      </c>
      <c r="F4707" s="34" t="n">
        <f aca="false">IFERROR(VLOOKUP($A4707,'319'!$B:$H,7,0),0)</f>
        <v>0</v>
      </c>
      <c r="G4707" s="34" t="n">
        <f aca="false">SUMIFS('12.326ana'!$C:$C,'12.326ana'!$M:$M,redes!A4707)</f>
        <v>0</v>
      </c>
    </row>
    <row r="4708" customFormat="false" ht="14.4" hidden="true" customHeight="false" outlineLevel="0" collapsed="false">
      <c r="A4708" s="34" t="n">
        <v>86625497134</v>
      </c>
      <c r="B4708" s="34" t="s">
        <v>11188</v>
      </c>
      <c r="C4708" s="34" t="s">
        <v>77</v>
      </c>
      <c r="E4708" s="30" t="s">
        <v>11189</v>
      </c>
      <c r="F4708" s="34" t="n">
        <f aca="false">IFERROR(VLOOKUP($A4708,'319'!$B:$H,7,0),0)</f>
        <v>0</v>
      </c>
      <c r="G4708" s="34" t="n">
        <f aca="false">SUMIFS('12.326ana'!$C:$C,'12.326ana'!$M:$M,redes!A4708)</f>
        <v>0</v>
      </c>
    </row>
    <row r="4709" customFormat="false" ht="14.4" hidden="true" customHeight="false" outlineLevel="0" collapsed="false">
      <c r="A4709" s="34" t="n">
        <v>86625632104</v>
      </c>
      <c r="B4709" s="34" t="s">
        <v>11190</v>
      </c>
      <c r="C4709" s="34" t="s">
        <v>737</v>
      </c>
      <c r="E4709" s="30" t="s">
        <v>11191</v>
      </c>
      <c r="F4709" s="34" t="n">
        <f aca="false">IFERROR(VLOOKUP($A4709,'319'!$B:$H,7,0),0)</f>
        <v>0</v>
      </c>
      <c r="G4709" s="34" t="n">
        <f aca="false">SUMIFS('12.326ana'!$C:$C,'12.326ana'!$M:$M,redes!A4709)</f>
        <v>0</v>
      </c>
    </row>
    <row r="4710" customFormat="false" ht="14.4" hidden="true" customHeight="false" outlineLevel="0" collapsed="false">
      <c r="A4710" s="34" t="n">
        <v>86678639120</v>
      </c>
      <c r="B4710" s="34" t="s">
        <v>11192</v>
      </c>
      <c r="C4710" s="34" t="s">
        <v>967</v>
      </c>
      <c r="E4710" s="30" t="s">
        <v>11193</v>
      </c>
      <c r="F4710" s="34" t="n">
        <f aca="false">IFERROR(VLOOKUP($A4710,'319'!$B:$H,7,0),0)</f>
        <v>0</v>
      </c>
      <c r="G4710" s="34" t="n">
        <f aca="false">SUMIFS('12.326ana'!$C:$C,'12.326ana'!$M:$M,redes!A4710)</f>
        <v>0</v>
      </c>
    </row>
    <row r="4711" customFormat="false" ht="14.4" hidden="true" customHeight="false" outlineLevel="0" collapsed="false">
      <c r="A4711" s="34" t="n">
        <v>86722123120</v>
      </c>
      <c r="B4711" s="34" t="s">
        <v>11194</v>
      </c>
      <c r="C4711" s="34" t="s">
        <v>77</v>
      </c>
      <c r="E4711" s="30" t="s">
        <v>11195</v>
      </c>
      <c r="F4711" s="34" t="n">
        <f aca="false">IFERROR(VLOOKUP($A4711,'319'!$B:$H,7,0),0)</f>
        <v>0</v>
      </c>
      <c r="G4711" s="34" t="n">
        <f aca="false">SUMIFS('12.326ana'!$C:$C,'12.326ana'!$M:$M,redes!A4711)</f>
        <v>0</v>
      </c>
    </row>
    <row r="4712" customFormat="false" ht="14.4" hidden="true" customHeight="false" outlineLevel="0" collapsed="false">
      <c r="A4712" s="34" t="n">
        <v>86726412134</v>
      </c>
      <c r="B4712" s="34" t="s">
        <v>11196</v>
      </c>
      <c r="C4712" s="34" t="s">
        <v>77</v>
      </c>
      <c r="E4712" s="30" t="s">
        <v>11197</v>
      </c>
      <c r="F4712" s="34" t="n">
        <f aca="false">IFERROR(VLOOKUP($A4712,'319'!$B:$H,7,0),0)</f>
        <v>0</v>
      </c>
      <c r="G4712" s="34" t="n">
        <f aca="false">SUMIFS('12.326ana'!$C:$C,'12.326ana'!$M:$M,redes!A4712)</f>
        <v>0</v>
      </c>
    </row>
    <row r="4713" customFormat="false" ht="14.4" hidden="true" customHeight="false" outlineLevel="0" collapsed="false">
      <c r="A4713" s="34" t="n">
        <v>86727745153</v>
      </c>
      <c r="B4713" s="34" t="s">
        <v>11198</v>
      </c>
      <c r="C4713" s="34" t="s">
        <v>1591</v>
      </c>
      <c r="E4713" s="30" t="s">
        <v>11199</v>
      </c>
      <c r="F4713" s="34" t="n">
        <f aca="false">IFERROR(VLOOKUP($A4713,'319'!$B:$H,7,0),0)</f>
        <v>0</v>
      </c>
      <c r="G4713" s="34" t="n">
        <f aca="false">SUMIFS('12.326ana'!$C:$C,'12.326ana'!$M:$M,redes!A4713)</f>
        <v>0</v>
      </c>
    </row>
    <row r="4714" customFormat="false" ht="14.4" hidden="true" customHeight="false" outlineLevel="0" collapsed="false">
      <c r="A4714" s="34" t="n">
        <v>86730746149</v>
      </c>
      <c r="B4714" s="34" t="s">
        <v>11200</v>
      </c>
      <c r="C4714" s="34" t="s">
        <v>77</v>
      </c>
      <c r="E4714" s="30" t="s">
        <v>6461</v>
      </c>
      <c r="F4714" s="34" t="n">
        <f aca="false">IFERROR(VLOOKUP($A4714,'319'!$B:$H,7,0),0)</f>
        <v>0</v>
      </c>
      <c r="G4714" s="34" t="n">
        <f aca="false">SUMIFS('12.326ana'!$C:$C,'12.326ana'!$M:$M,redes!A4714)</f>
        <v>0</v>
      </c>
    </row>
    <row r="4715" customFormat="false" ht="14.4" hidden="true" customHeight="false" outlineLevel="0" collapsed="false">
      <c r="A4715" s="34" t="n">
        <v>86735837134</v>
      </c>
      <c r="B4715" s="34" t="s">
        <v>11201</v>
      </c>
      <c r="C4715" s="34" t="s">
        <v>357</v>
      </c>
      <c r="E4715" s="30" t="s">
        <v>11202</v>
      </c>
      <c r="F4715" s="34" t="n">
        <f aca="false">IFERROR(VLOOKUP($A4715,'319'!$B:$H,7,0),0)</f>
        <v>0</v>
      </c>
      <c r="G4715" s="34" t="n">
        <f aca="false">SUMIFS('12.326ana'!$C:$C,'12.326ana'!$M:$M,redes!A4715)</f>
        <v>0</v>
      </c>
    </row>
    <row r="4716" customFormat="false" ht="14.4" hidden="true" customHeight="false" outlineLevel="0" collapsed="false">
      <c r="A4716" s="34" t="n">
        <v>86735861191</v>
      </c>
      <c r="B4716" s="34" t="s">
        <v>11203</v>
      </c>
      <c r="C4716" s="34" t="s">
        <v>107</v>
      </c>
      <c r="E4716" s="30" t="s">
        <v>11204</v>
      </c>
      <c r="F4716" s="34" t="n">
        <f aca="false">IFERROR(VLOOKUP($A4716,'319'!$B:$H,7,0),0)</f>
        <v>0</v>
      </c>
      <c r="G4716" s="34" t="n">
        <f aca="false">SUMIFS('12.326ana'!$C:$C,'12.326ana'!$M:$M,redes!A4716)</f>
        <v>0</v>
      </c>
    </row>
    <row r="4717" customFormat="false" ht="14.4" hidden="true" customHeight="false" outlineLevel="0" collapsed="false">
      <c r="A4717" s="34" t="n">
        <v>86746626172</v>
      </c>
      <c r="B4717" s="34" t="s">
        <v>11205</v>
      </c>
      <c r="C4717" s="34" t="s">
        <v>737</v>
      </c>
      <c r="E4717" s="30" t="s">
        <v>11206</v>
      </c>
      <c r="F4717" s="34" t="n">
        <f aca="false">IFERROR(VLOOKUP($A4717,'319'!$B:$H,7,0),0)</f>
        <v>0</v>
      </c>
      <c r="G4717" s="34" t="n">
        <f aca="false">SUMIFS('12.326ana'!$C:$C,'12.326ana'!$M:$M,redes!A4717)</f>
        <v>0</v>
      </c>
    </row>
    <row r="4718" customFormat="false" ht="14.4" hidden="true" customHeight="false" outlineLevel="0" collapsed="false">
      <c r="A4718" s="34" t="n">
        <v>86763199104</v>
      </c>
      <c r="B4718" s="34" t="s">
        <v>11207</v>
      </c>
      <c r="C4718" s="34" t="s">
        <v>405</v>
      </c>
      <c r="E4718" s="30" t="s">
        <v>11208</v>
      </c>
      <c r="F4718" s="34" t="n">
        <f aca="false">IFERROR(VLOOKUP($A4718,'319'!$B:$H,7,0),0)</f>
        <v>0</v>
      </c>
      <c r="G4718" s="34" t="n">
        <f aca="false">SUMIFS('12.326ana'!$C:$C,'12.326ana'!$M:$M,redes!A4718)</f>
        <v>0</v>
      </c>
    </row>
    <row r="4719" customFormat="false" ht="14.4" hidden="true" customHeight="false" outlineLevel="0" collapsed="false">
      <c r="A4719" s="34" t="n">
        <v>86763377991</v>
      </c>
      <c r="B4719" s="34" t="s">
        <v>11209</v>
      </c>
      <c r="C4719" s="34" t="s">
        <v>77</v>
      </c>
      <c r="E4719" s="30" t="s">
        <v>11210</v>
      </c>
      <c r="F4719" s="34" t="n">
        <f aca="false">IFERROR(VLOOKUP($A4719,'319'!$B:$H,7,0),0)</f>
        <v>0</v>
      </c>
      <c r="G4719" s="34" t="n">
        <f aca="false">SUMIFS('12.326ana'!$C:$C,'12.326ana'!$M:$M,redes!A4719)</f>
        <v>0</v>
      </c>
    </row>
    <row r="4720" customFormat="false" ht="14.4" hidden="true" customHeight="false" outlineLevel="0" collapsed="false">
      <c r="A4720" s="34" t="n">
        <v>86766619104</v>
      </c>
      <c r="B4720" s="34" t="s">
        <v>11211</v>
      </c>
      <c r="C4720" s="34" t="s">
        <v>77</v>
      </c>
      <c r="E4720" s="30" t="s">
        <v>11212</v>
      </c>
      <c r="F4720" s="34" t="n">
        <f aca="false">IFERROR(VLOOKUP($A4720,'319'!$B:$H,7,0),0)</f>
        <v>0</v>
      </c>
      <c r="G4720" s="34" t="n">
        <f aca="false">SUMIFS('12.326ana'!$C:$C,'12.326ana'!$M:$M,redes!A4720)</f>
        <v>0</v>
      </c>
    </row>
    <row r="4721" customFormat="false" ht="14.4" hidden="true" customHeight="false" outlineLevel="0" collapsed="false">
      <c r="A4721" s="34" t="n">
        <v>86782088134</v>
      </c>
      <c r="B4721" s="34" t="s">
        <v>11213</v>
      </c>
      <c r="C4721" s="34" t="s">
        <v>706</v>
      </c>
      <c r="E4721" s="30" t="s">
        <v>11214</v>
      </c>
      <c r="F4721" s="34" t="n">
        <f aca="false">IFERROR(VLOOKUP($A4721,'319'!$B:$H,7,0),0)</f>
        <v>0</v>
      </c>
      <c r="G4721" s="34" t="n">
        <f aca="false">SUMIFS('12.326ana'!$C:$C,'12.326ana'!$M:$M,redes!A4721)</f>
        <v>0</v>
      </c>
    </row>
    <row r="4722" customFormat="false" ht="14.4" hidden="true" customHeight="false" outlineLevel="0" collapsed="false">
      <c r="A4722" s="34" t="n">
        <v>86795295168</v>
      </c>
      <c r="B4722" s="34" t="s">
        <v>11215</v>
      </c>
      <c r="C4722" s="34" t="s">
        <v>1591</v>
      </c>
      <c r="E4722" s="30" t="s">
        <v>11216</v>
      </c>
      <c r="F4722" s="34" t="n">
        <f aca="false">IFERROR(VLOOKUP($A4722,'319'!$B:$H,7,0),0)</f>
        <v>0</v>
      </c>
      <c r="G4722" s="34" t="n">
        <f aca="false">SUMIFS('12.326ana'!$C:$C,'12.326ana'!$M:$M,redes!A4722)</f>
        <v>0</v>
      </c>
    </row>
    <row r="4723" customFormat="false" ht="14.4" hidden="true" customHeight="false" outlineLevel="0" collapsed="false">
      <c r="A4723" s="34" t="n">
        <v>86808907153</v>
      </c>
      <c r="B4723" s="34" t="s">
        <v>11217</v>
      </c>
      <c r="C4723" s="34" t="s">
        <v>77</v>
      </c>
      <c r="E4723" s="30" t="s">
        <v>11218</v>
      </c>
      <c r="F4723" s="34" t="n">
        <f aca="false">IFERROR(VLOOKUP($A4723,'319'!$B:$H,7,0),0)</f>
        <v>0</v>
      </c>
      <c r="G4723" s="34" t="n">
        <f aca="false">SUMIFS('12.326ana'!$C:$C,'12.326ana'!$M:$M,redes!A4723)</f>
        <v>0</v>
      </c>
    </row>
    <row r="4724" customFormat="false" ht="14.4" hidden="true" customHeight="false" outlineLevel="0" collapsed="false">
      <c r="A4724" s="34" t="n">
        <v>86825500163</v>
      </c>
      <c r="B4724" s="34" t="s">
        <v>11219</v>
      </c>
      <c r="C4724" s="34" t="s">
        <v>565</v>
      </c>
      <c r="E4724" s="30" t="s">
        <v>11220</v>
      </c>
      <c r="F4724" s="34" t="n">
        <f aca="false">IFERROR(VLOOKUP($A4724,'319'!$B:$H,7,0),0)</f>
        <v>0</v>
      </c>
      <c r="G4724" s="34" t="n">
        <f aca="false">SUMIFS('12.326ana'!$C:$C,'12.326ana'!$M:$M,redes!A4724)</f>
        <v>0</v>
      </c>
    </row>
    <row r="4725" customFormat="false" ht="14.4" hidden="true" customHeight="false" outlineLevel="0" collapsed="false">
      <c r="A4725" s="34" t="n">
        <v>86858297120</v>
      </c>
      <c r="B4725" s="34" t="s">
        <v>11221</v>
      </c>
      <c r="C4725" s="34" t="s">
        <v>129</v>
      </c>
      <c r="E4725" s="30" t="s">
        <v>11222</v>
      </c>
      <c r="F4725" s="34" t="n">
        <f aca="false">IFERROR(VLOOKUP($A4725,'319'!$B:$H,7,0),0)</f>
        <v>0</v>
      </c>
      <c r="G4725" s="34" t="n">
        <f aca="false">SUMIFS('12.326ana'!$C:$C,'12.326ana'!$M:$M,redes!A4725)</f>
        <v>0</v>
      </c>
    </row>
    <row r="4726" customFormat="false" ht="14.4" hidden="true" customHeight="false" outlineLevel="0" collapsed="false">
      <c r="A4726" s="34" t="n">
        <v>86879596134</v>
      </c>
      <c r="B4726" s="34" t="s">
        <v>11223</v>
      </c>
      <c r="C4726" s="34" t="s">
        <v>89</v>
      </c>
      <c r="E4726" s="30" t="s">
        <v>11224</v>
      </c>
      <c r="F4726" s="34" t="n">
        <f aca="false">IFERROR(VLOOKUP($A4726,'319'!$B:$H,7,0),0)</f>
        <v>0</v>
      </c>
      <c r="G4726" s="34" t="n">
        <f aca="false">SUMIFS('12.326ana'!$C:$C,'12.326ana'!$M:$M,redes!A4726)</f>
        <v>0</v>
      </c>
    </row>
    <row r="4727" customFormat="false" ht="14.4" hidden="true" customHeight="false" outlineLevel="0" collapsed="false">
      <c r="A4727" s="34" t="n">
        <v>86957090191</v>
      </c>
      <c r="B4727" s="34" t="s">
        <v>11225</v>
      </c>
      <c r="C4727" s="34" t="s">
        <v>107</v>
      </c>
      <c r="E4727" s="30" t="s">
        <v>11226</v>
      </c>
      <c r="F4727" s="34" t="n">
        <f aca="false">IFERROR(VLOOKUP($A4727,'319'!$B:$H,7,0),0)</f>
        <v>0</v>
      </c>
      <c r="G4727" s="34" t="n">
        <f aca="false">SUMIFS('12.326ana'!$C:$C,'12.326ana'!$M:$M,redes!A4727)</f>
        <v>0</v>
      </c>
    </row>
    <row r="4728" customFormat="false" ht="14.4" hidden="true" customHeight="false" outlineLevel="0" collapsed="false">
      <c r="A4728" s="34" t="n">
        <v>86962272120</v>
      </c>
      <c r="B4728" s="34" t="s">
        <v>11227</v>
      </c>
      <c r="C4728" s="34" t="s">
        <v>594</v>
      </c>
      <c r="E4728" s="30" t="s">
        <v>11228</v>
      </c>
      <c r="F4728" s="34" t="n">
        <f aca="false">IFERROR(VLOOKUP($A4728,'319'!$B:$H,7,0),0)</f>
        <v>0</v>
      </c>
      <c r="G4728" s="34" t="n">
        <f aca="false">SUMIFS('12.326ana'!$C:$C,'12.326ana'!$M:$M,redes!A4728)</f>
        <v>0</v>
      </c>
    </row>
    <row r="4729" customFormat="false" ht="14.4" hidden="true" customHeight="false" outlineLevel="0" collapsed="false">
      <c r="A4729" s="34" t="n">
        <v>87001195987</v>
      </c>
      <c r="B4729" s="34" t="s">
        <v>11229</v>
      </c>
      <c r="C4729" s="34" t="s">
        <v>962</v>
      </c>
      <c r="E4729" s="30" t="s">
        <v>11230</v>
      </c>
      <c r="F4729" s="34" t="n">
        <f aca="false">IFERROR(VLOOKUP($A4729,'319'!$B:$H,7,0),0)</f>
        <v>0</v>
      </c>
      <c r="G4729" s="34" t="n">
        <f aca="false">SUMIFS('12.326ana'!$C:$C,'12.326ana'!$M:$M,redes!A4729)</f>
        <v>0</v>
      </c>
    </row>
    <row r="4730" customFormat="false" ht="14.4" hidden="true" customHeight="false" outlineLevel="0" collapsed="false">
      <c r="A4730" s="34" t="n">
        <v>87054744187</v>
      </c>
      <c r="B4730" s="34" t="s">
        <v>11231</v>
      </c>
      <c r="C4730" s="34" t="s">
        <v>737</v>
      </c>
      <c r="E4730" s="30" t="s">
        <v>8847</v>
      </c>
      <c r="F4730" s="34" t="n">
        <f aca="false">IFERROR(VLOOKUP($A4730,'319'!$B:$H,7,0),0)</f>
        <v>0</v>
      </c>
      <c r="G4730" s="34" t="n">
        <f aca="false">SUMIFS('12.326ana'!$C:$C,'12.326ana'!$M:$M,redes!A4730)</f>
        <v>0</v>
      </c>
    </row>
    <row r="4731" customFormat="false" ht="14.4" hidden="true" customHeight="false" outlineLevel="0" collapsed="false">
      <c r="A4731" s="34" t="n">
        <v>87057700172</v>
      </c>
      <c r="B4731" s="34" t="s">
        <v>11232</v>
      </c>
      <c r="C4731" s="34" t="s">
        <v>197</v>
      </c>
      <c r="E4731" s="30" t="s">
        <v>11233</v>
      </c>
      <c r="F4731" s="34" t="n">
        <f aca="false">IFERROR(VLOOKUP($A4731,'319'!$B:$H,7,0),0)</f>
        <v>0</v>
      </c>
      <c r="G4731" s="34" t="n">
        <f aca="false">SUMIFS('12.326ana'!$C:$C,'12.326ana'!$M:$M,redes!A4731)</f>
        <v>0</v>
      </c>
    </row>
    <row r="4732" customFormat="false" ht="14.4" hidden="true" customHeight="false" outlineLevel="0" collapsed="false">
      <c r="A4732" s="34" t="n">
        <v>87062542172</v>
      </c>
      <c r="B4732" s="34" t="s">
        <v>11234</v>
      </c>
      <c r="C4732" s="34" t="s">
        <v>77</v>
      </c>
      <c r="E4732" s="30" t="s">
        <v>3632</v>
      </c>
      <c r="F4732" s="34" t="n">
        <f aca="false">IFERROR(VLOOKUP($A4732,'319'!$B:$H,7,0),0)</f>
        <v>0</v>
      </c>
      <c r="G4732" s="34" t="n">
        <f aca="false">SUMIFS('12.326ana'!$C:$C,'12.326ana'!$M:$M,redes!A4732)</f>
        <v>0</v>
      </c>
    </row>
    <row r="4733" customFormat="false" ht="14.4" hidden="true" customHeight="false" outlineLevel="0" collapsed="false">
      <c r="A4733" s="34" t="n">
        <v>87064014149</v>
      </c>
      <c r="B4733" s="34" t="s">
        <v>11235</v>
      </c>
      <c r="C4733" s="34" t="s">
        <v>77</v>
      </c>
      <c r="E4733" s="30" t="s">
        <v>11235</v>
      </c>
      <c r="F4733" s="34" t="n">
        <f aca="false">IFERROR(VLOOKUP($A4733,'319'!$B:$H,7,0),0)</f>
        <v>0</v>
      </c>
      <c r="G4733" s="34" t="n">
        <f aca="false">SUMIFS('12.326ana'!$C:$C,'12.326ana'!$M:$M,redes!A4733)</f>
        <v>0</v>
      </c>
    </row>
    <row r="4734" customFormat="false" ht="14.4" hidden="true" customHeight="false" outlineLevel="0" collapsed="false">
      <c r="A4734" s="34" t="n">
        <v>87067897149</v>
      </c>
      <c r="B4734" s="34" t="s">
        <v>11236</v>
      </c>
      <c r="C4734" s="34" t="s">
        <v>77</v>
      </c>
      <c r="E4734" s="30" t="s">
        <v>11237</v>
      </c>
      <c r="F4734" s="34" t="n">
        <f aca="false">IFERROR(VLOOKUP($A4734,'319'!$B:$H,7,0),0)</f>
        <v>0</v>
      </c>
      <c r="G4734" s="34" t="n">
        <f aca="false">SUMIFS('12.326ana'!$C:$C,'12.326ana'!$M:$M,redes!A4734)</f>
        <v>0</v>
      </c>
    </row>
    <row r="4735" customFormat="false" ht="14.4" hidden="true" customHeight="false" outlineLevel="0" collapsed="false">
      <c r="A4735" s="34" t="n">
        <v>87068575153</v>
      </c>
      <c r="B4735" s="34" t="s">
        <v>11238</v>
      </c>
      <c r="C4735" s="34" t="s">
        <v>197</v>
      </c>
      <c r="E4735" s="30" t="s">
        <v>11239</v>
      </c>
      <c r="F4735" s="34" t="n">
        <f aca="false">IFERROR(VLOOKUP($A4735,'319'!$B:$H,7,0),0)</f>
        <v>0</v>
      </c>
      <c r="G4735" s="34" t="n">
        <f aca="false">SUMIFS('12.326ana'!$C:$C,'12.326ana'!$M:$M,redes!A4735)</f>
        <v>0</v>
      </c>
    </row>
    <row r="4736" customFormat="false" ht="14.4" hidden="true" customHeight="false" outlineLevel="0" collapsed="false">
      <c r="A4736" s="34" t="n">
        <v>87104822100</v>
      </c>
      <c r="B4736" s="34" t="s">
        <v>11240</v>
      </c>
      <c r="C4736" s="34" t="s">
        <v>107</v>
      </c>
      <c r="E4736" s="30" t="s">
        <v>11241</v>
      </c>
      <c r="F4736" s="34" t="n">
        <f aca="false">IFERROR(VLOOKUP($A4736,'319'!$B:$H,7,0),0)</f>
        <v>0</v>
      </c>
      <c r="G4736" s="34" t="n">
        <f aca="false">SUMIFS('12.326ana'!$C:$C,'12.326ana'!$M:$M,redes!A4736)</f>
        <v>0</v>
      </c>
    </row>
    <row r="4737" customFormat="false" ht="14.4" hidden="true" customHeight="false" outlineLevel="0" collapsed="false">
      <c r="A4737" s="34" t="n">
        <v>87179431168</v>
      </c>
      <c r="B4737" s="34" t="s">
        <v>11242</v>
      </c>
      <c r="C4737" s="34" t="s">
        <v>4139</v>
      </c>
      <c r="E4737" s="30" t="s">
        <v>11243</v>
      </c>
      <c r="F4737" s="34" t="n">
        <f aca="false">IFERROR(VLOOKUP($A4737,'319'!$B:$H,7,0),0)</f>
        <v>0</v>
      </c>
      <c r="G4737" s="34" t="n">
        <f aca="false">SUMIFS('12.326ana'!$C:$C,'12.326ana'!$M:$M,redes!A4737)</f>
        <v>0</v>
      </c>
    </row>
    <row r="4738" customFormat="false" ht="14.4" hidden="true" customHeight="false" outlineLevel="0" collapsed="false">
      <c r="A4738" s="34" t="n">
        <v>87200880949</v>
      </c>
      <c r="B4738" s="34" t="s">
        <v>11244</v>
      </c>
      <c r="C4738" s="34" t="s">
        <v>77</v>
      </c>
      <c r="E4738" s="30" t="s">
        <v>5206</v>
      </c>
      <c r="F4738" s="34" t="n">
        <f aca="false">IFERROR(VLOOKUP($A4738,'319'!$B:$H,7,0),0)</f>
        <v>0</v>
      </c>
      <c r="G4738" s="34" t="n">
        <f aca="false">SUMIFS('12.326ana'!$C:$C,'12.326ana'!$M:$M,redes!A4738)</f>
        <v>0</v>
      </c>
    </row>
    <row r="4739" customFormat="false" ht="14.4" hidden="true" customHeight="false" outlineLevel="0" collapsed="false">
      <c r="A4739" s="34" t="n">
        <v>87219247168</v>
      </c>
      <c r="B4739" s="34" t="s">
        <v>11245</v>
      </c>
      <c r="C4739" s="34" t="s">
        <v>77</v>
      </c>
      <c r="E4739" s="30"/>
      <c r="F4739" s="34" t="n">
        <f aca="false">IFERROR(VLOOKUP($A4739,'319'!$B:$H,7,0),0)</f>
        <v>0</v>
      </c>
      <c r="G4739" s="34" t="n">
        <f aca="false">SUMIFS('12.326ana'!$C:$C,'12.326ana'!$M:$M,redes!A4739)</f>
        <v>0</v>
      </c>
    </row>
    <row r="4740" customFormat="false" ht="14.4" hidden="true" customHeight="false" outlineLevel="0" collapsed="false">
      <c r="A4740" s="34" t="n">
        <v>87228726120</v>
      </c>
      <c r="B4740" s="34" t="s">
        <v>11246</v>
      </c>
      <c r="C4740" s="34" t="s">
        <v>127</v>
      </c>
      <c r="E4740" s="30" t="s">
        <v>11247</v>
      </c>
      <c r="F4740" s="34" t="n">
        <f aca="false">IFERROR(VLOOKUP($A4740,'319'!$B:$H,7,0),0)</f>
        <v>0</v>
      </c>
      <c r="G4740" s="34" t="n">
        <f aca="false">SUMIFS('12.326ana'!$C:$C,'12.326ana'!$M:$M,redes!A4740)</f>
        <v>0</v>
      </c>
    </row>
    <row r="4741" customFormat="false" ht="14.4" hidden="true" customHeight="false" outlineLevel="0" collapsed="false">
      <c r="A4741" s="34" t="n">
        <v>87235137800</v>
      </c>
      <c r="B4741" s="34" t="s">
        <v>11248</v>
      </c>
      <c r="C4741" s="34" t="s">
        <v>77</v>
      </c>
      <c r="E4741" s="30" t="s">
        <v>11249</v>
      </c>
      <c r="F4741" s="34" t="n">
        <f aca="false">IFERROR(VLOOKUP($A4741,'319'!$B:$H,7,0),0)</f>
        <v>0</v>
      </c>
      <c r="G4741" s="34" t="n">
        <f aca="false">SUMIFS('12.326ana'!$C:$C,'12.326ana'!$M:$M,redes!A4741)</f>
        <v>0</v>
      </c>
    </row>
    <row r="4742" customFormat="false" ht="14.4" hidden="true" customHeight="false" outlineLevel="0" collapsed="false">
      <c r="A4742" s="34" t="n">
        <v>87358492153</v>
      </c>
      <c r="B4742" s="34" t="s">
        <v>11250</v>
      </c>
      <c r="C4742" s="34" t="s">
        <v>463</v>
      </c>
      <c r="E4742" s="30" t="s">
        <v>3297</v>
      </c>
      <c r="F4742" s="34" t="n">
        <f aca="false">IFERROR(VLOOKUP($A4742,'319'!$B:$H,7,0),0)</f>
        <v>0</v>
      </c>
      <c r="G4742" s="34" t="n">
        <f aca="false">SUMIFS('12.326ana'!$C:$C,'12.326ana'!$M:$M,redes!A4742)</f>
        <v>0</v>
      </c>
    </row>
    <row r="4743" customFormat="false" ht="14.4" hidden="true" customHeight="false" outlineLevel="0" collapsed="false">
      <c r="A4743" s="34" t="n">
        <v>87359090130</v>
      </c>
      <c r="B4743" s="34" t="s">
        <v>11251</v>
      </c>
      <c r="C4743" s="34" t="s">
        <v>77</v>
      </c>
      <c r="E4743" s="30" t="s">
        <v>11252</v>
      </c>
      <c r="F4743" s="34" t="n">
        <f aca="false">IFERROR(VLOOKUP($A4743,'319'!$B:$H,7,0),0)</f>
        <v>0</v>
      </c>
      <c r="G4743" s="34" t="n">
        <f aca="false">SUMIFS('12.326ana'!$C:$C,'12.326ana'!$M:$M,redes!A4743)</f>
        <v>0</v>
      </c>
    </row>
    <row r="4744" customFormat="false" ht="14.4" hidden="true" customHeight="false" outlineLevel="0" collapsed="false">
      <c r="A4744" s="34" t="n">
        <v>87372762120</v>
      </c>
      <c r="B4744" s="34" t="s">
        <v>11253</v>
      </c>
      <c r="C4744" s="34" t="s">
        <v>213</v>
      </c>
      <c r="E4744" s="30" t="s">
        <v>7112</v>
      </c>
      <c r="F4744" s="34" t="n">
        <f aca="false">IFERROR(VLOOKUP($A4744,'319'!$B:$H,7,0),0)</f>
        <v>0</v>
      </c>
      <c r="G4744" s="34" t="n">
        <f aca="false">SUMIFS('12.326ana'!$C:$C,'12.326ana'!$M:$M,redes!A4744)</f>
        <v>0</v>
      </c>
    </row>
    <row r="4745" customFormat="false" ht="14.4" hidden="true" customHeight="false" outlineLevel="0" collapsed="false">
      <c r="A4745" s="34" t="n">
        <v>87386747187</v>
      </c>
      <c r="B4745" s="34" t="s">
        <v>11254</v>
      </c>
      <c r="C4745" s="34" t="s">
        <v>129</v>
      </c>
      <c r="E4745" s="30" t="s">
        <v>6365</v>
      </c>
      <c r="F4745" s="34" t="n">
        <f aca="false">IFERROR(VLOOKUP($A4745,'319'!$B:$H,7,0),0)</f>
        <v>0</v>
      </c>
      <c r="G4745" s="34" t="n">
        <f aca="false">SUMIFS('12.326ana'!$C:$C,'12.326ana'!$M:$M,redes!A4745)</f>
        <v>0</v>
      </c>
    </row>
    <row r="4746" customFormat="false" ht="14.4" hidden="true" customHeight="false" outlineLevel="0" collapsed="false">
      <c r="A4746" s="34" t="n">
        <v>87391090115</v>
      </c>
      <c r="B4746" s="34" t="s">
        <v>11255</v>
      </c>
      <c r="C4746" s="34" t="s">
        <v>77</v>
      </c>
      <c r="E4746" s="30" t="s">
        <v>11256</v>
      </c>
      <c r="F4746" s="34" t="n">
        <f aca="false">IFERROR(VLOOKUP($A4746,'319'!$B:$H,7,0),0)</f>
        <v>0</v>
      </c>
      <c r="G4746" s="34" t="n">
        <f aca="false">SUMIFS('12.326ana'!$C:$C,'12.326ana'!$M:$M,redes!A4746)</f>
        <v>0</v>
      </c>
    </row>
    <row r="4747" customFormat="false" ht="14.4" hidden="true" customHeight="false" outlineLevel="0" collapsed="false">
      <c r="A4747" s="34" t="n">
        <v>87396050197</v>
      </c>
      <c r="B4747" s="34" t="s">
        <v>11257</v>
      </c>
      <c r="C4747" s="34" t="s">
        <v>77</v>
      </c>
      <c r="E4747" s="30" t="s">
        <v>11258</v>
      </c>
      <c r="F4747" s="34" t="n">
        <f aca="false">IFERROR(VLOOKUP($A4747,'319'!$B:$H,7,0),0)</f>
        <v>0</v>
      </c>
      <c r="G4747" s="34" t="n">
        <f aca="false">SUMIFS('12.326ana'!$C:$C,'12.326ana'!$M:$M,redes!A4747)</f>
        <v>0</v>
      </c>
    </row>
    <row r="4748" customFormat="false" ht="14.4" hidden="true" customHeight="false" outlineLevel="0" collapsed="false">
      <c r="A4748" s="34" t="n">
        <v>87417510191</v>
      </c>
      <c r="B4748" s="34" t="s">
        <v>11259</v>
      </c>
      <c r="C4748" s="34" t="s">
        <v>77</v>
      </c>
      <c r="E4748" s="30" t="s">
        <v>11260</v>
      </c>
      <c r="F4748" s="34" t="n">
        <f aca="false">IFERROR(VLOOKUP($A4748,'319'!$B:$H,7,0),0)</f>
        <v>0</v>
      </c>
      <c r="G4748" s="34" t="n">
        <f aca="false">SUMIFS('12.326ana'!$C:$C,'12.326ana'!$M:$M,redes!A4748)</f>
        <v>0</v>
      </c>
    </row>
    <row r="4749" customFormat="false" ht="14.4" hidden="true" customHeight="false" outlineLevel="0" collapsed="false">
      <c r="A4749" s="34" t="n">
        <v>87424088149</v>
      </c>
      <c r="B4749" s="34" t="s">
        <v>11261</v>
      </c>
      <c r="C4749" s="34" t="s">
        <v>377</v>
      </c>
      <c r="E4749" s="30" t="s">
        <v>11262</v>
      </c>
      <c r="F4749" s="34" t="n">
        <f aca="false">IFERROR(VLOOKUP($A4749,'319'!$B:$H,7,0),0)</f>
        <v>0</v>
      </c>
      <c r="G4749" s="34" t="n">
        <f aca="false">SUMIFS('12.326ana'!$C:$C,'12.326ana'!$M:$M,redes!A4749)</f>
        <v>0</v>
      </c>
    </row>
    <row r="4750" customFormat="false" ht="14.4" hidden="true" customHeight="false" outlineLevel="0" collapsed="false">
      <c r="A4750" s="34" t="n">
        <v>87430096115</v>
      </c>
      <c r="B4750" s="34" t="s">
        <v>11263</v>
      </c>
      <c r="C4750" s="34" t="s">
        <v>77</v>
      </c>
      <c r="E4750" s="30"/>
      <c r="F4750" s="34" t="n">
        <f aca="false">IFERROR(VLOOKUP($A4750,'319'!$B:$H,7,0),0)</f>
        <v>0</v>
      </c>
      <c r="G4750" s="34" t="n">
        <f aca="false">SUMIFS('12.326ana'!$C:$C,'12.326ana'!$M:$M,redes!A4750)</f>
        <v>0</v>
      </c>
    </row>
    <row r="4751" customFormat="false" ht="14.4" hidden="true" customHeight="false" outlineLevel="0" collapsed="false">
      <c r="A4751" s="34" t="n">
        <v>87568969134</v>
      </c>
      <c r="B4751" s="34" t="s">
        <v>11264</v>
      </c>
      <c r="C4751" s="34" t="s">
        <v>309</v>
      </c>
      <c r="E4751" s="30" t="s">
        <v>11265</v>
      </c>
      <c r="F4751" s="34" t="n">
        <f aca="false">IFERROR(VLOOKUP($A4751,'319'!$B:$H,7,0),0)</f>
        <v>0</v>
      </c>
      <c r="G4751" s="34" t="n">
        <f aca="false">SUMIFS('12.326ana'!$C:$C,'12.326ana'!$M:$M,redes!A4751)</f>
        <v>0</v>
      </c>
    </row>
    <row r="4752" customFormat="false" ht="14.4" hidden="true" customHeight="false" outlineLevel="0" collapsed="false">
      <c r="A4752" s="34" t="n">
        <v>87594498100</v>
      </c>
      <c r="B4752" s="34" t="s">
        <v>11266</v>
      </c>
      <c r="C4752" s="34" t="s">
        <v>77</v>
      </c>
      <c r="E4752" s="30" t="s">
        <v>11266</v>
      </c>
      <c r="F4752" s="34" t="n">
        <f aca="false">IFERROR(VLOOKUP($A4752,'319'!$B:$H,7,0),0)</f>
        <v>0</v>
      </c>
      <c r="G4752" s="34" t="n">
        <f aca="false">SUMIFS('12.326ana'!$C:$C,'12.326ana'!$M:$M,redes!A4752)</f>
        <v>0</v>
      </c>
    </row>
    <row r="4753" customFormat="false" ht="14.4" hidden="true" customHeight="false" outlineLevel="0" collapsed="false">
      <c r="A4753" s="34" t="n">
        <v>87600196115</v>
      </c>
      <c r="B4753" s="34" t="s">
        <v>11267</v>
      </c>
      <c r="C4753" s="34" t="s">
        <v>713</v>
      </c>
      <c r="E4753" s="30" t="s">
        <v>7523</v>
      </c>
      <c r="F4753" s="34" t="n">
        <f aca="false">IFERROR(VLOOKUP($A4753,'319'!$B:$H,7,0),0)</f>
        <v>0</v>
      </c>
      <c r="G4753" s="34" t="n">
        <f aca="false">SUMIFS('12.326ana'!$C:$C,'12.326ana'!$M:$M,redes!A4753)</f>
        <v>0</v>
      </c>
    </row>
    <row r="4754" customFormat="false" ht="14.4" hidden="true" customHeight="false" outlineLevel="0" collapsed="false">
      <c r="A4754" s="34" t="n">
        <v>87607239987</v>
      </c>
      <c r="B4754" s="34" t="s">
        <v>11268</v>
      </c>
      <c r="C4754" s="34" t="s">
        <v>77</v>
      </c>
      <c r="E4754" s="30" t="s">
        <v>11269</v>
      </c>
      <c r="F4754" s="34" t="n">
        <f aca="false">IFERROR(VLOOKUP($A4754,'319'!$B:$H,7,0),0)</f>
        <v>0</v>
      </c>
      <c r="G4754" s="34" t="n">
        <f aca="false">SUMIFS('12.326ana'!$C:$C,'12.326ana'!$M:$M,redes!A4754)</f>
        <v>0</v>
      </c>
    </row>
    <row r="4755" customFormat="false" ht="14.4" hidden="true" customHeight="false" outlineLevel="0" collapsed="false">
      <c r="A4755" s="34" t="n">
        <v>87645793104</v>
      </c>
      <c r="B4755" s="34" t="s">
        <v>11270</v>
      </c>
      <c r="C4755" s="34" t="s">
        <v>309</v>
      </c>
      <c r="E4755" s="30" t="s">
        <v>11271</v>
      </c>
      <c r="F4755" s="34" t="n">
        <f aca="false">IFERROR(VLOOKUP($A4755,'319'!$B:$H,7,0),0)</f>
        <v>0</v>
      </c>
      <c r="G4755" s="34" t="n">
        <f aca="false">SUMIFS('12.326ana'!$C:$C,'12.326ana'!$M:$M,redes!A4755)</f>
        <v>0</v>
      </c>
    </row>
    <row r="4756" customFormat="false" ht="14.4" hidden="true" customHeight="false" outlineLevel="0" collapsed="false">
      <c r="A4756" s="34" t="n">
        <v>87684497120</v>
      </c>
      <c r="B4756" s="34" t="s">
        <v>11272</v>
      </c>
      <c r="C4756" s="34" t="s">
        <v>77</v>
      </c>
      <c r="E4756" s="30" t="s">
        <v>11273</v>
      </c>
      <c r="F4756" s="34" t="n">
        <f aca="false">IFERROR(VLOOKUP($A4756,'319'!$B:$H,7,0),0)</f>
        <v>0</v>
      </c>
      <c r="G4756" s="34" t="n">
        <f aca="false">SUMIFS('12.326ana'!$C:$C,'12.326ana'!$M:$M,redes!A4756)</f>
        <v>0</v>
      </c>
    </row>
    <row r="4757" customFormat="false" ht="14.4" hidden="true" customHeight="false" outlineLevel="0" collapsed="false">
      <c r="A4757" s="34" t="n">
        <v>87684705172</v>
      </c>
      <c r="B4757" s="34" t="s">
        <v>11274</v>
      </c>
      <c r="C4757" s="34" t="s">
        <v>77</v>
      </c>
      <c r="E4757" s="30" t="s">
        <v>11275</v>
      </c>
      <c r="F4757" s="34" t="n">
        <f aca="false">IFERROR(VLOOKUP($A4757,'319'!$B:$H,7,0),0)</f>
        <v>0</v>
      </c>
      <c r="G4757" s="34" t="n">
        <f aca="false">SUMIFS('12.326ana'!$C:$C,'12.326ana'!$M:$M,redes!A4757)</f>
        <v>0</v>
      </c>
    </row>
    <row r="4758" customFormat="false" ht="14.4" hidden="true" customHeight="false" outlineLevel="0" collapsed="false">
      <c r="A4758" s="34" t="n">
        <v>87704250191</v>
      </c>
      <c r="B4758" s="34" t="s">
        <v>11276</v>
      </c>
      <c r="C4758" s="34" t="s">
        <v>77</v>
      </c>
      <c r="E4758" s="30" t="s">
        <v>11277</v>
      </c>
      <c r="F4758" s="34" t="n">
        <f aca="false">IFERROR(VLOOKUP($A4758,'319'!$B:$H,7,0),0)</f>
        <v>0</v>
      </c>
      <c r="G4758" s="34" t="n">
        <f aca="false">SUMIFS('12.326ana'!$C:$C,'12.326ana'!$M:$M,redes!A4758)</f>
        <v>0</v>
      </c>
    </row>
    <row r="4759" customFormat="false" ht="14.4" hidden="true" customHeight="false" outlineLevel="0" collapsed="false">
      <c r="A4759" s="34" t="n">
        <v>87728451804</v>
      </c>
      <c r="B4759" s="34" t="s">
        <v>11278</v>
      </c>
      <c r="C4759" s="34" t="s">
        <v>77</v>
      </c>
      <c r="E4759" s="30" t="s">
        <v>11279</v>
      </c>
      <c r="F4759" s="34" t="n">
        <f aca="false">IFERROR(VLOOKUP($A4759,'319'!$B:$H,7,0),0)</f>
        <v>0</v>
      </c>
      <c r="G4759" s="34" t="n">
        <f aca="false">SUMIFS('12.326ana'!$C:$C,'12.326ana'!$M:$M,redes!A4759)</f>
        <v>0</v>
      </c>
    </row>
    <row r="4760" customFormat="false" ht="14.4" hidden="true" customHeight="false" outlineLevel="0" collapsed="false">
      <c r="A4760" s="34" t="n">
        <v>87755866149</v>
      </c>
      <c r="B4760" s="34" t="s">
        <v>11280</v>
      </c>
      <c r="C4760" s="34" t="s">
        <v>77</v>
      </c>
      <c r="E4760" s="30" t="s">
        <v>11281</v>
      </c>
      <c r="F4760" s="34" t="n">
        <f aca="false">IFERROR(VLOOKUP($A4760,'319'!$B:$H,7,0),0)</f>
        <v>0</v>
      </c>
      <c r="G4760" s="34" t="n">
        <f aca="false">SUMIFS('12.326ana'!$C:$C,'12.326ana'!$M:$M,redes!A4760)</f>
        <v>0</v>
      </c>
    </row>
    <row r="4761" customFormat="false" ht="14.4" hidden="true" customHeight="false" outlineLevel="0" collapsed="false">
      <c r="A4761" s="34" t="n">
        <v>87762552804</v>
      </c>
      <c r="B4761" s="34" t="s">
        <v>11282</v>
      </c>
      <c r="C4761" s="34" t="s">
        <v>77</v>
      </c>
      <c r="E4761" s="30" t="s">
        <v>11283</v>
      </c>
      <c r="F4761" s="34" t="n">
        <f aca="false">IFERROR(VLOOKUP($A4761,'319'!$B:$H,7,0),0)</f>
        <v>0</v>
      </c>
      <c r="G4761" s="34" t="n">
        <f aca="false">SUMIFS('12.326ana'!$C:$C,'12.326ana'!$M:$M,redes!A4761)</f>
        <v>0</v>
      </c>
    </row>
    <row r="4762" customFormat="false" ht="14.4" hidden="true" customHeight="false" outlineLevel="0" collapsed="false">
      <c r="A4762" s="34" t="n">
        <v>87781530187</v>
      </c>
      <c r="B4762" s="34" t="s">
        <v>6523</v>
      </c>
      <c r="C4762" s="34" t="s">
        <v>77</v>
      </c>
      <c r="E4762" s="30" t="s">
        <v>11284</v>
      </c>
      <c r="F4762" s="34" t="n">
        <f aca="false">IFERROR(VLOOKUP($A4762,'319'!$B:$H,7,0),0)</f>
        <v>0</v>
      </c>
      <c r="G4762" s="34" t="n">
        <f aca="false">SUMIFS('12.326ana'!$C:$C,'12.326ana'!$M:$M,redes!A4762)</f>
        <v>0</v>
      </c>
    </row>
    <row r="4763" customFormat="false" ht="14.4" hidden="true" customHeight="false" outlineLevel="0" collapsed="false">
      <c r="A4763" s="34" t="n">
        <v>87820650125</v>
      </c>
      <c r="B4763" s="34" t="s">
        <v>11285</v>
      </c>
      <c r="C4763" s="34" t="s">
        <v>77</v>
      </c>
      <c r="E4763" s="30" t="s">
        <v>11285</v>
      </c>
      <c r="F4763" s="34" t="n">
        <f aca="false">IFERROR(VLOOKUP($A4763,'319'!$B:$H,7,0),0)</f>
        <v>0</v>
      </c>
      <c r="G4763" s="34" t="n">
        <f aca="false">SUMIFS('12.326ana'!$C:$C,'12.326ana'!$M:$M,redes!A4763)</f>
        <v>0</v>
      </c>
    </row>
    <row r="4764" customFormat="false" ht="14.4" hidden="true" customHeight="false" outlineLevel="0" collapsed="false">
      <c r="A4764" s="34" t="n">
        <v>87838672104</v>
      </c>
      <c r="B4764" s="34" t="s">
        <v>11286</v>
      </c>
      <c r="C4764" s="34" t="s">
        <v>781</v>
      </c>
      <c r="E4764" s="30" t="s">
        <v>11287</v>
      </c>
      <c r="F4764" s="34" t="n">
        <f aca="false">IFERROR(VLOOKUP($A4764,'319'!$B:$H,7,0),0)</f>
        <v>0</v>
      </c>
      <c r="G4764" s="34" t="n">
        <f aca="false">SUMIFS('12.326ana'!$C:$C,'12.326ana'!$M:$M,redes!A4764)</f>
        <v>0</v>
      </c>
    </row>
    <row r="4765" customFormat="false" ht="14.4" hidden="true" customHeight="false" outlineLevel="0" collapsed="false">
      <c r="A4765" s="34" t="n">
        <v>87857170100</v>
      </c>
      <c r="B4765" s="34" t="s">
        <v>11288</v>
      </c>
      <c r="C4765" s="34" t="s">
        <v>842</v>
      </c>
      <c r="E4765" s="30" t="s">
        <v>11289</v>
      </c>
      <c r="F4765" s="34" t="n">
        <f aca="false">IFERROR(VLOOKUP($A4765,'319'!$B:$H,7,0),0)</f>
        <v>0</v>
      </c>
      <c r="G4765" s="34" t="n">
        <f aca="false">SUMIFS('12.326ana'!$C:$C,'12.326ana'!$M:$M,redes!A4765)</f>
        <v>0</v>
      </c>
    </row>
    <row r="4766" customFormat="false" ht="14.4" hidden="true" customHeight="false" outlineLevel="0" collapsed="false">
      <c r="A4766" s="34" t="n">
        <v>87863260159</v>
      </c>
      <c r="B4766" s="34" t="s">
        <v>11290</v>
      </c>
      <c r="C4766" s="34" t="s">
        <v>77</v>
      </c>
      <c r="E4766" s="30" t="s">
        <v>11291</v>
      </c>
      <c r="F4766" s="34" t="n">
        <f aca="false">IFERROR(VLOOKUP($A4766,'319'!$B:$H,7,0),0)</f>
        <v>0</v>
      </c>
      <c r="G4766" s="34" t="n">
        <f aca="false">SUMIFS('12.326ana'!$C:$C,'12.326ana'!$M:$M,redes!A4766)</f>
        <v>0</v>
      </c>
    </row>
    <row r="4767" customFormat="false" ht="14.4" hidden="true" customHeight="false" outlineLevel="0" collapsed="false">
      <c r="A4767" s="34" t="n">
        <v>87870045187</v>
      </c>
      <c r="B4767" s="34" t="s">
        <v>11292</v>
      </c>
      <c r="C4767" s="34" t="s">
        <v>77</v>
      </c>
      <c r="E4767" s="30" t="s">
        <v>11293</v>
      </c>
      <c r="F4767" s="34" t="n">
        <f aca="false">IFERROR(VLOOKUP($A4767,'319'!$B:$H,7,0),0)</f>
        <v>0</v>
      </c>
      <c r="G4767" s="34" t="n">
        <f aca="false">SUMIFS('12.326ana'!$C:$C,'12.326ana'!$M:$M,redes!A4767)</f>
        <v>0</v>
      </c>
    </row>
    <row r="4768" customFormat="false" ht="14.4" hidden="true" customHeight="false" outlineLevel="0" collapsed="false">
      <c r="A4768" s="34" t="n">
        <v>87910403100</v>
      </c>
      <c r="B4768" s="34" t="s">
        <v>11294</v>
      </c>
      <c r="C4768" s="34" t="s">
        <v>77</v>
      </c>
      <c r="E4768" s="30" t="s">
        <v>4604</v>
      </c>
      <c r="F4768" s="34" t="n">
        <f aca="false">IFERROR(VLOOKUP($A4768,'319'!$B:$H,7,0),0)</f>
        <v>0</v>
      </c>
      <c r="G4768" s="34" t="n">
        <f aca="false">SUMIFS('12.326ana'!$C:$C,'12.326ana'!$M:$M,redes!A4768)</f>
        <v>0</v>
      </c>
    </row>
    <row r="4769" customFormat="false" ht="14.4" hidden="true" customHeight="false" outlineLevel="0" collapsed="false">
      <c r="A4769" s="34" t="n">
        <v>87932504104</v>
      </c>
      <c r="B4769" s="34" t="s">
        <v>11295</v>
      </c>
      <c r="C4769" s="34" t="s">
        <v>77</v>
      </c>
      <c r="E4769" s="30" t="s">
        <v>3765</v>
      </c>
      <c r="F4769" s="34" t="n">
        <f aca="false">IFERROR(VLOOKUP($A4769,'319'!$B:$H,7,0),0)</f>
        <v>0</v>
      </c>
      <c r="G4769" s="34" t="n">
        <f aca="false">SUMIFS('12.326ana'!$C:$C,'12.326ana'!$M:$M,redes!A4769)</f>
        <v>0</v>
      </c>
    </row>
    <row r="4770" customFormat="false" ht="14.4" hidden="true" customHeight="false" outlineLevel="0" collapsed="false">
      <c r="A4770" s="34" t="n">
        <v>87937441100</v>
      </c>
      <c r="B4770" s="34" t="s">
        <v>11296</v>
      </c>
      <c r="C4770" s="34" t="s">
        <v>77</v>
      </c>
      <c r="E4770" s="30" t="s">
        <v>11297</v>
      </c>
      <c r="F4770" s="34" t="n">
        <f aca="false">IFERROR(VLOOKUP($A4770,'319'!$B:$H,7,0),0)</f>
        <v>0</v>
      </c>
      <c r="G4770" s="34" t="n">
        <f aca="false">SUMIFS('12.326ana'!$C:$C,'12.326ana'!$M:$M,redes!A4770)</f>
        <v>0</v>
      </c>
    </row>
    <row r="4771" customFormat="false" ht="14.4" hidden="true" customHeight="false" outlineLevel="0" collapsed="false">
      <c r="A4771" s="34" t="n">
        <v>87940981153</v>
      </c>
      <c r="B4771" s="34" t="s">
        <v>11298</v>
      </c>
      <c r="C4771" s="34" t="s">
        <v>77</v>
      </c>
      <c r="E4771" s="30" t="s">
        <v>11298</v>
      </c>
      <c r="F4771" s="34" t="n">
        <f aca="false">IFERROR(VLOOKUP($A4771,'319'!$B:$H,7,0),0)</f>
        <v>0</v>
      </c>
      <c r="G4771" s="34" t="n">
        <f aca="false">SUMIFS('12.326ana'!$C:$C,'12.326ana'!$M:$M,redes!A4771)</f>
        <v>0</v>
      </c>
    </row>
    <row r="4772" customFormat="false" ht="14.4" hidden="true" customHeight="false" outlineLevel="0" collapsed="false">
      <c r="A4772" s="34" t="n">
        <v>87990636700</v>
      </c>
      <c r="B4772" s="34" t="s">
        <v>11299</v>
      </c>
      <c r="C4772" s="34" t="s">
        <v>680</v>
      </c>
      <c r="E4772" s="30" t="s">
        <v>11300</v>
      </c>
      <c r="F4772" s="34" t="n">
        <f aca="false">IFERROR(VLOOKUP($A4772,'319'!$B:$H,7,0),0)</f>
        <v>0</v>
      </c>
      <c r="G4772" s="34" t="n">
        <f aca="false">SUMIFS('12.326ana'!$C:$C,'12.326ana'!$M:$M,redes!A4772)</f>
        <v>0</v>
      </c>
    </row>
    <row r="4773" customFormat="false" ht="14.4" hidden="true" customHeight="false" outlineLevel="0" collapsed="false">
      <c r="A4773" s="34" t="n">
        <v>88015319153</v>
      </c>
      <c r="B4773" s="34" t="s">
        <v>11301</v>
      </c>
      <c r="C4773" s="34" t="s">
        <v>77</v>
      </c>
      <c r="E4773" s="30" t="s">
        <v>4630</v>
      </c>
      <c r="F4773" s="34" t="n">
        <f aca="false">IFERROR(VLOOKUP($A4773,'319'!$B:$H,7,0),0)</f>
        <v>0</v>
      </c>
      <c r="G4773" s="34" t="n">
        <f aca="false">SUMIFS('12.326ana'!$C:$C,'12.326ana'!$M:$M,redes!A4773)</f>
        <v>0</v>
      </c>
    </row>
    <row r="4774" customFormat="false" ht="14.4" hidden="true" customHeight="false" outlineLevel="0" collapsed="false">
      <c r="A4774" s="34" t="n">
        <v>88019144153</v>
      </c>
      <c r="B4774" s="34" t="s">
        <v>11302</v>
      </c>
      <c r="C4774" s="34" t="s">
        <v>781</v>
      </c>
      <c r="E4774" s="30" t="s">
        <v>11303</v>
      </c>
      <c r="F4774" s="34" t="n">
        <f aca="false">IFERROR(VLOOKUP($A4774,'319'!$B:$H,7,0),0)</f>
        <v>0</v>
      </c>
      <c r="G4774" s="34" t="n">
        <f aca="false">SUMIFS('12.326ana'!$C:$C,'12.326ana'!$M:$M,redes!A4774)</f>
        <v>0</v>
      </c>
    </row>
    <row r="4775" customFormat="false" ht="14.4" hidden="true" customHeight="false" outlineLevel="0" collapsed="false">
      <c r="A4775" s="34" t="n">
        <v>88025535134</v>
      </c>
      <c r="B4775" s="34" t="s">
        <v>11304</v>
      </c>
      <c r="C4775" s="34" t="s">
        <v>77</v>
      </c>
      <c r="E4775" s="30" t="s">
        <v>11305</v>
      </c>
      <c r="F4775" s="34" t="n">
        <f aca="false">IFERROR(VLOOKUP($A4775,'319'!$B:$H,7,0),0)</f>
        <v>0</v>
      </c>
      <c r="G4775" s="34" t="n">
        <f aca="false">SUMIFS('12.326ana'!$C:$C,'12.326ana'!$M:$M,redes!A4775)</f>
        <v>0</v>
      </c>
    </row>
    <row r="4776" customFormat="false" ht="14.4" hidden="true" customHeight="false" outlineLevel="0" collapsed="false">
      <c r="A4776" s="34" t="n">
        <v>88047474120</v>
      </c>
      <c r="B4776" s="34" t="s">
        <v>11306</v>
      </c>
      <c r="C4776" s="34" t="s">
        <v>77</v>
      </c>
      <c r="E4776" s="30" t="s">
        <v>4387</v>
      </c>
      <c r="F4776" s="34" t="n">
        <f aca="false">IFERROR(VLOOKUP($A4776,'319'!$B:$H,7,0),0)</f>
        <v>0</v>
      </c>
      <c r="G4776" s="34" t="n">
        <f aca="false">SUMIFS('12.326ana'!$C:$C,'12.326ana'!$M:$M,redes!A4776)</f>
        <v>0</v>
      </c>
    </row>
    <row r="4777" customFormat="false" ht="14.4" hidden="true" customHeight="false" outlineLevel="0" collapsed="false">
      <c r="A4777" s="34" t="n">
        <v>88066991134</v>
      </c>
      <c r="B4777" s="34" t="s">
        <v>11307</v>
      </c>
      <c r="C4777" s="34" t="s">
        <v>77</v>
      </c>
      <c r="E4777" s="30" t="s">
        <v>11308</v>
      </c>
      <c r="F4777" s="34" t="n">
        <f aca="false">IFERROR(VLOOKUP($A4777,'319'!$B:$H,7,0),0)</f>
        <v>0</v>
      </c>
      <c r="G4777" s="34" t="n">
        <f aca="false">SUMIFS('12.326ana'!$C:$C,'12.326ana'!$M:$M,redes!A4777)</f>
        <v>0</v>
      </c>
    </row>
    <row r="4778" customFormat="false" ht="14.4" hidden="true" customHeight="false" outlineLevel="0" collapsed="false">
      <c r="A4778" s="34" t="n">
        <v>88072657100</v>
      </c>
      <c r="B4778" s="34" t="s">
        <v>11309</v>
      </c>
      <c r="C4778" s="34" t="s">
        <v>192</v>
      </c>
      <c r="E4778" s="30" t="s">
        <v>11310</v>
      </c>
      <c r="F4778" s="34" t="n">
        <f aca="false">IFERROR(VLOOKUP($A4778,'319'!$B:$H,7,0),0)</f>
        <v>0</v>
      </c>
      <c r="G4778" s="34" t="n">
        <f aca="false">SUMIFS('12.326ana'!$C:$C,'12.326ana'!$M:$M,redes!A4778)</f>
        <v>0</v>
      </c>
    </row>
    <row r="4779" customFormat="false" ht="14.4" hidden="true" customHeight="false" outlineLevel="0" collapsed="false">
      <c r="A4779" s="34" t="n">
        <v>88084655191</v>
      </c>
      <c r="B4779" s="34" t="s">
        <v>11311</v>
      </c>
      <c r="C4779" s="34" t="s">
        <v>107</v>
      </c>
      <c r="E4779" s="30" t="s">
        <v>8728</v>
      </c>
      <c r="F4779" s="34" t="n">
        <f aca="false">IFERROR(VLOOKUP($A4779,'319'!$B:$H,7,0),0)</f>
        <v>0</v>
      </c>
      <c r="G4779" s="34" t="n">
        <f aca="false">SUMIFS('12.326ana'!$C:$C,'12.326ana'!$M:$M,redes!A4779)</f>
        <v>0</v>
      </c>
    </row>
    <row r="4780" customFormat="false" ht="14.4" hidden="true" customHeight="false" outlineLevel="0" collapsed="false">
      <c r="A4780" s="34" t="n">
        <v>88116441191</v>
      </c>
      <c r="B4780" s="34" t="s">
        <v>11312</v>
      </c>
      <c r="C4780" s="34" t="s">
        <v>129</v>
      </c>
      <c r="E4780" s="30" t="s">
        <v>11313</v>
      </c>
      <c r="F4780" s="34" t="n">
        <f aca="false">IFERROR(VLOOKUP($A4780,'319'!$B:$H,7,0),0)</f>
        <v>0</v>
      </c>
      <c r="G4780" s="34" t="n">
        <f aca="false">SUMIFS('12.326ana'!$C:$C,'12.326ana'!$M:$M,redes!A4780)</f>
        <v>0</v>
      </c>
    </row>
    <row r="4781" customFormat="false" ht="14.4" hidden="true" customHeight="false" outlineLevel="0" collapsed="false">
      <c r="A4781" s="34" t="n">
        <v>88118380106</v>
      </c>
      <c r="B4781" s="34" t="s">
        <v>11314</v>
      </c>
      <c r="C4781" s="34" t="s">
        <v>77</v>
      </c>
      <c r="E4781" s="30" t="s">
        <v>11315</v>
      </c>
      <c r="F4781" s="34" t="n">
        <f aca="false">IFERROR(VLOOKUP($A4781,'319'!$B:$H,7,0),0)</f>
        <v>0</v>
      </c>
      <c r="G4781" s="34" t="n">
        <f aca="false">SUMIFS('12.326ana'!$C:$C,'12.326ana'!$M:$M,redes!A4781)</f>
        <v>0</v>
      </c>
    </row>
    <row r="4782" customFormat="false" ht="14.4" hidden="true" customHeight="false" outlineLevel="0" collapsed="false">
      <c r="A4782" s="34" t="n">
        <v>88143465853</v>
      </c>
      <c r="B4782" s="34" t="s">
        <v>11316</v>
      </c>
      <c r="C4782" s="34" t="s">
        <v>139</v>
      </c>
      <c r="E4782" s="30" t="s">
        <v>6833</v>
      </c>
      <c r="F4782" s="34" t="n">
        <f aca="false">IFERROR(VLOOKUP($A4782,'319'!$B:$H,7,0),0)</f>
        <v>0</v>
      </c>
      <c r="G4782" s="34" t="n">
        <f aca="false">SUMIFS('12.326ana'!$C:$C,'12.326ana'!$M:$M,redes!A4782)</f>
        <v>0</v>
      </c>
    </row>
    <row r="4783" customFormat="false" ht="14.4" hidden="true" customHeight="false" outlineLevel="0" collapsed="false">
      <c r="A4783" s="34" t="n">
        <v>88198286187</v>
      </c>
      <c r="B4783" s="34" t="s">
        <v>11317</v>
      </c>
      <c r="C4783" s="34" t="s">
        <v>107</v>
      </c>
      <c r="E4783" s="30" t="s">
        <v>11318</v>
      </c>
      <c r="F4783" s="34" t="n">
        <f aca="false">IFERROR(VLOOKUP($A4783,'319'!$B:$H,7,0),0)</f>
        <v>0</v>
      </c>
      <c r="G4783" s="34" t="n">
        <f aca="false">SUMIFS('12.326ana'!$C:$C,'12.326ana'!$M:$M,redes!A4783)</f>
        <v>0</v>
      </c>
    </row>
    <row r="4784" customFormat="false" ht="14.4" hidden="true" customHeight="false" outlineLevel="0" collapsed="false">
      <c r="A4784" s="34" t="n">
        <v>88206939172</v>
      </c>
      <c r="B4784" s="34" t="s">
        <v>11319</v>
      </c>
      <c r="C4784" s="34" t="s">
        <v>77</v>
      </c>
      <c r="E4784" s="30" t="s">
        <v>11320</v>
      </c>
      <c r="F4784" s="34" t="n">
        <f aca="false">IFERROR(VLOOKUP($A4784,'319'!$B:$H,7,0),0)</f>
        <v>0</v>
      </c>
      <c r="G4784" s="34" t="n">
        <f aca="false">SUMIFS('12.326ana'!$C:$C,'12.326ana'!$M:$M,redes!A4784)</f>
        <v>0</v>
      </c>
    </row>
    <row r="4785" customFormat="false" ht="14.4" hidden="true" customHeight="false" outlineLevel="0" collapsed="false">
      <c r="A4785" s="34" t="n">
        <v>88213331168</v>
      </c>
      <c r="B4785" s="34" t="s">
        <v>11321</v>
      </c>
      <c r="C4785" s="34" t="s">
        <v>77</v>
      </c>
      <c r="E4785" s="30" t="s">
        <v>5268</v>
      </c>
      <c r="F4785" s="34" t="n">
        <f aca="false">IFERROR(VLOOKUP($A4785,'319'!$B:$H,7,0),0)</f>
        <v>0</v>
      </c>
      <c r="G4785" s="34" t="n">
        <f aca="false">SUMIFS('12.326ana'!$C:$C,'12.326ana'!$M:$M,redes!A4785)</f>
        <v>0</v>
      </c>
    </row>
    <row r="4786" customFormat="false" ht="14.4" hidden="true" customHeight="false" outlineLevel="0" collapsed="false">
      <c r="A4786" s="34" t="n">
        <v>88306860187</v>
      </c>
      <c r="B4786" s="34" t="s">
        <v>11322</v>
      </c>
      <c r="C4786" s="34" t="s">
        <v>737</v>
      </c>
      <c r="E4786" s="30" t="s">
        <v>11323</v>
      </c>
      <c r="F4786" s="34" t="n">
        <f aca="false">IFERROR(VLOOKUP($A4786,'319'!$B:$H,7,0),0)</f>
        <v>0</v>
      </c>
      <c r="G4786" s="34" t="n">
        <f aca="false">SUMIFS('12.326ana'!$C:$C,'12.326ana'!$M:$M,redes!A4786)</f>
        <v>0</v>
      </c>
    </row>
    <row r="4787" customFormat="false" ht="14.4" hidden="true" customHeight="false" outlineLevel="0" collapsed="false">
      <c r="A4787" s="34" t="n">
        <v>88352145134</v>
      </c>
      <c r="B4787" s="34" t="s">
        <v>11324</v>
      </c>
      <c r="C4787" s="34" t="s">
        <v>77</v>
      </c>
      <c r="E4787" s="30" t="s">
        <v>11325</v>
      </c>
      <c r="F4787" s="34" t="n">
        <f aca="false">IFERROR(VLOOKUP($A4787,'319'!$B:$H,7,0),0)</f>
        <v>0</v>
      </c>
      <c r="G4787" s="34" t="n">
        <f aca="false">SUMIFS('12.326ana'!$C:$C,'12.326ana'!$M:$M,redes!A4787)</f>
        <v>0</v>
      </c>
    </row>
    <row r="4788" customFormat="false" ht="14.4" hidden="true" customHeight="false" outlineLevel="0" collapsed="false">
      <c r="A4788" s="34" t="n">
        <v>88352650106</v>
      </c>
      <c r="B4788" s="34" t="s">
        <v>11326</v>
      </c>
      <c r="C4788" s="34" t="s">
        <v>77</v>
      </c>
      <c r="E4788" s="30" t="s">
        <v>11327</v>
      </c>
      <c r="F4788" s="34" t="n">
        <f aca="false">IFERROR(VLOOKUP($A4788,'319'!$B:$H,7,0),0)</f>
        <v>0</v>
      </c>
      <c r="G4788" s="34" t="n">
        <f aca="false">SUMIFS('12.326ana'!$C:$C,'12.326ana'!$M:$M,redes!A4788)</f>
        <v>0</v>
      </c>
    </row>
    <row r="4789" customFormat="false" ht="14.4" hidden="true" customHeight="false" outlineLevel="0" collapsed="false">
      <c r="A4789" s="34" t="n">
        <v>88357260187</v>
      </c>
      <c r="B4789" s="34" t="s">
        <v>11328</v>
      </c>
      <c r="C4789" s="34" t="s">
        <v>77</v>
      </c>
      <c r="E4789" s="30" t="s">
        <v>11329</v>
      </c>
      <c r="F4789" s="34" t="n">
        <f aca="false">IFERROR(VLOOKUP($A4789,'319'!$B:$H,7,0),0)</f>
        <v>0</v>
      </c>
      <c r="G4789" s="34" t="n">
        <f aca="false">SUMIFS('12.326ana'!$C:$C,'12.326ana'!$M:$M,redes!A4789)</f>
        <v>0</v>
      </c>
    </row>
    <row r="4790" customFormat="false" ht="14.4" hidden="true" customHeight="false" outlineLevel="0" collapsed="false">
      <c r="A4790" s="34" t="n">
        <v>88365093120</v>
      </c>
      <c r="B4790" s="34" t="s">
        <v>11330</v>
      </c>
      <c r="C4790" s="34" t="s">
        <v>77</v>
      </c>
      <c r="E4790" s="30" t="s">
        <v>11331</v>
      </c>
      <c r="F4790" s="34" t="n">
        <f aca="false">IFERROR(VLOOKUP($A4790,'319'!$B:$H,7,0),0)</f>
        <v>0</v>
      </c>
      <c r="G4790" s="34" t="n">
        <f aca="false">SUMIFS('12.326ana'!$C:$C,'12.326ana'!$M:$M,redes!A4790)</f>
        <v>0</v>
      </c>
    </row>
    <row r="4791" customFormat="false" ht="14.4" hidden="true" customHeight="false" outlineLevel="0" collapsed="false">
      <c r="A4791" s="34" t="n">
        <v>88380661168</v>
      </c>
      <c r="B4791" s="34" t="s">
        <v>11332</v>
      </c>
      <c r="C4791" s="34" t="s">
        <v>77</v>
      </c>
      <c r="E4791" s="30" t="s">
        <v>11333</v>
      </c>
      <c r="F4791" s="34" t="n">
        <f aca="false">IFERROR(VLOOKUP($A4791,'319'!$B:$H,7,0),0)</f>
        <v>0</v>
      </c>
      <c r="G4791" s="34" t="n">
        <f aca="false">SUMIFS('12.326ana'!$C:$C,'12.326ana'!$M:$M,redes!A4791)</f>
        <v>0</v>
      </c>
    </row>
    <row r="4792" customFormat="false" ht="14.4" hidden="true" customHeight="false" outlineLevel="0" collapsed="false">
      <c r="A4792" s="34" t="n">
        <v>88397513191</v>
      </c>
      <c r="B4792" s="34" t="s">
        <v>11334</v>
      </c>
      <c r="C4792" s="34" t="s">
        <v>309</v>
      </c>
      <c r="E4792" s="30" t="s">
        <v>11335</v>
      </c>
      <c r="F4792" s="34" t="n">
        <f aca="false">IFERROR(VLOOKUP($A4792,'319'!$B:$H,7,0),0)</f>
        <v>0</v>
      </c>
      <c r="G4792" s="34" t="n">
        <f aca="false">SUMIFS('12.326ana'!$C:$C,'12.326ana'!$M:$M,redes!A4792)</f>
        <v>0</v>
      </c>
    </row>
    <row r="4793" customFormat="false" ht="14.4" hidden="true" customHeight="false" outlineLevel="0" collapsed="false">
      <c r="A4793" s="34" t="n">
        <v>88399575100</v>
      </c>
      <c r="B4793" s="34" t="s">
        <v>11336</v>
      </c>
      <c r="C4793" s="34" t="s">
        <v>127</v>
      </c>
      <c r="E4793" s="30" t="s">
        <v>11337</v>
      </c>
      <c r="F4793" s="34" t="n">
        <f aca="false">IFERROR(VLOOKUP($A4793,'319'!$B:$H,7,0),0)</f>
        <v>0</v>
      </c>
      <c r="G4793" s="34" t="n">
        <f aca="false">SUMIFS('12.326ana'!$C:$C,'12.326ana'!$M:$M,redes!A4793)</f>
        <v>0</v>
      </c>
    </row>
    <row r="4794" customFormat="false" ht="14.4" hidden="true" customHeight="false" outlineLevel="0" collapsed="false">
      <c r="A4794" s="34" t="n">
        <v>88468763187</v>
      </c>
      <c r="B4794" s="34" t="s">
        <v>11338</v>
      </c>
      <c r="C4794" s="34" t="s">
        <v>77</v>
      </c>
      <c r="E4794" s="30" t="s">
        <v>11339</v>
      </c>
      <c r="F4794" s="34" t="n">
        <f aca="false">IFERROR(VLOOKUP($A4794,'319'!$B:$H,7,0),0)</f>
        <v>0</v>
      </c>
      <c r="G4794" s="34" t="n">
        <f aca="false">SUMIFS('12.326ana'!$C:$C,'12.326ana'!$M:$M,redes!A4794)</f>
        <v>0</v>
      </c>
    </row>
    <row r="4795" customFormat="false" ht="14.4" hidden="true" customHeight="false" outlineLevel="0" collapsed="false">
      <c r="A4795" s="34" t="n">
        <v>88471233134</v>
      </c>
      <c r="B4795" s="34" t="s">
        <v>11340</v>
      </c>
      <c r="C4795" s="34" t="s">
        <v>77</v>
      </c>
      <c r="E4795" s="30" t="s">
        <v>11341</v>
      </c>
      <c r="F4795" s="34" t="n">
        <f aca="false">IFERROR(VLOOKUP($A4795,'319'!$B:$H,7,0),0)</f>
        <v>0</v>
      </c>
      <c r="G4795" s="34" t="n">
        <f aca="false">SUMIFS('12.326ana'!$C:$C,'12.326ana'!$M:$M,redes!A4795)</f>
        <v>0</v>
      </c>
    </row>
    <row r="4796" customFormat="false" ht="14.4" hidden="true" customHeight="false" outlineLevel="0" collapsed="false">
      <c r="A4796" s="34" t="n">
        <v>88606341134</v>
      </c>
      <c r="B4796" s="34" t="s">
        <v>11342</v>
      </c>
      <c r="C4796" s="34" t="s">
        <v>77</v>
      </c>
      <c r="E4796" s="30"/>
      <c r="F4796" s="34" t="n">
        <f aca="false">IFERROR(VLOOKUP($A4796,'319'!$B:$H,7,0),0)</f>
        <v>0</v>
      </c>
      <c r="G4796" s="34" t="n">
        <f aca="false">SUMIFS('12.326ana'!$C:$C,'12.326ana'!$M:$M,redes!A4796)</f>
        <v>0</v>
      </c>
    </row>
    <row r="4797" customFormat="false" ht="14.4" hidden="true" customHeight="false" outlineLevel="0" collapsed="false">
      <c r="A4797" s="34" t="n">
        <v>88609006115</v>
      </c>
      <c r="B4797" s="34" t="s">
        <v>11343</v>
      </c>
      <c r="C4797" s="34" t="s">
        <v>107</v>
      </c>
      <c r="E4797" s="30" t="s">
        <v>828</v>
      </c>
      <c r="F4797" s="34" t="n">
        <f aca="false">IFERROR(VLOOKUP($A4797,'319'!$B:$H,7,0),0)</f>
        <v>0</v>
      </c>
      <c r="G4797" s="34" t="n">
        <f aca="false">SUMIFS('12.326ana'!$C:$C,'12.326ana'!$M:$M,redes!A4797)</f>
        <v>0</v>
      </c>
    </row>
    <row r="4798" customFormat="false" ht="14.4" hidden="true" customHeight="false" outlineLevel="0" collapsed="false">
      <c r="A4798" s="34" t="n">
        <v>88611540182</v>
      </c>
      <c r="B4798" s="34" t="s">
        <v>11344</v>
      </c>
      <c r="C4798" s="34" t="s">
        <v>77</v>
      </c>
      <c r="E4798" s="30" t="s">
        <v>11345</v>
      </c>
      <c r="F4798" s="34" t="n">
        <f aca="false">IFERROR(VLOOKUP($A4798,'319'!$B:$H,7,0),0)</f>
        <v>0</v>
      </c>
      <c r="G4798" s="34" t="n">
        <f aca="false">SUMIFS('12.326ana'!$C:$C,'12.326ana'!$M:$M,redes!A4798)</f>
        <v>0</v>
      </c>
    </row>
    <row r="4799" customFormat="false" ht="14.4" hidden="true" customHeight="false" outlineLevel="0" collapsed="false">
      <c r="A4799" s="34" t="n">
        <v>88611710100</v>
      </c>
      <c r="B4799" s="34" t="s">
        <v>11346</v>
      </c>
      <c r="C4799" s="34" t="s">
        <v>77</v>
      </c>
      <c r="E4799" s="30" t="s">
        <v>11347</v>
      </c>
      <c r="F4799" s="34" t="n">
        <f aca="false">IFERROR(VLOOKUP($A4799,'319'!$B:$H,7,0),0)</f>
        <v>0</v>
      </c>
      <c r="G4799" s="34" t="n">
        <f aca="false">SUMIFS('12.326ana'!$C:$C,'12.326ana'!$M:$M,redes!A4799)</f>
        <v>0</v>
      </c>
    </row>
    <row r="4800" customFormat="false" ht="14.4" hidden="true" customHeight="false" outlineLevel="0" collapsed="false">
      <c r="A4800" s="34" t="n">
        <v>88625745849</v>
      </c>
      <c r="B4800" s="34" t="s">
        <v>11348</v>
      </c>
      <c r="C4800" s="34" t="s">
        <v>475</v>
      </c>
      <c r="E4800" s="30"/>
      <c r="F4800" s="34" t="n">
        <f aca="false">IFERROR(VLOOKUP($A4800,'319'!$B:$H,7,0),0)</f>
        <v>0</v>
      </c>
      <c r="G4800" s="34" t="n">
        <f aca="false">SUMIFS('12.326ana'!$C:$C,'12.326ana'!$M:$M,redes!A4800)</f>
        <v>0</v>
      </c>
    </row>
    <row r="4801" customFormat="false" ht="14.4" hidden="true" customHeight="false" outlineLevel="0" collapsed="false">
      <c r="A4801" s="34" t="n">
        <v>88629490144</v>
      </c>
      <c r="B4801" s="34" t="s">
        <v>11349</v>
      </c>
      <c r="C4801" s="34" t="s">
        <v>77</v>
      </c>
      <c r="E4801" s="30" t="s">
        <v>11350</v>
      </c>
      <c r="F4801" s="34" t="n">
        <f aca="false">IFERROR(VLOOKUP($A4801,'319'!$B:$H,7,0),0)</f>
        <v>0</v>
      </c>
      <c r="G4801" s="34" t="n">
        <f aca="false">SUMIFS('12.326ana'!$C:$C,'12.326ana'!$M:$M,redes!A4801)</f>
        <v>0</v>
      </c>
    </row>
    <row r="4802" customFormat="false" ht="14.4" hidden="true" customHeight="false" outlineLevel="0" collapsed="false">
      <c r="A4802" s="34" t="n">
        <v>88649040187</v>
      </c>
      <c r="B4802" s="34" t="s">
        <v>5057</v>
      </c>
      <c r="C4802" s="34" t="s">
        <v>77</v>
      </c>
      <c r="E4802" s="30" t="s">
        <v>5058</v>
      </c>
      <c r="F4802" s="34" t="n">
        <f aca="false">IFERROR(VLOOKUP($A4802,'319'!$B:$H,7,0),0)</f>
        <v>0</v>
      </c>
      <c r="G4802" s="34" t="n">
        <f aca="false">SUMIFS('12.326ana'!$C:$C,'12.326ana'!$M:$M,redes!A4802)</f>
        <v>0</v>
      </c>
    </row>
    <row r="4803" customFormat="false" ht="14.4" hidden="true" customHeight="false" outlineLevel="0" collapsed="false">
      <c r="A4803" s="34" t="n">
        <v>88661148120</v>
      </c>
      <c r="B4803" s="34" t="s">
        <v>11351</v>
      </c>
      <c r="C4803" s="34" t="s">
        <v>77</v>
      </c>
      <c r="E4803" s="30" t="s">
        <v>7582</v>
      </c>
      <c r="F4803" s="34" t="n">
        <f aca="false">IFERROR(VLOOKUP($A4803,'319'!$B:$H,7,0),0)</f>
        <v>0</v>
      </c>
      <c r="G4803" s="34" t="n">
        <f aca="false">SUMIFS('12.326ana'!$C:$C,'12.326ana'!$M:$M,redes!A4803)</f>
        <v>0</v>
      </c>
    </row>
    <row r="4804" customFormat="false" ht="14.4" hidden="true" customHeight="false" outlineLevel="0" collapsed="false">
      <c r="A4804" s="34" t="n">
        <v>88672514149</v>
      </c>
      <c r="B4804" s="34" t="s">
        <v>11352</v>
      </c>
      <c r="C4804" s="34" t="s">
        <v>77</v>
      </c>
      <c r="E4804" s="30" t="s">
        <v>11353</v>
      </c>
      <c r="F4804" s="34" t="n">
        <f aca="false">IFERROR(VLOOKUP($A4804,'319'!$B:$H,7,0),0)</f>
        <v>0</v>
      </c>
      <c r="G4804" s="34" t="n">
        <f aca="false">SUMIFS('12.326ana'!$C:$C,'12.326ana'!$M:$M,redes!A4804)</f>
        <v>0</v>
      </c>
    </row>
    <row r="4805" customFormat="false" ht="14.4" hidden="true" customHeight="false" outlineLevel="0" collapsed="false">
      <c r="A4805" s="34" t="n">
        <v>88795578153</v>
      </c>
      <c r="B4805" s="34" t="s">
        <v>11354</v>
      </c>
      <c r="C4805" s="34" t="s">
        <v>107</v>
      </c>
      <c r="E4805" s="30" t="s">
        <v>11355</v>
      </c>
      <c r="F4805" s="34" t="n">
        <f aca="false">IFERROR(VLOOKUP($A4805,'319'!$B:$H,7,0),0)</f>
        <v>0</v>
      </c>
      <c r="G4805" s="34" t="n">
        <f aca="false">SUMIFS('12.326ana'!$C:$C,'12.326ana'!$M:$M,redes!A4805)</f>
        <v>0</v>
      </c>
    </row>
    <row r="4806" customFormat="false" ht="14.4" hidden="true" customHeight="false" outlineLevel="0" collapsed="false">
      <c r="A4806" s="34" t="n">
        <v>88796248149</v>
      </c>
      <c r="B4806" s="34" t="s">
        <v>3593</v>
      </c>
      <c r="C4806" s="34" t="s">
        <v>77</v>
      </c>
      <c r="E4806" s="30" t="s">
        <v>4618</v>
      </c>
      <c r="F4806" s="34" t="n">
        <f aca="false">IFERROR(VLOOKUP($A4806,'319'!$B:$H,7,0),0)</f>
        <v>0</v>
      </c>
      <c r="G4806" s="34" t="n">
        <f aca="false">SUMIFS('12.326ana'!$C:$C,'12.326ana'!$M:$M,redes!A4806)</f>
        <v>0</v>
      </c>
    </row>
    <row r="4807" customFormat="false" ht="14.4" hidden="true" customHeight="false" outlineLevel="0" collapsed="false">
      <c r="A4807" s="34" t="n">
        <v>88810437187</v>
      </c>
      <c r="B4807" s="34" t="s">
        <v>11356</v>
      </c>
      <c r="C4807" s="34" t="s">
        <v>77</v>
      </c>
      <c r="E4807" s="30" t="s">
        <v>11357</v>
      </c>
      <c r="F4807" s="34" t="n">
        <f aca="false">IFERROR(VLOOKUP($A4807,'319'!$B:$H,7,0),0)</f>
        <v>0</v>
      </c>
      <c r="G4807" s="34" t="n">
        <f aca="false">SUMIFS('12.326ana'!$C:$C,'12.326ana'!$M:$M,redes!A4807)</f>
        <v>0</v>
      </c>
    </row>
    <row r="4808" customFormat="false" ht="14.4" hidden="true" customHeight="false" outlineLevel="0" collapsed="false">
      <c r="A4808" s="34" t="n">
        <v>88822419120</v>
      </c>
      <c r="B4808" s="34" t="s">
        <v>11358</v>
      </c>
      <c r="C4808" s="34" t="s">
        <v>565</v>
      </c>
      <c r="E4808" s="30" t="s">
        <v>11359</v>
      </c>
      <c r="F4808" s="34" t="n">
        <f aca="false">IFERROR(VLOOKUP($A4808,'319'!$B:$H,7,0),0)</f>
        <v>0</v>
      </c>
      <c r="G4808" s="34" t="n">
        <f aca="false">SUMIFS('12.326ana'!$C:$C,'12.326ana'!$M:$M,redes!A4808)</f>
        <v>0</v>
      </c>
    </row>
    <row r="4809" customFormat="false" ht="14.4" hidden="true" customHeight="false" outlineLevel="0" collapsed="false">
      <c r="A4809" s="34" t="n">
        <v>88822575172</v>
      </c>
      <c r="B4809" s="34" t="s">
        <v>11360</v>
      </c>
      <c r="C4809" s="34" t="s">
        <v>77</v>
      </c>
      <c r="E4809" s="30" t="s">
        <v>11361</v>
      </c>
      <c r="F4809" s="34" t="n">
        <f aca="false">IFERROR(VLOOKUP($A4809,'319'!$B:$H,7,0),0)</f>
        <v>0</v>
      </c>
      <c r="G4809" s="34" t="n">
        <f aca="false">SUMIFS('12.326ana'!$C:$C,'12.326ana'!$M:$M,redes!A4809)</f>
        <v>0</v>
      </c>
    </row>
    <row r="4810" customFormat="false" ht="14.4" hidden="true" customHeight="false" outlineLevel="0" collapsed="false">
      <c r="A4810" s="34" t="n">
        <v>88842754153</v>
      </c>
      <c r="B4810" s="34" t="s">
        <v>11362</v>
      </c>
      <c r="C4810" s="34" t="s">
        <v>117</v>
      </c>
      <c r="E4810" s="30" t="s">
        <v>11363</v>
      </c>
      <c r="F4810" s="34" t="n">
        <f aca="false">IFERROR(VLOOKUP($A4810,'319'!$B:$H,7,0),0)</f>
        <v>0</v>
      </c>
      <c r="G4810" s="34" t="n">
        <f aca="false">SUMIFS('12.326ana'!$C:$C,'12.326ana'!$M:$M,redes!A4810)</f>
        <v>0</v>
      </c>
    </row>
    <row r="4811" customFormat="false" ht="14.4" hidden="true" customHeight="false" outlineLevel="0" collapsed="false">
      <c r="A4811" s="34" t="n">
        <v>88845907104</v>
      </c>
      <c r="B4811" s="34" t="s">
        <v>11364</v>
      </c>
      <c r="C4811" s="34" t="s">
        <v>77</v>
      </c>
      <c r="E4811" s="30" t="s">
        <v>11365</v>
      </c>
      <c r="F4811" s="34" t="n">
        <f aca="false">IFERROR(VLOOKUP($A4811,'319'!$B:$H,7,0),0)</f>
        <v>0</v>
      </c>
      <c r="G4811" s="34" t="n">
        <f aca="false">SUMIFS('12.326ana'!$C:$C,'12.326ana'!$M:$M,redes!A4811)</f>
        <v>0</v>
      </c>
    </row>
    <row r="4812" customFormat="false" ht="14.4" hidden="true" customHeight="false" outlineLevel="0" collapsed="false">
      <c r="A4812" s="34" t="n">
        <v>88853497149</v>
      </c>
      <c r="B4812" s="34" t="s">
        <v>11366</v>
      </c>
      <c r="C4812" s="34" t="s">
        <v>357</v>
      </c>
      <c r="E4812" s="30" t="s">
        <v>11367</v>
      </c>
      <c r="F4812" s="34" t="n">
        <f aca="false">IFERROR(VLOOKUP($A4812,'319'!$B:$H,7,0),0)</f>
        <v>0</v>
      </c>
      <c r="G4812" s="34" t="n">
        <f aca="false">SUMIFS('12.326ana'!$C:$C,'12.326ana'!$M:$M,redes!A4812)</f>
        <v>0</v>
      </c>
    </row>
    <row r="4813" customFormat="false" ht="14.4" hidden="true" customHeight="false" outlineLevel="0" collapsed="false">
      <c r="A4813" s="34" t="n">
        <v>88862976887</v>
      </c>
      <c r="B4813" s="34" t="s">
        <v>11368</v>
      </c>
      <c r="C4813" s="34" t="s">
        <v>77</v>
      </c>
      <c r="E4813" s="30" t="s">
        <v>11369</v>
      </c>
      <c r="F4813" s="34" t="n">
        <f aca="false">IFERROR(VLOOKUP($A4813,'319'!$B:$H,7,0),0)</f>
        <v>0</v>
      </c>
      <c r="G4813" s="34" t="n">
        <f aca="false">SUMIFS('12.326ana'!$C:$C,'12.326ana'!$M:$M,redes!A4813)</f>
        <v>0</v>
      </c>
    </row>
    <row r="4814" customFormat="false" ht="14.4" hidden="true" customHeight="false" outlineLevel="0" collapsed="false">
      <c r="A4814" s="34" t="n">
        <v>88904253187</v>
      </c>
      <c r="B4814" s="34" t="s">
        <v>11370</v>
      </c>
      <c r="C4814" s="34" t="s">
        <v>77</v>
      </c>
      <c r="E4814" s="30"/>
      <c r="F4814" s="34" t="n">
        <f aca="false">IFERROR(VLOOKUP($A4814,'319'!$B:$H,7,0),0)</f>
        <v>0</v>
      </c>
      <c r="G4814" s="34" t="n">
        <f aca="false">SUMIFS('12.326ana'!$C:$C,'12.326ana'!$M:$M,redes!A4814)</f>
        <v>0</v>
      </c>
    </row>
    <row r="4815" customFormat="false" ht="14.4" hidden="true" customHeight="false" outlineLevel="0" collapsed="false">
      <c r="A4815" s="34" t="n">
        <v>88917517820</v>
      </c>
      <c r="B4815" s="34" t="s">
        <v>11371</v>
      </c>
      <c r="C4815" s="34" t="s">
        <v>336</v>
      </c>
      <c r="E4815" s="30" t="s">
        <v>11372</v>
      </c>
      <c r="F4815" s="34" t="n">
        <f aca="false">IFERROR(VLOOKUP($A4815,'319'!$B:$H,7,0),0)</f>
        <v>0</v>
      </c>
      <c r="G4815" s="34" t="n">
        <f aca="false">SUMIFS('12.326ana'!$C:$C,'12.326ana'!$M:$M,redes!A4815)</f>
        <v>0</v>
      </c>
    </row>
    <row r="4816" customFormat="false" ht="14.4" hidden="true" customHeight="false" outlineLevel="0" collapsed="false">
      <c r="A4816" s="34" t="n">
        <v>88918726104</v>
      </c>
      <c r="B4816" s="34" t="s">
        <v>11373</v>
      </c>
      <c r="C4816" s="34" t="s">
        <v>979</v>
      </c>
      <c r="E4816" s="30" t="s">
        <v>11374</v>
      </c>
      <c r="F4816" s="34" t="n">
        <f aca="false">IFERROR(VLOOKUP($A4816,'319'!$B:$H,7,0),0)</f>
        <v>0</v>
      </c>
      <c r="G4816" s="34" t="n">
        <f aca="false">SUMIFS('12.326ana'!$C:$C,'12.326ana'!$M:$M,redes!A4816)</f>
        <v>0</v>
      </c>
    </row>
    <row r="4817" customFormat="false" ht="14.4" hidden="true" customHeight="false" outlineLevel="0" collapsed="false">
      <c r="A4817" s="34" t="n">
        <v>88920470197</v>
      </c>
      <c r="B4817" s="34" t="s">
        <v>11375</v>
      </c>
      <c r="C4817" s="34" t="s">
        <v>77</v>
      </c>
      <c r="E4817" s="30"/>
      <c r="F4817" s="34" t="n">
        <f aca="false">IFERROR(VLOOKUP($A4817,'319'!$B:$H,7,0),0)</f>
        <v>0</v>
      </c>
      <c r="G4817" s="34" t="n">
        <f aca="false">SUMIFS('12.326ana'!$C:$C,'12.326ana'!$M:$M,redes!A4817)</f>
        <v>0</v>
      </c>
    </row>
    <row r="4818" customFormat="false" ht="14.4" hidden="true" customHeight="false" outlineLevel="0" collapsed="false">
      <c r="A4818" s="34" t="n">
        <v>88926400115</v>
      </c>
      <c r="B4818" s="34" t="s">
        <v>11376</v>
      </c>
      <c r="C4818" s="34" t="s">
        <v>77</v>
      </c>
      <c r="E4818" s="30" t="s">
        <v>11377</v>
      </c>
      <c r="F4818" s="34" t="n">
        <f aca="false">IFERROR(VLOOKUP($A4818,'319'!$B:$H,7,0),0)</f>
        <v>0</v>
      </c>
      <c r="G4818" s="34" t="n">
        <f aca="false">SUMIFS('12.326ana'!$C:$C,'12.326ana'!$M:$M,redes!A4818)</f>
        <v>0</v>
      </c>
    </row>
    <row r="4819" customFormat="false" ht="14.4" hidden="true" customHeight="false" outlineLevel="0" collapsed="false">
      <c r="A4819" s="34" t="n">
        <v>88940586115</v>
      </c>
      <c r="B4819" s="34" t="s">
        <v>11378</v>
      </c>
      <c r="C4819" s="34" t="s">
        <v>77</v>
      </c>
      <c r="E4819" s="30" t="s">
        <v>11379</v>
      </c>
      <c r="F4819" s="34" t="n">
        <f aca="false">IFERROR(VLOOKUP($A4819,'319'!$B:$H,7,0),0)</f>
        <v>0</v>
      </c>
      <c r="G4819" s="34" t="n">
        <f aca="false">SUMIFS('12.326ana'!$C:$C,'12.326ana'!$M:$M,redes!A4819)</f>
        <v>0</v>
      </c>
    </row>
    <row r="4820" customFormat="false" ht="14.4" hidden="true" customHeight="false" outlineLevel="0" collapsed="false">
      <c r="A4820" s="34" t="n">
        <v>88955249187</v>
      </c>
      <c r="B4820" s="34" t="s">
        <v>11380</v>
      </c>
      <c r="C4820" s="34" t="s">
        <v>77</v>
      </c>
      <c r="E4820" s="30" t="s">
        <v>11381</v>
      </c>
      <c r="F4820" s="34" t="n">
        <f aca="false">IFERROR(VLOOKUP($A4820,'319'!$B:$H,7,0),0)</f>
        <v>0</v>
      </c>
      <c r="G4820" s="34" t="n">
        <f aca="false">SUMIFS('12.326ana'!$C:$C,'12.326ana'!$M:$M,redes!A4820)</f>
        <v>0</v>
      </c>
    </row>
    <row r="4821" customFormat="false" ht="14.4" hidden="true" customHeight="false" outlineLevel="0" collapsed="false">
      <c r="A4821" s="34" t="n">
        <v>88983080191</v>
      </c>
      <c r="B4821" s="34" t="s">
        <v>11382</v>
      </c>
      <c r="C4821" s="34" t="s">
        <v>77</v>
      </c>
      <c r="E4821" s="30" t="s">
        <v>11383</v>
      </c>
      <c r="F4821" s="34" t="n">
        <f aca="false">IFERROR(VLOOKUP($A4821,'319'!$B:$H,7,0),0)</f>
        <v>0</v>
      </c>
      <c r="G4821" s="34" t="n">
        <f aca="false">SUMIFS('12.326ana'!$C:$C,'12.326ana'!$M:$M,redes!A4821)</f>
        <v>0</v>
      </c>
    </row>
    <row r="4822" customFormat="false" ht="14.4" hidden="true" customHeight="false" outlineLevel="0" collapsed="false">
      <c r="A4822" s="34" t="n">
        <v>89014308191</v>
      </c>
      <c r="B4822" s="34" t="s">
        <v>11384</v>
      </c>
      <c r="C4822" s="34" t="s">
        <v>77</v>
      </c>
      <c r="E4822" s="30" t="s">
        <v>3699</v>
      </c>
      <c r="F4822" s="34" t="n">
        <f aca="false">IFERROR(VLOOKUP($A4822,'319'!$B:$H,7,0),0)</f>
        <v>0</v>
      </c>
      <c r="G4822" s="34" t="n">
        <f aca="false">SUMIFS('12.326ana'!$C:$C,'12.326ana'!$M:$M,redes!A4822)</f>
        <v>0</v>
      </c>
    </row>
    <row r="4823" customFormat="false" ht="14.4" hidden="true" customHeight="false" outlineLevel="0" collapsed="false">
      <c r="A4823" s="34" t="n">
        <v>89038240163</v>
      </c>
      <c r="B4823" s="34" t="s">
        <v>11385</v>
      </c>
      <c r="C4823" s="34" t="s">
        <v>464</v>
      </c>
      <c r="E4823" s="30" t="s">
        <v>11386</v>
      </c>
      <c r="F4823" s="34" t="n">
        <f aca="false">IFERROR(VLOOKUP($A4823,'319'!$B:$H,7,0),0)</f>
        <v>0</v>
      </c>
      <c r="G4823" s="34" t="n">
        <f aca="false">SUMIFS('12.326ana'!$C:$C,'12.326ana'!$M:$M,redes!A4823)</f>
        <v>0</v>
      </c>
    </row>
    <row r="4824" customFormat="false" ht="14.4" hidden="true" customHeight="false" outlineLevel="0" collapsed="false">
      <c r="A4824" s="34" t="n">
        <v>89052650144</v>
      </c>
      <c r="B4824" s="34" t="s">
        <v>11387</v>
      </c>
      <c r="C4824" s="34" t="s">
        <v>154</v>
      </c>
      <c r="E4824" s="30" t="s">
        <v>11388</v>
      </c>
      <c r="F4824" s="34" t="n">
        <f aca="false">IFERROR(VLOOKUP($A4824,'319'!$B:$H,7,0),0)</f>
        <v>0</v>
      </c>
      <c r="G4824" s="34" t="n">
        <f aca="false">SUMIFS('12.326ana'!$C:$C,'12.326ana'!$M:$M,redes!A4824)</f>
        <v>0</v>
      </c>
    </row>
    <row r="4825" customFormat="false" ht="14.4" hidden="true" customHeight="false" outlineLevel="0" collapsed="false">
      <c r="A4825" s="34" t="n">
        <v>89056531115</v>
      </c>
      <c r="B4825" s="34" t="s">
        <v>11389</v>
      </c>
      <c r="C4825" s="34" t="s">
        <v>77</v>
      </c>
      <c r="E4825" s="30"/>
      <c r="F4825" s="34" t="n">
        <f aca="false">IFERROR(VLOOKUP($A4825,'319'!$B:$H,7,0),0)</f>
        <v>0</v>
      </c>
      <c r="G4825" s="34" t="n">
        <f aca="false">SUMIFS('12.326ana'!$C:$C,'12.326ana'!$M:$M,redes!A4825)</f>
        <v>0</v>
      </c>
    </row>
    <row r="4826" customFormat="false" ht="14.4" hidden="true" customHeight="false" outlineLevel="0" collapsed="false">
      <c r="A4826" s="34" t="n">
        <v>89058011100</v>
      </c>
      <c r="B4826" s="34" t="s">
        <v>11390</v>
      </c>
      <c r="C4826" s="34" t="s">
        <v>77</v>
      </c>
      <c r="E4826" s="30" t="s">
        <v>11391</v>
      </c>
      <c r="F4826" s="34" t="n">
        <f aca="false">IFERROR(VLOOKUP($A4826,'319'!$B:$H,7,0),0)</f>
        <v>0</v>
      </c>
      <c r="G4826" s="34" t="n">
        <f aca="false">SUMIFS('12.326ana'!$C:$C,'12.326ana'!$M:$M,redes!A4826)</f>
        <v>0</v>
      </c>
    </row>
    <row r="4827" customFormat="false" ht="14.4" hidden="true" customHeight="false" outlineLevel="0" collapsed="false">
      <c r="A4827" s="34" t="n">
        <v>89065700153</v>
      </c>
      <c r="B4827" s="34" t="s">
        <v>11392</v>
      </c>
      <c r="C4827" s="34" t="s">
        <v>77</v>
      </c>
      <c r="E4827" s="30" t="s">
        <v>11393</v>
      </c>
      <c r="F4827" s="34" t="n">
        <f aca="false">IFERROR(VLOOKUP($A4827,'319'!$B:$H,7,0),0)</f>
        <v>0</v>
      </c>
      <c r="G4827" s="34" t="n">
        <f aca="false">SUMIFS('12.326ana'!$C:$C,'12.326ana'!$M:$M,redes!A4827)</f>
        <v>0</v>
      </c>
    </row>
    <row r="4828" customFormat="false" ht="14.4" hidden="true" customHeight="false" outlineLevel="0" collapsed="false">
      <c r="A4828" s="34" t="n">
        <v>89068033115</v>
      </c>
      <c r="B4828" s="34" t="s">
        <v>11394</v>
      </c>
      <c r="C4828" s="34" t="s">
        <v>77</v>
      </c>
      <c r="E4828" s="30" t="s">
        <v>11394</v>
      </c>
      <c r="F4828" s="34" t="n">
        <f aca="false">IFERROR(VLOOKUP($A4828,'319'!$B:$H,7,0),0)</f>
        <v>0</v>
      </c>
      <c r="G4828" s="34" t="n">
        <f aca="false">SUMIFS('12.326ana'!$C:$C,'12.326ana'!$M:$M,redes!A4828)</f>
        <v>0</v>
      </c>
    </row>
    <row r="4829" customFormat="false" ht="14.4" hidden="true" customHeight="false" outlineLevel="0" collapsed="false">
      <c r="A4829" s="34" t="n">
        <v>89091329149</v>
      </c>
      <c r="B4829" s="34" t="s">
        <v>11395</v>
      </c>
      <c r="C4829" s="34" t="s">
        <v>107</v>
      </c>
      <c r="E4829" s="30" t="s">
        <v>11396</v>
      </c>
      <c r="F4829" s="34" t="n">
        <f aca="false">IFERROR(VLOOKUP($A4829,'319'!$B:$H,7,0),0)</f>
        <v>0</v>
      </c>
      <c r="G4829" s="34" t="n">
        <f aca="false">SUMIFS('12.326ana'!$C:$C,'12.326ana'!$M:$M,redes!A4829)</f>
        <v>0</v>
      </c>
    </row>
    <row r="4830" customFormat="false" ht="14.4" hidden="true" customHeight="false" outlineLevel="0" collapsed="false">
      <c r="A4830" s="34" t="n">
        <v>89194551120</v>
      </c>
      <c r="B4830" s="34" t="s">
        <v>11397</v>
      </c>
      <c r="C4830" s="34" t="s">
        <v>4156</v>
      </c>
      <c r="E4830" s="30" t="s">
        <v>11398</v>
      </c>
      <c r="F4830" s="34" t="n">
        <f aca="false">IFERROR(VLOOKUP($A4830,'319'!$B:$H,7,0),0)</f>
        <v>0</v>
      </c>
      <c r="G4830" s="34" t="n">
        <f aca="false">SUMIFS('12.326ana'!$C:$C,'12.326ana'!$M:$M,redes!A4830)</f>
        <v>0</v>
      </c>
    </row>
    <row r="4831" customFormat="false" ht="14.4" hidden="true" customHeight="false" outlineLevel="0" collapsed="false">
      <c r="A4831" s="34" t="n">
        <v>89195892168</v>
      </c>
      <c r="B4831" s="34" t="s">
        <v>11399</v>
      </c>
      <c r="C4831" s="34" t="s">
        <v>89</v>
      </c>
      <c r="E4831" s="30" t="s">
        <v>11399</v>
      </c>
      <c r="F4831" s="34" t="n">
        <f aca="false">IFERROR(VLOOKUP($A4831,'319'!$B:$H,7,0),0)</f>
        <v>0</v>
      </c>
      <c r="G4831" s="34" t="n">
        <f aca="false">SUMIFS('12.326ana'!$C:$C,'12.326ana'!$M:$M,redes!A4831)</f>
        <v>0</v>
      </c>
    </row>
    <row r="4832" customFormat="false" ht="14.4" hidden="true" customHeight="false" outlineLevel="0" collapsed="false">
      <c r="A4832" s="34" t="n">
        <v>89206126172</v>
      </c>
      <c r="B4832" s="34" t="s">
        <v>11400</v>
      </c>
      <c r="C4832" s="34" t="s">
        <v>139</v>
      </c>
      <c r="E4832" s="30" t="s">
        <v>11401</v>
      </c>
      <c r="F4832" s="34" t="n">
        <f aca="false">IFERROR(VLOOKUP($A4832,'319'!$B:$H,7,0),0)</f>
        <v>0</v>
      </c>
      <c r="G4832" s="34" t="n">
        <f aca="false">SUMIFS('12.326ana'!$C:$C,'12.326ana'!$M:$M,redes!A4832)</f>
        <v>0</v>
      </c>
    </row>
    <row r="4833" customFormat="false" ht="14.4" hidden="true" customHeight="false" outlineLevel="0" collapsed="false">
      <c r="A4833" s="34" t="n">
        <v>89206673149</v>
      </c>
      <c r="B4833" s="34" t="s">
        <v>11402</v>
      </c>
      <c r="C4833" s="34" t="s">
        <v>77</v>
      </c>
      <c r="E4833" s="30" t="s">
        <v>11402</v>
      </c>
      <c r="F4833" s="34" t="n">
        <f aca="false">IFERROR(VLOOKUP($A4833,'319'!$B:$H,7,0),0)</f>
        <v>0</v>
      </c>
      <c r="G4833" s="34" t="n">
        <f aca="false">SUMIFS('12.326ana'!$C:$C,'12.326ana'!$M:$M,redes!A4833)</f>
        <v>0</v>
      </c>
    </row>
    <row r="4834" customFormat="false" ht="14.4" hidden="true" customHeight="false" outlineLevel="0" collapsed="false">
      <c r="A4834" s="34" t="n">
        <v>89215540172</v>
      </c>
      <c r="B4834" s="34" t="s">
        <v>11403</v>
      </c>
      <c r="C4834" s="34" t="s">
        <v>405</v>
      </c>
      <c r="E4834" s="30" t="s">
        <v>11404</v>
      </c>
      <c r="F4834" s="34" t="n">
        <f aca="false">IFERROR(VLOOKUP($A4834,'319'!$B:$H,7,0),0)</f>
        <v>0</v>
      </c>
      <c r="G4834" s="34" t="n">
        <f aca="false">SUMIFS('12.326ana'!$C:$C,'12.326ana'!$M:$M,redes!A4834)</f>
        <v>0</v>
      </c>
    </row>
    <row r="4835" customFormat="false" ht="14.4" hidden="true" customHeight="false" outlineLevel="0" collapsed="false">
      <c r="A4835" s="34" t="n">
        <v>89217497134</v>
      </c>
      <c r="B4835" s="34" t="s">
        <v>11405</v>
      </c>
      <c r="C4835" s="34" t="s">
        <v>473</v>
      </c>
      <c r="E4835" s="30" t="s">
        <v>11406</v>
      </c>
      <c r="F4835" s="34" t="n">
        <f aca="false">IFERROR(VLOOKUP($A4835,'319'!$B:$H,7,0),0)</f>
        <v>0</v>
      </c>
      <c r="G4835" s="34" t="n">
        <f aca="false">SUMIFS('12.326ana'!$C:$C,'12.326ana'!$M:$M,redes!A4835)</f>
        <v>0</v>
      </c>
    </row>
    <row r="4836" customFormat="false" ht="14.4" hidden="true" customHeight="false" outlineLevel="0" collapsed="false">
      <c r="A4836" s="34" t="n">
        <v>89231724134</v>
      </c>
      <c r="B4836" s="34" t="s">
        <v>11407</v>
      </c>
      <c r="C4836" s="34" t="s">
        <v>77</v>
      </c>
      <c r="E4836" s="30" t="s">
        <v>5072</v>
      </c>
      <c r="F4836" s="34" t="n">
        <f aca="false">IFERROR(VLOOKUP($A4836,'319'!$B:$H,7,0),0)</f>
        <v>0</v>
      </c>
      <c r="G4836" s="34" t="n">
        <f aca="false">SUMIFS('12.326ana'!$C:$C,'12.326ana'!$M:$M,redes!A4836)</f>
        <v>0</v>
      </c>
    </row>
    <row r="4837" customFormat="false" ht="14.4" hidden="true" customHeight="false" outlineLevel="0" collapsed="false">
      <c r="A4837" s="34" t="n">
        <v>89233735168</v>
      </c>
      <c r="B4837" s="34" t="s">
        <v>11408</v>
      </c>
      <c r="C4837" s="34" t="s">
        <v>89</v>
      </c>
      <c r="E4837" s="30" t="s">
        <v>11409</v>
      </c>
      <c r="F4837" s="34" t="n">
        <f aca="false">IFERROR(VLOOKUP($A4837,'319'!$B:$H,7,0),0)</f>
        <v>0</v>
      </c>
      <c r="G4837" s="34" t="n">
        <f aca="false">SUMIFS('12.326ana'!$C:$C,'12.326ana'!$M:$M,redes!A4837)</f>
        <v>0</v>
      </c>
    </row>
    <row r="4838" customFormat="false" ht="14.4" hidden="true" customHeight="false" outlineLevel="0" collapsed="false">
      <c r="A4838" s="34" t="n">
        <v>89237293100</v>
      </c>
      <c r="B4838" s="34" t="s">
        <v>11410</v>
      </c>
      <c r="C4838" s="34" t="s">
        <v>77</v>
      </c>
      <c r="E4838" s="30" t="s">
        <v>11411</v>
      </c>
      <c r="F4838" s="34" t="n">
        <f aca="false">IFERROR(VLOOKUP($A4838,'319'!$B:$H,7,0),0)</f>
        <v>0</v>
      </c>
      <c r="G4838" s="34" t="n">
        <f aca="false">SUMIFS('12.326ana'!$C:$C,'12.326ana'!$M:$M,redes!A4838)</f>
        <v>0</v>
      </c>
    </row>
    <row r="4839" customFormat="false" ht="14.4" hidden="true" customHeight="false" outlineLevel="0" collapsed="false">
      <c r="A4839" s="34" t="n">
        <v>89248457134</v>
      </c>
      <c r="B4839" s="34" t="s">
        <v>11412</v>
      </c>
      <c r="C4839" s="34" t="s">
        <v>309</v>
      </c>
      <c r="E4839" s="30" t="s">
        <v>11413</v>
      </c>
      <c r="F4839" s="34" t="n">
        <f aca="false">IFERROR(VLOOKUP($A4839,'319'!$B:$H,7,0),0)</f>
        <v>0</v>
      </c>
      <c r="G4839" s="34" t="n">
        <f aca="false">SUMIFS('12.326ana'!$C:$C,'12.326ana'!$M:$M,redes!A4839)</f>
        <v>0</v>
      </c>
    </row>
    <row r="4840" customFormat="false" ht="14.4" hidden="true" customHeight="false" outlineLevel="0" collapsed="false">
      <c r="A4840" s="34" t="n">
        <v>89261674100</v>
      </c>
      <c r="B4840" s="34" t="s">
        <v>11414</v>
      </c>
      <c r="C4840" s="34" t="s">
        <v>103</v>
      </c>
      <c r="E4840" s="30" t="s">
        <v>11415</v>
      </c>
      <c r="F4840" s="34" t="n">
        <f aca="false">IFERROR(VLOOKUP($A4840,'319'!$B:$H,7,0),0)</f>
        <v>0</v>
      </c>
      <c r="G4840" s="34" t="n">
        <f aca="false">SUMIFS('12.326ana'!$C:$C,'12.326ana'!$M:$M,redes!A4840)</f>
        <v>0</v>
      </c>
    </row>
    <row r="4841" customFormat="false" ht="14.4" hidden="true" customHeight="false" outlineLevel="0" collapsed="false">
      <c r="A4841" s="34" t="n">
        <v>89262794134</v>
      </c>
      <c r="B4841" s="34" t="s">
        <v>11416</v>
      </c>
      <c r="C4841" s="34" t="s">
        <v>103</v>
      </c>
      <c r="E4841" s="30" t="s">
        <v>3337</v>
      </c>
      <c r="F4841" s="34" t="n">
        <f aca="false">IFERROR(VLOOKUP($A4841,'319'!$B:$H,7,0),0)</f>
        <v>0</v>
      </c>
      <c r="G4841" s="34" t="n">
        <f aca="false">SUMIFS('12.326ana'!$C:$C,'12.326ana'!$M:$M,redes!A4841)</f>
        <v>0</v>
      </c>
    </row>
    <row r="4842" customFormat="false" ht="14.4" hidden="true" customHeight="false" outlineLevel="0" collapsed="false">
      <c r="A4842" s="34" t="n">
        <v>89314140997</v>
      </c>
      <c r="B4842" s="34" t="s">
        <v>11417</v>
      </c>
      <c r="C4842" s="34" t="s">
        <v>309</v>
      </c>
      <c r="E4842" s="30" t="s">
        <v>11418</v>
      </c>
      <c r="F4842" s="34" t="n">
        <f aca="false">IFERROR(VLOOKUP($A4842,'319'!$B:$H,7,0),0)</f>
        <v>0</v>
      </c>
      <c r="G4842" s="34" t="n">
        <f aca="false">SUMIFS('12.326ana'!$C:$C,'12.326ana'!$M:$M,redes!A4842)</f>
        <v>0</v>
      </c>
    </row>
    <row r="4843" customFormat="false" ht="14.4" hidden="true" customHeight="false" outlineLevel="0" collapsed="false">
      <c r="A4843" s="34" t="n">
        <v>89360494100</v>
      </c>
      <c r="B4843" s="34" t="s">
        <v>11419</v>
      </c>
      <c r="C4843" s="34" t="s">
        <v>77</v>
      </c>
      <c r="E4843" s="30" t="s">
        <v>11420</v>
      </c>
      <c r="F4843" s="34" t="n">
        <f aca="false">IFERROR(VLOOKUP($A4843,'319'!$B:$H,7,0),0)</f>
        <v>0</v>
      </c>
      <c r="G4843" s="34" t="n">
        <f aca="false">SUMIFS('12.326ana'!$C:$C,'12.326ana'!$M:$M,redes!A4843)</f>
        <v>0</v>
      </c>
    </row>
    <row r="4844" customFormat="false" ht="14.4" hidden="true" customHeight="false" outlineLevel="0" collapsed="false">
      <c r="A4844" s="34" t="n">
        <v>89363779068</v>
      </c>
      <c r="B4844" s="34" t="s">
        <v>11421</v>
      </c>
      <c r="C4844" s="34" t="s">
        <v>77</v>
      </c>
      <c r="E4844" s="30" t="s">
        <v>11422</v>
      </c>
      <c r="F4844" s="34" t="n">
        <f aca="false">IFERROR(VLOOKUP($A4844,'319'!$B:$H,7,0),0)</f>
        <v>0</v>
      </c>
      <c r="G4844" s="34" t="n">
        <f aca="false">SUMIFS('12.326ana'!$C:$C,'12.326ana'!$M:$M,redes!A4844)</f>
        <v>0</v>
      </c>
    </row>
    <row r="4845" customFormat="false" ht="14.4" hidden="true" customHeight="false" outlineLevel="0" collapsed="false">
      <c r="A4845" s="34" t="n">
        <v>89375556115</v>
      </c>
      <c r="B4845" s="34" t="s">
        <v>11423</v>
      </c>
      <c r="C4845" s="34" t="s">
        <v>77</v>
      </c>
      <c r="E4845" s="30" t="s">
        <v>11424</v>
      </c>
      <c r="F4845" s="34" t="n">
        <f aca="false">IFERROR(VLOOKUP($A4845,'319'!$B:$H,7,0),0)</f>
        <v>0</v>
      </c>
      <c r="G4845" s="34" t="n">
        <f aca="false">SUMIFS('12.326ana'!$C:$C,'12.326ana'!$M:$M,redes!A4845)</f>
        <v>0</v>
      </c>
    </row>
    <row r="4846" customFormat="false" ht="14.4" hidden="true" customHeight="false" outlineLevel="0" collapsed="false">
      <c r="A4846" s="34" t="n">
        <v>89388356187</v>
      </c>
      <c r="B4846" s="34" t="s">
        <v>11425</v>
      </c>
      <c r="C4846" s="34" t="s">
        <v>377</v>
      </c>
      <c r="E4846" s="30" t="s">
        <v>11426</v>
      </c>
      <c r="F4846" s="34" t="n">
        <f aca="false">IFERROR(VLOOKUP($A4846,'319'!$B:$H,7,0),0)</f>
        <v>0</v>
      </c>
      <c r="G4846" s="34" t="n">
        <f aca="false">SUMIFS('12.326ana'!$C:$C,'12.326ana'!$M:$M,redes!A4846)</f>
        <v>0</v>
      </c>
    </row>
    <row r="4847" customFormat="false" ht="14.4" hidden="true" customHeight="false" outlineLevel="0" collapsed="false">
      <c r="A4847" s="34" t="n">
        <v>89417453149</v>
      </c>
      <c r="B4847" s="34" t="s">
        <v>11427</v>
      </c>
      <c r="C4847" s="34" t="s">
        <v>77</v>
      </c>
      <c r="D4847" s="34" t="s">
        <v>3324</v>
      </c>
      <c r="E4847" s="30" t="s">
        <v>11428</v>
      </c>
      <c r="F4847" s="34" t="n">
        <f aca="false">IFERROR(VLOOKUP($A4847,'319'!$B:$H,7,0),0)</f>
        <v>0</v>
      </c>
      <c r="G4847" s="34" t="n">
        <f aca="false">SUMIFS('12.326ana'!$C:$C,'12.326ana'!$M:$M,redes!A4847)</f>
        <v>0</v>
      </c>
    </row>
    <row r="4848" customFormat="false" ht="14.4" hidden="true" customHeight="false" outlineLevel="0" collapsed="false">
      <c r="A4848" s="34" t="n">
        <v>89418239191</v>
      </c>
      <c r="B4848" s="34" t="s">
        <v>11429</v>
      </c>
      <c r="C4848" s="34" t="s">
        <v>594</v>
      </c>
      <c r="E4848" s="30" t="s">
        <v>11430</v>
      </c>
      <c r="F4848" s="34" t="n">
        <f aca="false">IFERROR(VLOOKUP($A4848,'319'!$B:$H,7,0),0)</f>
        <v>0</v>
      </c>
      <c r="G4848" s="34" t="n">
        <f aca="false">SUMIFS('12.326ana'!$C:$C,'12.326ana'!$M:$M,redes!A4848)</f>
        <v>0</v>
      </c>
    </row>
    <row r="4849" customFormat="false" ht="14.4" hidden="true" customHeight="false" outlineLevel="0" collapsed="false">
      <c r="A4849" s="34" t="n">
        <v>89421523172</v>
      </c>
      <c r="B4849" s="34" t="s">
        <v>11431</v>
      </c>
      <c r="C4849" s="34" t="s">
        <v>77</v>
      </c>
      <c r="E4849" s="30"/>
      <c r="F4849" s="34" t="n">
        <f aca="false">IFERROR(VLOOKUP($A4849,'319'!$B:$H,7,0),0)</f>
        <v>0</v>
      </c>
      <c r="G4849" s="34" t="n">
        <f aca="false">SUMIFS('12.326ana'!$C:$C,'12.326ana'!$M:$M,redes!A4849)</f>
        <v>0</v>
      </c>
    </row>
    <row r="4850" customFormat="false" ht="14.4" hidden="true" customHeight="false" outlineLevel="0" collapsed="false">
      <c r="A4850" s="34" t="n">
        <v>89443454149</v>
      </c>
      <c r="B4850" s="34" t="s">
        <v>11432</v>
      </c>
      <c r="C4850" s="34" t="s">
        <v>478</v>
      </c>
      <c r="E4850" s="30" t="s">
        <v>11433</v>
      </c>
      <c r="F4850" s="34" t="n">
        <f aca="false">IFERROR(VLOOKUP($A4850,'319'!$B:$H,7,0),0)</f>
        <v>0</v>
      </c>
      <c r="G4850" s="34" t="n">
        <f aca="false">SUMIFS('12.326ana'!$C:$C,'12.326ana'!$M:$M,redes!A4850)</f>
        <v>0</v>
      </c>
    </row>
    <row r="4851" customFormat="false" ht="14.4" hidden="true" customHeight="false" outlineLevel="0" collapsed="false">
      <c r="A4851" s="34" t="n">
        <v>89444191168</v>
      </c>
      <c r="B4851" s="34" t="s">
        <v>11434</v>
      </c>
      <c r="C4851" s="34" t="s">
        <v>994</v>
      </c>
      <c r="E4851" s="30" t="s">
        <v>11435</v>
      </c>
      <c r="F4851" s="34" t="n">
        <f aca="false">IFERROR(VLOOKUP($A4851,'319'!$B:$H,7,0),0)</f>
        <v>0</v>
      </c>
      <c r="G4851" s="34" t="n">
        <f aca="false">SUMIFS('12.326ana'!$C:$C,'12.326ana'!$M:$M,redes!A4851)</f>
        <v>0</v>
      </c>
    </row>
    <row r="4852" customFormat="false" ht="14.4" hidden="true" customHeight="false" outlineLevel="0" collapsed="false">
      <c r="A4852" s="34" t="n">
        <v>89447204104</v>
      </c>
      <c r="B4852" s="34" t="s">
        <v>11436</v>
      </c>
      <c r="C4852" s="34" t="s">
        <v>77</v>
      </c>
      <c r="E4852" s="30" t="s">
        <v>11437</v>
      </c>
      <c r="F4852" s="34" t="n">
        <f aca="false">IFERROR(VLOOKUP($A4852,'319'!$B:$H,7,0),0)</f>
        <v>0</v>
      </c>
      <c r="G4852" s="34" t="n">
        <f aca="false">SUMIFS('12.326ana'!$C:$C,'12.326ana'!$M:$M,redes!A4852)</f>
        <v>0</v>
      </c>
    </row>
    <row r="4853" customFormat="false" ht="14.4" hidden="true" customHeight="false" outlineLevel="0" collapsed="false">
      <c r="A4853" s="34" t="n">
        <v>89447506100</v>
      </c>
      <c r="B4853" s="34" t="s">
        <v>11438</v>
      </c>
      <c r="C4853" s="34" t="s">
        <v>309</v>
      </c>
      <c r="E4853" s="30" t="s">
        <v>8139</v>
      </c>
      <c r="F4853" s="34" t="n">
        <f aca="false">IFERROR(VLOOKUP($A4853,'319'!$B:$H,7,0),0)</f>
        <v>0</v>
      </c>
      <c r="G4853" s="34" t="n">
        <f aca="false">SUMIFS('12.326ana'!$C:$C,'12.326ana'!$M:$M,redes!A4853)</f>
        <v>0</v>
      </c>
    </row>
    <row r="4854" customFormat="false" ht="14.4" hidden="true" customHeight="false" outlineLevel="0" collapsed="false">
      <c r="A4854" s="34" t="n">
        <v>89456890104</v>
      </c>
      <c r="B4854" s="34" t="s">
        <v>11439</v>
      </c>
      <c r="C4854" s="34" t="s">
        <v>77</v>
      </c>
      <c r="E4854" s="30" t="s">
        <v>5725</v>
      </c>
      <c r="F4854" s="34" t="n">
        <f aca="false">IFERROR(VLOOKUP($A4854,'319'!$B:$H,7,0),0)</f>
        <v>0</v>
      </c>
      <c r="G4854" s="34" t="n">
        <f aca="false">SUMIFS('12.326ana'!$C:$C,'12.326ana'!$M:$M,redes!A4854)</f>
        <v>0</v>
      </c>
    </row>
    <row r="4855" customFormat="false" ht="14.4" hidden="true" customHeight="false" outlineLevel="0" collapsed="false">
      <c r="A4855" s="34" t="n">
        <v>89547896849</v>
      </c>
      <c r="B4855" s="34" t="s">
        <v>11440</v>
      </c>
      <c r="C4855" s="34" t="s">
        <v>77</v>
      </c>
      <c r="E4855" s="30" t="s">
        <v>5106</v>
      </c>
      <c r="F4855" s="34" t="n">
        <f aca="false">IFERROR(VLOOKUP($A4855,'319'!$B:$H,7,0),0)</f>
        <v>0</v>
      </c>
      <c r="G4855" s="34" t="n">
        <f aca="false">SUMIFS('12.326ana'!$C:$C,'12.326ana'!$M:$M,redes!A4855)</f>
        <v>0</v>
      </c>
    </row>
    <row r="4856" customFormat="false" ht="14.4" hidden="true" customHeight="false" outlineLevel="0" collapsed="false">
      <c r="A4856" s="34" t="n">
        <v>89710878115</v>
      </c>
      <c r="B4856" s="34" t="s">
        <v>11441</v>
      </c>
      <c r="C4856" s="34" t="s">
        <v>139</v>
      </c>
      <c r="E4856" s="30" t="s">
        <v>11442</v>
      </c>
      <c r="F4856" s="34" t="n">
        <f aca="false">IFERROR(VLOOKUP($A4856,'319'!$B:$H,7,0),0)</f>
        <v>0</v>
      </c>
      <c r="G4856" s="34" t="n">
        <f aca="false">SUMIFS('12.326ana'!$C:$C,'12.326ana'!$M:$M,redes!A4856)</f>
        <v>0</v>
      </c>
    </row>
    <row r="4857" customFormat="false" ht="14.4" hidden="true" customHeight="false" outlineLevel="0" collapsed="false">
      <c r="A4857" s="34" t="n">
        <v>89713800125</v>
      </c>
      <c r="B4857" s="34" t="s">
        <v>11443</v>
      </c>
      <c r="C4857" s="34" t="s">
        <v>309</v>
      </c>
      <c r="E4857" s="30"/>
      <c r="F4857" s="34" t="n">
        <f aca="false">IFERROR(VLOOKUP($A4857,'319'!$B:$H,7,0),0)</f>
        <v>0</v>
      </c>
      <c r="G4857" s="34" t="n">
        <f aca="false">SUMIFS('12.326ana'!$C:$C,'12.326ana'!$M:$M,redes!A4857)</f>
        <v>0</v>
      </c>
    </row>
    <row r="4858" customFormat="false" ht="14.4" hidden="true" customHeight="false" outlineLevel="0" collapsed="false">
      <c r="A4858" s="34" t="n">
        <v>89741595115</v>
      </c>
      <c r="B4858" s="34" t="s">
        <v>11444</v>
      </c>
      <c r="C4858" s="34" t="s">
        <v>192</v>
      </c>
      <c r="E4858" s="30" t="s">
        <v>11445</v>
      </c>
      <c r="F4858" s="34" t="n">
        <f aca="false">IFERROR(VLOOKUP($A4858,'319'!$B:$H,7,0),0)</f>
        <v>0</v>
      </c>
      <c r="G4858" s="34" t="n">
        <f aca="false">SUMIFS('12.326ana'!$C:$C,'12.326ana'!$M:$M,redes!A4858)</f>
        <v>0</v>
      </c>
    </row>
    <row r="4859" customFormat="false" ht="14.4" hidden="true" customHeight="false" outlineLevel="0" collapsed="false">
      <c r="A4859" s="34" t="n">
        <v>89742190130</v>
      </c>
      <c r="B4859" s="34" t="s">
        <v>11446</v>
      </c>
      <c r="C4859" s="34" t="s">
        <v>77</v>
      </c>
      <c r="E4859" s="30" t="s">
        <v>11447</v>
      </c>
      <c r="F4859" s="34" t="n">
        <f aca="false">IFERROR(VLOOKUP($A4859,'319'!$B:$H,7,0),0)</f>
        <v>0</v>
      </c>
      <c r="G4859" s="34" t="n">
        <f aca="false">SUMIFS('12.326ana'!$C:$C,'12.326ana'!$M:$M,redes!A4859)</f>
        <v>0</v>
      </c>
    </row>
    <row r="4860" customFormat="false" ht="14.4" hidden="true" customHeight="false" outlineLevel="0" collapsed="false">
      <c r="A4860" s="34" t="n">
        <v>89746724134</v>
      </c>
      <c r="B4860" s="34" t="s">
        <v>11448</v>
      </c>
      <c r="C4860" s="34" t="s">
        <v>475</v>
      </c>
      <c r="E4860" s="30" t="s">
        <v>11449</v>
      </c>
      <c r="F4860" s="34" t="n">
        <f aca="false">IFERROR(VLOOKUP($A4860,'319'!$B:$H,7,0),0)</f>
        <v>0</v>
      </c>
      <c r="G4860" s="34" t="n">
        <f aca="false">SUMIFS('12.326ana'!$C:$C,'12.326ana'!$M:$M,redes!A4860)</f>
        <v>0</v>
      </c>
    </row>
    <row r="4861" customFormat="false" ht="14.4" hidden="true" customHeight="false" outlineLevel="0" collapsed="false">
      <c r="A4861" s="34" t="n">
        <v>89772261120</v>
      </c>
      <c r="B4861" s="34" t="s">
        <v>11450</v>
      </c>
      <c r="C4861" s="34" t="s">
        <v>103</v>
      </c>
      <c r="E4861" s="30" t="s">
        <v>7262</v>
      </c>
      <c r="F4861" s="34" t="n">
        <f aca="false">IFERROR(VLOOKUP($A4861,'319'!$B:$H,7,0),0)</f>
        <v>0</v>
      </c>
      <c r="G4861" s="34" t="n">
        <f aca="false">SUMIFS('12.326ana'!$C:$C,'12.326ana'!$M:$M,redes!A4861)</f>
        <v>0</v>
      </c>
    </row>
    <row r="4862" customFormat="false" ht="14.4" hidden="true" customHeight="false" outlineLevel="0" collapsed="false">
      <c r="A4862" s="34" t="n">
        <v>89822803168</v>
      </c>
      <c r="B4862" s="34" t="s">
        <v>11451</v>
      </c>
      <c r="C4862" s="34" t="s">
        <v>197</v>
      </c>
      <c r="E4862" s="30" t="s">
        <v>11452</v>
      </c>
      <c r="F4862" s="34" t="n">
        <f aca="false">IFERROR(VLOOKUP($A4862,'319'!$B:$H,7,0),0)</f>
        <v>0</v>
      </c>
      <c r="G4862" s="34" t="n">
        <f aca="false">SUMIFS('12.326ana'!$C:$C,'12.326ana'!$M:$M,redes!A4862)</f>
        <v>0</v>
      </c>
    </row>
    <row r="4863" customFormat="false" ht="14.4" hidden="true" customHeight="false" outlineLevel="0" collapsed="false">
      <c r="A4863" s="34" t="n">
        <v>89848331000</v>
      </c>
      <c r="B4863" s="34" t="s">
        <v>11453</v>
      </c>
      <c r="C4863" s="34" t="s">
        <v>77</v>
      </c>
      <c r="E4863" s="30" t="s">
        <v>6849</v>
      </c>
      <c r="F4863" s="34" t="n">
        <f aca="false">IFERROR(VLOOKUP($A4863,'319'!$B:$H,7,0),0)</f>
        <v>0</v>
      </c>
      <c r="G4863" s="34" t="n">
        <f aca="false">SUMIFS('12.326ana'!$C:$C,'12.326ana'!$M:$M,redes!A4863)</f>
        <v>0</v>
      </c>
    </row>
    <row r="4864" customFormat="false" ht="14.4" hidden="true" customHeight="false" outlineLevel="0" collapsed="false">
      <c r="A4864" s="34" t="n">
        <v>89859626120</v>
      </c>
      <c r="B4864" s="34" t="s">
        <v>11454</v>
      </c>
      <c r="C4864" s="34" t="s">
        <v>979</v>
      </c>
      <c r="E4864" s="30" t="s">
        <v>3534</v>
      </c>
      <c r="F4864" s="34" t="n">
        <f aca="false">IFERROR(VLOOKUP($A4864,'319'!$B:$H,7,0),0)</f>
        <v>0</v>
      </c>
      <c r="G4864" s="34" t="n">
        <f aca="false">SUMIFS('12.326ana'!$C:$C,'12.326ana'!$M:$M,redes!A4864)</f>
        <v>0</v>
      </c>
    </row>
    <row r="4865" customFormat="false" ht="14.4" hidden="true" customHeight="false" outlineLevel="0" collapsed="false">
      <c r="A4865" s="34" t="n">
        <v>89864522191</v>
      </c>
      <c r="B4865" s="34" t="s">
        <v>11455</v>
      </c>
      <c r="C4865" s="34" t="s">
        <v>77</v>
      </c>
      <c r="E4865" s="30" t="s">
        <v>11456</v>
      </c>
      <c r="F4865" s="34" t="n">
        <f aca="false">IFERROR(VLOOKUP($A4865,'319'!$B:$H,7,0),0)</f>
        <v>0</v>
      </c>
      <c r="G4865" s="34" t="n">
        <f aca="false">SUMIFS('12.326ana'!$C:$C,'12.326ana'!$M:$M,redes!A4865)</f>
        <v>0</v>
      </c>
    </row>
    <row r="4866" customFormat="false" ht="14.4" hidden="true" customHeight="false" outlineLevel="0" collapsed="false">
      <c r="A4866" s="34" t="n">
        <v>89893301149</v>
      </c>
      <c r="B4866" s="34" t="s">
        <v>11457</v>
      </c>
      <c r="C4866" s="34" t="s">
        <v>1341</v>
      </c>
      <c r="E4866" s="30" t="s">
        <v>11458</v>
      </c>
      <c r="F4866" s="34" t="n">
        <f aca="false">IFERROR(VLOOKUP($A4866,'319'!$B:$H,7,0),0)</f>
        <v>0</v>
      </c>
      <c r="G4866" s="34" t="n">
        <f aca="false">SUMIFS('12.326ana'!$C:$C,'12.326ana'!$M:$M,redes!A4866)</f>
        <v>0</v>
      </c>
    </row>
    <row r="4867" customFormat="false" ht="14.4" hidden="true" customHeight="false" outlineLevel="0" collapsed="false">
      <c r="A4867" s="34" t="n">
        <v>89901002591</v>
      </c>
      <c r="B4867" s="34" t="s">
        <v>11459</v>
      </c>
      <c r="C4867" s="34" t="s">
        <v>77</v>
      </c>
      <c r="E4867" s="30"/>
      <c r="F4867" s="34" t="n">
        <f aca="false">IFERROR(VLOOKUP($A4867,'319'!$B:$H,7,0),0)</f>
        <v>0</v>
      </c>
      <c r="G4867" s="34" t="n">
        <f aca="false">SUMIFS('12.326ana'!$C:$C,'12.326ana'!$M:$M,redes!A4867)</f>
        <v>0</v>
      </c>
    </row>
    <row r="4868" customFormat="false" ht="14.4" hidden="true" customHeight="false" outlineLevel="0" collapsed="false">
      <c r="A4868" s="34" t="n">
        <v>89903170106</v>
      </c>
      <c r="B4868" s="34" t="s">
        <v>11460</v>
      </c>
      <c r="C4868" s="34" t="s">
        <v>77</v>
      </c>
      <c r="E4868" s="30"/>
      <c r="F4868" s="34" t="n">
        <f aca="false">IFERROR(VLOOKUP($A4868,'319'!$B:$H,7,0),0)</f>
        <v>0</v>
      </c>
      <c r="G4868" s="34" t="n">
        <f aca="false">SUMIFS('12.326ana'!$C:$C,'12.326ana'!$M:$M,redes!A4868)</f>
        <v>0</v>
      </c>
    </row>
    <row r="4869" customFormat="false" ht="14.4" hidden="true" customHeight="false" outlineLevel="0" collapsed="false">
      <c r="A4869" s="34" t="n">
        <v>89923839915</v>
      </c>
      <c r="B4869" s="34" t="s">
        <v>11461</v>
      </c>
      <c r="C4869" s="34" t="s">
        <v>77</v>
      </c>
      <c r="E4869" s="30" t="s">
        <v>4010</v>
      </c>
      <c r="F4869" s="34" t="n">
        <f aca="false">IFERROR(VLOOKUP($A4869,'319'!$B:$H,7,0),0)</f>
        <v>0</v>
      </c>
      <c r="G4869" s="34" t="n">
        <f aca="false">SUMIFS('12.326ana'!$C:$C,'12.326ana'!$M:$M,redes!A4869)</f>
        <v>0</v>
      </c>
    </row>
    <row r="4870" customFormat="false" ht="14.4" hidden="true" customHeight="false" outlineLevel="0" collapsed="false">
      <c r="A4870" s="34" t="n">
        <v>89925491134</v>
      </c>
      <c r="B4870" s="34" t="s">
        <v>11462</v>
      </c>
      <c r="C4870" s="34" t="s">
        <v>77</v>
      </c>
      <c r="E4870" s="30"/>
      <c r="F4870" s="34" t="n">
        <f aca="false">IFERROR(VLOOKUP($A4870,'319'!$B:$H,7,0),0)</f>
        <v>0</v>
      </c>
      <c r="G4870" s="34" t="n">
        <f aca="false">SUMIFS('12.326ana'!$C:$C,'12.326ana'!$M:$M,redes!A4870)</f>
        <v>0</v>
      </c>
    </row>
    <row r="4871" customFormat="false" ht="14.4" hidden="true" customHeight="false" outlineLevel="0" collapsed="false">
      <c r="A4871" s="34" t="n">
        <v>89928024120</v>
      </c>
      <c r="B4871" s="34" t="s">
        <v>11463</v>
      </c>
      <c r="C4871" s="34" t="s">
        <v>737</v>
      </c>
      <c r="E4871" s="30"/>
      <c r="F4871" s="34" t="n">
        <f aca="false">IFERROR(VLOOKUP($A4871,'319'!$B:$H,7,0),0)</f>
        <v>0</v>
      </c>
      <c r="G4871" s="34" t="n">
        <f aca="false">SUMIFS('12.326ana'!$C:$C,'12.326ana'!$M:$M,redes!A4871)</f>
        <v>0</v>
      </c>
    </row>
    <row r="4872" customFormat="false" ht="14.4" hidden="true" customHeight="false" outlineLevel="0" collapsed="false">
      <c r="A4872" s="34" t="n">
        <v>89991672168</v>
      </c>
      <c r="B4872" s="34" t="s">
        <v>11464</v>
      </c>
      <c r="C4872" s="34" t="s">
        <v>77</v>
      </c>
      <c r="E4872" s="30" t="s">
        <v>11465</v>
      </c>
      <c r="F4872" s="34" t="n">
        <f aca="false">IFERROR(VLOOKUP($A4872,'319'!$B:$H,7,0),0)</f>
        <v>0</v>
      </c>
      <c r="G4872" s="34" t="n">
        <f aca="false">SUMIFS('12.326ana'!$C:$C,'12.326ana'!$M:$M,redes!A4872)</f>
        <v>0</v>
      </c>
    </row>
    <row r="4873" customFormat="false" ht="14.4" hidden="true" customHeight="false" outlineLevel="0" collapsed="false">
      <c r="A4873" s="34" t="n">
        <v>89994620134</v>
      </c>
      <c r="B4873" s="34" t="s">
        <v>11466</v>
      </c>
      <c r="C4873" s="34" t="s">
        <v>77</v>
      </c>
      <c r="E4873" s="30" t="s">
        <v>11467</v>
      </c>
      <c r="F4873" s="34" t="n">
        <f aca="false">IFERROR(VLOOKUP($A4873,'319'!$B:$H,7,0),0)</f>
        <v>0</v>
      </c>
      <c r="G4873" s="34" t="n">
        <f aca="false">SUMIFS('12.326ana'!$C:$C,'12.326ana'!$M:$M,redes!A4873)</f>
        <v>0</v>
      </c>
    </row>
    <row r="4874" customFormat="false" ht="14.4" hidden="true" customHeight="false" outlineLevel="0" collapsed="false">
      <c r="A4874" s="34" t="n">
        <v>89995546191</v>
      </c>
      <c r="B4874" s="34" t="s">
        <v>11468</v>
      </c>
      <c r="C4874" s="34" t="s">
        <v>737</v>
      </c>
      <c r="E4874" s="30" t="s">
        <v>11469</v>
      </c>
      <c r="F4874" s="34" t="n">
        <f aca="false">IFERROR(VLOOKUP($A4874,'319'!$B:$H,7,0),0)</f>
        <v>0</v>
      </c>
      <c r="G4874" s="34" t="n">
        <f aca="false">SUMIFS('12.326ana'!$C:$C,'12.326ana'!$M:$M,redes!A4874)</f>
        <v>0</v>
      </c>
    </row>
    <row r="4875" customFormat="false" ht="14.4" hidden="true" customHeight="false" outlineLevel="0" collapsed="false">
      <c r="A4875" s="34" t="n">
        <v>90011147172</v>
      </c>
      <c r="B4875" s="34" t="s">
        <v>11470</v>
      </c>
      <c r="C4875" s="34" t="s">
        <v>77</v>
      </c>
      <c r="E4875" s="30" t="s">
        <v>3750</v>
      </c>
      <c r="F4875" s="34" t="n">
        <f aca="false">IFERROR(VLOOKUP($A4875,'319'!$B:$H,7,0),0)</f>
        <v>0</v>
      </c>
      <c r="G4875" s="34" t="n">
        <f aca="false">SUMIFS('12.326ana'!$C:$C,'12.326ana'!$M:$M,redes!A4875)</f>
        <v>0</v>
      </c>
    </row>
    <row r="4876" customFormat="false" ht="14.4" hidden="true" customHeight="false" outlineLevel="0" collapsed="false">
      <c r="A4876" s="34" t="n">
        <v>90019474172</v>
      </c>
      <c r="B4876" s="34" t="s">
        <v>11471</v>
      </c>
      <c r="C4876" s="34" t="s">
        <v>77</v>
      </c>
      <c r="E4876" s="30" t="s">
        <v>11472</v>
      </c>
      <c r="F4876" s="34" t="n">
        <f aca="false">IFERROR(VLOOKUP($A4876,'319'!$B:$H,7,0),0)</f>
        <v>0</v>
      </c>
      <c r="G4876" s="34" t="n">
        <f aca="false">SUMIFS('12.326ana'!$C:$C,'12.326ana'!$M:$M,redes!A4876)</f>
        <v>0</v>
      </c>
    </row>
    <row r="4877" customFormat="false" ht="14.4" hidden="true" customHeight="false" outlineLevel="0" collapsed="false">
      <c r="A4877" s="34" t="n">
        <v>90045670110</v>
      </c>
      <c r="B4877" s="34" t="s">
        <v>11473</v>
      </c>
      <c r="C4877" s="34" t="s">
        <v>475</v>
      </c>
      <c r="E4877" s="30" t="s">
        <v>11474</v>
      </c>
      <c r="F4877" s="34" t="n">
        <f aca="false">IFERROR(VLOOKUP($A4877,'319'!$B:$H,7,0),0)</f>
        <v>0</v>
      </c>
      <c r="G4877" s="34" t="n">
        <f aca="false">SUMIFS('12.326ana'!$C:$C,'12.326ana'!$M:$M,redes!A4877)</f>
        <v>0</v>
      </c>
    </row>
    <row r="4878" customFormat="false" ht="14.4" hidden="true" customHeight="false" outlineLevel="0" collapsed="false">
      <c r="A4878" s="34" t="n">
        <v>90078853915</v>
      </c>
      <c r="B4878" s="34" t="s">
        <v>11475</v>
      </c>
      <c r="C4878" s="34" t="s">
        <v>357</v>
      </c>
      <c r="E4878" s="30" t="s">
        <v>11476</v>
      </c>
      <c r="F4878" s="34" t="n">
        <f aca="false">IFERROR(VLOOKUP($A4878,'319'!$B:$H,7,0),0)</f>
        <v>0</v>
      </c>
      <c r="G4878" s="34" t="n">
        <f aca="false">SUMIFS('12.326ana'!$C:$C,'12.326ana'!$M:$M,redes!A4878)</f>
        <v>0</v>
      </c>
    </row>
    <row r="4879" customFormat="false" ht="14.4" hidden="true" customHeight="false" outlineLevel="0" collapsed="false">
      <c r="A4879" s="34" t="n">
        <v>90100859100</v>
      </c>
      <c r="B4879" s="34" t="s">
        <v>11477</v>
      </c>
      <c r="C4879" s="34" t="s">
        <v>309</v>
      </c>
      <c r="E4879" s="30" t="s">
        <v>11478</v>
      </c>
      <c r="F4879" s="34" t="n">
        <f aca="false">IFERROR(VLOOKUP($A4879,'319'!$B:$H,7,0),0)</f>
        <v>0</v>
      </c>
      <c r="G4879" s="34" t="n">
        <f aca="false">SUMIFS('12.326ana'!$C:$C,'12.326ana'!$M:$M,redes!A4879)</f>
        <v>0</v>
      </c>
    </row>
    <row r="4880" customFormat="false" ht="14.4" hidden="true" customHeight="false" outlineLevel="0" collapsed="false">
      <c r="A4880" s="34" t="n">
        <v>90113098120</v>
      </c>
      <c r="B4880" s="34" t="s">
        <v>11479</v>
      </c>
      <c r="C4880" s="34" t="s">
        <v>103</v>
      </c>
      <c r="E4880" s="30"/>
      <c r="F4880" s="34" t="n">
        <f aca="false">IFERROR(VLOOKUP($A4880,'319'!$B:$H,7,0),0)</f>
        <v>0</v>
      </c>
      <c r="G4880" s="34" t="n">
        <f aca="false">SUMIFS('12.326ana'!$C:$C,'12.326ana'!$M:$M,redes!A4880)</f>
        <v>0</v>
      </c>
    </row>
    <row r="4881" customFormat="false" ht="14.4" hidden="true" customHeight="false" outlineLevel="0" collapsed="false">
      <c r="A4881" s="34" t="n">
        <v>90132513153</v>
      </c>
      <c r="B4881" s="34" t="s">
        <v>11480</v>
      </c>
      <c r="C4881" s="34" t="s">
        <v>463</v>
      </c>
      <c r="E4881" s="30" t="s">
        <v>11481</v>
      </c>
      <c r="F4881" s="34" t="n">
        <f aca="false">IFERROR(VLOOKUP($A4881,'319'!$B:$H,7,0),0)</f>
        <v>0</v>
      </c>
      <c r="G4881" s="34" t="n">
        <f aca="false">SUMIFS('12.326ana'!$C:$C,'12.326ana'!$M:$M,redes!A4881)</f>
        <v>0</v>
      </c>
    </row>
    <row r="4882" customFormat="false" ht="14.4" hidden="true" customHeight="false" outlineLevel="0" collapsed="false">
      <c r="A4882" s="34" t="n">
        <v>90136519172</v>
      </c>
      <c r="B4882" s="34" t="s">
        <v>11482</v>
      </c>
      <c r="C4882" s="34" t="s">
        <v>77</v>
      </c>
      <c r="E4882" s="30" t="s">
        <v>7576</v>
      </c>
      <c r="F4882" s="34" t="n">
        <f aca="false">IFERROR(VLOOKUP($A4882,'319'!$B:$H,7,0),0)</f>
        <v>0</v>
      </c>
      <c r="G4882" s="34" t="n">
        <f aca="false">SUMIFS('12.326ana'!$C:$C,'12.326ana'!$M:$M,redes!A4882)</f>
        <v>0</v>
      </c>
    </row>
    <row r="4883" customFormat="false" ht="14.4" hidden="true" customHeight="false" outlineLevel="0" collapsed="false">
      <c r="A4883" s="34" t="n">
        <v>90162633149</v>
      </c>
      <c r="B4883" s="34" t="s">
        <v>11483</v>
      </c>
      <c r="C4883" s="34" t="s">
        <v>377</v>
      </c>
      <c r="E4883" s="30" t="s">
        <v>11484</v>
      </c>
      <c r="F4883" s="34" t="n">
        <f aca="false">IFERROR(VLOOKUP($A4883,'319'!$B:$H,7,0),0)</f>
        <v>0</v>
      </c>
      <c r="G4883" s="34" t="n">
        <f aca="false">SUMIFS('12.326ana'!$C:$C,'12.326ana'!$M:$M,redes!A4883)</f>
        <v>0</v>
      </c>
    </row>
    <row r="4884" customFormat="false" ht="14.4" hidden="true" customHeight="false" outlineLevel="0" collapsed="false">
      <c r="A4884" s="34" t="n">
        <v>90165675187</v>
      </c>
      <c r="B4884" s="34" t="s">
        <v>11485</v>
      </c>
      <c r="C4884" s="34" t="s">
        <v>565</v>
      </c>
      <c r="E4884" s="30" t="s">
        <v>11486</v>
      </c>
      <c r="F4884" s="34" t="n">
        <f aca="false">IFERROR(VLOOKUP($A4884,'319'!$B:$H,7,0),0)</f>
        <v>0</v>
      </c>
      <c r="G4884" s="34" t="n">
        <f aca="false">SUMIFS('12.326ana'!$C:$C,'12.326ana'!$M:$M,redes!A4884)</f>
        <v>0</v>
      </c>
    </row>
    <row r="4885" customFormat="false" ht="14.4" hidden="true" customHeight="false" outlineLevel="0" collapsed="false">
      <c r="A4885" s="34" t="n">
        <v>90166221872</v>
      </c>
      <c r="B4885" s="34" t="s">
        <v>11487</v>
      </c>
      <c r="C4885" s="34" t="s">
        <v>77</v>
      </c>
      <c r="E4885" s="30"/>
      <c r="F4885" s="34" t="n">
        <f aca="false">IFERROR(VLOOKUP($A4885,'319'!$B:$H,7,0),0)</f>
        <v>0</v>
      </c>
      <c r="G4885" s="34" t="n">
        <f aca="false">SUMIFS('12.326ana'!$C:$C,'12.326ana'!$M:$M,redes!A4885)</f>
        <v>0</v>
      </c>
    </row>
    <row r="4886" customFormat="false" ht="14.4" hidden="true" customHeight="false" outlineLevel="0" collapsed="false">
      <c r="A4886" s="34" t="n">
        <v>90168720868</v>
      </c>
      <c r="B4886" s="34" t="s">
        <v>11488</v>
      </c>
      <c r="C4886" s="34" t="s">
        <v>77</v>
      </c>
      <c r="E4886" s="30" t="s">
        <v>6255</v>
      </c>
      <c r="F4886" s="34" t="n">
        <f aca="false">IFERROR(VLOOKUP($A4886,'319'!$B:$H,7,0),0)</f>
        <v>0</v>
      </c>
      <c r="G4886" s="34" t="n">
        <f aca="false">SUMIFS('12.326ana'!$C:$C,'12.326ana'!$M:$M,redes!A4886)</f>
        <v>0</v>
      </c>
    </row>
    <row r="4887" customFormat="false" ht="14.4" hidden="true" customHeight="false" outlineLevel="0" collapsed="false">
      <c r="A4887" s="34" t="n">
        <v>90170857115</v>
      </c>
      <c r="B4887" s="34" t="s">
        <v>11489</v>
      </c>
      <c r="C4887" s="34" t="s">
        <v>77</v>
      </c>
      <c r="E4887" s="30" t="s">
        <v>11490</v>
      </c>
      <c r="F4887" s="34" t="n">
        <f aca="false">IFERROR(VLOOKUP($A4887,'319'!$B:$H,7,0),0)</f>
        <v>0</v>
      </c>
      <c r="G4887" s="34" t="n">
        <f aca="false">SUMIFS('12.326ana'!$C:$C,'12.326ana'!$M:$M,redes!A4887)</f>
        <v>0</v>
      </c>
    </row>
    <row r="4888" customFormat="false" ht="14.4" hidden="true" customHeight="false" outlineLevel="0" collapsed="false">
      <c r="A4888" s="34" t="n">
        <v>90216270197</v>
      </c>
      <c r="B4888" s="34" t="s">
        <v>11491</v>
      </c>
      <c r="C4888" s="34" t="s">
        <v>463</v>
      </c>
      <c r="E4888" s="30" t="s">
        <v>7358</v>
      </c>
      <c r="F4888" s="34" t="n">
        <f aca="false">IFERROR(VLOOKUP($A4888,'319'!$B:$H,7,0),0)</f>
        <v>0</v>
      </c>
      <c r="G4888" s="34" t="n">
        <f aca="false">SUMIFS('12.326ana'!$C:$C,'12.326ana'!$M:$M,redes!A4888)</f>
        <v>0</v>
      </c>
    </row>
    <row r="4889" customFormat="false" ht="14.4" hidden="true" customHeight="false" outlineLevel="0" collapsed="false">
      <c r="A4889" s="34" t="n">
        <v>90261909134</v>
      </c>
      <c r="B4889" s="34" t="s">
        <v>11492</v>
      </c>
      <c r="C4889" s="34" t="s">
        <v>77</v>
      </c>
      <c r="E4889" s="30" t="s">
        <v>11493</v>
      </c>
      <c r="F4889" s="34" t="n">
        <f aca="false">IFERROR(VLOOKUP($A4889,'319'!$B:$H,7,0),0)</f>
        <v>0</v>
      </c>
      <c r="G4889" s="34" t="n">
        <f aca="false">SUMIFS('12.326ana'!$C:$C,'12.326ana'!$M:$M,redes!A4889)</f>
        <v>0</v>
      </c>
    </row>
    <row r="4890" customFormat="false" ht="14.4" hidden="true" customHeight="false" outlineLevel="0" collapsed="false">
      <c r="A4890" s="34" t="n">
        <v>90310829100</v>
      </c>
      <c r="B4890" s="34" t="s">
        <v>11494</v>
      </c>
      <c r="C4890" s="34" t="s">
        <v>77</v>
      </c>
      <c r="E4890" s="30" t="s">
        <v>3664</v>
      </c>
      <c r="F4890" s="34" t="n">
        <f aca="false">IFERROR(VLOOKUP($A4890,'319'!$B:$H,7,0),0)</f>
        <v>0</v>
      </c>
      <c r="G4890" s="34" t="n">
        <f aca="false">SUMIFS('12.326ana'!$C:$C,'12.326ana'!$M:$M,redes!A4890)</f>
        <v>0</v>
      </c>
    </row>
    <row r="4891" customFormat="false" ht="14.4" hidden="true" customHeight="false" outlineLevel="0" collapsed="false">
      <c r="A4891" s="34" t="n">
        <v>90314131191</v>
      </c>
      <c r="B4891" s="34" t="s">
        <v>11495</v>
      </c>
      <c r="C4891" s="34" t="s">
        <v>89</v>
      </c>
      <c r="E4891" s="30" t="s">
        <v>11496</v>
      </c>
      <c r="F4891" s="34" t="n">
        <f aca="false">IFERROR(VLOOKUP($A4891,'319'!$B:$H,7,0),0)</f>
        <v>0</v>
      </c>
      <c r="G4891" s="34" t="n">
        <f aca="false">SUMIFS('12.326ana'!$C:$C,'12.326ana'!$M:$M,redes!A4891)</f>
        <v>0</v>
      </c>
    </row>
    <row r="4892" customFormat="false" ht="14.4" hidden="true" customHeight="false" outlineLevel="0" collapsed="false">
      <c r="A4892" s="34" t="n">
        <v>90338391134</v>
      </c>
      <c r="B4892" s="34" t="s">
        <v>11497</v>
      </c>
      <c r="C4892" s="34" t="s">
        <v>139</v>
      </c>
      <c r="E4892" s="30" t="s">
        <v>11498</v>
      </c>
      <c r="F4892" s="34" t="n">
        <f aca="false">IFERROR(VLOOKUP($A4892,'319'!$B:$H,7,0),0)</f>
        <v>0</v>
      </c>
      <c r="G4892" s="34" t="n">
        <f aca="false">SUMIFS('12.326ana'!$C:$C,'12.326ana'!$M:$M,redes!A4892)</f>
        <v>0</v>
      </c>
    </row>
    <row r="4893" customFormat="false" ht="14.4" hidden="true" customHeight="false" outlineLevel="0" collapsed="false">
      <c r="A4893" s="34" t="n">
        <v>90346351120</v>
      </c>
      <c r="B4893" s="34" t="s">
        <v>11499</v>
      </c>
      <c r="C4893" s="34" t="s">
        <v>77</v>
      </c>
      <c r="E4893" s="30" t="s">
        <v>11500</v>
      </c>
      <c r="F4893" s="34" t="n">
        <f aca="false">IFERROR(VLOOKUP($A4893,'319'!$B:$H,7,0),0)</f>
        <v>0</v>
      </c>
      <c r="G4893" s="34" t="n">
        <f aca="false">SUMIFS('12.326ana'!$C:$C,'12.326ana'!$M:$M,redes!A4893)</f>
        <v>0</v>
      </c>
    </row>
    <row r="4894" customFormat="false" ht="14.4" hidden="true" customHeight="false" outlineLevel="0" collapsed="false">
      <c r="A4894" s="34" t="n">
        <v>90354052187</v>
      </c>
      <c r="B4894" s="34" t="s">
        <v>11501</v>
      </c>
      <c r="C4894" s="34" t="s">
        <v>77</v>
      </c>
      <c r="E4894" s="30" t="s">
        <v>11502</v>
      </c>
      <c r="F4894" s="34" t="n">
        <f aca="false">IFERROR(VLOOKUP($A4894,'319'!$B:$H,7,0),0)</f>
        <v>0</v>
      </c>
      <c r="G4894" s="34" t="n">
        <f aca="false">SUMIFS('12.326ana'!$C:$C,'12.326ana'!$M:$M,redes!A4894)</f>
        <v>0</v>
      </c>
    </row>
    <row r="4895" customFormat="false" ht="14.4" hidden="true" customHeight="false" outlineLevel="0" collapsed="false">
      <c r="A4895" s="34" t="n">
        <v>90387007172</v>
      </c>
      <c r="B4895" s="34" t="s">
        <v>8270</v>
      </c>
      <c r="C4895" s="34" t="s">
        <v>342</v>
      </c>
      <c r="E4895" s="30" t="s">
        <v>7828</v>
      </c>
      <c r="F4895" s="34" t="n">
        <f aca="false">IFERROR(VLOOKUP($A4895,'319'!$B:$H,7,0),0)</f>
        <v>0</v>
      </c>
      <c r="G4895" s="34" t="n">
        <f aca="false">SUMIFS('12.326ana'!$C:$C,'12.326ana'!$M:$M,redes!A4895)</f>
        <v>0</v>
      </c>
    </row>
    <row r="4896" customFormat="false" ht="14.4" hidden="true" customHeight="false" outlineLevel="0" collapsed="false">
      <c r="A4896" s="34" t="n">
        <v>90399404104</v>
      </c>
      <c r="B4896" s="34" t="s">
        <v>11503</v>
      </c>
      <c r="C4896" s="34" t="s">
        <v>107</v>
      </c>
      <c r="E4896" s="30" t="s">
        <v>11504</v>
      </c>
      <c r="F4896" s="34" t="n">
        <f aca="false">IFERROR(VLOOKUP($A4896,'319'!$B:$H,7,0),0)</f>
        <v>0</v>
      </c>
      <c r="G4896" s="34" t="n">
        <f aca="false">SUMIFS('12.326ana'!$C:$C,'12.326ana'!$M:$M,redes!A4896)</f>
        <v>0</v>
      </c>
    </row>
    <row r="4897" customFormat="false" ht="14.4" hidden="true" customHeight="false" outlineLevel="0" collapsed="false">
      <c r="A4897" s="34" t="n">
        <v>90409906115</v>
      </c>
      <c r="B4897" s="34" t="s">
        <v>11505</v>
      </c>
      <c r="C4897" s="34" t="s">
        <v>77</v>
      </c>
      <c r="E4897" s="30" t="s">
        <v>11505</v>
      </c>
      <c r="F4897" s="34" t="n">
        <f aca="false">IFERROR(VLOOKUP($A4897,'319'!$B:$H,7,0),0)</f>
        <v>0</v>
      </c>
      <c r="G4897" s="34" t="n">
        <f aca="false">SUMIFS('12.326ana'!$C:$C,'12.326ana'!$M:$M,redes!A4897)</f>
        <v>0</v>
      </c>
    </row>
    <row r="4898" customFormat="false" ht="14.4" hidden="true" customHeight="false" outlineLevel="0" collapsed="false">
      <c r="A4898" s="34" t="n">
        <v>90420853120</v>
      </c>
      <c r="B4898" s="34" t="s">
        <v>11506</v>
      </c>
      <c r="C4898" s="34" t="s">
        <v>77</v>
      </c>
      <c r="E4898" s="30" t="s">
        <v>11507</v>
      </c>
      <c r="F4898" s="34" t="n">
        <f aca="false">IFERROR(VLOOKUP($A4898,'319'!$B:$H,7,0),0)</f>
        <v>0</v>
      </c>
      <c r="G4898" s="34" t="n">
        <f aca="false">SUMIFS('12.326ana'!$C:$C,'12.326ana'!$M:$M,redes!A4898)</f>
        <v>0</v>
      </c>
    </row>
    <row r="4899" customFormat="false" ht="14.4" hidden="true" customHeight="false" outlineLevel="0" collapsed="false">
      <c r="A4899" s="34" t="n">
        <v>90449428168</v>
      </c>
      <c r="B4899" s="34" t="s">
        <v>11508</v>
      </c>
      <c r="C4899" s="34" t="s">
        <v>357</v>
      </c>
      <c r="E4899" s="30" t="s">
        <v>6935</v>
      </c>
      <c r="F4899" s="34" t="n">
        <f aca="false">IFERROR(VLOOKUP($A4899,'319'!$B:$H,7,0),0)</f>
        <v>0</v>
      </c>
      <c r="G4899" s="34" t="n">
        <f aca="false">SUMIFS('12.326ana'!$C:$C,'12.326ana'!$M:$M,redes!A4899)</f>
        <v>0</v>
      </c>
    </row>
    <row r="4900" customFormat="false" ht="14.4" hidden="true" customHeight="false" outlineLevel="0" collapsed="false">
      <c r="A4900" s="34" t="n">
        <v>90478070144</v>
      </c>
      <c r="B4900" s="34" t="s">
        <v>11509</v>
      </c>
      <c r="C4900" s="34" t="s">
        <v>11510</v>
      </c>
      <c r="E4900" s="30" t="s">
        <v>11511</v>
      </c>
      <c r="F4900" s="34" t="n">
        <f aca="false">IFERROR(VLOOKUP($A4900,'319'!$B:$H,7,0),0)</f>
        <v>0</v>
      </c>
      <c r="G4900" s="34" t="n">
        <f aca="false">SUMIFS('12.326ana'!$C:$C,'12.326ana'!$M:$M,redes!A4900)</f>
        <v>0</v>
      </c>
    </row>
    <row r="4901" customFormat="false" ht="14.4" hidden="true" customHeight="false" outlineLevel="0" collapsed="false">
      <c r="A4901" s="34" t="n">
        <v>90503872172</v>
      </c>
      <c r="B4901" s="34" t="s">
        <v>11512</v>
      </c>
      <c r="C4901" s="34" t="s">
        <v>737</v>
      </c>
      <c r="E4901" s="30" t="s">
        <v>3450</v>
      </c>
      <c r="F4901" s="34" t="n">
        <f aca="false">IFERROR(VLOOKUP($A4901,'319'!$B:$H,7,0),0)</f>
        <v>0</v>
      </c>
      <c r="G4901" s="34" t="n">
        <f aca="false">SUMIFS('12.326ana'!$C:$C,'12.326ana'!$M:$M,redes!A4901)</f>
        <v>0</v>
      </c>
    </row>
    <row r="4902" customFormat="false" ht="14.4" hidden="true" customHeight="false" outlineLevel="0" collapsed="false">
      <c r="A4902" s="34" t="n">
        <v>90506898172</v>
      </c>
      <c r="B4902" s="34" t="s">
        <v>11513</v>
      </c>
      <c r="C4902" s="34" t="s">
        <v>77</v>
      </c>
      <c r="E4902" s="30" t="s">
        <v>11514</v>
      </c>
      <c r="F4902" s="34" t="n">
        <f aca="false">IFERROR(VLOOKUP($A4902,'319'!$B:$H,7,0),0)</f>
        <v>0</v>
      </c>
      <c r="G4902" s="34" t="n">
        <f aca="false">SUMIFS('12.326ana'!$C:$C,'12.326ana'!$M:$M,redes!A4902)</f>
        <v>0</v>
      </c>
    </row>
    <row r="4903" customFormat="false" ht="14.4" hidden="true" customHeight="false" outlineLevel="0" collapsed="false">
      <c r="A4903" s="34" t="n">
        <v>90510232191</v>
      </c>
      <c r="B4903" s="34" t="s">
        <v>11515</v>
      </c>
      <c r="C4903" s="34" t="s">
        <v>77</v>
      </c>
      <c r="E4903" s="30" t="s">
        <v>3200</v>
      </c>
      <c r="F4903" s="34" t="n">
        <f aca="false">IFERROR(VLOOKUP($A4903,'319'!$B:$H,7,0),0)</f>
        <v>0</v>
      </c>
      <c r="G4903" s="34" t="n">
        <f aca="false">SUMIFS('12.326ana'!$C:$C,'12.326ana'!$M:$M,redes!A4903)</f>
        <v>0</v>
      </c>
    </row>
    <row r="4904" customFormat="false" ht="14.4" hidden="true" customHeight="false" outlineLevel="0" collapsed="false">
      <c r="A4904" s="34" t="n">
        <v>90516982168</v>
      </c>
      <c r="B4904" s="34" t="s">
        <v>11516</v>
      </c>
      <c r="C4904" s="34" t="s">
        <v>77</v>
      </c>
      <c r="E4904" s="30" t="s">
        <v>11517</v>
      </c>
      <c r="F4904" s="34" t="n">
        <f aca="false">IFERROR(VLOOKUP($A4904,'319'!$B:$H,7,0),0)</f>
        <v>0</v>
      </c>
      <c r="G4904" s="34" t="n">
        <f aca="false">SUMIFS('12.326ana'!$C:$C,'12.326ana'!$M:$M,redes!A4904)</f>
        <v>0</v>
      </c>
    </row>
    <row r="4905" customFormat="false" ht="14.4" hidden="true" customHeight="false" outlineLevel="0" collapsed="false">
      <c r="A4905" s="34" t="n">
        <v>90521609704</v>
      </c>
      <c r="B4905" s="34" t="s">
        <v>11518</v>
      </c>
      <c r="C4905" s="34" t="s">
        <v>77</v>
      </c>
      <c r="E4905" s="30" t="s">
        <v>11519</v>
      </c>
      <c r="F4905" s="34" t="n">
        <f aca="false">IFERROR(VLOOKUP($A4905,'319'!$B:$H,7,0),0)</f>
        <v>0</v>
      </c>
      <c r="G4905" s="34" t="n">
        <f aca="false">SUMIFS('12.326ana'!$C:$C,'12.326ana'!$M:$M,redes!A4905)</f>
        <v>0</v>
      </c>
    </row>
    <row r="4906" customFormat="false" ht="14.4" hidden="true" customHeight="false" outlineLevel="0" collapsed="false">
      <c r="A4906" s="34" t="n">
        <v>90553462172</v>
      </c>
      <c r="B4906" s="34" t="s">
        <v>11520</v>
      </c>
      <c r="C4906" s="34" t="s">
        <v>107</v>
      </c>
      <c r="E4906" s="30" t="s">
        <v>11521</v>
      </c>
      <c r="F4906" s="34" t="n">
        <f aca="false">IFERROR(VLOOKUP($A4906,'319'!$B:$H,7,0),0)</f>
        <v>0</v>
      </c>
      <c r="G4906" s="34" t="n">
        <f aca="false">SUMIFS('12.326ana'!$C:$C,'12.326ana'!$M:$M,redes!A4906)</f>
        <v>0</v>
      </c>
    </row>
    <row r="4907" customFormat="false" ht="14.4" hidden="true" customHeight="false" outlineLevel="0" collapsed="false">
      <c r="A4907" s="34" t="n">
        <v>90571150187</v>
      </c>
      <c r="B4907" s="34" t="s">
        <v>11522</v>
      </c>
      <c r="C4907" s="34" t="s">
        <v>107</v>
      </c>
      <c r="E4907" s="30" t="s">
        <v>6085</v>
      </c>
      <c r="F4907" s="34" t="n">
        <f aca="false">IFERROR(VLOOKUP($A4907,'319'!$B:$H,7,0),0)</f>
        <v>0</v>
      </c>
      <c r="G4907" s="34" t="n">
        <f aca="false">SUMIFS('12.326ana'!$C:$C,'12.326ana'!$M:$M,redes!A4907)</f>
        <v>0</v>
      </c>
    </row>
    <row r="4908" customFormat="false" ht="14.4" hidden="true" customHeight="false" outlineLevel="0" collapsed="false">
      <c r="A4908" s="34" t="n">
        <v>90582969972</v>
      </c>
      <c r="B4908" s="34" t="s">
        <v>11523</v>
      </c>
      <c r="C4908" s="34" t="s">
        <v>77</v>
      </c>
      <c r="E4908" s="30"/>
      <c r="F4908" s="34" t="n">
        <f aca="false">IFERROR(VLOOKUP($A4908,'319'!$B:$H,7,0),0)</f>
        <v>0</v>
      </c>
      <c r="G4908" s="34" t="n">
        <f aca="false">SUMIFS('12.326ana'!$C:$C,'12.326ana'!$M:$M,redes!A4908)</f>
        <v>0</v>
      </c>
    </row>
    <row r="4909" customFormat="false" ht="14.4" hidden="true" customHeight="false" outlineLevel="0" collapsed="false">
      <c r="A4909" s="34" t="n">
        <v>90652029191</v>
      </c>
      <c r="B4909" s="34" t="s">
        <v>11524</v>
      </c>
      <c r="C4909" s="34" t="s">
        <v>77</v>
      </c>
      <c r="E4909" s="30" t="s">
        <v>11525</v>
      </c>
      <c r="F4909" s="34" t="n">
        <f aca="false">IFERROR(VLOOKUP($A4909,'319'!$B:$H,7,0),0)</f>
        <v>0</v>
      </c>
      <c r="G4909" s="34" t="n">
        <f aca="false">SUMIFS('12.326ana'!$C:$C,'12.326ana'!$M:$M,redes!A4909)</f>
        <v>0</v>
      </c>
    </row>
    <row r="4910" customFormat="false" ht="14.4" hidden="true" customHeight="false" outlineLevel="0" collapsed="false">
      <c r="A4910" s="34" t="n">
        <v>90668634120</v>
      </c>
      <c r="B4910" s="34" t="s">
        <v>11526</v>
      </c>
      <c r="C4910" s="34" t="s">
        <v>77</v>
      </c>
      <c r="E4910" s="30" t="s">
        <v>11527</v>
      </c>
      <c r="F4910" s="34" t="n">
        <f aca="false">IFERROR(VLOOKUP($A4910,'319'!$B:$H,7,0),0)</f>
        <v>0</v>
      </c>
      <c r="G4910" s="34" t="n">
        <f aca="false">SUMIFS('12.326ana'!$C:$C,'12.326ana'!$M:$M,redes!A4910)</f>
        <v>0</v>
      </c>
    </row>
    <row r="4911" customFormat="false" ht="14.4" hidden="true" customHeight="false" outlineLevel="0" collapsed="false">
      <c r="A4911" s="34" t="n">
        <v>90669339172</v>
      </c>
      <c r="B4911" s="34" t="s">
        <v>11528</v>
      </c>
      <c r="C4911" s="34" t="s">
        <v>475</v>
      </c>
      <c r="E4911" s="30" t="s">
        <v>11529</v>
      </c>
      <c r="F4911" s="34" t="n">
        <f aca="false">IFERROR(VLOOKUP($A4911,'319'!$B:$H,7,0),0)</f>
        <v>0</v>
      </c>
      <c r="G4911" s="34" t="n">
        <f aca="false">SUMIFS('12.326ana'!$C:$C,'12.326ana'!$M:$M,redes!A4911)</f>
        <v>0</v>
      </c>
    </row>
    <row r="4912" customFormat="false" ht="14.4" hidden="true" customHeight="false" outlineLevel="0" collapsed="false">
      <c r="A4912" s="34" t="n">
        <v>90706641191</v>
      </c>
      <c r="B4912" s="34" t="s">
        <v>11530</v>
      </c>
      <c r="C4912" s="34" t="s">
        <v>77</v>
      </c>
      <c r="E4912" s="30" t="s">
        <v>11531</v>
      </c>
      <c r="F4912" s="34" t="n">
        <f aca="false">IFERROR(VLOOKUP($A4912,'319'!$B:$H,7,0),0)</f>
        <v>0</v>
      </c>
      <c r="G4912" s="34" t="n">
        <f aca="false">SUMIFS('12.326ana'!$C:$C,'12.326ana'!$M:$M,redes!A4912)</f>
        <v>0</v>
      </c>
    </row>
    <row r="4913" customFormat="false" ht="14.4" hidden="true" customHeight="false" outlineLevel="0" collapsed="false">
      <c r="A4913" s="34" t="n">
        <v>90757378153</v>
      </c>
      <c r="B4913" s="34" t="s">
        <v>11532</v>
      </c>
      <c r="C4913" s="34" t="s">
        <v>77</v>
      </c>
      <c r="E4913" s="30"/>
      <c r="F4913" s="34" t="n">
        <f aca="false">IFERROR(VLOOKUP($A4913,'319'!$B:$H,7,0),0)</f>
        <v>0</v>
      </c>
      <c r="G4913" s="34" t="n">
        <f aca="false">SUMIFS('12.326ana'!$C:$C,'12.326ana'!$M:$M,redes!A4913)</f>
        <v>0</v>
      </c>
    </row>
    <row r="4914" customFormat="false" ht="14.4" hidden="true" customHeight="false" outlineLevel="0" collapsed="false">
      <c r="A4914" s="34" t="n">
        <v>90764129104</v>
      </c>
      <c r="B4914" s="34" t="s">
        <v>11533</v>
      </c>
      <c r="C4914" s="34" t="s">
        <v>979</v>
      </c>
      <c r="E4914" s="30" t="s">
        <v>3933</v>
      </c>
      <c r="F4914" s="34" t="n">
        <f aca="false">IFERROR(VLOOKUP($A4914,'319'!$B:$H,7,0),0)</f>
        <v>0</v>
      </c>
      <c r="G4914" s="34" t="n">
        <f aca="false">SUMIFS('12.326ana'!$C:$C,'12.326ana'!$M:$M,redes!A4914)</f>
        <v>0</v>
      </c>
    </row>
    <row r="4915" customFormat="false" ht="14.4" hidden="true" customHeight="false" outlineLevel="0" collapsed="false">
      <c r="A4915" s="34" t="n">
        <v>90769120172</v>
      </c>
      <c r="B4915" s="34" t="s">
        <v>11534</v>
      </c>
      <c r="C4915" s="34" t="s">
        <v>77</v>
      </c>
      <c r="E4915" s="30" t="s">
        <v>11535</v>
      </c>
      <c r="F4915" s="34" t="n">
        <f aca="false">IFERROR(VLOOKUP($A4915,'319'!$B:$H,7,0),0)</f>
        <v>0</v>
      </c>
      <c r="G4915" s="34" t="n">
        <f aca="false">SUMIFS('12.326ana'!$C:$C,'12.326ana'!$M:$M,redes!A4915)</f>
        <v>0</v>
      </c>
    </row>
    <row r="4916" customFormat="false" ht="14.4" hidden="true" customHeight="false" outlineLevel="0" collapsed="false">
      <c r="A4916" s="34" t="n">
        <v>90770927149</v>
      </c>
      <c r="B4916" s="34" t="s">
        <v>11536</v>
      </c>
      <c r="C4916" s="34" t="s">
        <v>1054</v>
      </c>
      <c r="E4916" s="30" t="s">
        <v>7043</v>
      </c>
      <c r="F4916" s="34" t="n">
        <f aca="false">IFERROR(VLOOKUP($A4916,'319'!$B:$H,7,0),0)</f>
        <v>0</v>
      </c>
      <c r="G4916" s="34" t="n">
        <f aca="false">SUMIFS('12.326ana'!$C:$C,'12.326ana'!$M:$M,redes!A4916)</f>
        <v>0</v>
      </c>
    </row>
    <row r="4917" customFormat="false" ht="14.4" hidden="true" customHeight="false" outlineLevel="0" collapsed="false">
      <c r="A4917" s="34" t="n">
        <v>90770935168</v>
      </c>
      <c r="B4917" s="34" t="s">
        <v>11537</v>
      </c>
      <c r="C4917" s="34" t="s">
        <v>77</v>
      </c>
      <c r="E4917" s="30" t="s">
        <v>11538</v>
      </c>
      <c r="F4917" s="34" t="n">
        <f aca="false">IFERROR(VLOOKUP($A4917,'319'!$B:$H,7,0),0)</f>
        <v>0</v>
      </c>
      <c r="G4917" s="34" t="n">
        <f aca="false">SUMIFS('12.326ana'!$C:$C,'12.326ana'!$M:$M,redes!A4917)</f>
        <v>0</v>
      </c>
    </row>
    <row r="4918" customFormat="false" ht="14.4" hidden="true" customHeight="false" outlineLevel="0" collapsed="false">
      <c r="A4918" s="34" t="n">
        <v>90777832100</v>
      </c>
      <c r="B4918" s="34" t="s">
        <v>11539</v>
      </c>
      <c r="C4918" s="34" t="s">
        <v>139</v>
      </c>
      <c r="E4918" s="30" t="s">
        <v>11540</v>
      </c>
      <c r="F4918" s="34" t="n">
        <f aca="false">IFERROR(VLOOKUP($A4918,'319'!$B:$H,7,0),0)</f>
        <v>0</v>
      </c>
      <c r="G4918" s="34" t="n">
        <f aca="false">SUMIFS('12.326ana'!$C:$C,'12.326ana'!$M:$M,redes!A4918)</f>
        <v>0</v>
      </c>
    </row>
    <row r="4919" customFormat="false" ht="14.4" hidden="true" customHeight="false" outlineLevel="0" collapsed="false">
      <c r="A4919" s="34" t="n">
        <v>90789563134</v>
      </c>
      <c r="B4919" s="34" t="s">
        <v>11541</v>
      </c>
      <c r="C4919" s="34" t="s">
        <v>197</v>
      </c>
      <c r="E4919" s="30" t="s">
        <v>3927</v>
      </c>
      <c r="F4919" s="34" t="n">
        <f aca="false">IFERROR(VLOOKUP($A4919,'319'!$B:$H,7,0),0)</f>
        <v>0</v>
      </c>
      <c r="G4919" s="34" t="n">
        <f aca="false">SUMIFS('12.326ana'!$C:$C,'12.326ana'!$M:$M,redes!A4919)</f>
        <v>0</v>
      </c>
    </row>
    <row r="4920" customFormat="false" ht="14.4" hidden="true" customHeight="false" outlineLevel="0" collapsed="false">
      <c r="A4920" s="34" t="n">
        <v>90847555100</v>
      </c>
      <c r="B4920" s="34" t="s">
        <v>11542</v>
      </c>
      <c r="C4920" s="34" t="s">
        <v>77</v>
      </c>
      <c r="E4920" s="30" t="s">
        <v>10186</v>
      </c>
      <c r="F4920" s="34" t="n">
        <f aca="false">IFERROR(VLOOKUP($A4920,'319'!$B:$H,7,0),0)</f>
        <v>0</v>
      </c>
      <c r="G4920" s="34" t="n">
        <f aca="false">SUMIFS('12.326ana'!$C:$C,'12.326ana'!$M:$M,redes!A4920)</f>
        <v>0</v>
      </c>
    </row>
    <row r="4921" customFormat="false" ht="14.4" hidden="true" customHeight="false" outlineLevel="0" collapsed="false">
      <c r="A4921" s="34" t="n">
        <v>90856821187</v>
      </c>
      <c r="B4921" s="34" t="s">
        <v>11543</v>
      </c>
      <c r="C4921" s="34" t="s">
        <v>77</v>
      </c>
      <c r="E4921" s="30" t="s">
        <v>11544</v>
      </c>
      <c r="F4921" s="34" t="n">
        <f aca="false">IFERROR(VLOOKUP($A4921,'319'!$B:$H,7,0),0)</f>
        <v>0</v>
      </c>
      <c r="G4921" s="34" t="n">
        <f aca="false">SUMIFS('12.326ana'!$C:$C,'12.326ana'!$M:$M,redes!A4921)</f>
        <v>0</v>
      </c>
    </row>
    <row r="4922" customFormat="false" ht="14.4" hidden="true" customHeight="false" outlineLevel="0" collapsed="false">
      <c r="A4922" s="34" t="n">
        <v>90863178120</v>
      </c>
      <c r="B4922" s="34" t="s">
        <v>11545</v>
      </c>
      <c r="C4922" s="34" t="s">
        <v>377</v>
      </c>
      <c r="E4922" s="30" t="s">
        <v>11546</v>
      </c>
      <c r="F4922" s="34" t="n">
        <f aca="false">IFERROR(VLOOKUP($A4922,'319'!$B:$H,7,0),0)</f>
        <v>0</v>
      </c>
      <c r="G4922" s="34" t="n">
        <f aca="false">SUMIFS('12.326ana'!$C:$C,'12.326ana'!$M:$M,redes!A4922)</f>
        <v>0</v>
      </c>
    </row>
    <row r="4923" customFormat="false" ht="14.4" hidden="true" customHeight="false" outlineLevel="0" collapsed="false">
      <c r="A4923" s="34" t="n">
        <v>90863844120</v>
      </c>
      <c r="B4923" s="34" t="s">
        <v>11547</v>
      </c>
      <c r="C4923" s="34" t="s">
        <v>77</v>
      </c>
      <c r="E4923" s="30" t="s">
        <v>11548</v>
      </c>
      <c r="F4923" s="34" t="n">
        <f aca="false">IFERROR(VLOOKUP($A4923,'319'!$B:$H,7,0),0)</f>
        <v>0</v>
      </c>
      <c r="G4923" s="34" t="n">
        <f aca="false">SUMIFS('12.326ana'!$C:$C,'12.326ana'!$M:$M,redes!A4923)</f>
        <v>0</v>
      </c>
    </row>
    <row r="4924" customFormat="false" ht="14.4" hidden="true" customHeight="false" outlineLevel="0" collapsed="false">
      <c r="A4924" s="34" t="n">
        <v>90865251134</v>
      </c>
      <c r="B4924" s="34" t="s">
        <v>11549</v>
      </c>
      <c r="C4924" s="34" t="s">
        <v>107</v>
      </c>
      <c r="E4924" s="30" t="s">
        <v>11550</v>
      </c>
      <c r="F4924" s="34" t="n">
        <f aca="false">IFERROR(VLOOKUP($A4924,'319'!$B:$H,7,0),0)</f>
        <v>0</v>
      </c>
      <c r="G4924" s="34" t="n">
        <f aca="false">SUMIFS('12.326ana'!$C:$C,'12.326ana'!$M:$M,redes!A4924)</f>
        <v>0</v>
      </c>
    </row>
    <row r="4925" customFormat="false" ht="14.4" hidden="true" customHeight="false" outlineLevel="0" collapsed="false">
      <c r="A4925" s="34" t="n">
        <v>90873882415</v>
      </c>
      <c r="B4925" s="34" t="s">
        <v>11551</v>
      </c>
      <c r="C4925" s="34" t="s">
        <v>77</v>
      </c>
      <c r="E4925" s="30" t="s">
        <v>11552</v>
      </c>
      <c r="F4925" s="34" t="n">
        <f aca="false">IFERROR(VLOOKUP($A4925,'319'!$B:$H,7,0),0)</f>
        <v>0</v>
      </c>
      <c r="G4925" s="34" t="n">
        <f aca="false">SUMIFS('12.326ana'!$C:$C,'12.326ana'!$M:$M,redes!A4925)</f>
        <v>0</v>
      </c>
    </row>
    <row r="4926" customFormat="false" ht="14.4" hidden="true" customHeight="false" outlineLevel="0" collapsed="false">
      <c r="A4926" s="34" t="n">
        <v>90903510197</v>
      </c>
      <c r="B4926" s="34" t="s">
        <v>11553</v>
      </c>
      <c r="C4926" s="34" t="s">
        <v>77</v>
      </c>
      <c r="E4926" s="30"/>
      <c r="F4926" s="34" t="n">
        <f aca="false">IFERROR(VLOOKUP($A4926,'319'!$B:$H,7,0),0)</f>
        <v>0</v>
      </c>
      <c r="G4926" s="34" t="n">
        <f aca="false">SUMIFS('12.326ana'!$C:$C,'12.326ana'!$M:$M,redes!A4926)</f>
        <v>0</v>
      </c>
    </row>
    <row r="4927" customFormat="false" ht="14.4" hidden="true" customHeight="false" outlineLevel="0" collapsed="false">
      <c r="A4927" s="34" t="n">
        <v>90908864191</v>
      </c>
      <c r="B4927" s="34" t="s">
        <v>11554</v>
      </c>
      <c r="C4927" s="34" t="s">
        <v>77</v>
      </c>
      <c r="E4927" s="30" t="s">
        <v>11555</v>
      </c>
      <c r="F4927" s="34" t="n">
        <f aca="false">IFERROR(VLOOKUP($A4927,'319'!$B:$H,7,0),0)</f>
        <v>0</v>
      </c>
      <c r="G4927" s="34" t="n">
        <f aca="false">SUMIFS('12.326ana'!$C:$C,'12.326ana'!$M:$M,redes!A4927)</f>
        <v>0</v>
      </c>
    </row>
    <row r="4928" customFormat="false" ht="14.4" hidden="true" customHeight="false" outlineLevel="0" collapsed="false">
      <c r="A4928" s="34" t="n">
        <v>90909569134</v>
      </c>
      <c r="B4928" s="34" t="s">
        <v>11556</v>
      </c>
      <c r="C4928" s="34" t="s">
        <v>107</v>
      </c>
      <c r="E4928" s="30" t="s">
        <v>4630</v>
      </c>
      <c r="F4928" s="34" t="n">
        <f aca="false">IFERROR(VLOOKUP($A4928,'319'!$B:$H,7,0),0)</f>
        <v>0</v>
      </c>
      <c r="G4928" s="34" t="n">
        <f aca="false">SUMIFS('12.326ana'!$C:$C,'12.326ana'!$M:$M,redes!A4928)</f>
        <v>0</v>
      </c>
    </row>
    <row r="4929" customFormat="false" ht="14.4" hidden="true" customHeight="false" outlineLevel="0" collapsed="false">
      <c r="A4929" s="34" t="n">
        <v>90934229104</v>
      </c>
      <c r="B4929" s="34" t="s">
        <v>11557</v>
      </c>
      <c r="C4929" s="34" t="s">
        <v>107</v>
      </c>
      <c r="E4929" s="30" t="s">
        <v>11558</v>
      </c>
      <c r="F4929" s="34" t="n">
        <f aca="false">IFERROR(VLOOKUP($A4929,'319'!$B:$H,7,0),0)</f>
        <v>0</v>
      </c>
      <c r="G4929" s="34" t="n">
        <f aca="false">SUMIFS('12.326ana'!$C:$C,'12.326ana'!$M:$M,redes!A4929)</f>
        <v>0</v>
      </c>
    </row>
    <row r="4930" customFormat="false" ht="14.4" hidden="true" customHeight="false" outlineLevel="0" collapsed="false">
      <c r="A4930" s="34" t="n">
        <v>90943015120</v>
      </c>
      <c r="B4930" s="34" t="s">
        <v>11559</v>
      </c>
      <c r="C4930" s="34" t="s">
        <v>328</v>
      </c>
      <c r="E4930" s="30" t="s">
        <v>7523</v>
      </c>
      <c r="F4930" s="34" t="n">
        <f aca="false">IFERROR(VLOOKUP($A4930,'319'!$B:$H,7,0),0)</f>
        <v>0</v>
      </c>
      <c r="G4930" s="34" t="n">
        <f aca="false">SUMIFS('12.326ana'!$C:$C,'12.326ana'!$M:$M,redes!A4930)</f>
        <v>0</v>
      </c>
    </row>
    <row r="4931" customFormat="false" ht="14.4" hidden="true" customHeight="false" outlineLevel="0" collapsed="false">
      <c r="A4931" s="34" t="n">
        <v>90963520172</v>
      </c>
      <c r="B4931" s="34" t="s">
        <v>11560</v>
      </c>
      <c r="C4931" s="34" t="s">
        <v>77</v>
      </c>
      <c r="E4931" s="30" t="s">
        <v>3293</v>
      </c>
      <c r="F4931" s="34" t="n">
        <f aca="false">IFERROR(VLOOKUP($A4931,'319'!$B:$H,7,0),0)</f>
        <v>0</v>
      </c>
      <c r="G4931" s="34" t="n">
        <f aca="false">SUMIFS('12.326ana'!$C:$C,'12.326ana'!$M:$M,redes!A4931)</f>
        <v>0</v>
      </c>
    </row>
    <row r="4932" customFormat="false" ht="14.4" hidden="true" customHeight="false" outlineLevel="0" collapsed="false">
      <c r="A4932" s="34" t="n">
        <v>90979958172</v>
      </c>
      <c r="B4932" s="34" t="s">
        <v>11561</v>
      </c>
      <c r="C4932" s="34" t="s">
        <v>448</v>
      </c>
      <c r="E4932" s="30" t="s">
        <v>11562</v>
      </c>
      <c r="F4932" s="34" t="n">
        <f aca="false">IFERROR(VLOOKUP($A4932,'319'!$B:$H,7,0),0)</f>
        <v>0</v>
      </c>
      <c r="G4932" s="34" t="n">
        <f aca="false">SUMIFS('12.326ana'!$C:$C,'12.326ana'!$M:$M,redes!A4932)</f>
        <v>0</v>
      </c>
    </row>
    <row r="4933" customFormat="false" ht="14.4" hidden="true" customHeight="false" outlineLevel="0" collapsed="false">
      <c r="A4933" s="34" t="n">
        <v>90987284134</v>
      </c>
      <c r="B4933" s="34" t="s">
        <v>11563</v>
      </c>
      <c r="C4933" s="34" t="s">
        <v>77</v>
      </c>
      <c r="E4933" s="30"/>
      <c r="F4933" s="34" t="n">
        <f aca="false">IFERROR(VLOOKUP($A4933,'319'!$B:$H,7,0),0)</f>
        <v>0</v>
      </c>
      <c r="G4933" s="34" t="n">
        <f aca="false">SUMIFS('12.326ana'!$C:$C,'12.326ana'!$M:$M,redes!A4933)</f>
        <v>0</v>
      </c>
    </row>
    <row r="4934" customFormat="false" ht="14.4" hidden="true" customHeight="false" outlineLevel="0" collapsed="false">
      <c r="A4934" s="34" t="n">
        <v>90991699149</v>
      </c>
      <c r="B4934" s="34" t="s">
        <v>11564</v>
      </c>
      <c r="C4934" s="34" t="s">
        <v>77</v>
      </c>
      <c r="E4934" s="30" t="s">
        <v>11565</v>
      </c>
      <c r="F4934" s="34" t="n">
        <f aca="false">IFERROR(VLOOKUP($A4934,'319'!$B:$H,7,0),0)</f>
        <v>0</v>
      </c>
      <c r="G4934" s="34" t="n">
        <f aca="false">SUMIFS('12.326ana'!$C:$C,'12.326ana'!$M:$M,redes!A4934)</f>
        <v>0</v>
      </c>
    </row>
    <row r="4935" customFormat="false" ht="14.4" hidden="true" customHeight="false" outlineLevel="0" collapsed="false">
      <c r="A4935" s="34" t="n">
        <v>90992300100</v>
      </c>
      <c r="B4935" s="34" t="s">
        <v>11566</v>
      </c>
      <c r="C4935" s="34" t="s">
        <v>77</v>
      </c>
      <c r="E4935" s="30" t="s">
        <v>11567</v>
      </c>
      <c r="F4935" s="34" t="n">
        <f aca="false">IFERROR(VLOOKUP($A4935,'319'!$B:$H,7,0),0)</f>
        <v>0</v>
      </c>
      <c r="G4935" s="34" t="n">
        <f aca="false">SUMIFS('12.326ana'!$C:$C,'12.326ana'!$M:$M,redes!A4935)</f>
        <v>0</v>
      </c>
    </row>
    <row r="4936" customFormat="false" ht="14.4" hidden="true" customHeight="false" outlineLevel="0" collapsed="false">
      <c r="A4936" s="34" t="n">
        <v>90993705120</v>
      </c>
      <c r="B4936" s="34" t="s">
        <v>11568</v>
      </c>
      <c r="C4936" s="34" t="s">
        <v>77</v>
      </c>
      <c r="E4936" s="30"/>
      <c r="F4936" s="34" t="n">
        <f aca="false">IFERROR(VLOOKUP($A4936,'319'!$B:$H,7,0),0)</f>
        <v>0</v>
      </c>
      <c r="G4936" s="34" t="n">
        <f aca="false">SUMIFS('12.326ana'!$C:$C,'12.326ana'!$M:$M,redes!A4936)</f>
        <v>0</v>
      </c>
    </row>
    <row r="4937" customFormat="false" ht="14.4" hidden="true" customHeight="false" outlineLevel="0" collapsed="false">
      <c r="A4937" s="34" t="n">
        <v>90995872104</v>
      </c>
      <c r="B4937" s="34" t="s">
        <v>11569</v>
      </c>
      <c r="C4937" s="34" t="s">
        <v>89</v>
      </c>
      <c r="E4937" s="30" t="s">
        <v>11570</v>
      </c>
      <c r="F4937" s="34" t="n">
        <f aca="false">IFERROR(VLOOKUP($A4937,'319'!$B:$H,7,0),0)</f>
        <v>0</v>
      </c>
      <c r="G4937" s="34" t="n">
        <f aca="false">SUMIFS('12.326ana'!$C:$C,'12.326ana'!$M:$M,redes!A4937)</f>
        <v>0</v>
      </c>
    </row>
    <row r="4938" customFormat="false" ht="14.4" hidden="true" customHeight="false" outlineLevel="0" collapsed="false">
      <c r="A4938" s="34" t="n">
        <v>91043824120</v>
      </c>
      <c r="B4938" s="34" t="s">
        <v>11571</v>
      </c>
      <c r="C4938" s="34" t="s">
        <v>77</v>
      </c>
      <c r="E4938" s="30" t="s">
        <v>11572</v>
      </c>
      <c r="F4938" s="34" t="n">
        <f aca="false">IFERROR(VLOOKUP($A4938,'319'!$B:$H,7,0),0)</f>
        <v>0</v>
      </c>
      <c r="G4938" s="34" t="n">
        <f aca="false">SUMIFS('12.326ana'!$C:$C,'12.326ana'!$M:$M,redes!A4938)</f>
        <v>0</v>
      </c>
    </row>
    <row r="4939" customFormat="false" ht="14.4" hidden="true" customHeight="false" outlineLevel="0" collapsed="false">
      <c r="A4939" s="34" t="n">
        <v>91046980106</v>
      </c>
      <c r="B4939" s="34" t="s">
        <v>11573</v>
      </c>
      <c r="C4939" s="34" t="s">
        <v>77</v>
      </c>
      <c r="E4939" s="30" t="s">
        <v>5750</v>
      </c>
      <c r="F4939" s="34" t="n">
        <f aca="false">IFERROR(VLOOKUP($A4939,'319'!$B:$H,7,0),0)</f>
        <v>0</v>
      </c>
      <c r="G4939" s="34" t="n">
        <f aca="false">SUMIFS('12.326ana'!$C:$C,'12.326ana'!$M:$M,redes!A4939)</f>
        <v>0</v>
      </c>
    </row>
    <row r="4940" customFormat="false" ht="14.4" hidden="true" customHeight="false" outlineLevel="0" collapsed="false">
      <c r="A4940" s="34" t="n">
        <v>91086590104</v>
      </c>
      <c r="B4940" s="34" t="s">
        <v>11574</v>
      </c>
      <c r="C4940" s="34" t="s">
        <v>1272</v>
      </c>
      <c r="E4940" s="30" t="s">
        <v>11575</v>
      </c>
      <c r="F4940" s="34" t="n">
        <f aca="false">IFERROR(VLOOKUP($A4940,'319'!$B:$H,7,0),0)</f>
        <v>0</v>
      </c>
      <c r="G4940" s="34" t="n">
        <f aca="false">SUMIFS('12.326ana'!$C:$C,'12.326ana'!$M:$M,redes!A4940)</f>
        <v>0</v>
      </c>
    </row>
    <row r="4941" customFormat="false" ht="14.4" hidden="true" customHeight="false" outlineLevel="0" collapsed="false">
      <c r="A4941" s="34" t="n">
        <v>91112869115</v>
      </c>
      <c r="B4941" s="34" t="s">
        <v>11576</v>
      </c>
      <c r="C4941" s="34" t="s">
        <v>77</v>
      </c>
      <c r="E4941" s="30"/>
      <c r="F4941" s="34" t="n">
        <f aca="false">IFERROR(VLOOKUP($A4941,'319'!$B:$H,7,0),0)</f>
        <v>0</v>
      </c>
      <c r="G4941" s="34" t="n">
        <f aca="false">SUMIFS('12.326ana'!$C:$C,'12.326ana'!$M:$M,redes!A4941)</f>
        <v>0</v>
      </c>
    </row>
    <row r="4942" customFormat="false" ht="14.4" hidden="true" customHeight="false" outlineLevel="0" collapsed="false">
      <c r="A4942" s="34" t="n">
        <v>91112923187</v>
      </c>
      <c r="B4942" s="34" t="s">
        <v>11577</v>
      </c>
      <c r="C4942" s="34" t="s">
        <v>77</v>
      </c>
      <c r="E4942" s="30" t="s">
        <v>11578</v>
      </c>
      <c r="F4942" s="34" t="n">
        <f aca="false">IFERROR(VLOOKUP($A4942,'319'!$B:$H,7,0),0)</f>
        <v>0</v>
      </c>
      <c r="G4942" s="34" t="n">
        <f aca="false">SUMIFS('12.326ana'!$C:$C,'12.326ana'!$M:$M,redes!A4942)</f>
        <v>0</v>
      </c>
    </row>
    <row r="4943" customFormat="false" ht="14.4" hidden="true" customHeight="false" outlineLevel="0" collapsed="false">
      <c r="A4943" s="34" t="n">
        <v>91124662120</v>
      </c>
      <c r="B4943" s="34" t="s">
        <v>11579</v>
      </c>
      <c r="C4943" s="34" t="s">
        <v>1054</v>
      </c>
      <c r="E4943" s="30" t="s">
        <v>3440</v>
      </c>
      <c r="F4943" s="34" t="n">
        <f aca="false">IFERROR(VLOOKUP($A4943,'319'!$B:$H,7,0),0)</f>
        <v>0</v>
      </c>
      <c r="G4943" s="34" t="n">
        <f aca="false">SUMIFS('12.326ana'!$C:$C,'12.326ana'!$M:$M,redes!A4943)</f>
        <v>0</v>
      </c>
    </row>
    <row r="4944" customFormat="false" ht="14.4" hidden="true" customHeight="false" outlineLevel="0" collapsed="false">
      <c r="A4944" s="34" t="n">
        <v>91126000119</v>
      </c>
      <c r="B4944" s="34" t="s">
        <v>11580</v>
      </c>
      <c r="C4944" s="34" t="s">
        <v>103</v>
      </c>
      <c r="E4944" s="30" t="s">
        <v>11581</v>
      </c>
      <c r="F4944" s="34" t="n">
        <f aca="false">IFERROR(VLOOKUP($A4944,'319'!$B:$H,7,0),0)</f>
        <v>0</v>
      </c>
      <c r="G4944" s="34" t="n">
        <f aca="false">SUMIFS('12.326ana'!$C:$C,'12.326ana'!$M:$M,redes!A4944)</f>
        <v>0</v>
      </c>
    </row>
    <row r="4945" customFormat="false" ht="14.4" hidden="true" customHeight="false" outlineLevel="0" collapsed="false">
      <c r="A4945" s="34" t="n">
        <v>91137578149</v>
      </c>
      <c r="B4945" s="34" t="s">
        <v>11582</v>
      </c>
      <c r="C4945" s="34" t="s">
        <v>77</v>
      </c>
      <c r="E4945" s="30" t="s">
        <v>11583</v>
      </c>
      <c r="F4945" s="34" t="n">
        <f aca="false">IFERROR(VLOOKUP($A4945,'319'!$B:$H,7,0),0)</f>
        <v>0</v>
      </c>
      <c r="G4945" s="34" t="n">
        <f aca="false">SUMIFS('12.326ana'!$C:$C,'12.326ana'!$M:$M,redes!A4945)</f>
        <v>0</v>
      </c>
    </row>
    <row r="4946" customFormat="false" ht="14.4" hidden="true" customHeight="false" outlineLevel="0" collapsed="false">
      <c r="A4946" s="34" t="n">
        <v>91138400106</v>
      </c>
      <c r="B4946" s="34" t="s">
        <v>11584</v>
      </c>
      <c r="C4946" s="34" t="s">
        <v>77</v>
      </c>
      <c r="E4946" s="30" t="s">
        <v>11584</v>
      </c>
      <c r="F4946" s="34" t="n">
        <f aca="false">IFERROR(VLOOKUP($A4946,'319'!$B:$H,7,0),0)</f>
        <v>0</v>
      </c>
      <c r="G4946" s="34" t="n">
        <f aca="false">SUMIFS('12.326ana'!$C:$C,'12.326ana'!$M:$M,redes!A4946)</f>
        <v>0</v>
      </c>
    </row>
    <row r="4947" customFormat="false" ht="14.4" hidden="true" customHeight="false" outlineLevel="0" collapsed="false">
      <c r="A4947" s="34" t="n">
        <v>91301041149</v>
      </c>
      <c r="B4947" s="34" t="s">
        <v>11585</v>
      </c>
      <c r="C4947" s="34" t="s">
        <v>77</v>
      </c>
      <c r="E4947" s="30" t="s">
        <v>11586</v>
      </c>
      <c r="F4947" s="34" t="n">
        <f aca="false">IFERROR(VLOOKUP($A4947,'319'!$B:$H,7,0),0)</f>
        <v>0</v>
      </c>
      <c r="G4947" s="34" t="n">
        <f aca="false">SUMIFS('12.326ana'!$C:$C,'12.326ana'!$M:$M,redes!A4947)</f>
        <v>0</v>
      </c>
    </row>
    <row r="4948" customFormat="false" ht="14.4" hidden="true" customHeight="false" outlineLevel="0" collapsed="false">
      <c r="A4948" s="34" t="n">
        <v>91311519149</v>
      </c>
      <c r="B4948" s="34" t="s">
        <v>11587</v>
      </c>
      <c r="C4948" s="34" t="s">
        <v>77</v>
      </c>
      <c r="E4948" s="30" t="s">
        <v>11588</v>
      </c>
      <c r="F4948" s="34" t="n">
        <f aca="false">IFERROR(VLOOKUP($A4948,'319'!$B:$H,7,0),0)</f>
        <v>0</v>
      </c>
      <c r="G4948" s="34" t="n">
        <f aca="false">SUMIFS('12.326ana'!$C:$C,'12.326ana'!$M:$M,redes!A4948)</f>
        <v>0</v>
      </c>
    </row>
    <row r="4949" customFormat="false" ht="14.4" hidden="true" customHeight="false" outlineLevel="0" collapsed="false">
      <c r="A4949" s="34" t="n">
        <v>91337275115</v>
      </c>
      <c r="B4949" s="34" t="s">
        <v>11589</v>
      </c>
      <c r="C4949" s="34" t="s">
        <v>77</v>
      </c>
      <c r="E4949" s="30" t="s">
        <v>11590</v>
      </c>
      <c r="F4949" s="34" t="n">
        <f aca="false">IFERROR(VLOOKUP($A4949,'319'!$B:$H,7,0),0)</f>
        <v>0</v>
      </c>
      <c r="G4949" s="34" t="n">
        <f aca="false">SUMIFS('12.326ana'!$C:$C,'12.326ana'!$M:$M,redes!A4949)</f>
        <v>0</v>
      </c>
    </row>
    <row r="4950" customFormat="false" ht="14.4" hidden="true" customHeight="false" outlineLevel="0" collapsed="false">
      <c r="A4950" s="34" t="n">
        <v>91340420163</v>
      </c>
      <c r="B4950" s="34" t="s">
        <v>11591</v>
      </c>
      <c r="C4950" s="34" t="s">
        <v>107</v>
      </c>
      <c r="E4950" s="30" t="s">
        <v>11592</v>
      </c>
      <c r="F4950" s="34" t="n">
        <f aca="false">IFERROR(VLOOKUP($A4950,'319'!$B:$H,7,0),0)</f>
        <v>0</v>
      </c>
      <c r="G4950" s="34" t="n">
        <f aca="false">SUMIFS('12.326ana'!$C:$C,'12.326ana'!$M:$M,redes!A4950)</f>
        <v>0</v>
      </c>
    </row>
    <row r="4951" customFormat="false" ht="14.4" hidden="true" customHeight="false" outlineLevel="0" collapsed="false">
      <c r="A4951" s="34" t="n">
        <v>91370981104</v>
      </c>
      <c r="B4951" s="34" t="s">
        <v>11593</v>
      </c>
      <c r="C4951" s="34" t="s">
        <v>77</v>
      </c>
      <c r="E4951" s="30"/>
      <c r="F4951" s="34" t="n">
        <f aca="false">IFERROR(VLOOKUP($A4951,'319'!$B:$H,7,0),0)</f>
        <v>0</v>
      </c>
      <c r="G4951" s="34" t="n">
        <f aca="false">SUMIFS('12.326ana'!$C:$C,'12.326ana'!$M:$M,redes!A4951)</f>
        <v>0</v>
      </c>
    </row>
    <row r="4952" customFormat="false" ht="14.4" hidden="true" customHeight="false" outlineLevel="0" collapsed="false">
      <c r="A4952" s="34" t="n">
        <v>91488648115</v>
      </c>
      <c r="B4952" s="34" t="s">
        <v>11594</v>
      </c>
      <c r="C4952" s="34" t="s">
        <v>77</v>
      </c>
      <c r="E4952" s="30" t="s">
        <v>11595</v>
      </c>
      <c r="F4952" s="34" t="n">
        <f aca="false">IFERROR(VLOOKUP($A4952,'319'!$B:$H,7,0),0)</f>
        <v>0</v>
      </c>
      <c r="G4952" s="34" t="n">
        <f aca="false">SUMIFS('12.326ana'!$C:$C,'12.326ana'!$M:$M,redes!A4952)</f>
        <v>0</v>
      </c>
    </row>
    <row r="4953" customFormat="false" ht="14.4" hidden="true" customHeight="false" outlineLevel="0" collapsed="false">
      <c r="A4953" s="34" t="n">
        <v>91511852100</v>
      </c>
      <c r="B4953" s="34" t="s">
        <v>11596</v>
      </c>
      <c r="C4953" s="34" t="s">
        <v>77</v>
      </c>
      <c r="E4953" s="30" t="s">
        <v>11597</v>
      </c>
      <c r="F4953" s="34" t="n">
        <f aca="false">IFERROR(VLOOKUP($A4953,'319'!$B:$H,7,0),0)</f>
        <v>0</v>
      </c>
      <c r="G4953" s="34" t="n">
        <f aca="false">SUMIFS('12.326ana'!$C:$C,'12.326ana'!$M:$M,redes!A4953)</f>
        <v>0</v>
      </c>
    </row>
    <row r="4954" customFormat="false" ht="14.4" hidden="true" customHeight="false" outlineLevel="0" collapsed="false">
      <c r="A4954" s="34" t="n">
        <v>91520509120</v>
      </c>
      <c r="B4954" s="34" t="s">
        <v>11598</v>
      </c>
      <c r="C4954" s="34" t="s">
        <v>197</v>
      </c>
      <c r="E4954" s="30" t="s">
        <v>4567</v>
      </c>
      <c r="F4954" s="34" t="n">
        <f aca="false">IFERROR(VLOOKUP($A4954,'319'!$B:$H,7,0),0)</f>
        <v>0</v>
      </c>
      <c r="G4954" s="34" t="n">
        <f aca="false">SUMIFS('12.326ana'!$C:$C,'12.326ana'!$M:$M,redes!A4954)</f>
        <v>0</v>
      </c>
    </row>
    <row r="4955" customFormat="false" ht="14.4" hidden="true" customHeight="false" outlineLevel="0" collapsed="false">
      <c r="A4955" s="34" t="n">
        <v>91536987115</v>
      </c>
      <c r="B4955" s="34" t="s">
        <v>11599</v>
      </c>
      <c r="C4955" s="34" t="s">
        <v>77</v>
      </c>
      <c r="E4955" s="30" t="s">
        <v>11600</v>
      </c>
      <c r="F4955" s="34" t="n">
        <f aca="false">IFERROR(VLOOKUP($A4955,'319'!$B:$H,7,0),0)</f>
        <v>0</v>
      </c>
      <c r="G4955" s="34" t="n">
        <f aca="false">SUMIFS('12.326ana'!$C:$C,'12.326ana'!$M:$M,redes!A4955)</f>
        <v>0</v>
      </c>
    </row>
    <row r="4956" customFormat="false" ht="14.4" hidden="true" customHeight="false" outlineLevel="0" collapsed="false">
      <c r="A4956" s="34" t="n">
        <v>91537452991</v>
      </c>
      <c r="B4956" s="34" t="s">
        <v>11601</v>
      </c>
      <c r="C4956" s="34" t="s">
        <v>77</v>
      </c>
      <c r="E4956" s="30" t="s">
        <v>11601</v>
      </c>
      <c r="F4956" s="34" t="n">
        <f aca="false">IFERROR(VLOOKUP($A4956,'319'!$B:$H,7,0),0)</f>
        <v>0</v>
      </c>
      <c r="G4956" s="34" t="n">
        <f aca="false">SUMIFS('12.326ana'!$C:$C,'12.326ana'!$M:$M,redes!A4956)</f>
        <v>0</v>
      </c>
    </row>
    <row r="4957" customFormat="false" ht="14.4" hidden="true" customHeight="false" outlineLevel="0" collapsed="false">
      <c r="A4957" s="34" t="n">
        <v>91547342900</v>
      </c>
      <c r="B4957" s="34" t="s">
        <v>11602</v>
      </c>
      <c r="C4957" s="34" t="s">
        <v>107</v>
      </c>
      <c r="E4957" s="30" t="s">
        <v>6255</v>
      </c>
      <c r="F4957" s="34" t="n">
        <f aca="false">IFERROR(VLOOKUP($A4957,'319'!$B:$H,7,0),0)</f>
        <v>0</v>
      </c>
      <c r="G4957" s="34" t="n">
        <f aca="false">SUMIFS('12.326ana'!$C:$C,'12.326ana'!$M:$M,redes!A4957)</f>
        <v>0</v>
      </c>
    </row>
    <row r="4958" customFormat="false" ht="14.4" hidden="true" customHeight="false" outlineLevel="0" collapsed="false">
      <c r="A4958" s="34" t="n">
        <v>91550513168</v>
      </c>
      <c r="B4958" s="34" t="s">
        <v>11603</v>
      </c>
      <c r="C4958" s="34" t="s">
        <v>77</v>
      </c>
      <c r="E4958" s="30" t="s">
        <v>11604</v>
      </c>
      <c r="F4958" s="34" t="n">
        <f aca="false">IFERROR(VLOOKUP($A4958,'319'!$B:$H,7,0),0)</f>
        <v>0</v>
      </c>
      <c r="G4958" s="34" t="n">
        <f aca="false">SUMIFS('12.326ana'!$C:$C,'12.326ana'!$M:$M,redes!A4958)</f>
        <v>0</v>
      </c>
    </row>
    <row r="4959" customFormat="false" ht="14.4" hidden="true" customHeight="false" outlineLevel="0" collapsed="false">
      <c r="A4959" s="34" t="n">
        <v>91565340191</v>
      </c>
      <c r="B4959" s="34" t="s">
        <v>11605</v>
      </c>
      <c r="C4959" s="34" t="s">
        <v>77</v>
      </c>
      <c r="E4959" s="30" t="s">
        <v>11606</v>
      </c>
      <c r="F4959" s="34" t="n">
        <f aca="false">IFERROR(VLOOKUP($A4959,'319'!$B:$H,7,0),0)</f>
        <v>0</v>
      </c>
      <c r="G4959" s="34" t="n">
        <f aca="false">SUMIFS('12.326ana'!$C:$C,'12.326ana'!$M:$M,redes!A4959)</f>
        <v>0</v>
      </c>
    </row>
    <row r="4960" customFormat="false" ht="14.4" hidden="true" customHeight="false" outlineLevel="0" collapsed="false">
      <c r="A4960" s="34" t="n">
        <v>91566150191</v>
      </c>
      <c r="B4960" s="34" t="s">
        <v>11607</v>
      </c>
      <c r="C4960" s="34" t="s">
        <v>77</v>
      </c>
      <c r="E4960" s="30" t="s">
        <v>11608</v>
      </c>
      <c r="F4960" s="34" t="n">
        <f aca="false">IFERROR(VLOOKUP($A4960,'319'!$B:$H,7,0),0)</f>
        <v>0</v>
      </c>
      <c r="G4960" s="34" t="n">
        <f aca="false">SUMIFS('12.326ana'!$C:$C,'12.326ana'!$M:$M,redes!A4960)</f>
        <v>0</v>
      </c>
    </row>
    <row r="4961" customFormat="false" ht="14.4" hidden="true" customHeight="false" outlineLevel="0" collapsed="false">
      <c r="A4961" s="34" t="n">
        <v>91572240130</v>
      </c>
      <c r="B4961" s="34" t="s">
        <v>11609</v>
      </c>
      <c r="C4961" s="34" t="s">
        <v>77</v>
      </c>
      <c r="E4961" s="30" t="s">
        <v>5413</v>
      </c>
      <c r="F4961" s="34" t="n">
        <f aca="false">IFERROR(VLOOKUP($A4961,'319'!$B:$H,7,0),0)</f>
        <v>0</v>
      </c>
      <c r="G4961" s="34" t="n">
        <f aca="false">SUMIFS('12.326ana'!$C:$C,'12.326ana'!$M:$M,redes!A4961)</f>
        <v>0</v>
      </c>
    </row>
    <row r="4962" customFormat="false" ht="14.4" hidden="true" customHeight="false" outlineLevel="0" collapsed="false">
      <c r="A4962" s="34" t="n">
        <v>91584540125</v>
      </c>
      <c r="B4962" s="34" t="s">
        <v>11610</v>
      </c>
      <c r="C4962" s="34" t="s">
        <v>7250</v>
      </c>
      <c r="E4962" s="30" t="s">
        <v>11611</v>
      </c>
      <c r="F4962" s="34" t="n">
        <f aca="false">IFERROR(VLOOKUP($A4962,'319'!$B:$H,7,0),0)</f>
        <v>0</v>
      </c>
      <c r="G4962" s="34" t="n">
        <f aca="false">SUMIFS('12.326ana'!$C:$C,'12.326ana'!$M:$M,redes!A4962)</f>
        <v>0</v>
      </c>
    </row>
    <row r="4963" customFormat="false" ht="14.4" hidden="true" customHeight="false" outlineLevel="0" collapsed="false">
      <c r="A4963" s="34" t="n">
        <v>91598370120</v>
      </c>
      <c r="B4963" s="34" t="s">
        <v>11612</v>
      </c>
      <c r="C4963" s="34" t="s">
        <v>192</v>
      </c>
      <c r="E4963" s="30" t="s">
        <v>3297</v>
      </c>
      <c r="F4963" s="34" t="n">
        <f aca="false">IFERROR(VLOOKUP($A4963,'319'!$B:$H,7,0),0)</f>
        <v>0</v>
      </c>
      <c r="G4963" s="34" t="n">
        <f aca="false">SUMIFS('12.326ana'!$C:$C,'12.326ana'!$M:$M,redes!A4963)</f>
        <v>0</v>
      </c>
    </row>
    <row r="4964" customFormat="false" ht="14.4" hidden="true" customHeight="false" outlineLevel="0" collapsed="false">
      <c r="A4964" s="34" t="n">
        <v>91613590172</v>
      </c>
      <c r="B4964" s="34" t="s">
        <v>11613</v>
      </c>
      <c r="C4964" s="34" t="s">
        <v>77</v>
      </c>
      <c r="E4964" s="30" t="s">
        <v>9151</v>
      </c>
      <c r="F4964" s="34" t="n">
        <f aca="false">IFERROR(VLOOKUP($A4964,'319'!$B:$H,7,0),0)</f>
        <v>0</v>
      </c>
      <c r="G4964" s="34" t="n">
        <f aca="false">SUMIFS('12.326ana'!$C:$C,'12.326ana'!$M:$M,redes!A4964)</f>
        <v>0</v>
      </c>
    </row>
    <row r="4965" customFormat="false" ht="14.4" hidden="true" customHeight="false" outlineLevel="0" collapsed="false">
      <c r="A4965" s="34" t="n">
        <v>91617804134</v>
      </c>
      <c r="B4965" s="34" t="s">
        <v>11614</v>
      </c>
      <c r="C4965" s="34" t="s">
        <v>77</v>
      </c>
      <c r="E4965" s="30" t="s">
        <v>11615</v>
      </c>
      <c r="F4965" s="34" t="n">
        <f aca="false">IFERROR(VLOOKUP($A4965,'319'!$B:$H,7,0),0)</f>
        <v>0</v>
      </c>
      <c r="G4965" s="34" t="n">
        <f aca="false">SUMIFS('12.326ana'!$C:$C,'12.326ana'!$M:$M,redes!A4965)</f>
        <v>0</v>
      </c>
    </row>
    <row r="4966" customFormat="false" ht="14.4" hidden="true" customHeight="false" outlineLevel="0" collapsed="false">
      <c r="A4966" s="34" t="n">
        <v>91629250163</v>
      </c>
      <c r="B4966" s="34" t="s">
        <v>11616</v>
      </c>
      <c r="C4966" s="34" t="s">
        <v>77</v>
      </c>
      <c r="E4966" s="30" t="s">
        <v>11617</v>
      </c>
      <c r="F4966" s="34" t="n">
        <f aca="false">IFERROR(VLOOKUP($A4966,'319'!$B:$H,7,0),0)</f>
        <v>0</v>
      </c>
      <c r="G4966" s="34" t="n">
        <f aca="false">SUMIFS('12.326ana'!$C:$C,'12.326ana'!$M:$M,redes!A4966)</f>
        <v>0</v>
      </c>
    </row>
    <row r="4967" customFormat="false" ht="14.4" hidden="true" customHeight="false" outlineLevel="0" collapsed="false">
      <c r="A4967" s="34" t="n">
        <v>91645280144</v>
      </c>
      <c r="B4967" s="34" t="s">
        <v>11618</v>
      </c>
      <c r="C4967" s="34" t="s">
        <v>737</v>
      </c>
      <c r="E4967" s="30" t="s">
        <v>11619</v>
      </c>
      <c r="F4967" s="34" t="n">
        <f aca="false">IFERROR(VLOOKUP($A4967,'319'!$B:$H,7,0),0)</f>
        <v>0</v>
      </c>
      <c r="G4967" s="34" t="n">
        <f aca="false">SUMIFS('12.326ana'!$C:$C,'12.326ana'!$M:$M,redes!A4967)</f>
        <v>0</v>
      </c>
    </row>
    <row r="4968" customFormat="false" ht="14.4" hidden="true" customHeight="false" outlineLevel="0" collapsed="false">
      <c r="A4968" s="34" t="n">
        <v>91647398134</v>
      </c>
      <c r="B4968" s="34" t="s">
        <v>11620</v>
      </c>
      <c r="C4968" s="34" t="s">
        <v>77</v>
      </c>
      <c r="E4968" s="30" t="s">
        <v>4626</v>
      </c>
      <c r="F4968" s="34" t="n">
        <f aca="false">IFERROR(VLOOKUP($A4968,'319'!$B:$H,7,0),0)</f>
        <v>0</v>
      </c>
      <c r="G4968" s="34" t="n">
        <f aca="false">SUMIFS('12.326ana'!$C:$C,'12.326ana'!$M:$M,redes!A4968)</f>
        <v>0</v>
      </c>
    </row>
    <row r="4969" customFormat="false" ht="14.4" hidden="true" customHeight="false" outlineLevel="0" collapsed="false">
      <c r="A4969" s="34" t="n">
        <v>91671710100</v>
      </c>
      <c r="B4969" s="34" t="s">
        <v>11621</v>
      </c>
      <c r="C4969" s="34" t="s">
        <v>77</v>
      </c>
      <c r="E4969" s="30" t="s">
        <v>6675</v>
      </c>
      <c r="F4969" s="34" t="n">
        <f aca="false">IFERROR(VLOOKUP($A4969,'319'!$B:$H,7,0),0)</f>
        <v>0</v>
      </c>
      <c r="G4969" s="34" t="n">
        <f aca="false">SUMIFS('12.326ana'!$C:$C,'12.326ana'!$M:$M,redes!A4969)</f>
        <v>0</v>
      </c>
    </row>
    <row r="4970" customFormat="false" ht="14.4" hidden="true" customHeight="false" outlineLevel="0" collapsed="false">
      <c r="A4970" s="34" t="n">
        <v>91683912187</v>
      </c>
      <c r="B4970" s="34" t="s">
        <v>11622</v>
      </c>
      <c r="C4970" s="34" t="s">
        <v>737</v>
      </c>
      <c r="E4970" s="30" t="s">
        <v>11623</v>
      </c>
      <c r="F4970" s="34" t="n">
        <f aca="false">IFERROR(VLOOKUP($A4970,'319'!$B:$H,7,0),0)</f>
        <v>0</v>
      </c>
      <c r="G4970" s="34" t="n">
        <f aca="false">SUMIFS('12.326ana'!$C:$C,'12.326ana'!$M:$M,redes!A4970)</f>
        <v>0</v>
      </c>
    </row>
    <row r="4971" customFormat="false" ht="14.4" hidden="true" customHeight="false" outlineLevel="0" collapsed="false">
      <c r="A4971" s="34" t="n">
        <v>91684234115</v>
      </c>
      <c r="B4971" s="34" t="s">
        <v>11624</v>
      </c>
      <c r="C4971" s="34" t="s">
        <v>463</v>
      </c>
      <c r="E4971" s="30" t="s">
        <v>11625</v>
      </c>
      <c r="F4971" s="34" t="n">
        <f aca="false">IFERROR(VLOOKUP($A4971,'319'!$B:$H,7,0),0)</f>
        <v>0</v>
      </c>
      <c r="G4971" s="34" t="n">
        <f aca="false">SUMIFS('12.326ana'!$C:$C,'12.326ana'!$M:$M,redes!A4971)</f>
        <v>0</v>
      </c>
    </row>
    <row r="4972" customFormat="false" ht="14.4" hidden="true" customHeight="false" outlineLevel="0" collapsed="false">
      <c r="A4972" s="34" t="n">
        <v>91684846153</v>
      </c>
      <c r="B4972" s="34" t="s">
        <v>11626</v>
      </c>
      <c r="C4972" s="34" t="s">
        <v>77</v>
      </c>
      <c r="E4972" s="30" t="s">
        <v>11627</v>
      </c>
      <c r="F4972" s="34" t="n">
        <f aca="false">IFERROR(VLOOKUP($A4972,'319'!$B:$H,7,0),0)</f>
        <v>0</v>
      </c>
      <c r="G4972" s="34" t="n">
        <f aca="false">SUMIFS('12.326ana'!$C:$C,'12.326ana'!$M:$M,redes!A4972)</f>
        <v>0</v>
      </c>
    </row>
    <row r="4973" customFormat="false" ht="14.4" hidden="true" customHeight="false" outlineLevel="0" collapsed="false">
      <c r="A4973" s="34" t="n">
        <v>91719925100</v>
      </c>
      <c r="B4973" s="34" t="s">
        <v>11628</v>
      </c>
      <c r="C4973" s="34" t="s">
        <v>107</v>
      </c>
      <c r="E4973" s="30" t="s">
        <v>11629</v>
      </c>
      <c r="F4973" s="34" t="n">
        <f aca="false">IFERROR(VLOOKUP($A4973,'319'!$B:$H,7,0),0)</f>
        <v>0</v>
      </c>
      <c r="G4973" s="34" t="n">
        <f aca="false">SUMIFS('12.326ana'!$C:$C,'12.326ana'!$M:$M,redes!A4973)</f>
        <v>0</v>
      </c>
    </row>
    <row r="4974" customFormat="false" ht="14.4" hidden="true" customHeight="false" outlineLevel="0" collapsed="false">
      <c r="A4974" s="34" t="n">
        <v>91762600110</v>
      </c>
      <c r="B4974" s="34" t="s">
        <v>11630</v>
      </c>
      <c r="C4974" s="34" t="s">
        <v>473</v>
      </c>
      <c r="E4974" s="30" t="s">
        <v>11631</v>
      </c>
      <c r="F4974" s="34" t="n">
        <f aca="false">IFERROR(VLOOKUP($A4974,'319'!$B:$H,7,0),0)</f>
        <v>0</v>
      </c>
      <c r="G4974" s="34" t="n">
        <f aca="false">SUMIFS('12.326ana'!$C:$C,'12.326ana'!$M:$M,redes!A4974)</f>
        <v>0</v>
      </c>
    </row>
    <row r="4975" customFormat="false" ht="14.4" hidden="true" customHeight="false" outlineLevel="0" collapsed="false">
      <c r="A4975" s="34" t="n">
        <v>91784220191</v>
      </c>
      <c r="B4975" s="34" t="s">
        <v>11632</v>
      </c>
      <c r="C4975" s="34" t="s">
        <v>89</v>
      </c>
      <c r="E4975" s="30" t="s">
        <v>11632</v>
      </c>
      <c r="F4975" s="34" t="n">
        <f aca="false">IFERROR(VLOOKUP($A4975,'319'!$B:$H,7,0),0)</f>
        <v>0</v>
      </c>
      <c r="G4975" s="34" t="n">
        <f aca="false">SUMIFS('12.326ana'!$C:$C,'12.326ana'!$M:$M,redes!A4975)</f>
        <v>0</v>
      </c>
    </row>
    <row r="4976" customFormat="false" ht="14.4" hidden="true" customHeight="false" outlineLevel="0" collapsed="false">
      <c r="A4976" s="34" t="n">
        <v>91795567015</v>
      </c>
      <c r="B4976" s="34" t="s">
        <v>11633</v>
      </c>
      <c r="C4976" s="34" t="s">
        <v>77</v>
      </c>
      <c r="E4976" s="30" t="s">
        <v>11634</v>
      </c>
      <c r="F4976" s="34" t="n">
        <f aca="false">IFERROR(VLOOKUP($A4976,'319'!$B:$H,7,0),0)</f>
        <v>0</v>
      </c>
      <c r="G4976" s="34" t="n">
        <f aca="false">SUMIFS('12.326ana'!$C:$C,'12.326ana'!$M:$M,redes!A4976)</f>
        <v>0</v>
      </c>
    </row>
    <row r="4977" customFormat="false" ht="14.4" hidden="true" customHeight="false" outlineLevel="0" collapsed="false">
      <c r="A4977" s="34" t="n">
        <v>91802750100</v>
      </c>
      <c r="B4977" s="34" t="s">
        <v>11635</v>
      </c>
      <c r="C4977" s="34" t="s">
        <v>77</v>
      </c>
      <c r="E4977" s="30" t="s">
        <v>11636</v>
      </c>
      <c r="F4977" s="34" t="n">
        <f aca="false">IFERROR(VLOOKUP($A4977,'319'!$B:$H,7,0),0)</f>
        <v>0</v>
      </c>
      <c r="G4977" s="34" t="n">
        <f aca="false">SUMIFS('12.326ana'!$C:$C,'12.326ana'!$M:$M,redes!A4977)</f>
        <v>0</v>
      </c>
    </row>
    <row r="4978" customFormat="false" ht="14.4" hidden="true" customHeight="false" outlineLevel="0" collapsed="false">
      <c r="A4978" s="34" t="n">
        <v>91823854168</v>
      </c>
      <c r="B4978" s="34" t="s">
        <v>11637</v>
      </c>
      <c r="C4978" s="34" t="s">
        <v>77</v>
      </c>
      <c r="E4978" s="30"/>
      <c r="F4978" s="34" t="n">
        <f aca="false">IFERROR(VLOOKUP($A4978,'319'!$B:$H,7,0),0)</f>
        <v>0</v>
      </c>
      <c r="G4978" s="34" t="n">
        <f aca="false">SUMIFS('12.326ana'!$C:$C,'12.326ana'!$M:$M,redes!A4978)</f>
        <v>0</v>
      </c>
    </row>
    <row r="4979" customFormat="false" ht="14.4" hidden="true" customHeight="false" outlineLevel="0" collapsed="false">
      <c r="A4979" s="34" t="n">
        <v>91842182153</v>
      </c>
      <c r="B4979" s="34" t="s">
        <v>11638</v>
      </c>
      <c r="C4979" s="34" t="s">
        <v>77</v>
      </c>
      <c r="E4979" s="30" t="s">
        <v>11639</v>
      </c>
      <c r="F4979" s="34" t="n">
        <f aca="false">IFERROR(VLOOKUP($A4979,'319'!$B:$H,7,0),0)</f>
        <v>0</v>
      </c>
      <c r="G4979" s="34" t="n">
        <f aca="false">SUMIFS('12.326ana'!$C:$C,'12.326ana'!$M:$M,redes!A4979)</f>
        <v>0</v>
      </c>
    </row>
    <row r="4980" customFormat="false" ht="14.4" hidden="true" customHeight="false" outlineLevel="0" collapsed="false">
      <c r="A4980" s="34" t="n">
        <v>91946840149</v>
      </c>
      <c r="B4980" s="34" t="s">
        <v>11640</v>
      </c>
      <c r="C4980" s="34" t="s">
        <v>77</v>
      </c>
      <c r="E4980" s="30" t="s">
        <v>11641</v>
      </c>
      <c r="F4980" s="34" t="n">
        <f aca="false">IFERROR(VLOOKUP($A4980,'319'!$B:$H,7,0),0)</f>
        <v>0</v>
      </c>
      <c r="G4980" s="34" t="n">
        <f aca="false">SUMIFS('12.326ana'!$C:$C,'12.326ana'!$M:$M,redes!A4980)</f>
        <v>0</v>
      </c>
    </row>
    <row r="4981" customFormat="false" ht="14.4" hidden="true" customHeight="false" outlineLevel="0" collapsed="false">
      <c r="A4981" s="34" t="n">
        <v>91972264168</v>
      </c>
      <c r="B4981" s="34" t="s">
        <v>11642</v>
      </c>
      <c r="C4981" s="34" t="s">
        <v>309</v>
      </c>
      <c r="E4981" s="30" t="s">
        <v>11643</v>
      </c>
      <c r="F4981" s="34" t="n">
        <f aca="false">IFERROR(VLOOKUP($A4981,'319'!$B:$H,7,0),0)</f>
        <v>0</v>
      </c>
      <c r="G4981" s="34" t="n">
        <f aca="false">SUMIFS('12.326ana'!$C:$C,'12.326ana'!$M:$M,redes!A4981)</f>
        <v>0</v>
      </c>
    </row>
    <row r="4982" customFormat="false" ht="14.4" hidden="true" customHeight="false" outlineLevel="0" collapsed="false">
      <c r="A4982" s="34" t="n">
        <v>92045111849</v>
      </c>
      <c r="B4982" s="34" t="s">
        <v>11644</v>
      </c>
      <c r="C4982" s="34" t="s">
        <v>77</v>
      </c>
      <c r="E4982" s="30" t="s">
        <v>11645</v>
      </c>
      <c r="F4982" s="34" t="n">
        <f aca="false">IFERROR(VLOOKUP($A4982,'319'!$B:$H,7,0),0)</f>
        <v>0</v>
      </c>
      <c r="G4982" s="34" t="n">
        <f aca="false">SUMIFS('12.326ana'!$C:$C,'12.326ana'!$M:$M,redes!A4982)</f>
        <v>0</v>
      </c>
    </row>
    <row r="4983" customFormat="false" ht="14.4" hidden="true" customHeight="false" outlineLevel="0" collapsed="false">
      <c r="A4983" s="34" t="n">
        <v>92088198172</v>
      </c>
      <c r="B4983" s="34" t="s">
        <v>11646</v>
      </c>
      <c r="C4983" s="34" t="s">
        <v>77</v>
      </c>
      <c r="E4983" s="30" t="s">
        <v>11647</v>
      </c>
      <c r="F4983" s="34" t="n">
        <f aca="false">IFERROR(VLOOKUP($A4983,'319'!$B:$H,7,0),0)</f>
        <v>0</v>
      </c>
      <c r="G4983" s="34" t="n">
        <f aca="false">SUMIFS('12.326ana'!$C:$C,'12.326ana'!$M:$M,redes!A4983)</f>
        <v>0</v>
      </c>
    </row>
    <row r="4984" customFormat="false" ht="14.4" hidden="true" customHeight="false" outlineLevel="0" collapsed="false">
      <c r="A4984" s="34" t="n">
        <v>92091970115</v>
      </c>
      <c r="B4984" s="34" t="s">
        <v>11648</v>
      </c>
      <c r="C4984" s="34" t="s">
        <v>77</v>
      </c>
      <c r="E4984" s="30" t="s">
        <v>11649</v>
      </c>
      <c r="F4984" s="34" t="n">
        <f aca="false">IFERROR(VLOOKUP($A4984,'319'!$B:$H,7,0),0)</f>
        <v>0</v>
      </c>
      <c r="G4984" s="34" t="n">
        <f aca="false">SUMIFS('12.326ana'!$C:$C,'12.326ana'!$M:$M,redes!A4984)</f>
        <v>0</v>
      </c>
    </row>
    <row r="4985" customFormat="false" ht="14.4" hidden="true" customHeight="false" outlineLevel="0" collapsed="false">
      <c r="A4985" s="34" t="n">
        <v>92103995104</v>
      </c>
      <c r="B4985" s="34" t="s">
        <v>11650</v>
      </c>
      <c r="C4985" s="34" t="s">
        <v>77</v>
      </c>
      <c r="E4985" s="30" t="s">
        <v>11650</v>
      </c>
      <c r="F4985" s="34" t="n">
        <f aca="false">IFERROR(VLOOKUP($A4985,'319'!$B:$H,7,0),0)</f>
        <v>0</v>
      </c>
      <c r="G4985" s="34" t="n">
        <f aca="false">SUMIFS('12.326ana'!$C:$C,'12.326ana'!$M:$M,redes!A4985)</f>
        <v>0</v>
      </c>
    </row>
    <row r="4986" customFormat="false" ht="14.4" hidden="true" customHeight="false" outlineLevel="0" collapsed="false">
      <c r="A4986" s="34" t="n">
        <v>92112277120</v>
      </c>
      <c r="B4986" s="34" t="s">
        <v>11651</v>
      </c>
      <c r="C4986" s="34" t="s">
        <v>77</v>
      </c>
      <c r="E4986" s="30" t="s">
        <v>11652</v>
      </c>
      <c r="F4986" s="34" t="n">
        <f aca="false">IFERROR(VLOOKUP($A4986,'319'!$B:$H,7,0),0)</f>
        <v>0</v>
      </c>
      <c r="G4986" s="34" t="n">
        <f aca="false">SUMIFS('12.326ana'!$C:$C,'12.326ana'!$M:$M,redes!A4986)</f>
        <v>0</v>
      </c>
    </row>
    <row r="4987" customFormat="false" ht="14.4" hidden="true" customHeight="false" outlineLevel="0" collapsed="false">
      <c r="A4987" s="34" t="n">
        <v>92177735149</v>
      </c>
      <c r="B4987" s="34" t="s">
        <v>11653</v>
      </c>
      <c r="C4987" s="34" t="s">
        <v>77</v>
      </c>
      <c r="E4987" s="30" t="s">
        <v>11654</v>
      </c>
      <c r="F4987" s="34" t="n">
        <f aca="false">IFERROR(VLOOKUP($A4987,'319'!$B:$H,7,0),0)</f>
        <v>0</v>
      </c>
      <c r="G4987" s="34" t="n">
        <f aca="false">SUMIFS('12.326ana'!$C:$C,'12.326ana'!$M:$M,redes!A4987)</f>
        <v>0</v>
      </c>
    </row>
    <row r="4988" customFormat="false" ht="14.4" hidden="true" customHeight="false" outlineLevel="0" collapsed="false">
      <c r="A4988" s="34" t="n">
        <v>92195032120</v>
      </c>
      <c r="B4988" s="34" t="s">
        <v>11655</v>
      </c>
      <c r="C4988" s="34" t="s">
        <v>77</v>
      </c>
      <c r="E4988" s="30" t="s">
        <v>11656</v>
      </c>
      <c r="F4988" s="34" t="n">
        <f aca="false">IFERROR(VLOOKUP($A4988,'319'!$B:$H,7,0),0)</f>
        <v>0</v>
      </c>
      <c r="G4988" s="34" t="n">
        <f aca="false">SUMIFS('12.326ana'!$C:$C,'12.326ana'!$M:$M,redes!A4988)</f>
        <v>0</v>
      </c>
    </row>
    <row r="4989" customFormat="false" ht="14.4" hidden="true" customHeight="false" outlineLevel="0" collapsed="false">
      <c r="A4989" s="34" t="n">
        <v>92233724100</v>
      </c>
      <c r="B4989" s="34" t="s">
        <v>11657</v>
      </c>
      <c r="C4989" s="34" t="s">
        <v>464</v>
      </c>
      <c r="E4989" s="30" t="s">
        <v>11657</v>
      </c>
      <c r="F4989" s="34" t="n">
        <f aca="false">IFERROR(VLOOKUP($A4989,'319'!$B:$H,7,0),0)</f>
        <v>0</v>
      </c>
      <c r="G4989" s="34" t="n">
        <f aca="false">SUMIFS('12.326ana'!$C:$C,'12.326ana'!$M:$M,redes!A4989)</f>
        <v>0</v>
      </c>
    </row>
    <row r="4990" customFormat="false" ht="14.4" hidden="true" customHeight="false" outlineLevel="0" collapsed="false">
      <c r="A4990" s="34" t="n">
        <v>92239080191</v>
      </c>
      <c r="B4990" s="34" t="s">
        <v>11658</v>
      </c>
      <c r="C4990" s="34" t="s">
        <v>107</v>
      </c>
      <c r="E4990" s="30" t="s">
        <v>11659</v>
      </c>
      <c r="F4990" s="34" t="n">
        <f aca="false">IFERROR(VLOOKUP($A4990,'319'!$B:$H,7,0),0)</f>
        <v>0</v>
      </c>
      <c r="G4990" s="34" t="n">
        <f aca="false">SUMIFS('12.326ana'!$C:$C,'12.326ana'!$M:$M,redes!A4990)</f>
        <v>0</v>
      </c>
    </row>
    <row r="4991" customFormat="false" ht="14.4" hidden="true" customHeight="false" outlineLevel="0" collapsed="false">
      <c r="A4991" s="34" t="n">
        <v>92246869820</v>
      </c>
      <c r="B4991" s="34" t="s">
        <v>11660</v>
      </c>
      <c r="C4991" s="34" t="s">
        <v>77</v>
      </c>
      <c r="E4991" s="30" t="s">
        <v>11661</v>
      </c>
      <c r="F4991" s="34" t="n">
        <f aca="false">IFERROR(VLOOKUP($A4991,'319'!$B:$H,7,0),0)</f>
        <v>0</v>
      </c>
      <c r="G4991" s="34" t="n">
        <f aca="false">SUMIFS('12.326ana'!$C:$C,'12.326ana'!$M:$M,redes!A4991)</f>
        <v>0</v>
      </c>
    </row>
    <row r="4992" customFormat="false" ht="14.4" hidden="true" customHeight="false" outlineLevel="0" collapsed="false">
      <c r="A4992" s="34" t="n">
        <v>92256910172</v>
      </c>
      <c r="B4992" s="34" t="s">
        <v>11662</v>
      </c>
      <c r="C4992" s="34" t="s">
        <v>377</v>
      </c>
      <c r="E4992" s="30" t="s">
        <v>3750</v>
      </c>
      <c r="F4992" s="34" t="n">
        <f aca="false">IFERROR(VLOOKUP($A4992,'319'!$B:$H,7,0),0)</f>
        <v>0</v>
      </c>
      <c r="G4992" s="34" t="n">
        <f aca="false">SUMIFS('12.326ana'!$C:$C,'12.326ana'!$M:$M,redes!A4992)</f>
        <v>0</v>
      </c>
    </row>
    <row r="4993" customFormat="false" ht="14.4" hidden="true" customHeight="false" outlineLevel="0" collapsed="false">
      <c r="A4993" s="34" t="n">
        <v>92258034191</v>
      </c>
      <c r="B4993" s="34" t="s">
        <v>11663</v>
      </c>
      <c r="C4993" s="34" t="s">
        <v>77</v>
      </c>
      <c r="E4993" s="30" t="s">
        <v>11664</v>
      </c>
      <c r="F4993" s="34" t="n">
        <f aca="false">IFERROR(VLOOKUP($A4993,'319'!$B:$H,7,0),0)</f>
        <v>0</v>
      </c>
      <c r="G4993" s="34" t="n">
        <f aca="false">SUMIFS('12.326ana'!$C:$C,'12.326ana'!$M:$M,redes!A4993)</f>
        <v>0</v>
      </c>
    </row>
    <row r="4994" customFormat="false" ht="14.4" hidden="true" customHeight="false" outlineLevel="0" collapsed="false">
      <c r="A4994" s="34" t="n">
        <v>92261914768</v>
      </c>
      <c r="B4994" s="34" t="s">
        <v>11665</v>
      </c>
      <c r="C4994" s="34" t="s">
        <v>781</v>
      </c>
      <c r="E4994" s="30" t="s">
        <v>3927</v>
      </c>
      <c r="F4994" s="34" t="n">
        <f aca="false">IFERROR(VLOOKUP($A4994,'319'!$B:$H,7,0),0)</f>
        <v>0</v>
      </c>
      <c r="G4994" s="34" t="n">
        <f aca="false">SUMIFS('12.326ana'!$C:$C,'12.326ana'!$M:$M,redes!A4994)</f>
        <v>0</v>
      </c>
    </row>
    <row r="4995" customFormat="false" ht="14.4" hidden="true" customHeight="false" outlineLevel="0" collapsed="false">
      <c r="A4995" s="34" t="n">
        <v>92270638115</v>
      </c>
      <c r="B4995" s="34" t="s">
        <v>11666</v>
      </c>
      <c r="C4995" s="34" t="s">
        <v>77</v>
      </c>
      <c r="E4995" s="30" t="s">
        <v>11667</v>
      </c>
      <c r="F4995" s="34" t="n">
        <f aca="false">IFERROR(VLOOKUP($A4995,'319'!$B:$H,7,0),0)</f>
        <v>0</v>
      </c>
      <c r="G4995" s="34" t="n">
        <f aca="false">SUMIFS('12.326ana'!$C:$C,'12.326ana'!$M:$M,redes!A4995)</f>
        <v>0</v>
      </c>
    </row>
    <row r="4996" customFormat="false" ht="14.4" hidden="true" customHeight="false" outlineLevel="0" collapsed="false">
      <c r="A4996" s="34" t="n">
        <v>92291929100</v>
      </c>
      <c r="B4996" s="34" t="s">
        <v>11668</v>
      </c>
      <c r="C4996" s="34" t="s">
        <v>473</v>
      </c>
      <c r="E4996" s="30" t="s">
        <v>11669</v>
      </c>
      <c r="F4996" s="34" t="n">
        <f aca="false">IFERROR(VLOOKUP($A4996,'319'!$B:$H,7,0),0)</f>
        <v>0</v>
      </c>
      <c r="G4996" s="34" t="n">
        <f aca="false">SUMIFS('12.326ana'!$C:$C,'12.326ana'!$M:$M,redes!A4996)</f>
        <v>0</v>
      </c>
    </row>
    <row r="4997" customFormat="false" ht="14.4" hidden="true" customHeight="false" outlineLevel="0" collapsed="false">
      <c r="A4997" s="34" t="n">
        <v>92296467172</v>
      </c>
      <c r="B4997" s="34" t="s">
        <v>11670</v>
      </c>
      <c r="C4997" s="34" t="s">
        <v>463</v>
      </c>
      <c r="E4997" s="30"/>
      <c r="F4997" s="34" t="n">
        <f aca="false">IFERROR(VLOOKUP($A4997,'319'!$B:$H,7,0),0)</f>
        <v>0</v>
      </c>
      <c r="G4997" s="34" t="n">
        <f aca="false">SUMIFS('12.326ana'!$C:$C,'12.326ana'!$M:$M,redes!A4997)</f>
        <v>0</v>
      </c>
    </row>
    <row r="4998" customFormat="false" ht="14.4" hidden="true" customHeight="false" outlineLevel="0" collapsed="false">
      <c r="A4998" s="34" t="n">
        <v>92301690130</v>
      </c>
      <c r="B4998" s="34" t="s">
        <v>11671</v>
      </c>
      <c r="C4998" s="34" t="s">
        <v>77</v>
      </c>
      <c r="E4998" s="30" t="s">
        <v>11672</v>
      </c>
      <c r="F4998" s="34" t="n">
        <f aca="false">IFERROR(VLOOKUP($A4998,'319'!$B:$H,7,0),0)</f>
        <v>0</v>
      </c>
      <c r="G4998" s="34" t="n">
        <f aca="false">SUMIFS('12.326ana'!$C:$C,'12.326ana'!$M:$M,redes!A4998)</f>
        <v>0</v>
      </c>
    </row>
    <row r="4999" customFormat="false" ht="14.4" hidden="true" customHeight="false" outlineLevel="0" collapsed="false">
      <c r="A4999" s="34" t="n">
        <v>92369537191</v>
      </c>
      <c r="B4999" s="34" t="s">
        <v>11673</v>
      </c>
      <c r="C4999" s="34" t="s">
        <v>77</v>
      </c>
      <c r="E4999" s="30" t="s">
        <v>11674</v>
      </c>
      <c r="F4999" s="34" t="n">
        <f aca="false">IFERROR(VLOOKUP($A4999,'319'!$B:$H,7,0),0)</f>
        <v>0</v>
      </c>
      <c r="G4999" s="34" t="n">
        <f aca="false">SUMIFS('12.326ana'!$C:$C,'12.326ana'!$M:$M,redes!A4999)</f>
        <v>0</v>
      </c>
    </row>
    <row r="5000" customFormat="false" ht="14.4" hidden="true" customHeight="false" outlineLevel="0" collapsed="false">
      <c r="A5000" s="34" t="n">
        <v>92374549100</v>
      </c>
      <c r="B5000" s="34" t="s">
        <v>11675</v>
      </c>
      <c r="C5000" s="34" t="s">
        <v>1272</v>
      </c>
      <c r="E5000" s="30" t="s">
        <v>11676</v>
      </c>
      <c r="F5000" s="34" t="n">
        <f aca="false">IFERROR(VLOOKUP($A5000,'319'!$B:$H,7,0),0)</f>
        <v>0</v>
      </c>
      <c r="G5000" s="34" t="n">
        <f aca="false">SUMIFS('12.326ana'!$C:$C,'12.326ana'!$M:$M,redes!A5000)</f>
        <v>0</v>
      </c>
    </row>
    <row r="5001" customFormat="false" ht="14.4" hidden="true" customHeight="false" outlineLevel="0" collapsed="false">
      <c r="A5001" s="34" t="n">
        <v>92375758820</v>
      </c>
      <c r="B5001" s="34" t="s">
        <v>11677</v>
      </c>
      <c r="C5001" s="34" t="s">
        <v>3060</v>
      </c>
      <c r="E5001" s="30" t="s">
        <v>11678</v>
      </c>
      <c r="F5001" s="34" t="n">
        <f aca="false">IFERROR(VLOOKUP($A5001,'319'!$B:$H,7,0),0)</f>
        <v>0</v>
      </c>
      <c r="G5001" s="34" t="n">
        <f aca="false">SUMIFS('12.326ana'!$C:$C,'12.326ana'!$M:$M,redes!A5001)</f>
        <v>0</v>
      </c>
    </row>
    <row r="5002" customFormat="false" ht="14.4" hidden="true" customHeight="false" outlineLevel="0" collapsed="false">
      <c r="A5002" s="34" t="n">
        <v>92387500172</v>
      </c>
      <c r="B5002" s="34" t="s">
        <v>11679</v>
      </c>
      <c r="C5002" s="34" t="s">
        <v>77</v>
      </c>
      <c r="E5002" s="30" t="s">
        <v>11333</v>
      </c>
      <c r="F5002" s="34" t="n">
        <f aca="false">IFERROR(VLOOKUP($A5002,'319'!$B:$H,7,0),0)</f>
        <v>0</v>
      </c>
      <c r="G5002" s="34" t="n">
        <f aca="false">SUMIFS('12.326ana'!$C:$C,'12.326ana'!$M:$M,redes!A5002)</f>
        <v>0</v>
      </c>
    </row>
    <row r="5003" customFormat="false" ht="14.4" hidden="true" customHeight="false" outlineLevel="0" collapsed="false">
      <c r="A5003" s="34" t="n">
        <v>92440525120</v>
      </c>
      <c r="B5003" s="34" t="s">
        <v>11680</v>
      </c>
      <c r="C5003" s="34" t="s">
        <v>77</v>
      </c>
      <c r="E5003" s="30"/>
      <c r="F5003" s="34" t="n">
        <f aca="false">IFERROR(VLOOKUP($A5003,'319'!$B:$H,7,0),0)</f>
        <v>0</v>
      </c>
      <c r="G5003" s="34" t="n">
        <f aca="false">SUMIFS('12.326ana'!$C:$C,'12.326ana'!$M:$M,redes!A5003)</f>
        <v>0</v>
      </c>
    </row>
    <row r="5004" customFormat="false" ht="14.4" hidden="true" customHeight="false" outlineLevel="0" collapsed="false">
      <c r="A5004" s="34" t="n">
        <v>92441432168</v>
      </c>
      <c r="B5004" s="34" t="s">
        <v>11681</v>
      </c>
      <c r="C5004" s="34" t="s">
        <v>77</v>
      </c>
      <c r="E5004" s="30" t="s">
        <v>11682</v>
      </c>
      <c r="F5004" s="34" t="n">
        <f aca="false">IFERROR(VLOOKUP($A5004,'319'!$B:$H,7,0),0)</f>
        <v>0</v>
      </c>
      <c r="G5004" s="34" t="n">
        <f aca="false">SUMIFS('12.326ana'!$C:$C,'12.326ana'!$M:$M,redes!A5004)</f>
        <v>0</v>
      </c>
    </row>
    <row r="5005" customFormat="false" ht="14.4" hidden="true" customHeight="false" outlineLevel="0" collapsed="false">
      <c r="A5005" s="34" t="n">
        <v>92469515149</v>
      </c>
      <c r="B5005" s="34" t="s">
        <v>11683</v>
      </c>
      <c r="C5005" s="34" t="s">
        <v>77</v>
      </c>
      <c r="E5005" s="30" t="s">
        <v>11684</v>
      </c>
      <c r="F5005" s="34" t="n">
        <f aca="false">IFERROR(VLOOKUP($A5005,'319'!$B:$H,7,0),0)</f>
        <v>0</v>
      </c>
      <c r="G5005" s="34" t="n">
        <f aca="false">SUMIFS('12.326ana'!$C:$C,'12.326ana'!$M:$M,redes!A5005)</f>
        <v>0</v>
      </c>
    </row>
    <row r="5006" customFormat="false" ht="14.4" hidden="true" customHeight="false" outlineLevel="0" collapsed="false">
      <c r="A5006" s="34" t="n">
        <v>92478611104</v>
      </c>
      <c r="B5006" s="34" t="s">
        <v>11685</v>
      </c>
      <c r="C5006" s="34" t="s">
        <v>77</v>
      </c>
      <c r="E5006" s="30" t="s">
        <v>11686</v>
      </c>
      <c r="F5006" s="34" t="n">
        <f aca="false">IFERROR(VLOOKUP($A5006,'319'!$B:$H,7,0),0)</f>
        <v>0</v>
      </c>
      <c r="G5006" s="34" t="n">
        <f aca="false">SUMIFS('12.326ana'!$C:$C,'12.326ana'!$M:$M,redes!A5006)</f>
        <v>0</v>
      </c>
    </row>
    <row r="5007" customFormat="false" ht="14.4" hidden="true" customHeight="false" outlineLevel="0" collapsed="false">
      <c r="A5007" s="34" t="n">
        <v>92512933172</v>
      </c>
      <c r="B5007" s="34" t="s">
        <v>11687</v>
      </c>
      <c r="C5007" s="34" t="s">
        <v>357</v>
      </c>
      <c r="E5007" s="30" t="s">
        <v>11688</v>
      </c>
      <c r="F5007" s="34" t="n">
        <f aca="false">IFERROR(VLOOKUP($A5007,'319'!$B:$H,7,0),0)</f>
        <v>0</v>
      </c>
      <c r="G5007" s="34" t="n">
        <f aca="false">SUMIFS('12.326ana'!$C:$C,'12.326ana'!$M:$M,redes!A5007)</f>
        <v>0</v>
      </c>
    </row>
    <row r="5008" customFormat="false" ht="14.4" hidden="true" customHeight="false" outlineLevel="0" collapsed="false">
      <c r="A5008" s="34" t="n">
        <v>92556973153</v>
      </c>
      <c r="B5008" s="34" t="s">
        <v>11689</v>
      </c>
      <c r="C5008" s="34" t="s">
        <v>4139</v>
      </c>
      <c r="E5008" s="30" t="s">
        <v>11690</v>
      </c>
      <c r="F5008" s="34" t="n">
        <f aca="false">IFERROR(VLOOKUP($A5008,'319'!$B:$H,7,0),0)</f>
        <v>0</v>
      </c>
      <c r="G5008" s="34" t="n">
        <f aca="false">SUMIFS('12.326ana'!$C:$C,'12.326ana'!$M:$M,redes!A5008)</f>
        <v>0</v>
      </c>
    </row>
    <row r="5009" customFormat="false" ht="14.4" hidden="true" customHeight="false" outlineLevel="0" collapsed="false">
      <c r="A5009" s="34" t="n">
        <v>92567711104</v>
      </c>
      <c r="B5009" s="34" t="s">
        <v>11691</v>
      </c>
      <c r="C5009" s="34" t="s">
        <v>77</v>
      </c>
      <c r="E5009" s="30" t="s">
        <v>8477</v>
      </c>
      <c r="F5009" s="34" t="n">
        <f aca="false">IFERROR(VLOOKUP($A5009,'319'!$B:$H,7,0),0)</f>
        <v>0</v>
      </c>
      <c r="G5009" s="34" t="n">
        <f aca="false">SUMIFS('12.326ana'!$C:$C,'12.326ana'!$M:$M,redes!A5009)</f>
        <v>0</v>
      </c>
    </row>
    <row r="5010" customFormat="false" ht="14.4" hidden="true" customHeight="false" outlineLevel="0" collapsed="false">
      <c r="A5010" s="34" t="n">
        <v>92641725134</v>
      </c>
      <c r="B5010" s="34" t="s">
        <v>11692</v>
      </c>
      <c r="C5010" s="34" t="s">
        <v>77</v>
      </c>
      <c r="E5010" s="30" t="s">
        <v>11693</v>
      </c>
      <c r="F5010" s="34" t="n">
        <f aca="false">IFERROR(VLOOKUP($A5010,'319'!$B:$H,7,0),0)</f>
        <v>0</v>
      </c>
      <c r="G5010" s="34" t="n">
        <f aca="false">SUMIFS('12.326ana'!$C:$C,'12.326ana'!$M:$M,redes!A5010)</f>
        <v>0</v>
      </c>
    </row>
    <row r="5011" customFormat="false" ht="14.4" hidden="true" customHeight="false" outlineLevel="0" collapsed="false">
      <c r="A5011" s="34" t="n">
        <v>92648630104</v>
      </c>
      <c r="B5011" s="34" t="s">
        <v>11694</v>
      </c>
      <c r="C5011" s="34" t="s">
        <v>463</v>
      </c>
      <c r="E5011" s="30" t="s">
        <v>11695</v>
      </c>
      <c r="F5011" s="34" t="n">
        <f aca="false">IFERROR(VLOOKUP($A5011,'319'!$B:$H,7,0),0)</f>
        <v>0</v>
      </c>
      <c r="G5011" s="34" t="n">
        <f aca="false">SUMIFS('12.326ana'!$C:$C,'12.326ana'!$M:$M,redes!A5011)</f>
        <v>0</v>
      </c>
    </row>
    <row r="5012" customFormat="false" ht="14.4" hidden="true" customHeight="false" outlineLevel="0" collapsed="false">
      <c r="A5012" s="34" t="n">
        <v>92651151149</v>
      </c>
      <c r="B5012" s="34" t="s">
        <v>11696</v>
      </c>
      <c r="C5012" s="34" t="s">
        <v>77</v>
      </c>
      <c r="E5012" s="30" t="s">
        <v>11697</v>
      </c>
      <c r="F5012" s="34" t="n">
        <f aca="false">IFERROR(VLOOKUP($A5012,'319'!$B:$H,7,0),0)</f>
        <v>0</v>
      </c>
      <c r="G5012" s="34" t="n">
        <f aca="false">SUMIFS('12.326ana'!$C:$C,'12.326ana'!$M:$M,redes!A5012)</f>
        <v>0</v>
      </c>
    </row>
    <row r="5013" customFormat="false" ht="14.4" hidden="true" customHeight="false" outlineLevel="0" collapsed="false">
      <c r="A5013" s="34" t="n">
        <v>92658121172</v>
      </c>
      <c r="B5013" s="34" t="s">
        <v>11698</v>
      </c>
      <c r="C5013" s="34" t="s">
        <v>77</v>
      </c>
      <c r="E5013" s="30" t="s">
        <v>11699</v>
      </c>
      <c r="F5013" s="34" t="n">
        <f aca="false">IFERROR(VLOOKUP($A5013,'319'!$B:$H,7,0),0)</f>
        <v>0</v>
      </c>
      <c r="G5013" s="34" t="n">
        <f aca="false">SUMIFS('12.326ana'!$C:$C,'12.326ana'!$M:$M,redes!A5013)</f>
        <v>0</v>
      </c>
    </row>
    <row r="5014" customFormat="false" ht="14.4" hidden="true" customHeight="false" outlineLevel="0" collapsed="false">
      <c r="A5014" s="34" t="n">
        <v>92679358104</v>
      </c>
      <c r="B5014" s="34" t="s">
        <v>11700</v>
      </c>
      <c r="C5014" s="34" t="s">
        <v>77</v>
      </c>
      <c r="E5014" s="30" t="s">
        <v>11701</v>
      </c>
      <c r="F5014" s="34" t="n">
        <f aca="false">IFERROR(VLOOKUP($A5014,'319'!$B:$H,7,0),0)</f>
        <v>0</v>
      </c>
      <c r="G5014" s="34" t="n">
        <f aca="false">SUMIFS('12.326ana'!$C:$C,'12.326ana'!$M:$M,redes!A5014)</f>
        <v>0</v>
      </c>
    </row>
    <row r="5015" customFormat="false" ht="14.4" hidden="true" customHeight="false" outlineLevel="0" collapsed="false">
      <c r="A5015" s="34" t="n">
        <v>92681425115</v>
      </c>
      <c r="B5015" s="34" t="s">
        <v>11702</v>
      </c>
      <c r="C5015" s="34" t="s">
        <v>107</v>
      </c>
      <c r="E5015" s="30" t="s">
        <v>11703</v>
      </c>
      <c r="F5015" s="34" t="n">
        <f aca="false">IFERROR(VLOOKUP($A5015,'319'!$B:$H,7,0),0)</f>
        <v>0</v>
      </c>
      <c r="G5015" s="34" t="n">
        <f aca="false">SUMIFS('12.326ana'!$C:$C,'12.326ana'!$M:$M,redes!A5015)</f>
        <v>0</v>
      </c>
    </row>
    <row r="5016" customFormat="false" ht="14.4" hidden="true" customHeight="false" outlineLevel="0" collapsed="false">
      <c r="A5016" s="34" t="n">
        <v>92681549191</v>
      </c>
      <c r="B5016" s="34" t="s">
        <v>11704</v>
      </c>
      <c r="C5016" s="34" t="s">
        <v>77</v>
      </c>
      <c r="E5016" s="30" t="s">
        <v>11705</v>
      </c>
      <c r="F5016" s="34" t="n">
        <f aca="false">IFERROR(VLOOKUP($A5016,'319'!$B:$H,7,0),0)</f>
        <v>0</v>
      </c>
      <c r="G5016" s="34" t="n">
        <f aca="false">SUMIFS('12.326ana'!$C:$C,'12.326ana'!$M:$M,redes!A5016)</f>
        <v>0</v>
      </c>
    </row>
    <row r="5017" customFormat="false" ht="14.4" hidden="true" customHeight="false" outlineLevel="0" collapsed="false">
      <c r="A5017" s="34" t="n">
        <v>92693423104</v>
      </c>
      <c r="B5017" s="34" t="s">
        <v>11706</v>
      </c>
      <c r="C5017" s="34" t="s">
        <v>77</v>
      </c>
      <c r="E5017" s="30" t="s">
        <v>11706</v>
      </c>
      <c r="F5017" s="34" t="n">
        <f aca="false">IFERROR(VLOOKUP($A5017,'319'!$B:$H,7,0),0)</f>
        <v>0</v>
      </c>
      <c r="G5017" s="34" t="n">
        <f aca="false">SUMIFS('12.326ana'!$C:$C,'12.326ana'!$M:$M,redes!A5017)</f>
        <v>0</v>
      </c>
    </row>
    <row r="5018" customFormat="false" ht="14.4" hidden="true" customHeight="false" outlineLevel="0" collapsed="false">
      <c r="A5018" s="34" t="n">
        <v>92703003153</v>
      </c>
      <c r="B5018" s="34" t="s">
        <v>11707</v>
      </c>
      <c r="C5018" s="34" t="s">
        <v>103</v>
      </c>
      <c r="E5018" s="30" t="s">
        <v>11708</v>
      </c>
      <c r="F5018" s="34" t="n">
        <f aca="false">IFERROR(VLOOKUP($A5018,'319'!$B:$H,7,0),0)</f>
        <v>0</v>
      </c>
      <c r="G5018" s="34" t="n">
        <f aca="false">SUMIFS('12.326ana'!$C:$C,'12.326ana'!$M:$M,redes!A5018)</f>
        <v>0</v>
      </c>
    </row>
    <row r="5019" customFormat="false" ht="14.4" hidden="true" customHeight="false" outlineLevel="0" collapsed="false">
      <c r="A5019" s="34" t="n">
        <v>92720137120</v>
      </c>
      <c r="B5019" s="34" t="s">
        <v>3602</v>
      </c>
      <c r="C5019" s="34" t="s">
        <v>342</v>
      </c>
      <c r="E5019" s="30"/>
      <c r="F5019" s="34" t="n">
        <f aca="false">IFERROR(VLOOKUP($A5019,'319'!$B:$H,7,0),0)</f>
        <v>0</v>
      </c>
      <c r="G5019" s="34" t="n">
        <f aca="false">SUMIFS('12.326ana'!$C:$C,'12.326ana'!$M:$M,redes!A5019)</f>
        <v>0</v>
      </c>
    </row>
    <row r="5020" customFormat="false" ht="14.4" hidden="true" customHeight="false" outlineLevel="0" collapsed="false">
      <c r="A5020" s="34" t="n">
        <v>92724361172</v>
      </c>
      <c r="B5020" s="34" t="s">
        <v>11709</v>
      </c>
      <c r="C5020" s="34" t="s">
        <v>7250</v>
      </c>
      <c r="E5020" s="30" t="s">
        <v>11710</v>
      </c>
      <c r="F5020" s="34" t="n">
        <f aca="false">IFERROR(VLOOKUP($A5020,'319'!$B:$H,7,0),0)</f>
        <v>0</v>
      </c>
      <c r="G5020" s="34" t="n">
        <f aca="false">SUMIFS('12.326ana'!$C:$C,'12.326ana'!$M:$M,redes!A5020)</f>
        <v>0</v>
      </c>
    </row>
    <row r="5021" customFormat="false" ht="14.4" hidden="true" customHeight="false" outlineLevel="0" collapsed="false">
      <c r="A5021" s="34" t="n">
        <v>92729045104</v>
      </c>
      <c r="B5021" s="34" t="s">
        <v>11711</v>
      </c>
      <c r="C5021" s="34" t="s">
        <v>89</v>
      </c>
      <c r="E5021" s="30" t="s">
        <v>11712</v>
      </c>
      <c r="F5021" s="34" t="n">
        <f aca="false">IFERROR(VLOOKUP($A5021,'319'!$B:$H,7,0),0)</f>
        <v>0</v>
      </c>
      <c r="G5021" s="34" t="n">
        <f aca="false">SUMIFS('12.326ana'!$C:$C,'12.326ana'!$M:$M,redes!A5021)</f>
        <v>0</v>
      </c>
    </row>
    <row r="5022" customFormat="false" ht="14.4" hidden="true" customHeight="false" outlineLevel="0" collapsed="false">
      <c r="A5022" s="34" t="n">
        <v>92742742115</v>
      </c>
      <c r="B5022" s="34" t="s">
        <v>11713</v>
      </c>
      <c r="C5022" s="34" t="s">
        <v>781</v>
      </c>
      <c r="E5022" s="30" t="s">
        <v>11714</v>
      </c>
      <c r="F5022" s="34" t="n">
        <f aca="false">IFERROR(VLOOKUP($A5022,'319'!$B:$H,7,0),0)</f>
        <v>0</v>
      </c>
      <c r="G5022" s="34" t="n">
        <f aca="false">SUMIFS('12.326ana'!$C:$C,'12.326ana'!$M:$M,redes!A5022)</f>
        <v>0</v>
      </c>
    </row>
    <row r="5023" customFormat="false" ht="14.4" hidden="true" customHeight="false" outlineLevel="0" collapsed="false">
      <c r="A5023" s="34" t="n">
        <v>92749097134</v>
      </c>
      <c r="B5023" s="34" t="s">
        <v>11715</v>
      </c>
      <c r="C5023" s="34" t="s">
        <v>77</v>
      </c>
      <c r="E5023" s="30" t="s">
        <v>11716</v>
      </c>
      <c r="F5023" s="34" t="n">
        <f aca="false">IFERROR(VLOOKUP($A5023,'319'!$B:$H,7,0),0)</f>
        <v>0</v>
      </c>
      <c r="G5023" s="34" t="n">
        <f aca="false">SUMIFS('12.326ana'!$C:$C,'12.326ana'!$M:$M,redes!A5023)</f>
        <v>0</v>
      </c>
    </row>
    <row r="5024" customFormat="false" ht="14.4" hidden="true" customHeight="false" outlineLevel="0" collapsed="false">
      <c r="A5024" s="34" t="n">
        <v>92767516100</v>
      </c>
      <c r="B5024" s="34" t="s">
        <v>11717</v>
      </c>
      <c r="C5024" s="34" t="s">
        <v>77</v>
      </c>
      <c r="E5024" s="30" t="s">
        <v>11718</v>
      </c>
      <c r="F5024" s="34" t="n">
        <f aca="false">IFERROR(VLOOKUP($A5024,'319'!$B:$H,7,0),0)</f>
        <v>0</v>
      </c>
      <c r="G5024" s="34" t="n">
        <f aca="false">SUMIFS('12.326ana'!$C:$C,'12.326ana'!$M:$M,redes!A5024)</f>
        <v>0</v>
      </c>
    </row>
    <row r="5025" customFormat="false" ht="14.4" hidden="true" customHeight="false" outlineLevel="0" collapsed="false">
      <c r="A5025" s="34" t="n">
        <v>92776515120</v>
      </c>
      <c r="B5025" s="34" t="s">
        <v>11719</v>
      </c>
      <c r="C5025" s="34" t="s">
        <v>1054</v>
      </c>
      <c r="E5025" s="30" t="s">
        <v>11720</v>
      </c>
      <c r="F5025" s="34" t="n">
        <f aca="false">IFERROR(VLOOKUP($A5025,'319'!$B:$H,7,0),0)</f>
        <v>0</v>
      </c>
      <c r="G5025" s="34" t="n">
        <f aca="false">SUMIFS('12.326ana'!$C:$C,'12.326ana'!$M:$M,redes!A5025)</f>
        <v>0</v>
      </c>
    </row>
    <row r="5026" customFormat="false" ht="14.4" hidden="true" customHeight="false" outlineLevel="0" collapsed="false">
      <c r="A5026" s="34" t="n">
        <v>92788289120</v>
      </c>
      <c r="B5026" s="34" t="s">
        <v>11721</v>
      </c>
      <c r="C5026" s="34" t="s">
        <v>103</v>
      </c>
      <c r="E5026" s="30" t="s">
        <v>11722</v>
      </c>
      <c r="F5026" s="34" t="n">
        <f aca="false">IFERROR(VLOOKUP($A5026,'319'!$B:$H,7,0),0)</f>
        <v>0</v>
      </c>
      <c r="G5026" s="34" t="n">
        <f aca="false">SUMIFS('12.326ana'!$C:$C,'12.326ana'!$M:$M,redes!A5026)</f>
        <v>0</v>
      </c>
    </row>
    <row r="5027" customFormat="false" ht="14.4" hidden="true" customHeight="false" outlineLevel="0" collapsed="false">
      <c r="A5027" s="34" t="n">
        <v>92799795153</v>
      </c>
      <c r="B5027" s="34" t="s">
        <v>11723</v>
      </c>
      <c r="C5027" s="34" t="s">
        <v>117</v>
      </c>
      <c r="E5027" s="30" t="s">
        <v>11724</v>
      </c>
      <c r="F5027" s="34" t="n">
        <f aca="false">IFERROR(VLOOKUP($A5027,'319'!$B:$H,7,0),0)</f>
        <v>0</v>
      </c>
      <c r="G5027" s="34" t="n">
        <f aca="false">SUMIFS('12.326ana'!$C:$C,'12.326ana'!$M:$M,redes!A5027)</f>
        <v>0</v>
      </c>
    </row>
    <row r="5028" customFormat="false" ht="14.4" hidden="true" customHeight="false" outlineLevel="0" collapsed="false">
      <c r="A5028" s="34" t="n">
        <v>92828140172</v>
      </c>
      <c r="B5028" s="34" t="s">
        <v>11725</v>
      </c>
      <c r="C5028" s="34" t="s">
        <v>103</v>
      </c>
      <c r="E5028" s="30" t="s">
        <v>11726</v>
      </c>
      <c r="F5028" s="34" t="n">
        <f aca="false">IFERROR(VLOOKUP($A5028,'319'!$B:$H,7,0),0)</f>
        <v>0</v>
      </c>
      <c r="G5028" s="34" t="n">
        <f aca="false">SUMIFS('12.326ana'!$C:$C,'12.326ana'!$M:$M,redes!A5028)</f>
        <v>0</v>
      </c>
    </row>
    <row r="5029" customFormat="false" ht="14.4" hidden="true" customHeight="false" outlineLevel="0" collapsed="false">
      <c r="A5029" s="34" t="n">
        <v>92832008887</v>
      </c>
      <c r="B5029" s="34" t="s">
        <v>9064</v>
      </c>
      <c r="C5029" s="34" t="s">
        <v>77</v>
      </c>
      <c r="E5029" s="30" t="s">
        <v>11727</v>
      </c>
      <c r="F5029" s="34" t="n">
        <f aca="false">IFERROR(VLOOKUP($A5029,'319'!$B:$H,7,0),0)</f>
        <v>0</v>
      </c>
      <c r="G5029" s="34" t="n">
        <f aca="false">SUMIFS('12.326ana'!$C:$C,'12.326ana'!$M:$M,redes!A5029)</f>
        <v>0</v>
      </c>
    </row>
    <row r="5030" customFormat="false" ht="14.4" hidden="true" customHeight="false" outlineLevel="0" collapsed="false">
      <c r="A5030" s="34" t="n">
        <v>92872514104</v>
      </c>
      <c r="B5030" s="34" t="s">
        <v>11728</v>
      </c>
      <c r="C5030" s="34" t="s">
        <v>89</v>
      </c>
      <c r="E5030" s="30" t="s">
        <v>11729</v>
      </c>
      <c r="F5030" s="34" t="n">
        <f aca="false">IFERROR(VLOOKUP($A5030,'319'!$B:$H,7,0),0)</f>
        <v>0</v>
      </c>
      <c r="G5030" s="34" t="n">
        <f aca="false">SUMIFS('12.326ana'!$C:$C,'12.326ana'!$M:$M,redes!A5030)</f>
        <v>0</v>
      </c>
    </row>
    <row r="5031" customFormat="false" ht="14.4" hidden="true" customHeight="false" outlineLevel="0" collapsed="false">
      <c r="A5031" s="34" t="n">
        <v>92934277100</v>
      </c>
      <c r="B5031" s="34" t="s">
        <v>11730</v>
      </c>
      <c r="C5031" s="34" t="s">
        <v>77</v>
      </c>
      <c r="E5031" s="30" t="s">
        <v>11731</v>
      </c>
      <c r="F5031" s="34" t="n">
        <f aca="false">IFERROR(VLOOKUP($A5031,'319'!$B:$H,7,0),0)</f>
        <v>0</v>
      </c>
      <c r="G5031" s="34" t="n">
        <f aca="false">SUMIFS('12.326ana'!$C:$C,'12.326ana'!$M:$M,redes!A5031)</f>
        <v>0</v>
      </c>
    </row>
    <row r="5032" customFormat="false" ht="14.4" hidden="true" customHeight="false" outlineLevel="0" collapsed="false">
      <c r="A5032" s="34" t="n">
        <v>92935873108</v>
      </c>
      <c r="B5032" s="34" t="s">
        <v>11732</v>
      </c>
      <c r="C5032" s="34" t="s">
        <v>77</v>
      </c>
      <c r="E5032" s="30"/>
      <c r="F5032" s="34" t="n">
        <f aca="false">IFERROR(VLOOKUP($A5032,'319'!$B:$H,7,0),0)</f>
        <v>0</v>
      </c>
      <c r="G5032" s="34" t="n">
        <f aca="false">SUMIFS('12.326ana'!$C:$C,'12.326ana'!$M:$M,redes!A5032)</f>
        <v>0</v>
      </c>
    </row>
    <row r="5033" customFormat="false" ht="14.4" hidden="true" customHeight="false" outlineLevel="0" collapsed="false">
      <c r="A5033" s="34" t="n">
        <v>92946950182</v>
      </c>
      <c r="B5033" s="34" t="s">
        <v>11733</v>
      </c>
      <c r="C5033" s="34" t="s">
        <v>127</v>
      </c>
      <c r="E5033" s="30" t="s">
        <v>11734</v>
      </c>
      <c r="F5033" s="34" t="n">
        <f aca="false">IFERROR(VLOOKUP($A5033,'319'!$B:$H,7,0),0)</f>
        <v>0</v>
      </c>
      <c r="G5033" s="34" t="n">
        <f aca="false">SUMIFS('12.326ana'!$C:$C,'12.326ana'!$M:$M,redes!A5033)</f>
        <v>0</v>
      </c>
    </row>
    <row r="5034" customFormat="false" ht="14.4" hidden="true" customHeight="false" outlineLevel="0" collapsed="false">
      <c r="A5034" s="34" t="n">
        <v>92948103134</v>
      </c>
      <c r="B5034" s="34" t="s">
        <v>11735</v>
      </c>
      <c r="C5034" s="34" t="s">
        <v>89</v>
      </c>
      <c r="E5034" s="30" t="s">
        <v>11736</v>
      </c>
      <c r="F5034" s="34" t="n">
        <f aca="false">IFERROR(VLOOKUP($A5034,'319'!$B:$H,7,0),0)</f>
        <v>0</v>
      </c>
      <c r="G5034" s="34" t="n">
        <f aca="false">SUMIFS('12.326ana'!$C:$C,'12.326ana'!$M:$M,redes!A5034)</f>
        <v>0</v>
      </c>
    </row>
    <row r="5035" customFormat="false" ht="14.4" hidden="true" customHeight="false" outlineLevel="0" collapsed="false">
      <c r="A5035" s="34" t="n">
        <v>92953000178</v>
      </c>
      <c r="B5035" s="34" t="s">
        <v>11737</v>
      </c>
      <c r="C5035" s="34" t="s">
        <v>77</v>
      </c>
      <c r="E5035" s="30" t="s">
        <v>11737</v>
      </c>
      <c r="F5035" s="34" t="n">
        <f aca="false">IFERROR(VLOOKUP($A5035,'319'!$B:$H,7,0),0)</f>
        <v>0</v>
      </c>
      <c r="G5035" s="34" t="n">
        <f aca="false">SUMIFS('12.326ana'!$C:$C,'12.326ana'!$M:$M,redes!A5035)</f>
        <v>0</v>
      </c>
    </row>
    <row r="5036" customFormat="false" ht="14.4" hidden="true" customHeight="false" outlineLevel="0" collapsed="false">
      <c r="A5036" s="34" t="n">
        <v>92953050949</v>
      </c>
      <c r="B5036" s="34" t="s">
        <v>11738</v>
      </c>
      <c r="C5036" s="34" t="s">
        <v>197</v>
      </c>
      <c r="E5036" s="30" t="s">
        <v>11739</v>
      </c>
      <c r="F5036" s="34" t="n">
        <f aca="false">IFERROR(VLOOKUP($A5036,'319'!$B:$H,7,0),0)</f>
        <v>0</v>
      </c>
      <c r="G5036" s="34" t="n">
        <f aca="false">SUMIFS('12.326ana'!$C:$C,'12.326ana'!$M:$M,redes!A5036)</f>
        <v>0</v>
      </c>
    </row>
    <row r="5037" customFormat="false" ht="14.4" hidden="true" customHeight="false" outlineLevel="0" collapsed="false">
      <c r="A5037" s="34" t="n">
        <v>93075502120</v>
      </c>
      <c r="B5037" s="34" t="s">
        <v>11740</v>
      </c>
      <c r="C5037" s="34" t="s">
        <v>103</v>
      </c>
      <c r="E5037" s="30" t="s">
        <v>11741</v>
      </c>
      <c r="F5037" s="34" t="n">
        <f aca="false">IFERROR(VLOOKUP($A5037,'319'!$B:$H,7,0),0)</f>
        <v>0</v>
      </c>
      <c r="G5037" s="34" t="n">
        <f aca="false">SUMIFS('12.326ana'!$C:$C,'12.326ana'!$M:$M,redes!A5037)</f>
        <v>0</v>
      </c>
    </row>
    <row r="5038" customFormat="false" ht="14.4" hidden="true" customHeight="false" outlineLevel="0" collapsed="false">
      <c r="A5038" s="34" t="n">
        <v>93135912191</v>
      </c>
      <c r="B5038" s="34" t="s">
        <v>11742</v>
      </c>
      <c r="C5038" s="34" t="s">
        <v>77</v>
      </c>
      <c r="E5038" s="30" t="s">
        <v>11743</v>
      </c>
      <c r="F5038" s="34" t="n">
        <f aca="false">IFERROR(VLOOKUP($A5038,'319'!$B:$H,7,0),0)</f>
        <v>0</v>
      </c>
      <c r="G5038" s="34" t="n">
        <f aca="false">SUMIFS('12.326ana'!$C:$C,'12.326ana'!$M:$M,redes!A5038)</f>
        <v>0</v>
      </c>
    </row>
    <row r="5039" customFormat="false" ht="14.4" hidden="true" customHeight="false" outlineLevel="0" collapsed="false">
      <c r="A5039" s="34" t="n">
        <v>93136781104</v>
      </c>
      <c r="B5039" s="34" t="s">
        <v>11744</v>
      </c>
      <c r="C5039" s="34" t="s">
        <v>77</v>
      </c>
      <c r="E5039" s="30" t="s">
        <v>11745</v>
      </c>
      <c r="F5039" s="34" t="n">
        <f aca="false">IFERROR(VLOOKUP($A5039,'319'!$B:$H,7,0),0)</f>
        <v>0</v>
      </c>
      <c r="G5039" s="34" t="n">
        <f aca="false">SUMIFS('12.326ana'!$C:$C,'12.326ana'!$M:$M,redes!A5039)</f>
        <v>0</v>
      </c>
    </row>
    <row r="5040" customFormat="false" ht="14.4" hidden="true" customHeight="false" outlineLevel="0" collapsed="false">
      <c r="A5040" s="34" t="n">
        <v>93167938153</v>
      </c>
      <c r="B5040" s="34" t="s">
        <v>11746</v>
      </c>
      <c r="C5040" s="34" t="s">
        <v>546</v>
      </c>
      <c r="E5040" s="30" t="s">
        <v>11747</v>
      </c>
      <c r="F5040" s="34" t="n">
        <f aca="false">IFERROR(VLOOKUP($A5040,'319'!$B:$H,7,0),0)</f>
        <v>0</v>
      </c>
      <c r="G5040" s="34" t="n">
        <f aca="false">SUMIFS('12.326ana'!$C:$C,'12.326ana'!$M:$M,redes!A5040)</f>
        <v>0</v>
      </c>
    </row>
    <row r="5041" customFormat="false" ht="14.4" hidden="true" customHeight="false" outlineLevel="0" collapsed="false">
      <c r="A5041" s="34" t="n">
        <v>93168292168</v>
      </c>
      <c r="B5041" s="34" t="s">
        <v>11748</v>
      </c>
      <c r="C5041" s="34" t="s">
        <v>631</v>
      </c>
      <c r="E5041" s="30" t="s">
        <v>11749</v>
      </c>
      <c r="F5041" s="34" t="n">
        <f aca="false">IFERROR(VLOOKUP($A5041,'319'!$B:$H,7,0),0)</f>
        <v>0</v>
      </c>
      <c r="G5041" s="34" t="n">
        <f aca="false">SUMIFS('12.326ana'!$C:$C,'12.326ana'!$M:$M,redes!A5041)</f>
        <v>0</v>
      </c>
    </row>
    <row r="5042" customFormat="false" ht="14.4" hidden="true" customHeight="false" outlineLevel="0" collapsed="false">
      <c r="A5042" s="34" t="n">
        <v>93217412168</v>
      </c>
      <c r="B5042" s="34" t="s">
        <v>11750</v>
      </c>
      <c r="C5042" s="34" t="s">
        <v>77</v>
      </c>
      <c r="E5042" s="30" t="s">
        <v>3664</v>
      </c>
      <c r="F5042" s="34" t="n">
        <f aca="false">IFERROR(VLOOKUP($A5042,'319'!$B:$H,7,0),0)</f>
        <v>0</v>
      </c>
      <c r="G5042" s="34" t="n">
        <f aca="false">SUMIFS('12.326ana'!$C:$C,'12.326ana'!$M:$M,redes!A5042)</f>
        <v>0</v>
      </c>
    </row>
    <row r="5043" customFormat="false" ht="14.4" hidden="true" customHeight="false" outlineLevel="0" collapsed="false">
      <c r="A5043" s="34" t="n">
        <v>93227337134</v>
      </c>
      <c r="B5043" s="34" t="s">
        <v>11751</v>
      </c>
      <c r="C5043" s="34" t="s">
        <v>77</v>
      </c>
      <c r="E5043" s="30" t="s">
        <v>11752</v>
      </c>
      <c r="F5043" s="34" t="n">
        <f aca="false">IFERROR(VLOOKUP($A5043,'319'!$B:$H,7,0),0)</f>
        <v>0</v>
      </c>
      <c r="G5043" s="34" t="n">
        <f aca="false">SUMIFS('12.326ana'!$C:$C,'12.326ana'!$M:$M,redes!A5043)</f>
        <v>0</v>
      </c>
    </row>
    <row r="5044" customFormat="false" ht="14.4" hidden="true" customHeight="false" outlineLevel="0" collapsed="false">
      <c r="A5044" s="34" t="n">
        <v>93272383115</v>
      </c>
      <c r="B5044" s="34" t="s">
        <v>11753</v>
      </c>
      <c r="C5044" s="34" t="s">
        <v>77</v>
      </c>
      <c r="E5044" s="30" t="s">
        <v>11754</v>
      </c>
      <c r="F5044" s="34" t="n">
        <f aca="false">IFERROR(VLOOKUP($A5044,'319'!$B:$H,7,0),0)</f>
        <v>0</v>
      </c>
      <c r="G5044" s="34" t="n">
        <f aca="false">SUMIFS('12.326ana'!$C:$C,'12.326ana'!$M:$M,redes!A5044)</f>
        <v>0</v>
      </c>
    </row>
    <row r="5045" customFormat="false" ht="14.4" hidden="true" customHeight="false" outlineLevel="0" collapsed="false">
      <c r="A5045" s="34" t="n">
        <v>93283342172</v>
      </c>
      <c r="B5045" s="34" t="s">
        <v>11755</v>
      </c>
      <c r="C5045" s="34" t="s">
        <v>77</v>
      </c>
      <c r="E5045" s="30" t="s">
        <v>11755</v>
      </c>
      <c r="F5045" s="34" t="n">
        <f aca="false">IFERROR(VLOOKUP($A5045,'319'!$B:$H,7,0),0)</f>
        <v>0</v>
      </c>
      <c r="G5045" s="34" t="n">
        <f aca="false">SUMIFS('12.326ana'!$C:$C,'12.326ana'!$M:$M,redes!A5045)</f>
        <v>0</v>
      </c>
    </row>
    <row r="5046" customFormat="false" ht="14.4" hidden="true" customHeight="false" outlineLevel="0" collapsed="false">
      <c r="A5046" s="34" t="n">
        <v>93283571104</v>
      </c>
      <c r="B5046" s="34" t="s">
        <v>11756</v>
      </c>
      <c r="C5046" s="34" t="s">
        <v>207</v>
      </c>
      <c r="E5046" s="30" t="s">
        <v>11757</v>
      </c>
      <c r="F5046" s="34" t="n">
        <f aca="false">IFERROR(VLOOKUP($A5046,'319'!$B:$H,7,0),0)</f>
        <v>0</v>
      </c>
      <c r="G5046" s="34" t="n">
        <f aca="false">SUMIFS('12.326ana'!$C:$C,'12.326ana'!$M:$M,redes!A5046)</f>
        <v>0</v>
      </c>
    </row>
    <row r="5047" customFormat="false" ht="14.4" hidden="true" customHeight="false" outlineLevel="0" collapsed="false">
      <c r="A5047" s="34" t="n">
        <v>93291949153</v>
      </c>
      <c r="B5047" s="34" t="s">
        <v>11758</v>
      </c>
      <c r="C5047" s="34" t="s">
        <v>77</v>
      </c>
      <c r="E5047" s="30" t="s">
        <v>11759</v>
      </c>
      <c r="F5047" s="34" t="n">
        <f aca="false">IFERROR(VLOOKUP($A5047,'319'!$B:$H,7,0),0)</f>
        <v>0</v>
      </c>
      <c r="G5047" s="34" t="n">
        <f aca="false">SUMIFS('12.326ana'!$C:$C,'12.326ana'!$M:$M,redes!A5047)</f>
        <v>0</v>
      </c>
    </row>
    <row r="5048" customFormat="false" ht="14.4" hidden="true" customHeight="false" outlineLevel="0" collapsed="false">
      <c r="A5048" s="34" t="n">
        <v>93302789149</v>
      </c>
      <c r="B5048" s="34" t="s">
        <v>11760</v>
      </c>
      <c r="C5048" s="34" t="s">
        <v>77</v>
      </c>
      <c r="E5048" s="30" t="s">
        <v>11761</v>
      </c>
      <c r="F5048" s="34" t="n">
        <f aca="false">IFERROR(VLOOKUP($A5048,'319'!$B:$H,7,0),0)</f>
        <v>0</v>
      </c>
      <c r="G5048" s="34" t="n">
        <f aca="false">SUMIFS('12.326ana'!$C:$C,'12.326ana'!$M:$M,redes!A5048)</f>
        <v>0</v>
      </c>
    </row>
    <row r="5049" customFormat="false" ht="14.4" hidden="true" customHeight="false" outlineLevel="0" collapsed="false">
      <c r="A5049" s="34" t="n">
        <v>93313853153</v>
      </c>
      <c r="B5049" s="34" t="s">
        <v>11762</v>
      </c>
      <c r="C5049" s="34" t="s">
        <v>107</v>
      </c>
      <c r="E5049" s="30" t="s">
        <v>11763</v>
      </c>
      <c r="F5049" s="34" t="n">
        <f aca="false">IFERROR(VLOOKUP($A5049,'319'!$B:$H,7,0),0)</f>
        <v>0</v>
      </c>
      <c r="G5049" s="34" t="n">
        <f aca="false">SUMIFS('12.326ana'!$C:$C,'12.326ana'!$M:$M,redes!A5049)</f>
        <v>0</v>
      </c>
    </row>
    <row r="5050" customFormat="false" ht="14.4" hidden="true" customHeight="false" outlineLevel="0" collapsed="false">
      <c r="A5050" s="34" t="n">
        <v>93381433172</v>
      </c>
      <c r="B5050" s="34" t="s">
        <v>11764</v>
      </c>
      <c r="C5050" s="34" t="s">
        <v>77</v>
      </c>
      <c r="E5050" s="30" t="s">
        <v>3066</v>
      </c>
      <c r="F5050" s="34" t="n">
        <f aca="false">IFERROR(VLOOKUP($A5050,'319'!$B:$H,7,0),0)</f>
        <v>0</v>
      </c>
      <c r="G5050" s="34" t="n">
        <f aca="false">SUMIFS('12.326ana'!$C:$C,'12.326ana'!$M:$M,redes!A5050)</f>
        <v>0</v>
      </c>
    </row>
    <row r="5051" customFormat="false" ht="14.4" hidden="true" customHeight="false" outlineLevel="0" collapsed="false">
      <c r="A5051" s="34" t="n">
        <v>93382170191</v>
      </c>
      <c r="B5051" s="34" t="s">
        <v>11765</v>
      </c>
      <c r="C5051" s="34" t="s">
        <v>77</v>
      </c>
      <c r="E5051" s="30" t="s">
        <v>4618</v>
      </c>
      <c r="F5051" s="34" t="n">
        <f aca="false">IFERROR(VLOOKUP($A5051,'319'!$B:$H,7,0),0)</f>
        <v>0</v>
      </c>
      <c r="G5051" s="34" t="n">
        <f aca="false">SUMIFS('12.326ana'!$C:$C,'12.326ana'!$M:$M,redes!A5051)</f>
        <v>0</v>
      </c>
    </row>
    <row r="5052" customFormat="false" ht="14.4" hidden="true" customHeight="false" outlineLevel="0" collapsed="false">
      <c r="A5052" s="34" t="n">
        <v>93449402153</v>
      </c>
      <c r="B5052" s="34" t="s">
        <v>11766</v>
      </c>
      <c r="C5052" s="34" t="s">
        <v>781</v>
      </c>
      <c r="E5052" s="30" t="s">
        <v>10684</v>
      </c>
      <c r="F5052" s="34" t="n">
        <f aca="false">IFERROR(VLOOKUP($A5052,'319'!$B:$H,7,0),0)</f>
        <v>0</v>
      </c>
      <c r="G5052" s="34" t="n">
        <f aca="false">SUMIFS('12.326ana'!$C:$C,'12.326ana'!$M:$M,redes!A5052)</f>
        <v>0</v>
      </c>
    </row>
    <row r="5053" customFormat="false" ht="14.4" hidden="true" customHeight="false" outlineLevel="0" collapsed="false">
      <c r="A5053" s="34" t="n">
        <v>93465912187</v>
      </c>
      <c r="B5053" s="34" t="s">
        <v>11767</v>
      </c>
      <c r="C5053" s="34" t="s">
        <v>935</v>
      </c>
      <c r="E5053" s="30" t="s">
        <v>11768</v>
      </c>
      <c r="F5053" s="34" t="n">
        <f aca="false">IFERROR(VLOOKUP($A5053,'319'!$B:$H,7,0),0)</f>
        <v>0</v>
      </c>
      <c r="G5053" s="34" t="n">
        <f aca="false">SUMIFS('12.326ana'!$C:$C,'12.326ana'!$M:$M,redes!A5053)</f>
        <v>0</v>
      </c>
    </row>
    <row r="5054" customFormat="false" ht="14.4" hidden="true" customHeight="false" outlineLevel="0" collapsed="false">
      <c r="A5054" s="34" t="n">
        <v>93473222100</v>
      </c>
      <c r="B5054" s="34" t="s">
        <v>11769</v>
      </c>
      <c r="C5054" s="34" t="s">
        <v>935</v>
      </c>
      <c r="E5054" s="30" t="s">
        <v>11770</v>
      </c>
      <c r="F5054" s="34" t="n">
        <f aca="false">IFERROR(VLOOKUP($A5054,'319'!$B:$H,7,0),0)</f>
        <v>0</v>
      </c>
      <c r="G5054" s="34" t="n">
        <f aca="false">SUMIFS('12.326ana'!$C:$C,'12.326ana'!$M:$M,redes!A5054)</f>
        <v>0</v>
      </c>
    </row>
    <row r="5055" customFormat="false" ht="14.4" hidden="true" customHeight="false" outlineLevel="0" collapsed="false">
      <c r="A5055" s="34" t="n">
        <v>93481292104</v>
      </c>
      <c r="B5055" s="34" t="s">
        <v>11771</v>
      </c>
      <c r="C5055" s="34" t="s">
        <v>107</v>
      </c>
      <c r="E5055" s="30" t="s">
        <v>11772</v>
      </c>
      <c r="F5055" s="34" t="n">
        <f aca="false">IFERROR(VLOOKUP($A5055,'319'!$B:$H,7,0),0)</f>
        <v>0</v>
      </c>
      <c r="G5055" s="34" t="n">
        <f aca="false">SUMIFS('12.326ana'!$C:$C,'12.326ana'!$M:$M,redes!A5055)</f>
        <v>0</v>
      </c>
    </row>
    <row r="5056" customFormat="false" ht="14.4" hidden="true" customHeight="false" outlineLevel="0" collapsed="false">
      <c r="A5056" s="34" t="n">
        <v>93508166104</v>
      </c>
      <c r="B5056" s="34" t="s">
        <v>11773</v>
      </c>
      <c r="C5056" s="34" t="s">
        <v>77</v>
      </c>
      <c r="E5056" s="30" t="s">
        <v>11774</v>
      </c>
      <c r="F5056" s="34" t="n">
        <f aca="false">IFERROR(VLOOKUP($A5056,'319'!$B:$H,7,0),0)</f>
        <v>0</v>
      </c>
      <c r="G5056" s="34" t="n">
        <f aca="false">SUMIFS('12.326ana'!$C:$C,'12.326ana'!$M:$M,redes!A5056)</f>
        <v>0</v>
      </c>
    </row>
    <row r="5057" customFormat="false" ht="14.4" hidden="true" customHeight="false" outlineLevel="0" collapsed="false">
      <c r="A5057" s="34" t="n">
        <v>93508883191</v>
      </c>
      <c r="B5057" s="34" t="s">
        <v>11775</v>
      </c>
      <c r="C5057" s="34" t="s">
        <v>77</v>
      </c>
      <c r="E5057" s="30" t="s">
        <v>4034</v>
      </c>
      <c r="F5057" s="34" t="n">
        <f aca="false">IFERROR(VLOOKUP($A5057,'319'!$B:$H,7,0),0)</f>
        <v>0</v>
      </c>
      <c r="G5057" s="34" t="n">
        <f aca="false">SUMIFS('12.326ana'!$C:$C,'12.326ana'!$M:$M,redes!A5057)</f>
        <v>0</v>
      </c>
    </row>
    <row r="5058" customFormat="false" ht="14.4" hidden="true" customHeight="false" outlineLevel="0" collapsed="false">
      <c r="A5058" s="34" t="n">
        <v>93511817153</v>
      </c>
      <c r="B5058" s="34" t="s">
        <v>11776</v>
      </c>
      <c r="C5058" s="34" t="s">
        <v>107</v>
      </c>
      <c r="E5058" s="30"/>
      <c r="F5058" s="34" t="n">
        <f aca="false">IFERROR(VLOOKUP($A5058,'319'!$B:$H,7,0),0)</f>
        <v>0</v>
      </c>
      <c r="G5058" s="34" t="n">
        <f aca="false">SUMIFS('12.326ana'!$C:$C,'12.326ana'!$M:$M,redes!A5058)</f>
        <v>0</v>
      </c>
    </row>
    <row r="5059" customFormat="false" ht="14.4" hidden="true" customHeight="false" outlineLevel="0" collapsed="false">
      <c r="A5059" s="34" t="n">
        <v>93516460172</v>
      </c>
      <c r="B5059" s="34" t="s">
        <v>11777</v>
      </c>
      <c r="C5059" s="34" t="s">
        <v>77</v>
      </c>
      <c r="E5059" s="30" t="s">
        <v>11778</v>
      </c>
      <c r="F5059" s="34" t="n">
        <f aca="false">IFERROR(VLOOKUP($A5059,'319'!$B:$H,7,0),0)</f>
        <v>0</v>
      </c>
      <c r="G5059" s="34" t="n">
        <f aca="false">SUMIFS('12.326ana'!$C:$C,'12.326ana'!$M:$M,redes!A5059)</f>
        <v>0</v>
      </c>
    </row>
    <row r="5060" customFormat="false" ht="14.4" hidden="true" customHeight="false" outlineLevel="0" collapsed="false">
      <c r="A5060" s="34" t="n">
        <v>93529295191</v>
      </c>
      <c r="B5060" s="34" t="s">
        <v>7622</v>
      </c>
      <c r="C5060" s="34" t="s">
        <v>77</v>
      </c>
      <c r="E5060" s="30" t="s">
        <v>7622</v>
      </c>
      <c r="F5060" s="34" t="n">
        <f aca="false">IFERROR(VLOOKUP($A5060,'319'!$B:$H,7,0),0)</f>
        <v>0</v>
      </c>
      <c r="G5060" s="34" t="n">
        <f aca="false">SUMIFS('12.326ana'!$C:$C,'12.326ana'!$M:$M,redes!A5060)</f>
        <v>0</v>
      </c>
    </row>
    <row r="5061" customFormat="false" ht="14.4" hidden="true" customHeight="false" outlineLevel="0" collapsed="false">
      <c r="A5061" s="34" t="n">
        <v>93534469100</v>
      </c>
      <c r="B5061" s="34" t="s">
        <v>11779</v>
      </c>
      <c r="C5061" s="34" t="s">
        <v>3060</v>
      </c>
      <c r="E5061" s="30" t="s">
        <v>11780</v>
      </c>
      <c r="F5061" s="34" t="n">
        <f aca="false">IFERROR(VLOOKUP($A5061,'319'!$B:$H,7,0),0)</f>
        <v>0</v>
      </c>
      <c r="G5061" s="34" t="n">
        <f aca="false">SUMIFS('12.326ana'!$C:$C,'12.326ana'!$M:$M,redes!A5061)</f>
        <v>0</v>
      </c>
    </row>
    <row r="5062" customFormat="false" ht="14.4" hidden="true" customHeight="false" outlineLevel="0" collapsed="false">
      <c r="A5062" s="34" t="n">
        <v>93581890968</v>
      </c>
      <c r="B5062" s="34" t="s">
        <v>11781</v>
      </c>
      <c r="C5062" s="34" t="s">
        <v>77</v>
      </c>
      <c r="E5062" s="30" t="s">
        <v>11782</v>
      </c>
      <c r="F5062" s="34" t="n">
        <f aca="false">IFERROR(VLOOKUP($A5062,'319'!$B:$H,7,0),0)</f>
        <v>0</v>
      </c>
      <c r="G5062" s="34" t="n">
        <f aca="false">SUMIFS('12.326ana'!$C:$C,'12.326ana'!$M:$M,redes!A5062)</f>
        <v>0</v>
      </c>
    </row>
    <row r="5063" customFormat="false" ht="14.4" hidden="true" customHeight="false" outlineLevel="0" collapsed="false">
      <c r="A5063" s="34" t="n">
        <v>93609850159</v>
      </c>
      <c r="B5063" s="34" t="s">
        <v>11783</v>
      </c>
      <c r="C5063" s="34" t="s">
        <v>139</v>
      </c>
      <c r="E5063" s="30" t="s">
        <v>11784</v>
      </c>
      <c r="F5063" s="34" t="n">
        <f aca="false">IFERROR(VLOOKUP($A5063,'319'!$B:$H,7,0),0)</f>
        <v>0</v>
      </c>
      <c r="G5063" s="34" t="n">
        <f aca="false">SUMIFS('12.326ana'!$C:$C,'12.326ana'!$M:$M,redes!A5063)</f>
        <v>0</v>
      </c>
    </row>
    <row r="5064" customFormat="false" ht="14.4" hidden="true" customHeight="false" outlineLevel="0" collapsed="false">
      <c r="A5064" s="34" t="n">
        <v>93611790125</v>
      </c>
      <c r="B5064" s="34" t="s">
        <v>11785</v>
      </c>
      <c r="C5064" s="34" t="s">
        <v>77</v>
      </c>
      <c r="E5064" s="30" t="s">
        <v>3001</v>
      </c>
      <c r="F5064" s="34" t="n">
        <f aca="false">IFERROR(VLOOKUP($A5064,'319'!$B:$H,7,0),0)</f>
        <v>0</v>
      </c>
      <c r="G5064" s="34" t="n">
        <f aca="false">SUMIFS('12.326ana'!$C:$C,'12.326ana'!$M:$M,redes!A5064)</f>
        <v>0</v>
      </c>
    </row>
    <row r="5065" customFormat="false" ht="14.4" hidden="true" customHeight="false" outlineLevel="0" collapsed="false">
      <c r="A5065" s="34" t="n">
        <v>93612311115</v>
      </c>
      <c r="B5065" s="34" t="s">
        <v>11786</v>
      </c>
      <c r="C5065" s="34" t="s">
        <v>77</v>
      </c>
      <c r="E5065" s="30" t="s">
        <v>11787</v>
      </c>
      <c r="F5065" s="34" t="n">
        <f aca="false">IFERROR(VLOOKUP($A5065,'319'!$B:$H,7,0),0)</f>
        <v>0</v>
      </c>
      <c r="G5065" s="34" t="n">
        <f aca="false">SUMIFS('12.326ana'!$C:$C,'12.326ana'!$M:$M,redes!A5065)</f>
        <v>0</v>
      </c>
    </row>
    <row r="5066" customFormat="false" ht="14.4" hidden="true" customHeight="false" outlineLevel="0" collapsed="false">
      <c r="A5066" s="34" t="n">
        <v>93617038115</v>
      </c>
      <c r="B5066" s="34" t="s">
        <v>11788</v>
      </c>
      <c r="C5066" s="34" t="s">
        <v>107</v>
      </c>
      <c r="E5066" s="30" t="s">
        <v>11789</v>
      </c>
      <c r="F5066" s="34" t="n">
        <f aca="false">IFERROR(VLOOKUP($A5066,'319'!$B:$H,7,0),0)</f>
        <v>0</v>
      </c>
      <c r="G5066" s="34" t="n">
        <f aca="false">SUMIFS('12.326ana'!$C:$C,'12.326ana'!$M:$M,redes!A5066)</f>
        <v>0</v>
      </c>
    </row>
    <row r="5067" customFormat="false" ht="14.4" hidden="true" customHeight="false" outlineLevel="0" collapsed="false">
      <c r="A5067" s="34" t="n">
        <v>93676565134</v>
      </c>
      <c r="B5067" s="34" t="s">
        <v>11790</v>
      </c>
      <c r="C5067" s="34" t="s">
        <v>77</v>
      </c>
      <c r="E5067" s="30" t="s">
        <v>11791</v>
      </c>
      <c r="F5067" s="34" t="n">
        <f aca="false">IFERROR(VLOOKUP($A5067,'319'!$B:$H,7,0),0)</f>
        <v>0</v>
      </c>
      <c r="G5067" s="34" t="n">
        <f aca="false">SUMIFS('12.326ana'!$C:$C,'12.326ana'!$M:$M,redes!A5067)</f>
        <v>0</v>
      </c>
    </row>
    <row r="5068" customFormat="false" ht="14.4" hidden="true" customHeight="false" outlineLevel="0" collapsed="false">
      <c r="A5068" s="34" t="n">
        <v>93720106187</v>
      </c>
      <c r="B5068" s="34" t="s">
        <v>11792</v>
      </c>
      <c r="C5068" s="34" t="s">
        <v>77</v>
      </c>
      <c r="E5068" s="30" t="s">
        <v>11793</v>
      </c>
      <c r="F5068" s="34" t="n">
        <f aca="false">IFERROR(VLOOKUP($A5068,'319'!$B:$H,7,0),0)</f>
        <v>0</v>
      </c>
      <c r="G5068" s="34" t="n">
        <f aca="false">SUMIFS('12.326ana'!$C:$C,'12.326ana'!$M:$M,redes!A5068)</f>
        <v>0</v>
      </c>
    </row>
    <row r="5069" customFormat="false" ht="14.4" hidden="true" customHeight="false" outlineLevel="0" collapsed="false">
      <c r="A5069" s="34" t="n">
        <v>93739001100</v>
      </c>
      <c r="B5069" s="34" t="s">
        <v>11794</v>
      </c>
      <c r="C5069" s="34" t="s">
        <v>192</v>
      </c>
      <c r="E5069" s="30" t="s">
        <v>11795</v>
      </c>
      <c r="F5069" s="34" t="n">
        <f aca="false">IFERROR(VLOOKUP($A5069,'319'!$B:$H,7,0),0)</f>
        <v>0</v>
      </c>
      <c r="G5069" s="34" t="n">
        <f aca="false">SUMIFS('12.326ana'!$C:$C,'12.326ana'!$M:$M,redes!A5069)</f>
        <v>0</v>
      </c>
    </row>
    <row r="5070" customFormat="false" ht="14.4" hidden="true" customHeight="false" outlineLevel="0" collapsed="false">
      <c r="A5070" s="34" t="n">
        <v>93741375187</v>
      </c>
      <c r="B5070" s="34" t="s">
        <v>11796</v>
      </c>
      <c r="C5070" s="34" t="s">
        <v>77</v>
      </c>
      <c r="E5070" s="30" t="s">
        <v>11797</v>
      </c>
      <c r="F5070" s="34" t="n">
        <f aca="false">IFERROR(VLOOKUP($A5070,'319'!$B:$H,7,0),0)</f>
        <v>0</v>
      </c>
      <c r="G5070" s="34" t="n">
        <f aca="false">SUMIFS('12.326ana'!$C:$C,'12.326ana'!$M:$M,redes!A5070)</f>
        <v>0</v>
      </c>
    </row>
    <row r="5071" customFormat="false" ht="14.4" hidden="true" customHeight="false" outlineLevel="0" collapsed="false">
      <c r="A5071" s="34" t="n">
        <v>93744609804</v>
      </c>
      <c r="B5071" s="34" t="s">
        <v>11798</v>
      </c>
      <c r="C5071" s="34" t="s">
        <v>464</v>
      </c>
      <c r="E5071" s="30" t="s">
        <v>11799</v>
      </c>
      <c r="F5071" s="34" t="n">
        <f aca="false">IFERROR(VLOOKUP($A5071,'319'!$B:$H,7,0),0)</f>
        <v>0</v>
      </c>
      <c r="G5071" s="34" t="n">
        <f aca="false">SUMIFS('12.326ana'!$C:$C,'12.326ana'!$M:$M,redes!A5071)</f>
        <v>0</v>
      </c>
    </row>
    <row r="5072" customFormat="false" ht="14.4" hidden="true" customHeight="false" outlineLevel="0" collapsed="false">
      <c r="A5072" s="34" t="n">
        <v>93747624987</v>
      </c>
      <c r="B5072" s="34" t="s">
        <v>11800</v>
      </c>
      <c r="C5072" s="34" t="s">
        <v>473</v>
      </c>
      <c r="E5072" s="30" t="s">
        <v>11801</v>
      </c>
      <c r="F5072" s="34" t="n">
        <f aca="false">IFERROR(VLOOKUP($A5072,'319'!$B:$H,7,0),0)</f>
        <v>0</v>
      </c>
      <c r="G5072" s="34" t="n">
        <f aca="false">SUMIFS('12.326ana'!$C:$C,'12.326ana'!$M:$M,redes!A5072)</f>
        <v>0</v>
      </c>
    </row>
    <row r="5073" customFormat="false" ht="14.4" hidden="true" customHeight="false" outlineLevel="0" collapsed="false">
      <c r="A5073" s="34" t="n">
        <v>93775334904</v>
      </c>
      <c r="B5073" s="34" t="s">
        <v>11802</v>
      </c>
      <c r="C5073" s="34" t="s">
        <v>89</v>
      </c>
      <c r="E5073" s="30"/>
      <c r="F5073" s="34" t="n">
        <f aca="false">IFERROR(VLOOKUP($A5073,'319'!$B:$H,7,0),0)</f>
        <v>0</v>
      </c>
      <c r="G5073" s="34" t="n">
        <f aca="false">SUMIFS('12.326ana'!$C:$C,'12.326ana'!$M:$M,redes!A5073)</f>
        <v>0</v>
      </c>
    </row>
    <row r="5074" customFormat="false" ht="14.4" hidden="true" customHeight="false" outlineLevel="0" collapsed="false">
      <c r="A5074" s="34" t="n">
        <v>93819331115</v>
      </c>
      <c r="B5074" s="34" t="s">
        <v>11803</v>
      </c>
      <c r="C5074" s="34" t="s">
        <v>77</v>
      </c>
      <c r="E5074" s="30" t="s">
        <v>11804</v>
      </c>
      <c r="F5074" s="34" t="n">
        <f aca="false">IFERROR(VLOOKUP($A5074,'319'!$B:$H,7,0),0)</f>
        <v>0</v>
      </c>
      <c r="G5074" s="34" t="n">
        <f aca="false">SUMIFS('12.326ana'!$C:$C,'12.326ana'!$M:$M,redes!A5074)</f>
        <v>0</v>
      </c>
    </row>
    <row r="5075" customFormat="false" ht="14.4" hidden="true" customHeight="false" outlineLevel="0" collapsed="false">
      <c r="A5075" s="34" t="n">
        <v>93837259153</v>
      </c>
      <c r="B5075" s="34" t="s">
        <v>11805</v>
      </c>
      <c r="C5075" s="34" t="s">
        <v>463</v>
      </c>
      <c r="E5075" s="30"/>
      <c r="F5075" s="34" t="n">
        <f aca="false">IFERROR(VLOOKUP($A5075,'319'!$B:$H,7,0),0)</f>
        <v>0</v>
      </c>
      <c r="G5075" s="34" t="n">
        <f aca="false">SUMIFS('12.326ana'!$C:$C,'12.326ana'!$M:$M,redes!A5075)</f>
        <v>0</v>
      </c>
    </row>
    <row r="5076" customFormat="false" ht="14.4" hidden="true" customHeight="false" outlineLevel="0" collapsed="false">
      <c r="A5076" s="34" t="n">
        <v>93857527153</v>
      </c>
      <c r="B5076" s="34" t="s">
        <v>11806</v>
      </c>
      <c r="C5076" s="34" t="s">
        <v>77</v>
      </c>
      <c r="E5076" s="30" t="s">
        <v>9302</v>
      </c>
      <c r="F5076" s="34" t="n">
        <f aca="false">IFERROR(VLOOKUP($A5076,'319'!$B:$H,7,0),0)</f>
        <v>0</v>
      </c>
      <c r="G5076" s="34" t="n">
        <f aca="false">SUMIFS('12.326ana'!$C:$C,'12.326ana'!$M:$M,redes!A5076)</f>
        <v>0</v>
      </c>
    </row>
    <row r="5077" customFormat="false" ht="14.4" hidden="true" customHeight="false" outlineLevel="0" collapsed="false">
      <c r="A5077" s="34" t="n">
        <v>93869037920</v>
      </c>
      <c r="B5077" s="34" t="s">
        <v>11807</v>
      </c>
      <c r="C5077" s="34" t="s">
        <v>107</v>
      </c>
      <c r="E5077" s="30" t="s">
        <v>11808</v>
      </c>
      <c r="F5077" s="34" t="n">
        <f aca="false">IFERROR(VLOOKUP($A5077,'319'!$B:$H,7,0),0)</f>
        <v>0</v>
      </c>
      <c r="G5077" s="34" t="n">
        <f aca="false">SUMIFS('12.326ana'!$C:$C,'12.326ana'!$M:$M,redes!A5077)</f>
        <v>0</v>
      </c>
    </row>
    <row r="5078" customFormat="false" ht="14.4" hidden="true" customHeight="false" outlineLevel="0" collapsed="false">
      <c r="A5078" s="34" t="n">
        <v>93908547172</v>
      </c>
      <c r="B5078" s="34" t="s">
        <v>11809</v>
      </c>
      <c r="C5078" s="34" t="s">
        <v>463</v>
      </c>
      <c r="E5078" s="30" t="s">
        <v>8864</v>
      </c>
      <c r="F5078" s="34" t="n">
        <f aca="false">IFERROR(VLOOKUP($A5078,'319'!$B:$H,7,0),0)</f>
        <v>0</v>
      </c>
      <c r="G5078" s="34" t="n">
        <f aca="false">SUMIFS('12.326ana'!$C:$C,'12.326ana'!$M:$M,redes!A5078)</f>
        <v>0</v>
      </c>
    </row>
    <row r="5079" customFormat="false" ht="14.4" hidden="true" customHeight="false" outlineLevel="0" collapsed="false">
      <c r="A5079" s="34" t="n">
        <v>93923163134</v>
      </c>
      <c r="B5079" s="34" t="s">
        <v>11810</v>
      </c>
      <c r="C5079" s="34" t="s">
        <v>77</v>
      </c>
      <c r="E5079" s="30" t="s">
        <v>11810</v>
      </c>
      <c r="F5079" s="34" t="n">
        <f aca="false">IFERROR(VLOOKUP($A5079,'319'!$B:$H,7,0),0)</f>
        <v>0</v>
      </c>
      <c r="G5079" s="34" t="n">
        <f aca="false">SUMIFS('12.326ana'!$C:$C,'12.326ana'!$M:$M,redes!A5079)</f>
        <v>0</v>
      </c>
    </row>
    <row r="5080" customFormat="false" ht="14.4" hidden="true" customHeight="false" outlineLevel="0" collapsed="false">
      <c r="A5080" s="34" t="n">
        <v>93958676120</v>
      </c>
      <c r="B5080" s="34" t="s">
        <v>11811</v>
      </c>
      <c r="C5080" s="34" t="s">
        <v>565</v>
      </c>
      <c r="E5080" s="30" t="s">
        <v>11812</v>
      </c>
      <c r="F5080" s="34" t="n">
        <f aca="false">IFERROR(VLOOKUP($A5080,'319'!$B:$H,7,0),0)</f>
        <v>0</v>
      </c>
      <c r="G5080" s="34" t="n">
        <f aca="false">SUMIFS('12.326ana'!$C:$C,'12.326ana'!$M:$M,redes!A5080)</f>
        <v>0</v>
      </c>
    </row>
    <row r="5081" customFormat="false" ht="14.4" hidden="true" customHeight="false" outlineLevel="0" collapsed="false">
      <c r="A5081" s="34" t="n">
        <v>93966873087</v>
      </c>
      <c r="B5081" s="34" t="s">
        <v>11813</v>
      </c>
      <c r="C5081" s="34" t="s">
        <v>464</v>
      </c>
      <c r="E5081" s="30" t="s">
        <v>11814</v>
      </c>
      <c r="F5081" s="34" t="n">
        <f aca="false">IFERROR(VLOOKUP($A5081,'319'!$B:$H,7,0),0)</f>
        <v>0</v>
      </c>
      <c r="G5081" s="34" t="n">
        <f aca="false">SUMIFS('12.326ana'!$C:$C,'12.326ana'!$M:$M,redes!A5081)</f>
        <v>0</v>
      </c>
    </row>
    <row r="5082" customFormat="false" ht="14.4" hidden="true" customHeight="false" outlineLevel="0" collapsed="false">
      <c r="A5082" s="34" t="n">
        <v>93967934187</v>
      </c>
      <c r="B5082" s="34" t="s">
        <v>11815</v>
      </c>
      <c r="C5082" s="34" t="s">
        <v>77</v>
      </c>
      <c r="E5082" s="30" t="s">
        <v>11816</v>
      </c>
      <c r="F5082" s="34" t="n">
        <f aca="false">IFERROR(VLOOKUP($A5082,'319'!$B:$H,7,0),0)</f>
        <v>0</v>
      </c>
      <c r="G5082" s="34" t="n">
        <f aca="false">SUMIFS('12.326ana'!$C:$C,'12.326ana'!$M:$M,redes!A5082)</f>
        <v>0</v>
      </c>
    </row>
    <row r="5083" customFormat="false" ht="14.4" hidden="true" customHeight="false" outlineLevel="0" collapsed="false">
      <c r="A5083" s="34" t="n">
        <v>93984871104</v>
      </c>
      <c r="B5083" s="34" t="s">
        <v>11817</v>
      </c>
      <c r="C5083" s="34" t="s">
        <v>197</v>
      </c>
      <c r="E5083" s="30" t="s">
        <v>11818</v>
      </c>
      <c r="F5083" s="34" t="n">
        <f aca="false">IFERROR(VLOOKUP($A5083,'319'!$B:$H,7,0),0)</f>
        <v>0</v>
      </c>
      <c r="G5083" s="34" t="n">
        <f aca="false">SUMIFS('12.326ana'!$C:$C,'12.326ana'!$M:$M,redes!A5083)</f>
        <v>0</v>
      </c>
    </row>
    <row r="5084" customFormat="false" ht="14.4" hidden="true" customHeight="false" outlineLevel="0" collapsed="false">
      <c r="A5084" s="34" t="n">
        <v>94014418120</v>
      </c>
      <c r="B5084" s="34" t="s">
        <v>11819</v>
      </c>
      <c r="C5084" s="34" t="s">
        <v>473</v>
      </c>
      <c r="E5084" s="30" t="s">
        <v>4618</v>
      </c>
      <c r="F5084" s="34" t="n">
        <f aca="false">IFERROR(VLOOKUP($A5084,'319'!$B:$H,7,0),0)</f>
        <v>0</v>
      </c>
      <c r="G5084" s="34" t="n">
        <f aca="false">SUMIFS('12.326ana'!$C:$C,'12.326ana'!$M:$M,redes!A5084)</f>
        <v>0</v>
      </c>
    </row>
    <row r="5085" customFormat="false" ht="14.4" hidden="true" customHeight="false" outlineLevel="0" collapsed="false">
      <c r="A5085" s="34" t="n">
        <v>94032564191</v>
      </c>
      <c r="B5085" s="34" t="s">
        <v>11820</v>
      </c>
      <c r="C5085" s="34" t="s">
        <v>77</v>
      </c>
      <c r="E5085" s="30"/>
      <c r="F5085" s="34" t="n">
        <f aca="false">IFERROR(VLOOKUP($A5085,'319'!$B:$H,7,0),0)</f>
        <v>0</v>
      </c>
      <c r="G5085" s="34" t="n">
        <f aca="false">SUMIFS('12.326ana'!$C:$C,'12.326ana'!$M:$M,redes!A5085)</f>
        <v>0</v>
      </c>
    </row>
    <row r="5086" customFormat="false" ht="14.4" hidden="true" customHeight="false" outlineLevel="0" collapsed="false">
      <c r="A5086" s="34" t="n">
        <v>94119570134</v>
      </c>
      <c r="B5086" s="34" t="s">
        <v>11821</v>
      </c>
      <c r="C5086" s="34" t="s">
        <v>77</v>
      </c>
      <c r="E5086" s="30" t="s">
        <v>3013</v>
      </c>
      <c r="F5086" s="34" t="n">
        <f aca="false">IFERROR(VLOOKUP($A5086,'319'!$B:$H,7,0),0)</f>
        <v>0</v>
      </c>
      <c r="G5086" s="34" t="n">
        <f aca="false">SUMIFS('12.326ana'!$C:$C,'12.326ana'!$M:$M,redes!A5086)</f>
        <v>0</v>
      </c>
    </row>
    <row r="5087" customFormat="false" ht="14.4" hidden="true" customHeight="false" outlineLevel="0" collapsed="false">
      <c r="A5087" s="34" t="n">
        <v>94119899187</v>
      </c>
      <c r="B5087" s="34" t="s">
        <v>11822</v>
      </c>
      <c r="C5087" s="34" t="s">
        <v>139</v>
      </c>
      <c r="E5087" s="30" t="s">
        <v>6917</v>
      </c>
      <c r="F5087" s="34" t="n">
        <f aca="false">IFERROR(VLOOKUP($A5087,'319'!$B:$H,7,0),0)</f>
        <v>0</v>
      </c>
      <c r="G5087" s="34" t="n">
        <f aca="false">SUMIFS('12.326ana'!$C:$C,'12.326ana'!$M:$M,redes!A5087)</f>
        <v>0</v>
      </c>
    </row>
    <row r="5088" customFormat="false" ht="14.4" hidden="true" customHeight="false" outlineLevel="0" collapsed="false">
      <c r="A5088" s="34" t="n">
        <v>94153280100</v>
      </c>
      <c r="B5088" s="34" t="s">
        <v>11823</v>
      </c>
      <c r="C5088" s="34" t="s">
        <v>1680</v>
      </c>
      <c r="E5088" s="30" t="s">
        <v>11824</v>
      </c>
      <c r="F5088" s="34" t="n">
        <f aca="false">IFERROR(VLOOKUP($A5088,'319'!$B:$H,7,0),0)</f>
        <v>0</v>
      </c>
      <c r="G5088" s="34" t="n">
        <f aca="false">SUMIFS('12.326ana'!$C:$C,'12.326ana'!$M:$M,redes!A5088)</f>
        <v>0</v>
      </c>
    </row>
    <row r="5089" customFormat="false" ht="14.4" hidden="true" customHeight="false" outlineLevel="0" collapsed="false">
      <c r="A5089" s="34" t="n">
        <v>94192847191</v>
      </c>
      <c r="B5089" s="34" t="s">
        <v>11825</v>
      </c>
      <c r="C5089" s="34" t="s">
        <v>103</v>
      </c>
      <c r="E5089" s="30" t="s">
        <v>11826</v>
      </c>
      <c r="F5089" s="34" t="n">
        <f aca="false">IFERROR(VLOOKUP($A5089,'319'!$B:$H,7,0),0)</f>
        <v>0</v>
      </c>
      <c r="G5089" s="34" t="n">
        <f aca="false">SUMIFS('12.326ana'!$C:$C,'12.326ana'!$M:$M,redes!A5089)</f>
        <v>0</v>
      </c>
    </row>
    <row r="5090" customFormat="false" ht="14.4" hidden="true" customHeight="false" outlineLevel="0" collapsed="false">
      <c r="A5090" s="34" t="n">
        <v>94209707104</v>
      </c>
      <c r="B5090" s="34" t="s">
        <v>11827</v>
      </c>
      <c r="C5090" s="34" t="s">
        <v>464</v>
      </c>
      <c r="E5090" s="30" t="s">
        <v>11828</v>
      </c>
      <c r="F5090" s="34" t="n">
        <f aca="false">IFERROR(VLOOKUP($A5090,'319'!$B:$H,7,0),0)</f>
        <v>0</v>
      </c>
      <c r="G5090" s="34" t="n">
        <f aca="false">SUMIFS('12.326ana'!$C:$C,'12.326ana'!$M:$M,redes!A5090)</f>
        <v>0</v>
      </c>
    </row>
    <row r="5091" customFormat="false" ht="14.4" hidden="true" customHeight="false" outlineLevel="0" collapsed="false">
      <c r="A5091" s="34" t="n">
        <v>94211930168</v>
      </c>
      <c r="B5091" s="34" t="s">
        <v>11829</v>
      </c>
      <c r="C5091" s="34" t="s">
        <v>77</v>
      </c>
      <c r="E5091" s="30" t="s">
        <v>11830</v>
      </c>
      <c r="F5091" s="34" t="n">
        <f aca="false">IFERROR(VLOOKUP($A5091,'319'!$B:$H,7,0),0)</f>
        <v>0</v>
      </c>
      <c r="G5091" s="34" t="n">
        <f aca="false">SUMIFS('12.326ana'!$C:$C,'12.326ana'!$M:$M,redes!A5091)</f>
        <v>0</v>
      </c>
    </row>
    <row r="5092" customFormat="false" ht="14.4" hidden="true" customHeight="false" outlineLevel="0" collapsed="false">
      <c r="A5092" s="34" t="n">
        <v>94214069153</v>
      </c>
      <c r="B5092" s="34" t="s">
        <v>11831</v>
      </c>
      <c r="C5092" s="34" t="s">
        <v>77</v>
      </c>
      <c r="E5092" s="30" t="s">
        <v>11832</v>
      </c>
      <c r="F5092" s="34" t="n">
        <f aca="false">IFERROR(VLOOKUP($A5092,'319'!$B:$H,7,0),0)</f>
        <v>0</v>
      </c>
      <c r="G5092" s="34" t="n">
        <f aca="false">SUMIFS('12.326ana'!$C:$C,'12.326ana'!$M:$M,redes!A5092)</f>
        <v>0</v>
      </c>
    </row>
    <row r="5093" customFormat="false" ht="14.4" hidden="true" customHeight="false" outlineLevel="0" collapsed="false">
      <c r="A5093" s="34" t="n">
        <v>94220760130</v>
      </c>
      <c r="B5093" s="34" t="s">
        <v>11833</v>
      </c>
      <c r="C5093" s="34" t="s">
        <v>631</v>
      </c>
      <c r="E5093" s="30" t="s">
        <v>3540</v>
      </c>
      <c r="F5093" s="34" t="n">
        <f aca="false">IFERROR(VLOOKUP($A5093,'319'!$B:$H,7,0),0)</f>
        <v>0</v>
      </c>
      <c r="G5093" s="34" t="n">
        <f aca="false">SUMIFS('12.326ana'!$C:$C,'12.326ana'!$M:$M,redes!A5093)</f>
        <v>0</v>
      </c>
    </row>
    <row r="5094" customFormat="false" ht="14.4" hidden="true" customHeight="false" outlineLevel="0" collapsed="false">
      <c r="A5094" s="34" t="n">
        <v>94315310115</v>
      </c>
      <c r="B5094" s="34" t="s">
        <v>11834</v>
      </c>
      <c r="C5094" s="34" t="s">
        <v>103</v>
      </c>
      <c r="E5094" s="30" t="s">
        <v>6376</v>
      </c>
      <c r="F5094" s="34" t="n">
        <f aca="false">IFERROR(VLOOKUP($A5094,'319'!$B:$H,7,0),0)</f>
        <v>0</v>
      </c>
      <c r="G5094" s="34" t="n">
        <f aca="false">SUMIFS('12.326ana'!$C:$C,'12.326ana'!$M:$M,redes!A5094)</f>
        <v>0</v>
      </c>
    </row>
    <row r="5095" customFormat="false" ht="14.4" hidden="true" customHeight="false" outlineLevel="0" collapsed="false">
      <c r="A5095" s="34" t="n">
        <v>94327742104</v>
      </c>
      <c r="B5095" s="34" t="s">
        <v>11835</v>
      </c>
      <c r="C5095" s="34" t="s">
        <v>77</v>
      </c>
      <c r="E5095" s="30" t="s">
        <v>11836</v>
      </c>
      <c r="F5095" s="34" t="n">
        <f aca="false">IFERROR(VLOOKUP($A5095,'319'!$B:$H,7,0),0)</f>
        <v>0</v>
      </c>
      <c r="G5095" s="34" t="n">
        <f aca="false">SUMIFS('12.326ana'!$C:$C,'12.326ana'!$M:$M,redes!A5095)</f>
        <v>0</v>
      </c>
    </row>
    <row r="5096" customFormat="false" ht="14.4" hidden="true" customHeight="false" outlineLevel="0" collapsed="false">
      <c r="A5096" s="34" t="n">
        <v>94333653134</v>
      </c>
      <c r="B5096" s="34" t="s">
        <v>11837</v>
      </c>
      <c r="C5096" s="34" t="s">
        <v>77</v>
      </c>
      <c r="E5096" s="30" t="s">
        <v>11838</v>
      </c>
      <c r="F5096" s="34" t="n">
        <f aca="false">IFERROR(VLOOKUP($A5096,'319'!$B:$H,7,0),0)</f>
        <v>0</v>
      </c>
      <c r="G5096" s="34" t="n">
        <f aca="false">SUMIFS('12.326ana'!$C:$C,'12.326ana'!$M:$M,redes!A5096)</f>
        <v>0</v>
      </c>
    </row>
    <row r="5097" customFormat="false" ht="14.4" hidden="true" customHeight="false" outlineLevel="0" collapsed="false">
      <c r="A5097" s="34" t="n">
        <v>94374015191</v>
      </c>
      <c r="B5097" s="34" t="s">
        <v>11839</v>
      </c>
      <c r="C5097" s="34" t="s">
        <v>77</v>
      </c>
      <c r="E5097" s="30" t="s">
        <v>11840</v>
      </c>
      <c r="F5097" s="34" t="n">
        <f aca="false">IFERROR(VLOOKUP($A5097,'319'!$B:$H,7,0),0)</f>
        <v>0</v>
      </c>
      <c r="G5097" s="34" t="n">
        <f aca="false">SUMIFS('12.326ana'!$C:$C,'12.326ana'!$M:$M,redes!A5097)</f>
        <v>0</v>
      </c>
    </row>
    <row r="5098" customFormat="false" ht="14.4" hidden="true" customHeight="false" outlineLevel="0" collapsed="false">
      <c r="A5098" s="34" t="n">
        <v>94374414134</v>
      </c>
      <c r="B5098" s="34" t="s">
        <v>11841</v>
      </c>
      <c r="C5098" s="34" t="s">
        <v>77</v>
      </c>
      <c r="E5098" s="30" t="s">
        <v>11842</v>
      </c>
      <c r="F5098" s="34" t="n">
        <f aca="false">IFERROR(VLOOKUP($A5098,'319'!$B:$H,7,0),0)</f>
        <v>0</v>
      </c>
      <c r="G5098" s="34" t="n">
        <f aca="false">SUMIFS('12.326ana'!$C:$C,'12.326ana'!$M:$M,redes!A5098)</f>
        <v>0</v>
      </c>
    </row>
    <row r="5099" customFormat="false" ht="14.4" hidden="true" customHeight="false" outlineLevel="0" collapsed="false">
      <c r="A5099" s="34" t="n">
        <v>94445087815</v>
      </c>
      <c r="B5099" s="34" t="s">
        <v>11843</v>
      </c>
      <c r="C5099" s="34" t="s">
        <v>77</v>
      </c>
      <c r="E5099" s="30" t="s">
        <v>11843</v>
      </c>
      <c r="F5099" s="34" t="n">
        <f aca="false">IFERROR(VLOOKUP($A5099,'319'!$B:$H,7,0),0)</f>
        <v>0</v>
      </c>
      <c r="G5099" s="34" t="n">
        <f aca="false">SUMIFS('12.326ana'!$C:$C,'12.326ana'!$M:$M,redes!A5099)</f>
        <v>0</v>
      </c>
    </row>
    <row r="5100" customFormat="false" ht="14.4" hidden="true" customHeight="false" outlineLevel="0" collapsed="false">
      <c r="A5100" s="34" t="n">
        <v>94497826104</v>
      </c>
      <c r="B5100" s="34" t="s">
        <v>11844</v>
      </c>
      <c r="C5100" s="34" t="s">
        <v>77</v>
      </c>
      <c r="E5100" s="30" t="s">
        <v>11845</v>
      </c>
      <c r="F5100" s="34" t="n">
        <f aca="false">IFERROR(VLOOKUP($A5100,'319'!$B:$H,7,0),0)</f>
        <v>0</v>
      </c>
      <c r="G5100" s="34" t="n">
        <f aca="false">SUMIFS('12.326ana'!$C:$C,'12.326ana'!$M:$M,redes!A5100)</f>
        <v>0</v>
      </c>
    </row>
    <row r="5101" customFormat="false" ht="14.4" hidden="true" customHeight="false" outlineLevel="0" collapsed="false">
      <c r="A5101" s="34" t="n">
        <v>94499110106</v>
      </c>
      <c r="B5101" s="34" t="s">
        <v>11846</v>
      </c>
      <c r="C5101" s="34" t="s">
        <v>107</v>
      </c>
      <c r="E5101" s="30" t="s">
        <v>11847</v>
      </c>
      <c r="F5101" s="34" t="n">
        <f aca="false">IFERROR(VLOOKUP($A5101,'319'!$B:$H,7,0),0)</f>
        <v>0</v>
      </c>
      <c r="G5101" s="34" t="n">
        <f aca="false">SUMIFS('12.326ana'!$C:$C,'12.326ana'!$M:$M,redes!A5101)</f>
        <v>0</v>
      </c>
    </row>
    <row r="5102" customFormat="false" ht="14.4" hidden="true" customHeight="false" outlineLevel="0" collapsed="false">
      <c r="A5102" s="34" t="n">
        <v>94500126104</v>
      </c>
      <c r="B5102" s="34" t="s">
        <v>11848</v>
      </c>
      <c r="C5102" s="34" t="s">
        <v>309</v>
      </c>
      <c r="E5102" s="30" t="s">
        <v>11849</v>
      </c>
      <c r="F5102" s="34" t="n">
        <f aca="false">IFERROR(VLOOKUP($A5102,'319'!$B:$H,7,0),0)</f>
        <v>0</v>
      </c>
      <c r="G5102" s="34" t="n">
        <f aca="false">SUMIFS('12.326ana'!$C:$C,'12.326ana'!$M:$M,redes!A5102)</f>
        <v>0</v>
      </c>
    </row>
    <row r="5103" customFormat="false" ht="14.4" hidden="true" customHeight="false" outlineLevel="0" collapsed="false">
      <c r="A5103" s="34" t="n">
        <v>94511942153</v>
      </c>
      <c r="B5103" s="34" t="s">
        <v>11850</v>
      </c>
      <c r="C5103" s="34" t="s">
        <v>405</v>
      </c>
      <c r="E5103" s="30"/>
      <c r="F5103" s="34" t="n">
        <f aca="false">IFERROR(VLOOKUP($A5103,'319'!$B:$H,7,0),0)</f>
        <v>0</v>
      </c>
      <c r="G5103" s="34" t="n">
        <f aca="false">SUMIFS('12.326ana'!$C:$C,'12.326ana'!$M:$M,redes!A5103)</f>
        <v>0</v>
      </c>
    </row>
    <row r="5104" customFormat="false" ht="14.4" hidden="true" customHeight="false" outlineLevel="0" collapsed="false">
      <c r="A5104" s="34" t="n">
        <v>94522278187</v>
      </c>
      <c r="B5104" s="34" t="s">
        <v>11851</v>
      </c>
      <c r="C5104" s="34" t="s">
        <v>77</v>
      </c>
      <c r="E5104" s="30" t="s">
        <v>11852</v>
      </c>
      <c r="F5104" s="34" t="n">
        <f aca="false">IFERROR(VLOOKUP($A5104,'319'!$B:$H,7,0),0)</f>
        <v>0</v>
      </c>
      <c r="G5104" s="34" t="n">
        <f aca="false">SUMIFS('12.326ana'!$C:$C,'12.326ana'!$M:$M,redes!A5104)</f>
        <v>0</v>
      </c>
    </row>
    <row r="5105" customFormat="false" ht="14.4" hidden="true" customHeight="false" outlineLevel="0" collapsed="false">
      <c r="A5105" s="34" t="n">
        <v>94536031120</v>
      </c>
      <c r="B5105" s="34" t="s">
        <v>11853</v>
      </c>
      <c r="C5105" s="34" t="s">
        <v>1680</v>
      </c>
      <c r="E5105" s="30" t="s">
        <v>11854</v>
      </c>
      <c r="F5105" s="34" t="n">
        <f aca="false">IFERROR(VLOOKUP($A5105,'319'!$B:$H,7,0),0)</f>
        <v>0</v>
      </c>
      <c r="G5105" s="34" t="n">
        <f aca="false">SUMIFS('12.326ana'!$C:$C,'12.326ana'!$M:$M,redes!A5105)</f>
        <v>0</v>
      </c>
    </row>
    <row r="5106" customFormat="false" ht="14.4" hidden="true" customHeight="false" outlineLevel="0" collapsed="false">
      <c r="A5106" s="34" t="n">
        <v>94546576153</v>
      </c>
      <c r="B5106" s="34" t="s">
        <v>11855</v>
      </c>
      <c r="C5106" s="34" t="s">
        <v>979</v>
      </c>
      <c r="E5106" s="30" t="s">
        <v>11856</v>
      </c>
      <c r="F5106" s="34" t="n">
        <f aca="false">IFERROR(VLOOKUP($A5106,'319'!$B:$H,7,0),0)</f>
        <v>0</v>
      </c>
      <c r="G5106" s="34" t="n">
        <f aca="false">SUMIFS('12.326ana'!$C:$C,'12.326ana'!$M:$M,redes!A5106)</f>
        <v>0</v>
      </c>
    </row>
    <row r="5107" customFormat="false" ht="14.4" hidden="true" customHeight="false" outlineLevel="0" collapsed="false">
      <c r="A5107" s="34" t="n">
        <v>94592594991</v>
      </c>
      <c r="B5107" s="34" t="s">
        <v>11857</v>
      </c>
      <c r="C5107" s="34" t="s">
        <v>77</v>
      </c>
      <c r="E5107" s="30" t="s">
        <v>5226</v>
      </c>
      <c r="F5107" s="34" t="n">
        <f aca="false">IFERROR(VLOOKUP($A5107,'319'!$B:$H,7,0),0)</f>
        <v>0</v>
      </c>
      <c r="G5107" s="34" t="n">
        <f aca="false">SUMIFS('12.326ana'!$C:$C,'12.326ana'!$M:$M,redes!A5107)</f>
        <v>0</v>
      </c>
    </row>
    <row r="5108" customFormat="false" ht="14.4" hidden="true" customHeight="false" outlineLevel="0" collapsed="false">
      <c r="A5108" s="34" t="n">
        <v>94619654191</v>
      </c>
      <c r="B5108" s="34" t="s">
        <v>11858</v>
      </c>
      <c r="C5108" s="34" t="s">
        <v>192</v>
      </c>
      <c r="E5108" s="30" t="s">
        <v>10975</v>
      </c>
      <c r="F5108" s="34" t="n">
        <f aca="false">IFERROR(VLOOKUP($A5108,'319'!$B:$H,7,0),0)</f>
        <v>0</v>
      </c>
      <c r="G5108" s="34" t="n">
        <f aca="false">SUMIFS('12.326ana'!$C:$C,'12.326ana'!$M:$M,redes!A5108)</f>
        <v>0</v>
      </c>
    </row>
    <row r="5109" customFormat="false" ht="14.4" hidden="true" customHeight="false" outlineLevel="0" collapsed="false">
      <c r="A5109" s="34" t="n">
        <v>94672172104</v>
      </c>
      <c r="B5109" s="34" t="s">
        <v>11859</v>
      </c>
      <c r="C5109" s="34" t="s">
        <v>103</v>
      </c>
      <c r="E5109" s="30"/>
      <c r="F5109" s="34" t="n">
        <f aca="false">IFERROR(VLOOKUP($A5109,'319'!$B:$H,7,0),0)</f>
        <v>0</v>
      </c>
      <c r="G5109" s="34" t="n">
        <f aca="false">SUMIFS('12.326ana'!$C:$C,'12.326ana'!$M:$M,redes!A5109)</f>
        <v>0</v>
      </c>
    </row>
    <row r="5110" customFormat="false" ht="14.4" hidden="true" customHeight="false" outlineLevel="0" collapsed="false">
      <c r="A5110" s="34" t="n">
        <v>94673730178</v>
      </c>
      <c r="B5110" s="34" t="s">
        <v>11860</v>
      </c>
      <c r="C5110" s="34" t="s">
        <v>1054</v>
      </c>
      <c r="E5110" s="30" t="s">
        <v>11861</v>
      </c>
      <c r="F5110" s="34" t="n">
        <f aca="false">IFERROR(VLOOKUP($A5110,'319'!$B:$H,7,0),0)</f>
        <v>0</v>
      </c>
      <c r="G5110" s="34" t="n">
        <f aca="false">SUMIFS('12.326ana'!$C:$C,'12.326ana'!$M:$M,redes!A5110)</f>
        <v>0</v>
      </c>
    </row>
    <row r="5111" customFormat="false" ht="14.4" hidden="true" customHeight="false" outlineLevel="0" collapsed="false">
      <c r="A5111" s="34" t="n">
        <v>94720053904</v>
      </c>
      <c r="B5111" s="34" t="s">
        <v>11862</v>
      </c>
      <c r="C5111" s="34" t="s">
        <v>377</v>
      </c>
      <c r="E5111" s="30" t="s">
        <v>11863</v>
      </c>
      <c r="F5111" s="34" t="n">
        <f aca="false">IFERROR(VLOOKUP($A5111,'319'!$B:$H,7,0),0)</f>
        <v>0</v>
      </c>
      <c r="G5111" s="34" t="n">
        <f aca="false">SUMIFS('12.326ana'!$C:$C,'12.326ana'!$M:$M,redes!A5111)</f>
        <v>0</v>
      </c>
    </row>
    <row r="5112" customFormat="false" ht="14.4" hidden="true" customHeight="false" outlineLevel="0" collapsed="false">
      <c r="A5112" s="34" t="n">
        <v>94733210159</v>
      </c>
      <c r="B5112" s="34" t="s">
        <v>11864</v>
      </c>
      <c r="C5112" s="34" t="s">
        <v>77</v>
      </c>
      <c r="E5112" s="30" t="s">
        <v>11865</v>
      </c>
      <c r="F5112" s="34" t="n">
        <f aca="false">IFERROR(VLOOKUP($A5112,'319'!$B:$H,7,0),0)</f>
        <v>0</v>
      </c>
      <c r="G5112" s="34" t="n">
        <f aca="false">SUMIFS('12.326ana'!$C:$C,'12.326ana'!$M:$M,redes!A5112)</f>
        <v>0</v>
      </c>
    </row>
    <row r="5113" customFormat="false" ht="14.4" hidden="true" customHeight="false" outlineLevel="0" collapsed="false">
      <c r="A5113" s="34" t="n">
        <v>94736960191</v>
      </c>
      <c r="B5113" s="34" t="s">
        <v>11866</v>
      </c>
      <c r="C5113" s="34" t="s">
        <v>107</v>
      </c>
      <c r="E5113" s="30" t="s">
        <v>11867</v>
      </c>
      <c r="F5113" s="34" t="n">
        <f aca="false">IFERROR(VLOOKUP($A5113,'319'!$B:$H,7,0),0)</f>
        <v>0</v>
      </c>
      <c r="G5113" s="34" t="n">
        <f aca="false">SUMIFS('12.326ana'!$C:$C,'12.326ana'!$M:$M,redes!A5113)</f>
        <v>0</v>
      </c>
    </row>
    <row r="5114" customFormat="false" ht="14.4" hidden="true" customHeight="false" outlineLevel="0" collapsed="false">
      <c r="A5114" s="34" t="n">
        <v>94751390104</v>
      </c>
      <c r="B5114" s="34" t="s">
        <v>11868</v>
      </c>
      <c r="C5114" s="34" t="s">
        <v>77</v>
      </c>
      <c r="E5114" s="30" t="s">
        <v>11869</v>
      </c>
      <c r="F5114" s="34" t="n">
        <f aca="false">IFERROR(VLOOKUP($A5114,'319'!$B:$H,7,0),0)</f>
        <v>0</v>
      </c>
      <c r="G5114" s="34" t="n">
        <f aca="false">SUMIFS('12.326ana'!$C:$C,'12.326ana'!$M:$M,redes!A5114)</f>
        <v>0</v>
      </c>
    </row>
    <row r="5115" customFormat="false" ht="14.4" hidden="true" customHeight="false" outlineLevel="0" collapsed="false">
      <c r="A5115" s="34" t="n">
        <v>94761930187</v>
      </c>
      <c r="B5115" s="34" t="s">
        <v>11870</v>
      </c>
      <c r="C5115" s="34" t="s">
        <v>77</v>
      </c>
      <c r="E5115" s="30" t="s">
        <v>11871</v>
      </c>
      <c r="F5115" s="34" t="n">
        <f aca="false">IFERROR(VLOOKUP($A5115,'319'!$B:$H,7,0),0)</f>
        <v>0</v>
      </c>
      <c r="G5115" s="34" t="n">
        <f aca="false">SUMIFS('12.326ana'!$C:$C,'12.326ana'!$M:$M,redes!A5115)</f>
        <v>0</v>
      </c>
    </row>
    <row r="5116" customFormat="false" ht="14.4" hidden="true" customHeight="false" outlineLevel="0" collapsed="false">
      <c r="A5116" s="34" t="n">
        <v>94784698191</v>
      </c>
      <c r="B5116" s="34" t="s">
        <v>11872</v>
      </c>
      <c r="C5116" s="34" t="s">
        <v>604</v>
      </c>
      <c r="E5116" s="30" t="s">
        <v>11873</v>
      </c>
      <c r="F5116" s="34" t="n">
        <f aca="false">IFERROR(VLOOKUP($A5116,'319'!$B:$H,7,0),0)</f>
        <v>0</v>
      </c>
      <c r="G5116" s="34" t="n">
        <f aca="false">SUMIFS('12.326ana'!$C:$C,'12.326ana'!$M:$M,redes!A5116)</f>
        <v>0</v>
      </c>
    </row>
    <row r="5117" customFormat="false" ht="14.4" hidden="true" customHeight="false" outlineLevel="0" collapsed="false">
      <c r="A5117" s="34" t="n">
        <v>94788430100</v>
      </c>
      <c r="B5117" s="34" t="s">
        <v>11874</v>
      </c>
      <c r="C5117" s="34" t="s">
        <v>309</v>
      </c>
      <c r="E5117" s="30" t="s">
        <v>11875</v>
      </c>
      <c r="F5117" s="34" t="n">
        <f aca="false">IFERROR(VLOOKUP($A5117,'319'!$B:$H,7,0),0)</f>
        <v>0</v>
      </c>
      <c r="G5117" s="34" t="n">
        <f aca="false">SUMIFS('12.326ana'!$C:$C,'12.326ana'!$M:$M,redes!A5117)</f>
        <v>0</v>
      </c>
    </row>
    <row r="5118" customFormat="false" ht="14.4" hidden="true" customHeight="false" outlineLevel="0" collapsed="false">
      <c r="A5118" s="34" t="n">
        <v>94804290125</v>
      </c>
      <c r="B5118" s="34" t="s">
        <v>11876</v>
      </c>
      <c r="C5118" s="34" t="s">
        <v>77</v>
      </c>
      <c r="E5118" s="30" t="s">
        <v>11877</v>
      </c>
      <c r="F5118" s="34" t="n">
        <f aca="false">IFERROR(VLOOKUP($A5118,'319'!$B:$H,7,0),0)</f>
        <v>0</v>
      </c>
      <c r="G5118" s="34" t="n">
        <f aca="false">SUMIFS('12.326ana'!$C:$C,'12.326ana'!$M:$M,redes!A5118)</f>
        <v>0</v>
      </c>
    </row>
    <row r="5119" customFormat="false" ht="14.4" hidden="true" customHeight="false" outlineLevel="0" collapsed="false">
      <c r="A5119" s="34" t="n">
        <v>94806691100</v>
      </c>
      <c r="B5119" s="34" t="s">
        <v>11878</v>
      </c>
      <c r="C5119" s="34" t="s">
        <v>309</v>
      </c>
      <c r="E5119" s="30" t="s">
        <v>7337</v>
      </c>
      <c r="F5119" s="34" t="n">
        <f aca="false">IFERROR(VLOOKUP($A5119,'319'!$B:$H,7,0),0)</f>
        <v>0</v>
      </c>
      <c r="G5119" s="34" t="n">
        <f aca="false">SUMIFS('12.326ana'!$C:$C,'12.326ana'!$M:$M,redes!A5119)</f>
        <v>0</v>
      </c>
    </row>
    <row r="5120" customFormat="false" ht="14.4" hidden="true" customHeight="false" outlineLevel="0" collapsed="false">
      <c r="A5120" s="34" t="n">
        <v>94847061187</v>
      </c>
      <c r="B5120" s="34" t="s">
        <v>11879</v>
      </c>
      <c r="C5120" s="34" t="s">
        <v>463</v>
      </c>
      <c r="E5120" s="30" t="s">
        <v>3275</v>
      </c>
      <c r="F5120" s="34" t="n">
        <f aca="false">IFERROR(VLOOKUP($A5120,'319'!$B:$H,7,0),0)</f>
        <v>0</v>
      </c>
      <c r="G5120" s="34" t="n">
        <f aca="false">SUMIFS('12.326ana'!$C:$C,'12.326ana'!$M:$M,redes!A5120)</f>
        <v>0</v>
      </c>
    </row>
    <row r="5121" customFormat="false" ht="14.4" hidden="true" customHeight="false" outlineLevel="0" collapsed="false">
      <c r="A5121" s="34" t="n">
        <v>94876541868</v>
      </c>
      <c r="B5121" s="34" t="s">
        <v>11880</v>
      </c>
      <c r="C5121" s="34" t="s">
        <v>77</v>
      </c>
      <c r="E5121" s="30" t="s">
        <v>11881</v>
      </c>
      <c r="F5121" s="34" t="n">
        <f aca="false">IFERROR(VLOOKUP($A5121,'319'!$B:$H,7,0),0)</f>
        <v>0</v>
      </c>
      <c r="G5121" s="34" t="n">
        <f aca="false">SUMIFS('12.326ana'!$C:$C,'12.326ana'!$M:$M,redes!A5121)</f>
        <v>0</v>
      </c>
    </row>
    <row r="5122" customFormat="false" ht="14.4" hidden="true" customHeight="false" outlineLevel="0" collapsed="false">
      <c r="A5122" s="34" t="n">
        <v>94886750125</v>
      </c>
      <c r="B5122" s="34" t="s">
        <v>11882</v>
      </c>
      <c r="C5122" s="34" t="s">
        <v>77</v>
      </c>
      <c r="E5122" s="30"/>
      <c r="F5122" s="34" t="n">
        <f aca="false">IFERROR(VLOOKUP($A5122,'319'!$B:$H,7,0),0)</f>
        <v>0</v>
      </c>
      <c r="G5122" s="34" t="n">
        <f aca="false">SUMIFS('12.326ana'!$C:$C,'12.326ana'!$M:$M,redes!A5122)</f>
        <v>0</v>
      </c>
    </row>
    <row r="5123" customFormat="false" ht="14.4" hidden="true" customHeight="false" outlineLevel="0" collapsed="false">
      <c r="A5123" s="34" t="n">
        <v>94908362149</v>
      </c>
      <c r="B5123" s="34" t="s">
        <v>11883</v>
      </c>
      <c r="C5123" s="34" t="s">
        <v>103</v>
      </c>
      <c r="E5123" s="30" t="s">
        <v>11884</v>
      </c>
      <c r="F5123" s="34" t="n">
        <f aca="false">IFERROR(VLOOKUP($A5123,'319'!$B:$H,7,0),0)</f>
        <v>0</v>
      </c>
      <c r="G5123" s="34" t="n">
        <f aca="false">SUMIFS('12.326ana'!$C:$C,'12.326ana'!$M:$M,redes!A5123)</f>
        <v>0</v>
      </c>
    </row>
    <row r="5124" customFormat="false" ht="14.4" hidden="true" customHeight="false" outlineLevel="0" collapsed="false">
      <c r="A5124" s="34" t="n">
        <v>94957754187</v>
      </c>
      <c r="B5124" s="34" t="s">
        <v>11885</v>
      </c>
      <c r="C5124" s="34" t="s">
        <v>77</v>
      </c>
      <c r="E5124" s="30" t="s">
        <v>11886</v>
      </c>
      <c r="F5124" s="34" t="n">
        <f aca="false">IFERROR(VLOOKUP($A5124,'319'!$B:$H,7,0),0)</f>
        <v>0</v>
      </c>
      <c r="G5124" s="34" t="n">
        <f aca="false">SUMIFS('12.326ana'!$C:$C,'12.326ana'!$M:$M,redes!A5124)</f>
        <v>0</v>
      </c>
    </row>
    <row r="5125" customFormat="false" ht="14.4" hidden="true" customHeight="false" outlineLevel="0" collapsed="false">
      <c r="A5125" s="34" t="n">
        <v>94970173168</v>
      </c>
      <c r="B5125" s="34" t="s">
        <v>11887</v>
      </c>
      <c r="C5125" s="34" t="s">
        <v>77</v>
      </c>
      <c r="E5125" s="30"/>
      <c r="F5125" s="34" t="n">
        <f aca="false">IFERROR(VLOOKUP($A5125,'319'!$B:$H,7,0),0)</f>
        <v>0</v>
      </c>
      <c r="G5125" s="34" t="n">
        <f aca="false">SUMIFS('12.326ana'!$C:$C,'12.326ana'!$M:$M,redes!A5125)</f>
        <v>0</v>
      </c>
    </row>
    <row r="5126" customFormat="false" ht="14.4" hidden="true" customHeight="false" outlineLevel="0" collapsed="false">
      <c r="A5126" s="34" t="n">
        <v>94973563153</v>
      </c>
      <c r="B5126" s="34" t="s">
        <v>11888</v>
      </c>
      <c r="C5126" s="34" t="s">
        <v>77</v>
      </c>
      <c r="E5126" s="30" t="s">
        <v>3162</v>
      </c>
      <c r="F5126" s="34" t="n">
        <f aca="false">IFERROR(VLOOKUP($A5126,'319'!$B:$H,7,0),0)</f>
        <v>0</v>
      </c>
      <c r="G5126" s="34" t="n">
        <f aca="false">SUMIFS('12.326ana'!$C:$C,'12.326ana'!$M:$M,redes!A5126)</f>
        <v>0</v>
      </c>
    </row>
    <row r="5127" customFormat="false" ht="14.4" hidden="true" customHeight="false" outlineLevel="0" collapsed="false">
      <c r="A5127" s="34" t="n">
        <v>94978891191</v>
      </c>
      <c r="B5127" s="34" t="s">
        <v>11889</v>
      </c>
      <c r="C5127" s="34" t="s">
        <v>377</v>
      </c>
      <c r="E5127" s="30" t="s">
        <v>11890</v>
      </c>
      <c r="F5127" s="34" t="n">
        <f aca="false">IFERROR(VLOOKUP($A5127,'319'!$B:$H,7,0),0)</f>
        <v>0</v>
      </c>
      <c r="G5127" s="34" t="n">
        <f aca="false">SUMIFS('12.326ana'!$C:$C,'12.326ana'!$M:$M,redes!A5127)</f>
        <v>0</v>
      </c>
    </row>
    <row r="5128" customFormat="false" ht="14.4" hidden="true" customHeight="false" outlineLevel="0" collapsed="false">
      <c r="A5128" s="34" t="n">
        <v>94983780106</v>
      </c>
      <c r="B5128" s="34" t="s">
        <v>11891</v>
      </c>
      <c r="C5128" s="34" t="s">
        <v>77</v>
      </c>
      <c r="E5128" s="30" t="s">
        <v>11892</v>
      </c>
      <c r="F5128" s="34" t="n">
        <f aca="false">IFERROR(VLOOKUP($A5128,'319'!$B:$H,7,0),0)</f>
        <v>0</v>
      </c>
      <c r="G5128" s="34" t="n">
        <f aca="false">SUMIFS('12.326ana'!$C:$C,'12.326ana'!$M:$M,redes!A5128)</f>
        <v>0</v>
      </c>
    </row>
    <row r="5129" customFormat="false" ht="14.4" hidden="true" customHeight="false" outlineLevel="0" collapsed="false">
      <c r="A5129" s="34" t="n">
        <v>94989303172</v>
      </c>
      <c r="B5129" s="34" t="s">
        <v>11893</v>
      </c>
      <c r="C5129" s="34" t="s">
        <v>77</v>
      </c>
      <c r="E5129" s="30" t="s">
        <v>11894</v>
      </c>
      <c r="F5129" s="34" t="n">
        <f aca="false">IFERROR(VLOOKUP($A5129,'319'!$B:$H,7,0),0)</f>
        <v>0</v>
      </c>
      <c r="G5129" s="34" t="n">
        <f aca="false">SUMIFS('12.326ana'!$C:$C,'12.326ana'!$M:$M,redes!A5129)</f>
        <v>0</v>
      </c>
    </row>
    <row r="5130" customFormat="false" ht="14.4" hidden="true" customHeight="false" outlineLevel="0" collapsed="false">
      <c r="A5130" s="34" t="n">
        <v>94989648153</v>
      </c>
      <c r="B5130" s="34" t="s">
        <v>11895</v>
      </c>
      <c r="C5130" s="34" t="s">
        <v>336</v>
      </c>
      <c r="E5130" s="30" t="s">
        <v>11896</v>
      </c>
      <c r="F5130" s="34" t="n">
        <f aca="false">IFERROR(VLOOKUP($A5130,'319'!$B:$H,7,0),0)</f>
        <v>0</v>
      </c>
      <c r="G5130" s="34" t="n">
        <f aca="false">SUMIFS('12.326ana'!$C:$C,'12.326ana'!$M:$M,redes!A5130)</f>
        <v>0</v>
      </c>
    </row>
    <row r="5131" customFormat="false" ht="14.4" hidden="true" customHeight="false" outlineLevel="0" collapsed="false">
      <c r="A5131" s="34" t="n">
        <v>94995044787</v>
      </c>
      <c r="B5131" s="34" t="s">
        <v>11897</v>
      </c>
      <c r="C5131" s="34" t="s">
        <v>77</v>
      </c>
      <c r="E5131" s="30" t="s">
        <v>4861</v>
      </c>
      <c r="F5131" s="34" t="n">
        <f aca="false">IFERROR(VLOOKUP($A5131,'319'!$B:$H,7,0),0)</f>
        <v>0</v>
      </c>
      <c r="G5131" s="34" t="n">
        <f aca="false">SUMIFS('12.326ana'!$C:$C,'12.326ana'!$M:$M,redes!A5131)</f>
        <v>0</v>
      </c>
    </row>
    <row r="5132" customFormat="false" ht="14.4" hidden="true" customHeight="false" outlineLevel="0" collapsed="false">
      <c r="A5132" s="34" t="n">
        <v>95034803100</v>
      </c>
      <c r="B5132" s="34" t="s">
        <v>11898</v>
      </c>
      <c r="C5132" s="34" t="s">
        <v>139</v>
      </c>
      <c r="E5132" s="30" t="s">
        <v>11899</v>
      </c>
      <c r="F5132" s="34" t="n">
        <f aca="false">IFERROR(VLOOKUP($A5132,'319'!$B:$H,7,0),0)</f>
        <v>0</v>
      </c>
      <c r="G5132" s="34" t="n">
        <f aca="false">SUMIFS('12.326ana'!$C:$C,'12.326ana'!$M:$M,redes!A5132)</f>
        <v>0</v>
      </c>
    </row>
    <row r="5133" customFormat="false" ht="14.4" hidden="true" customHeight="false" outlineLevel="0" collapsed="false">
      <c r="A5133" s="34" t="n">
        <v>95071512149</v>
      </c>
      <c r="B5133" s="34" t="s">
        <v>11900</v>
      </c>
      <c r="C5133" s="34" t="s">
        <v>103</v>
      </c>
      <c r="E5133" s="30" t="s">
        <v>11901</v>
      </c>
      <c r="F5133" s="34" t="n">
        <f aca="false">IFERROR(VLOOKUP($A5133,'319'!$B:$H,7,0),0)</f>
        <v>0</v>
      </c>
      <c r="G5133" s="34" t="n">
        <f aca="false">SUMIFS('12.326ana'!$C:$C,'12.326ana'!$M:$M,redes!A5133)</f>
        <v>0</v>
      </c>
    </row>
    <row r="5134" customFormat="false" ht="14.4" hidden="true" customHeight="false" outlineLevel="0" collapsed="false">
      <c r="A5134" s="34" t="n">
        <v>95078479104</v>
      </c>
      <c r="B5134" s="34" t="s">
        <v>11902</v>
      </c>
      <c r="C5134" s="34" t="s">
        <v>192</v>
      </c>
      <c r="E5134" s="30" t="s">
        <v>7828</v>
      </c>
      <c r="F5134" s="34" t="n">
        <f aca="false">IFERROR(VLOOKUP($A5134,'319'!$B:$H,7,0),0)</f>
        <v>0</v>
      </c>
      <c r="G5134" s="34" t="n">
        <f aca="false">SUMIFS('12.326ana'!$C:$C,'12.326ana'!$M:$M,redes!A5134)</f>
        <v>0</v>
      </c>
    </row>
    <row r="5135" customFormat="false" ht="14.4" hidden="true" customHeight="false" outlineLevel="0" collapsed="false">
      <c r="A5135" s="34" t="n">
        <v>95083162172</v>
      </c>
      <c r="B5135" s="34" t="s">
        <v>11903</v>
      </c>
      <c r="C5135" s="34" t="s">
        <v>77</v>
      </c>
      <c r="E5135" s="30" t="s">
        <v>11904</v>
      </c>
      <c r="F5135" s="34" t="n">
        <f aca="false">IFERROR(VLOOKUP($A5135,'319'!$B:$H,7,0),0)</f>
        <v>0</v>
      </c>
      <c r="G5135" s="34" t="n">
        <f aca="false">SUMIFS('12.326ana'!$C:$C,'12.326ana'!$M:$M,redes!A5135)</f>
        <v>0</v>
      </c>
    </row>
    <row r="5136" customFormat="false" ht="14.4" hidden="true" customHeight="false" outlineLevel="0" collapsed="false">
      <c r="A5136" s="34" t="n">
        <v>95085351134</v>
      </c>
      <c r="B5136" s="34" t="s">
        <v>11905</v>
      </c>
      <c r="C5136" s="34" t="s">
        <v>192</v>
      </c>
      <c r="E5136" s="30" t="s">
        <v>11906</v>
      </c>
      <c r="F5136" s="34" t="n">
        <f aca="false">IFERROR(VLOOKUP($A5136,'319'!$B:$H,7,0),0)</f>
        <v>0</v>
      </c>
      <c r="G5136" s="34" t="n">
        <f aca="false">SUMIFS('12.326ana'!$C:$C,'12.326ana'!$M:$M,redes!A5136)</f>
        <v>0</v>
      </c>
    </row>
    <row r="5137" customFormat="false" ht="14.4" hidden="true" customHeight="false" outlineLevel="0" collapsed="false">
      <c r="A5137" s="34" t="n">
        <v>95087010130</v>
      </c>
      <c r="B5137" s="34" t="s">
        <v>11907</v>
      </c>
      <c r="C5137" s="34" t="s">
        <v>77</v>
      </c>
      <c r="E5137" s="30" t="s">
        <v>11908</v>
      </c>
      <c r="F5137" s="34" t="n">
        <f aca="false">IFERROR(VLOOKUP($A5137,'319'!$B:$H,7,0),0)</f>
        <v>0</v>
      </c>
      <c r="G5137" s="34" t="n">
        <f aca="false">SUMIFS('12.326ana'!$C:$C,'12.326ana'!$M:$M,redes!A5137)</f>
        <v>0</v>
      </c>
    </row>
    <row r="5138" customFormat="false" ht="14.4" hidden="true" customHeight="false" outlineLevel="0" collapsed="false">
      <c r="A5138" s="34" t="n">
        <v>95116060187</v>
      </c>
      <c r="B5138" s="34" t="s">
        <v>11909</v>
      </c>
      <c r="C5138" s="34" t="s">
        <v>706</v>
      </c>
      <c r="E5138" s="30" t="s">
        <v>11910</v>
      </c>
      <c r="F5138" s="34" t="n">
        <f aca="false">IFERROR(VLOOKUP($A5138,'319'!$B:$H,7,0),0)</f>
        <v>0</v>
      </c>
      <c r="G5138" s="34" t="n">
        <f aca="false">SUMIFS('12.326ana'!$C:$C,'12.326ana'!$M:$M,redes!A5138)</f>
        <v>0</v>
      </c>
    </row>
    <row r="5139" customFormat="false" ht="14.4" hidden="true" customHeight="false" outlineLevel="0" collapsed="false">
      <c r="A5139" s="34" t="n">
        <v>95180907853</v>
      </c>
      <c r="B5139" s="34" t="s">
        <v>11911</v>
      </c>
      <c r="C5139" s="34" t="s">
        <v>77</v>
      </c>
      <c r="E5139" s="30"/>
      <c r="F5139" s="34" t="n">
        <f aca="false">IFERROR(VLOOKUP($A5139,'319'!$B:$H,7,0),0)</f>
        <v>0</v>
      </c>
      <c r="G5139" s="34" t="n">
        <f aca="false">SUMIFS('12.326ana'!$C:$C,'12.326ana'!$M:$M,redes!A5139)</f>
        <v>0</v>
      </c>
    </row>
    <row r="5140" customFormat="false" ht="14.4" hidden="true" customHeight="false" outlineLevel="0" collapsed="false">
      <c r="A5140" s="34" t="n">
        <v>95237372104</v>
      </c>
      <c r="B5140" s="34" t="s">
        <v>11912</v>
      </c>
      <c r="C5140" s="34" t="s">
        <v>309</v>
      </c>
      <c r="E5140" s="30" t="s">
        <v>11913</v>
      </c>
      <c r="F5140" s="34" t="n">
        <f aca="false">IFERROR(VLOOKUP($A5140,'319'!$B:$H,7,0),0)</f>
        <v>0</v>
      </c>
      <c r="G5140" s="34" t="n">
        <f aca="false">SUMIFS('12.326ana'!$C:$C,'12.326ana'!$M:$M,redes!A5140)</f>
        <v>0</v>
      </c>
    </row>
    <row r="5141" customFormat="false" ht="14.4" hidden="true" customHeight="false" outlineLevel="0" collapsed="false">
      <c r="A5141" s="34" t="n">
        <v>95246096149</v>
      </c>
      <c r="B5141" s="34" t="s">
        <v>11914</v>
      </c>
      <c r="C5141" s="34" t="s">
        <v>737</v>
      </c>
      <c r="E5141" s="30" t="s">
        <v>11915</v>
      </c>
      <c r="F5141" s="34" t="n">
        <f aca="false">IFERROR(VLOOKUP($A5141,'319'!$B:$H,7,0),0)</f>
        <v>0</v>
      </c>
      <c r="G5141" s="34" t="n">
        <f aca="false">SUMIFS('12.326ana'!$C:$C,'12.326ana'!$M:$M,redes!A5141)</f>
        <v>0</v>
      </c>
    </row>
    <row r="5142" customFormat="false" ht="14.4" hidden="true" customHeight="false" outlineLevel="0" collapsed="false">
      <c r="A5142" s="34" t="n">
        <v>95279482153</v>
      </c>
      <c r="B5142" s="34" t="s">
        <v>11916</v>
      </c>
      <c r="C5142" s="34" t="s">
        <v>737</v>
      </c>
      <c r="E5142" s="30" t="s">
        <v>11191</v>
      </c>
      <c r="F5142" s="34" t="n">
        <f aca="false">IFERROR(VLOOKUP($A5142,'319'!$B:$H,7,0),0)</f>
        <v>0</v>
      </c>
      <c r="G5142" s="34" t="n">
        <f aca="false">SUMIFS('12.326ana'!$C:$C,'12.326ana'!$M:$M,redes!A5142)</f>
        <v>0</v>
      </c>
    </row>
    <row r="5143" customFormat="false" ht="14.4" hidden="true" customHeight="false" outlineLevel="0" collapsed="false">
      <c r="A5143" s="34" t="n">
        <v>95283994104</v>
      </c>
      <c r="B5143" s="34" t="s">
        <v>11917</v>
      </c>
      <c r="C5143" s="34" t="s">
        <v>77</v>
      </c>
      <c r="E5143" s="30" t="s">
        <v>11918</v>
      </c>
      <c r="F5143" s="34" t="n">
        <f aca="false">IFERROR(VLOOKUP($A5143,'319'!$B:$H,7,0),0)</f>
        <v>0</v>
      </c>
      <c r="G5143" s="34" t="n">
        <f aca="false">SUMIFS('12.326ana'!$C:$C,'12.326ana'!$M:$M,redes!A5143)</f>
        <v>0</v>
      </c>
    </row>
    <row r="5144" customFormat="false" ht="14.4" hidden="true" customHeight="false" outlineLevel="0" collapsed="false">
      <c r="A5144" s="34" t="n">
        <v>95302638134</v>
      </c>
      <c r="B5144" s="34" t="s">
        <v>11919</v>
      </c>
      <c r="C5144" s="34" t="s">
        <v>631</v>
      </c>
      <c r="E5144" s="30" t="s">
        <v>11920</v>
      </c>
      <c r="F5144" s="34" t="n">
        <f aca="false">IFERROR(VLOOKUP($A5144,'319'!$B:$H,7,0),0)</f>
        <v>0</v>
      </c>
      <c r="G5144" s="34" t="n">
        <f aca="false">SUMIFS('12.326ana'!$C:$C,'12.326ana'!$M:$M,redes!A5144)</f>
        <v>0</v>
      </c>
    </row>
    <row r="5145" customFormat="false" ht="14.4" hidden="true" customHeight="false" outlineLevel="0" collapsed="false">
      <c r="A5145" s="34" t="n">
        <v>95338519100</v>
      </c>
      <c r="B5145" s="34" t="s">
        <v>11921</v>
      </c>
      <c r="C5145" s="34" t="s">
        <v>473</v>
      </c>
      <c r="E5145" s="30" t="s">
        <v>11922</v>
      </c>
      <c r="F5145" s="34" t="n">
        <f aca="false">IFERROR(VLOOKUP($A5145,'319'!$B:$H,7,0),0)</f>
        <v>0</v>
      </c>
      <c r="G5145" s="34" t="n">
        <f aca="false">SUMIFS('12.326ana'!$C:$C,'12.326ana'!$M:$M,redes!A5145)</f>
        <v>0</v>
      </c>
    </row>
    <row r="5146" customFormat="false" ht="14.4" hidden="true" customHeight="false" outlineLevel="0" collapsed="false">
      <c r="A5146" s="34" t="n">
        <v>95374868187</v>
      </c>
      <c r="B5146" s="34" t="s">
        <v>11923</v>
      </c>
      <c r="C5146" s="34" t="s">
        <v>77</v>
      </c>
      <c r="E5146" s="30" t="s">
        <v>11924</v>
      </c>
      <c r="F5146" s="34" t="n">
        <f aca="false">IFERROR(VLOOKUP($A5146,'319'!$B:$H,7,0),0)</f>
        <v>0</v>
      </c>
      <c r="G5146" s="34" t="n">
        <f aca="false">SUMIFS('12.326ana'!$C:$C,'12.326ana'!$M:$M,redes!A5146)</f>
        <v>0</v>
      </c>
    </row>
    <row r="5147" customFormat="false" ht="14.4" hidden="true" customHeight="false" outlineLevel="0" collapsed="false">
      <c r="A5147" s="34" t="n">
        <v>95413332904</v>
      </c>
      <c r="B5147" s="34" t="s">
        <v>11925</v>
      </c>
      <c r="C5147" s="34" t="s">
        <v>342</v>
      </c>
      <c r="E5147" s="30" t="s">
        <v>11926</v>
      </c>
      <c r="F5147" s="34" t="n">
        <f aca="false">IFERROR(VLOOKUP($A5147,'319'!$B:$H,7,0),0)</f>
        <v>0</v>
      </c>
      <c r="G5147" s="34" t="n">
        <f aca="false">SUMIFS('12.326ana'!$C:$C,'12.326ana'!$M:$M,redes!A5147)</f>
        <v>0</v>
      </c>
    </row>
    <row r="5148" customFormat="false" ht="14.4" hidden="true" customHeight="false" outlineLevel="0" collapsed="false">
      <c r="A5148" s="34" t="n">
        <v>95418970100</v>
      </c>
      <c r="B5148" s="34" t="s">
        <v>11927</v>
      </c>
      <c r="C5148" s="34" t="s">
        <v>77</v>
      </c>
      <c r="E5148" s="30" t="s">
        <v>11928</v>
      </c>
      <c r="F5148" s="34" t="n">
        <f aca="false">IFERROR(VLOOKUP($A5148,'319'!$B:$H,7,0),0)</f>
        <v>0</v>
      </c>
      <c r="G5148" s="34" t="n">
        <f aca="false">SUMIFS('12.326ana'!$C:$C,'12.326ana'!$M:$M,redes!A5148)</f>
        <v>0</v>
      </c>
    </row>
    <row r="5149" customFormat="false" ht="14.4" hidden="true" customHeight="false" outlineLevel="0" collapsed="false">
      <c r="A5149" s="34" t="n">
        <v>95471685172</v>
      </c>
      <c r="B5149" s="34" t="s">
        <v>11929</v>
      </c>
      <c r="C5149" s="34" t="s">
        <v>342</v>
      </c>
      <c r="E5149" s="30"/>
      <c r="F5149" s="34" t="n">
        <f aca="false">IFERROR(VLOOKUP($A5149,'319'!$B:$H,7,0),0)</f>
        <v>0</v>
      </c>
      <c r="G5149" s="34" t="n">
        <f aca="false">SUMIFS('12.326ana'!$C:$C,'12.326ana'!$M:$M,redes!A5149)</f>
        <v>0</v>
      </c>
    </row>
    <row r="5150" customFormat="false" ht="14.4" hidden="true" customHeight="false" outlineLevel="0" collapsed="false">
      <c r="A5150" s="34" t="n">
        <v>95480706187</v>
      </c>
      <c r="B5150" s="34" t="s">
        <v>11930</v>
      </c>
      <c r="C5150" s="34" t="s">
        <v>77</v>
      </c>
      <c r="E5150" s="30" t="s">
        <v>3750</v>
      </c>
      <c r="F5150" s="34" t="n">
        <f aca="false">IFERROR(VLOOKUP($A5150,'319'!$B:$H,7,0),0)</f>
        <v>0</v>
      </c>
      <c r="G5150" s="34" t="n">
        <f aca="false">SUMIFS('12.326ana'!$C:$C,'12.326ana'!$M:$M,redes!A5150)</f>
        <v>0</v>
      </c>
    </row>
    <row r="5151" customFormat="false" ht="14.4" hidden="true" customHeight="false" outlineLevel="0" collapsed="false">
      <c r="A5151" s="34" t="n">
        <v>95485228100</v>
      </c>
      <c r="B5151" s="34" t="s">
        <v>11931</v>
      </c>
      <c r="C5151" s="34" t="s">
        <v>77</v>
      </c>
      <c r="E5151" s="30" t="s">
        <v>11932</v>
      </c>
      <c r="F5151" s="34" t="n">
        <f aca="false">IFERROR(VLOOKUP($A5151,'319'!$B:$H,7,0),0)</f>
        <v>0</v>
      </c>
      <c r="G5151" s="34" t="n">
        <f aca="false">SUMIFS('12.326ana'!$C:$C,'12.326ana'!$M:$M,redes!A5151)</f>
        <v>0</v>
      </c>
    </row>
    <row r="5152" customFormat="false" ht="14.4" hidden="true" customHeight="false" outlineLevel="0" collapsed="false">
      <c r="A5152" s="34" t="n">
        <v>95510192100</v>
      </c>
      <c r="B5152" s="34" t="s">
        <v>11933</v>
      </c>
      <c r="C5152" s="34" t="s">
        <v>77</v>
      </c>
      <c r="E5152" s="30" t="s">
        <v>11934</v>
      </c>
      <c r="F5152" s="34" t="n">
        <f aca="false">IFERROR(VLOOKUP($A5152,'319'!$B:$H,7,0),0)</f>
        <v>0</v>
      </c>
      <c r="G5152" s="34" t="n">
        <f aca="false">SUMIFS('12.326ana'!$C:$C,'12.326ana'!$M:$M,redes!A5152)</f>
        <v>0</v>
      </c>
    </row>
    <row r="5153" customFormat="false" ht="14.4" hidden="true" customHeight="false" outlineLevel="0" collapsed="false">
      <c r="A5153" s="34" t="n">
        <v>95516964172</v>
      </c>
      <c r="B5153" s="34" t="s">
        <v>11935</v>
      </c>
      <c r="C5153" s="34" t="s">
        <v>192</v>
      </c>
      <c r="E5153" s="30" t="s">
        <v>11936</v>
      </c>
      <c r="F5153" s="34" t="n">
        <f aca="false">IFERROR(VLOOKUP($A5153,'319'!$B:$H,7,0),0)</f>
        <v>0</v>
      </c>
      <c r="G5153" s="34" t="n">
        <f aca="false">SUMIFS('12.326ana'!$C:$C,'12.326ana'!$M:$M,redes!A5153)</f>
        <v>0</v>
      </c>
    </row>
    <row r="5154" customFormat="false" ht="14.4" hidden="true" customHeight="false" outlineLevel="0" collapsed="false">
      <c r="A5154" s="34" t="n">
        <v>95532706115</v>
      </c>
      <c r="B5154" s="34" t="s">
        <v>11937</v>
      </c>
      <c r="C5154" s="34" t="s">
        <v>357</v>
      </c>
      <c r="E5154" s="30" t="s">
        <v>11938</v>
      </c>
      <c r="F5154" s="34" t="n">
        <f aca="false">IFERROR(VLOOKUP($A5154,'319'!$B:$H,7,0),0)</f>
        <v>0</v>
      </c>
      <c r="G5154" s="34" t="n">
        <f aca="false">SUMIFS('12.326ana'!$C:$C,'12.326ana'!$M:$M,redes!A5154)</f>
        <v>0</v>
      </c>
    </row>
    <row r="5155" customFormat="false" ht="14.4" hidden="true" customHeight="false" outlineLevel="0" collapsed="false">
      <c r="A5155" s="34" t="n">
        <v>95536337149</v>
      </c>
      <c r="B5155" s="34" t="s">
        <v>11939</v>
      </c>
      <c r="C5155" s="34" t="s">
        <v>77</v>
      </c>
      <c r="E5155" s="30" t="s">
        <v>11940</v>
      </c>
      <c r="F5155" s="34" t="n">
        <f aca="false">IFERROR(VLOOKUP($A5155,'319'!$B:$H,7,0),0)</f>
        <v>0</v>
      </c>
      <c r="G5155" s="34" t="n">
        <f aca="false">SUMIFS('12.326ana'!$C:$C,'12.326ana'!$M:$M,redes!A5155)</f>
        <v>0</v>
      </c>
    </row>
    <row r="5156" customFormat="false" ht="14.4" hidden="true" customHeight="false" outlineLevel="0" collapsed="false">
      <c r="A5156" s="34" t="n">
        <v>95546588187</v>
      </c>
      <c r="B5156" s="34" t="s">
        <v>11941</v>
      </c>
      <c r="C5156" s="34" t="s">
        <v>77</v>
      </c>
      <c r="E5156" s="30" t="s">
        <v>4137</v>
      </c>
      <c r="F5156" s="34" t="n">
        <f aca="false">IFERROR(VLOOKUP($A5156,'319'!$B:$H,7,0),0)</f>
        <v>0</v>
      </c>
      <c r="G5156" s="34" t="n">
        <f aca="false">SUMIFS('12.326ana'!$C:$C,'12.326ana'!$M:$M,redes!A5156)</f>
        <v>0</v>
      </c>
    </row>
    <row r="5157" customFormat="false" ht="14.4" hidden="true" customHeight="false" outlineLevel="0" collapsed="false">
      <c r="A5157" s="34" t="n">
        <v>95547428191</v>
      </c>
      <c r="B5157" s="34" t="s">
        <v>11942</v>
      </c>
      <c r="C5157" s="34" t="s">
        <v>77</v>
      </c>
      <c r="E5157" s="30" t="s">
        <v>3579</v>
      </c>
      <c r="F5157" s="34" t="n">
        <f aca="false">IFERROR(VLOOKUP($A5157,'319'!$B:$H,7,0),0)</f>
        <v>0</v>
      </c>
      <c r="G5157" s="34" t="n">
        <f aca="false">SUMIFS('12.326ana'!$C:$C,'12.326ana'!$M:$M,redes!A5157)</f>
        <v>0</v>
      </c>
    </row>
    <row r="5158" customFormat="false" ht="14.4" hidden="true" customHeight="false" outlineLevel="0" collapsed="false">
      <c r="A5158" s="34" t="n">
        <v>95583416149</v>
      </c>
      <c r="B5158" s="34" t="s">
        <v>11943</v>
      </c>
      <c r="C5158" s="34" t="s">
        <v>351</v>
      </c>
      <c r="E5158" s="30" t="s">
        <v>11944</v>
      </c>
      <c r="F5158" s="34" t="n">
        <f aca="false">IFERROR(VLOOKUP($A5158,'319'!$B:$H,7,0),0)</f>
        <v>0</v>
      </c>
      <c r="G5158" s="34" t="n">
        <f aca="false">SUMIFS('12.326ana'!$C:$C,'12.326ana'!$M:$M,redes!A5158)</f>
        <v>0</v>
      </c>
    </row>
    <row r="5159" customFormat="false" ht="14.4" hidden="true" customHeight="false" outlineLevel="0" collapsed="false">
      <c r="A5159" s="34" t="n">
        <v>95644539172</v>
      </c>
      <c r="B5159" s="34" t="s">
        <v>11945</v>
      </c>
      <c r="C5159" s="34" t="s">
        <v>77</v>
      </c>
      <c r="E5159" s="30" t="s">
        <v>11946</v>
      </c>
      <c r="F5159" s="34" t="n">
        <f aca="false">IFERROR(VLOOKUP($A5159,'319'!$B:$H,7,0),0)</f>
        <v>0</v>
      </c>
      <c r="G5159" s="34" t="n">
        <f aca="false">SUMIFS('12.326ana'!$C:$C,'12.326ana'!$M:$M,redes!A5159)</f>
        <v>0</v>
      </c>
    </row>
    <row r="5160" customFormat="false" ht="14.4" hidden="true" customHeight="false" outlineLevel="0" collapsed="false">
      <c r="A5160" s="34" t="n">
        <v>95646566134</v>
      </c>
      <c r="B5160" s="34" t="s">
        <v>11947</v>
      </c>
      <c r="C5160" s="34" t="s">
        <v>77</v>
      </c>
      <c r="E5160" s="30" t="s">
        <v>11948</v>
      </c>
      <c r="F5160" s="34" t="n">
        <f aca="false">IFERROR(VLOOKUP($A5160,'319'!$B:$H,7,0),0)</f>
        <v>0</v>
      </c>
      <c r="G5160" s="34" t="n">
        <f aca="false">SUMIFS('12.326ana'!$C:$C,'12.326ana'!$M:$M,redes!A5160)</f>
        <v>0</v>
      </c>
    </row>
    <row r="5161" customFormat="false" ht="14.4" hidden="true" customHeight="false" outlineLevel="0" collapsed="false">
      <c r="A5161" s="34" t="n">
        <v>95647430104</v>
      </c>
      <c r="B5161" s="34" t="s">
        <v>11949</v>
      </c>
      <c r="C5161" s="34" t="s">
        <v>77</v>
      </c>
      <c r="E5161" s="30" t="s">
        <v>11950</v>
      </c>
      <c r="F5161" s="34" t="n">
        <f aca="false">IFERROR(VLOOKUP($A5161,'319'!$B:$H,7,0),0)</f>
        <v>0</v>
      </c>
      <c r="G5161" s="34" t="n">
        <f aca="false">SUMIFS('12.326ana'!$C:$C,'12.326ana'!$M:$M,redes!A5161)</f>
        <v>0</v>
      </c>
    </row>
    <row r="5162" customFormat="false" ht="14.4" hidden="true" customHeight="false" outlineLevel="0" collapsed="false">
      <c r="A5162" s="34" t="n">
        <v>95651772120</v>
      </c>
      <c r="B5162" s="34" t="s">
        <v>11951</v>
      </c>
      <c r="C5162" s="34" t="s">
        <v>565</v>
      </c>
      <c r="E5162" s="30" t="s">
        <v>11952</v>
      </c>
      <c r="F5162" s="34" t="n">
        <f aca="false">IFERROR(VLOOKUP($A5162,'319'!$B:$H,7,0),0)</f>
        <v>0</v>
      </c>
      <c r="G5162" s="34" t="n">
        <f aca="false">SUMIFS('12.326ana'!$C:$C,'12.326ana'!$M:$M,redes!A5162)</f>
        <v>0</v>
      </c>
    </row>
    <row r="5163" customFormat="false" ht="14.4" hidden="true" customHeight="false" outlineLevel="0" collapsed="false">
      <c r="A5163" s="34" t="n">
        <v>95659153100</v>
      </c>
      <c r="B5163" s="34" t="s">
        <v>11953</v>
      </c>
      <c r="C5163" s="34" t="s">
        <v>103</v>
      </c>
      <c r="E5163" s="30" t="s">
        <v>11954</v>
      </c>
      <c r="F5163" s="34" t="n">
        <f aca="false">IFERROR(VLOOKUP($A5163,'319'!$B:$H,7,0),0)</f>
        <v>0</v>
      </c>
      <c r="G5163" s="34" t="n">
        <f aca="false">SUMIFS('12.326ana'!$C:$C,'12.326ana'!$M:$M,redes!A5163)</f>
        <v>0</v>
      </c>
    </row>
    <row r="5164" customFormat="false" ht="14.4" hidden="true" customHeight="false" outlineLevel="0" collapsed="false">
      <c r="A5164" s="34" t="n">
        <v>95664130172</v>
      </c>
      <c r="B5164" s="34" t="s">
        <v>11955</v>
      </c>
      <c r="C5164" s="34" t="s">
        <v>979</v>
      </c>
      <c r="E5164" s="30" t="s">
        <v>5611</v>
      </c>
      <c r="F5164" s="34" t="n">
        <f aca="false">IFERROR(VLOOKUP($A5164,'319'!$B:$H,7,0),0)</f>
        <v>0</v>
      </c>
      <c r="G5164" s="34" t="n">
        <f aca="false">SUMIFS('12.326ana'!$C:$C,'12.326ana'!$M:$M,redes!A5164)</f>
        <v>0</v>
      </c>
    </row>
    <row r="5165" customFormat="false" ht="14.4" hidden="true" customHeight="false" outlineLevel="0" collapsed="false">
      <c r="A5165" s="34" t="n">
        <v>95667903504</v>
      </c>
      <c r="B5165" s="34" t="s">
        <v>11956</v>
      </c>
      <c r="C5165" s="34" t="s">
        <v>604</v>
      </c>
      <c r="E5165" s="30" t="s">
        <v>11957</v>
      </c>
      <c r="F5165" s="34" t="n">
        <f aca="false">IFERROR(VLOOKUP($A5165,'319'!$B:$H,7,0),0)</f>
        <v>0</v>
      </c>
      <c r="G5165" s="34" t="n">
        <f aca="false">SUMIFS('12.326ana'!$C:$C,'12.326ana'!$M:$M,redes!A5165)</f>
        <v>0</v>
      </c>
    </row>
    <row r="5166" customFormat="false" ht="14.4" hidden="true" customHeight="false" outlineLevel="0" collapsed="false">
      <c r="A5166" s="34" t="n">
        <v>95700170159</v>
      </c>
      <c r="B5166" s="34" t="s">
        <v>11958</v>
      </c>
      <c r="C5166" s="34" t="s">
        <v>77</v>
      </c>
      <c r="E5166" s="30" t="s">
        <v>3874</v>
      </c>
      <c r="F5166" s="34" t="n">
        <f aca="false">IFERROR(VLOOKUP($A5166,'319'!$B:$H,7,0),0)</f>
        <v>0</v>
      </c>
      <c r="G5166" s="34" t="n">
        <f aca="false">SUMIFS('12.326ana'!$C:$C,'12.326ana'!$M:$M,redes!A5166)</f>
        <v>0</v>
      </c>
    </row>
    <row r="5167" customFormat="false" ht="14.4" hidden="true" customHeight="false" outlineLevel="0" collapsed="false">
      <c r="A5167" s="34" t="n">
        <v>95731000168</v>
      </c>
      <c r="B5167" s="34" t="s">
        <v>11959</v>
      </c>
      <c r="C5167" s="34" t="s">
        <v>631</v>
      </c>
      <c r="E5167" s="30" t="s">
        <v>8548</v>
      </c>
      <c r="F5167" s="34" t="n">
        <f aca="false">IFERROR(VLOOKUP($A5167,'319'!$B:$H,7,0),0)</f>
        <v>0</v>
      </c>
      <c r="G5167" s="34" t="n">
        <f aca="false">SUMIFS('12.326ana'!$C:$C,'12.326ana'!$M:$M,redes!A5167)</f>
        <v>0</v>
      </c>
    </row>
    <row r="5168" customFormat="false" ht="14.4" hidden="true" customHeight="false" outlineLevel="0" collapsed="false">
      <c r="A5168" s="34" t="n">
        <v>95756272887</v>
      </c>
      <c r="B5168" s="34" t="s">
        <v>11960</v>
      </c>
      <c r="C5168" s="34" t="s">
        <v>342</v>
      </c>
      <c r="E5168" s="30" t="s">
        <v>11961</v>
      </c>
      <c r="F5168" s="34" t="n">
        <f aca="false">IFERROR(VLOOKUP($A5168,'319'!$B:$H,7,0),0)</f>
        <v>0</v>
      </c>
      <c r="G5168" s="34" t="n">
        <f aca="false">SUMIFS('12.326ana'!$C:$C,'12.326ana'!$M:$M,redes!A5168)</f>
        <v>0</v>
      </c>
    </row>
    <row r="5169" customFormat="false" ht="14.4" hidden="true" customHeight="false" outlineLevel="0" collapsed="false">
      <c r="A5169" s="34" t="n">
        <v>95756612149</v>
      </c>
      <c r="B5169" s="34" t="s">
        <v>11962</v>
      </c>
      <c r="C5169" s="34" t="s">
        <v>77</v>
      </c>
      <c r="E5169" s="30" t="s">
        <v>11963</v>
      </c>
      <c r="F5169" s="34" t="n">
        <f aca="false">IFERROR(VLOOKUP($A5169,'319'!$B:$H,7,0),0)</f>
        <v>0</v>
      </c>
      <c r="G5169" s="34" t="n">
        <f aca="false">SUMIFS('12.326ana'!$C:$C,'12.326ana'!$M:$M,redes!A5169)</f>
        <v>0</v>
      </c>
    </row>
    <row r="5170" customFormat="false" ht="14.4" hidden="true" customHeight="false" outlineLevel="0" collapsed="false">
      <c r="A5170" s="34" t="n">
        <v>95799621891</v>
      </c>
      <c r="B5170" s="34" t="s">
        <v>11964</v>
      </c>
      <c r="C5170" s="34" t="s">
        <v>77</v>
      </c>
      <c r="E5170" s="30" t="s">
        <v>11965</v>
      </c>
      <c r="F5170" s="34" t="n">
        <f aca="false">IFERROR(VLOOKUP($A5170,'319'!$B:$H,7,0),0)</f>
        <v>0</v>
      </c>
      <c r="G5170" s="34" t="n">
        <f aca="false">SUMIFS('12.326ana'!$C:$C,'12.326ana'!$M:$M,redes!A5170)</f>
        <v>0</v>
      </c>
    </row>
    <row r="5171" customFormat="false" ht="14.4" hidden="true" customHeight="false" outlineLevel="0" collapsed="false">
      <c r="A5171" s="34" t="n">
        <v>95816984187</v>
      </c>
      <c r="B5171" s="34" t="s">
        <v>11966</v>
      </c>
      <c r="C5171" s="34" t="s">
        <v>107</v>
      </c>
      <c r="E5171" s="30" t="s">
        <v>11966</v>
      </c>
      <c r="F5171" s="34" t="n">
        <f aca="false">IFERROR(VLOOKUP($A5171,'319'!$B:$H,7,0),0)</f>
        <v>0</v>
      </c>
      <c r="G5171" s="34" t="n">
        <f aca="false">SUMIFS('12.326ana'!$C:$C,'12.326ana'!$M:$M,redes!A5171)</f>
        <v>0</v>
      </c>
    </row>
    <row r="5172" customFormat="false" ht="14.4" hidden="true" customHeight="false" outlineLevel="0" collapsed="false">
      <c r="A5172" s="34" t="n">
        <v>95835857187</v>
      </c>
      <c r="B5172" s="34" t="s">
        <v>11967</v>
      </c>
      <c r="C5172" s="34" t="s">
        <v>721</v>
      </c>
      <c r="E5172" s="30" t="s">
        <v>11968</v>
      </c>
      <c r="F5172" s="34" t="n">
        <f aca="false">IFERROR(VLOOKUP($A5172,'319'!$B:$H,7,0),0)</f>
        <v>0</v>
      </c>
      <c r="G5172" s="34" t="n">
        <f aca="false">SUMIFS('12.326ana'!$C:$C,'12.326ana'!$M:$M,redes!A5172)</f>
        <v>0</v>
      </c>
    </row>
    <row r="5173" customFormat="false" ht="14.4" hidden="true" customHeight="false" outlineLevel="0" collapsed="false">
      <c r="A5173" s="34" t="n">
        <v>95879978168</v>
      </c>
      <c r="B5173" s="34" t="s">
        <v>11969</v>
      </c>
      <c r="C5173" s="34" t="s">
        <v>77</v>
      </c>
      <c r="E5173" s="30" t="s">
        <v>11970</v>
      </c>
      <c r="F5173" s="34" t="n">
        <f aca="false">IFERROR(VLOOKUP($A5173,'319'!$B:$H,7,0),0)</f>
        <v>0</v>
      </c>
      <c r="G5173" s="34" t="n">
        <f aca="false">SUMIFS('12.326ana'!$C:$C,'12.326ana'!$M:$M,redes!A5173)</f>
        <v>0</v>
      </c>
    </row>
    <row r="5174" customFormat="false" ht="14.4" hidden="true" customHeight="false" outlineLevel="0" collapsed="false">
      <c r="A5174" s="34" t="n">
        <v>95951237149</v>
      </c>
      <c r="B5174" s="34" t="s">
        <v>11971</v>
      </c>
      <c r="C5174" s="34" t="s">
        <v>594</v>
      </c>
      <c r="E5174" s="30" t="s">
        <v>11972</v>
      </c>
      <c r="F5174" s="34" t="n">
        <f aca="false">IFERROR(VLOOKUP($A5174,'319'!$B:$H,7,0),0)</f>
        <v>0</v>
      </c>
      <c r="G5174" s="34" t="n">
        <f aca="false">SUMIFS('12.326ana'!$C:$C,'12.326ana'!$M:$M,redes!A5174)</f>
        <v>0</v>
      </c>
    </row>
    <row r="5175" customFormat="false" ht="14.4" hidden="true" customHeight="false" outlineLevel="0" collapsed="false">
      <c r="A5175" s="34" t="n">
        <v>95970525120</v>
      </c>
      <c r="B5175" s="34" t="s">
        <v>11973</v>
      </c>
      <c r="C5175" s="34" t="s">
        <v>139</v>
      </c>
      <c r="E5175" s="30" t="s">
        <v>11973</v>
      </c>
      <c r="F5175" s="34" t="n">
        <f aca="false">IFERROR(VLOOKUP($A5175,'319'!$B:$H,7,0),0)</f>
        <v>0</v>
      </c>
      <c r="G5175" s="34" t="n">
        <f aca="false">SUMIFS('12.326ana'!$C:$C,'12.326ana'!$M:$M,redes!A5175)</f>
        <v>0</v>
      </c>
    </row>
    <row r="5176" customFormat="false" ht="14.4" hidden="true" customHeight="false" outlineLevel="0" collapsed="false">
      <c r="A5176" s="34" t="n">
        <v>95989870191</v>
      </c>
      <c r="B5176" s="34" t="s">
        <v>11974</v>
      </c>
      <c r="C5176" s="34" t="s">
        <v>463</v>
      </c>
      <c r="E5176" s="30" t="s">
        <v>11975</v>
      </c>
      <c r="F5176" s="34" t="n">
        <f aca="false">IFERROR(VLOOKUP($A5176,'319'!$B:$H,7,0),0)</f>
        <v>0</v>
      </c>
      <c r="G5176" s="34" t="n">
        <f aca="false">SUMIFS('12.326ana'!$C:$C,'12.326ana'!$M:$M,redes!A5176)</f>
        <v>0</v>
      </c>
    </row>
    <row r="5177" customFormat="false" ht="14.4" hidden="true" customHeight="false" outlineLevel="0" collapsed="false">
      <c r="A5177" s="34" t="n">
        <v>95989943172</v>
      </c>
      <c r="B5177" s="34" t="s">
        <v>11976</v>
      </c>
      <c r="C5177" s="34" t="s">
        <v>737</v>
      </c>
      <c r="E5177" s="30" t="s">
        <v>5409</v>
      </c>
      <c r="F5177" s="34" t="n">
        <f aca="false">IFERROR(VLOOKUP($A5177,'319'!$B:$H,7,0),0)</f>
        <v>0</v>
      </c>
      <c r="G5177" s="34" t="n">
        <f aca="false">SUMIFS('12.326ana'!$C:$C,'12.326ana'!$M:$M,redes!A5177)</f>
        <v>0</v>
      </c>
    </row>
    <row r="5178" customFormat="false" ht="14.4" hidden="true" customHeight="false" outlineLevel="0" collapsed="false">
      <c r="A5178" s="34" t="n">
        <v>95998373120</v>
      </c>
      <c r="B5178" s="34" t="s">
        <v>11977</v>
      </c>
      <c r="C5178" s="34" t="s">
        <v>463</v>
      </c>
      <c r="E5178" s="30" t="s">
        <v>8577</v>
      </c>
      <c r="F5178" s="34" t="n">
        <f aca="false">IFERROR(VLOOKUP($A5178,'319'!$B:$H,7,0),0)</f>
        <v>0</v>
      </c>
      <c r="G5178" s="34" t="n">
        <f aca="false">SUMIFS('12.326ana'!$C:$C,'12.326ana'!$M:$M,redes!A5178)</f>
        <v>0</v>
      </c>
    </row>
    <row r="5179" customFormat="false" ht="14.4" hidden="true" customHeight="false" outlineLevel="0" collapsed="false">
      <c r="A5179" s="34" t="n">
        <v>96000520182</v>
      </c>
      <c r="B5179" s="34" t="s">
        <v>11978</v>
      </c>
      <c r="C5179" s="34" t="s">
        <v>299</v>
      </c>
      <c r="E5179" s="30" t="s">
        <v>11979</v>
      </c>
      <c r="F5179" s="34" t="n">
        <f aca="false">IFERROR(VLOOKUP($A5179,'319'!$B:$H,7,0),0)</f>
        <v>0</v>
      </c>
      <c r="G5179" s="34" t="n">
        <f aca="false">SUMIFS('12.326ana'!$C:$C,'12.326ana'!$M:$M,redes!A5179)</f>
        <v>0</v>
      </c>
    </row>
    <row r="5180" customFormat="false" ht="14.4" hidden="true" customHeight="false" outlineLevel="0" collapsed="false">
      <c r="A5180" s="34" t="n">
        <v>96004231134</v>
      </c>
      <c r="B5180" s="34" t="s">
        <v>11980</v>
      </c>
      <c r="C5180" s="34" t="s">
        <v>464</v>
      </c>
      <c r="E5180" s="30" t="s">
        <v>9445</v>
      </c>
      <c r="F5180" s="34" t="n">
        <f aca="false">IFERROR(VLOOKUP($A5180,'319'!$B:$H,7,0),0)</f>
        <v>0</v>
      </c>
      <c r="G5180" s="34" t="n">
        <f aca="false">SUMIFS('12.326ana'!$C:$C,'12.326ana'!$M:$M,redes!A5180)</f>
        <v>0</v>
      </c>
    </row>
    <row r="5181" customFormat="false" ht="14.4" hidden="true" customHeight="false" outlineLevel="0" collapsed="false">
      <c r="A5181" s="34" t="n">
        <v>96007710149</v>
      </c>
      <c r="B5181" s="34" t="s">
        <v>11981</v>
      </c>
      <c r="C5181" s="34" t="s">
        <v>77</v>
      </c>
      <c r="E5181" s="30" t="s">
        <v>11982</v>
      </c>
      <c r="F5181" s="34" t="n">
        <f aca="false">IFERROR(VLOOKUP($A5181,'319'!$B:$H,7,0),0)</f>
        <v>0</v>
      </c>
      <c r="G5181" s="34" t="n">
        <f aca="false">SUMIFS('12.326ana'!$C:$C,'12.326ana'!$M:$M,redes!A5181)</f>
        <v>0</v>
      </c>
    </row>
    <row r="5182" customFormat="false" ht="14.4" hidden="true" customHeight="false" outlineLevel="0" collapsed="false">
      <c r="A5182" s="34" t="n">
        <v>96032022900</v>
      </c>
      <c r="B5182" s="34" t="s">
        <v>11983</v>
      </c>
      <c r="C5182" s="34" t="s">
        <v>473</v>
      </c>
      <c r="E5182" s="30" t="s">
        <v>8789</v>
      </c>
      <c r="F5182" s="34" t="n">
        <f aca="false">IFERROR(VLOOKUP($A5182,'319'!$B:$H,7,0),0)</f>
        <v>0</v>
      </c>
      <c r="G5182" s="34" t="n">
        <f aca="false">SUMIFS('12.326ana'!$C:$C,'12.326ana'!$M:$M,redes!A5182)</f>
        <v>0</v>
      </c>
    </row>
    <row r="5183" customFormat="false" ht="14.4" hidden="true" customHeight="false" outlineLevel="0" collapsed="false">
      <c r="A5183" s="34" t="n">
        <v>96054735187</v>
      </c>
      <c r="B5183" s="34" t="s">
        <v>11984</v>
      </c>
      <c r="C5183" s="34" t="s">
        <v>77</v>
      </c>
      <c r="E5183" s="30" t="s">
        <v>3674</v>
      </c>
      <c r="F5183" s="34" t="n">
        <f aca="false">IFERROR(VLOOKUP($A5183,'319'!$B:$H,7,0),0)</f>
        <v>0</v>
      </c>
      <c r="G5183" s="34" t="n">
        <f aca="false">SUMIFS('12.326ana'!$C:$C,'12.326ana'!$M:$M,redes!A5183)</f>
        <v>0</v>
      </c>
    </row>
    <row r="5184" customFormat="false" ht="14.4" hidden="true" customHeight="false" outlineLevel="0" collapsed="false">
      <c r="A5184" s="34" t="n">
        <v>96096462120</v>
      </c>
      <c r="B5184" s="34" t="s">
        <v>11985</v>
      </c>
      <c r="C5184" s="34" t="s">
        <v>2998</v>
      </c>
      <c r="E5184" s="30" t="s">
        <v>9629</v>
      </c>
      <c r="F5184" s="34" t="n">
        <f aca="false">IFERROR(VLOOKUP($A5184,'319'!$B:$H,7,0),0)</f>
        <v>0</v>
      </c>
      <c r="G5184" s="34" t="n">
        <f aca="false">SUMIFS('12.326ana'!$C:$C,'12.326ana'!$M:$M,redes!A5184)</f>
        <v>0</v>
      </c>
    </row>
    <row r="5185" customFormat="false" ht="14.4" hidden="true" customHeight="false" outlineLevel="0" collapsed="false">
      <c r="A5185" s="34" t="n">
        <v>96164603153</v>
      </c>
      <c r="B5185" s="34" t="s">
        <v>11986</v>
      </c>
      <c r="C5185" s="34" t="s">
        <v>77</v>
      </c>
      <c r="E5185" s="30" t="s">
        <v>11987</v>
      </c>
      <c r="F5185" s="34" t="n">
        <f aca="false">IFERROR(VLOOKUP($A5185,'319'!$B:$H,7,0),0)</f>
        <v>0</v>
      </c>
      <c r="G5185" s="34" t="n">
        <f aca="false">SUMIFS('12.326ana'!$C:$C,'12.326ana'!$M:$M,redes!A5185)</f>
        <v>0</v>
      </c>
    </row>
    <row r="5186" customFormat="false" ht="14.4" hidden="true" customHeight="false" outlineLevel="0" collapsed="false">
      <c r="A5186" s="34" t="n">
        <v>96175664191</v>
      </c>
      <c r="B5186" s="34" t="s">
        <v>11988</v>
      </c>
      <c r="C5186" s="34" t="s">
        <v>77</v>
      </c>
      <c r="E5186" s="30" t="s">
        <v>11989</v>
      </c>
      <c r="F5186" s="34" t="n">
        <f aca="false">IFERROR(VLOOKUP($A5186,'319'!$B:$H,7,0),0)</f>
        <v>0</v>
      </c>
      <c r="G5186" s="34" t="n">
        <f aca="false">SUMIFS('12.326ana'!$C:$C,'12.326ana'!$M:$M,redes!A5186)</f>
        <v>0</v>
      </c>
    </row>
    <row r="5187" customFormat="false" ht="14.4" hidden="true" customHeight="false" outlineLevel="0" collapsed="false">
      <c r="A5187" s="34" t="n">
        <v>96194723149</v>
      </c>
      <c r="B5187" s="34" t="s">
        <v>11990</v>
      </c>
      <c r="C5187" s="34" t="s">
        <v>336</v>
      </c>
      <c r="E5187" s="30" t="s">
        <v>11991</v>
      </c>
      <c r="F5187" s="34" t="n">
        <f aca="false">IFERROR(VLOOKUP($A5187,'319'!$B:$H,7,0),0)</f>
        <v>0</v>
      </c>
      <c r="G5187" s="34" t="n">
        <f aca="false">SUMIFS('12.326ana'!$C:$C,'12.326ana'!$M:$M,redes!A5187)</f>
        <v>0</v>
      </c>
    </row>
    <row r="5188" customFormat="false" ht="14.4" hidden="true" customHeight="false" outlineLevel="0" collapsed="false">
      <c r="A5188" s="34" t="n">
        <v>96227397172</v>
      </c>
      <c r="B5188" s="34" t="s">
        <v>11992</v>
      </c>
      <c r="C5188" s="34" t="s">
        <v>77</v>
      </c>
      <c r="E5188" s="30" t="s">
        <v>11993</v>
      </c>
      <c r="F5188" s="34" t="n">
        <f aca="false">IFERROR(VLOOKUP($A5188,'319'!$B:$H,7,0),0)</f>
        <v>0</v>
      </c>
      <c r="G5188" s="34" t="n">
        <f aca="false">SUMIFS('12.326ana'!$C:$C,'12.326ana'!$M:$M,redes!A5188)</f>
        <v>0</v>
      </c>
    </row>
    <row r="5189" customFormat="false" ht="14.4" hidden="true" customHeight="false" outlineLevel="0" collapsed="false">
      <c r="A5189" s="34" t="n">
        <v>96230215187</v>
      </c>
      <c r="B5189" s="34" t="s">
        <v>11994</v>
      </c>
      <c r="C5189" s="34" t="s">
        <v>107</v>
      </c>
      <c r="E5189" s="30" t="s">
        <v>11995</v>
      </c>
      <c r="F5189" s="34" t="n">
        <f aca="false">IFERROR(VLOOKUP($A5189,'319'!$B:$H,7,0),0)</f>
        <v>0</v>
      </c>
      <c r="G5189" s="34" t="n">
        <f aca="false">SUMIFS('12.326ana'!$C:$C,'12.326ana'!$M:$M,redes!A5189)</f>
        <v>0</v>
      </c>
    </row>
    <row r="5190" customFormat="false" ht="14.4" hidden="true" customHeight="false" outlineLevel="0" collapsed="false">
      <c r="A5190" s="34" t="n">
        <v>96245166187</v>
      </c>
      <c r="B5190" s="34" t="s">
        <v>11996</v>
      </c>
      <c r="C5190" s="34" t="s">
        <v>77</v>
      </c>
      <c r="D5190" s="34" t="s">
        <v>3324</v>
      </c>
      <c r="E5190" s="30" t="s">
        <v>11997</v>
      </c>
      <c r="F5190" s="34" t="n">
        <f aca="false">IFERROR(VLOOKUP($A5190,'319'!$B:$H,7,0),0)</f>
        <v>0</v>
      </c>
      <c r="G5190" s="34" t="n">
        <f aca="false">SUMIFS('12.326ana'!$C:$C,'12.326ana'!$M:$M,redes!A5190)</f>
        <v>0</v>
      </c>
    </row>
    <row r="5191" customFormat="false" ht="14.4" hidden="true" customHeight="false" outlineLevel="0" collapsed="false">
      <c r="A5191" s="34" t="n">
        <v>96277998153</v>
      </c>
      <c r="B5191" s="34" t="s">
        <v>11998</v>
      </c>
      <c r="C5191" s="34" t="s">
        <v>2998</v>
      </c>
      <c r="E5191" s="30" t="s">
        <v>11999</v>
      </c>
      <c r="F5191" s="34" t="n">
        <f aca="false">IFERROR(VLOOKUP($A5191,'319'!$B:$H,7,0),0)</f>
        <v>0</v>
      </c>
      <c r="G5191" s="34" t="n">
        <f aca="false">SUMIFS('12.326ana'!$C:$C,'12.326ana'!$M:$M,redes!A5191)</f>
        <v>0</v>
      </c>
    </row>
    <row r="5192" customFormat="false" ht="14.4" hidden="true" customHeight="false" outlineLevel="0" collapsed="false">
      <c r="A5192" s="34" t="n">
        <v>96333790168</v>
      </c>
      <c r="B5192" s="34" t="s">
        <v>12000</v>
      </c>
      <c r="C5192" s="34" t="s">
        <v>77</v>
      </c>
      <c r="E5192" s="30" t="s">
        <v>12001</v>
      </c>
      <c r="F5192" s="34" t="n">
        <f aca="false">IFERROR(VLOOKUP($A5192,'319'!$B:$H,7,0),0)</f>
        <v>0</v>
      </c>
      <c r="G5192" s="34" t="n">
        <f aca="false">SUMIFS('12.326ana'!$C:$C,'12.326ana'!$M:$M,redes!A5192)</f>
        <v>0</v>
      </c>
    </row>
    <row r="5193" customFormat="false" ht="14.4" hidden="true" customHeight="false" outlineLevel="0" collapsed="false">
      <c r="A5193" s="34" t="n">
        <v>96369280100</v>
      </c>
      <c r="B5193" s="34" t="s">
        <v>12002</v>
      </c>
      <c r="C5193" s="34" t="s">
        <v>309</v>
      </c>
      <c r="E5193" s="30" t="s">
        <v>12003</v>
      </c>
      <c r="F5193" s="34" t="n">
        <f aca="false">IFERROR(VLOOKUP($A5193,'319'!$B:$H,7,0),0)</f>
        <v>0</v>
      </c>
      <c r="G5193" s="34" t="n">
        <f aca="false">SUMIFS('12.326ana'!$C:$C,'12.326ana'!$M:$M,redes!A5193)</f>
        <v>0</v>
      </c>
    </row>
    <row r="5194" customFormat="false" ht="14.4" hidden="true" customHeight="false" outlineLevel="0" collapsed="false">
      <c r="A5194" s="34" t="n">
        <v>96374667115</v>
      </c>
      <c r="B5194" s="34" t="s">
        <v>12004</v>
      </c>
      <c r="C5194" s="34" t="s">
        <v>77</v>
      </c>
      <c r="E5194" s="30" t="s">
        <v>12005</v>
      </c>
      <c r="F5194" s="34" t="n">
        <f aca="false">IFERROR(VLOOKUP($A5194,'319'!$B:$H,7,0),0)</f>
        <v>0</v>
      </c>
      <c r="G5194" s="34" t="n">
        <f aca="false">SUMIFS('12.326ana'!$C:$C,'12.326ana'!$M:$M,redes!A5194)</f>
        <v>0</v>
      </c>
    </row>
    <row r="5195" customFormat="false" ht="14.4" hidden="true" customHeight="false" outlineLevel="0" collapsed="false">
      <c r="A5195" s="34" t="n">
        <v>96388790178</v>
      </c>
      <c r="B5195" s="34" t="s">
        <v>12006</v>
      </c>
      <c r="C5195" s="34" t="s">
        <v>565</v>
      </c>
      <c r="E5195" s="30" t="s">
        <v>12007</v>
      </c>
      <c r="F5195" s="34" t="n">
        <f aca="false">IFERROR(VLOOKUP($A5195,'319'!$B:$H,7,0),0)</f>
        <v>0</v>
      </c>
      <c r="G5195" s="34" t="n">
        <f aca="false">SUMIFS('12.326ana'!$C:$C,'12.326ana'!$M:$M,redes!A5195)</f>
        <v>0</v>
      </c>
    </row>
    <row r="5196" customFormat="false" ht="14.4" hidden="true" customHeight="false" outlineLevel="0" collapsed="false">
      <c r="A5196" s="34" t="n">
        <v>96489650134</v>
      </c>
      <c r="B5196" s="34" t="s">
        <v>12008</v>
      </c>
      <c r="C5196" s="34" t="s">
        <v>77</v>
      </c>
      <c r="E5196" s="30"/>
      <c r="F5196" s="34" t="n">
        <f aca="false">IFERROR(VLOOKUP($A5196,'319'!$B:$H,7,0),0)</f>
        <v>0</v>
      </c>
      <c r="G5196" s="34" t="n">
        <f aca="false">SUMIFS('12.326ana'!$C:$C,'12.326ana'!$M:$M,redes!A5196)</f>
        <v>0</v>
      </c>
    </row>
    <row r="5197" customFormat="false" ht="14.4" hidden="true" customHeight="false" outlineLevel="0" collapsed="false">
      <c r="A5197" s="34" t="n">
        <v>96492953134</v>
      </c>
      <c r="B5197" s="34" t="s">
        <v>12009</v>
      </c>
      <c r="C5197" s="34" t="s">
        <v>103</v>
      </c>
      <c r="E5197" s="30" t="s">
        <v>10587</v>
      </c>
      <c r="F5197" s="34" t="n">
        <f aca="false">IFERROR(VLOOKUP($A5197,'319'!$B:$H,7,0),0)</f>
        <v>0</v>
      </c>
      <c r="G5197" s="34" t="n">
        <f aca="false">SUMIFS('12.326ana'!$C:$C,'12.326ana'!$M:$M,redes!A5197)</f>
        <v>0</v>
      </c>
    </row>
    <row r="5198" customFormat="false" ht="14.4" hidden="true" customHeight="false" outlineLevel="0" collapsed="false">
      <c r="A5198" s="34" t="n">
        <v>96495545134</v>
      </c>
      <c r="B5198" s="34" t="s">
        <v>12010</v>
      </c>
      <c r="C5198" s="34" t="s">
        <v>77</v>
      </c>
      <c r="E5198" s="30" t="s">
        <v>12011</v>
      </c>
      <c r="F5198" s="34" t="n">
        <f aca="false">IFERROR(VLOOKUP($A5198,'319'!$B:$H,7,0),0)</f>
        <v>0</v>
      </c>
      <c r="G5198" s="34" t="n">
        <f aca="false">SUMIFS('12.326ana'!$C:$C,'12.326ana'!$M:$M,redes!A5198)</f>
        <v>0</v>
      </c>
    </row>
    <row r="5199" customFormat="false" ht="14.4" hidden="true" customHeight="false" outlineLevel="0" collapsed="false">
      <c r="A5199" s="34" t="n">
        <v>96496088187</v>
      </c>
      <c r="B5199" s="34" t="s">
        <v>12012</v>
      </c>
      <c r="C5199" s="34" t="s">
        <v>77</v>
      </c>
      <c r="E5199" s="30" t="s">
        <v>12013</v>
      </c>
      <c r="F5199" s="34" t="n">
        <f aca="false">IFERROR(VLOOKUP($A5199,'319'!$B:$H,7,0),0)</f>
        <v>0</v>
      </c>
      <c r="G5199" s="34" t="n">
        <f aca="false">SUMIFS('12.326ana'!$C:$C,'12.326ana'!$M:$M,redes!A5199)</f>
        <v>0</v>
      </c>
    </row>
    <row r="5200" customFormat="false" ht="14.4" hidden="true" customHeight="false" outlineLevel="0" collapsed="false">
      <c r="A5200" s="34" t="n">
        <v>96498102187</v>
      </c>
      <c r="B5200" s="34" t="s">
        <v>12014</v>
      </c>
      <c r="C5200" s="34" t="s">
        <v>77</v>
      </c>
      <c r="E5200" s="30" t="s">
        <v>8319</v>
      </c>
      <c r="F5200" s="34" t="n">
        <f aca="false">IFERROR(VLOOKUP($A5200,'319'!$B:$H,7,0),0)</f>
        <v>0</v>
      </c>
      <c r="G5200" s="34" t="n">
        <f aca="false">SUMIFS('12.326ana'!$C:$C,'12.326ana'!$M:$M,redes!A5200)</f>
        <v>0</v>
      </c>
    </row>
    <row r="5201" customFormat="false" ht="14.4" hidden="true" customHeight="false" outlineLevel="0" collapsed="false">
      <c r="A5201" s="34" t="n">
        <v>96500255100</v>
      </c>
      <c r="B5201" s="34" t="s">
        <v>12015</v>
      </c>
      <c r="C5201" s="34" t="s">
        <v>107</v>
      </c>
      <c r="E5201" s="30" t="s">
        <v>12016</v>
      </c>
      <c r="F5201" s="34" t="n">
        <f aca="false">IFERROR(VLOOKUP($A5201,'319'!$B:$H,7,0),0)</f>
        <v>0</v>
      </c>
      <c r="G5201" s="34" t="n">
        <f aca="false">SUMIFS('12.326ana'!$C:$C,'12.326ana'!$M:$M,redes!A5201)</f>
        <v>0</v>
      </c>
    </row>
    <row r="5202" customFormat="false" ht="14.4" hidden="true" customHeight="false" outlineLevel="0" collapsed="false">
      <c r="A5202" s="34" t="n">
        <v>96500999134</v>
      </c>
      <c r="B5202" s="34" t="s">
        <v>12017</v>
      </c>
      <c r="C5202" s="34" t="s">
        <v>77</v>
      </c>
      <c r="E5202" s="30" t="s">
        <v>12018</v>
      </c>
      <c r="F5202" s="34" t="n">
        <f aca="false">IFERROR(VLOOKUP($A5202,'319'!$B:$H,7,0),0)</f>
        <v>0</v>
      </c>
      <c r="G5202" s="34" t="n">
        <f aca="false">SUMIFS('12.326ana'!$C:$C,'12.326ana'!$M:$M,redes!A5202)</f>
        <v>0</v>
      </c>
    </row>
    <row r="5203" customFormat="false" ht="14.4" hidden="true" customHeight="false" outlineLevel="0" collapsed="false">
      <c r="A5203" s="34" t="n">
        <v>96520620149</v>
      </c>
      <c r="B5203" s="34" t="s">
        <v>12019</v>
      </c>
      <c r="C5203" s="34" t="s">
        <v>77</v>
      </c>
      <c r="E5203" s="30" t="s">
        <v>12020</v>
      </c>
      <c r="F5203" s="34" t="n">
        <f aca="false">IFERROR(VLOOKUP($A5203,'319'!$B:$H,7,0),0)</f>
        <v>0</v>
      </c>
      <c r="G5203" s="34" t="n">
        <f aca="false">SUMIFS('12.326ana'!$C:$C,'12.326ana'!$M:$M,redes!A5203)</f>
        <v>0</v>
      </c>
    </row>
    <row r="5204" customFormat="false" ht="14.4" hidden="true" customHeight="false" outlineLevel="0" collapsed="false">
      <c r="A5204" s="34" t="n">
        <v>96542659153</v>
      </c>
      <c r="B5204" s="34" t="s">
        <v>12021</v>
      </c>
      <c r="C5204" s="34" t="s">
        <v>299</v>
      </c>
      <c r="E5204" s="30"/>
      <c r="F5204" s="34" t="n">
        <f aca="false">IFERROR(VLOOKUP($A5204,'319'!$B:$H,7,0),0)</f>
        <v>0</v>
      </c>
      <c r="G5204" s="34" t="n">
        <f aca="false">SUMIFS('12.326ana'!$C:$C,'12.326ana'!$M:$M,redes!A5204)</f>
        <v>0</v>
      </c>
    </row>
    <row r="5205" customFormat="false" ht="14.4" hidden="true" customHeight="false" outlineLevel="0" collapsed="false">
      <c r="A5205" s="34" t="n">
        <v>96604166104</v>
      </c>
      <c r="B5205" s="34" t="s">
        <v>12022</v>
      </c>
      <c r="C5205" s="34" t="s">
        <v>473</v>
      </c>
      <c r="E5205" s="30" t="s">
        <v>12023</v>
      </c>
      <c r="F5205" s="34" t="n">
        <f aca="false">IFERROR(VLOOKUP($A5205,'319'!$B:$H,7,0),0)</f>
        <v>0</v>
      </c>
      <c r="G5205" s="34" t="n">
        <f aca="false">SUMIFS('12.326ana'!$C:$C,'12.326ana'!$M:$M,redes!A5205)</f>
        <v>0</v>
      </c>
    </row>
    <row r="5206" customFormat="false" ht="14.4" hidden="true" customHeight="false" outlineLevel="0" collapsed="false">
      <c r="A5206" s="34" t="n">
        <v>96604638120</v>
      </c>
      <c r="B5206" s="34" t="s">
        <v>12024</v>
      </c>
      <c r="C5206" s="34" t="s">
        <v>197</v>
      </c>
      <c r="E5206" s="30" t="s">
        <v>7510</v>
      </c>
      <c r="F5206" s="34" t="n">
        <f aca="false">IFERROR(VLOOKUP($A5206,'319'!$B:$H,7,0),0)</f>
        <v>0</v>
      </c>
      <c r="G5206" s="34" t="n">
        <f aca="false">SUMIFS('12.326ana'!$C:$C,'12.326ana'!$M:$M,redes!A5206)</f>
        <v>0</v>
      </c>
    </row>
    <row r="5207" customFormat="false" ht="14.4" hidden="true" customHeight="false" outlineLevel="0" collapsed="false">
      <c r="A5207" s="34" t="n">
        <v>96605588134</v>
      </c>
      <c r="B5207" s="34" t="s">
        <v>12025</v>
      </c>
      <c r="C5207" s="34" t="s">
        <v>848</v>
      </c>
      <c r="E5207" s="30" t="s">
        <v>5121</v>
      </c>
      <c r="F5207" s="34" t="n">
        <f aca="false">IFERROR(VLOOKUP($A5207,'319'!$B:$H,7,0),0)</f>
        <v>0</v>
      </c>
      <c r="G5207" s="34" t="n">
        <f aca="false">SUMIFS('12.326ana'!$C:$C,'12.326ana'!$M:$M,redes!A5207)</f>
        <v>0</v>
      </c>
    </row>
    <row r="5208" customFormat="false" ht="14.4" hidden="true" customHeight="false" outlineLevel="0" collapsed="false">
      <c r="A5208" s="34" t="n">
        <v>96605715187</v>
      </c>
      <c r="B5208" s="34" t="s">
        <v>12026</v>
      </c>
      <c r="C5208" s="34" t="s">
        <v>464</v>
      </c>
      <c r="E5208" s="30" t="s">
        <v>12027</v>
      </c>
      <c r="F5208" s="34" t="n">
        <f aca="false">IFERROR(VLOOKUP($A5208,'319'!$B:$H,7,0),0)</f>
        <v>0</v>
      </c>
      <c r="G5208" s="34" t="n">
        <f aca="false">SUMIFS('12.326ana'!$C:$C,'12.326ana'!$M:$M,redes!A5208)</f>
        <v>0</v>
      </c>
    </row>
    <row r="5209" customFormat="false" ht="14.4" hidden="true" customHeight="false" outlineLevel="0" collapsed="false">
      <c r="A5209" s="34" t="n">
        <v>96669144172</v>
      </c>
      <c r="B5209" s="34" t="s">
        <v>12028</v>
      </c>
      <c r="C5209" s="34" t="s">
        <v>77</v>
      </c>
      <c r="E5209" s="30" t="s">
        <v>9517</v>
      </c>
      <c r="F5209" s="34" t="n">
        <f aca="false">IFERROR(VLOOKUP($A5209,'319'!$B:$H,7,0),0)</f>
        <v>0</v>
      </c>
      <c r="G5209" s="34" t="n">
        <f aca="false">SUMIFS('12.326ana'!$C:$C,'12.326ana'!$M:$M,redes!A5209)</f>
        <v>0</v>
      </c>
    </row>
    <row r="5210" customFormat="false" ht="14.4" hidden="true" customHeight="false" outlineLevel="0" collapsed="false">
      <c r="A5210" s="34" t="n">
        <v>96670576153</v>
      </c>
      <c r="B5210" s="34" t="s">
        <v>12029</v>
      </c>
      <c r="C5210" s="34" t="s">
        <v>77</v>
      </c>
      <c r="E5210" s="30" t="s">
        <v>12030</v>
      </c>
      <c r="F5210" s="34" t="n">
        <f aca="false">IFERROR(VLOOKUP($A5210,'319'!$B:$H,7,0),0)</f>
        <v>0</v>
      </c>
      <c r="G5210" s="34" t="n">
        <f aca="false">SUMIFS('12.326ana'!$C:$C,'12.326ana'!$M:$M,redes!A5210)</f>
        <v>0</v>
      </c>
    </row>
    <row r="5211" customFormat="false" ht="14.4" hidden="true" customHeight="false" outlineLevel="0" collapsed="false">
      <c r="A5211" s="34" t="n">
        <v>96674415804</v>
      </c>
      <c r="B5211" s="34" t="s">
        <v>12031</v>
      </c>
      <c r="C5211" s="34" t="s">
        <v>77</v>
      </c>
      <c r="E5211" s="30" t="s">
        <v>10634</v>
      </c>
      <c r="F5211" s="34" t="n">
        <f aca="false">IFERROR(VLOOKUP($A5211,'319'!$B:$H,7,0),0)</f>
        <v>0</v>
      </c>
      <c r="G5211" s="34" t="n">
        <f aca="false">SUMIFS('12.326ana'!$C:$C,'12.326ana'!$M:$M,redes!A5211)</f>
        <v>0</v>
      </c>
    </row>
    <row r="5212" customFormat="false" ht="14.4" hidden="true" customHeight="false" outlineLevel="0" collapsed="false">
      <c r="A5212" s="34" t="n">
        <v>96704390197</v>
      </c>
      <c r="B5212" s="34" t="s">
        <v>12032</v>
      </c>
      <c r="C5212" s="34" t="s">
        <v>77</v>
      </c>
      <c r="E5212" s="30" t="s">
        <v>12033</v>
      </c>
      <c r="F5212" s="34" t="n">
        <f aca="false">IFERROR(VLOOKUP($A5212,'319'!$B:$H,7,0),0)</f>
        <v>0</v>
      </c>
      <c r="G5212" s="34" t="n">
        <f aca="false">SUMIFS('12.326ana'!$C:$C,'12.326ana'!$M:$M,redes!A5212)</f>
        <v>0</v>
      </c>
    </row>
    <row r="5213" customFormat="false" ht="14.4" hidden="true" customHeight="false" outlineLevel="0" collapsed="false">
      <c r="A5213" s="34" t="n">
        <v>96706210110</v>
      </c>
      <c r="B5213" s="34" t="s">
        <v>12034</v>
      </c>
      <c r="C5213" s="34" t="s">
        <v>448</v>
      </c>
      <c r="E5213" s="30" t="s">
        <v>12035</v>
      </c>
      <c r="F5213" s="34" t="n">
        <f aca="false">IFERROR(VLOOKUP($A5213,'319'!$B:$H,7,0),0)</f>
        <v>0</v>
      </c>
      <c r="G5213" s="34" t="n">
        <f aca="false">SUMIFS('12.326ana'!$C:$C,'12.326ana'!$M:$M,redes!A5213)</f>
        <v>0</v>
      </c>
    </row>
    <row r="5214" customFormat="false" ht="14.4" hidden="true" customHeight="false" outlineLevel="0" collapsed="false">
      <c r="A5214" s="34" t="n">
        <v>96736000105</v>
      </c>
      <c r="B5214" s="34" t="s">
        <v>12036</v>
      </c>
      <c r="C5214" s="34" t="s">
        <v>77</v>
      </c>
      <c r="E5214" s="30" t="s">
        <v>12037</v>
      </c>
      <c r="F5214" s="34" t="n">
        <f aca="false">IFERROR(VLOOKUP($A5214,'319'!$B:$H,7,0),0)</f>
        <v>0</v>
      </c>
      <c r="G5214" s="34" t="n">
        <f aca="false">SUMIFS('12.326ana'!$C:$C,'12.326ana'!$M:$M,redes!A5214)</f>
        <v>0</v>
      </c>
    </row>
    <row r="5215" customFormat="false" ht="14.4" hidden="true" customHeight="false" outlineLevel="0" collapsed="false">
      <c r="A5215" s="34" t="n">
        <v>96748885191</v>
      </c>
      <c r="B5215" s="34" t="s">
        <v>12038</v>
      </c>
      <c r="C5215" s="34" t="s">
        <v>77</v>
      </c>
      <c r="E5215" s="30" t="s">
        <v>12039</v>
      </c>
      <c r="F5215" s="34" t="n">
        <f aca="false">IFERROR(VLOOKUP($A5215,'319'!$B:$H,7,0),0)</f>
        <v>0</v>
      </c>
      <c r="G5215" s="34" t="n">
        <f aca="false">SUMIFS('12.326ana'!$C:$C,'12.326ana'!$M:$M,redes!A5215)</f>
        <v>0</v>
      </c>
    </row>
    <row r="5216" customFormat="false" ht="14.4" hidden="true" customHeight="false" outlineLevel="0" collapsed="false">
      <c r="A5216" s="34" t="n">
        <v>96756748149</v>
      </c>
      <c r="B5216" s="34" t="s">
        <v>12040</v>
      </c>
      <c r="C5216" s="34" t="s">
        <v>192</v>
      </c>
      <c r="E5216" s="30" t="s">
        <v>5836</v>
      </c>
      <c r="F5216" s="34" t="n">
        <f aca="false">IFERROR(VLOOKUP($A5216,'319'!$B:$H,7,0),0)</f>
        <v>0</v>
      </c>
      <c r="G5216" s="34" t="n">
        <f aca="false">SUMIFS('12.326ana'!$C:$C,'12.326ana'!$M:$M,redes!A5216)</f>
        <v>0</v>
      </c>
    </row>
    <row r="5217" customFormat="false" ht="14.4" hidden="true" customHeight="false" outlineLevel="0" collapsed="false">
      <c r="A5217" s="34" t="n">
        <v>96760214153</v>
      </c>
      <c r="B5217" s="34" t="s">
        <v>12041</v>
      </c>
      <c r="C5217" s="34" t="s">
        <v>77</v>
      </c>
      <c r="E5217" s="30" t="s">
        <v>12042</v>
      </c>
      <c r="F5217" s="34" t="n">
        <f aca="false">IFERROR(VLOOKUP($A5217,'319'!$B:$H,7,0),0)</f>
        <v>0</v>
      </c>
      <c r="G5217" s="34" t="n">
        <f aca="false">SUMIFS('12.326ana'!$C:$C,'12.326ana'!$M:$M,redes!A5217)</f>
        <v>0</v>
      </c>
    </row>
    <row r="5218" customFormat="false" ht="14.4" hidden="true" customHeight="false" outlineLevel="0" collapsed="false">
      <c r="A5218" s="34" t="n">
        <v>96789921168</v>
      </c>
      <c r="B5218" s="34" t="s">
        <v>12043</v>
      </c>
      <c r="C5218" s="34" t="s">
        <v>77</v>
      </c>
      <c r="E5218" s="30" t="s">
        <v>12044</v>
      </c>
      <c r="F5218" s="34" t="n">
        <f aca="false">IFERROR(VLOOKUP($A5218,'319'!$B:$H,7,0),0)</f>
        <v>0</v>
      </c>
      <c r="G5218" s="34" t="n">
        <f aca="false">SUMIFS('12.326ana'!$C:$C,'12.326ana'!$M:$M,redes!A5218)</f>
        <v>0</v>
      </c>
    </row>
    <row r="5219" customFormat="false" ht="14.4" hidden="true" customHeight="false" outlineLevel="0" collapsed="false">
      <c r="A5219" s="34" t="n">
        <v>96835443120</v>
      </c>
      <c r="B5219" s="34" t="s">
        <v>12045</v>
      </c>
      <c r="C5219" s="34" t="s">
        <v>357</v>
      </c>
      <c r="E5219" s="30" t="s">
        <v>12046</v>
      </c>
      <c r="F5219" s="34" t="n">
        <f aca="false">IFERROR(VLOOKUP($A5219,'319'!$B:$H,7,0),0)</f>
        <v>0</v>
      </c>
      <c r="G5219" s="34" t="n">
        <f aca="false">SUMIFS('12.326ana'!$C:$C,'12.326ana'!$M:$M,redes!A5219)</f>
        <v>0</v>
      </c>
    </row>
    <row r="5220" customFormat="false" ht="14.4" hidden="true" customHeight="false" outlineLevel="0" collapsed="false">
      <c r="A5220" s="34" t="n">
        <v>96841958187</v>
      </c>
      <c r="B5220" s="34" t="s">
        <v>12047</v>
      </c>
      <c r="C5220" s="34" t="s">
        <v>103</v>
      </c>
      <c r="E5220" s="30" t="s">
        <v>12048</v>
      </c>
      <c r="F5220" s="34" t="n">
        <f aca="false">IFERROR(VLOOKUP($A5220,'319'!$B:$H,7,0),0)</f>
        <v>0</v>
      </c>
      <c r="G5220" s="34" t="n">
        <f aca="false">SUMIFS('12.326ana'!$C:$C,'12.326ana'!$M:$M,redes!A5220)</f>
        <v>0</v>
      </c>
    </row>
    <row r="5221" customFormat="false" ht="14.4" hidden="true" customHeight="false" outlineLevel="0" collapsed="false">
      <c r="A5221" s="34" t="n">
        <v>96853824172</v>
      </c>
      <c r="B5221" s="34" t="s">
        <v>12049</v>
      </c>
      <c r="C5221" s="34" t="s">
        <v>604</v>
      </c>
      <c r="E5221" s="30" t="s">
        <v>12050</v>
      </c>
      <c r="F5221" s="34" t="n">
        <f aca="false">IFERROR(VLOOKUP($A5221,'319'!$B:$H,7,0),0)</f>
        <v>0</v>
      </c>
      <c r="G5221" s="34" t="n">
        <f aca="false">SUMIFS('12.326ana'!$C:$C,'12.326ana'!$M:$M,redes!A5221)</f>
        <v>0</v>
      </c>
    </row>
    <row r="5222" customFormat="false" ht="14.4" hidden="true" customHeight="false" outlineLevel="0" collapsed="false">
      <c r="A5222" s="34" t="n">
        <v>96855223168</v>
      </c>
      <c r="B5222" s="34" t="s">
        <v>12051</v>
      </c>
      <c r="C5222" s="34" t="s">
        <v>935</v>
      </c>
      <c r="E5222" s="30" t="s">
        <v>3765</v>
      </c>
      <c r="F5222" s="34" t="n">
        <f aca="false">IFERROR(VLOOKUP($A5222,'319'!$B:$H,7,0),0)</f>
        <v>0</v>
      </c>
      <c r="G5222" s="34" t="n">
        <f aca="false">SUMIFS('12.326ana'!$C:$C,'12.326ana'!$M:$M,redes!A5222)</f>
        <v>0</v>
      </c>
    </row>
    <row r="5223" customFormat="false" ht="14.4" hidden="true" customHeight="false" outlineLevel="0" collapsed="false">
      <c r="A5223" s="34" t="n">
        <v>96858710191</v>
      </c>
      <c r="B5223" s="34" t="s">
        <v>12052</v>
      </c>
      <c r="C5223" s="34" t="s">
        <v>77</v>
      </c>
      <c r="E5223" s="30" t="s">
        <v>12053</v>
      </c>
      <c r="F5223" s="34" t="n">
        <f aca="false">IFERROR(VLOOKUP($A5223,'319'!$B:$H,7,0),0)</f>
        <v>0</v>
      </c>
      <c r="G5223" s="34" t="n">
        <f aca="false">SUMIFS('12.326ana'!$C:$C,'12.326ana'!$M:$M,redes!A5223)</f>
        <v>0</v>
      </c>
    </row>
    <row r="5224" customFormat="false" ht="14.4" hidden="true" customHeight="false" outlineLevel="0" collapsed="false">
      <c r="A5224" s="34" t="n">
        <v>96873329134</v>
      </c>
      <c r="B5224" s="34" t="s">
        <v>12054</v>
      </c>
      <c r="C5224" s="34" t="s">
        <v>107</v>
      </c>
      <c r="E5224" s="30" t="s">
        <v>12055</v>
      </c>
      <c r="F5224" s="34" t="n">
        <f aca="false">IFERROR(VLOOKUP($A5224,'319'!$B:$H,7,0),0)</f>
        <v>0</v>
      </c>
      <c r="G5224" s="34" t="n">
        <f aca="false">SUMIFS('12.326ana'!$C:$C,'12.326ana'!$M:$M,redes!A5224)</f>
        <v>0</v>
      </c>
    </row>
    <row r="5225" customFormat="false" ht="14.4" hidden="true" customHeight="false" outlineLevel="0" collapsed="false">
      <c r="A5225" s="34" t="n">
        <v>96895411100</v>
      </c>
      <c r="B5225" s="34" t="s">
        <v>12056</v>
      </c>
      <c r="C5225" s="34" t="s">
        <v>103</v>
      </c>
      <c r="E5225" s="30" t="s">
        <v>12057</v>
      </c>
      <c r="F5225" s="34" t="n">
        <f aca="false">IFERROR(VLOOKUP($A5225,'319'!$B:$H,7,0),0)</f>
        <v>0</v>
      </c>
      <c r="G5225" s="34" t="n">
        <f aca="false">SUMIFS('12.326ana'!$C:$C,'12.326ana'!$M:$M,redes!A5225)</f>
        <v>0</v>
      </c>
    </row>
    <row r="5226" customFormat="false" ht="14.4" hidden="true" customHeight="false" outlineLevel="0" collapsed="false">
      <c r="A5226" s="34" t="n">
        <v>96898518100</v>
      </c>
      <c r="B5226" s="34" t="s">
        <v>12058</v>
      </c>
      <c r="C5226" s="34" t="s">
        <v>77</v>
      </c>
      <c r="E5226" s="30" t="s">
        <v>12058</v>
      </c>
      <c r="F5226" s="34" t="n">
        <f aca="false">IFERROR(VLOOKUP($A5226,'319'!$B:$H,7,0),0)</f>
        <v>0</v>
      </c>
      <c r="G5226" s="34" t="n">
        <f aca="false">SUMIFS('12.326ana'!$C:$C,'12.326ana'!$M:$M,redes!A5226)</f>
        <v>0</v>
      </c>
    </row>
    <row r="5227" customFormat="false" ht="14.4" hidden="true" customHeight="false" outlineLevel="0" collapsed="false">
      <c r="A5227" s="34" t="n">
        <v>96916303115</v>
      </c>
      <c r="B5227" s="34" t="s">
        <v>12059</v>
      </c>
      <c r="C5227" s="34" t="s">
        <v>77</v>
      </c>
      <c r="E5227" s="30" t="s">
        <v>12060</v>
      </c>
      <c r="F5227" s="34" t="n">
        <f aca="false">IFERROR(VLOOKUP($A5227,'319'!$B:$H,7,0),0)</f>
        <v>0</v>
      </c>
      <c r="G5227" s="34" t="n">
        <f aca="false">SUMIFS('12.326ana'!$C:$C,'12.326ana'!$M:$M,redes!A5227)</f>
        <v>0</v>
      </c>
    </row>
    <row r="5228" customFormat="false" ht="14.4" hidden="true" customHeight="false" outlineLevel="0" collapsed="false">
      <c r="A5228" s="34" t="n">
        <v>96926520178</v>
      </c>
      <c r="B5228" s="34" t="s">
        <v>12061</v>
      </c>
      <c r="C5228" s="34" t="s">
        <v>139</v>
      </c>
      <c r="E5228" s="30" t="s">
        <v>12062</v>
      </c>
      <c r="F5228" s="34" t="n">
        <f aca="false">IFERROR(VLOOKUP($A5228,'319'!$B:$H,7,0),0)</f>
        <v>0</v>
      </c>
      <c r="G5228" s="34" t="n">
        <f aca="false">SUMIFS('12.326ana'!$C:$C,'12.326ana'!$M:$M,redes!A5228)</f>
        <v>0</v>
      </c>
    </row>
    <row r="5229" customFormat="false" ht="14.4" hidden="true" customHeight="false" outlineLevel="0" collapsed="false">
      <c r="A5229" s="34" t="n">
        <v>96955600834</v>
      </c>
      <c r="B5229" s="34" t="s">
        <v>12063</v>
      </c>
      <c r="C5229" s="34" t="s">
        <v>207</v>
      </c>
      <c r="E5229" s="30" t="s">
        <v>12064</v>
      </c>
      <c r="F5229" s="34" t="n">
        <f aca="false">IFERROR(VLOOKUP($A5229,'319'!$B:$H,7,0),0)</f>
        <v>0</v>
      </c>
      <c r="G5229" s="34" t="n">
        <f aca="false">SUMIFS('12.326ana'!$C:$C,'12.326ana'!$M:$M,redes!A5229)</f>
        <v>0</v>
      </c>
    </row>
    <row r="5230" customFormat="false" ht="14.4" hidden="true" customHeight="false" outlineLevel="0" collapsed="false">
      <c r="A5230" s="34" t="n">
        <v>97006670810</v>
      </c>
      <c r="B5230" s="34" t="s">
        <v>12065</v>
      </c>
      <c r="C5230" s="34" t="s">
        <v>77</v>
      </c>
      <c r="E5230" s="30" t="s">
        <v>3965</v>
      </c>
      <c r="F5230" s="34" t="n">
        <f aca="false">IFERROR(VLOOKUP($A5230,'319'!$B:$H,7,0),0)</f>
        <v>0</v>
      </c>
      <c r="G5230" s="34" t="n">
        <f aca="false">SUMIFS('12.326ana'!$C:$C,'12.326ana'!$M:$M,redes!A5230)</f>
        <v>0</v>
      </c>
    </row>
    <row r="5231" customFormat="false" ht="14.4" hidden="true" customHeight="false" outlineLevel="0" collapsed="false">
      <c r="A5231" s="34" t="n">
        <v>97017116887</v>
      </c>
      <c r="B5231" s="34" t="s">
        <v>12066</v>
      </c>
      <c r="C5231" s="34" t="s">
        <v>77</v>
      </c>
      <c r="E5231" s="30" t="s">
        <v>12067</v>
      </c>
      <c r="F5231" s="34" t="n">
        <f aca="false">IFERROR(VLOOKUP($A5231,'319'!$B:$H,7,0),0)</f>
        <v>0</v>
      </c>
      <c r="G5231" s="34" t="n">
        <f aca="false">SUMIFS('12.326ana'!$C:$C,'12.326ana'!$M:$M,redes!A5231)</f>
        <v>0</v>
      </c>
    </row>
    <row r="5232" customFormat="false" ht="14.4" hidden="true" customHeight="false" outlineLevel="0" collapsed="false">
      <c r="A5232" s="34" t="n">
        <v>97017507134</v>
      </c>
      <c r="B5232" s="34" t="s">
        <v>12068</v>
      </c>
      <c r="C5232" s="34" t="s">
        <v>77</v>
      </c>
      <c r="E5232" s="30" t="s">
        <v>12069</v>
      </c>
      <c r="F5232" s="34" t="n">
        <f aca="false">IFERROR(VLOOKUP($A5232,'319'!$B:$H,7,0),0)</f>
        <v>0</v>
      </c>
      <c r="G5232" s="34" t="n">
        <f aca="false">SUMIFS('12.326ana'!$C:$C,'12.326ana'!$M:$M,redes!A5232)</f>
        <v>0</v>
      </c>
    </row>
    <row r="5233" customFormat="false" ht="14.4" hidden="true" customHeight="false" outlineLevel="0" collapsed="false">
      <c r="A5233" s="34" t="n">
        <v>97018210178</v>
      </c>
      <c r="B5233" s="34" t="s">
        <v>12070</v>
      </c>
      <c r="C5233" s="34" t="s">
        <v>77</v>
      </c>
      <c r="E5233" s="30"/>
      <c r="F5233" s="34" t="n">
        <f aca="false">IFERROR(VLOOKUP($A5233,'319'!$B:$H,7,0),0)</f>
        <v>0</v>
      </c>
      <c r="G5233" s="34" t="n">
        <f aca="false">SUMIFS('12.326ana'!$C:$C,'12.326ana'!$M:$M,redes!A5233)</f>
        <v>0</v>
      </c>
    </row>
    <row r="5234" customFormat="false" ht="14.4" hidden="true" customHeight="false" outlineLevel="0" collapsed="false">
      <c r="A5234" s="34" t="n">
        <v>97018341191</v>
      </c>
      <c r="B5234" s="34" t="s">
        <v>12071</v>
      </c>
      <c r="C5234" s="34" t="s">
        <v>77</v>
      </c>
      <c r="E5234" s="30"/>
      <c r="F5234" s="34" t="n">
        <f aca="false">IFERROR(VLOOKUP($A5234,'319'!$B:$H,7,0),0)</f>
        <v>0</v>
      </c>
      <c r="G5234" s="34" t="n">
        <f aca="false">SUMIFS('12.326ana'!$C:$C,'12.326ana'!$M:$M,redes!A5234)</f>
        <v>0</v>
      </c>
    </row>
    <row r="5235" customFormat="false" ht="14.4" hidden="true" customHeight="false" outlineLevel="0" collapsed="false">
      <c r="A5235" s="34" t="n">
        <v>97020060153</v>
      </c>
      <c r="B5235" s="34" t="s">
        <v>12072</v>
      </c>
      <c r="C5235" s="34" t="s">
        <v>103</v>
      </c>
      <c r="E5235" s="30" t="s">
        <v>12073</v>
      </c>
      <c r="F5235" s="34" t="n">
        <f aca="false">IFERROR(VLOOKUP($A5235,'319'!$B:$H,7,0),0)</f>
        <v>0</v>
      </c>
      <c r="G5235" s="34" t="n">
        <f aca="false">SUMIFS('12.326ana'!$C:$C,'12.326ana'!$M:$M,redes!A5235)</f>
        <v>0</v>
      </c>
    </row>
    <row r="5236" customFormat="false" ht="14.4" hidden="true" customHeight="false" outlineLevel="0" collapsed="false">
      <c r="A5236" s="34" t="n">
        <v>97064815400</v>
      </c>
      <c r="B5236" s="34" t="s">
        <v>12074</v>
      </c>
      <c r="C5236" s="34" t="s">
        <v>139</v>
      </c>
      <c r="E5236" s="30" t="s">
        <v>12075</v>
      </c>
      <c r="F5236" s="34" t="n">
        <f aca="false">IFERROR(VLOOKUP($A5236,'319'!$B:$H,7,0),0)</f>
        <v>0</v>
      </c>
      <c r="G5236" s="34" t="n">
        <f aca="false">SUMIFS('12.326ana'!$C:$C,'12.326ana'!$M:$M,redes!A5236)</f>
        <v>0</v>
      </c>
    </row>
    <row r="5237" customFormat="false" ht="14.4" hidden="true" customHeight="false" outlineLevel="0" collapsed="false">
      <c r="A5237" s="34" t="n">
        <v>97072583815</v>
      </c>
      <c r="B5237" s="34" t="s">
        <v>12076</v>
      </c>
      <c r="C5237" s="34" t="s">
        <v>89</v>
      </c>
      <c r="E5237" s="30" t="s">
        <v>12077</v>
      </c>
      <c r="F5237" s="34" t="n">
        <f aca="false">IFERROR(VLOOKUP($A5237,'319'!$B:$H,7,0),0)</f>
        <v>0</v>
      </c>
      <c r="G5237" s="34" t="n">
        <f aca="false">SUMIFS('12.326ana'!$C:$C,'12.326ana'!$M:$M,redes!A5237)</f>
        <v>0</v>
      </c>
    </row>
    <row r="5238" customFormat="false" ht="14.4" hidden="true" customHeight="false" outlineLevel="0" collapsed="false">
      <c r="A5238" s="34" t="n">
        <v>97105228172</v>
      </c>
      <c r="B5238" s="34" t="s">
        <v>12078</v>
      </c>
      <c r="C5238" s="34" t="s">
        <v>77</v>
      </c>
      <c r="E5238" s="30" t="s">
        <v>12079</v>
      </c>
      <c r="F5238" s="34" t="n">
        <f aca="false">IFERROR(VLOOKUP($A5238,'319'!$B:$H,7,0),0)</f>
        <v>0</v>
      </c>
      <c r="G5238" s="34" t="n">
        <f aca="false">SUMIFS('12.326ana'!$C:$C,'12.326ana'!$M:$M,redes!A5238)</f>
        <v>0</v>
      </c>
    </row>
    <row r="5239" customFormat="false" ht="14.4" hidden="true" customHeight="false" outlineLevel="0" collapsed="false">
      <c r="A5239" s="34" t="n">
        <v>97113840191</v>
      </c>
      <c r="B5239" s="34" t="s">
        <v>12080</v>
      </c>
      <c r="C5239" s="34" t="s">
        <v>103</v>
      </c>
      <c r="E5239" s="30" t="s">
        <v>12081</v>
      </c>
      <c r="F5239" s="34" t="n">
        <f aca="false">IFERROR(VLOOKUP($A5239,'319'!$B:$H,7,0),0)</f>
        <v>0</v>
      </c>
      <c r="G5239" s="34" t="n">
        <f aca="false">SUMIFS('12.326ana'!$C:$C,'12.326ana'!$M:$M,redes!A5239)</f>
        <v>0</v>
      </c>
    </row>
    <row r="5240" customFormat="false" ht="14.4" hidden="true" customHeight="false" outlineLevel="0" collapsed="false">
      <c r="A5240" s="34" t="n">
        <v>97172294149</v>
      </c>
      <c r="B5240" s="34" t="s">
        <v>12082</v>
      </c>
      <c r="C5240" s="34" t="s">
        <v>377</v>
      </c>
      <c r="E5240" s="30" t="s">
        <v>12083</v>
      </c>
      <c r="F5240" s="34" t="n">
        <f aca="false">IFERROR(VLOOKUP($A5240,'319'!$B:$H,7,0),0)</f>
        <v>0</v>
      </c>
      <c r="G5240" s="34" t="n">
        <f aca="false">SUMIFS('12.326ana'!$C:$C,'12.326ana'!$M:$M,redes!A5240)</f>
        <v>0</v>
      </c>
    </row>
    <row r="5241" customFormat="false" ht="14.4" hidden="true" customHeight="false" outlineLevel="0" collapsed="false">
      <c r="A5241" s="34" t="n">
        <v>97174556191</v>
      </c>
      <c r="B5241" s="34" t="s">
        <v>12084</v>
      </c>
      <c r="C5241" s="34" t="s">
        <v>954</v>
      </c>
      <c r="E5241" s="30" t="s">
        <v>3579</v>
      </c>
      <c r="F5241" s="34" t="n">
        <f aca="false">IFERROR(VLOOKUP($A5241,'319'!$B:$H,7,0),0)</f>
        <v>0</v>
      </c>
      <c r="G5241" s="34" t="n">
        <f aca="false">SUMIFS('12.326ana'!$C:$C,'12.326ana'!$M:$M,redes!A5241)</f>
        <v>0</v>
      </c>
    </row>
    <row r="5242" customFormat="false" ht="14.4" hidden="true" customHeight="false" outlineLevel="0" collapsed="false">
      <c r="A5242" s="34" t="n">
        <v>97177059172</v>
      </c>
      <c r="B5242" s="34" t="s">
        <v>12085</v>
      </c>
      <c r="C5242" s="34" t="s">
        <v>4139</v>
      </c>
      <c r="E5242" s="30" t="s">
        <v>12086</v>
      </c>
      <c r="F5242" s="34" t="n">
        <f aca="false">IFERROR(VLOOKUP($A5242,'319'!$B:$H,7,0),0)</f>
        <v>0</v>
      </c>
      <c r="G5242" s="34" t="n">
        <f aca="false">SUMIFS('12.326ana'!$C:$C,'12.326ana'!$M:$M,redes!A5242)</f>
        <v>0</v>
      </c>
    </row>
    <row r="5243" customFormat="false" ht="14.4" hidden="true" customHeight="false" outlineLevel="0" collapsed="false">
      <c r="A5243" s="34" t="n">
        <v>97177237100</v>
      </c>
      <c r="B5243" s="34" t="s">
        <v>12087</v>
      </c>
      <c r="C5243" s="34" t="s">
        <v>77</v>
      </c>
      <c r="E5243" s="30" t="s">
        <v>12087</v>
      </c>
      <c r="F5243" s="34" t="n">
        <f aca="false">IFERROR(VLOOKUP($A5243,'319'!$B:$H,7,0),0)</f>
        <v>0</v>
      </c>
      <c r="G5243" s="34" t="n">
        <f aca="false">SUMIFS('12.326ana'!$C:$C,'12.326ana'!$M:$M,redes!A5243)</f>
        <v>0</v>
      </c>
    </row>
    <row r="5244" customFormat="false" ht="14.4" hidden="true" customHeight="false" outlineLevel="0" collapsed="false">
      <c r="A5244" s="34" t="n">
        <v>97190241191</v>
      </c>
      <c r="B5244" s="34" t="s">
        <v>6025</v>
      </c>
      <c r="C5244" s="34" t="s">
        <v>77</v>
      </c>
      <c r="E5244" s="30" t="s">
        <v>5028</v>
      </c>
      <c r="F5244" s="34" t="n">
        <f aca="false">IFERROR(VLOOKUP($A5244,'319'!$B:$H,7,0),0)</f>
        <v>0</v>
      </c>
      <c r="G5244" s="34" t="n">
        <f aca="false">SUMIFS('12.326ana'!$C:$C,'12.326ana'!$M:$M,redes!A5244)</f>
        <v>0</v>
      </c>
    </row>
    <row r="5245" customFormat="false" ht="14.4" hidden="true" customHeight="false" outlineLevel="0" collapsed="false">
      <c r="A5245" s="34" t="n">
        <v>97201340115</v>
      </c>
      <c r="B5245" s="34" t="s">
        <v>12088</v>
      </c>
      <c r="C5245" s="34" t="s">
        <v>342</v>
      </c>
      <c r="E5245" s="30" t="s">
        <v>12089</v>
      </c>
      <c r="F5245" s="34" t="n">
        <f aca="false">IFERROR(VLOOKUP($A5245,'319'!$B:$H,7,0),0)</f>
        <v>0</v>
      </c>
      <c r="G5245" s="34" t="n">
        <f aca="false">SUMIFS('12.326ana'!$C:$C,'12.326ana'!$M:$M,redes!A5245)</f>
        <v>0</v>
      </c>
    </row>
    <row r="5246" customFormat="false" ht="14.4" hidden="true" customHeight="false" outlineLevel="0" collapsed="false">
      <c r="A5246" s="34" t="n">
        <v>97254932149</v>
      </c>
      <c r="B5246" s="34" t="s">
        <v>12090</v>
      </c>
      <c r="C5246" s="34" t="s">
        <v>77</v>
      </c>
      <c r="E5246" s="30" t="s">
        <v>12091</v>
      </c>
      <c r="F5246" s="34" t="n">
        <f aca="false">IFERROR(VLOOKUP($A5246,'319'!$B:$H,7,0),0)</f>
        <v>0</v>
      </c>
      <c r="G5246" s="34" t="n">
        <f aca="false">SUMIFS('12.326ana'!$C:$C,'12.326ana'!$M:$M,redes!A5246)</f>
        <v>0</v>
      </c>
    </row>
    <row r="5247" customFormat="false" ht="14.4" hidden="true" customHeight="false" outlineLevel="0" collapsed="false">
      <c r="A5247" s="34" t="n">
        <v>97258652191</v>
      </c>
      <c r="B5247" s="34" t="s">
        <v>12092</v>
      </c>
      <c r="C5247" s="34" t="s">
        <v>77</v>
      </c>
      <c r="E5247" s="30" t="s">
        <v>9990</v>
      </c>
      <c r="F5247" s="34" t="n">
        <f aca="false">IFERROR(VLOOKUP($A5247,'319'!$B:$H,7,0),0)</f>
        <v>0</v>
      </c>
      <c r="G5247" s="34" t="n">
        <f aca="false">SUMIFS('12.326ana'!$C:$C,'12.326ana'!$M:$M,redes!A5247)</f>
        <v>0</v>
      </c>
    </row>
    <row r="5248" customFormat="false" ht="14.4" hidden="true" customHeight="false" outlineLevel="0" collapsed="false">
      <c r="A5248" s="34" t="n">
        <v>97269204187</v>
      </c>
      <c r="B5248" s="34" t="s">
        <v>12093</v>
      </c>
      <c r="C5248" s="34" t="s">
        <v>139</v>
      </c>
      <c r="E5248" s="30" t="s">
        <v>12094</v>
      </c>
      <c r="F5248" s="34" t="n">
        <f aca="false">IFERROR(VLOOKUP($A5248,'319'!$B:$H,7,0),0)</f>
        <v>0</v>
      </c>
      <c r="G5248" s="34" t="n">
        <f aca="false">SUMIFS('12.326ana'!$C:$C,'12.326ana'!$M:$M,redes!A5248)</f>
        <v>0</v>
      </c>
    </row>
    <row r="5249" customFormat="false" ht="14.4" hidden="true" customHeight="false" outlineLevel="0" collapsed="false">
      <c r="A5249" s="34" t="n">
        <v>97332437104</v>
      </c>
      <c r="B5249" s="34" t="s">
        <v>12095</v>
      </c>
      <c r="C5249" s="34" t="s">
        <v>77</v>
      </c>
      <c r="E5249" s="30" t="s">
        <v>12096</v>
      </c>
      <c r="F5249" s="34" t="n">
        <f aca="false">IFERROR(VLOOKUP($A5249,'319'!$B:$H,7,0),0)</f>
        <v>0</v>
      </c>
      <c r="G5249" s="34" t="n">
        <f aca="false">SUMIFS('12.326ana'!$C:$C,'12.326ana'!$M:$M,redes!A5249)</f>
        <v>0</v>
      </c>
    </row>
    <row r="5250" customFormat="false" ht="14.4" hidden="true" customHeight="false" outlineLevel="0" collapsed="false">
      <c r="A5250" s="34" t="n">
        <v>97400548115</v>
      </c>
      <c r="B5250" s="34" t="s">
        <v>12097</v>
      </c>
      <c r="C5250" s="34" t="s">
        <v>77</v>
      </c>
      <c r="E5250" s="30" t="s">
        <v>12098</v>
      </c>
      <c r="F5250" s="34" t="n">
        <f aca="false">IFERROR(VLOOKUP($A5250,'319'!$B:$H,7,0),0)</f>
        <v>0</v>
      </c>
      <c r="G5250" s="34" t="n">
        <f aca="false">SUMIFS('12.326ana'!$C:$C,'12.326ana'!$M:$M,redes!A5250)</f>
        <v>0</v>
      </c>
    </row>
    <row r="5251" customFormat="false" ht="14.4" hidden="true" customHeight="false" outlineLevel="0" collapsed="false">
      <c r="A5251" s="34" t="n">
        <v>97416827191</v>
      </c>
      <c r="B5251" s="34" t="s">
        <v>12099</v>
      </c>
      <c r="C5251" s="34" t="s">
        <v>604</v>
      </c>
      <c r="E5251" s="30" t="s">
        <v>12100</v>
      </c>
      <c r="F5251" s="34" t="n">
        <f aca="false">IFERROR(VLOOKUP($A5251,'319'!$B:$H,7,0),0)</f>
        <v>0</v>
      </c>
      <c r="G5251" s="34" t="n">
        <f aca="false">SUMIFS('12.326ana'!$C:$C,'12.326ana'!$M:$M,redes!A5251)</f>
        <v>0</v>
      </c>
    </row>
    <row r="5252" customFormat="false" ht="14.4" hidden="true" customHeight="false" outlineLevel="0" collapsed="false">
      <c r="A5252" s="34" t="n">
        <v>97420379815</v>
      </c>
      <c r="B5252" s="34" t="s">
        <v>12101</v>
      </c>
      <c r="C5252" s="34" t="s">
        <v>604</v>
      </c>
      <c r="E5252" s="30" t="s">
        <v>5715</v>
      </c>
      <c r="F5252" s="34" t="n">
        <f aca="false">IFERROR(VLOOKUP($A5252,'319'!$B:$H,7,0),0)</f>
        <v>0</v>
      </c>
      <c r="G5252" s="34" t="n">
        <f aca="false">SUMIFS('12.326ana'!$C:$C,'12.326ana'!$M:$M,redes!A5252)</f>
        <v>0</v>
      </c>
    </row>
    <row r="5253" customFormat="false" ht="14.4" hidden="true" customHeight="false" outlineLevel="0" collapsed="false">
      <c r="A5253" s="34" t="n">
        <v>97424641115</v>
      </c>
      <c r="B5253" s="34" t="s">
        <v>12102</v>
      </c>
      <c r="C5253" s="34" t="s">
        <v>197</v>
      </c>
      <c r="E5253" s="30" t="s">
        <v>12103</v>
      </c>
      <c r="F5253" s="34" t="n">
        <f aca="false">IFERROR(VLOOKUP($A5253,'319'!$B:$H,7,0),0)</f>
        <v>0</v>
      </c>
      <c r="G5253" s="34" t="n">
        <f aca="false">SUMIFS('12.326ana'!$C:$C,'12.326ana'!$M:$M,redes!A5253)</f>
        <v>0</v>
      </c>
    </row>
    <row r="5254" customFormat="false" ht="14.4" hidden="true" customHeight="false" outlineLevel="0" collapsed="false">
      <c r="A5254" s="34" t="n">
        <v>97479705115</v>
      </c>
      <c r="B5254" s="34" t="s">
        <v>12104</v>
      </c>
      <c r="C5254" s="34" t="s">
        <v>994</v>
      </c>
      <c r="E5254" s="30" t="s">
        <v>12105</v>
      </c>
      <c r="F5254" s="34" t="n">
        <f aca="false">IFERROR(VLOOKUP($A5254,'319'!$B:$H,7,0),0)</f>
        <v>0</v>
      </c>
      <c r="G5254" s="34" t="n">
        <f aca="false">SUMIFS('12.326ana'!$C:$C,'12.326ana'!$M:$M,redes!A5254)</f>
        <v>0</v>
      </c>
    </row>
    <row r="5255" customFormat="false" ht="14.4" hidden="true" customHeight="false" outlineLevel="0" collapsed="false">
      <c r="A5255" s="34" t="n">
        <v>97506206153</v>
      </c>
      <c r="B5255" s="34" t="s">
        <v>12106</v>
      </c>
      <c r="C5255" s="34" t="s">
        <v>77</v>
      </c>
      <c r="E5255" s="30" t="s">
        <v>12107</v>
      </c>
      <c r="F5255" s="34" t="n">
        <f aca="false">IFERROR(VLOOKUP($A5255,'319'!$B:$H,7,0),0)</f>
        <v>0</v>
      </c>
      <c r="G5255" s="34" t="n">
        <f aca="false">SUMIFS('12.326ana'!$C:$C,'12.326ana'!$M:$M,redes!A5255)</f>
        <v>0</v>
      </c>
    </row>
    <row r="5256" customFormat="false" ht="14.4" hidden="true" customHeight="false" outlineLevel="0" collapsed="false">
      <c r="A5256" s="34" t="n">
        <v>97506478153</v>
      </c>
      <c r="B5256" s="34" t="s">
        <v>12108</v>
      </c>
      <c r="C5256" s="34" t="s">
        <v>77</v>
      </c>
      <c r="E5256" s="30" t="s">
        <v>12108</v>
      </c>
      <c r="F5256" s="34" t="n">
        <f aca="false">IFERROR(VLOOKUP($A5256,'319'!$B:$H,7,0),0)</f>
        <v>0</v>
      </c>
      <c r="G5256" s="34" t="n">
        <f aca="false">SUMIFS('12.326ana'!$C:$C,'12.326ana'!$M:$M,redes!A5256)</f>
        <v>0</v>
      </c>
    </row>
    <row r="5257" customFormat="false" ht="14.4" hidden="true" customHeight="false" outlineLevel="0" collapsed="false">
      <c r="A5257" s="34" t="n">
        <v>97518077191</v>
      </c>
      <c r="B5257" s="34" t="s">
        <v>11897</v>
      </c>
      <c r="C5257" s="34" t="s">
        <v>77</v>
      </c>
      <c r="E5257" s="30" t="s">
        <v>12109</v>
      </c>
      <c r="F5257" s="34" t="n">
        <f aca="false">IFERROR(VLOOKUP($A5257,'319'!$B:$H,7,0),0)</f>
        <v>0</v>
      </c>
      <c r="G5257" s="34" t="n">
        <f aca="false">SUMIFS('12.326ana'!$C:$C,'12.326ana'!$M:$M,redes!A5257)</f>
        <v>0</v>
      </c>
    </row>
    <row r="5258" customFormat="false" ht="14.4" hidden="true" customHeight="false" outlineLevel="0" collapsed="false">
      <c r="A5258" s="34" t="n">
        <v>97554111191</v>
      </c>
      <c r="B5258" s="34" t="s">
        <v>12110</v>
      </c>
      <c r="C5258" s="34" t="s">
        <v>77</v>
      </c>
      <c r="E5258" s="30" t="s">
        <v>12111</v>
      </c>
      <c r="F5258" s="34" t="n">
        <f aca="false">IFERROR(VLOOKUP($A5258,'319'!$B:$H,7,0),0)</f>
        <v>0</v>
      </c>
      <c r="G5258" s="34" t="n">
        <f aca="false">SUMIFS('12.326ana'!$C:$C,'12.326ana'!$M:$M,redes!A5258)</f>
        <v>0</v>
      </c>
    </row>
    <row r="5259" customFormat="false" ht="14.4" hidden="true" customHeight="false" outlineLevel="0" collapsed="false">
      <c r="A5259" s="34" t="n">
        <v>97560731104</v>
      </c>
      <c r="B5259" s="34" t="s">
        <v>12112</v>
      </c>
      <c r="C5259" s="34" t="s">
        <v>77</v>
      </c>
      <c r="E5259" s="30" t="s">
        <v>3106</v>
      </c>
      <c r="F5259" s="34" t="n">
        <f aca="false">IFERROR(VLOOKUP($A5259,'319'!$B:$H,7,0),0)</f>
        <v>0</v>
      </c>
      <c r="G5259" s="34" t="n">
        <f aca="false">SUMIFS('12.326ana'!$C:$C,'12.326ana'!$M:$M,redes!A5259)</f>
        <v>0</v>
      </c>
    </row>
    <row r="5260" customFormat="false" ht="14.4" hidden="true" customHeight="false" outlineLevel="0" collapsed="false">
      <c r="A5260" s="34" t="n">
        <v>97563544100</v>
      </c>
      <c r="B5260" s="34" t="s">
        <v>12113</v>
      </c>
      <c r="C5260" s="34" t="s">
        <v>357</v>
      </c>
      <c r="E5260" s="30" t="s">
        <v>12114</v>
      </c>
      <c r="F5260" s="34" t="n">
        <f aca="false">IFERROR(VLOOKUP($A5260,'319'!$B:$H,7,0),0)</f>
        <v>0</v>
      </c>
      <c r="G5260" s="34" t="n">
        <f aca="false">SUMIFS('12.326ana'!$C:$C,'12.326ana'!$M:$M,redes!A5260)</f>
        <v>0</v>
      </c>
    </row>
    <row r="5261" customFormat="false" ht="14.4" hidden="true" customHeight="false" outlineLevel="0" collapsed="false">
      <c r="A5261" s="34" t="n">
        <v>97636100100</v>
      </c>
      <c r="B5261" s="34" t="s">
        <v>12115</v>
      </c>
      <c r="C5261" s="34" t="s">
        <v>77</v>
      </c>
      <c r="E5261" s="30" t="s">
        <v>12116</v>
      </c>
      <c r="F5261" s="34" t="n">
        <f aca="false">IFERROR(VLOOKUP($A5261,'319'!$B:$H,7,0),0)</f>
        <v>0</v>
      </c>
      <c r="G5261" s="34" t="n">
        <f aca="false">SUMIFS('12.326ana'!$C:$C,'12.326ana'!$M:$M,redes!A5261)</f>
        <v>0</v>
      </c>
    </row>
    <row r="5262" customFormat="false" ht="14.4" hidden="true" customHeight="false" outlineLevel="0" collapsed="false">
      <c r="A5262" s="34" t="n">
        <v>97647195115</v>
      </c>
      <c r="B5262" s="34" t="s">
        <v>12117</v>
      </c>
      <c r="C5262" s="34" t="s">
        <v>77</v>
      </c>
      <c r="E5262" s="30" t="s">
        <v>6255</v>
      </c>
      <c r="F5262" s="34" t="n">
        <f aca="false">IFERROR(VLOOKUP($A5262,'319'!$B:$H,7,0),0)</f>
        <v>0</v>
      </c>
      <c r="G5262" s="34" t="n">
        <f aca="false">SUMIFS('12.326ana'!$C:$C,'12.326ana'!$M:$M,redes!A5262)</f>
        <v>0</v>
      </c>
    </row>
    <row r="5263" customFormat="false" ht="14.4" hidden="true" customHeight="false" outlineLevel="0" collapsed="false">
      <c r="A5263" s="34" t="n">
        <v>97668869115</v>
      </c>
      <c r="B5263" s="34" t="s">
        <v>12118</v>
      </c>
      <c r="C5263" s="34" t="s">
        <v>103</v>
      </c>
      <c r="E5263" s="30" t="s">
        <v>12119</v>
      </c>
      <c r="F5263" s="34" t="n">
        <f aca="false">IFERROR(VLOOKUP($A5263,'319'!$B:$H,7,0),0)</f>
        <v>0</v>
      </c>
      <c r="G5263" s="34" t="n">
        <f aca="false">SUMIFS('12.326ana'!$C:$C,'12.326ana'!$M:$M,redes!A5263)</f>
        <v>0</v>
      </c>
    </row>
    <row r="5264" customFormat="false" ht="14.4" hidden="true" customHeight="false" outlineLevel="0" collapsed="false">
      <c r="A5264" s="34" t="n">
        <v>97686247104</v>
      </c>
      <c r="B5264" s="34" t="s">
        <v>12120</v>
      </c>
      <c r="C5264" s="34" t="s">
        <v>342</v>
      </c>
      <c r="E5264" s="30" t="s">
        <v>12121</v>
      </c>
      <c r="F5264" s="34" t="n">
        <f aca="false">IFERROR(VLOOKUP($A5264,'319'!$B:$H,7,0),0)</f>
        <v>0</v>
      </c>
      <c r="G5264" s="34" t="n">
        <f aca="false">SUMIFS('12.326ana'!$C:$C,'12.326ana'!$M:$M,redes!A5264)</f>
        <v>0</v>
      </c>
    </row>
    <row r="5265" customFormat="false" ht="14.4" hidden="true" customHeight="false" outlineLevel="0" collapsed="false">
      <c r="A5265" s="34" t="n">
        <v>97703303100</v>
      </c>
      <c r="B5265" s="34" t="s">
        <v>12122</v>
      </c>
      <c r="C5265" s="34" t="s">
        <v>764</v>
      </c>
      <c r="E5265" s="30" t="s">
        <v>12123</v>
      </c>
      <c r="F5265" s="34" t="n">
        <f aca="false">IFERROR(VLOOKUP($A5265,'319'!$B:$H,7,0),0)</f>
        <v>0</v>
      </c>
      <c r="G5265" s="34" t="n">
        <f aca="false">SUMIFS('12.326ana'!$C:$C,'12.326ana'!$M:$M,redes!A5265)</f>
        <v>0</v>
      </c>
    </row>
    <row r="5266" customFormat="false" ht="14.4" hidden="true" customHeight="false" outlineLevel="0" collapsed="false">
      <c r="A5266" s="34" t="n">
        <v>97703540153</v>
      </c>
      <c r="B5266" s="34" t="s">
        <v>12124</v>
      </c>
      <c r="C5266" s="34" t="s">
        <v>296</v>
      </c>
      <c r="E5266" s="30" t="s">
        <v>12125</v>
      </c>
      <c r="F5266" s="34" t="n">
        <f aca="false">IFERROR(VLOOKUP($A5266,'319'!$B:$H,7,0),0)</f>
        <v>0</v>
      </c>
      <c r="G5266" s="34" t="n">
        <f aca="false">SUMIFS('12.326ana'!$C:$C,'12.326ana'!$M:$M,redes!A5266)</f>
        <v>0</v>
      </c>
    </row>
    <row r="5267" customFormat="false" ht="14.4" hidden="true" customHeight="false" outlineLevel="0" collapsed="false">
      <c r="A5267" s="34" t="n">
        <v>97720895134</v>
      </c>
      <c r="B5267" s="34" t="s">
        <v>12126</v>
      </c>
      <c r="C5267" s="34" t="s">
        <v>4139</v>
      </c>
      <c r="E5267" s="30" t="s">
        <v>12127</v>
      </c>
      <c r="F5267" s="34" t="n">
        <f aca="false">IFERROR(VLOOKUP($A5267,'319'!$B:$H,7,0),0)</f>
        <v>0</v>
      </c>
      <c r="G5267" s="34" t="n">
        <f aca="false">SUMIFS('12.326ana'!$C:$C,'12.326ana'!$M:$M,redes!A5267)</f>
        <v>0</v>
      </c>
    </row>
    <row r="5268" customFormat="false" ht="14.4" hidden="true" customHeight="false" outlineLevel="0" collapsed="false">
      <c r="A5268" s="34" t="n">
        <v>97738115149</v>
      </c>
      <c r="B5268" s="34" t="s">
        <v>12128</v>
      </c>
      <c r="C5268" s="34" t="s">
        <v>89</v>
      </c>
      <c r="E5268" s="30" t="s">
        <v>12129</v>
      </c>
      <c r="F5268" s="34" t="n">
        <f aca="false">IFERROR(VLOOKUP($A5268,'319'!$B:$H,7,0),0)</f>
        <v>0</v>
      </c>
      <c r="G5268" s="34" t="n">
        <f aca="false">SUMIFS('12.326ana'!$C:$C,'12.326ana'!$M:$M,redes!A5268)</f>
        <v>0</v>
      </c>
    </row>
    <row r="5269" customFormat="false" ht="14.4" hidden="true" customHeight="false" outlineLevel="0" collapsed="false">
      <c r="A5269" s="34" t="n">
        <v>97738743115</v>
      </c>
      <c r="B5269" s="34" t="s">
        <v>12130</v>
      </c>
      <c r="C5269" s="34" t="s">
        <v>103</v>
      </c>
      <c r="E5269" s="30"/>
      <c r="F5269" s="34" t="n">
        <f aca="false">IFERROR(VLOOKUP($A5269,'319'!$B:$H,7,0),0)</f>
        <v>0</v>
      </c>
      <c r="G5269" s="34" t="n">
        <f aca="false">SUMIFS('12.326ana'!$C:$C,'12.326ana'!$M:$M,redes!A5269)</f>
        <v>0</v>
      </c>
    </row>
    <row r="5270" customFormat="false" ht="14.4" hidden="true" customHeight="false" outlineLevel="0" collapsed="false">
      <c r="A5270" s="34" t="n">
        <v>97775770104</v>
      </c>
      <c r="B5270" s="34" t="s">
        <v>12131</v>
      </c>
      <c r="C5270" s="34" t="s">
        <v>598</v>
      </c>
      <c r="E5270" s="30" t="s">
        <v>12132</v>
      </c>
      <c r="F5270" s="34" t="n">
        <f aca="false">IFERROR(VLOOKUP($A5270,'319'!$B:$H,7,0),0)</f>
        <v>0</v>
      </c>
      <c r="G5270" s="34" t="n">
        <f aca="false">SUMIFS('12.326ana'!$C:$C,'12.326ana'!$M:$M,redes!A5270)</f>
        <v>0</v>
      </c>
    </row>
    <row r="5271" customFormat="false" ht="14.4" hidden="true" customHeight="false" outlineLevel="0" collapsed="false">
      <c r="A5271" s="34" t="n">
        <v>97798584153</v>
      </c>
      <c r="B5271" s="34" t="s">
        <v>12133</v>
      </c>
      <c r="C5271" s="34" t="s">
        <v>77</v>
      </c>
      <c r="E5271" s="30" t="s">
        <v>12134</v>
      </c>
      <c r="F5271" s="34" t="n">
        <f aca="false">IFERROR(VLOOKUP($A5271,'319'!$B:$H,7,0),0)</f>
        <v>0</v>
      </c>
      <c r="G5271" s="34" t="n">
        <f aca="false">SUMIFS('12.326ana'!$C:$C,'12.326ana'!$M:$M,redes!A5271)</f>
        <v>0</v>
      </c>
    </row>
    <row r="5272" customFormat="false" ht="14.4" hidden="true" customHeight="false" outlineLevel="0" collapsed="false">
      <c r="A5272" s="34" t="n">
        <v>97836630030</v>
      </c>
      <c r="B5272" s="34" t="s">
        <v>12135</v>
      </c>
      <c r="C5272" s="34" t="s">
        <v>77</v>
      </c>
      <c r="E5272" s="30" t="s">
        <v>12136</v>
      </c>
      <c r="F5272" s="34" t="n">
        <f aca="false">IFERROR(VLOOKUP($A5272,'319'!$B:$H,7,0),0)</f>
        <v>0</v>
      </c>
      <c r="G5272" s="34" t="n">
        <f aca="false">SUMIFS('12.326ana'!$C:$C,'12.326ana'!$M:$M,redes!A5272)</f>
        <v>0</v>
      </c>
    </row>
    <row r="5273" customFormat="false" ht="14.4" hidden="true" customHeight="false" outlineLevel="0" collapsed="false">
      <c r="A5273" s="34" t="n">
        <v>97855000182</v>
      </c>
      <c r="B5273" s="34" t="s">
        <v>12137</v>
      </c>
      <c r="C5273" s="34" t="s">
        <v>357</v>
      </c>
      <c r="E5273" s="30" t="s">
        <v>12138</v>
      </c>
      <c r="F5273" s="34" t="n">
        <f aca="false">IFERROR(VLOOKUP($A5273,'319'!$B:$H,7,0),0)</f>
        <v>0</v>
      </c>
      <c r="G5273" s="34" t="n">
        <f aca="false">SUMIFS('12.326ana'!$C:$C,'12.326ana'!$M:$M,redes!A5273)</f>
        <v>0</v>
      </c>
    </row>
    <row r="5274" customFormat="false" ht="14.4" hidden="true" customHeight="false" outlineLevel="0" collapsed="false">
      <c r="A5274" s="34" t="n">
        <v>97859656191</v>
      </c>
      <c r="B5274" s="34" t="s">
        <v>12139</v>
      </c>
      <c r="C5274" s="34" t="s">
        <v>77</v>
      </c>
      <c r="E5274" s="30" t="s">
        <v>10579</v>
      </c>
      <c r="F5274" s="34" t="n">
        <f aca="false">IFERROR(VLOOKUP($A5274,'319'!$B:$H,7,0),0)</f>
        <v>0</v>
      </c>
      <c r="G5274" s="34" t="n">
        <f aca="false">SUMIFS('12.326ana'!$C:$C,'12.326ana'!$M:$M,redes!A5274)</f>
        <v>0</v>
      </c>
    </row>
    <row r="5275" customFormat="false" ht="14.4" hidden="true" customHeight="false" outlineLevel="0" collapsed="false">
      <c r="A5275" s="34" t="n">
        <v>97863602149</v>
      </c>
      <c r="B5275" s="34" t="s">
        <v>12140</v>
      </c>
      <c r="C5275" s="34" t="s">
        <v>475</v>
      </c>
      <c r="E5275" s="30" t="s">
        <v>12141</v>
      </c>
      <c r="F5275" s="34" t="n">
        <f aca="false">IFERROR(VLOOKUP($A5275,'319'!$B:$H,7,0),0)</f>
        <v>0</v>
      </c>
      <c r="G5275" s="34" t="n">
        <f aca="false">SUMIFS('12.326ana'!$C:$C,'12.326ana'!$M:$M,redes!A5275)</f>
        <v>0</v>
      </c>
    </row>
    <row r="5276" customFormat="false" ht="14.4" hidden="true" customHeight="false" outlineLevel="0" collapsed="false">
      <c r="A5276" s="34" t="n">
        <v>97929565149</v>
      </c>
      <c r="B5276" s="34" t="s">
        <v>12142</v>
      </c>
      <c r="C5276" s="34" t="s">
        <v>77</v>
      </c>
      <c r="E5276" s="30" t="s">
        <v>12143</v>
      </c>
      <c r="F5276" s="34" t="n">
        <f aca="false">IFERROR(VLOOKUP($A5276,'319'!$B:$H,7,0),0)</f>
        <v>0</v>
      </c>
      <c r="G5276" s="34" t="n">
        <f aca="false">SUMIFS('12.326ana'!$C:$C,'12.326ana'!$M:$M,redes!A5276)</f>
        <v>0</v>
      </c>
    </row>
    <row r="5277" customFormat="false" ht="14.4" hidden="true" customHeight="false" outlineLevel="0" collapsed="false">
      <c r="A5277" s="34" t="n">
        <v>97938327115</v>
      </c>
      <c r="B5277" s="34" t="s">
        <v>12144</v>
      </c>
      <c r="C5277" s="34" t="s">
        <v>77</v>
      </c>
      <c r="E5277" s="30" t="s">
        <v>12145</v>
      </c>
      <c r="F5277" s="34" t="n">
        <f aca="false">IFERROR(VLOOKUP($A5277,'319'!$B:$H,7,0),0)</f>
        <v>0</v>
      </c>
      <c r="G5277" s="34" t="n">
        <f aca="false">SUMIFS('12.326ana'!$C:$C,'12.326ana'!$M:$M,redes!A5277)</f>
        <v>0</v>
      </c>
    </row>
    <row r="5278" customFormat="false" ht="14.4" hidden="true" customHeight="false" outlineLevel="0" collapsed="false">
      <c r="A5278" s="34" t="n">
        <v>97986470178</v>
      </c>
      <c r="B5278" s="34" t="s">
        <v>12146</v>
      </c>
      <c r="C5278" s="34" t="s">
        <v>309</v>
      </c>
      <c r="E5278" s="30" t="s">
        <v>12147</v>
      </c>
      <c r="F5278" s="34" t="n">
        <f aca="false">IFERROR(VLOOKUP($A5278,'319'!$B:$H,7,0),0)</f>
        <v>0</v>
      </c>
      <c r="G5278" s="34" t="n">
        <f aca="false">SUMIFS('12.326ana'!$C:$C,'12.326ana'!$M:$M,redes!A5278)</f>
        <v>0</v>
      </c>
    </row>
    <row r="5279" customFormat="false" ht="14.4" hidden="true" customHeight="false" outlineLevel="0" collapsed="false">
      <c r="A5279" s="34" t="n">
        <v>98006290172</v>
      </c>
      <c r="B5279" s="34" t="s">
        <v>12148</v>
      </c>
      <c r="C5279" s="34" t="s">
        <v>103</v>
      </c>
      <c r="E5279" s="30" t="s">
        <v>12149</v>
      </c>
      <c r="F5279" s="34" t="n">
        <f aca="false">IFERROR(VLOOKUP($A5279,'319'!$B:$H,7,0),0)</f>
        <v>0</v>
      </c>
      <c r="G5279" s="34" t="n">
        <f aca="false">SUMIFS('12.326ana'!$C:$C,'12.326ana'!$M:$M,redes!A5279)</f>
        <v>0</v>
      </c>
    </row>
    <row r="5280" customFormat="false" ht="14.4" hidden="true" customHeight="false" outlineLevel="0" collapsed="false">
      <c r="A5280" s="34" t="n">
        <v>98030361149</v>
      </c>
      <c r="B5280" s="34" t="s">
        <v>12150</v>
      </c>
      <c r="C5280" s="34" t="s">
        <v>77</v>
      </c>
      <c r="E5280" s="30" t="s">
        <v>4061</v>
      </c>
      <c r="F5280" s="34" t="n">
        <f aca="false">IFERROR(VLOOKUP($A5280,'319'!$B:$H,7,0),0)</f>
        <v>0</v>
      </c>
      <c r="G5280" s="34" t="n">
        <f aca="false">SUMIFS('12.326ana'!$C:$C,'12.326ana'!$M:$M,redes!A5280)</f>
        <v>0</v>
      </c>
    </row>
    <row r="5281" customFormat="false" ht="14.4" hidden="true" customHeight="false" outlineLevel="0" collapsed="false">
      <c r="A5281" s="34" t="n">
        <v>98089684904</v>
      </c>
      <c r="B5281" s="34" t="s">
        <v>12151</v>
      </c>
      <c r="C5281" s="34" t="s">
        <v>107</v>
      </c>
      <c r="E5281" s="30" t="s">
        <v>12152</v>
      </c>
      <c r="F5281" s="34" t="n">
        <f aca="false">IFERROR(VLOOKUP($A5281,'319'!$B:$H,7,0),0)</f>
        <v>0</v>
      </c>
      <c r="G5281" s="34" t="n">
        <f aca="false">SUMIFS('12.326ana'!$C:$C,'12.326ana'!$M:$M,redes!A5281)</f>
        <v>0</v>
      </c>
    </row>
    <row r="5282" customFormat="false" ht="14.4" hidden="true" customHeight="false" outlineLevel="0" collapsed="false">
      <c r="A5282" s="34" t="n">
        <v>98107232100</v>
      </c>
      <c r="B5282" s="34" t="s">
        <v>12153</v>
      </c>
      <c r="C5282" s="34" t="s">
        <v>706</v>
      </c>
      <c r="E5282" s="30" t="s">
        <v>12154</v>
      </c>
      <c r="F5282" s="34" t="n">
        <f aca="false">IFERROR(VLOOKUP($A5282,'319'!$B:$H,7,0),0)</f>
        <v>0</v>
      </c>
      <c r="G5282" s="34" t="n">
        <f aca="false">SUMIFS('12.326ana'!$C:$C,'12.326ana'!$M:$M,redes!A5282)</f>
        <v>0</v>
      </c>
    </row>
    <row r="5283" customFormat="false" ht="14.4" hidden="true" customHeight="false" outlineLevel="0" collapsed="false">
      <c r="A5283" s="34" t="n">
        <v>98120352149</v>
      </c>
      <c r="B5283" s="34" t="s">
        <v>12155</v>
      </c>
      <c r="C5283" s="34" t="s">
        <v>77</v>
      </c>
      <c r="E5283" s="30" t="s">
        <v>9975</v>
      </c>
      <c r="F5283" s="34" t="n">
        <f aca="false">IFERROR(VLOOKUP($A5283,'319'!$B:$H,7,0),0)</f>
        <v>0</v>
      </c>
      <c r="G5283" s="34" t="n">
        <f aca="false">SUMIFS('12.326ana'!$C:$C,'12.326ana'!$M:$M,redes!A5283)</f>
        <v>0</v>
      </c>
    </row>
    <row r="5284" customFormat="false" ht="14.4" hidden="true" customHeight="false" outlineLevel="0" collapsed="false">
      <c r="A5284" s="34" t="n">
        <v>98173839115</v>
      </c>
      <c r="B5284" s="34" t="s">
        <v>12156</v>
      </c>
      <c r="C5284" s="34" t="s">
        <v>129</v>
      </c>
      <c r="E5284" s="30" t="s">
        <v>12157</v>
      </c>
      <c r="F5284" s="34" t="n">
        <f aca="false">IFERROR(VLOOKUP($A5284,'319'!$B:$H,7,0),0)</f>
        <v>0</v>
      </c>
      <c r="G5284" s="34" t="n">
        <f aca="false">SUMIFS('12.326ana'!$C:$C,'12.326ana'!$M:$M,redes!A5284)</f>
        <v>0</v>
      </c>
    </row>
    <row r="5285" customFormat="false" ht="14.4" hidden="true" customHeight="false" outlineLevel="0" collapsed="false">
      <c r="A5285" s="34" t="n">
        <v>98187406968</v>
      </c>
      <c r="B5285" s="34" t="s">
        <v>12158</v>
      </c>
      <c r="C5285" s="34" t="s">
        <v>77</v>
      </c>
      <c r="E5285" s="30" t="s">
        <v>9912</v>
      </c>
      <c r="F5285" s="34" t="n">
        <f aca="false">IFERROR(VLOOKUP($A5285,'319'!$B:$H,7,0),0)</f>
        <v>0</v>
      </c>
      <c r="G5285" s="34" t="n">
        <f aca="false">SUMIFS('12.326ana'!$C:$C,'12.326ana'!$M:$M,redes!A5285)</f>
        <v>0</v>
      </c>
    </row>
    <row r="5286" customFormat="false" ht="14.4" hidden="true" customHeight="false" outlineLevel="0" collapsed="false">
      <c r="A5286" s="34" t="n">
        <v>98190601172</v>
      </c>
      <c r="B5286" s="34" t="s">
        <v>12159</v>
      </c>
      <c r="C5286" s="34" t="s">
        <v>77</v>
      </c>
      <c r="E5286" s="30" t="s">
        <v>12160</v>
      </c>
      <c r="F5286" s="34" t="n">
        <f aca="false">IFERROR(VLOOKUP($A5286,'319'!$B:$H,7,0),0)</f>
        <v>0</v>
      </c>
      <c r="G5286" s="34" t="n">
        <f aca="false">SUMIFS('12.326ana'!$C:$C,'12.326ana'!$M:$M,redes!A5286)</f>
        <v>0</v>
      </c>
    </row>
    <row r="5287" customFormat="false" ht="14.4" hidden="true" customHeight="false" outlineLevel="0" collapsed="false">
      <c r="A5287" s="34" t="n">
        <v>98194607949</v>
      </c>
      <c r="B5287" s="34" t="s">
        <v>12161</v>
      </c>
      <c r="C5287" s="34" t="s">
        <v>107</v>
      </c>
      <c r="E5287" s="30" t="s">
        <v>12162</v>
      </c>
      <c r="F5287" s="34" t="n">
        <f aca="false">IFERROR(VLOOKUP($A5287,'319'!$B:$H,7,0),0)</f>
        <v>0</v>
      </c>
      <c r="G5287" s="34" t="n">
        <f aca="false">SUMIFS('12.326ana'!$C:$C,'12.326ana'!$M:$M,redes!A5287)</f>
        <v>0</v>
      </c>
    </row>
    <row r="5288" customFormat="false" ht="14.4" hidden="true" customHeight="false" outlineLevel="0" collapsed="false">
      <c r="A5288" s="34" t="n">
        <v>98205234191</v>
      </c>
      <c r="B5288" s="34" t="s">
        <v>12163</v>
      </c>
      <c r="C5288" s="34" t="s">
        <v>781</v>
      </c>
      <c r="E5288" s="30" t="s">
        <v>12164</v>
      </c>
      <c r="F5288" s="34" t="n">
        <f aca="false">IFERROR(VLOOKUP($A5288,'319'!$B:$H,7,0),0)</f>
        <v>0</v>
      </c>
      <c r="G5288" s="34" t="n">
        <f aca="false">SUMIFS('12.326ana'!$C:$C,'12.326ana'!$M:$M,redes!A5288)</f>
        <v>0</v>
      </c>
    </row>
    <row r="5289" customFormat="false" ht="14.4" hidden="true" customHeight="false" outlineLevel="0" collapsed="false">
      <c r="A5289" s="34" t="n">
        <v>98205536104</v>
      </c>
      <c r="B5289" s="34" t="s">
        <v>12165</v>
      </c>
      <c r="C5289" s="34" t="s">
        <v>77</v>
      </c>
      <c r="E5289" s="30" t="s">
        <v>12166</v>
      </c>
      <c r="F5289" s="34" t="n">
        <f aca="false">IFERROR(VLOOKUP($A5289,'319'!$B:$H,7,0),0)</f>
        <v>0</v>
      </c>
      <c r="G5289" s="34" t="n">
        <f aca="false">SUMIFS('12.326ana'!$C:$C,'12.326ana'!$M:$M,redes!A5289)</f>
        <v>0</v>
      </c>
    </row>
    <row r="5290" customFormat="false" ht="14.4" hidden="true" customHeight="false" outlineLevel="0" collapsed="false">
      <c r="A5290" s="34" t="n">
        <v>98263889120</v>
      </c>
      <c r="B5290" s="34" t="s">
        <v>12167</v>
      </c>
      <c r="C5290" s="34" t="s">
        <v>89</v>
      </c>
      <c r="E5290" s="30" t="s">
        <v>12168</v>
      </c>
      <c r="F5290" s="34" t="n">
        <f aca="false">IFERROR(VLOOKUP($A5290,'319'!$B:$H,7,0),0)</f>
        <v>0</v>
      </c>
      <c r="G5290" s="34" t="n">
        <f aca="false">SUMIFS('12.326ana'!$C:$C,'12.326ana'!$M:$M,redes!A5290)</f>
        <v>0</v>
      </c>
    </row>
    <row r="5291" customFormat="false" ht="14.4" hidden="true" customHeight="false" outlineLevel="0" collapsed="false">
      <c r="A5291" s="34" t="n">
        <v>98307959187</v>
      </c>
      <c r="B5291" s="34" t="s">
        <v>12169</v>
      </c>
      <c r="C5291" s="34" t="s">
        <v>77</v>
      </c>
      <c r="E5291" s="30" t="s">
        <v>12170</v>
      </c>
      <c r="F5291" s="34" t="n">
        <f aca="false">IFERROR(VLOOKUP($A5291,'319'!$B:$H,7,0),0)</f>
        <v>0</v>
      </c>
      <c r="G5291" s="34" t="n">
        <f aca="false">SUMIFS('12.326ana'!$C:$C,'12.326ana'!$M:$M,redes!A5291)</f>
        <v>0</v>
      </c>
    </row>
    <row r="5292" customFormat="false" ht="14.4" hidden="true" customHeight="false" outlineLevel="0" collapsed="false">
      <c r="A5292" s="34" t="n">
        <v>98358529104</v>
      </c>
      <c r="B5292" s="34" t="s">
        <v>12171</v>
      </c>
      <c r="C5292" s="34" t="s">
        <v>328</v>
      </c>
      <c r="E5292" s="30" t="s">
        <v>3347</v>
      </c>
      <c r="F5292" s="34" t="n">
        <f aca="false">IFERROR(VLOOKUP($A5292,'319'!$B:$H,7,0),0)</f>
        <v>0</v>
      </c>
      <c r="G5292" s="34" t="n">
        <f aca="false">SUMIFS('12.326ana'!$C:$C,'12.326ana'!$M:$M,redes!A5292)</f>
        <v>0</v>
      </c>
    </row>
    <row r="5293" customFormat="false" ht="14.4" hidden="true" customHeight="false" outlineLevel="0" collapsed="false">
      <c r="A5293" s="34" t="n">
        <v>98398067187</v>
      </c>
      <c r="B5293" s="34" t="s">
        <v>12172</v>
      </c>
      <c r="C5293" s="34" t="s">
        <v>77</v>
      </c>
      <c r="E5293" s="30" t="s">
        <v>12173</v>
      </c>
      <c r="F5293" s="34" t="n">
        <f aca="false">IFERROR(VLOOKUP($A5293,'319'!$B:$H,7,0),0)</f>
        <v>0</v>
      </c>
      <c r="G5293" s="34" t="n">
        <f aca="false">SUMIFS('12.326ana'!$C:$C,'12.326ana'!$M:$M,redes!A5293)</f>
        <v>0</v>
      </c>
    </row>
    <row r="5294" customFormat="false" ht="14.4" hidden="true" customHeight="false" outlineLevel="0" collapsed="false">
      <c r="A5294" s="34" t="n">
        <v>98431617187</v>
      </c>
      <c r="B5294" s="34" t="s">
        <v>12174</v>
      </c>
      <c r="C5294" s="34" t="s">
        <v>77</v>
      </c>
      <c r="E5294" s="30" t="s">
        <v>12175</v>
      </c>
      <c r="F5294" s="34" t="n">
        <f aca="false">IFERROR(VLOOKUP($A5294,'319'!$B:$H,7,0),0)</f>
        <v>0</v>
      </c>
      <c r="G5294" s="34" t="n">
        <f aca="false">SUMIFS('12.326ana'!$C:$C,'12.326ana'!$M:$M,redes!A5294)</f>
        <v>0</v>
      </c>
    </row>
    <row r="5295" customFormat="false" ht="14.4" hidden="true" customHeight="false" outlineLevel="0" collapsed="false">
      <c r="A5295" s="34" t="n">
        <v>98515870100</v>
      </c>
      <c r="B5295" s="34" t="s">
        <v>12176</v>
      </c>
      <c r="C5295" s="34" t="s">
        <v>77</v>
      </c>
      <c r="E5295" s="30" t="s">
        <v>12177</v>
      </c>
      <c r="F5295" s="34" t="n">
        <f aca="false">IFERROR(VLOOKUP($A5295,'319'!$B:$H,7,0),0)</f>
        <v>0</v>
      </c>
      <c r="G5295" s="34" t="n">
        <f aca="false">SUMIFS('12.326ana'!$C:$C,'12.326ana'!$M:$M,redes!A5295)</f>
        <v>0</v>
      </c>
    </row>
    <row r="5296" customFormat="false" ht="14.4" hidden="true" customHeight="false" outlineLevel="0" collapsed="false">
      <c r="A5296" s="34" t="n">
        <v>98537040134</v>
      </c>
      <c r="B5296" s="34" t="s">
        <v>12178</v>
      </c>
      <c r="C5296" s="34" t="s">
        <v>107</v>
      </c>
      <c r="E5296" s="30" t="s">
        <v>12179</v>
      </c>
      <c r="F5296" s="34" t="n">
        <f aca="false">IFERROR(VLOOKUP($A5296,'319'!$B:$H,7,0),0)</f>
        <v>0</v>
      </c>
      <c r="G5296" s="34" t="n">
        <f aca="false">SUMIFS('12.326ana'!$C:$C,'12.326ana'!$M:$M,redes!A5296)</f>
        <v>0</v>
      </c>
    </row>
    <row r="5297" customFormat="false" ht="14.4" hidden="true" customHeight="false" outlineLevel="0" collapsed="false">
      <c r="A5297" s="34" t="n">
        <v>98554581172</v>
      </c>
      <c r="B5297" s="34" t="s">
        <v>12180</v>
      </c>
      <c r="C5297" s="34" t="s">
        <v>103</v>
      </c>
      <c r="E5297" s="30" t="s">
        <v>12181</v>
      </c>
      <c r="F5297" s="34" t="n">
        <f aca="false">IFERROR(VLOOKUP($A5297,'319'!$B:$H,7,0),0)</f>
        <v>0</v>
      </c>
      <c r="G5297" s="34" t="n">
        <f aca="false">SUMIFS('12.326ana'!$C:$C,'12.326ana'!$M:$M,redes!A5297)</f>
        <v>0</v>
      </c>
    </row>
    <row r="5298" customFormat="false" ht="14.4" hidden="true" customHeight="false" outlineLevel="0" collapsed="false">
      <c r="A5298" s="34" t="n">
        <v>98577301168</v>
      </c>
      <c r="B5298" s="34" t="s">
        <v>12182</v>
      </c>
      <c r="C5298" s="34" t="s">
        <v>77</v>
      </c>
      <c r="E5298" s="30" t="s">
        <v>12183</v>
      </c>
      <c r="F5298" s="34" t="n">
        <f aca="false">IFERROR(VLOOKUP($A5298,'319'!$B:$H,7,0),0)</f>
        <v>0</v>
      </c>
      <c r="G5298" s="34" t="n">
        <f aca="false">SUMIFS('12.326ana'!$C:$C,'12.326ana'!$M:$M,redes!A5298)</f>
        <v>0</v>
      </c>
    </row>
    <row r="5299" customFormat="false" ht="14.4" hidden="true" customHeight="false" outlineLevel="0" collapsed="false">
      <c r="A5299" s="34" t="n">
        <v>98591061187</v>
      </c>
      <c r="B5299" s="34" t="s">
        <v>12184</v>
      </c>
      <c r="C5299" s="34" t="s">
        <v>77</v>
      </c>
      <c r="E5299" s="30" t="s">
        <v>12185</v>
      </c>
      <c r="F5299" s="34" t="n">
        <f aca="false">IFERROR(VLOOKUP($A5299,'319'!$B:$H,7,0),0)</f>
        <v>0</v>
      </c>
      <c r="G5299" s="34" t="n">
        <f aca="false">SUMIFS('12.326ana'!$C:$C,'12.326ana'!$M:$M,redes!A5299)</f>
        <v>0</v>
      </c>
    </row>
    <row r="5300" customFormat="false" ht="14.4" hidden="true" customHeight="false" outlineLevel="0" collapsed="false">
      <c r="A5300" s="34" t="n">
        <v>98614991134</v>
      </c>
      <c r="B5300" s="34" t="s">
        <v>12186</v>
      </c>
      <c r="C5300" s="34" t="s">
        <v>77</v>
      </c>
      <c r="E5300" s="30"/>
      <c r="F5300" s="34" t="n">
        <f aca="false">IFERROR(VLOOKUP($A5300,'319'!$B:$H,7,0),0)</f>
        <v>0</v>
      </c>
      <c r="G5300" s="34" t="n">
        <f aca="false">SUMIFS('12.326ana'!$C:$C,'12.326ana'!$M:$M,redes!A5300)</f>
        <v>0</v>
      </c>
    </row>
    <row r="5301" customFormat="false" ht="14.4" hidden="true" customHeight="false" outlineLevel="0" collapsed="false">
      <c r="A5301" s="34" t="n">
        <v>98615220182</v>
      </c>
      <c r="B5301" s="34" t="s">
        <v>12187</v>
      </c>
      <c r="C5301" s="34" t="s">
        <v>4139</v>
      </c>
      <c r="E5301" s="30" t="s">
        <v>5510</v>
      </c>
      <c r="F5301" s="34" t="n">
        <f aca="false">IFERROR(VLOOKUP($A5301,'319'!$B:$H,7,0),0)</f>
        <v>0</v>
      </c>
      <c r="G5301" s="34" t="n">
        <f aca="false">SUMIFS('12.326ana'!$C:$C,'12.326ana'!$M:$M,redes!A5301)</f>
        <v>0</v>
      </c>
    </row>
    <row r="5302" customFormat="false" ht="14.4" hidden="true" customHeight="false" outlineLevel="0" collapsed="false">
      <c r="A5302" s="34" t="n">
        <v>98646656187</v>
      </c>
      <c r="B5302" s="34" t="s">
        <v>12188</v>
      </c>
      <c r="C5302" s="34" t="s">
        <v>107</v>
      </c>
      <c r="E5302" s="30" t="s">
        <v>3556</v>
      </c>
      <c r="F5302" s="34" t="n">
        <f aca="false">IFERROR(VLOOKUP($A5302,'319'!$B:$H,7,0),0)</f>
        <v>0</v>
      </c>
      <c r="G5302" s="34" t="n">
        <f aca="false">SUMIFS('12.326ana'!$C:$C,'12.326ana'!$M:$M,redes!A5302)</f>
        <v>0</v>
      </c>
    </row>
    <row r="5303" customFormat="false" ht="14.4" hidden="true" customHeight="false" outlineLevel="0" collapsed="false">
      <c r="A5303" s="34" t="n">
        <v>98655710130</v>
      </c>
      <c r="B5303" s="34" t="s">
        <v>12189</v>
      </c>
      <c r="C5303" s="34" t="s">
        <v>129</v>
      </c>
      <c r="E5303" s="30" t="s">
        <v>12190</v>
      </c>
      <c r="F5303" s="34" t="n">
        <f aca="false">IFERROR(VLOOKUP($A5303,'319'!$B:$H,7,0),0)</f>
        <v>0</v>
      </c>
      <c r="G5303" s="34" t="n">
        <f aca="false">SUMIFS('12.326ana'!$C:$C,'12.326ana'!$M:$M,redes!A5303)</f>
        <v>0</v>
      </c>
    </row>
    <row r="5304" customFormat="false" ht="14.4" hidden="true" customHeight="false" outlineLevel="0" collapsed="false">
      <c r="A5304" s="34" t="n">
        <v>98683438104</v>
      </c>
      <c r="B5304" s="34" t="s">
        <v>12191</v>
      </c>
      <c r="C5304" s="34" t="s">
        <v>77</v>
      </c>
      <c r="E5304" s="30" t="s">
        <v>12192</v>
      </c>
      <c r="F5304" s="34" t="n">
        <f aca="false">IFERROR(VLOOKUP($A5304,'319'!$B:$H,7,0),0)</f>
        <v>0</v>
      </c>
      <c r="G5304" s="34" t="n">
        <f aca="false">SUMIFS('12.326ana'!$C:$C,'12.326ana'!$M:$M,redes!A5304)</f>
        <v>0</v>
      </c>
    </row>
    <row r="5305" customFormat="false" ht="14.4" hidden="true" customHeight="false" outlineLevel="0" collapsed="false">
      <c r="A5305" s="34" t="n">
        <v>98708120153</v>
      </c>
      <c r="B5305" s="34" t="s">
        <v>12193</v>
      </c>
      <c r="C5305" s="34" t="s">
        <v>77</v>
      </c>
      <c r="E5305" s="30" t="s">
        <v>12194</v>
      </c>
      <c r="F5305" s="34" t="n">
        <f aca="false">IFERROR(VLOOKUP($A5305,'319'!$B:$H,7,0),0)</f>
        <v>0</v>
      </c>
      <c r="G5305" s="34" t="n">
        <f aca="false">SUMIFS('12.326ana'!$C:$C,'12.326ana'!$M:$M,redes!A5305)</f>
        <v>0</v>
      </c>
    </row>
    <row r="5306" customFormat="false" ht="14.4" hidden="true" customHeight="false" outlineLevel="0" collapsed="false">
      <c r="A5306" s="34" t="n">
        <v>98723472120</v>
      </c>
      <c r="B5306" s="34" t="s">
        <v>12195</v>
      </c>
      <c r="C5306" s="34" t="s">
        <v>103</v>
      </c>
      <c r="E5306" s="30" t="s">
        <v>12196</v>
      </c>
      <c r="F5306" s="34" t="n">
        <f aca="false">IFERROR(VLOOKUP($A5306,'319'!$B:$H,7,0),0)</f>
        <v>0</v>
      </c>
      <c r="G5306" s="34" t="n">
        <f aca="false">SUMIFS('12.326ana'!$C:$C,'12.326ana'!$M:$M,redes!A5306)</f>
        <v>0</v>
      </c>
    </row>
    <row r="5307" customFormat="false" ht="14.4" hidden="true" customHeight="false" outlineLevel="0" collapsed="false">
      <c r="A5307" s="34" t="n">
        <v>98801554168</v>
      </c>
      <c r="B5307" s="34" t="s">
        <v>12197</v>
      </c>
      <c r="C5307" s="34" t="s">
        <v>957</v>
      </c>
      <c r="E5307" s="30" t="s">
        <v>12198</v>
      </c>
      <c r="F5307" s="34" t="n">
        <f aca="false">IFERROR(VLOOKUP($A5307,'319'!$B:$H,7,0),0)</f>
        <v>0</v>
      </c>
      <c r="G5307" s="34" t="n">
        <f aca="false">SUMIFS('12.326ana'!$C:$C,'12.326ana'!$M:$M,redes!A5307)</f>
        <v>0</v>
      </c>
    </row>
    <row r="5308" customFormat="false" ht="14.4" hidden="true" customHeight="false" outlineLevel="0" collapsed="false">
      <c r="A5308" s="34" t="n">
        <v>98866460125</v>
      </c>
      <c r="B5308" s="34" t="s">
        <v>12199</v>
      </c>
      <c r="C5308" s="34" t="s">
        <v>77</v>
      </c>
      <c r="E5308" s="30" t="s">
        <v>12200</v>
      </c>
      <c r="F5308" s="34" t="n">
        <f aca="false">IFERROR(VLOOKUP($A5308,'319'!$B:$H,7,0),0)</f>
        <v>0</v>
      </c>
      <c r="G5308" s="34" t="n">
        <f aca="false">SUMIFS('12.326ana'!$C:$C,'12.326ana'!$M:$M,redes!A5308)</f>
        <v>0</v>
      </c>
    </row>
    <row r="5309" customFormat="false" ht="14.4" hidden="true" customHeight="false" outlineLevel="0" collapsed="false">
      <c r="A5309" s="34" t="n">
        <v>98867628100</v>
      </c>
      <c r="B5309" s="34" t="s">
        <v>12201</v>
      </c>
      <c r="C5309" s="34" t="s">
        <v>77</v>
      </c>
      <c r="E5309" s="30" t="s">
        <v>6896</v>
      </c>
      <c r="F5309" s="34" t="n">
        <f aca="false">IFERROR(VLOOKUP($A5309,'319'!$B:$H,7,0),0)</f>
        <v>0</v>
      </c>
      <c r="G5309" s="34" t="n">
        <f aca="false">SUMIFS('12.326ana'!$C:$C,'12.326ana'!$M:$M,redes!A5309)</f>
        <v>0</v>
      </c>
    </row>
    <row r="5310" customFormat="false" ht="14.4" hidden="true" customHeight="false" outlineLevel="0" collapsed="false">
      <c r="A5310" s="34" t="n">
        <v>98890530120</v>
      </c>
      <c r="B5310" s="34" t="s">
        <v>12202</v>
      </c>
      <c r="C5310" s="34" t="s">
        <v>197</v>
      </c>
      <c r="E5310" s="30" t="s">
        <v>6103</v>
      </c>
      <c r="F5310" s="34" t="n">
        <f aca="false">IFERROR(VLOOKUP($A5310,'319'!$B:$H,7,0),0)</f>
        <v>0</v>
      </c>
      <c r="G5310" s="34" t="n">
        <f aca="false">SUMIFS('12.326ana'!$C:$C,'12.326ana'!$M:$M,redes!A5310)</f>
        <v>0</v>
      </c>
    </row>
    <row r="5311" customFormat="false" ht="14.4" hidden="true" customHeight="false" outlineLevel="0" collapsed="false">
      <c r="A5311" s="34" t="n">
        <v>98896628172</v>
      </c>
      <c r="B5311" s="34" t="s">
        <v>12203</v>
      </c>
      <c r="C5311" s="34" t="s">
        <v>680</v>
      </c>
      <c r="E5311" s="30"/>
      <c r="F5311" s="34" t="n">
        <f aca="false">IFERROR(VLOOKUP($A5311,'319'!$B:$H,7,0),0)</f>
        <v>0</v>
      </c>
      <c r="G5311" s="34" t="n">
        <f aca="false">SUMIFS('12.326ana'!$C:$C,'12.326ana'!$M:$M,redes!A5311)</f>
        <v>0</v>
      </c>
    </row>
    <row r="5312" customFormat="false" ht="14.4" hidden="true" customHeight="false" outlineLevel="0" collapsed="false">
      <c r="A5312" s="34" t="n">
        <v>98930974104</v>
      </c>
      <c r="B5312" s="34" t="s">
        <v>12204</v>
      </c>
      <c r="C5312" s="34" t="s">
        <v>107</v>
      </c>
      <c r="E5312" s="30" t="s">
        <v>12205</v>
      </c>
      <c r="F5312" s="34" t="n">
        <f aca="false">IFERROR(VLOOKUP($A5312,'319'!$B:$H,7,0),0)</f>
        <v>0</v>
      </c>
      <c r="G5312" s="34" t="n">
        <f aca="false">SUMIFS('12.326ana'!$C:$C,'12.326ana'!$M:$M,redes!A5312)</f>
        <v>0</v>
      </c>
    </row>
    <row r="5313" customFormat="false" ht="14.4" hidden="true" customHeight="false" outlineLevel="0" collapsed="false">
      <c r="A5313" s="34" t="n">
        <v>98966090125</v>
      </c>
      <c r="B5313" s="34" t="s">
        <v>12206</v>
      </c>
      <c r="C5313" s="34" t="s">
        <v>77</v>
      </c>
      <c r="E5313" s="30" t="s">
        <v>12206</v>
      </c>
      <c r="F5313" s="34" t="n">
        <f aca="false">IFERROR(VLOOKUP($A5313,'319'!$B:$H,7,0),0)</f>
        <v>0</v>
      </c>
      <c r="G5313" s="34" t="n">
        <f aca="false">SUMIFS('12.326ana'!$C:$C,'12.326ana'!$M:$M,redes!A5313)</f>
        <v>0</v>
      </c>
    </row>
    <row r="5314" customFormat="false" ht="14.4" hidden="true" customHeight="false" outlineLevel="0" collapsed="false">
      <c r="A5314" s="34" t="n">
        <v>98989090130</v>
      </c>
      <c r="B5314" s="34" t="s">
        <v>12207</v>
      </c>
      <c r="C5314" s="34" t="s">
        <v>77</v>
      </c>
      <c r="E5314" s="30" t="s">
        <v>3507</v>
      </c>
      <c r="F5314" s="34" t="n">
        <f aca="false">IFERROR(VLOOKUP($A5314,'319'!$B:$H,7,0),0)</f>
        <v>0</v>
      </c>
      <c r="G5314" s="34" t="n">
        <f aca="false">SUMIFS('12.326ana'!$C:$C,'12.326ana'!$M:$M,redes!A5314)</f>
        <v>0</v>
      </c>
    </row>
    <row r="5315" customFormat="false" ht="14.4" hidden="true" customHeight="false" outlineLevel="0" collapsed="false">
      <c r="A5315" s="34" t="n">
        <v>98996754153</v>
      </c>
      <c r="B5315" s="34" t="s">
        <v>12208</v>
      </c>
      <c r="C5315" s="34" t="s">
        <v>77</v>
      </c>
      <c r="E5315" s="30" t="s">
        <v>12209</v>
      </c>
      <c r="F5315" s="34" t="n">
        <f aca="false">IFERROR(VLOOKUP($A5315,'319'!$B:$H,7,0),0)</f>
        <v>0</v>
      </c>
      <c r="G5315" s="34" t="n">
        <f aca="false">SUMIFS('12.326ana'!$C:$C,'12.326ana'!$M:$M,redes!A5315)</f>
        <v>0</v>
      </c>
    </row>
    <row r="5316" customFormat="false" ht="14.4" hidden="true" customHeight="false" outlineLevel="0" collapsed="false">
      <c r="A5316" s="34" t="n">
        <v>99026511191</v>
      </c>
      <c r="B5316" s="34" t="s">
        <v>12210</v>
      </c>
      <c r="C5316" s="34" t="s">
        <v>77</v>
      </c>
      <c r="E5316" s="30" t="s">
        <v>12211</v>
      </c>
      <c r="F5316" s="34" t="n">
        <f aca="false">IFERROR(VLOOKUP($A5316,'319'!$B:$H,7,0),0)</f>
        <v>0</v>
      </c>
      <c r="G5316" s="34" t="n">
        <f aca="false">SUMIFS('12.326ana'!$C:$C,'12.326ana'!$M:$M,redes!A5316)</f>
        <v>0</v>
      </c>
    </row>
    <row r="5317" customFormat="false" ht="14.4" hidden="true" customHeight="false" outlineLevel="0" collapsed="false">
      <c r="A5317" s="34" t="n">
        <v>99059711149</v>
      </c>
      <c r="B5317" s="34" t="s">
        <v>12212</v>
      </c>
      <c r="C5317" s="34" t="s">
        <v>129</v>
      </c>
      <c r="E5317" s="30" t="s">
        <v>12213</v>
      </c>
      <c r="F5317" s="34" t="n">
        <f aca="false">IFERROR(VLOOKUP($A5317,'319'!$B:$H,7,0),0)</f>
        <v>0</v>
      </c>
      <c r="G5317" s="34" t="n">
        <f aca="false">SUMIFS('12.326ana'!$C:$C,'12.326ana'!$M:$M,redes!A5317)</f>
        <v>0</v>
      </c>
    </row>
    <row r="5318" customFormat="false" ht="14.4" hidden="true" customHeight="false" outlineLevel="0" collapsed="false">
      <c r="A5318" s="34" t="n">
        <v>99090570187</v>
      </c>
      <c r="B5318" s="34" t="s">
        <v>12214</v>
      </c>
      <c r="C5318" s="34" t="s">
        <v>979</v>
      </c>
      <c r="E5318" s="30" t="s">
        <v>12215</v>
      </c>
      <c r="F5318" s="34" t="n">
        <f aca="false">IFERROR(VLOOKUP($A5318,'319'!$B:$H,7,0),0)</f>
        <v>0</v>
      </c>
      <c r="G5318" s="34" t="n">
        <f aca="false">SUMIFS('12.326ana'!$C:$C,'12.326ana'!$M:$M,redes!A5318)</f>
        <v>0</v>
      </c>
    </row>
    <row r="5319" customFormat="false" ht="14.4" hidden="true" customHeight="false" outlineLevel="0" collapsed="false">
      <c r="A5319" s="34" t="n">
        <v>99143763120</v>
      </c>
      <c r="B5319" s="34" t="s">
        <v>12216</v>
      </c>
      <c r="C5319" s="34" t="s">
        <v>77</v>
      </c>
      <c r="E5319" s="30" t="s">
        <v>3922</v>
      </c>
      <c r="F5319" s="34" t="n">
        <f aca="false">IFERROR(VLOOKUP($A5319,'319'!$B:$H,7,0),0)</f>
        <v>0</v>
      </c>
      <c r="G5319" s="34" t="n">
        <f aca="false">SUMIFS('12.326ana'!$C:$C,'12.326ana'!$M:$M,redes!A5319)</f>
        <v>0</v>
      </c>
    </row>
    <row r="5320" customFormat="false" ht="14.4" hidden="true" customHeight="false" outlineLevel="0" collapsed="false">
      <c r="A5320" s="34" t="n">
        <v>99284227100</v>
      </c>
      <c r="B5320" s="34" t="s">
        <v>12217</v>
      </c>
      <c r="C5320" s="34" t="s">
        <v>103</v>
      </c>
      <c r="E5320" s="30" t="s">
        <v>3965</v>
      </c>
      <c r="F5320" s="34" t="n">
        <f aca="false">IFERROR(VLOOKUP($A5320,'319'!$B:$H,7,0),0)</f>
        <v>0</v>
      </c>
      <c r="G5320" s="34" t="n">
        <f aca="false">SUMIFS('12.326ana'!$C:$C,'12.326ana'!$M:$M,redes!A5320)</f>
        <v>0</v>
      </c>
    </row>
    <row r="5321" customFormat="false" ht="14.4" hidden="true" customHeight="false" outlineLevel="0" collapsed="false">
      <c r="A5321" s="34" t="n">
        <v>99383705191</v>
      </c>
      <c r="B5321" s="34" t="s">
        <v>12218</v>
      </c>
      <c r="C5321" s="34" t="s">
        <v>77</v>
      </c>
      <c r="E5321" s="30" t="s">
        <v>12219</v>
      </c>
      <c r="F5321" s="34" t="n">
        <f aca="false">IFERROR(VLOOKUP($A5321,'319'!$B:$H,7,0),0)</f>
        <v>0</v>
      </c>
      <c r="G5321" s="34" t="n">
        <f aca="false">SUMIFS('12.326ana'!$C:$C,'12.326ana'!$M:$M,redes!A5321)</f>
        <v>0</v>
      </c>
    </row>
    <row r="5322" customFormat="false" ht="14.4" hidden="true" customHeight="false" outlineLevel="0" collapsed="false">
      <c r="A5322" s="34" t="n">
        <v>99385872168</v>
      </c>
      <c r="B5322" s="34" t="s">
        <v>12220</v>
      </c>
      <c r="C5322" s="34" t="s">
        <v>77</v>
      </c>
      <c r="E5322" s="30" t="s">
        <v>12221</v>
      </c>
      <c r="F5322" s="34" t="n">
        <f aca="false">IFERROR(VLOOKUP($A5322,'319'!$B:$H,7,0),0)</f>
        <v>0</v>
      </c>
      <c r="G5322" s="34" t="n">
        <f aca="false">SUMIFS('12.326ana'!$C:$C,'12.326ana'!$M:$M,redes!A5322)</f>
        <v>0</v>
      </c>
    </row>
    <row r="5323" customFormat="false" ht="14.4" hidden="true" customHeight="false" outlineLevel="0" collapsed="false">
      <c r="A5323" s="34" t="n">
        <v>99449676968</v>
      </c>
      <c r="B5323" s="34" t="s">
        <v>12222</v>
      </c>
      <c r="C5323" s="34" t="s">
        <v>89</v>
      </c>
      <c r="E5323" s="30" t="s">
        <v>12223</v>
      </c>
      <c r="F5323" s="34" t="n">
        <f aca="false">IFERROR(VLOOKUP($A5323,'319'!$B:$H,7,0),0)</f>
        <v>0</v>
      </c>
      <c r="G5323" s="34" t="n">
        <f aca="false">SUMIFS('12.326ana'!$C:$C,'12.326ana'!$M:$M,redes!A5323)</f>
        <v>0</v>
      </c>
    </row>
    <row r="5324" customFormat="false" ht="14.4" hidden="true" customHeight="false" outlineLevel="0" collapsed="false">
      <c r="A5324" s="34" t="n">
        <v>99460572987</v>
      </c>
      <c r="B5324" s="34" t="s">
        <v>12224</v>
      </c>
      <c r="C5324" s="34" t="s">
        <v>967</v>
      </c>
      <c r="E5324" s="30" t="s">
        <v>12225</v>
      </c>
      <c r="F5324" s="34" t="n">
        <f aca="false">IFERROR(VLOOKUP($A5324,'319'!$B:$H,7,0),0)</f>
        <v>0</v>
      </c>
      <c r="G5324" s="34" t="n">
        <f aca="false">SUMIFS('12.326ana'!$C:$C,'12.326ana'!$M:$M,redes!A5324)</f>
        <v>0</v>
      </c>
    </row>
    <row r="5325" customFormat="false" ht="14.4" hidden="true" customHeight="false" outlineLevel="0" collapsed="false">
      <c r="A5325" s="34" t="n">
        <v>99494400178</v>
      </c>
      <c r="B5325" s="34" t="s">
        <v>12226</v>
      </c>
      <c r="C5325" s="34" t="s">
        <v>77</v>
      </c>
      <c r="E5325" s="30" t="s">
        <v>12227</v>
      </c>
      <c r="F5325" s="34" t="n">
        <f aca="false">IFERROR(VLOOKUP($A5325,'319'!$B:$H,7,0),0)</f>
        <v>0</v>
      </c>
      <c r="G5325" s="34" t="n">
        <f aca="false">SUMIFS('12.326ana'!$C:$C,'12.326ana'!$M:$M,redes!A5325)</f>
        <v>0</v>
      </c>
    </row>
    <row r="5326" customFormat="false" ht="14.4" hidden="true" customHeight="false" outlineLevel="0" collapsed="false">
      <c r="A5326" s="34" t="n">
        <v>99542617100</v>
      </c>
      <c r="B5326" s="34" t="s">
        <v>12228</v>
      </c>
      <c r="C5326" s="34" t="s">
        <v>781</v>
      </c>
      <c r="E5326" s="30" t="s">
        <v>12229</v>
      </c>
      <c r="F5326" s="34" t="n">
        <f aca="false">IFERROR(VLOOKUP($A5326,'319'!$B:$H,7,0),0)</f>
        <v>0</v>
      </c>
      <c r="G5326" s="34" t="n">
        <f aca="false">SUMIFS('12.326ana'!$C:$C,'12.326ana'!$M:$M,redes!A5326)</f>
        <v>0</v>
      </c>
    </row>
    <row r="5327" customFormat="false" ht="14.4" hidden="true" customHeight="false" outlineLevel="0" collapsed="false">
      <c r="A5327" s="34" t="n">
        <v>99586282104</v>
      </c>
      <c r="B5327" s="34" t="s">
        <v>12230</v>
      </c>
      <c r="C5327" s="34" t="s">
        <v>77</v>
      </c>
      <c r="E5327" s="30" t="s">
        <v>12231</v>
      </c>
      <c r="F5327" s="34" t="n">
        <f aca="false">IFERROR(VLOOKUP($A5327,'319'!$B:$H,7,0),0)</f>
        <v>0</v>
      </c>
      <c r="G5327" s="34" t="n">
        <f aca="false">SUMIFS('12.326ana'!$C:$C,'12.326ana'!$M:$M,redes!A5327)</f>
        <v>0</v>
      </c>
    </row>
    <row r="5328" customFormat="false" ht="14.4" hidden="true" customHeight="false" outlineLevel="0" collapsed="false">
      <c r="A5328" s="34" t="n">
        <v>99684640153</v>
      </c>
      <c r="B5328" s="34" t="s">
        <v>12232</v>
      </c>
      <c r="C5328" s="34" t="s">
        <v>77</v>
      </c>
      <c r="E5328" s="30" t="s">
        <v>12233</v>
      </c>
      <c r="F5328" s="34" t="n">
        <f aca="false">IFERROR(VLOOKUP($A5328,'319'!$B:$H,7,0),0)</f>
        <v>0</v>
      </c>
      <c r="G5328" s="34" t="n">
        <f aca="false">SUMIFS('12.326ana'!$C:$C,'12.326ana'!$M:$M,redes!A5328)</f>
        <v>0</v>
      </c>
    </row>
    <row r="5329" customFormat="false" ht="14.4" hidden="true" customHeight="false" outlineLevel="0" collapsed="false">
      <c r="A5329" s="34" t="n">
        <v>99719525134</v>
      </c>
      <c r="B5329" s="34" t="s">
        <v>12234</v>
      </c>
      <c r="C5329" s="34" t="s">
        <v>342</v>
      </c>
      <c r="E5329" s="30" t="s">
        <v>12235</v>
      </c>
      <c r="F5329" s="34" t="n">
        <f aca="false">IFERROR(VLOOKUP($A5329,'319'!$B:$H,7,0),0)</f>
        <v>0</v>
      </c>
      <c r="G5329" s="34" t="n">
        <f aca="false">SUMIFS('12.326ana'!$C:$C,'12.326ana'!$M:$M,redes!A5329)</f>
        <v>0</v>
      </c>
    </row>
    <row r="5330" customFormat="false" ht="14.4" hidden="true" customHeight="false" outlineLevel="0" collapsed="false">
      <c r="A5330" s="34" t="n">
        <v>99787571120</v>
      </c>
      <c r="B5330" s="34" t="s">
        <v>12236</v>
      </c>
      <c r="C5330" s="34" t="s">
        <v>463</v>
      </c>
      <c r="E5330" s="30"/>
      <c r="F5330" s="34" t="n">
        <f aca="false">IFERROR(VLOOKUP($A5330,'319'!$B:$H,7,0),0)</f>
        <v>0</v>
      </c>
      <c r="G5330" s="34" t="n">
        <f aca="false">SUMIFS('12.326ana'!$C:$C,'12.326ana'!$M:$M,redes!A5330)</f>
        <v>0</v>
      </c>
    </row>
    <row r="5331" customFormat="false" ht="14.4" hidden="true" customHeight="false" outlineLevel="0" collapsed="false">
      <c r="A5331" s="34" t="n">
        <v>99824868100</v>
      </c>
      <c r="B5331" s="34" t="s">
        <v>12237</v>
      </c>
      <c r="C5331" s="34" t="s">
        <v>351</v>
      </c>
      <c r="E5331" s="30" t="s">
        <v>10471</v>
      </c>
      <c r="F5331" s="34" t="n">
        <f aca="false">IFERROR(VLOOKUP($A5331,'319'!$B:$H,7,0),0)</f>
        <v>0</v>
      </c>
      <c r="G5331" s="34" t="n">
        <f aca="false">SUMIFS('12.326ana'!$C:$C,'12.326ana'!$M:$M,redes!A5331)</f>
        <v>0</v>
      </c>
    </row>
    <row r="5332" customFormat="false" ht="14.4" hidden="true" customHeight="false" outlineLevel="0" collapsed="false">
      <c r="A5332" s="34" t="n">
        <v>99855020197</v>
      </c>
      <c r="B5332" s="34" t="s">
        <v>12238</v>
      </c>
      <c r="C5332" s="34" t="s">
        <v>107</v>
      </c>
      <c r="E5332" s="30" t="s">
        <v>12239</v>
      </c>
      <c r="F5332" s="34" t="n">
        <f aca="false">IFERROR(VLOOKUP($A5332,'319'!$B:$H,7,0),0)</f>
        <v>0</v>
      </c>
      <c r="G5332" s="34" t="n">
        <f aca="false">SUMIFS('12.326ana'!$C:$C,'12.326ana'!$M:$M,redes!A5332)</f>
        <v>0</v>
      </c>
    </row>
    <row r="5333" customFormat="false" ht="14.4" hidden="true" customHeight="false" outlineLevel="0" collapsed="false">
      <c r="A5333" s="34" t="n">
        <v>99862492104</v>
      </c>
      <c r="B5333" s="34" t="s">
        <v>12240</v>
      </c>
      <c r="C5333" s="34" t="s">
        <v>77</v>
      </c>
      <c r="E5333" s="30" t="s">
        <v>12241</v>
      </c>
      <c r="F5333" s="34" t="n">
        <f aca="false">IFERROR(VLOOKUP($A5333,'319'!$B:$H,7,0),0)</f>
        <v>0</v>
      </c>
      <c r="G5333" s="34" t="n">
        <f aca="false">SUMIFS('12.326ana'!$C:$C,'12.326ana'!$M:$M,redes!A5333)</f>
        <v>0</v>
      </c>
    </row>
    <row r="5334" customFormat="false" ht="14.4" hidden="true" customHeight="false" outlineLevel="0" collapsed="false">
      <c r="A5334" s="34" t="n">
        <v>99864207172</v>
      </c>
      <c r="B5334" s="34" t="s">
        <v>12242</v>
      </c>
      <c r="C5334" s="34" t="s">
        <v>77</v>
      </c>
      <c r="E5334" s="30" t="s">
        <v>12243</v>
      </c>
      <c r="F5334" s="34" t="n">
        <f aca="false">IFERROR(VLOOKUP($A5334,'319'!$B:$H,7,0),0)</f>
        <v>0</v>
      </c>
      <c r="G5334" s="34" t="n">
        <f aca="false">SUMIFS('12.326ana'!$C:$C,'12.326ana'!$M:$M,redes!A5334)</f>
        <v>0</v>
      </c>
    </row>
    <row r="5335" customFormat="false" ht="14.4" hidden="true" customHeight="false" outlineLevel="0" collapsed="false">
      <c r="A5335" s="34" t="n">
        <v>99892790120</v>
      </c>
      <c r="B5335" s="34" t="s">
        <v>12244</v>
      </c>
      <c r="C5335" s="34" t="s">
        <v>107</v>
      </c>
      <c r="E5335" s="30" t="s">
        <v>12245</v>
      </c>
      <c r="F5335" s="34" t="n">
        <f aca="false">IFERROR(VLOOKUP($A5335,'319'!$B:$H,7,0),0)</f>
        <v>0</v>
      </c>
      <c r="G5335" s="34" t="n">
        <f aca="false">SUMIFS('12.326ana'!$C:$C,'12.326ana'!$M:$M,redes!A5335)</f>
        <v>0</v>
      </c>
    </row>
    <row r="5336" customFormat="false" ht="14.4" hidden="true" customHeight="false" outlineLevel="0" collapsed="false">
      <c r="A5336" s="34" t="n">
        <v>99908751115</v>
      </c>
      <c r="B5336" s="34" t="s">
        <v>12246</v>
      </c>
      <c r="C5336" s="34" t="s">
        <v>103</v>
      </c>
      <c r="E5336" s="30" t="s">
        <v>12247</v>
      </c>
      <c r="F5336" s="34" t="n">
        <f aca="false">IFERROR(VLOOKUP($A5336,'319'!$B:$H,7,0),0)</f>
        <v>0</v>
      </c>
      <c r="G5336" s="34" t="n">
        <f aca="false">SUMIFS('12.326ana'!$C:$C,'12.326ana'!$M:$M,redes!A5336)</f>
        <v>0</v>
      </c>
    </row>
    <row r="5337" customFormat="false" ht="14.4" hidden="true" customHeight="false" outlineLevel="0" collapsed="false">
      <c r="A5337" s="34" t="n">
        <v>99911078191</v>
      </c>
      <c r="B5337" s="34" t="s">
        <v>12248</v>
      </c>
      <c r="C5337" s="34" t="s">
        <v>77</v>
      </c>
      <c r="E5337" s="30"/>
      <c r="F5337" s="34" t="n">
        <f aca="false">IFERROR(VLOOKUP($A5337,'319'!$B:$H,7,0),0)</f>
        <v>0</v>
      </c>
      <c r="G5337" s="34" t="n">
        <f aca="false">SUMIFS('12.326ana'!$C:$C,'12.326ana'!$M:$M,redes!A5337)</f>
        <v>0</v>
      </c>
    </row>
    <row r="5338" customFormat="false" ht="14.4" hidden="true" customHeight="false" outlineLevel="0" collapsed="false">
      <c r="A5338" s="34" t="n">
        <v>99927535104</v>
      </c>
      <c r="B5338" s="34" t="s">
        <v>12249</v>
      </c>
      <c r="C5338" s="34" t="s">
        <v>77</v>
      </c>
      <c r="E5338" s="30" t="s">
        <v>12250</v>
      </c>
      <c r="F5338" s="34" t="n">
        <f aca="false">IFERROR(VLOOKUP($A5338,'319'!$B:$H,7,0),0)</f>
        <v>0</v>
      </c>
      <c r="G5338" s="34" t="n">
        <f aca="false">SUMIFS('12.326ana'!$C:$C,'12.326ana'!$M:$M,redes!A5338)</f>
        <v>0</v>
      </c>
    </row>
    <row r="5339" customFormat="false" ht="14.4" hidden="true" customHeight="false" outlineLevel="0" collapsed="false">
      <c r="A5339" s="34" t="n">
        <v>99938650104</v>
      </c>
      <c r="B5339" s="34" t="s">
        <v>12251</v>
      </c>
      <c r="C5339" s="34" t="s">
        <v>77</v>
      </c>
      <c r="E5339" s="30" t="s">
        <v>12252</v>
      </c>
      <c r="F5339" s="34" t="n">
        <f aca="false">IFERROR(VLOOKUP($A5339,'319'!$B:$H,7,0),0)</f>
        <v>0</v>
      </c>
      <c r="G5339" s="34" t="n">
        <f aca="false">SUMIFS('12.326ana'!$C:$C,'12.326ana'!$M:$M,redes!A5339)</f>
        <v>0</v>
      </c>
    </row>
    <row r="5340" customFormat="false" ht="14.4" hidden="true" customHeight="false" outlineLevel="0" collapsed="false">
      <c r="A5340" s="34" t="n">
        <v>100308000109</v>
      </c>
      <c r="B5340" s="34" t="s">
        <v>12253</v>
      </c>
      <c r="C5340" s="34" t="s">
        <v>604</v>
      </c>
      <c r="E5340" s="30" t="s">
        <v>12254</v>
      </c>
      <c r="F5340" s="34" t="n">
        <f aca="false">IFERROR(VLOOKUP($A5340,'319'!$B:$H,7,0),0)</f>
        <v>0</v>
      </c>
      <c r="G5340" s="34" t="n">
        <f aca="false">SUMIFS('12.326ana'!$C:$C,'12.326ana'!$M:$M,redes!A5340)</f>
        <v>0</v>
      </c>
    </row>
    <row r="5341" customFormat="false" ht="14.4" hidden="true" customHeight="false" outlineLevel="0" collapsed="false">
      <c r="A5341" s="34" t="n">
        <v>100311000122</v>
      </c>
      <c r="B5341" s="34" t="s">
        <v>12255</v>
      </c>
      <c r="C5341" s="34" t="s">
        <v>781</v>
      </c>
      <c r="E5341" s="30" t="s">
        <v>12256</v>
      </c>
      <c r="F5341" s="34" t="n">
        <f aca="false">IFERROR(VLOOKUP($A5341,'319'!$B:$H,7,0),0)</f>
        <v>0</v>
      </c>
      <c r="G5341" s="34" t="n">
        <f aca="false">SUMIFS('12.326ana'!$C:$C,'12.326ana'!$M:$M,redes!A5341)</f>
        <v>0</v>
      </c>
    </row>
    <row r="5342" customFormat="false" ht="14.4" hidden="true" customHeight="false" outlineLevel="0" collapsed="false">
      <c r="A5342" s="35" t="n">
        <v>100322000102</v>
      </c>
      <c r="B5342" s="34" t="s">
        <v>12257</v>
      </c>
      <c r="C5342" s="34" t="s">
        <v>89</v>
      </c>
      <c r="D5342" s="34" t="s">
        <v>22</v>
      </c>
      <c r="E5342" s="30" t="s">
        <v>12258</v>
      </c>
      <c r="F5342" s="34" t="n">
        <f aca="false">IFERROR(VLOOKUP($A5342,'319'!$B:$H,7,0),0)</f>
        <v>0</v>
      </c>
      <c r="G5342" s="34" t="n">
        <f aca="false">SUMIFS('12.326ana'!$C:$C,'12.326ana'!$M:$M,redes!A5342)</f>
        <v>0</v>
      </c>
    </row>
    <row r="5343" customFormat="false" ht="14.4" hidden="true" customHeight="false" outlineLevel="0" collapsed="false">
      <c r="A5343" s="35" t="n">
        <v>100322000293</v>
      </c>
      <c r="B5343" s="34" t="s">
        <v>12257</v>
      </c>
      <c r="C5343" s="34" t="s">
        <v>89</v>
      </c>
      <c r="D5343" s="34" t="s">
        <v>33</v>
      </c>
      <c r="E5343" s="30" t="s">
        <v>12259</v>
      </c>
      <c r="F5343" s="34" t="n">
        <f aca="false">IFERROR(VLOOKUP($A5343,'319'!$B:$H,7,0),0)</f>
        <v>0</v>
      </c>
      <c r="G5343" s="34" t="n">
        <f aca="false">SUMIFS('12.326ana'!$C:$C,'12.326ana'!$M:$M,redes!A5343)</f>
        <v>0</v>
      </c>
    </row>
    <row r="5344" customFormat="false" ht="14.4" hidden="true" customHeight="false" outlineLevel="0" collapsed="false">
      <c r="A5344" s="34" t="n">
        <v>100322000455</v>
      </c>
      <c r="B5344" s="34" t="s">
        <v>12257</v>
      </c>
      <c r="C5344" s="34" t="s">
        <v>89</v>
      </c>
      <c r="E5344" s="30" t="s">
        <v>12260</v>
      </c>
      <c r="F5344" s="34" t="n">
        <f aca="false">IFERROR(VLOOKUP($A5344,'319'!$B:$H,7,0),0)</f>
        <v>0</v>
      </c>
      <c r="G5344" s="34" t="n">
        <f aca="false">SUMIFS('12.326ana'!$C:$C,'12.326ana'!$M:$M,redes!A5344)</f>
        <v>0</v>
      </c>
    </row>
    <row r="5345" customFormat="false" ht="14.4" hidden="true" customHeight="false" outlineLevel="0" collapsed="false">
      <c r="A5345" s="34" t="n">
        <v>100322000536</v>
      </c>
      <c r="B5345" s="34" t="s">
        <v>12257</v>
      </c>
      <c r="C5345" s="34" t="s">
        <v>89</v>
      </c>
      <c r="E5345" s="30" t="s">
        <v>12261</v>
      </c>
      <c r="F5345" s="34" t="n">
        <f aca="false">IFERROR(VLOOKUP($A5345,'319'!$B:$H,7,0),0)</f>
        <v>0</v>
      </c>
      <c r="G5345" s="34" t="n">
        <f aca="false">SUMIFS('12.326ana'!$C:$C,'12.326ana'!$M:$M,redes!A5345)</f>
        <v>0</v>
      </c>
    </row>
    <row r="5346" customFormat="false" ht="14.4" hidden="true" customHeight="false" outlineLevel="0" collapsed="false">
      <c r="A5346" s="34" t="n">
        <v>100323000157</v>
      </c>
      <c r="B5346" s="34" t="s">
        <v>12262</v>
      </c>
      <c r="C5346" s="34" t="s">
        <v>139</v>
      </c>
      <c r="E5346" s="30" t="s">
        <v>12263</v>
      </c>
      <c r="F5346" s="34" t="n">
        <f aca="false">IFERROR(VLOOKUP($A5346,'319'!$B:$H,7,0),0)</f>
        <v>0</v>
      </c>
      <c r="G5346" s="34" t="n">
        <f aca="false">SUMIFS('12.326ana'!$C:$C,'12.326ana'!$M:$M,redes!A5346)</f>
        <v>0</v>
      </c>
    </row>
    <row r="5347" customFormat="false" ht="14.4" hidden="true" customHeight="false" outlineLevel="0" collapsed="false">
      <c r="A5347" s="34" t="n">
        <v>103418000124</v>
      </c>
      <c r="B5347" s="34" t="s">
        <v>12264</v>
      </c>
      <c r="C5347" s="34" t="s">
        <v>4156</v>
      </c>
      <c r="E5347" s="30" t="s">
        <v>12265</v>
      </c>
      <c r="F5347" s="34" t="n">
        <f aca="false">IFERROR(VLOOKUP($A5347,'319'!$B:$H,7,0),0)</f>
        <v>0</v>
      </c>
      <c r="G5347" s="34" t="n">
        <f aca="false">SUMIFS('12.326ana'!$C:$C,'12.326ana'!$M:$M,redes!A5347)</f>
        <v>0</v>
      </c>
    </row>
    <row r="5348" customFormat="false" ht="14.4" hidden="true" customHeight="false" outlineLevel="0" collapsed="false">
      <c r="A5348" s="34" t="n">
        <v>103807000150</v>
      </c>
      <c r="B5348" s="34" t="s">
        <v>12266</v>
      </c>
      <c r="C5348" s="34" t="s">
        <v>77</v>
      </c>
      <c r="E5348" s="30" t="s">
        <v>12267</v>
      </c>
      <c r="F5348" s="34" t="n">
        <f aca="false">IFERROR(VLOOKUP($A5348,'319'!$B:$H,7,0),0)</f>
        <v>0</v>
      </c>
      <c r="G5348" s="34" t="n">
        <f aca="false">SUMIFS('12.326ana'!$C:$C,'12.326ana'!$M:$M,redes!A5348)</f>
        <v>0</v>
      </c>
    </row>
    <row r="5349" customFormat="false" ht="14.4" hidden="true" customHeight="false" outlineLevel="0" collapsed="false">
      <c r="A5349" s="34" t="n">
        <v>103855000148</v>
      </c>
      <c r="B5349" s="34" t="s">
        <v>12268</v>
      </c>
      <c r="C5349" s="34" t="s">
        <v>89</v>
      </c>
      <c r="E5349" s="30" t="s">
        <v>12269</v>
      </c>
      <c r="F5349" s="34" t="n">
        <f aca="false">IFERROR(VLOOKUP($A5349,'319'!$B:$H,7,0),0)</f>
        <v>0</v>
      </c>
      <c r="G5349" s="34" t="n">
        <f aca="false">SUMIFS('12.326ana'!$C:$C,'12.326ana'!$M:$M,redes!A5349)</f>
        <v>0</v>
      </c>
    </row>
    <row r="5350" customFormat="false" ht="14.4" hidden="true" customHeight="false" outlineLevel="0" collapsed="false">
      <c r="A5350" s="34" t="n">
        <v>107981000170</v>
      </c>
      <c r="B5350" s="34" t="s">
        <v>12270</v>
      </c>
      <c r="C5350" s="34" t="s">
        <v>107</v>
      </c>
      <c r="E5350" s="30" t="s">
        <v>12271</v>
      </c>
      <c r="F5350" s="34" t="n">
        <f aca="false">IFERROR(VLOOKUP($A5350,'319'!$B:$H,7,0),0)</f>
        <v>0</v>
      </c>
      <c r="G5350" s="34" t="n">
        <f aca="false">SUMIFS('12.326ana'!$C:$C,'12.326ana'!$M:$M,redes!A5350)</f>
        <v>0</v>
      </c>
    </row>
    <row r="5351" customFormat="false" ht="14.4" hidden="true" customHeight="false" outlineLevel="0" collapsed="false">
      <c r="A5351" s="34" t="n">
        <v>107982000115</v>
      </c>
      <c r="B5351" s="34" t="s">
        <v>12272</v>
      </c>
      <c r="C5351" s="34" t="s">
        <v>89</v>
      </c>
      <c r="E5351" s="30" t="s">
        <v>12273</v>
      </c>
      <c r="F5351" s="34" t="n">
        <f aca="false">IFERROR(VLOOKUP($A5351,'319'!$B:$H,7,0),0)</f>
        <v>0</v>
      </c>
      <c r="G5351" s="34" t="n">
        <f aca="false">SUMIFS('12.326ana'!$C:$C,'12.326ana'!$M:$M,redes!A5351)</f>
        <v>0</v>
      </c>
    </row>
    <row r="5352" customFormat="false" ht="14.4" hidden="true" customHeight="false" outlineLevel="0" collapsed="false">
      <c r="A5352" s="34" t="n">
        <v>108912000181</v>
      </c>
      <c r="B5352" s="34" t="s">
        <v>12274</v>
      </c>
      <c r="C5352" s="34" t="s">
        <v>10103</v>
      </c>
      <c r="E5352" s="30" t="s">
        <v>12275</v>
      </c>
      <c r="F5352" s="34" t="n">
        <f aca="false">IFERROR(VLOOKUP($A5352,'319'!$B:$H,7,0),0)</f>
        <v>0</v>
      </c>
      <c r="G5352" s="34" t="n">
        <f aca="false">SUMIFS('12.326ana'!$C:$C,'12.326ana'!$M:$M,redes!A5352)</f>
        <v>0</v>
      </c>
    </row>
    <row r="5353" customFormat="false" ht="14.4" hidden="true" customHeight="false" outlineLevel="0" collapsed="false">
      <c r="A5353" s="34" t="n">
        <v>112373000154</v>
      </c>
      <c r="B5353" s="34" t="s">
        <v>1639</v>
      </c>
      <c r="C5353" s="34" t="s">
        <v>107</v>
      </c>
      <c r="E5353" s="30" t="s">
        <v>12276</v>
      </c>
      <c r="F5353" s="34" t="n">
        <f aca="false">IFERROR(VLOOKUP($A5353,'319'!$B:$H,7,0),0)</f>
        <v>65.52</v>
      </c>
      <c r="G5353" s="34" t="n">
        <f aca="false">SUMIFS('12.326ana'!$C:$C,'12.326ana'!$M:$M,redes!A5353)</f>
        <v>0</v>
      </c>
    </row>
    <row r="5354" customFormat="false" ht="14.4" hidden="true" customHeight="false" outlineLevel="0" collapsed="false">
      <c r="A5354" s="34" t="n">
        <v>112376000198</v>
      </c>
      <c r="B5354" s="34" t="s">
        <v>12277</v>
      </c>
      <c r="C5354" s="34" t="s">
        <v>89</v>
      </c>
      <c r="E5354" s="30" t="s">
        <v>12277</v>
      </c>
      <c r="F5354" s="34" t="n">
        <f aca="false">IFERROR(VLOOKUP($A5354,'319'!$B:$H,7,0),0)</f>
        <v>0</v>
      </c>
      <c r="G5354" s="34" t="n">
        <f aca="false">SUMIFS('12.326ana'!$C:$C,'12.326ana'!$M:$M,redes!A5354)</f>
        <v>0</v>
      </c>
    </row>
    <row r="5355" customFormat="false" ht="14.4" hidden="true" customHeight="false" outlineLevel="0" collapsed="false">
      <c r="A5355" s="34" t="n">
        <v>116314000154</v>
      </c>
      <c r="B5355" s="34" t="s">
        <v>12278</v>
      </c>
      <c r="C5355" s="34" t="s">
        <v>107</v>
      </c>
      <c r="E5355" s="30" t="s">
        <v>12279</v>
      </c>
      <c r="F5355" s="34" t="n">
        <f aca="false">IFERROR(VLOOKUP($A5355,'319'!$B:$H,7,0),0)</f>
        <v>0</v>
      </c>
      <c r="G5355" s="34" t="n">
        <f aca="false">SUMIFS('12.326ana'!$C:$C,'12.326ana'!$M:$M,redes!A5355)</f>
        <v>0</v>
      </c>
    </row>
    <row r="5356" customFormat="false" ht="14.4" hidden="true" customHeight="false" outlineLevel="0" collapsed="false">
      <c r="A5356" s="34" t="n">
        <v>118137000145</v>
      </c>
      <c r="B5356" s="34" t="s">
        <v>12280</v>
      </c>
      <c r="C5356" s="34" t="s">
        <v>77</v>
      </c>
      <c r="E5356" s="30" t="s">
        <v>12281</v>
      </c>
      <c r="F5356" s="34" t="n">
        <f aca="false">IFERROR(VLOOKUP($A5356,'319'!$B:$H,7,0),0)</f>
        <v>0</v>
      </c>
      <c r="G5356" s="34" t="n">
        <f aca="false">SUMIFS('12.326ana'!$C:$C,'12.326ana'!$M:$M,redes!A5356)</f>
        <v>0</v>
      </c>
    </row>
    <row r="5357" customFormat="false" ht="14.4" hidden="true" customHeight="false" outlineLevel="0" collapsed="false">
      <c r="A5357" s="34" t="n">
        <v>118154000182</v>
      </c>
      <c r="B5357" s="34" t="s">
        <v>12282</v>
      </c>
      <c r="C5357" s="34" t="s">
        <v>737</v>
      </c>
      <c r="E5357" s="30" t="s">
        <v>5268</v>
      </c>
      <c r="F5357" s="34" t="n">
        <f aca="false">IFERROR(VLOOKUP($A5357,'319'!$B:$H,7,0),0)</f>
        <v>0</v>
      </c>
      <c r="G5357" s="34" t="n">
        <f aca="false">SUMIFS('12.326ana'!$C:$C,'12.326ana'!$M:$M,redes!A5357)</f>
        <v>0</v>
      </c>
    </row>
    <row r="5358" customFormat="false" ht="14.4" hidden="true" customHeight="false" outlineLevel="0" collapsed="false">
      <c r="A5358" s="34" t="n">
        <v>118168000104</v>
      </c>
      <c r="B5358" s="34" t="s">
        <v>12283</v>
      </c>
      <c r="C5358" s="34" t="s">
        <v>935</v>
      </c>
      <c r="E5358" s="30" t="s">
        <v>2958</v>
      </c>
      <c r="F5358" s="34" t="n">
        <f aca="false">IFERROR(VLOOKUP($A5358,'319'!$B:$H,7,0),0)</f>
        <v>0</v>
      </c>
      <c r="G5358" s="34" t="n">
        <f aca="false">SUMIFS('12.326ana'!$C:$C,'12.326ana'!$M:$M,redes!A5358)</f>
        <v>0</v>
      </c>
    </row>
    <row r="5359" customFormat="false" ht="14.4" hidden="true" customHeight="false" outlineLevel="0" collapsed="false">
      <c r="A5359" s="34" t="n">
        <v>119805000159</v>
      </c>
      <c r="B5359" s="34" t="s">
        <v>12284</v>
      </c>
      <c r="C5359" s="34" t="s">
        <v>127</v>
      </c>
      <c r="E5359" s="30" t="s">
        <v>12285</v>
      </c>
      <c r="F5359" s="34" t="n">
        <f aca="false">IFERROR(VLOOKUP($A5359,'319'!$B:$H,7,0),0)</f>
        <v>0</v>
      </c>
      <c r="G5359" s="34" t="n">
        <f aca="false">SUMIFS('12.326ana'!$C:$C,'12.326ana'!$M:$M,redes!A5359)</f>
        <v>0</v>
      </c>
    </row>
    <row r="5360" customFormat="false" ht="14.4" hidden="true" customHeight="false" outlineLevel="0" collapsed="false">
      <c r="A5360" s="34" t="n">
        <v>125066000108</v>
      </c>
      <c r="B5360" s="34" t="s">
        <v>12286</v>
      </c>
      <c r="C5360" s="34" t="s">
        <v>1341</v>
      </c>
      <c r="E5360" s="30" t="s">
        <v>11411</v>
      </c>
      <c r="F5360" s="34" t="n">
        <f aca="false">IFERROR(VLOOKUP($A5360,'319'!$B:$H,7,0),0)</f>
        <v>0</v>
      </c>
      <c r="G5360" s="34" t="n">
        <f aca="false">SUMIFS('12.326ana'!$C:$C,'12.326ana'!$M:$M,redes!A5360)</f>
        <v>0</v>
      </c>
    </row>
    <row r="5361" customFormat="false" ht="14.4" hidden="true" customHeight="false" outlineLevel="0" collapsed="false">
      <c r="A5361" s="34" t="n">
        <v>125084000190</v>
      </c>
      <c r="B5361" s="34" t="s">
        <v>12287</v>
      </c>
      <c r="C5361" s="34" t="s">
        <v>77</v>
      </c>
      <c r="E5361" s="30" t="s">
        <v>12288</v>
      </c>
      <c r="F5361" s="34" t="n">
        <f aca="false">IFERROR(VLOOKUP($A5361,'319'!$B:$H,7,0),0)</f>
        <v>0</v>
      </c>
      <c r="G5361" s="34" t="n">
        <f aca="false">SUMIFS('12.326ana'!$C:$C,'12.326ana'!$M:$M,redes!A5361)</f>
        <v>0</v>
      </c>
    </row>
    <row r="5362" customFormat="false" ht="14.4" hidden="true" customHeight="false" outlineLevel="0" collapsed="false">
      <c r="A5362" s="34" t="n">
        <v>126548000182</v>
      </c>
      <c r="B5362" s="34" t="s">
        <v>12289</v>
      </c>
      <c r="C5362" s="34" t="s">
        <v>107</v>
      </c>
      <c r="E5362" s="30" t="s">
        <v>12290</v>
      </c>
      <c r="F5362" s="34" t="n">
        <f aca="false">IFERROR(VLOOKUP($A5362,'319'!$B:$H,7,0),0)</f>
        <v>0</v>
      </c>
      <c r="G5362" s="34" t="n">
        <f aca="false">SUMIFS('12.326ana'!$C:$C,'12.326ana'!$M:$M,redes!A5362)</f>
        <v>0</v>
      </c>
    </row>
    <row r="5363" customFormat="false" ht="14.4" hidden="true" customHeight="false" outlineLevel="0" collapsed="false">
      <c r="A5363" s="34" t="n">
        <v>128838000165</v>
      </c>
      <c r="B5363" s="34" t="s">
        <v>12291</v>
      </c>
      <c r="C5363" s="34" t="s">
        <v>77</v>
      </c>
      <c r="E5363" s="30" t="s">
        <v>12292</v>
      </c>
      <c r="F5363" s="34" t="n">
        <f aca="false">IFERROR(VLOOKUP($A5363,'319'!$B:$H,7,0),0)</f>
        <v>0</v>
      </c>
      <c r="G5363" s="34" t="n">
        <f aca="false">SUMIFS('12.326ana'!$C:$C,'12.326ana'!$M:$M,redes!A5363)</f>
        <v>0</v>
      </c>
    </row>
    <row r="5364" customFormat="false" ht="14.4" hidden="true" customHeight="false" outlineLevel="0" collapsed="false">
      <c r="A5364" s="34" t="n">
        <v>133180000180</v>
      </c>
      <c r="B5364" s="34" t="s">
        <v>12293</v>
      </c>
      <c r="C5364" s="34" t="s">
        <v>77</v>
      </c>
      <c r="E5364" s="30" t="s">
        <v>12294</v>
      </c>
      <c r="F5364" s="34" t="n">
        <f aca="false">IFERROR(VLOOKUP($A5364,'319'!$B:$H,7,0),0)</f>
        <v>0</v>
      </c>
      <c r="G5364" s="34" t="n">
        <f aca="false">SUMIFS('12.326ana'!$C:$C,'12.326ana'!$M:$M,redes!A5364)</f>
        <v>0</v>
      </c>
    </row>
    <row r="5365" customFormat="false" ht="14.4" hidden="true" customHeight="false" outlineLevel="0" collapsed="false">
      <c r="A5365" s="34" t="n">
        <v>136185000166</v>
      </c>
      <c r="B5365" s="34" t="s">
        <v>12295</v>
      </c>
      <c r="C5365" s="34" t="s">
        <v>77</v>
      </c>
      <c r="E5365" s="30" t="s">
        <v>12296</v>
      </c>
      <c r="F5365" s="34" t="n">
        <f aca="false">IFERROR(VLOOKUP($A5365,'319'!$B:$H,7,0),0)</f>
        <v>0</v>
      </c>
      <c r="G5365" s="34" t="n">
        <f aca="false">SUMIFS('12.326ana'!$C:$C,'12.326ana'!$M:$M,redes!A5365)</f>
        <v>0</v>
      </c>
    </row>
    <row r="5366" customFormat="false" ht="14.4" hidden="true" customHeight="false" outlineLevel="0" collapsed="false">
      <c r="A5366" s="34" t="n">
        <v>136682000164</v>
      </c>
      <c r="B5366" s="34" t="s">
        <v>12297</v>
      </c>
      <c r="C5366" s="34" t="s">
        <v>12298</v>
      </c>
      <c r="E5366" s="30" t="s">
        <v>12299</v>
      </c>
      <c r="F5366" s="34" t="n">
        <f aca="false">IFERROR(VLOOKUP($A5366,'319'!$B:$H,7,0),0)</f>
        <v>0</v>
      </c>
      <c r="G5366" s="34" t="n">
        <f aca="false">SUMIFS('12.326ana'!$C:$C,'12.326ana'!$M:$M,redes!A5366)</f>
        <v>0</v>
      </c>
    </row>
    <row r="5367" customFormat="false" ht="14.4" hidden="true" customHeight="false" outlineLevel="0" collapsed="false">
      <c r="A5367" s="34" t="n">
        <v>137534000164</v>
      </c>
      <c r="B5367" s="34" t="s">
        <v>12300</v>
      </c>
      <c r="C5367" s="34" t="s">
        <v>342</v>
      </c>
      <c r="E5367" s="30" t="s">
        <v>12301</v>
      </c>
      <c r="F5367" s="34" t="n">
        <f aca="false">IFERROR(VLOOKUP($A5367,'319'!$B:$H,7,0),0)</f>
        <v>0</v>
      </c>
      <c r="G5367" s="34" t="n">
        <f aca="false">SUMIFS('12.326ana'!$C:$C,'12.326ana'!$M:$M,redes!A5367)</f>
        <v>0</v>
      </c>
    </row>
    <row r="5368" customFormat="false" ht="14.4" hidden="true" customHeight="false" outlineLevel="0" collapsed="false">
      <c r="A5368" s="34" t="n">
        <v>138790000176</v>
      </c>
      <c r="B5368" s="34" t="s">
        <v>12302</v>
      </c>
      <c r="C5368" s="34" t="s">
        <v>77</v>
      </c>
      <c r="E5368" s="30" t="s">
        <v>12303</v>
      </c>
      <c r="F5368" s="34" t="n">
        <f aca="false">IFERROR(VLOOKUP($A5368,'319'!$B:$H,7,0),0)</f>
        <v>0</v>
      </c>
      <c r="G5368" s="34" t="n">
        <f aca="false">SUMIFS('12.326ana'!$C:$C,'12.326ana'!$M:$M,redes!A5368)</f>
        <v>0</v>
      </c>
    </row>
    <row r="5369" customFormat="false" ht="14.4" hidden="true" customHeight="false" outlineLevel="0" collapsed="false">
      <c r="A5369" s="34" t="n">
        <v>141392000109</v>
      </c>
      <c r="B5369" s="34" t="s">
        <v>12304</v>
      </c>
      <c r="C5369" s="34" t="s">
        <v>77</v>
      </c>
      <c r="E5369" s="30" t="s">
        <v>12305</v>
      </c>
      <c r="F5369" s="34" t="n">
        <f aca="false">IFERROR(VLOOKUP($A5369,'319'!$B:$H,7,0),0)</f>
        <v>0</v>
      </c>
      <c r="G5369" s="34" t="n">
        <f aca="false">SUMIFS('12.326ana'!$C:$C,'12.326ana'!$M:$M,redes!A5369)</f>
        <v>0</v>
      </c>
    </row>
    <row r="5370" customFormat="false" ht="14.4" hidden="true" customHeight="false" outlineLevel="0" collapsed="false">
      <c r="A5370" s="34" t="n">
        <v>143493000119</v>
      </c>
      <c r="B5370" s="34" t="s">
        <v>12306</v>
      </c>
      <c r="C5370" s="34" t="s">
        <v>77</v>
      </c>
      <c r="E5370" s="30" t="s">
        <v>12307</v>
      </c>
      <c r="F5370" s="34" t="n">
        <f aca="false">IFERROR(VLOOKUP($A5370,'319'!$B:$H,7,0),0)</f>
        <v>0</v>
      </c>
      <c r="G5370" s="34" t="n">
        <f aca="false">SUMIFS('12.326ana'!$C:$C,'12.326ana'!$M:$M,redes!A5370)</f>
        <v>0</v>
      </c>
    </row>
    <row r="5371" customFormat="false" ht="14.4" hidden="true" customHeight="false" outlineLevel="0" collapsed="false">
      <c r="A5371" s="34" t="n">
        <v>144229000108</v>
      </c>
      <c r="B5371" s="34" t="s">
        <v>12308</v>
      </c>
      <c r="C5371" s="34" t="s">
        <v>1680</v>
      </c>
      <c r="E5371" s="30" t="s">
        <v>6876</v>
      </c>
      <c r="F5371" s="34" t="n">
        <f aca="false">IFERROR(VLOOKUP($A5371,'319'!$B:$H,7,0),0)</f>
        <v>0</v>
      </c>
      <c r="G5371" s="34" t="n">
        <f aca="false">SUMIFS('12.326ana'!$C:$C,'12.326ana'!$M:$M,redes!A5371)</f>
        <v>0</v>
      </c>
    </row>
    <row r="5372" customFormat="false" ht="14.4" hidden="true" customHeight="false" outlineLevel="0" collapsed="false">
      <c r="A5372" s="34" t="n">
        <v>144231000179</v>
      </c>
      <c r="B5372" s="34" t="s">
        <v>12309</v>
      </c>
      <c r="C5372" s="34" t="s">
        <v>77</v>
      </c>
      <c r="E5372" s="30" t="s">
        <v>8191</v>
      </c>
      <c r="F5372" s="34" t="n">
        <f aca="false">IFERROR(VLOOKUP($A5372,'319'!$B:$H,7,0),0)</f>
        <v>0</v>
      </c>
      <c r="G5372" s="34" t="n">
        <f aca="false">SUMIFS('12.326ana'!$C:$C,'12.326ana'!$M:$M,redes!A5372)</f>
        <v>0</v>
      </c>
    </row>
    <row r="5373" customFormat="false" ht="14.4" hidden="true" customHeight="false" outlineLevel="0" collapsed="false">
      <c r="A5373" s="34" t="n">
        <v>147190000174</v>
      </c>
      <c r="B5373" s="34" t="s">
        <v>12310</v>
      </c>
      <c r="C5373" s="34" t="s">
        <v>631</v>
      </c>
      <c r="E5373" s="30" t="s">
        <v>12311</v>
      </c>
      <c r="F5373" s="34" t="n">
        <f aca="false">IFERROR(VLOOKUP($A5373,'319'!$B:$H,7,0),0)</f>
        <v>0</v>
      </c>
      <c r="G5373" s="34" t="n">
        <f aca="false">SUMIFS('12.326ana'!$C:$C,'12.326ana'!$M:$M,redes!A5373)</f>
        <v>0</v>
      </c>
    </row>
    <row r="5374" customFormat="false" ht="14.4" hidden="true" customHeight="false" outlineLevel="0" collapsed="false">
      <c r="A5374" s="34" t="n">
        <v>147216000184</v>
      </c>
      <c r="B5374" s="34" t="s">
        <v>12312</v>
      </c>
      <c r="C5374" s="34" t="s">
        <v>89</v>
      </c>
      <c r="E5374" s="30" t="s">
        <v>12313</v>
      </c>
      <c r="F5374" s="34" t="n">
        <f aca="false">IFERROR(VLOOKUP($A5374,'319'!$B:$H,7,0),0)</f>
        <v>0</v>
      </c>
      <c r="G5374" s="34" t="n">
        <f aca="false">SUMIFS('12.326ana'!$C:$C,'12.326ana'!$M:$M,redes!A5374)</f>
        <v>0</v>
      </c>
    </row>
    <row r="5375" customFormat="false" ht="14.4" hidden="true" customHeight="false" outlineLevel="0" collapsed="false">
      <c r="A5375" s="34" t="n">
        <v>149480000157</v>
      </c>
      <c r="B5375" s="34" t="s">
        <v>12314</v>
      </c>
      <c r="C5375" s="34" t="s">
        <v>139</v>
      </c>
      <c r="E5375" s="30" t="s">
        <v>12315</v>
      </c>
      <c r="F5375" s="34" t="n">
        <f aca="false">IFERROR(VLOOKUP($A5375,'319'!$B:$H,7,0),0)</f>
        <v>0</v>
      </c>
      <c r="G5375" s="34" t="n">
        <f aca="false">SUMIFS('12.326ana'!$C:$C,'12.326ana'!$M:$M,redes!A5375)</f>
        <v>0</v>
      </c>
    </row>
    <row r="5376" customFormat="false" ht="14.4" hidden="true" customHeight="false" outlineLevel="0" collapsed="false">
      <c r="A5376" s="34" t="n">
        <v>150866000189</v>
      </c>
      <c r="B5376" s="34" t="s">
        <v>12316</v>
      </c>
      <c r="C5376" s="34" t="s">
        <v>357</v>
      </c>
      <c r="E5376" s="30" t="s">
        <v>12317</v>
      </c>
      <c r="F5376" s="34" t="n">
        <f aca="false">IFERROR(VLOOKUP($A5376,'319'!$B:$H,7,0),0)</f>
        <v>0</v>
      </c>
      <c r="G5376" s="34" t="n">
        <f aca="false">SUMIFS('12.326ana'!$C:$C,'12.326ana'!$M:$M,redes!A5376)</f>
        <v>0</v>
      </c>
    </row>
    <row r="5377" customFormat="false" ht="14.4" hidden="true" customHeight="false" outlineLevel="0" collapsed="false">
      <c r="A5377" s="34" t="n">
        <v>150873000180</v>
      </c>
      <c r="B5377" s="34" t="s">
        <v>12318</v>
      </c>
      <c r="C5377" s="34" t="s">
        <v>2998</v>
      </c>
      <c r="E5377" s="30" t="s">
        <v>12319</v>
      </c>
      <c r="F5377" s="34" t="n">
        <f aca="false">IFERROR(VLOOKUP($A5377,'319'!$B:$H,7,0),0)</f>
        <v>0</v>
      </c>
      <c r="G5377" s="34" t="n">
        <f aca="false">SUMIFS('12.326ana'!$C:$C,'12.326ana'!$M:$M,redes!A5377)</f>
        <v>0</v>
      </c>
    </row>
    <row r="5378" customFormat="false" ht="14.4" hidden="true" customHeight="false" outlineLevel="0" collapsed="false">
      <c r="A5378" s="34" t="n">
        <v>155605000151</v>
      </c>
      <c r="B5378" s="34" t="s">
        <v>12320</v>
      </c>
      <c r="C5378" s="34" t="s">
        <v>77</v>
      </c>
      <c r="E5378" s="30" t="s">
        <v>12321</v>
      </c>
      <c r="F5378" s="34" t="n">
        <f aca="false">IFERROR(VLOOKUP($A5378,'319'!$B:$H,7,0),0)</f>
        <v>0</v>
      </c>
      <c r="G5378" s="34" t="n">
        <f aca="false">SUMIFS('12.326ana'!$C:$C,'12.326ana'!$M:$M,redes!A5378)</f>
        <v>0</v>
      </c>
    </row>
    <row r="5379" customFormat="false" ht="14.4" hidden="true" customHeight="false" outlineLevel="0" collapsed="false">
      <c r="A5379" s="34" t="n">
        <v>156650000120</v>
      </c>
      <c r="B5379" s="34" t="s">
        <v>12322</v>
      </c>
      <c r="C5379" s="34" t="s">
        <v>3060</v>
      </c>
      <c r="E5379" s="30" t="s">
        <v>12323</v>
      </c>
      <c r="F5379" s="34" t="n">
        <f aca="false">IFERROR(VLOOKUP($A5379,'319'!$B:$H,7,0),0)</f>
        <v>0</v>
      </c>
      <c r="G5379" s="34" t="n">
        <f aca="false">SUMIFS('12.326ana'!$C:$C,'12.326ana'!$M:$M,redes!A5379)</f>
        <v>0</v>
      </c>
    </row>
    <row r="5380" customFormat="false" ht="14.4" hidden="true" customHeight="false" outlineLevel="0" collapsed="false">
      <c r="A5380" s="34" t="n">
        <v>157726000132</v>
      </c>
      <c r="B5380" s="34" t="s">
        <v>12324</v>
      </c>
      <c r="C5380" s="34" t="s">
        <v>342</v>
      </c>
      <c r="E5380" s="30" t="s">
        <v>12325</v>
      </c>
      <c r="F5380" s="34" t="n">
        <f aca="false">IFERROR(VLOOKUP($A5380,'319'!$B:$H,7,0),0)</f>
        <v>0</v>
      </c>
      <c r="G5380" s="34" t="n">
        <f aca="false">SUMIFS('12.326ana'!$C:$C,'12.326ana'!$M:$M,redes!A5380)</f>
        <v>0</v>
      </c>
    </row>
    <row r="5381" customFormat="false" ht="14.4" hidden="true" customHeight="false" outlineLevel="0" collapsed="false">
      <c r="A5381" s="34" t="n">
        <v>162801000234</v>
      </c>
      <c r="B5381" s="34" t="s">
        <v>12326</v>
      </c>
      <c r="C5381" s="34" t="s">
        <v>12327</v>
      </c>
      <c r="E5381" s="30" t="s">
        <v>12328</v>
      </c>
      <c r="F5381" s="34" t="n">
        <f aca="false">IFERROR(VLOOKUP($A5381,'319'!$B:$H,7,0),0)</f>
        <v>0</v>
      </c>
      <c r="G5381" s="34" t="n">
        <f aca="false">SUMIFS('12.326ana'!$C:$C,'12.326ana'!$M:$M,redes!A5381)</f>
        <v>0</v>
      </c>
    </row>
    <row r="5382" customFormat="false" ht="14.4" hidden="true" customHeight="false" outlineLevel="0" collapsed="false">
      <c r="A5382" s="34" t="n">
        <v>168304000162</v>
      </c>
      <c r="B5382" s="34" t="s">
        <v>12329</v>
      </c>
      <c r="C5382" s="34" t="s">
        <v>77</v>
      </c>
      <c r="E5382" s="30" t="s">
        <v>12330</v>
      </c>
      <c r="F5382" s="34" t="n">
        <f aca="false">IFERROR(VLOOKUP($A5382,'319'!$B:$H,7,0),0)</f>
        <v>0</v>
      </c>
      <c r="G5382" s="34" t="n">
        <f aca="false">SUMIFS('12.326ana'!$C:$C,'12.326ana'!$M:$M,redes!A5382)</f>
        <v>0</v>
      </c>
    </row>
    <row r="5383" customFormat="false" ht="14.4" hidden="true" customHeight="false" outlineLevel="0" collapsed="false">
      <c r="A5383" s="34" t="n">
        <v>172153000116</v>
      </c>
      <c r="B5383" s="34" t="s">
        <v>12331</v>
      </c>
      <c r="C5383" s="34" t="s">
        <v>103</v>
      </c>
      <c r="E5383" s="30" t="s">
        <v>12332</v>
      </c>
      <c r="F5383" s="34" t="n">
        <f aca="false">IFERROR(VLOOKUP($A5383,'319'!$B:$H,7,0),0)</f>
        <v>0</v>
      </c>
      <c r="G5383" s="34" t="n">
        <f aca="false">SUMIFS('12.326ana'!$C:$C,'12.326ana'!$M:$M,redes!A5383)</f>
        <v>0</v>
      </c>
    </row>
    <row r="5384" customFormat="false" ht="14.4" hidden="true" customHeight="false" outlineLevel="0" collapsed="false">
      <c r="A5384" s="34" t="n">
        <v>172201000176</v>
      </c>
      <c r="B5384" s="34" t="s">
        <v>12333</v>
      </c>
      <c r="C5384" s="34" t="s">
        <v>77</v>
      </c>
      <c r="E5384" s="30" t="s">
        <v>12334</v>
      </c>
      <c r="F5384" s="34" t="n">
        <f aca="false">IFERROR(VLOOKUP($A5384,'319'!$B:$H,7,0),0)</f>
        <v>0</v>
      </c>
      <c r="G5384" s="34" t="n">
        <f aca="false">SUMIFS('12.326ana'!$C:$C,'12.326ana'!$M:$M,redes!A5384)</f>
        <v>0</v>
      </c>
    </row>
    <row r="5385" customFormat="false" ht="14.4" hidden="true" customHeight="false" outlineLevel="0" collapsed="false">
      <c r="A5385" s="34" t="n">
        <v>174147000106</v>
      </c>
      <c r="B5385" s="34" t="s">
        <v>12335</v>
      </c>
      <c r="C5385" s="34" t="s">
        <v>1591</v>
      </c>
      <c r="E5385" s="30" t="s">
        <v>12336</v>
      </c>
      <c r="F5385" s="34" t="n">
        <f aca="false">IFERROR(VLOOKUP($A5385,'319'!$B:$H,7,0),0)</f>
        <v>0</v>
      </c>
      <c r="G5385" s="34" t="n">
        <f aca="false">SUMIFS('12.326ana'!$C:$C,'12.326ana'!$M:$M,redes!A5385)</f>
        <v>0</v>
      </c>
    </row>
    <row r="5386" customFormat="false" ht="14.4" hidden="true" customHeight="false" outlineLevel="0" collapsed="false">
      <c r="A5386" s="34" t="n">
        <v>174172000181</v>
      </c>
      <c r="B5386" s="34" t="s">
        <v>12337</v>
      </c>
      <c r="C5386" s="34" t="s">
        <v>77</v>
      </c>
      <c r="E5386" s="30" t="s">
        <v>12338</v>
      </c>
      <c r="F5386" s="34" t="n">
        <f aca="false">IFERROR(VLOOKUP($A5386,'319'!$B:$H,7,0),0)</f>
        <v>0</v>
      </c>
      <c r="G5386" s="34" t="n">
        <f aca="false">SUMIFS('12.326ana'!$C:$C,'12.326ana'!$M:$M,redes!A5386)</f>
        <v>0</v>
      </c>
    </row>
    <row r="5387" customFormat="false" ht="14.4" hidden="true" customHeight="false" outlineLevel="0" collapsed="false">
      <c r="A5387" s="34" t="n">
        <v>174230000177</v>
      </c>
      <c r="B5387" s="34" t="s">
        <v>12339</v>
      </c>
      <c r="C5387" s="34" t="s">
        <v>77</v>
      </c>
      <c r="E5387" s="30" t="s">
        <v>12340</v>
      </c>
      <c r="F5387" s="34" t="n">
        <f aca="false">IFERROR(VLOOKUP($A5387,'319'!$B:$H,7,0),0)</f>
        <v>0</v>
      </c>
      <c r="G5387" s="34" t="n">
        <f aca="false">SUMIFS('12.326ana'!$C:$C,'12.326ana'!$M:$M,redes!A5387)</f>
        <v>0</v>
      </c>
    </row>
    <row r="5388" customFormat="false" ht="14.4" hidden="true" customHeight="false" outlineLevel="0" collapsed="false">
      <c r="A5388" s="34" t="n">
        <v>177582000186</v>
      </c>
      <c r="B5388" s="34" t="s">
        <v>12341</v>
      </c>
      <c r="C5388" s="34" t="s">
        <v>77</v>
      </c>
      <c r="E5388" s="30" t="s">
        <v>12342</v>
      </c>
      <c r="F5388" s="34" t="n">
        <f aca="false">IFERROR(VLOOKUP($A5388,'319'!$B:$H,7,0),0)</f>
        <v>0</v>
      </c>
      <c r="G5388" s="34" t="n">
        <f aca="false">SUMIFS('12.326ana'!$C:$C,'12.326ana'!$M:$M,redes!A5388)</f>
        <v>0</v>
      </c>
    </row>
    <row r="5389" customFormat="false" ht="14.4" hidden="true" customHeight="false" outlineLevel="0" collapsed="false">
      <c r="A5389" s="34" t="n">
        <v>181356000179</v>
      </c>
      <c r="B5389" s="34" t="s">
        <v>12343</v>
      </c>
      <c r="C5389" s="34" t="s">
        <v>139</v>
      </c>
      <c r="E5389" s="30" t="s">
        <v>12344</v>
      </c>
      <c r="F5389" s="34" t="n">
        <f aca="false">IFERROR(VLOOKUP($A5389,'319'!$B:$H,7,0),0)</f>
        <v>0</v>
      </c>
      <c r="G5389" s="34" t="n">
        <f aca="false">SUMIFS('12.326ana'!$C:$C,'12.326ana'!$M:$M,redes!A5389)</f>
        <v>0</v>
      </c>
    </row>
    <row r="5390" customFormat="false" ht="14.4" hidden="true" customHeight="false" outlineLevel="0" collapsed="false">
      <c r="A5390" s="34" t="n">
        <v>185456000173</v>
      </c>
      <c r="B5390" s="34" t="s">
        <v>12345</v>
      </c>
      <c r="C5390" s="34" t="s">
        <v>107</v>
      </c>
      <c r="E5390" s="30" t="s">
        <v>12346</v>
      </c>
      <c r="F5390" s="34" t="n">
        <f aca="false">IFERROR(VLOOKUP($A5390,'319'!$B:$H,7,0),0)</f>
        <v>0</v>
      </c>
      <c r="G5390" s="34" t="n">
        <f aca="false">SUMIFS('12.326ana'!$C:$C,'12.326ana'!$M:$M,redes!A5390)</f>
        <v>0</v>
      </c>
    </row>
    <row r="5391" customFormat="false" ht="14.4" hidden="true" customHeight="false" outlineLevel="0" collapsed="false">
      <c r="A5391" s="34" t="n">
        <v>186978000190</v>
      </c>
      <c r="B5391" s="34" t="s">
        <v>12347</v>
      </c>
      <c r="C5391" s="34" t="s">
        <v>77</v>
      </c>
      <c r="E5391" s="30"/>
      <c r="F5391" s="34" t="n">
        <f aca="false">IFERROR(VLOOKUP($A5391,'319'!$B:$H,7,0),0)</f>
        <v>0</v>
      </c>
      <c r="G5391" s="34" t="n">
        <f aca="false">SUMIFS('12.326ana'!$C:$C,'12.326ana'!$M:$M,redes!A5391)</f>
        <v>0</v>
      </c>
    </row>
    <row r="5392" customFormat="false" ht="14.4" hidden="true" customHeight="false" outlineLevel="0" collapsed="false">
      <c r="A5392" s="34" t="n">
        <v>186987000180</v>
      </c>
      <c r="B5392" s="34" t="s">
        <v>12348</v>
      </c>
      <c r="C5392" s="34" t="s">
        <v>107</v>
      </c>
      <c r="E5392" s="30" t="s">
        <v>12349</v>
      </c>
      <c r="F5392" s="34" t="n">
        <f aca="false">IFERROR(VLOOKUP($A5392,'319'!$B:$H,7,0),0)</f>
        <v>0</v>
      </c>
      <c r="G5392" s="34" t="n">
        <f aca="false">SUMIFS('12.326ana'!$C:$C,'12.326ana'!$M:$M,redes!A5392)</f>
        <v>0</v>
      </c>
    </row>
    <row r="5393" customFormat="false" ht="14.4" hidden="true" customHeight="false" outlineLevel="0" collapsed="false">
      <c r="A5393" s="34" t="n">
        <v>187633000150</v>
      </c>
      <c r="B5393" s="34" t="s">
        <v>12350</v>
      </c>
      <c r="C5393" s="34" t="s">
        <v>129</v>
      </c>
      <c r="E5393" s="30" t="s">
        <v>12351</v>
      </c>
      <c r="F5393" s="34" t="n">
        <f aca="false">IFERROR(VLOOKUP($A5393,'319'!$B:$H,7,0),0)</f>
        <v>0</v>
      </c>
      <c r="G5393" s="34" t="n">
        <f aca="false">SUMIFS('12.326ana'!$C:$C,'12.326ana'!$M:$M,redes!A5393)</f>
        <v>0</v>
      </c>
    </row>
    <row r="5394" customFormat="false" ht="14.4" hidden="true" customHeight="false" outlineLevel="0" collapsed="false">
      <c r="A5394" s="34" t="n">
        <v>188458000116</v>
      </c>
      <c r="B5394" s="34" t="s">
        <v>12352</v>
      </c>
      <c r="C5394" s="34" t="s">
        <v>77</v>
      </c>
      <c r="E5394" s="30" t="s">
        <v>12353</v>
      </c>
      <c r="F5394" s="34" t="n">
        <f aca="false">IFERROR(VLOOKUP($A5394,'319'!$B:$H,7,0),0)</f>
        <v>0</v>
      </c>
      <c r="G5394" s="34" t="n">
        <f aca="false">SUMIFS('12.326ana'!$C:$C,'12.326ana'!$M:$M,redes!A5394)</f>
        <v>0</v>
      </c>
    </row>
    <row r="5395" customFormat="false" ht="14.4" hidden="true" customHeight="false" outlineLevel="0" collapsed="false">
      <c r="A5395" s="34" t="n">
        <v>189167000142</v>
      </c>
      <c r="B5395" s="34" t="s">
        <v>12354</v>
      </c>
      <c r="C5395" s="34" t="s">
        <v>764</v>
      </c>
      <c r="E5395" s="30" t="s">
        <v>6310</v>
      </c>
      <c r="F5395" s="34" t="n">
        <f aca="false">IFERROR(VLOOKUP($A5395,'319'!$B:$H,7,0),0)</f>
        <v>0</v>
      </c>
      <c r="G5395" s="34" t="n">
        <f aca="false">SUMIFS('12.326ana'!$C:$C,'12.326ana'!$M:$M,redes!A5395)</f>
        <v>0</v>
      </c>
    </row>
    <row r="5396" customFormat="false" ht="14.4" hidden="true" customHeight="false" outlineLevel="0" collapsed="false">
      <c r="A5396" s="34" t="n">
        <v>189480000180</v>
      </c>
      <c r="B5396" s="34" t="s">
        <v>12355</v>
      </c>
      <c r="C5396" s="34" t="s">
        <v>4418</v>
      </c>
      <c r="E5396" s="30" t="s">
        <v>4558</v>
      </c>
      <c r="F5396" s="34" t="n">
        <f aca="false">IFERROR(VLOOKUP($A5396,'319'!$B:$H,7,0),0)</f>
        <v>0</v>
      </c>
      <c r="G5396" s="34" t="n">
        <f aca="false">SUMIFS('12.326ana'!$C:$C,'12.326ana'!$M:$M,redes!A5396)</f>
        <v>0</v>
      </c>
    </row>
    <row r="5397" customFormat="false" ht="14.4" hidden="true" customHeight="false" outlineLevel="0" collapsed="false">
      <c r="A5397" s="34" t="n">
        <v>189616000152</v>
      </c>
      <c r="B5397" s="34" t="s">
        <v>12356</v>
      </c>
      <c r="C5397" s="34" t="s">
        <v>207</v>
      </c>
      <c r="E5397" s="30" t="s">
        <v>12357</v>
      </c>
      <c r="F5397" s="34" t="n">
        <f aca="false">IFERROR(VLOOKUP($A5397,'319'!$B:$H,7,0),0)</f>
        <v>0</v>
      </c>
      <c r="G5397" s="34" t="n">
        <f aca="false">SUMIFS('12.326ana'!$C:$C,'12.326ana'!$M:$M,redes!A5397)</f>
        <v>0</v>
      </c>
    </row>
    <row r="5398" customFormat="false" ht="14.4" hidden="true" customHeight="false" outlineLevel="0" collapsed="false">
      <c r="A5398" s="34" t="n">
        <v>191288000129</v>
      </c>
      <c r="B5398" s="34" t="s">
        <v>12358</v>
      </c>
      <c r="C5398" s="34" t="s">
        <v>351</v>
      </c>
      <c r="E5398" s="30" t="s">
        <v>12359</v>
      </c>
      <c r="F5398" s="34" t="n">
        <f aca="false">IFERROR(VLOOKUP($A5398,'319'!$B:$H,7,0),0)</f>
        <v>0</v>
      </c>
      <c r="G5398" s="34" t="n">
        <f aca="false">SUMIFS('12.326ana'!$C:$C,'12.326ana'!$M:$M,redes!A5398)</f>
        <v>0</v>
      </c>
    </row>
    <row r="5399" customFormat="false" ht="14.4" hidden="true" customHeight="false" outlineLevel="0" collapsed="false">
      <c r="A5399" s="34" t="n">
        <v>191826000185</v>
      </c>
      <c r="B5399" s="34" t="s">
        <v>12360</v>
      </c>
      <c r="C5399" s="34" t="s">
        <v>464</v>
      </c>
      <c r="E5399" s="30" t="s">
        <v>12361</v>
      </c>
      <c r="F5399" s="34" t="n">
        <f aca="false">IFERROR(VLOOKUP($A5399,'319'!$B:$H,7,0),0)</f>
        <v>0</v>
      </c>
      <c r="G5399" s="34" t="n">
        <f aca="false">SUMIFS('12.326ana'!$C:$C,'12.326ana'!$M:$M,redes!A5399)</f>
        <v>0</v>
      </c>
    </row>
    <row r="5400" customFormat="false" ht="14.4" hidden="true" customHeight="false" outlineLevel="0" collapsed="false">
      <c r="A5400" s="34" t="n">
        <v>192898000147</v>
      </c>
      <c r="B5400" s="34" t="s">
        <v>12362</v>
      </c>
      <c r="C5400" s="34" t="s">
        <v>713</v>
      </c>
      <c r="E5400" s="30" t="s">
        <v>12363</v>
      </c>
      <c r="F5400" s="34" t="n">
        <f aca="false">IFERROR(VLOOKUP($A5400,'319'!$B:$H,7,0),0)</f>
        <v>0</v>
      </c>
      <c r="G5400" s="34" t="n">
        <f aca="false">SUMIFS('12.326ana'!$C:$C,'12.326ana'!$M:$M,redes!A5400)</f>
        <v>0</v>
      </c>
    </row>
    <row r="5401" customFormat="false" ht="14.4" hidden="true" customHeight="false" outlineLevel="0" collapsed="false">
      <c r="A5401" s="34" t="n">
        <v>193045000120</v>
      </c>
      <c r="B5401" s="34" t="s">
        <v>12364</v>
      </c>
      <c r="C5401" s="34" t="s">
        <v>77</v>
      </c>
      <c r="E5401" s="30" t="s">
        <v>12365</v>
      </c>
      <c r="F5401" s="34" t="n">
        <f aca="false">IFERROR(VLOOKUP($A5401,'319'!$B:$H,7,0),0)</f>
        <v>0</v>
      </c>
      <c r="G5401" s="34" t="n">
        <f aca="false">SUMIFS('12.326ana'!$C:$C,'12.326ana'!$M:$M,redes!A5401)</f>
        <v>0</v>
      </c>
    </row>
    <row r="5402" customFormat="false" ht="14.4" hidden="true" customHeight="false" outlineLevel="0" collapsed="false">
      <c r="A5402" s="34" t="n">
        <v>193508000153</v>
      </c>
      <c r="B5402" s="34" t="s">
        <v>12366</v>
      </c>
      <c r="C5402" s="34" t="s">
        <v>473</v>
      </c>
      <c r="E5402" s="30" t="s">
        <v>12367</v>
      </c>
      <c r="F5402" s="34" t="n">
        <f aca="false">IFERROR(VLOOKUP($A5402,'319'!$B:$H,7,0),0)</f>
        <v>0</v>
      </c>
      <c r="G5402" s="34" t="n">
        <f aca="false">SUMIFS('12.326ana'!$C:$C,'12.326ana'!$M:$M,redes!A5402)</f>
        <v>0</v>
      </c>
    </row>
    <row r="5403" customFormat="false" ht="14.4" hidden="true" customHeight="false" outlineLevel="0" collapsed="false">
      <c r="A5403" s="34" t="n">
        <v>193797000190</v>
      </c>
      <c r="B5403" s="34" t="s">
        <v>12368</v>
      </c>
      <c r="C5403" s="34" t="s">
        <v>77</v>
      </c>
      <c r="E5403" s="30" t="s">
        <v>12369</v>
      </c>
      <c r="F5403" s="34" t="n">
        <f aca="false">IFERROR(VLOOKUP($A5403,'319'!$B:$H,7,0),0)</f>
        <v>0</v>
      </c>
      <c r="G5403" s="34" t="n">
        <f aca="false">SUMIFS('12.326ana'!$C:$C,'12.326ana'!$M:$M,redes!A5403)</f>
        <v>0</v>
      </c>
    </row>
    <row r="5404" customFormat="false" ht="14.4" hidden="true" customHeight="false" outlineLevel="0" collapsed="false">
      <c r="A5404" s="34" t="n">
        <v>196170000274</v>
      </c>
      <c r="B5404" s="34" t="s">
        <v>12370</v>
      </c>
      <c r="C5404" s="34" t="s">
        <v>139</v>
      </c>
      <c r="E5404" s="30" t="s">
        <v>12371</v>
      </c>
      <c r="F5404" s="34" t="n">
        <f aca="false">IFERROR(VLOOKUP($A5404,'319'!$B:$H,7,0),0)</f>
        <v>0</v>
      </c>
      <c r="G5404" s="34" t="n">
        <f aca="false">SUMIFS('12.326ana'!$C:$C,'12.326ana'!$M:$M,redes!A5404)</f>
        <v>0</v>
      </c>
    </row>
    <row r="5405" customFormat="false" ht="14.4" hidden="true" customHeight="false" outlineLevel="0" collapsed="false">
      <c r="A5405" s="34" t="n">
        <v>196816000132</v>
      </c>
      <c r="B5405" s="34" t="s">
        <v>12372</v>
      </c>
      <c r="C5405" s="34" t="s">
        <v>1680</v>
      </c>
      <c r="E5405" s="30" t="s">
        <v>12373</v>
      </c>
      <c r="F5405" s="34" t="n">
        <f aca="false">IFERROR(VLOOKUP($A5405,'319'!$B:$H,7,0),0)</f>
        <v>0</v>
      </c>
      <c r="G5405" s="34" t="n">
        <f aca="false">SUMIFS('12.326ana'!$C:$C,'12.326ana'!$M:$M,redes!A5405)</f>
        <v>0</v>
      </c>
    </row>
    <row r="5406" customFormat="false" ht="14.4" hidden="true" customHeight="false" outlineLevel="0" collapsed="false">
      <c r="A5406" s="34" t="n">
        <v>197624000140</v>
      </c>
      <c r="B5406" s="34" t="s">
        <v>12374</v>
      </c>
      <c r="C5406" s="34" t="s">
        <v>6278</v>
      </c>
      <c r="E5406" s="30" t="s">
        <v>12375</v>
      </c>
      <c r="F5406" s="34" t="n">
        <f aca="false">IFERROR(VLOOKUP($A5406,'319'!$B:$H,7,0),0)</f>
        <v>0</v>
      </c>
      <c r="G5406" s="34" t="n">
        <f aca="false">SUMIFS('12.326ana'!$C:$C,'12.326ana'!$M:$M,redes!A5406)</f>
        <v>0</v>
      </c>
    </row>
    <row r="5407" customFormat="false" ht="14.4" hidden="true" customHeight="false" outlineLevel="0" collapsed="false">
      <c r="A5407" s="34" t="n">
        <v>198754000106</v>
      </c>
      <c r="B5407" s="34" t="s">
        <v>12376</v>
      </c>
      <c r="C5407" s="34" t="s">
        <v>77</v>
      </c>
      <c r="E5407" s="30" t="s">
        <v>7394</v>
      </c>
      <c r="F5407" s="34" t="n">
        <f aca="false">IFERROR(VLOOKUP($A5407,'319'!$B:$H,7,0),0)</f>
        <v>0</v>
      </c>
      <c r="G5407" s="34" t="n">
        <f aca="false">SUMIFS('12.326ana'!$C:$C,'12.326ana'!$M:$M,redes!A5407)</f>
        <v>0</v>
      </c>
    </row>
    <row r="5408" customFormat="false" ht="14.4" hidden="true" customHeight="false" outlineLevel="0" collapsed="false">
      <c r="A5408" s="34" t="n">
        <v>199752000123</v>
      </c>
      <c r="B5408" s="34" t="s">
        <v>12377</v>
      </c>
      <c r="C5408" s="34" t="s">
        <v>89</v>
      </c>
      <c r="D5408" s="34" t="s">
        <v>12378</v>
      </c>
      <c r="E5408" s="30" t="s">
        <v>12379</v>
      </c>
      <c r="F5408" s="34" t="n">
        <f aca="false">IFERROR(VLOOKUP($A5408,'319'!$B:$H,7,0),0)</f>
        <v>0</v>
      </c>
      <c r="G5408" s="34" t="n">
        <f aca="false">SUMIFS('12.326ana'!$C:$C,'12.326ana'!$M:$M,redes!A5408)</f>
        <v>0</v>
      </c>
    </row>
    <row r="5409" customFormat="false" ht="14.4" hidden="true" customHeight="false" outlineLevel="0" collapsed="false">
      <c r="A5409" s="34" t="n">
        <v>199752000395</v>
      </c>
      <c r="B5409" s="34" t="s">
        <v>12377</v>
      </c>
      <c r="C5409" s="34" t="s">
        <v>89</v>
      </c>
      <c r="E5409" s="30" t="s">
        <v>12380</v>
      </c>
      <c r="F5409" s="34" t="n">
        <f aca="false">IFERROR(VLOOKUP($A5409,'319'!$B:$H,7,0),0)</f>
        <v>0</v>
      </c>
      <c r="G5409" s="34" t="n">
        <f aca="false">SUMIFS('12.326ana'!$C:$C,'12.326ana'!$M:$M,redes!A5409)</f>
        <v>0</v>
      </c>
    </row>
    <row r="5410" customFormat="false" ht="14.4" hidden="true" customHeight="false" outlineLevel="0" collapsed="false">
      <c r="A5410" s="34" t="n">
        <v>199752000476</v>
      </c>
      <c r="B5410" s="34" t="s">
        <v>12377</v>
      </c>
      <c r="C5410" s="34" t="s">
        <v>89</v>
      </c>
      <c r="D5410" s="34" t="s">
        <v>12378</v>
      </c>
      <c r="E5410" s="30" t="s">
        <v>12377</v>
      </c>
      <c r="F5410" s="34" t="n">
        <f aca="false">IFERROR(VLOOKUP($A5410,'319'!$B:$H,7,0),0)</f>
        <v>0</v>
      </c>
      <c r="G5410" s="34" t="n">
        <f aca="false">SUMIFS('12.326ana'!$C:$C,'12.326ana'!$M:$M,redes!A5410)</f>
        <v>0</v>
      </c>
    </row>
    <row r="5411" customFormat="false" ht="14.4" hidden="true" customHeight="false" outlineLevel="0" collapsed="false">
      <c r="A5411" s="34" t="n">
        <v>199752000557</v>
      </c>
      <c r="B5411" s="34" t="s">
        <v>12377</v>
      </c>
      <c r="C5411" s="34" t="s">
        <v>89</v>
      </c>
      <c r="D5411" s="34" t="s">
        <v>12378</v>
      </c>
      <c r="E5411" s="30" t="s">
        <v>12381</v>
      </c>
      <c r="F5411" s="34" t="n">
        <f aca="false">IFERROR(VLOOKUP($A5411,'319'!$B:$H,7,0),0)</f>
        <v>0</v>
      </c>
      <c r="G5411" s="34" t="n">
        <f aca="false">SUMIFS('12.326ana'!$C:$C,'12.326ana'!$M:$M,redes!A5411)</f>
        <v>0</v>
      </c>
    </row>
    <row r="5412" customFormat="false" ht="14.4" hidden="true" customHeight="false" outlineLevel="0" collapsed="false">
      <c r="A5412" s="34" t="n">
        <v>199752000638</v>
      </c>
      <c r="B5412" s="34" t="s">
        <v>12377</v>
      </c>
      <c r="C5412" s="34" t="s">
        <v>89</v>
      </c>
      <c r="D5412" s="34" t="s">
        <v>12378</v>
      </c>
      <c r="E5412" s="30" t="s">
        <v>12382</v>
      </c>
      <c r="F5412" s="34" t="n">
        <f aca="false">IFERROR(VLOOKUP($A5412,'319'!$B:$H,7,0),0)</f>
        <v>0</v>
      </c>
      <c r="G5412" s="34" t="n">
        <f aca="false">SUMIFS('12.326ana'!$C:$C,'12.326ana'!$M:$M,redes!A5412)</f>
        <v>0</v>
      </c>
    </row>
    <row r="5413" customFormat="false" ht="14.4" hidden="true" customHeight="false" outlineLevel="0" collapsed="false">
      <c r="A5413" s="34" t="n">
        <v>199752000719</v>
      </c>
      <c r="B5413" s="34" t="s">
        <v>12377</v>
      </c>
      <c r="C5413" s="34" t="s">
        <v>89</v>
      </c>
      <c r="D5413" s="34" t="s">
        <v>12378</v>
      </c>
      <c r="E5413" s="30" t="s">
        <v>12377</v>
      </c>
      <c r="F5413" s="34" t="n">
        <f aca="false">IFERROR(VLOOKUP($A5413,'319'!$B:$H,7,0),0)</f>
        <v>0</v>
      </c>
      <c r="G5413" s="34" t="n">
        <f aca="false">SUMIFS('12.326ana'!$C:$C,'12.326ana'!$M:$M,redes!A5413)</f>
        <v>0</v>
      </c>
    </row>
    <row r="5414" customFormat="false" ht="14.4" hidden="true" customHeight="false" outlineLevel="0" collapsed="false">
      <c r="A5414" s="34" t="n">
        <v>199950000197</v>
      </c>
      <c r="B5414" s="34" t="s">
        <v>12383</v>
      </c>
      <c r="C5414" s="34" t="s">
        <v>77</v>
      </c>
      <c r="E5414" s="30" t="s">
        <v>12384</v>
      </c>
      <c r="F5414" s="34" t="n">
        <f aca="false">IFERROR(VLOOKUP($A5414,'319'!$B:$H,7,0),0)</f>
        <v>0</v>
      </c>
      <c r="G5414" s="34" t="n">
        <f aca="false">SUMIFS('12.326ana'!$C:$C,'12.326ana'!$M:$M,redes!A5414)</f>
        <v>0</v>
      </c>
    </row>
    <row r="5415" customFormat="false" ht="14.4" hidden="true" customHeight="false" outlineLevel="0" collapsed="false">
      <c r="A5415" s="34" t="n">
        <v>200154000127</v>
      </c>
      <c r="B5415" s="34" t="s">
        <v>12385</v>
      </c>
      <c r="C5415" s="34" t="s">
        <v>154</v>
      </c>
      <c r="E5415" s="30" t="s">
        <v>8829</v>
      </c>
      <c r="F5415" s="34" t="n">
        <f aca="false">IFERROR(VLOOKUP($A5415,'319'!$B:$H,7,0),0)</f>
        <v>0</v>
      </c>
      <c r="G5415" s="34" t="n">
        <f aca="false">SUMIFS('12.326ana'!$C:$C,'12.326ana'!$M:$M,redes!A5415)</f>
        <v>0</v>
      </c>
    </row>
    <row r="5416" customFormat="false" ht="14.4" hidden="true" customHeight="false" outlineLevel="0" collapsed="false">
      <c r="A5416" s="34" t="n">
        <v>201233000152</v>
      </c>
      <c r="B5416" s="34" t="s">
        <v>12386</v>
      </c>
      <c r="C5416" s="34" t="s">
        <v>377</v>
      </c>
      <c r="E5416" s="30" t="s">
        <v>12387</v>
      </c>
      <c r="F5416" s="34" t="n">
        <f aca="false">IFERROR(VLOOKUP($A5416,'319'!$B:$H,7,0),0)</f>
        <v>0</v>
      </c>
      <c r="G5416" s="34" t="n">
        <f aca="false">SUMIFS('12.326ana'!$C:$C,'12.326ana'!$M:$M,redes!A5416)</f>
        <v>0</v>
      </c>
    </row>
    <row r="5417" customFormat="false" ht="14.4" hidden="true" customHeight="false" outlineLevel="0" collapsed="false">
      <c r="A5417" s="34" t="n">
        <v>201278000127</v>
      </c>
      <c r="B5417" s="34" t="s">
        <v>736</v>
      </c>
      <c r="C5417" s="34" t="s">
        <v>737</v>
      </c>
      <c r="D5417" s="34" t="s">
        <v>12388</v>
      </c>
      <c r="E5417" s="30" t="s">
        <v>12389</v>
      </c>
      <c r="F5417" s="34" t="n">
        <f aca="false">IFERROR(VLOOKUP($A5417,'319'!$B:$H,7,0),0)</f>
        <v>5186.31</v>
      </c>
      <c r="G5417" s="34" t="n">
        <f aca="false">SUMIFS('12.326ana'!$C:$C,'12.326ana'!$M:$M,redes!A5417)</f>
        <v>0</v>
      </c>
    </row>
    <row r="5418" customFormat="false" ht="14.4" hidden="true" customHeight="false" outlineLevel="0" collapsed="false">
      <c r="A5418" s="34" t="n">
        <v>201278000208</v>
      </c>
      <c r="B5418" s="34" t="s">
        <v>993</v>
      </c>
      <c r="C5418" s="34" t="s">
        <v>737</v>
      </c>
      <c r="E5418" s="30" t="s">
        <v>12390</v>
      </c>
      <c r="F5418" s="34" t="n">
        <f aca="false">IFERROR(VLOOKUP($A5418,'319'!$B:$H,7,0),0)</f>
        <v>0</v>
      </c>
      <c r="G5418" s="34" t="n">
        <f aca="false">SUMIFS('12.326ana'!$C:$C,'12.326ana'!$M:$M,redes!A5418)</f>
        <v>0</v>
      </c>
    </row>
    <row r="5419" customFormat="false" ht="14.4" hidden="true" customHeight="false" outlineLevel="0" collapsed="false">
      <c r="A5419" s="34" t="n">
        <v>201278000399</v>
      </c>
      <c r="B5419" s="34" t="s">
        <v>993</v>
      </c>
      <c r="C5419" s="34" t="s">
        <v>994</v>
      </c>
      <c r="D5419" s="34" t="s">
        <v>12388</v>
      </c>
      <c r="E5419" s="30" t="s">
        <v>12390</v>
      </c>
      <c r="F5419" s="34" t="n">
        <f aca="false">IFERROR(VLOOKUP($A5419,'319'!$B:$H,7,0),0)</f>
        <v>983.5</v>
      </c>
      <c r="G5419" s="34" t="n">
        <f aca="false">SUMIFS('12.326ana'!$C:$C,'12.326ana'!$M:$M,redes!A5419)</f>
        <v>0</v>
      </c>
    </row>
    <row r="5420" customFormat="false" ht="14.4" hidden="true" customHeight="false" outlineLevel="0" collapsed="false">
      <c r="A5420" s="34" t="n">
        <v>202986000182</v>
      </c>
      <c r="B5420" s="34" t="s">
        <v>12391</v>
      </c>
      <c r="C5420" s="34" t="s">
        <v>389</v>
      </c>
      <c r="E5420" s="30" t="s">
        <v>12392</v>
      </c>
      <c r="F5420" s="34" t="n">
        <f aca="false">IFERROR(VLOOKUP($A5420,'319'!$B:$H,7,0),0)</f>
        <v>0</v>
      </c>
      <c r="G5420" s="34" t="n">
        <f aca="false">SUMIFS('12.326ana'!$C:$C,'12.326ana'!$M:$M,redes!A5420)</f>
        <v>0</v>
      </c>
    </row>
    <row r="5421" customFormat="false" ht="14.4" hidden="true" customHeight="false" outlineLevel="0" collapsed="false">
      <c r="A5421" s="34" t="n">
        <v>203406000171</v>
      </c>
      <c r="B5421" s="34" t="s">
        <v>12393</v>
      </c>
      <c r="C5421" s="34" t="s">
        <v>77</v>
      </c>
      <c r="E5421" s="30"/>
      <c r="F5421" s="34" t="n">
        <f aca="false">IFERROR(VLOOKUP($A5421,'319'!$B:$H,7,0),0)</f>
        <v>0</v>
      </c>
      <c r="G5421" s="34" t="n">
        <f aca="false">SUMIFS('12.326ana'!$C:$C,'12.326ana'!$M:$M,redes!A5421)</f>
        <v>0</v>
      </c>
    </row>
    <row r="5422" customFormat="false" ht="14.4" hidden="true" customHeight="false" outlineLevel="0" collapsed="false">
      <c r="A5422" s="34" t="n">
        <v>203793000146</v>
      </c>
      <c r="B5422" s="34" t="s">
        <v>12394</v>
      </c>
      <c r="C5422" s="34" t="s">
        <v>342</v>
      </c>
      <c r="E5422" s="30" t="s">
        <v>12395</v>
      </c>
      <c r="F5422" s="34" t="n">
        <f aca="false">IFERROR(VLOOKUP($A5422,'319'!$B:$H,7,0),0)</f>
        <v>0</v>
      </c>
      <c r="G5422" s="34" t="n">
        <f aca="false">SUMIFS('12.326ana'!$C:$C,'12.326ana'!$M:$M,redes!A5422)</f>
        <v>0</v>
      </c>
    </row>
    <row r="5423" customFormat="false" ht="14.4" hidden="true" customHeight="false" outlineLevel="0" collapsed="false">
      <c r="A5423" s="34" t="n">
        <v>205278000103</v>
      </c>
      <c r="B5423" s="34" t="s">
        <v>12396</v>
      </c>
      <c r="C5423" s="34" t="s">
        <v>77</v>
      </c>
      <c r="E5423" s="30"/>
      <c r="F5423" s="34" t="n">
        <f aca="false">IFERROR(VLOOKUP($A5423,'319'!$B:$H,7,0),0)</f>
        <v>0</v>
      </c>
      <c r="G5423" s="34" t="n">
        <f aca="false">SUMIFS('12.326ana'!$C:$C,'12.326ana'!$M:$M,redes!A5423)</f>
        <v>0</v>
      </c>
    </row>
    <row r="5424" customFormat="false" ht="14.4" hidden="true" customHeight="false" outlineLevel="0" collapsed="false">
      <c r="A5424" s="34" t="n">
        <v>205287000196</v>
      </c>
      <c r="B5424" s="34" t="s">
        <v>12397</v>
      </c>
      <c r="C5424" s="34" t="s">
        <v>357</v>
      </c>
      <c r="E5424" s="30" t="s">
        <v>12398</v>
      </c>
      <c r="F5424" s="34" t="n">
        <f aca="false">IFERROR(VLOOKUP($A5424,'319'!$B:$H,7,0),0)</f>
        <v>0</v>
      </c>
      <c r="G5424" s="34" t="n">
        <f aca="false">SUMIFS('12.326ana'!$C:$C,'12.326ana'!$M:$M,redes!A5424)</f>
        <v>0</v>
      </c>
    </row>
    <row r="5425" customFormat="false" ht="14.4" hidden="true" customHeight="false" outlineLevel="0" collapsed="false">
      <c r="A5425" s="34" t="n">
        <v>205732000118</v>
      </c>
      <c r="B5425" s="34" t="s">
        <v>12399</v>
      </c>
      <c r="C5425" s="34" t="s">
        <v>77</v>
      </c>
      <c r="E5425" s="30" t="s">
        <v>12400</v>
      </c>
      <c r="F5425" s="34" t="n">
        <f aca="false">IFERROR(VLOOKUP($A5425,'319'!$B:$H,7,0),0)</f>
        <v>0</v>
      </c>
      <c r="G5425" s="34" t="n">
        <f aca="false">SUMIFS('12.326ana'!$C:$C,'12.326ana'!$M:$M,redes!A5425)</f>
        <v>0</v>
      </c>
    </row>
    <row r="5426" customFormat="false" ht="14.4" hidden="true" customHeight="false" outlineLevel="0" collapsed="false">
      <c r="A5426" s="34" t="n">
        <v>205997000116</v>
      </c>
      <c r="B5426" s="34" t="s">
        <v>12401</v>
      </c>
      <c r="C5426" s="34" t="s">
        <v>377</v>
      </c>
      <c r="E5426" s="30" t="s">
        <v>12402</v>
      </c>
      <c r="F5426" s="34" t="n">
        <f aca="false">IFERROR(VLOOKUP($A5426,'319'!$B:$H,7,0),0)</f>
        <v>0</v>
      </c>
      <c r="G5426" s="34" t="n">
        <f aca="false">SUMIFS('12.326ana'!$C:$C,'12.326ana'!$M:$M,redes!A5426)</f>
        <v>0</v>
      </c>
    </row>
    <row r="5427" customFormat="false" ht="14.4" hidden="true" customHeight="false" outlineLevel="0" collapsed="false">
      <c r="A5427" s="34" t="n">
        <v>206094000150</v>
      </c>
      <c r="B5427" s="34" t="s">
        <v>12403</v>
      </c>
      <c r="C5427" s="34" t="s">
        <v>4829</v>
      </c>
      <c r="E5427" s="30"/>
      <c r="F5427" s="34" t="n">
        <f aca="false">IFERROR(VLOOKUP($A5427,'319'!$B:$H,7,0),0)</f>
        <v>0</v>
      </c>
      <c r="G5427" s="34" t="n">
        <f aca="false">SUMIFS('12.326ana'!$C:$C,'12.326ana'!$M:$M,redes!A5427)</f>
        <v>0</v>
      </c>
    </row>
    <row r="5428" customFormat="false" ht="14.4" hidden="true" customHeight="false" outlineLevel="0" collapsed="false">
      <c r="A5428" s="34" t="n">
        <v>206288000155</v>
      </c>
      <c r="B5428" s="34" t="s">
        <v>12404</v>
      </c>
      <c r="C5428" s="34" t="s">
        <v>77</v>
      </c>
      <c r="E5428" s="30" t="s">
        <v>12405</v>
      </c>
      <c r="F5428" s="34" t="n">
        <f aca="false">IFERROR(VLOOKUP($A5428,'319'!$B:$H,7,0),0)</f>
        <v>0</v>
      </c>
      <c r="G5428" s="34" t="n">
        <f aca="false">SUMIFS('12.326ana'!$C:$C,'12.326ana'!$M:$M,redes!A5428)</f>
        <v>0</v>
      </c>
    </row>
    <row r="5429" customFormat="false" ht="14.4" hidden="true" customHeight="false" outlineLevel="0" collapsed="false">
      <c r="A5429" s="34" t="n">
        <v>206383000159</v>
      </c>
      <c r="B5429" s="34" t="s">
        <v>12406</v>
      </c>
      <c r="C5429" s="34" t="s">
        <v>207</v>
      </c>
      <c r="E5429" s="30" t="s">
        <v>12407</v>
      </c>
      <c r="F5429" s="34" t="n">
        <f aca="false">IFERROR(VLOOKUP($A5429,'319'!$B:$H,7,0),0)</f>
        <v>0</v>
      </c>
      <c r="G5429" s="34" t="n">
        <f aca="false">SUMIFS('12.326ana'!$C:$C,'12.326ana'!$M:$M,redes!A5429)</f>
        <v>0</v>
      </c>
    </row>
    <row r="5430" customFormat="false" ht="14.4" hidden="true" customHeight="false" outlineLevel="0" collapsed="false">
      <c r="A5430" s="34" t="n">
        <v>208245000109</v>
      </c>
      <c r="B5430" s="34" t="s">
        <v>12408</v>
      </c>
      <c r="C5430" s="34" t="s">
        <v>89</v>
      </c>
      <c r="E5430" s="30" t="s">
        <v>12409</v>
      </c>
      <c r="F5430" s="34" t="n">
        <f aca="false">IFERROR(VLOOKUP($A5430,'319'!$B:$H,7,0),0)</f>
        <v>0</v>
      </c>
      <c r="G5430" s="34" t="n">
        <f aca="false">SUMIFS('12.326ana'!$C:$C,'12.326ana'!$M:$M,redes!A5430)</f>
        <v>0</v>
      </c>
    </row>
    <row r="5431" customFormat="false" ht="14.4" hidden="true" customHeight="false" outlineLevel="0" collapsed="false">
      <c r="A5431" s="34" t="n">
        <v>209366000175</v>
      </c>
      <c r="B5431" s="34" t="s">
        <v>12410</v>
      </c>
      <c r="C5431" s="34" t="s">
        <v>77</v>
      </c>
      <c r="E5431" s="30" t="s">
        <v>12411</v>
      </c>
      <c r="F5431" s="34" t="n">
        <f aca="false">IFERROR(VLOOKUP($A5431,'319'!$B:$H,7,0),0)</f>
        <v>0</v>
      </c>
      <c r="G5431" s="34" t="n">
        <f aca="false">SUMIFS('12.326ana'!$C:$C,'12.326ana'!$M:$M,redes!A5431)</f>
        <v>0</v>
      </c>
    </row>
    <row r="5432" customFormat="false" ht="14.4" hidden="true" customHeight="false" outlineLevel="0" collapsed="false">
      <c r="A5432" s="34" t="n">
        <v>209981000181</v>
      </c>
      <c r="B5432" s="34" t="s">
        <v>12412</v>
      </c>
      <c r="C5432" s="34" t="s">
        <v>342</v>
      </c>
      <c r="E5432" s="30" t="s">
        <v>12413</v>
      </c>
      <c r="F5432" s="34" t="n">
        <f aca="false">IFERROR(VLOOKUP($A5432,'319'!$B:$H,7,0),0)</f>
        <v>0</v>
      </c>
      <c r="G5432" s="34" t="n">
        <f aca="false">SUMIFS('12.326ana'!$C:$C,'12.326ana'!$M:$M,redes!A5432)</f>
        <v>0</v>
      </c>
    </row>
    <row r="5433" customFormat="false" ht="14.4" hidden="true" customHeight="false" outlineLevel="0" collapsed="false">
      <c r="A5433" s="34" t="n">
        <v>211052000107</v>
      </c>
      <c r="B5433" s="34" t="s">
        <v>12414</v>
      </c>
      <c r="C5433" s="34" t="s">
        <v>207</v>
      </c>
      <c r="E5433" s="30" t="s">
        <v>12415</v>
      </c>
      <c r="F5433" s="34" t="n">
        <f aca="false">IFERROR(VLOOKUP($A5433,'319'!$B:$H,7,0),0)</f>
        <v>0</v>
      </c>
      <c r="G5433" s="34" t="n">
        <f aca="false">SUMIFS('12.326ana'!$C:$C,'12.326ana'!$M:$M,redes!A5433)</f>
        <v>0</v>
      </c>
    </row>
    <row r="5434" customFormat="false" ht="14.4" hidden="true" customHeight="false" outlineLevel="0" collapsed="false">
      <c r="A5434" s="34" t="n">
        <v>211553000193</v>
      </c>
      <c r="B5434" s="34" t="s">
        <v>12416</v>
      </c>
      <c r="C5434" s="34" t="s">
        <v>7250</v>
      </c>
      <c r="E5434" s="30" t="s">
        <v>12417</v>
      </c>
      <c r="F5434" s="34" t="n">
        <f aca="false">IFERROR(VLOOKUP($A5434,'319'!$B:$H,7,0),0)</f>
        <v>0</v>
      </c>
      <c r="G5434" s="34" t="n">
        <f aca="false">SUMIFS('12.326ana'!$C:$C,'12.326ana'!$M:$M,redes!A5434)</f>
        <v>0</v>
      </c>
    </row>
    <row r="5435" customFormat="false" ht="14.4" hidden="true" customHeight="false" outlineLevel="0" collapsed="false">
      <c r="A5435" s="34" t="n">
        <v>212415000129</v>
      </c>
      <c r="B5435" s="34" t="s">
        <v>12418</v>
      </c>
      <c r="C5435" s="34" t="s">
        <v>77</v>
      </c>
      <c r="E5435" s="30" t="s">
        <v>12419</v>
      </c>
      <c r="F5435" s="34" t="n">
        <f aca="false">IFERROR(VLOOKUP($A5435,'319'!$B:$H,7,0),0)</f>
        <v>0</v>
      </c>
      <c r="G5435" s="34" t="n">
        <f aca="false">SUMIFS('12.326ana'!$C:$C,'12.326ana'!$M:$M,redes!A5435)</f>
        <v>0</v>
      </c>
    </row>
    <row r="5436" customFormat="false" ht="14.4" hidden="true" customHeight="false" outlineLevel="0" collapsed="false">
      <c r="A5436" s="34" t="n">
        <v>212779000109</v>
      </c>
      <c r="B5436" s="34" t="s">
        <v>12420</v>
      </c>
      <c r="C5436" s="34" t="s">
        <v>107</v>
      </c>
      <c r="E5436" s="30" t="s">
        <v>12421</v>
      </c>
      <c r="F5436" s="34" t="n">
        <f aca="false">IFERROR(VLOOKUP($A5436,'319'!$B:$H,7,0),0)</f>
        <v>0</v>
      </c>
      <c r="G5436" s="34" t="n">
        <f aca="false">SUMIFS('12.326ana'!$C:$C,'12.326ana'!$M:$M,redes!A5436)</f>
        <v>0</v>
      </c>
    </row>
    <row r="5437" customFormat="false" ht="14.4" hidden="true" customHeight="false" outlineLevel="0" collapsed="false">
      <c r="A5437" s="34" t="n">
        <v>213199000136</v>
      </c>
      <c r="B5437" s="34" t="s">
        <v>12422</v>
      </c>
      <c r="C5437" s="34" t="s">
        <v>7250</v>
      </c>
      <c r="E5437" s="30" t="s">
        <v>12423</v>
      </c>
      <c r="F5437" s="34" t="n">
        <f aca="false">IFERROR(VLOOKUP($A5437,'319'!$B:$H,7,0),0)</f>
        <v>0</v>
      </c>
      <c r="G5437" s="34" t="n">
        <f aca="false">SUMIFS('12.326ana'!$C:$C,'12.326ana'!$M:$M,redes!A5437)</f>
        <v>0</v>
      </c>
    </row>
    <row r="5438" customFormat="false" ht="14.4" hidden="true" customHeight="false" outlineLevel="0" collapsed="false">
      <c r="A5438" s="34" t="n">
        <v>214429000181</v>
      </c>
      <c r="B5438" s="34" t="s">
        <v>12424</v>
      </c>
      <c r="C5438" s="34" t="s">
        <v>77</v>
      </c>
      <c r="E5438" s="30" t="s">
        <v>8760</v>
      </c>
      <c r="F5438" s="34" t="n">
        <f aca="false">IFERROR(VLOOKUP($A5438,'319'!$B:$H,7,0),0)</f>
        <v>0</v>
      </c>
      <c r="G5438" s="34" t="n">
        <f aca="false">SUMIFS('12.326ana'!$C:$C,'12.326ana'!$M:$M,redes!A5438)</f>
        <v>0</v>
      </c>
    </row>
    <row r="5439" customFormat="false" ht="14.4" hidden="true" customHeight="false" outlineLevel="0" collapsed="false">
      <c r="A5439" s="34" t="n">
        <v>214952000108</v>
      </c>
      <c r="B5439" s="34" t="s">
        <v>12425</v>
      </c>
      <c r="C5439" s="34" t="s">
        <v>77</v>
      </c>
      <c r="E5439" s="30" t="s">
        <v>12426</v>
      </c>
      <c r="F5439" s="34" t="n">
        <f aca="false">IFERROR(VLOOKUP($A5439,'319'!$B:$H,7,0),0)</f>
        <v>0</v>
      </c>
      <c r="G5439" s="34" t="n">
        <f aca="false">SUMIFS('12.326ana'!$C:$C,'12.326ana'!$M:$M,redes!A5439)</f>
        <v>0</v>
      </c>
    </row>
    <row r="5440" customFormat="false" ht="14.4" hidden="true" customHeight="false" outlineLevel="0" collapsed="false">
      <c r="A5440" s="34" t="n">
        <v>214981000170</v>
      </c>
      <c r="B5440" s="34" t="s">
        <v>12427</v>
      </c>
      <c r="C5440" s="34" t="s">
        <v>77</v>
      </c>
      <c r="E5440" s="30" t="s">
        <v>12428</v>
      </c>
      <c r="F5440" s="34" t="n">
        <f aca="false">IFERROR(VLOOKUP($A5440,'319'!$B:$H,7,0),0)</f>
        <v>0</v>
      </c>
      <c r="G5440" s="34" t="n">
        <f aca="false">SUMIFS('12.326ana'!$C:$C,'12.326ana'!$M:$M,redes!A5440)</f>
        <v>0</v>
      </c>
    </row>
    <row r="5441" customFormat="false" ht="14.4" hidden="true" customHeight="false" outlineLevel="0" collapsed="false">
      <c r="A5441" s="34" t="n">
        <v>215434000109</v>
      </c>
      <c r="B5441" s="34" t="s">
        <v>12429</v>
      </c>
      <c r="C5441" s="34" t="s">
        <v>328</v>
      </c>
      <c r="E5441" s="30" t="s">
        <v>12430</v>
      </c>
      <c r="F5441" s="34" t="n">
        <f aca="false">IFERROR(VLOOKUP($A5441,'319'!$B:$H,7,0),0)</f>
        <v>0</v>
      </c>
      <c r="G5441" s="34" t="n">
        <f aca="false">SUMIFS('12.326ana'!$C:$C,'12.326ana'!$M:$M,redes!A5441)</f>
        <v>0</v>
      </c>
    </row>
    <row r="5442" customFormat="false" ht="14.4" hidden="true" customHeight="false" outlineLevel="0" collapsed="false">
      <c r="A5442" s="34" t="n">
        <v>216598000150</v>
      </c>
      <c r="B5442" s="34" t="s">
        <v>12431</v>
      </c>
      <c r="C5442" s="34" t="s">
        <v>473</v>
      </c>
      <c r="E5442" s="30" t="s">
        <v>12432</v>
      </c>
      <c r="F5442" s="34" t="n">
        <f aca="false">IFERROR(VLOOKUP($A5442,'319'!$B:$H,7,0),0)</f>
        <v>0</v>
      </c>
      <c r="G5442" s="34" t="n">
        <f aca="false">SUMIFS('12.326ana'!$C:$C,'12.326ana'!$M:$M,redes!A5442)</f>
        <v>0</v>
      </c>
    </row>
    <row r="5443" customFormat="false" ht="14.4" hidden="true" customHeight="false" outlineLevel="0" collapsed="false">
      <c r="A5443" s="34" t="n">
        <v>216622000151</v>
      </c>
      <c r="B5443" s="34" t="s">
        <v>12433</v>
      </c>
      <c r="C5443" s="34" t="s">
        <v>77</v>
      </c>
      <c r="E5443" s="30" t="s">
        <v>12434</v>
      </c>
      <c r="F5443" s="34" t="n">
        <f aca="false">IFERROR(VLOOKUP($A5443,'319'!$B:$H,7,0),0)</f>
        <v>0</v>
      </c>
      <c r="G5443" s="34" t="n">
        <f aca="false">SUMIFS('12.326ana'!$C:$C,'12.326ana'!$M:$M,redes!A5443)</f>
        <v>0</v>
      </c>
    </row>
    <row r="5444" customFormat="false" ht="14.4" hidden="true" customHeight="false" outlineLevel="0" collapsed="false">
      <c r="A5444" s="34" t="n">
        <v>216804000122</v>
      </c>
      <c r="B5444" s="34" t="s">
        <v>12435</v>
      </c>
      <c r="C5444" s="34" t="s">
        <v>357</v>
      </c>
      <c r="E5444" s="30" t="s">
        <v>12436</v>
      </c>
      <c r="F5444" s="34" t="n">
        <f aca="false">IFERROR(VLOOKUP($A5444,'319'!$B:$H,7,0),0)</f>
        <v>0</v>
      </c>
      <c r="G5444" s="34" t="n">
        <f aca="false">SUMIFS('12.326ana'!$C:$C,'12.326ana'!$M:$M,redes!A5444)</f>
        <v>0</v>
      </c>
    </row>
    <row r="5445" customFormat="false" ht="14.4" hidden="true" customHeight="false" outlineLevel="0" collapsed="false">
      <c r="A5445" s="34" t="n">
        <v>216911000150</v>
      </c>
      <c r="B5445" s="34" t="s">
        <v>12437</v>
      </c>
      <c r="C5445" s="34" t="s">
        <v>1591</v>
      </c>
      <c r="E5445" s="30" t="s">
        <v>12438</v>
      </c>
      <c r="F5445" s="34" t="n">
        <f aca="false">IFERROR(VLOOKUP($A5445,'319'!$B:$H,7,0),0)</f>
        <v>0</v>
      </c>
      <c r="G5445" s="34" t="n">
        <f aca="false">SUMIFS('12.326ana'!$C:$C,'12.326ana'!$M:$M,redes!A5445)</f>
        <v>0</v>
      </c>
    </row>
    <row r="5446" customFormat="false" ht="14.4" hidden="true" customHeight="false" outlineLevel="0" collapsed="false">
      <c r="A5446" s="34" t="n">
        <v>220458000156</v>
      </c>
      <c r="B5446" s="34" t="s">
        <v>12439</v>
      </c>
      <c r="C5446" s="34" t="s">
        <v>117</v>
      </c>
      <c r="E5446" s="30" t="s">
        <v>3894</v>
      </c>
      <c r="F5446" s="34" t="n">
        <f aca="false">IFERROR(VLOOKUP($A5446,'319'!$B:$H,7,0),0)</f>
        <v>0</v>
      </c>
      <c r="G5446" s="34" t="n">
        <f aca="false">SUMIFS('12.326ana'!$C:$C,'12.326ana'!$M:$M,redes!A5446)</f>
        <v>0</v>
      </c>
    </row>
    <row r="5447" customFormat="false" ht="14.4" hidden="true" customHeight="false" outlineLevel="0" collapsed="false">
      <c r="A5447" s="34" t="n">
        <v>224761000127</v>
      </c>
      <c r="B5447" s="34" t="s">
        <v>12440</v>
      </c>
      <c r="C5447" s="34" t="s">
        <v>706</v>
      </c>
      <c r="E5447" s="30" t="s">
        <v>9574</v>
      </c>
      <c r="F5447" s="34" t="n">
        <f aca="false">IFERROR(VLOOKUP($A5447,'319'!$B:$H,7,0),0)</f>
        <v>0</v>
      </c>
      <c r="G5447" s="34" t="n">
        <f aca="false">SUMIFS('12.326ana'!$C:$C,'12.326ana'!$M:$M,redes!A5447)</f>
        <v>0</v>
      </c>
    </row>
    <row r="5448" customFormat="false" ht="14.4" hidden="true" customHeight="false" outlineLevel="0" collapsed="false">
      <c r="A5448" s="34" t="n">
        <v>228305000155</v>
      </c>
      <c r="B5448" s="34" t="s">
        <v>12441</v>
      </c>
      <c r="C5448" s="34" t="s">
        <v>342</v>
      </c>
      <c r="E5448" s="30" t="s">
        <v>12442</v>
      </c>
      <c r="F5448" s="34" t="n">
        <f aca="false">IFERROR(VLOOKUP($A5448,'319'!$B:$H,7,0),0)</f>
        <v>0</v>
      </c>
      <c r="G5448" s="34" t="n">
        <f aca="false">SUMIFS('12.326ana'!$C:$C,'12.326ana'!$M:$M,redes!A5448)</f>
        <v>0</v>
      </c>
    </row>
    <row r="5449" customFormat="false" ht="14.4" hidden="true" customHeight="false" outlineLevel="0" collapsed="false">
      <c r="A5449" s="34" t="n">
        <v>230467000128</v>
      </c>
      <c r="B5449" s="34" t="s">
        <v>12443</v>
      </c>
      <c r="C5449" s="34" t="s">
        <v>77</v>
      </c>
      <c r="E5449" s="30" t="s">
        <v>12444</v>
      </c>
      <c r="F5449" s="34" t="n">
        <f aca="false">IFERROR(VLOOKUP($A5449,'319'!$B:$H,7,0),0)</f>
        <v>0</v>
      </c>
      <c r="G5449" s="34" t="n">
        <f aca="false">SUMIFS('12.326ana'!$C:$C,'12.326ana'!$M:$M,redes!A5449)</f>
        <v>0</v>
      </c>
    </row>
    <row r="5450" customFormat="false" ht="14.4" hidden="true" customHeight="false" outlineLevel="0" collapsed="false">
      <c r="A5450" s="34" t="n">
        <v>230503000153</v>
      </c>
      <c r="B5450" s="34" t="s">
        <v>12445</v>
      </c>
      <c r="C5450" s="34" t="s">
        <v>77</v>
      </c>
      <c r="E5450" s="30" t="s">
        <v>12446</v>
      </c>
      <c r="F5450" s="34" t="n">
        <f aca="false">IFERROR(VLOOKUP($A5450,'319'!$B:$H,7,0),0)</f>
        <v>0</v>
      </c>
      <c r="G5450" s="34" t="n">
        <f aca="false">SUMIFS('12.326ana'!$C:$C,'12.326ana'!$M:$M,redes!A5450)</f>
        <v>0</v>
      </c>
    </row>
    <row r="5451" customFormat="false" ht="14.4" hidden="true" customHeight="false" outlineLevel="0" collapsed="false">
      <c r="A5451" s="34" t="n">
        <v>244139000180</v>
      </c>
      <c r="B5451" s="34" t="s">
        <v>12447</v>
      </c>
      <c r="C5451" s="34" t="s">
        <v>6278</v>
      </c>
      <c r="E5451" s="30" t="s">
        <v>12448</v>
      </c>
      <c r="F5451" s="34" t="n">
        <f aca="false">IFERROR(VLOOKUP($A5451,'319'!$B:$H,7,0),0)</f>
        <v>0</v>
      </c>
      <c r="G5451" s="34" t="n">
        <f aca="false">SUMIFS('12.326ana'!$C:$C,'12.326ana'!$M:$M,redes!A5451)</f>
        <v>0</v>
      </c>
    </row>
    <row r="5452" customFormat="false" ht="14.4" hidden="true" customHeight="false" outlineLevel="0" collapsed="false">
      <c r="A5452" s="34" t="n">
        <v>244162000175</v>
      </c>
      <c r="B5452" s="34" t="s">
        <v>12449</v>
      </c>
      <c r="C5452" s="34" t="s">
        <v>342</v>
      </c>
      <c r="E5452" s="30" t="s">
        <v>12450</v>
      </c>
      <c r="F5452" s="34" t="n">
        <f aca="false">IFERROR(VLOOKUP($A5452,'319'!$B:$H,7,0),0)</f>
        <v>0</v>
      </c>
      <c r="G5452" s="34" t="n">
        <f aca="false">SUMIFS('12.326ana'!$C:$C,'12.326ana'!$M:$M,redes!A5452)</f>
        <v>0</v>
      </c>
    </row>
    <row r="5453" customFormat="false" ht="14.4" hidden="true" customHeight="false" outlineLevel="0" collapsed="false">
      <c r="A5453" s="34" t="n">
        <v>244162000256</v>
      </c>
      <c r="B5453" s="34" t="s">
        <v>12449</v>
      </c>
      <c r="C5453" s="34" t="s">
        <v>562</v>
      </c>
      <c r="E5453" s="30" t="s">
        <v>12451</v>
      </c>
      <c r="F5453" s="34" t="n">
        <f aca="false">IFERROR(VLOOKUP($A5453,'319'!$B:$H,7,0),0)</f>
        <v>0</v>
      </c>
      <c r="G5453" s="34" t="n">
        <f aca="false">SUMIFS('12.326ana'!$C:$C,'12.326ana'!$M:$M,redes!A5453)</f>
        <v>0</v>
      </c>
    </row>
    <row r="5454" customFormat="false" ht="14.4" hidden="true" customHeight="false" outlineLevel="0" collapsed="false">
      <c r="A5454" s="34" t="n">
        <v>244873000140</v>
      </c>
      <c r="B5454" s="34" t="s">
        <v>12452</v>
      </c>
      <c r="C5454" s="34" t="s">
        <v>77</v>
      </c>
      <c r="E5454" s="30" t="s">
        <v>12453</v>
      </c>
      <c r="F5454" s="34" t="n">
        <f aca="false">IFERROR(VLOOKUP($A5454,'319'!$B:$H,7,0),0)</f>
        <v>0</v>
      </c>
      <c r="G5454" s="34" t="n">
        <f aca="false">SUMIFS('12.326ana'!$C:$C,'12.326ana'!$M:$M,redes!A5454)</f>
        <v>0</v>
      </c>
    </row>
    <row r="5455" customFormat="false" ht="14.4" hidden="true" customHeight="false" outlineLevel="0" collapsed="false">
      <c r="A5455" s="34" t="n">
        <v>248456000256</v>
      </c>
      <c r="B5455" s="34" t="s">
        <v>12454</v>
      </c>
      <c r="C5455" s="34" t="s">
        <v>336</v>
      </c>
      <c r="E5455" s="30" t="s">
        <v>12455</v>
      </c>
      <c r="F5455" s="34" t="n">
        <f aca="false">IFERROR(VLOOKUP($A5455,'319'!$B:$H,7,0),0)</f>
        <v>0</v>
      </c>
      <c r="G5455" s="34" t="n">
        <f aca="false">SUMIFS('12.326ana'!$C:$C,'12.326ana'!$M:$M,redes!A5455)</f>
        <v>0</v>
      </c>
    </row>
    <row r="5456" customFormat="false" ht="14.4" hidden="true" customHeight="false" outlineLevel="0" collapsed="false">
      <c r="A5456" s="34" t="n">
        <v>248463000177</v>
      </c>
      <c r="B5456" s="34" t="s">
        <v>12456</v>
      </c>
      <c r="C5456" s="34" t="s">
        <v>336</v>
      </c>
      <c r="E5456" s="30" t="s">
        <v>12457</v>
      </c>
      <c r="F5456" s="34" t="n">
        <f aca="false">IFERROR(VLOOKUP($A5456,'319'!$B:$H,7,0),0)</f>
        <v>0</v>
      </c>
      <c r="G5456" s="34" t="n">
        <f aca="false">SUMIFS('12.326ana'!$C:$C,'12.326ana'!$M:$M,redes!A5456)</f>
        <v>0</v>
      </c>
    </row>
    <row r="5457" customFormat="false" ht="14.4" hidden="true" customHeight="false" outlineLevel="0" collapsed="false">
      <c r="A5457" s="34" t="n">
        <v>248472000168</v>
      </c>
      <c r="B5457" s="34" t="s">
        <v>12458</v>
      </c>
      <c r="C5457" s="34" t="s">
        <v>77</v>
      </c>
      <c r="E5457" s="30" t="s">
        <v>12459</v>
      </c>
      <c r="F5457" s="34" t="n">
        <f aca="false">IFERROR(VLOOKUP($A5457,'319'!$B:$H,7,0),0)</f>
        <v>0</v>
      </c>
      <c r="G5457" s="34" t="n">
        <f aca="false">SUMIFS('12.326ana'!$C:$C,'12.326ana'!$M:$M,redes!A5457)</f>
        <v>0</v>
      </c>
    </row>
    <row r="5458" customFormat="false" ht="14.4" hidden="true" customHeight="false" outlineLevel="0" collapsed="false">
      <c r="A5458" s="34" t="n">
        <v>253357000181</v>
      </c>
      <c r="B5458" s="34" t="s">
        <v>12460</v>
      </c>
      <c r="C5458" s="34" t="s">
        <v>7250</v>
      </c>
      <c r="E5458" s="30" t="s">
        <v>3297</v>
      </c>
      <c r="F5458" s="34" t="n">
        <f aca="false">IFERROR(VLOOKUP($A5458,'319'!$B:$H,7,0),0)</f>
        <v>0</v>
      </c>
      <c r="G5458" s="34" t="n">
        <f aca="false">SUMIFS('12.326ana'!$C:$C,'12.326ana'!$M:$M,redes!A5458)</f>
        <v>0</v>
      </c>
    </row>
    <row r="5459" customFormat="false" ht="14.4" hidden="true" customHeight="false" outlineLevel="0" collapsed="false">
      <c r="A5459" s="34" t="n">
        <v>258559000116</v>
      </c>
      <c r="B5459" s="34" t="s">
        <v>12461</v>
      </c>
      <c r="C5459" s="34" t="s">
        <v>721</v>
      </c>
      <c r="E5459" s="30" t="s">
        <v>10574</v>
      </c>
      <c r="F5459" s="34" t="n">
        <f aca="false">IFERROR(VLOOKUP($A5459,'319'!$B:$H,7,0),0)</f>
        <v>0</v>
      </c>
      <c r="G5459" s="34" t="n">
        <f aca="false">SUMIFS('12.326ana'!$C:$C,'12.326ana'!$M:$M,redes!A5459)</f>
        <v>0</v>
      </c>
    </row>
    <row r="5460" customFormat="false" ht="14.4" hidden="true" customHeight="false" outlineLevel="0" collapsed="false">
      <c r="A5460" s="34" t="n">
        <v>258573000110</v>
      </c>
      <c r="B5460" s="34" t="s">
        <v>12462</v>
      </c>
      <c r="C5460" s="34" t="s">
        <v>107</v>
      </c>
      <c r="D5460" s="34" t="s">
        <v>4797</v>
      </c>
      <c r="E5460" s="30"/>
      <c r="F5460" s="34" t="n">
        <f aca="false">IFERROR(VLOOKUP($A5460,'319'!$B:$H,7,0),0)</f>
        <v>0</v>
      </c>
      <c r="G5460" s="34" t="n">
        <f aca="false">SUMIFS('12.326ana'!$C:$C,'12.326ana'!$M:$M,redes!A5460)</f>
        <v>0</v>
      </c>
    </row>
    <row r="5461" customFormat="false" ht="14.4" hidden="true" customHeight="false" outlineLevel="0" collapsed="false">
      <c r="A5461" s="34" t="n">
        <v>258617000101</v>
      </c>
      <c r="B5461" s="34" t="s">
        <v>12463</v>
      </c>
      <c r="C5461" s="34" t="s">
        <v>77</v>
      </c>
      <c r="E5461" s="30" t="s">
        <v>12464</v>
      </c>
      <c r="F5461" s="34" t="n">
        <f aca="false">IFERROR(VLOOKUP($A5461,'319'!$B:$H,7,0),0)</f>
        <v>0</v>
      </c>
      <c r="G5461" s="34" t="n">
        <f aca="false">SUMIFS('12.326ana'!$C:$C,'12.326ana'!$M:$M,redes!A5461)</f>
        <v>0</v>
      </c>
    </row>
    <row r="5462" customFormat="false" ht="14.4" hidden="true" customHeight="false" outlineLevel="0" collapsed="false">
      <c r="A5462" s="34" t="n">
        <v>261449000103</v>
      </c>
      <c r="B5462" s="34" t="s">
        <v>12465</v>
      </c>
      <c r="C5462" s="34" t="s">
        <v>631</v>
      </c>
      <c r="E5462" s="30"/>
      <c r="F5462" s="34" t="n">
        <f aca="false">IFERROR(VLOOKUP($A5462,'319'!$B:$H,7,0),0)</f>
        <v>0</v>
      </c>
      <c r="G5462" s="34" t="n">
        <f aca="false">SUMIFS('12.326ana'!$C:$C,'12.326ana'!$M:$M,redes!A5462)</f>
        <v>0</v>
      </c>
    </row>
    <row r="5463" customFormat="false" ht="14.4" hidden="true" customHeight="false" outlineLevel="0" collapsed="false">
      <c r="A5463" s="34" t="n">
        <v>264435000143</v>
      </c>
      <c r="B5463" s="34" t="s">
        <v>12466</v>
      </c>
      <c r="C5463" s="34" t="s">
        <v>1680</v>
      </c>
      <c r="D5463" s="34" t="s">
        <v>5602</v>
      </c>
      <c r="E5463" s="30" t="s">
        <v>12467</v>
      </c>
      <c r="F5463" s="34" t="n">
        <f aca="false">IFERROR(VLOOKUP($A5463,'319'!$B:$H,7,0),0)</f>
        <v>0</v>
      </c>
      <c r="G5463" s="34" t="n">
        <f aca="false">SUMIFS('12.326ana'!$C:$C,'12.326ana'!$M:$M,redes!A5463)</f>
        <v>0</v>
      </c>
    </row>
    <row r="5464" customFormat="false" ht="14.4" hidden="true" customHeight="false" outlineLevel="0" collapsed="false">
      <c r="A5464" s="34" t="n">
        <v>265325000104</v>
      </c>
      <c r="B5464" s="34" t="s">
        <v>12468</v>
      </c>
      <c r="C5464" s="34" t="s">
        <v>77</v>
      </c>
      <c r="E5464" s="30" t="s">
        <v>12469</v>
      </c>
      <c r="F5464" s="34" t="n">
        <f aca="false">IFERROR(VLOOKUP($A5464,'319'!$B:$H,7,0),0)</f>
        <v>0</v>
      </c>
      <c r="G5464" s="34" t="n">
        <f aca="false">SUMIFS('12.326ana'!$C:$C,'12.326ana'!$M:$M,redes!A5464)</f>
        <v>0</v>
      </c>
    </row>
    <row r="5465" customFormat="false" ht="14.4" hidden="true" customHeight="false" outlineLevel="0" collapsed="false">
      <c r="A5465" s="34" t="n">
        <v>269819000159</v>
      </c>
      <c r="B5465" s="34" t="s">
        <v>12470</v>
      </c>
      <c r="C5465" s="34" t="s">
        <v>77</v>
      </c>
      <c r="E5465" s="30" t="s">
        <v>12471</v>
      </c>
      <c r="F5465" s="34" t="n">
        <f aca="false">IFERROR(VLOOKUP($A5465,'319'!$B:$H,7,0),0)</f>
        <v>0</v>
      </c>
      <c r="G5465" s="34" t="n">
        <f aca="false">SUMIFS('12.326ana'!$C:$C,'12.326ana'!$M:$M,redes!A5465)</f>
        <v>0</v>
      </c>
    </row>
    <row r="5466" customFormat="false" ht="14.4" hidden="true" customHeight="false" outlineLevel="0" collapsed="false">
      <c r="A5466" s="34" t="n">
        <v>273783000187</v>
      </c>
      <c r="B5466" s="34" t="s">
        <v>12472</v>
      </c>
      <c r="C5466" s="34" t="s">
        <v>77</v>
      </c>
      <c r="E5466" s="30" t="s">
        <v>12473</v>
      </c>
      <c r="F5466" s="34" t="n">
        <f aca="false">IFERROR(VLOOKUP($A5466,'319'!$B:$H,7,0),0)</f>
        <v>0</v>
      </c>
      <c r="G5466" s="34" t="n">
        <f aca="false">SUMIFS('12.326ana'!$C:$C,'12.326ana'!$M:$M,redes!A5466)</f>
        <v>0</v>
      </c>
    </row>
    <row r="5467" customFormat="false" ht="14.4" hidden="true" customHeight="false" outlineLevel="0" collapsed="false">
      <c r="A5467" s="34" t="n">
        <v>274299000172</v>
      </c>
      <c r="B5467" s="34" t="s">
        <v>12474</v>
      </c>
      <c r="C5467" s="34" t="s">
        <v>848</v>
      </c>
      <c r="E5467" s="30" t="s">
        <v>12475</v>
      </c>
      <c r="F5467" s="34" t="n">
        <f aca="false">IFERROR(VLOOKUP($A5467,'319'!$B:$H,7,0),0)</f>
        <v>0</v>
      </c>
      <c r="G5467" s="34" t="n">
        <f aca="false">SUMIFS('12.326ana'!$C:$C,'12.326ana'!$M:$M,redes!A5467)</f>
        <v>0</v>
      </c>
    </row>
    <row r="5468" customFormat="false" ht="14.4" hidden="true" customHeight="false" outlineLevel="0" collapsed="false">
      <c r="A5468" s="34" t="n">
        <v>277409000150</v>
      </c>
      <c r="B5468" s="34" t="s">
        <v>12476</v>
      </c>
      <c r="C5468" s="34" t="s">
        <v>77</v>
      </c>
      <c r="E5468" s="30" t="s">
        <v>12477</v>
      </c>
      <c r="F5468" s="34" t="n">
        <f aca="false">IFERROR(VLOOKUP($A5468,'319'!$B:$H,7,0),0)</f>
        <v>0</v>
      </c>
      <c r="G5468" s="34" t="n">
        <f aca="false">SUMIFS('12.326ana'!$C:$C,'12.326ana'!$M:$M,redes!A5468)</f>
        <v>0</v>
      </c>
    </row>
    <row r="5469" customFormat="false" ht="14.4" hidden="true" customHeight="false" outlineLevel="0" collapsed="false">
      <c r="A5469" s="34" t="n">
        <v>283724000190</v>
      </c>
      <c r="B5469" s="34" t="s">
        <v>12478</v>
      </c>
      <c r="C5469" s="34" t="s">
        <v>737</v>
      </c>
      <c r="E5469" s="30" t="s">
        <v>12479</v>
      </c>
      <c r="F5469" s="34" t="n">
        <f aca="false">IFERROR(VLOOKUP($A5469,'319'!$B:$H,7,0),0)</f>
        <v>0</v>
      </c>
      <c r="G5469" s="34" t="n">
        <f aca="false">SUMIFS('12.326ana'!$C:$C,'12.326ana'!$M:$M,redes!A5469)</f>
        <v>0</v>
      </c>
    </row>
    <row r="5470" customFormat="false" ht="14.4" hidden="true" customHeight="false" outlineLevel="0" collapsed="false">
      <c r="A5470" s="34" t="n">
        <v>283730000147</v>
      </c>
      <c r="B5470" s="34" t="s">
        <v>12480</v>
      </c>
      <c r="C5470" s="34" t="s">
        <v>77</v>
      </c>
      <c r="E5470" s="30" t="s">
        <v>12481</v>
      </c>
      <c r="F5470" s="34" t="n">
        <f aca="false">IFERROR(VLOOKUP($A5470,'319'!$B:$H,7,0),0)</f>
        <v>0</v>
      </c>
      <c r="G5470" s="34" t="n">
        <f aca="false">SUMIFS('12.326ana'!$C:$C,'12.326ana'!$M:$M,redes!A5470)</f>
        <v>0</v>
      </c>
    </row>
    <row r="5471" customFormat="false" ht="14.4" hidden="true" customHeight="false" outlineLevel="0" collapsed="false">
      <c r="A5471" s="34" t="n">
        <v>283795000192</v>
      </c>
      <c r="B5471" s="34" t="s">
        <v>12482</v>
      </c>
      <c r="C5471" s="34" t="s">
        <v>77</v>
      </c>
      <c r="E5471" s="30" t="s">
        <v>3632</v>
      </c>
      <c r="F5471" s="34" t="n">
        <f aca="false">IFERROR(VLOOKUP($A5471,'319'!$B:$H,7,0),0)</f>
        <v>0</v>
      </c>
      <c r="G5471" s="34" t="n">
        <f aca="false">SUMIFS('12.326ana'!$C:$C,'12.326ana'!$M:$M,redes!A5471)</f>
        <v>0</v>
      </c>
    </row>
    <row r="5472" customFormat="false" ht="14.4" hidden="true" customHeight="false" outlineLevel="0" collapsed="false">
      <c r="A5472" s="34" t="n">
        <v>287647000146</v>
      </c>
      <c r="B5472" s="34" t="s">
        <v>12483</v>
      </c>
      <c r="C5472" s="34" t="s">
        <v>962</v>
      </c>
      <c r="E5472" s="30" t="s">
        <v>4702</v>
      </c>
      <c r="F5472" s="34" t="n">
        <f aca="false">IFERROR(VLOOKUP($A5472,'319'!$B:$H,7,0),0)</f>
        <v>0</v>
      </c>
      <c r="G5472" s="34" t="n">
        <f aca="false">SUMIFS('12.326ana'!$C:$C,'12.326ana'!$M:$M,redes!A5472)</f>
        <v>0</v>
      </c>
    </row>
    <row r="5473" customFormat="false" ht="14.4" hidden="true" customHeight="false" outlineLevel="0" collapsed="false">
      <c r="A5473" s="34" t="n">
        <v>287662000194</v>
      </c>
      <c r="B5473" s="34" t="s">
        <v>12484</v>
      </c>
      <c r="C5473" s="34" t="s">
        <v>77</v>
      </c>
      <c r="E5473" s="30" t="s">
        <v>12485</v>
      </c>
      <c r="F5473" s="34" t="n">
        <f aca="false">IFERROR(VLOOKUP($A5473,'319'!$B:$H,7,0),0)</f>
        <v>0</v>
      </c>
      <c r="G5473" s="34" t="n">
        <f aca="false">SUMIFS('12.326ana'!$C:$C,'12.326ana'!$M:$M,redes!A5473)</f>
        <v>0</v>
      </c>
    </row>
    <row r="5474" customFormat="false" ht="14.4" hidden="true" customHeight="false" outlineLevel="0" collapsed="false">
      <c r="A5474" s="34" t="n">
        <v>288528000108</v>
      </c>
      <c r="B5474" s="34" t="s">
        <v>12486</v>
      </c>
      <c r="C5474" s="34" t="s">
        <v>77</v>
      </c>
      <c r="E5474" s="30" t="s">
        <v>5134</v>
      </c>
      <c r="F5474" s="34" t="n">
        <f aca="false">IFERROR(VLOOKUP($A5474,'319'!$B:$H,7,0),0)</f>
        <v>0</v>
      </c>
      <c r="G5474" s="34" t="n">
        <f aca="false">SUMIFS('12.326ana'!$C:$C,'12.326ana'!$M:$M,redes!A5474)</f>
        <v>0</v>
      </c>
    </row>
    <row r="5475" customFormat="false" ht="14.4" hidden="true" customHeight="false" outlineLevel="0" collapsed="false">
      <c r="A5475" s="34" t="n">
        <v>291103000158</v>
      </c>
      <c r="B5475" s="34" t="s">
        <v>12487</v>
      </c>
      <c r="C5475" s="34" t="s">
        <v>77</v>
      </c>
      <c r="E5475" s="30" t="s">
        <v>12488</v>
      </c>
      <c r="F5475" s="34" t="n">
        <f aca="false">IFERROR(VLOOKUP($A5475,'319'!$B:$H,7,0),0)</f>
        <v>0</v>
      </c>
      <c r="G5475" s="34" t="n">
        <f aca="false">SUMIFS('12.326ana'!$C:$C,'12.326ana'!$M:$M,redes!A5475)</f>
        <v>0</v>
      </c>
    </row>
    <row r="5476" customFormat="false" ht="14.4" hidden="true" customHeight="false" outlineLevel="0" collapsed="false">
      <c r="A5476" s="34" t="n">
        <v>291549000182</v>
      </c>
      <c r="B5476" s="34" t="s">
        <v>12489</v>
      </c>
      <c r="C5476" s="34" t="s">
        <v>107</v>
      </c>
      <c r="E5476" s="30" t="s">
        <v>12490</v>
      </c>
      <c r="F5476" s="34" t="n">
        <f aca="false">IFERROR(VLOOKUP($A5476,'319'!$B:$H,7,0),0)</f>
        <v>0</v>
      </c>
      <c r="G5476" s="34" t="n">
        <f aca="false">SUMIFS('12.326ana'!$C:$C,'12.326ana'!$M:$M,redes!A5476)</f>
        <v>0</v>
      </c>
    </row>
    <row r="5477" customFormat="false" ht="14.4" hidden="true" customHeight="false" outlineLevel="0" collapsed="false">
      <c r="A5477" s="34" t="n">
        <v>291557000129</v>
      </c>
      <c r="B5477" s="34" t="s">
        <v>12491</v>
      </c>
      <c r="C5477" s="34" t="s">
        <v>77</v>
      </c>
      <c r="E5477" s="30" t="s">
        <v>12492</v>
      </c>
      <c r="F5477" s="34" t="n">
        <f aca="false">IFERROR(VLOOKUP($A5477,'319'!$B:$H,7,0),0)</f>
        <v>0</v>
      </c>
      <c r="G5477" s="34" t="n">
        <f aca="false">SUMIFS('12.326ana'!$C:$C,'12.326ana'!$M:$M,redes!A5477)</f>
        <v>0</v>
      </c>
    </row>
    <row r="5478" customFormat="false" ht="14.4" hidden="true" customHeight="false" outlineLevel="0" collapsed="false">
      <c r="A5478" s="34" t="n">
        <v>291562000131</v>
      </c>
      <c r="B5478" s="34" t="s">
        <v>12493</v>
      </c>
      <c r="C5478" s="34" t="s">
        <v>473</v>
      </c>
      <c r="E5478" s="30" t="s">
        <v>12494</v>
      </c>
      <c r="F5478" s="34" t="n">
        <f aca="false">IFERROR(VLOOKUP($A5478,'319'!$B:$H,7,0),0)</f>
        <v>0</v>
      </c>
      <c r="G5478" s="34" t="n">
        <f aca="false">SUMIFS('12.326ana'!$C:$C,'12.326ana'!$M:$M,redes!A5478)</f>
        <v>0</v>
      </c>
    </row>
    <row r="5479" customFormat="false" ht="14.4" hidden="true" customHeight="false" outlineLevel="0" collapsed="false">
      <c r="A5479" s="34" t="n">
        <v>294339000148</v>
      </c>
      <c r="B5479" s="34" t="s">
        <v>12495</v>
      </c>
      <c r="C5479" s="34" t="s">
        <v>77</v>
      </c>
      <c r="E5479" s="30" t="s">
        <v>12496</v>
      </c>
      <c r="F5479" s="34" t="n">
        <f aca="false">IFERROR(VLOOKUP($A5479,'319'!$B:$H,7,0),0)</f>
        <v>0</v>
      </c>
      <c r="G5479" s="34" t="n">
        <f aca="false">SUMIFS('12.326ana'!$C:$C,'12.326ana'!$M:$M,redes!A5479)</f>
        <v>0</v>
      </c>
    </row>
    <row r="5480" customFormat="false" ht="14.4" hidden="true" customHeight="false" outlineLevel="0" collapsed="false">
      <c r="A5480" s="34" t="n">
        <v>298601000122</v>
      </c>
      <c r="B5480" s="34" t="s">
        <v>12497</v>
      </c>
      <c r="C5480" s="34" t="s">
        <v>565</v>
      </c>
      <c r="E5480" s="30" t="s">
        <v>12498</v>
      </c>
      <c r="F5480" s="34" t="n">
        <f aca="false">IFERROR(VLOOKUP($A5480,'319'!$B:$H,7,0),0)</f>
        <v>0</v>
      </c>
      <c r="G5480" s="34" t="n">
        <f aca="false">SUMIFS('12.326ana'!$C:$C,'12.326ana'!$M:$M,redes!A5480)</f>
        <v>0</v>
      </c>
    </row>
    <row r="5481" customFormat="false" ht="14.4" hidden="true" customHeight="false" outlineLevel="0" collapsed="false">
      <c r="A5481" s="34" t="n">
        <v>298618000180</v>
      </c>
      <c r="B5481" s="34" t="s">
        <v>12499</v>
      </c>
      <c r="C5481" s="34" t="s">
        <v>77</v>
      </c>
      <c r="E5481" s="30" t="s">
        <v>12500</v>
      </c>
      <c r="F5481" s="34" t="n">
        <f aca="false">IFERROR(VLOOKUP($A5481,'319'!$B:$H,7,0),0)</f>
        <v>0</v>
      </c>
      <c r="G5481" s="34" t="n">
        <f aca="false">SUMIFS('12.326ana'!$C:$C,'12.326ana'!$M:$M,redes!A5481)</f>
        <v>0</v>
      </c>
    </row>
    <row r="5482" customFormat="false" ht="14.4" hidden="true" customHeight="false" outlineLevel="0" collapsed="false">
      <c r="A5482" s="34" t="n">
        <v>300354000151</v>
      </c>
      <c r="B5482" s="34" t="s">
        <v>12501</v>
      </c>
      <c r="C5482" s="34" t="s">
        <v>107</v>
      </c>
      <c r="E5482" s="30" t="s">
        <v>12502</v>
      </c>
      <c r="F5482" s="34" t="n">
        <f aca="false">IFERROR(VLOOKUP($A5482,'319'!$B:$H,7,0),0)</f>
        <v>0</v>
      </c>
      <c r="G5482" s="34" t="n">
        <f aca="false">SUMIFS('12.326ana'!$C:$C,'12.326ana'!$M:$M,redes!A5482)</f>
        <v>0</v>
      </c>
    </row>
    <row r="5483" customFormat="false" ht="14.4" hidden="true" customHeight="false" outlineLevel="0" collapsed="false">
      <c r="A5483" s="34" t="n">
        <v>300382000179</v>
      </c>
      <c r="B5483" s="34" t="s">
        <v>12503</v>
      </c>
      <c r="C5483" s="34" t="s">
        <v>631</v>
      </c>
      <c r="D5483" s="34" t="s">
        <v>12504</v>
      </c>
      <c r="E5483" s="30" t="s">
        <v>12505</v>
      </c>
      <c r="F5483" s="34" t="n">
        <f aca="false">IFERROR(VLOOKUP($A5483,'319'!$B:$H,7,0),0)</f>
        <v>0</v>
      </c>
      <c r="G5483" s="34" t="n">
        <f aca="false">SUMIFS('12.326ana'!$C:$C,'12.326ana'!$M:$M,redes!A5483)</f>
        <v>0</v>
      </c>
    </row>
    <row r="5484" customFormat="false" ht="14.4" hidden="true" customHeight="false" outlineLevel="0" collapsed="false">
      <c r="A5484" s="34" t="n">
        <v>304182000194</v>
      </c>
      <c r="B5484" s="34" t="s">
        <v>12506</v>
      </c>
      <c r="C5484" s="34" t="s">
        <v>77</v>
      </c>
      <c r="E5484" s="30" t="s">
        <v>12507</v>
      </c>
      <c r="F5484" s="34" t="n">
        <f aca="false">IFERROR(VLOOKUP($A5484,'319'!$B:$H,7,0),0)</f>
        <v>0</v>
      </c>
      <c r="G5484" s="34" t="n">
        <f aca="false">SUMIFS('12.326ana'!$C:$C,'12.326ana'!$M:$M,redes!A5484)</f>
        <v>0</v>
      </c>
    </row>
    <row r="5485" customFormat="false" ht="14.4" hidden="true" customHeight="false" outlineLevel="0" collapsed="false">
      <c r="A5485" s="34" t="n">
        <v>304182000275</v>
      </c>
      <c r="B5485" s="34" t="s">
        <v>12506</v>
      </c>
      <c r="C5485" s="34" t="s">
        <v>77</v>
      </c>
      <c r="E5485" s="30" t="s">
        <v>12508</v>
      </c>
      <c r="F5485" s="34" t="n">
        <f aca="false">IFERROR(VLOOKUP($A5485,'319'!$B:$H,7,0),0)</f>
        <v>0</v>
      </c>
      <c r="G5485" s="34" t="n">
        <f aca="false">SUMIFS('12.326ana'!$C:$C,'12.326ana'!$M:$M,redes!A5485)</f>
        <v>0</v>
      </c>
    </row>
    <row r="5486" customFormat="false" ht="14.4" hidden="true" customHeight="false" outlineLevel="0" collapsed="false">
      <c r="A5486" s="34" t="n">
        <v>306063000170</v>
      </c>
      <c r="B5486" s="34" t="s">
        <v>12509</v>
      </c>
      <c r="C5486" s="34" t="s">
        <v>1341</v>
      </c>
      <c r="E5486" s="30" t="s">
        <v>12510</v>
      </c>
      <c r="F5486" s="34" t="n">
        <f aca="false">IFERROR(VLOOKUP($A5486,'319'!$B:$H,7,0),0)</f>
        <v>0</v>
      </c>
      <c r="G5486" s="34" t="n">
        <f aca="false">SUMIFS('12.326ana'!$C:$C,'12.326ana'!$M:$M,redes!A5486)</f>
        <v>0</v>
      </c>
    </row>
    <row r="5487" customFormat="false" ht="14.4" hidden="true" customHeight="false" outlineLevel="0" collapsed="false">
      <c r="A5487" s="34" t="n">
        <v>306066000104</v>
      </c>
      <c r="B5487" s="34" t="s">
        <v>12511</v>
      </c>
      <c r="C5487" s="34" t="s">
        <v>357</v>
      </c>
      <c r="E5487" s="30" t="s">
        <v>12512</v>
      </c>
      <c r="F5487" s="34" t="n">
        <f aca="false">IFERROR(VLOOKUP($A5487,'319'!$B:$H,7,0),0)</f>
        <v>0</v>
      </c>
      <c r="G5487" s="34" t="n">
        <f aca="false">SUMIFS('12.326ana'!$C:$C,'12.326ana'!$M:$M,redes!A5487)</f>
        <v>0</v>
      </c>
    </row>
    <row r="5488" customFormat="false" ht="14.4" hidden="true" customHeight="false" outlineLevel="0" collapsed="false">
      <c r="A5488" s="34" t="n">
        <v>313231000155</v>
      </c>
      <c r="B5488" s="34" t="s">
        <v>12513</v>
      </c>
      <c r="C5488" s="34" t="s">
        <v>89</v>
      </c>
      <c r="E5488" s="30" t="s">
        <v>12514</v>
      </c>
      <c r="F5488" s="34" t="n">
        <f aca="false">IFERROR(VLOOKUP($A5488,'319'!$B:$H,7,0),0)</f>
        <v>0</v>
      </c>
      <c r="G5488" s="34" t="n">
        <f aca="false">SUMIFS('12.326ana'!$C:$C,'12.326ana'!$M:$M,redes!A5488)</f>
        <v>0</v>
      </c>
    </row>
    <row r="5489" customFormat="false" ht="14.4" hidden="true" customHeight="false" outlineLevel="0" collapsed="false">
      <c r="A5489" s="34" t="n">
        <v>315575000101</v>
      </c>
      <c r="B5489" s="34" t="s">
        <v>12515</v>
      </c>
      <c r="C5489" s="34" t="s">
        <v>77</v>
      </c>
      <c r="E5489" s="30" t="s">
        <v>7645</v>
      </c>
      <c r="F5489" s="34" t="n">
        <f aca="false">IFERROR(VLOOKUP($A5489,'319'!$B:$H,7,0),0)</f>
        <v>0</v>
      </c>
      <c r="G5489" s="34" t="n">
        <f aca="false">SUMIFS('12.326ana'!$C:$C,'12.326ana'!$M:$M,redes!A5489)</f>
        <v>0</v>
      </c>
    </row>
    <row r="5490" customFormat="false" ht="14.4" hidden="true" customHeight="false" outlineLevel="0" collapsed="false">
      <c r="A5490" s="34" t="n">
        <v>319528000128</v>
      </c>
      <c r="B5490" s="34" t="s">
        <v>12516</v>
      </c>
      <c r="C5490" s="34" t="s">
        <v>107</v>
      </c>
      <c r="E5490" s="30" t="s">
        <v>12517</v>
      </c>
      <c r="F5490" s="34" t="n">
        <f aca="false">IFERROR(VLOOKUP($A5490,'319'!$B:$H,7,0),0)</f>
        <v>0</v>
      </c>
      <c r="G5490" s="34" t="n">
        <f aca="false">SUMIFS('12.326ana'!$C:$C,'12.326ana'!$M:$M,redes!A5490)</f>
        <v>0</v>
      </c>
    </row>
    <row r="5491" customFormat="false" ht="14.4" hidden="true" customHeight="false" outlineLevel="0" collapsed="false">
      <c r="A5491" s="34" t="n">
        <v>324029000129</v>
      </c>
      <c r="B5491" s="34" t="s">
        <v>12518</v>
      </c>
      <c r="C5491" s="34" t="s">
        <v>357</v>
      </c>
      <c r="E5491" s="30" t="s">
        <v>12519</v>
      </c>
      <c r="F5491" s="34" t="n">
        <f aca="false">IFERROR(VLOOKUP($A5491,'319'!$B:$H,7,0),0)</f>
        <v>0</v>
      </c>
      <c r="G5491" s="34" t="n">
        <f aca="false">SUMIFS('12.326ana'!$C:$C,'12.326ana'!$M:$M,redes!A5491)</f>
        <v>0</v>
      </c>
    </row>
    <row r="5492" customFormat="false" ht="14.4" hidden="true" customHeight="false" outlineLevel="0" collapsed="false">
      <c r="A5492" s="34" t="n">
        <v>324036000120</v>
      </c>
      <c r="B5492" s="34" t="s">
        <v>12520</v>
      </c>
      <c r="C5492" s="34" t="s">
        <v>1602</v>
      </c>
      <c r="E5492" s="30" t="s">
        <v>12521</v>
      </c>
      <c r="F5492" s="34" t="n">
        <f aca="false">IFERROR(VLOOKUP($A5492,'319'!$B:$H,7,0),0)</f>
        <v>0</v>
      </c>
      <c r="G5492" s="34" t="n">
        <f aca="false">SUMIFS('12.326ana'!$C:$C,'12.326ana'!$M:$M,redes!A5492)</f>
        <v>0</v>
      </c>
    </row>
    <row r="5493" customFormat="false" ht="14.4" hidden="true" customHeight="false" outlineLevel="0" collapsed="false">
      <c r="A5493" s="34" t="n">
        <v>324072000194</v>
      </c>
      <c r="B5493" s="34" t="s">
        <v>12522</v>
      </c>
      <c r="C5493" s="34" t="s">
        <v>1680</v>
      </c>
      <c r="E5493" s="30" t="s">
        <v>12523</v>
      </c>
      <c r="F5493" s="34" t="n">
        <f aca="false">IFERROR(VLOOKUP($A5493,'319'!$B:$H,7,0),0)</f>
        <v>0</v>
      </c>
      <c r="G5493" s="34" t="n">
        <f aca="false">SUMIFS('12.326ana'!$C:$C,'12.326ana'!$M:$M,redes!A5493)</f>
        <v>0</v>
      </c>
    </row>
    <row r="5494" customFormat="false" ht="14.4" hidden="true" customHeight="false" outlineLevel="0" collapsed="false">
      <c r="A5494" s="34" t="n">
        <v>327118000129</v>
      </c>
      <c r="B5494" s="34" t="s">
        <v>12524</v>
      </c>
      <c r="C5494" s="34" t="s">
        <v>89</v>
      </c>
      <c r="E5494" s="30"/>
      <c r="F5494" s="34" t="n">
        <f aca="false">IFERROR(VLOOKUP($A5494,'319'!$B:$H,7,0),0)</f>
        <v>0</v>
      </c>
      <c r="G5494" s="34" t="n">
        <f aca="false">SUMIFS('12.326ana'!$C:$C,'12.326ana'!$M:$M,redes!A5494)</f>
        <v>0</v>
      </c>
    </row>
    <row r="5495" customFormat="false" ht="14.4" hidden="true" customHeight="false" outlineLevel="0" collapsed="false">
      <c r="A5495" s="34" t="n">
        <v>331154000166</v>
      </c>
      <c r="B5495" s="34" t="s">
        <v>12525</v>
      </c>
      <c r="C5495" s="34" t="s">
        <v>328</v>
      </c>
      <c r="E5495" s="30" t="s">
        <v>12526</v>
      </c>
      <c r="F5495" s="34" t="n">
        <f aca="false">IFERROR(VLOOKUP($A5495,'319'!$B:$H,7,0),0)</f>
        <v>0</v>
      </c>
      <c r="G5495" s="34" t="n">
        <f aca="false">SUMIFS('12.326ana'!$C:$C,'12.326ana'!$M:$M,redes!A5495)</f>
        <v>0</v>
      </c>
    </row>
    <row r="5496" customFormat="false" ht="14.4" hidden="true" customHeight="false" outlineLevel="0" collapsed="false">
      <c r="A5496" s="34" t="n">
        <v>331158000144</v>
      </c>
      <c r="B5496" s="34" t="s">
        <v>12527</v>
      </c>
      <c r="C5496" s="34" t="s">
        <v>342</v>
      </c>
      <c r="E5496" s="30" t="s">
        <v>12528</v>
      </c>
      <c r="F5496" s="34" t="n">
        <f aca="false">IFERROR(VLOOKUP($A5496,'319'!$B:$H,7,0),0)</f>
        <v>0</v>
      </c>
      <c r="G5496" s="34" t="n">
        <f aca="false">SUMIFS('12.326ana'!$C:$C,'12.326ana'!$M:$M,redes!A5496)</f>
        <v>0</v>
      </c>
    </row>
    <row r="5497" customFormat="false" ht="14.4" hidden="true" customHeight="false" outlineLevel="0" collapsed="false">
      <c r="A5497" s="34" t="n">
        <v>333488000179</v>
      </c>
      <c r="B5497" s="34" t="s">
        <v>12529</v>
      </c>
      <c r="C5497" s="34" t="s">
        <v>744</v>
      </c>
      <c r="E5497" s="30" t="s">
        <v>12530</v>
      </c>
      <c r="F5497" s="34" t="n">
        <f aca="false">IFERROR(VLOOKUP($A5497,'319'!$B:$H,7,0),0)</f>
        <v>0</v>
      </c>
      <c r="G5497" s="34" t="n">
        <f aca="false">SUMIFS('12.326ana'!$C:$C,'12.326ana'!$M:$M,redes!A5497)</f>
        <v>0</v>
      </c>
    </row>
    <row r="5498" customFormat="false" ht="14.4" hidden="true" customHeight="false" outlineLevel="0" collapsed="false">
      <c r="A5498" s="34" t="n">
        <v>337426000135</v>
      </c>
      <c r="B5498" s="34" t="s">
        <v>12531</v>
      </c>
      <c r="C5498" s="34" t="s">
        <v>77</v>
      </c>
      <c r="E5498" s="30" t="s">
        <v>12532</v>
      </c>
      <c r="F5498" s="34" t="n">
        <f aca="false">IFERROR(VLOOKUP($A5498,'319'!$B:$H,7,0),0)</f>
        <v>0</v>
      </c>
      <c r="G5498" s="34" t="n">
        <f aca="false">SUMIFS('12.326ana'!$C:$C,'12.326ana'!$M:$M,redes!A5498)</f>
        <v>0</v>
      </c>
    </row>
    <row r="5499" customFormat="false" ht="14.4" hidden="true" customHeight="false" outlineLevel="0" collapsed="false">
      <c r="A5499" s="34" t="n">
        <v>337450000174</v>
      </c>
      <c r="B5499" s="34" t="s">
        <v>12533</v>
      </c>
      <c r="C5499" s="34" t="s">
        <v>139</v>
      </c>
      <c r="E5499" s="30" t="s">
        <v>12534</v>
      </c>
      <c r="F5499" s="34" t="n">
        <f aca="false">IFERROR(VLOOKUP($A5499,'319'!$B:$H,7,0),0)</f>
        <v>0</v>
      </c>
      <c r="G5499" s="34" t="n">
        <f aca="false">SUMIFS('12.326ana'!$C:$C,'12.326ana'!$M:$M,redes!A5499)</f>
        <v>0</v>
      </c>
    </row>
    <row r="5500" customFormat="false" ht="14.4" hidden="true" customHeight="false" outlineLevel="0" collapsed="false">
      <c r="A5500" s="34" t="n">
        <v>339295000125</v>
      </c>
      <c r="B5500" s="34" t="s">
        <v>12535</v>
      </c>
      <c r="C5500" s="34" t="s">
        <v>7250</v>
      </c>
      <c r="E5500" s="30" t="s">
        <v>12536</v>
      </c>
      <c r="F5500" s="34" t="n">
        <f aca="false">IFERROR(VLOOKUP($A5500,'319'!$B:$H,7,0),0)</f>
        <v>0</v>
      </c>
      <c r="G5500" s="34" t="n">
        <f aca="false">SUMIFS('12.326ana'!$C:$C,'12.326ana'!$M:$M,redes!A5500)</f>
        <v>0</v>
      </c>
    </row>
    <row r="5501" customFormat="false" ht="14.4" hidden="true" customHeight="false" outlineLevel="0" collapsed="false">
      <c r="A5501" s="34" t="n">
        <v>341515000155</v>
      </c>
      <c r="B5501" s="34" t="s">
        <v>12537</v>
      </c>
      <c r="C5501" s="34" t="s">
        <v>77</v>
      </c>
      <c r="E5501" s="30" t="s">
        <v>12538</v>
      </c>
      <c r="F5501" s="34" t="n">
        <f aca="false">IFERROR(VLOOKUP($A5501,'319'!$B:$H,7,0),0)</f>
        <v>0</v>
      </c>
      <c r="G5501" s="34" t="n">
        <f aca="false">SUMIFS('12.326ana'!$C:$C,'12.326ana'!$M:$M,redes!A5501)</f>
        <v>0</v>
      </c>
    </row>
    <row r="5502" customFormat="false" ht="14.4" hidden="true" customHeight="false" outlineLevel="0" collapsed="false">
      <c r="A5502" s="34" t="n">
        <v>341549000140</v>
      </c>
      <c r="B5502" s="34" t="s">
        <v>12539</v>
      </c>
      <c r="C5502" s="34" t="s">
        <v>1054</v>
      </c>
      <c r="E5502" s="30" t="s">
        <v>12540</v>
      </c>
      <c r="F5502" s="34" t="n">
        <f aca="false">IFERROR(VLOOKUP($A5502,'319'!$B:$H,7,0),0)</f>
        <v>0</v>
      </c>
      <c r="G5502" s="34" t="n">
        <f aca="false">SUMIFS('12.326ana'!$C:$C,'12.326ana'!$M:$M,redes!A5502)</f>
        <v>0</v>
      </c>
    </row>
    <row r="5503" customFormat="false" ht="14.4" hidden="true" customHeight="false" outlineLevel="0" collapsed="false">
      <c r="A5503" s="34" t="n">
        <v>352556000147</v>
      </c>
      <c r="B5503" s="34" t="s">
        <v>12541</v>
      </c>
      <c r="C5503" s="34" t="s">
        <v>107</v>
      </c>
      <c r="E5503" s="30" t="s">
        <v>1838</v>
      </c>
      <c r="F5503" s="34" t="n">
        <f aca="false">IFERROR(VLOOKUP($A5503,'319'!$B:$H,7,0),0)</f>
        <v>0</v>
      </c>
      <c r="G5503" s="34" t="n">
        <f aca="false">SUMIFS('12.326ana'!$C:$C,'12.326ana'!$M:$M,redes!A5503)</f>
        <v>0</v>
      </c>
    </row>
    <row r="5504" customFormat="false" ht="14.4" hidden="true" customHeight="false" outlineLevel="0" collapsed="false">
      <c r="A5504" s="34" t="n">
        <v>361186000104</v>
      </c>
      <c r="B5504" s="34" t="s">
        <v>12542</v>
      </c>
      <c r="C5504" s="34" t="s">
        <v>77</v>
      </c>
      <c r="E5504" s="30" t="s">
        <v>12543</v>
      </c>
      <c r="F5504" s="34" t="n">
        <f aca="false">IFERROR(VLOOKUP($A5504,'319'!$B:$H,7,0),0)</f>
        <v>0</v>
      </c>
      <c r="G5504" s="34" t="n">
        <f aca="false">SUMIFS('12.326ana'!$C:$C,'12.326ana'!$M:$M,redes!A5504)</f>
        <v>0</v>
      </c>
    </row>
    <row r="5505" customFormat="false" ht="14.4" hidden="true" customHeight="false" outlineLevel="0" collapsed="false">
      <c r="A5505" s="34" t="n">
        <v>362290000113</v>
      </c>
      <c r="B5505" s="34" t="s">
        <v>12544</v>
      </c>
      <c r="C5505" s="34" t="s">
        <v>77</v>
      </c>
      <c r="E5505" s="30" t="s">
        <v>12545</v>
      </c>
      <c r="F5505" s="34" t="n">
        <f aca="false">IFERROR(VLOOKUP($A5505,'319'!$B:$H,7,0),0)</f>
        <v>0</v>
      </c>
      <c r="G5505" s="34" t="n">
        <f aca="false">SUMIFS('12.326ana'!$C:$C,'12.326ana'!$M:$M,redes!A5505)</f>
        <v>0</v>
      </c>
    </row>
    <row r="5506" customFormat="false" ht="14.4" hidden="true" customHeight="false" outlineLevel="0" collapsed="false">
      <c r="A5506" s="34" t="n">
        <v>366281000109</v>
      </c>
      <c r="B5506" s="34" t="s">
        <v>12546</v>
      </c>
      <c r="C5506" s="34" t="s">
        <v>336</v>
      </c>
      <c r="E5506" s="30" t="s">
        <v>12547</v>
      </c>
      <c r="F5506" s="34" t="n">
        <f aca="false">IFERROR(VLOOKUP($A5506,'319'!$B:$H,7,0),0)</f>
        <v>0</v>
      </c>
      <c r="G5506" s="34" t="n">
        <f aca="false">SUMIFS('12.326ana'!$C:$C,'12.326ana'!$M:$M,redes!A5506)</f>
        <v>0</v>
      </c>
    </row>
    <row r="5507" customFormat="false" ht="14.4" hidden="true" customHeight="false" outlineLevel="0" collapsed="false">
      <c r="A5507" s="34" t="n">
        <v>369338000115</v>
      </c>
      <c r="B5507" s="34" t="s">
        <v>12548</v>
      </c>
      <c r="C5507" s="34" t="s">
        <v>764</v>
      </c>
      <c r="E5507" s="30" t="s">
        <v>3066</v>
      </c>
      <c r="F5507" s="34" t="n">
        <f aca="false">IFERROR(VLOOKUP($A5507,'319'!$B:$H,7,0),0)</f>
        <v>2187.23</v>
      </c>
      <c r="G5507" s="34" t="n">
        <f aca="false">SUMIFS('12.326ana'!$C:$C,'12.326ana'!$M:$M,redes!A5507)</f>
        <v>0</v>
      </c>
    </row>
    <row r="5508" customFormat="false" ht="14.4" hidden="true" customHeight="false" outlineLevel="0" collapsed="false">
      <c r="A5508" s="34" t="n">
        <v>370523000120</v>
      </c>
      <c r="B5508" s="34" t="s">
        <v>12549</v>
      </c>
      <c r="C5508" s="34" t="s">
        <v>475</v>
      </c>
      <c r="E5508" s="30" t="s">
        <v>12550</v>
      </c>
      <c r="F5508" s="34" t="n">
        <f aca="false">IFERROR(VLOOKUP($A5508,'319'!$B:$H,7,0),0)</f>
        <v>0</v>
      </c>
      <c r="G5508" s="34" t="n">
        <f aca="false">SUMIFS('12.326ana'!$C:$C,'12.326ana'!$M:$M,redes!A5508)</f>
        <v>0</v>
      </c>
    </row>
    <row r="5509" customFormat="false" ht="14.4" hidden="true" customHeight="false" outlineLevel="0" collapsed="false">
      <c r="A5509" s="34" t="n">
        <v>374413300016</v>
      </c>
      <c r="B5509" s="34" t="s">
        <v>12551</v>
      </c>
      <c r="C5509" s="34" t="s">
        <v>4139</v>
      </c>
      <c r="E5509" s="30" t="s">
        <v>6310</v>
      </c>
      <c r="F5509" s="34" t="n">
        <f aca="false">IFERROR(VLOOKUP($A5509,'319'!$B:$H,7,0),0)</f>
        <v>0</v>
      </c>
      <c r="G5509" s="34" t="n">
        <f aca="false">SUMIFS('12.326ana'!$C:$C,'12.326ana'!$M:$M,redes!A5509)</f>
        <v>0</v>
      </c>
    </row>
    <row r="5510" customFormat="false" ht="14.4" hidden="true" customHeight="false" outlineLevel="0" collapsed="false">
      <c r="A5510" s="34" t="n">
        <v>375767000103</v>
      </c>
      <c r="B5510" s="34" t="s">
        <v>12552</v>
      </c>
      <c r="C5510" s="34" t="s">
        <v>377</v>
      </c>
      <c r="E5510" s="30" t="s">
        <v>12553</v>
      </c>
      <c r="F5510" s="34" t="n">
        <f aca="false">IFERROR(VLOOKUP($A5510,'319'!$B:$H,7,0),0)</f>
        <v>0</v>
      </c>
      <c r="G5510" s="34" t="n">
        <f aca="false">SUMIFS('12.326ana'!$C:$C,'12.326ana'!$M:$M,redes!A5510)</f>
        <v>0</v>
      </c>
    </row>
    <row r="5511" customFormat="false" ht="14.4" hidden="true" customHeight="false" outlineLevel="0" collapsed="false">
      <c r="A5511" s="34" t="n">
        <v>375780000154</v>
      </c>
      <c r="B5511" s="34" t="s">
        <v>12554</v>
      </c>
      <c r="C5511" s="34" t="s">
        <v>107</v>
      </c>
      <c r="E5511" s="30" t="s">
        <v>12555</v>
      </c>
      <c r="F5511" s="34" t="n">
        <f aca="false">IFERROR(VLOOKUP($A5511,'319'!$B:$H,7,0),0)</f>
        <v>0</v>
      </c>
      <c r="G5511" s="34" t="n">
        <f aca="false">SUMIFS('12.326ana'!$C:$C,'12.326ana'!$M:$M,redes!A5511)</f>
        <v>0</v>
      </c>
    </row>
    <row r="5512" customFormat="false" ht="14.4" hidden="true" customHeight="false" outlineLevel="0" collapsed="false">
      <c r="A5512" s="34" t="n">
        <v>380335000182</v>
      </c>
      <c r="B5512" s="34" t="s">
        <v>12556</v>
      </c>
      <c r="C5512" s="34" t="s">
        <v>77</v>
      </c>
      <c r="E5512" s="30" t="s">
        <v>12557</v>
      </c>
      <c r="F5512" s="34" t="n">
        <f aca="false">IFERROR(VLOOKUP($A5512,'319'!$B:$H,7,0),0)</f>
        <v>0</v>
      </c>
      <c r="G5512" s="34" t="n">
        <f aca="false">SUMIFS('12.326ana'!$C:$C,'12.326ana'!$M:$M,redes!A5512)</f>
        <v>0</v>
      </c>
    </row>
    <row r="5513" customFormat="false" ht="14.4" hidden="true" customHeight="false" outlineLevel="0" collapsed="false">
      <c r="A5513" s="34" t="n">
        <v>380343000129</v>
      </c>
      <c r="B5513" s="34" t="s">
        <v>12558</v>
      </c>
      <c r="C5513" s="34" t="s">
        <v>77</v>
      </c>
      <c r="E5513" s="30" t="s">
        <v>12559</v>
      </c>
      <c r="F5513" s="34" t="n">
        <f aca="false">IFERROR(VLOOKUP($A5513,'319'!$B:$H,7,0),0)</f>
        <v>0</v>
      </c>
      <c r="G5513" s="34" t="n">
        <f aca="false">SUMIFS('12.326ana'!$C:$C,'12.326ana'!$M:$M,redes!A5513)</f>
        <v>0</v>
      </c>
    </row>
    <row r="5514" customFormat="false" ht="14.4" hidden="true" customHeight="false" outlineLevel="0" collapsed="false">
      <c r="A5514" s="34" t="n">
        <v>380353000164</v>
      </c>
      <c r="B5514" s="34" t="s">
        <v>12560</v>
      </c>
      <c r="C5514" s="34" t="s">
        <v>77</v>
      </c>
      <c r="D5514" s="34" t="s">
        <v>3324</v>
      </c>
      <c r="E5514" s="30" t="s">
        <v>12561</v>
      </c>
      <c r="F5514" s="34" t="n">
        <f aca="false">IFERROR(VLOOKUP($A5514,'319'!$B:$H,7,0),0)</f>
        <v>0</v>
      </c>
      <c r="G5514" s="34" t="n">
        <f aca="false">SUMIFS('12.326ana'!$C:$C,'12.326ana'!$M:$M,redes!A5514)</f>
        <v>0</v>
      </c>
    </row>
    <row r="5515" customFormat="false" ht="14.4" hidden="true" customHeight="false" outlineLevel="0" collapsed="false">
      <c r="A5515" s="34" t="n">
        <v>380354000109</v>
      </c>
      <c r="B5515" s="34" t="s">
        <v>12562</v>
      </c>
      <c r="C5515" s="34" t="s">
        <v>848</v>
      </c>
      <c r="E5515" s="30" t="s">
        <v>12563</v>
      </c>
      <c r="F5515" s="34" t="n">
        <f aca="false">IFERROR(VLOOKUP($A5515,'319'!$B:$H,7,0),0)</f>
        <v>0</v>
      </c>
      <c r="G5515" s="34" t="n">
        <f aca="false">SUMIFS('12.326ana'!$C:$C,'12.326ana'!$M:$M,redes!A5515)</f>
        <v>0</v>
      </c>
    </row>
    <row r="5516" customFormat="false" ht="14.4" hidden="true" customHeight="false" outlineLevel="0" collapsed="false">
      <c r="A5516" s="34" t="n">
        <v>382468003375</v>
      </c>
      <c r="B5516" s="34" t="s">
        <v>12564</v>
      </c>
      <c r="C5516" s="34" t="s">
        <v>12565</v>
      </c>
      <c r="E5516" s="30" t="s">
        <v>12564</v>
      </c>
      <c r="F5516" s="34" t="n">
        <f aca="false">IFERROR(VLOOKUP($A5516,'319'!$B:$H,7,0),0)</f>
        <v>0</v>
      </c>
      <c r="G5516" s="34" t="n">
        <f aca="false">SUMIFS('12.326ana'!$C:$C,'12.326ana'!$M:$M,redes!A5516)</f>
        <v>0</v>
      </c>
    </row>
    <row r="5517" customFormat="false" ht="14.4" hidden="true" customHeight="false" outlineLevel="0" collapsed="false">
      <c r="A5517" s="34" t="n">
        <v>383295000122</v>
      </c>
      <c r="B5517" s="34" t="s">
        <v>12566</v>
      </c>
      <c r="C5517" s="34" t="s">
        <v>77</v>
      </c>
      <c r="E5517" s="30" t="s">
        <v>12567</v>
      </c>
      <c r="F5517" s="34" t="n">
        <f aca="false">IFERROR(VLOOKUP($A5517,'319'!$B:$H,7,0),0)</f>
        <v>0</v>
      </c>
      <c r="G5517" s="34" t="n">
        <f aca="false">SUMIFS('12.326ana'!$C:$C,'12.326ana'!$M:$M,redes!A5517)</f>
        <v>0</v>
      </c>
    </row>
    <row r="5518" customFormat="false" ht="14.4" hidden="true" customHeight="false" outlineLevel="0" collapsed="false">
      <c r="A5518" s="34" t="n">
        <v>388531000101</v>
      </c>
      <c r="B5518" s="34" t="s">
        <v>12568</v>
      </c>
      <c r="C5518" s="34" t="s">
        <v>848</v>
      </c>
      <c r="E5518" s="30" t="s">
        <v>12569</v>
      </c>
      <c r="F5518" s="34" t="n">
        <f aca="false">IFERROR(VLOOKUP($A5518,'319'!$B:$H,7,0),0)</f>
        <v>0</v>
      </c>
      <c r="G5518" s="34" t="n">
        <f aca="false">SUMIFS('12.326ana'!$C:$C,'12.326ana'!$M:$M,redes!A5518)</f>
        <v>0</v>
      </c>
    </row>
    <row r="5519" customFormat="false" ht="14.4" hidden="true" customHeight="false" outlineLevel="0" collapsed="false">
      <c r="A5519" s="34" t="n">
        <v>394845000109</v>
      </c>
      <c r="B5519" s="34" t="s">
        <v>12570</v>
      </c>
      <c r="C5519" s="34" t="s">
        <v>463</v>
      </c>
      <c r="D5519" s="34" t="s">
        <v>4797</v>
      </c>
      <c r="E5519" s="30" t="s">
        <v>12571</v>
      </c>
      <c r="F5519" s="34" t="n">
        <f aca="false">IFERROR(VLOOKUP($A5519,'319'!$B:$H,7,0),0)</f>
        <v>0</v>
      </c>
      <c r="G5519" s="34" t="n">
        <f aca="false">SUMIFS('12.326ana'!$C:$C,'12.326ana'!$M:$M,redes!A5519)</f>
        <v>0</v>
      </c>
    </row>
    <row r="5520" customFormat="false" ht="14.4" hidden="true" customHeight="false" outlineLevel="0" collapsed="false">
      <c r="A5520" s="34" t="n">
        <v>394845000290</v>
      </c>
      <c r="B5520" s="34" t="s">
        <v>12572</v>
      </c>
      <c r="C5520" s="34" t="s">
        <v>464</v>
      </c>
      <c r="E5520" s="30" t="s">
        <v>12573</v>
      </c>
      <c r="F5520" s="34" t="n">
        <f aca="false">IFERROR(VLOOKUP($A5520,'319'!$B:$H,7,0),0)</f>
        <v>0</v>
      </c>
      <c r="G5520" s="34" t="n">
        <f aca="false">SUMIFS('12.326ana'!$C:$C,'12.326ana'!$M:$M,redes!A5520)</f>
        <v>0</v>
      </c>
    </row>
    <row r="5521" customFormat="false" ht="14.4" hidden="true" customHeight="false" outlineLevel="0" collapsed="false">
      <c r="A5521" s="34" t="n">
        <v>398500000123</v>
      </c>
      <c r="B5521" s="34" t="s">
        <v>12574</v>
      </c>
      <c r="C5521" s="34" t="s">
        <v>328</v>
      </c>
      <c r="E5521" s="30" t="s">
        <v>12575</v>
      </c>
      <c r="F5521" s="34" t="n">
        <f aca="false">IFERROR(VLOOKUP($A5521,'319'!$B:$H,7,0),0)</f>
        <v>0</v>
      </c>
      <c r="G5521" s="34" t="n">
        <f aca="false">SUMIFS('12.326ana'!$C:$C,'12.326ana'!$M:$M,redes!A5521)</f>
        <v>0</v>
      </c>
    </row>
    <row r="5522" customFormat="false" ht="14.4" hidden="true" customHeight="false" outlineLevel="0" collapsed="false">
      <c r="A5522" s="34" t="n">
        <v>401686000122</v>
      </c>
      <c r="B5522" s="34" t="s">
        <v>12576</v>
      </c>
      <c r="C5522" s="34" t="s">
        <v>4156</v>
      </c>
      <c r="E5522" s="30" t="s">
        <v>12577</v>
      </c>
      <c r="F5522" s="34" t="n">
        <f aca="false">IFERROR(VLOOKUP($A5522,'319'!$B:$H,7,0),0)</f>
        <v>0</v>
      </c>
      <c r="G5522" s="34" t="n">
        <f aca="false">SUMIFS('12.326ana'!$C:$C,'12.326ana'!$M:$M,redes!A5522)</f>
        <v>0</v>
      </c>
    </row>
    <row r="5523" customFormat="false" ht="14.4" hidden="true" customHeight="false" outlineLevel="0" collapsed="false">
      <c r="A5523" s="34" t="n">
        <v>404532000194</v>
      </c>
      <c r="B5523" s="34" t="s">
        <v>12578</v>
      </c>
      <c r="C5523" s="34" t="s">
        <v>77</v>
      </c>
      <c r="E5523" s="30" t="s">
        <v>12579</v>
      </c>
      <c r="F5523" s="34" t="n">
        <f aca="false">IFERROR(VLOOKUP($A5523,'319'!$B:$H,7,0),0)</f>
        <v>0</v>
      </c>
      <c r="G5523" s="34" t="n">
        <f aca="false">SUMIFS('12.326ana'!$C:$C,'12.326ana'!$M:$M,redes!A5523)</f>
        <v>0</v>
      </c>
    </row>
    <row r="5524" customFormat="false" ht="14.4" hidden="true" customHeight="false" outlineLevel="0" collapsed="false">
      <c r="A5524" s="34" t="n">
        <v>406694800109</v>
      </c>
      <c r="B5524" s="34" t="s">
        <v>12580</v>
      </c>
      <c r="C5524" s="34" t="s">
        <v>77</v>
      </c>
      <c r="E5524" s="30" t="s">
        <v>5656</v>
      </c>
      <c r="F5524" s="34" t="n">
        <f aca="false">IFERROR(VLOOKUP($A5524,'319'!$B:$H,7,0),0)</f>
        <v>0</v>
      </c>
      <c r="G5524" s="34" t="n">
        <f aca="false">SUMIFS('12.326ana'!$C:$C,'12.326ana'!$M:$M,redes!A5524)</f>
        <v>0</v>
      </c>
    </row>
    <row r="5525" customFormat="false" ht="14.4" hidden="true" customHeight="false" outlineLevel="0" collapsed="false">
      <c r="A5525" s="34" t="n">
        <v>413602000170</v>
      </c>
      <c r="B5525" s="34" t="s">
        <v>12581</v>
      </c>
      <c r="C5525" s="34" t="s">
        <v>107</v>
      </c>
      <c r="E5525" s="30" t="s">
        <v>12582</v>
      </c>
      <c r="F5525" s="34" t="n">
        <f aca="false">IFERROR(VLOOKUP($A5525,'319'!$B:$H,7,0),0)</f>
        <v>0</v>
      </c>
      <c r="G5525" s="34" t="n">
        <f aca="false">SUMIFS('12.326ana'!$C:$C,'12.326ana'!$M:$M,redes!A5525)</f>
        <v>0</v>
      </c>
    </row>
    <row r="5526" customFormat="false" ht="14.4" hidden="true" customHeight="false" outlineLevel="0" collapsed="false">
      <c r="A5526" s="34" t="n">
        <v>413865000180</v>
      </c>
      <c r="B5526" s="34" t="s">
        <v>12583</v>
      </c>
      <c r="C5526" s="34" t="s">
        <v>77</v>
      </c>
      <c r="E5526" s="30" t="s">
        <v>12584</v>
      </c>
      <c r="F5526" s="34" t="n">
        <f aca="false">IFERROR(VLOOKUP($A5526,'319'!$B:$H,7,0),0)</f>
        <v>0</v>
      </c>
      <c r="G5526" s="34" t="n">
        <f aca="false">SUMIFS('12.326ana'!$C:$C,'12.326ana'!$M:$M,redes!A5526)</f>
        <v>0</v>
      </c>
    </row>
    <row r="5527" customFormat="false" ht="14.4" hidden="true" customHeight="false" outlineLevel="0" collapsed="false">
      <c r="A5527" s="34" t="n">
        <v>414145000139</v>
      </c>
      <c r="B5527" s="34" t="s">
        <v>12585</v>
      </c>
      <c r="C5527" s="34" t="s">
        <v>4139</v>
      </c>
      <c r="E5527" s="30" t="s">
        <v>12586</v>
      </c>
      <c r="F5527" s="34" t="n">
        <f aca="false">IFERROR(VLOOKUP($A5527,'319'!$B:$H,7,0),0)</f>
        <v>0</v>
      </c>
      <c r="G5527" s="34" t="n">
        <f aca="false">SUMIFS('12.326ana'!$C:$C,'12.326ana'!$M:$M,redes!A5527)</f>
        <v>0</v>
      </c>
    </row>
    <row r="5528" customFormat="false" ht="14.4" hidden="true" customHeight="false" outlineLevel="0" collapsed="false">
      <c r="A5528" s="34" t="n">
        <v>419105000180</v>
      </c>
      <c r="B5528" s="34" t="s">
        <v>12587</v>
      </c>
      <c r="C5528" s="34" t="s">
        <v>107</v>
      </c>
      <c r="E5528" s="30" t="s">
        <v>12588</v>
      </c>
      <c r="F5528" s="34" t="n">
        <f aca="false">IFERROR(VLOOKUP($A5528,'319'!$B:$H,7,0),0)</f>
        <v>0</v>
      </c>
      <c r="G5528" s="34" t="n">
        <f aca="false">SUMIFS('12.326ana'!$C:$C,'12.326ana'!$M:$M,redes!A5528)</f>
        <v>0</v>
      </c>
    </row>
    <row r="5529" customFormat="false" ht="14.4" hidden="true" customHeight="false" outlineLevel="0" collapsed="false">
      <c r="A5529" s="34" t="n">
        <v>420043000126</v>
      </c>
      <c r="B5529" s="34" t="s">
        <v>12589</v>
      </c>
      <c r="C5529" s="34" t="s">
        <v>192</v>
      </c>
      <c r="E5529" s="30" t="s">
        <v>12590</v>
      </c>
      <c r="F5529" s="34" t="n">
        <f aca="false">IFERROR(VLOOKUP($A5529,'319'!$B:$H,7,0),0)</f>
        <v>0</v>
      </c>
      <c r="G5529" s="34" t="n">
        <f aca="false">SUMIFS('12.326ana'!$C:$C,'12.326ana'!$M:$M,redes!A5529)</f>
        <v>0</v>
      </c>
    </row>
    <row r="5530" customFormat="false" ht="14.4" hidden="true" customHeight="false" outlineLevel="0" collapsed="false">
      <c r="A5530" s="35" t="n">
        <v>421631000184</v>
      </c>
      <c r="B5530" s="34" t="s">
        <v>12591</v>
      </c>
      <c r="C5530" s="34" t="s">
        <v>77</v>
      </c>
      <c r="E5530" s="30" t="s">
        <v>12592</v>
      </c>
      <c r="F5530" s="34" t="n">
        <f aca="false">IFERROR(VLOOKUP($A5530,'319'!$B:$H,7,0),0)</f>
        <v>0</v>
      </c>
      <c r="G5530" s="34" t="n">
        <f aca="false">SUMIFS('12.326ana'!$C:$C,'12.326ana'!$M:$M,redes!A5530)</f>
        <v>0</v>
      </c>
    </row>
    <row r="5531" customFormat="false" ht="14.4" hidden="true" customHeight="false" outlineLevel="0" collapsed="false">
      <c r="A5531" s="34" t="n">
        <v>421632000129</v>
      </c>
      <c r="B5531" s="34" t="s">
        <v>12593</v>
      </c>
      <c r="C5531" s="34" t="s">
        <v>377</v>
      </c>
      <c r="D5531" s="34" t="s">
        <v>33</v>
      </c>
      <c r="E5531" s="30" t="s">
        <v>12594</v>
      </c>
      <c r="F5531" s="34" t="n">
        <f aca="false">IFERROR(VLOOKUP($A5531,'319'!$B:$H,7,0),0)</f>
        <v>0</v>
      </c>
      <c r="G5531" s="34" t="n">
        <f aca="false">SUMIFS('12.326ana'!$C:$C,'12.326ana'!$M:$M,redes!A5531)</f>
        <v>0</v>
      </c>
    </row>
    <row r="5532" customFormat="false" ht="14.4" hidden="true" customHeight="false" outlineLevel="0" collapsed="false">
      <c r="A5532" s="34" t="n">
        <v>421635000162</v>
      </c>
      <c r="B5532" s="34" t="s">
        <v>12595</v>
      </c>
      <c r="C5532" s="34" t="s">
        <v>77</v>
      </c>
      <c r="E5532" s="30" t="s">
        <v>12596</v>
      </c>
      <c r="F5532" s="34" t="n">
        <f aca="false">IFERROR(VLOOKUP($A5532,'319'!$B:$H,7,0),0)</f>
        <v>0</v>
      </c>
      <c r="G5532" s="34" t="n">
        <f aca="false">SUMIFS('12.326ana'!$C:$C,'12.326ana'!$M:$M,redes!A5532)</f>
        <v>0</v>
      </c>
    </row>
    <row r="5533" customFormat="false" ht="14.4" hidden="true" customHeight="false" outlineLevel="0" collapsed="false">
      <c r="A5533" s="34" t="n">
        <v>421640000175</v>
      </c>
      <c r="B5533" s="34" t="s">
        <v>12597</v>
      </c>
      <c r="C5533" s="34" t="s">
        <v>107</v>
      </c>
      <c r="E5533" s="30" t="s">
        <v>12598</v>
      </c>
      <c r="F5533" s="34" t="n">
        <f aca="false">IFERROR(VLOOKUP($A5533,'319'!$B:$H,7,0),0)</f>
        <v>0</v>
      </c>
      <c r="G5533" s="34" t="n">
        <f aca="false">SUMIFS('12.326ana'!$C:$C,'12.326ana'!$M:$M,redes!A5533)</f>
        <v>0</v>
      </c>
    </row>
    <row r="5534" customFormat="false" ht="14.4" hidden="true" customHeight="false" outlineLevel="0" collapsed="false">
      <c r="A5534" s="34" t="n">
        <v>421695000185</v>
      </c>
      <c r="B5534" s="34" t="s">
        <v>12599</v>
      </c>
      <c r="C5534" s="34" t="s">
        <v>77</v>
      </c>
      <c r="E5534" s="30" t="s">
        <v>12600</v>
      </c>
      <c r="F5534" s="34" t="n">
        <f aca="false">IFERROR(VLOOKUP($A5534,'319'!$B:$H,7,0),0)</f>
        <v>0</v>
      </c>
      <c r="G5534" s="34" t="n">
        <f aca="false">SUMIFS('12.326ana'!$C:$C,'12.326ana'!$M:$M,redes!A5534)</f>
        <v>0</v>
      </c>
    </row>
    <row r="5535" customFormat="false" ht="14.4" hidden="true" customHeight="false" outlineLevel="0" collapsed="false">
      <c r="A5535" s="34" t="n">
        <v>424244000100</v>
      </c>
      <c r="B5535" s="34" t="s">
        <v>12601</v>
      </c>
      <c r="C5535" s="34" t="s">
        <v>107</v>
      </c>
      <c r="E5535" s="30" t="s">
        <v>12602</v>
      </c>
      <c r="F5535" s="34" t="n">
        <f aca="false">IFERROR(VLOOKUP($A5535,'319'!$B:$H,7,0),0)</f>
        <v>0</v>
      </c>
      <c r="G5535" s="34" t="n">
        <f aca="false">SUMIFS('12.326ana'!$C:$C,'12.326ana'!$M:$M,redes!A5535)</f>
        <v>0</v>
      </c>
    </row>
    <row r="5536" customFormat="false" ht="14.4" hidden="true" customHeight="false" outlineLevel="0" collapsed="false">
      <c r="A5536" s="34" t="n">
        <v>424381000136</v>
      </c>
      <c r="B5536" s="34" t="s">
        <v>12603</v>
      </c>
      <c r="C5536" s="34" t="s">
        <v>604</v>
      </c>
      <c r="E5536" s="30" t="s">
        <v>12604</v>
      </c>
      <c r="F5536" s="34" t="n">
        <f aca="false">IFERROR(VLOOKUP($A5536,'319'!$B:$H,7,0),0)</f>
        <v>0</v>
      </c>
      <c r="G5536" s="34" t="n">
        <f aca="false">SUMIFS('12.326ana'!$C:$C,'12.326ana'!$M:$M,redes!A5536)</f>
        <v>0</v>
      </c>
    </row>
    <row r="5537" customFormat="false" ht="14.4" hidden="true" customHeight="false" outlineLevel="0" collapsed="false">
      <c r="A5537" s="34" t="n">
        <v>431901000138</v>
      </c>
      <c r="B5537" s="34" t="s">
        <v>12605</v>
      </c>
      <c r="C5537" s="34" t="s">
        <v>604</v>
      </c>
      <c r="E5537" s="30" t="s">
        <v>12606</v>
      </c>
      <c r="F5537" s="34" t="n">
        <f aca="false">IFERROR(VLOOKUP($A5537,'319'!$B:$H,7,0),0)</f>
        <v>0</v>
      </c>
      <c r="G5537" s="34" t="n">
        <f aca="false">SUMIFS('12.326ana'!$C:$C,'12.326ana'!$M:$M,redes!A5537)</f>
        <v>0</v>
      </c>
    </row>
    <row r="5538" customFormat="false" ht="14.4" hidden="true" customHeight="false" outlineLevel="0" collapsed="false">
      <c r="A5538" s="34" t="n">
        <v>431942000124</v>
      </c>
      <c r="B5538" s="34" t="s">
        <v>12607</v>
      </c>
      <c r="C5538" s="34" t="s">
        <v>129</v>
      </c>
      <c r="E5538" s="30" t="s">
        <v>12608</v>
      </c>
      <c r="F5538" s="34" t="n">
        <f aca="false">IFERROR(VLOOKUP($A5538,'319'!$B:$H,7,0),0)</f>
        <v>0</v>
      </c>
      <c r="G5538" s="34" t="n">
        <f aca="false">SUMIFS('12.326ana'!$C:$C,'12.326ana'!$M:$M,redes!A5538)</f>
        <v>0</v>
      </c>
    </row>
    <row r="5539" customFormat="false" ht="14.4" hidden="true" customHeight="false" outlineLevel="0" collapsed="false">
      <c r="A5539" s="34" t="n">
        <v>431978000108</v>
      </c>
      <c r="B5539" s="34" t="s">
        <v>12609</v>
      </c>
      <c r="C5539" s="34" t="s">
        <v>1591</v>
      </c>
      <c r="E5539" s="30" t="s">
        <v>12610</v>
      </c>
      <c r="F5539" s="34" t="n">
        <f aca="false">IFERROR(VLOOKUP($A5539,'319'!$B:$H,7,0),0)</f>
        <v>0</v>
      </c>
      <c r="G5539" s="34" t="n">
        <f aca="false">SUMIFS('12.326ana'!$C:$C,'12.326ana'!$M:$M,redes!A5539)</f>
        <v>0</v>
      </c>
    </row>
    <row r="5540" customFormat="false" ht="14.4" hidden="true" customHeight="false" outlineLevel="0" collapsed="false">
      <c r="A5540" s="34" t="n">
        <v>434851000142</v>
      </c>
      <c r="B5540" s="34" t="s">
        <v>12611</v>
      </c>
      <c r="C5540" s="34" t="s">
        <v>77</v>
      </c>
      <c r="E5540" s="30" t="s">
        <v>12612</v>
      </c>
      <c r="F5540" s="34" t="n">
        <f aca="false">IFERROR(VLOOKUP($A5540,'319'!$B:$H,7,0),0)</f>
        <v>0</v>
      </c>
      <c r="G5540" s="34" t="n">
        <f aca="false">SUMIFS('12.326ana'!$C:$C,'12.326ana'!$M:$M,redes!A5540)</f>
        <v>0</v>
      </c>
    </row>
    <row r="5541" customFormat="false" ht="14.4" hidden="true" customHeight="false" outlineLevel="0" collapsed="false">
      <c r="A5541" s="34" t="n">
        <v>437891000148</v>
      </c>
      <c r="B5541" s="34" t="s">
        <v>12613</v>
      </c>
      <c r="C5541" s="34" t="s">
        <v>475</v>
      </c>
      <c r="E5541" s="30" t="s">
        <v>12614</v>
      </c>
      <c r="F5541" s="34" t="n">
        <f aca="false">IFERROR(VLOOKUP($A5541,'319'!$B:$H,7,0),0)</f>
        <v>0</v>
      </c>
      <c r="G5541" s="34" t="n">
        <f aca="false">SUMIFS('12.326ana'!$C:$C,'12.326ana'!$M:$M,redes!A5541)</f>
        <v>0</v>
      </c>
    </row>
    <row r="5542" customFormat="false" ht="14.4" hidden="true" customHeight="false" outlineLevel="0" collapsed="false">
      <c r="A5542" s="34" t="n">
        <v>437898000160</v>
      </c>
      <c r="B5542" s="34" t="s">
        <v>12615</v>
      </c>
      <c r="C5542" s="34" t="s">
        <v>117</v>
      </c>
      <c r="E5542" s="30" t="s">
        <v>12616</v>
      </c>
      <c r="F5542" s="34" t="n">
        <f aca="false">IFERROR(VLOOKUP($A5542,'319'!$B:$H,7,0),0)</f>
        <v>0</v>
      </c>
      <c r="G5542" s="34" t="n">
        <f aca="false">SUMIFS('12.326ana'!$C:$C,'12.326ana'!$M:$M,redes!A5542)</f>
        <v>0</v>
      </c>
    </row>
    <row r="5543" customFormat="false" ht="14.4" hidden="true" customHeight="false" outlineLevel="0" collapsed="false">
      <c r="A5543" s="34" t="n">
        <v>438874000125</v>
      </c>
      <c r="B5543" s="34" t="s">
        <v>12617</v>
      </c>
      <c r="C5543" s="34" t="s">
        <v>1341</v>
      </c>
      <c r="E5543" s="30" t="s">
        <v>12618</v>
      </c>
      <c r="F5543" s="34" t="n">
        <f aca="false">IFERROR(VLOOKUP($A5543,'319'!$B:$H,7,0),0)</f>
        <v>0</v>
      </c>
      <c r="G5543" s="34" t="n">
        <f aca="false">SUMIFS('12.326ana'!$C:$C,'12.326ana'!$M:$M,redes!A5543)</f>
        <v>0</v>
      </c>
    </row>
    <row r="5544" customFormat="false" ht="14.4" hidden="true" customHeight="false" outlineLevel="0" collapsed="false">
      <c r="A5544" s="34" t="n">
        <v>441258000123</v>
      </c>
      <c r="B5544" s="34" t="s">
        <v>12619</v>
      </c>
      <c r="C5544" s="34" t="s">
        <v>7250</v>
      </c>
      <c r="E5544" s="30" t="s">
        <v>12620</v>
      </c>
      <c r="F5544" s="34" t="n">
        <f aca="false">IFERROR(VLOOKUP($A5544,'319'!$B:$H,7,0),0)</f>
        <v>0</v>
      </c>
      <c r="G5544" s="34" t="n">
        <f aca="false">SUMIFS('12.326ana'!$C:$C,'12.326ana'!$M:$M,redes!A5544)</f>
        <v>0</v>
      </c>
    </row>
    <row r="5545" customFormat="false" ht="14.4" hidden="true" customHeight="false" outlineLevel="0" collapsed="false">
      <c r="A5545" s="34" t="n">
        <v>443592000116</v>
      </c>
      <c r="B5545" s="34" t="s">
        <v>12621</v>
      </c>
      <c r="C5545" s="34" t="s">
        <v>77</v>
      </c>
      <c r="E5545" s="30" t="s">
        <v>12622</v>
      </c>
      <c r="F5545" s="34" t="n">
        <f aca="false">IFERROR(VLOOKUP($A5545,'319'!$B:$H,7,0),0)</f>
        <v>0</v>
      </c>
      <c r="G5545" s="34" t="n">
        <f aca="false">SUMIFS('12.326ana'!$C:$C,'12.326ana'!$M:$M,redes!A5545)</f>
        <v>0</v>
      </c>
    </row>
    <row r="5546" customFormat="false" ht="14.4" hidden="true" customHeight="false" outlineLevel="0" collapsed="false">
      <c r="A5546" s="34" t="n">
        <v>448463000110</v>
      </c>
      <c r="B5546" s="34" t="s">
        <v>12623</v>
      </c>
      <c r="C5546" s="34" t="s">
        <v>77</v>
      </c>
      <c r="E5546" s="30" t="s">
        <v>12624</v>
      </c>
      <c r="F5546" s="34" t="n">
        <f aca="false">IFERROR(VLOOKUP($A5546,'319'!$B:$H,7,0),0)</f>
        <v>0</v>
      </c>
      <c r="G5546" s="34" t="n">
        <f aca="false">SUMIFS('12.326ana'!$C:$C,'12.326ana'!$M:$M,redes!A5546)</f>
        <v>0</v>
      </c>
    </row>
    <row r="5547" customFormat="false" ht="14.4" hidden="true" customHeight="false" outlineLevel="0" collapsed="false">
      <c r="A5547" s="34" t="n">
        <v>453046000166</v>
      </c>
      <c r="B5547" s="34" t="s">
        <v>12625</v>
      </c>
      <c r="C5547" s="34" t="s">
        <v>721</v>
      </c>
      <c r="E5547" s="30" t="s">
        <v>12626</v>
      </c>
      <c r="F5547" s="34" t="n">
        <f aca="false">IFERROR(VLOOKUP($A5547,'319'!$B:$H,7,0),0)</f>
        <v>0</v>
      </c>
      <c r="G5547" s="34" t="n">
        <f aca="false">SUMIFS('12.326ana'!$C:$C,'12.326ana'!$M:$M,redes!A5547)</f>
        <v>0</v>
      </c>
    </row>
    <row r="5548" customFormat="false" ht="14.4" hidden="true" customHeight="false" outlineLevel="0" collapsed="false">
      <c r="A5548" s="34" t="n">
        <v>462645000146</v>
      </c>
      <c r="B5548" s="34" t="s">
        <v>12627</v>
      </c>
      <c r="C5548" s="34" t="s">
        <v>192</v>
      </c>
      <c r="E5548" s="30" t="s">
        <v>12628</v>
      </c>
      <c r="F5548" s="34" t="n">
        <f aca="false">IFERROR(VLOOKUP($A5548,'319'!$B:$H,7,0),0)</f>
        <v>0</v>
      </c>
      <c r="G5548" s="34" t="n">
        <f aca="false">SUMIFS('12.326ana'!$C:$C,'12.326ana'!$M:$M,redes!A5548)</f>
        <v>0</v>
      </c>
    </row>
    <row r="5549" customFormat="false" ht="14.4" hidden="true" customHeight="false" outlineLevel="0" collapsed="false">
      <c r="A5549" s="34" t="n">
        <v>462836000108</v>
      </c>
      <c r="B5549" s="34" t="s">
        <v>4763</v>
      </c>
      <c r="C5549" s="34" t="s">
        <v>478</v>
      </c>
      <c r="E5549" s="30" t="s">
        <v>12629</v>
      </c>
      <c r="F5549" s="34" t="n">
        <f aca="false">IFERROR(VLOOKUP($A5549,'319'!$B:$H,7,0),0)</f>
        <v>0</v>
      </c>
      <c r="G5549" s="34" t="n">
        <f aca="false">SUMIFS('12.326ana'!$C:$C,'12.326ana'!$M:$M,redes!A5549)</f>
        <v>0</v>
      </c>
    </row>
    <row r="5550" customFormat="false" ht="14.4" hidden="true" customHeight="false" outlineLevel="0" collapsed="false">
      <c r="A5550" s="34" t="n">
        <v>462849000187</v>
      </c>
      <c r="B5550" s="34" t="s">
        <v>12630</v>
      </c>
      <c r="C5550" s="34" t="s">
        <v>77</v>
      </c>
      <c r="E5550" s="30" t="s">
        <v>12631</v>
      </c>
      <c r="F5550" s="34" t="n">
        <f aca="false">IFERROR(VLOOKUP($A5550,'319'!$B:$H,7,0),0)</f>
        <v>0</v>
      </c>
      <c r="G5550" s="34" t="n">
        <f aca="false">SUMIFS('12.326ana'!$C:$C,'12.326ana'!$M:$M,redes!A5550)</f>
        <v>0</v>
      </c>
    </row>
    <row r="5551" customFormat="false" ht="14.4" hidden="true" customHeight="false" outlineLevel="0" collapsed="false">
      <c r="A5551" s="34" t="n">
        <v>462943000136</v>
      </c>
      <c r="B5551" s="34" t="s">
        <v>12632</v>
      </c>
      <c r="C5551" s="34" t="s">
        <v>77</v>
      </c>
      <c r="E5551" s="30" t="s">
        <v>12633</v>
      </c>
      <c r="F5551" s="34" t="n">
        <f aca="false">IFERROR(VLOOKUP($A5551,'319'!$B:$H,7,0),0)</f>
        <v>0</v>
      </c>
      <c r="G5551" s="34" t="n">
        <f aca="false">SUMIFS('12.326ana'!$C:$C,'12.326ana'!$M:$M,redes!A5551)</f>
        <v>0</v>
      </c>
    </row>
    <row r="5552" customFormat="false" ht="14.4" hidden="true" customHeight="false" outlineLevel="0" collapsed="false">
      <c r="A5552" s="34" t="n">
        <v>463535000107</v>
      </c>
      <c r="B5552" s="34" t="s">
        <v>12634</v>
      </c>
      <c r="C5552" s="34" t="s">
        <v>127</v>
      </c>
      <c r="E5552" s="30" t="s">
        <v>12635</v>
      </c>
      <c r="F5552" s="34" t="n">
        <f aca="false">IFERROR(VLOOKUP($A5552,'319'!$B:$H,7,0),0)</f>
        <v>0</v>
      </c>
      <c r="G5552" s="34" t="n">
        <f aca="false">SUMIFS('12.326ana'!$C:$C,'12.326ana'!$M:$M,redes!A5552)</f>
        <v>0</v>
      </c>
    </row>
    <row r="5553" customFormat="false" ht="14.4" hidden="true" customHeight="false" outlineLevel="0" collapsed="false">
      <c r="A5553" s="34" t="n">
        <v>466072000129</v>
      </c>
      <c r="B5553" s="34" t="s">
        <v>12636</v>
      </c>
      <c r="C5553" s="34" t="s">
        <v>842</v>
      </c>
      <c r="E5553" s="30" t="s">
        <v>12637</v>
      </c>
      <c r="F5553" s="34" t="n">
        <f aca="false">IFERROR(VLOOKUP($A5553,'319'!$B:$H,7,0),0)</f>
        <v>0</v>
      </c>
      <c r="G5553" s="34" t="n">
        <f aca="false">SUMIFS('12.326ana'!$C:$C,'12.326ana'!$M:$M,redes!A5553)</f>
        <v>0</v>
      </c>
    </row>
    <row r="5554" customFormat="false" ht="14.4" hidden="true" customHeight="false" outlineLevel="0" collapsed="false">
      <c r="A5554" s="34" t="n">
        <v>466133000158</v>
      </c>
      <c r="B5554" s="34" t="s">
        <v>12638</v>
      </c>
      <c r="C5554" s="34" t="s">
        <v>737</v>
      </c>
      <c r="E5554" s="30" t="s">
        <v>12639</v>
      </c>
      <c r="F5554" s="34" t="n">
        <f aca="false">IFERROR(VLOOKUP($A5554,'319'!$B:$H,7,0),0)</f>
        <v>0</v>
      </c>
      <c r="G5554" s="34" t="n">
        <f aca="false">SUMIFS('12.326ana'!$C:$C,'12.326ana'!$M:$M,redes!A5554)</f>
        <v>0</v>
      </c>
    </row>
    <row r="5555" customFormat="false" ht="14.4" hidden="true" customHeight="false" outlineLevel="0" collapsed="false">
      <c r="A5555" s="34" t="n">
        <v>466134000100</v>
      </c>
      <c r="B5555" s="34" t="s">
        <v>12640</v>
      </c>
      <c r="C5555" s="34" t="s">
        <v>604</v>
      </c>
      <c r="E5555" s="30" t="s">
        <v>12641</v>
      </c>
      <c r="F5555" s="34" t="n">
        <f aca="false">IFERROR(VLOOKUP($A5555,'319'!$B:$H,7,0),0)</f>
        <v>0</v>
      </c>
      <c r="G5555" s="34" t="n">
        <f aca="false">SUMIFS('12.326ana'!$C:$C,'12.326ana'!$M:$M,redes!A5555)</f>
        <v>0</v>
      </c>
    </row>
    <row r="5556" customFormat="false" ht="14.4" hidden="true" customHeight="false" outlineLevel="0" collapsed="false">
      <c r="A5556" s="34" t="n">
        <v>468783000132</v>
      </c>
      <c r="B5556" s="34" t="s">
        <v>12642</v>
      </c>
      <c r="C5556" s="34" t="s">
        <v>107</v>
      </c>
      <c r="E5556" s="30" t="s">
        <v>12643</v>
      </c>
      <c r="F5556" s="34" t="n">
        <f aca="false">IFERROR(VLOOKUP($A5556,'319'!$B:$H,7,0),0)</f>
        <v>0</v>
      </c>
      <c r="G5556" s="34" t="n">
        <f aca="false">SUMIFS('12.326ana'!$C:$C,'12.326ana'!$M:$M,redes!A5556)</f>
        <v>0</v>
      </c>
    </row>
    <row r="5557" customFormat="false" ht="14.4" hidden="true" customHeight="false" outlineLevel="0" collapsed="false">
      <c r="A5557" s="34" t="n">
        <v>481287000119</v>
      </c>
      <c r="B5557" s="34" t="s">
        <v>12644</v>
      </c>
      <c r="C5557" s="34" t="s">
        <v>463</v>
      </c>
      <c r="E5557" s="30" t="s">
        <v>12645</v>
      </c>
      <c r="F5557" s="34" t="n">
        <f aca="false">IFERROR(VLOOKUP($A5557,'319'!$B:$H,7,0),0)</f>
        <v>0</v>
      </c>
      <c r="G5557" s="34" t="n">
        <f aca="false">SUMIFS('12.326ana'!$C:$C,'12.326ana'!$M:$M,redes!A5557)</f>
        <v>0</v>
      </c>
    </row>
    <row r="5558" customFormat="false" ht="14.4" hidden="true" customHeight="false" outlineLevel="0" collapsed="false">
      <c r="A5558" s="34" t="n">
        <v>481290000132</v>
      </c>
      <c r="B5558" s="34" t="s">
        <v>12646</v>
      </c>
      <c r="C5558" s="34" t="s">
        <v>357</v>
      </c>
      <c r="E5558" s="30" t="s">
        <v>6974</v>
      </c>
      <c r="F5558" s="34" t="n">
        <f aca="false">IFERROR(VLOOKUP($A5558,'319'!$B:$H,7,0),0)</f>
        <v>1966.66</v>
      </c>
      <c r="G5558" s="34" t="n">
        <f aca="false">SUMIFS('12.326ana'!$C:$C,'12.326ana'!$M:$M,redes!A5558)</f>
        <v>0</v>
      </c>
    </row>
    <row r="5559" customFormat="false" ht="14.4" hidden="true" customHeight="false" outlineLevel="0" collapsed="false">
      <c r="A5559" s="34" t="n">
        <v>481311000110</v>
      </c>
      <c r="B5559" s="34" t="s">
        <v>12647</v>
      </c>
      <c r="C5559" s="34" t="s">
        <v>139</v>
      </c>
      <c r="E5559" s="30" t="s">
        <v>12648</v>
      </c>
      <c r="F5559" s="34" t="n">
        <f aca="false">IFERROR(VLOOKUP($A5559,'319'!$B:$H,7,0),0)</f>
        <v>0</v>
      </c>
      <c r="G5559" s="34" t="n">
        <f aca="false">SUMIFS('12.326ana'!$C:$C,'12.326ana'!$M:$M,redes!A5559)</f>
        <v>0</v>
      </c>
    </row>
    <row r="5560" customFormat="false" ht="14.4" hidden="true" customHeight="false" outlineLevel="0" collapsed="false">
      <c r="A5560" s="34" t="n">
        <v>495711000184</v>
      </c>
      <c r="B5560" s="34" t="s">
        <v>12649</v>
      </c>
      <c r="C5560" s="34" t="s">
        <v>77</v>
      </c>
      <c r="E5560" s="30"/>
      <c r="F5560" s="34" t="n">
        <f aca="false">IFERROR(VLOOKUP($A5560,'319'!$B:$H,7,0),0)</f>
        <v>0</v>
      </c>
      <c r="G5560" s="34" t="n">
        <f aca="false">SUMIFS('12.326ana'!$C:$C,'12.326ana'!$M:$M,redes!A5560)</f>
        <v>0</v>
      </c>
    </row>
    <row r="5561" customFormat="false" ht="14.4" hidden="true" customHeight="false" outlineLevel="0" collapsed="false">
      <c r="A5561" s="34" t="n">
        <v>498101000134</v>
      </c>
      <c r="B5561" s="34" t="s">
        <v>12650</v>
      </c>
      <c r="C5561" s="34" t="s">
        <v>351</v>
      </c>
      <c r="E5561" s="30" t="s">
        <v>12651</v>
      </c>
      <c r="F5561" s="34" t="n">
        <f aca="false">IFERROR(VLOOKUP($A5561,'319'!$B:$H,7,0),0)</f>
        <v>0</v>
      </c>
      <c r="G5561" s="34" t="n">
        <f aca="false">SUMIFS('12.326ana'!$C:$C,'12.326ana'!$M:$M,redes!A5561)</f>
        <v>0</v>
      </c>
    </row>
    <row r="5562" customFormat="false" ht="14.4" hidden="true" customHeight="false" outlineLevel="0" collapsed="false">
      <c r="A5562" s="34" t="n">
        <v>504410000170</v>
      </c>
      <c r="B5562" s="34" t="s">
        <v>12652</v>
      </c>
      <c r="C5562" s="34" t="s">
        <v>464</v>
      </c>
      <c r="E5562" s="30" t="s">
        <v>4131</v>
      </c>
      <c r="F5562" s="34" t="n">
        <f aca="false">IFERROR(VLOOKUP($A5562,'319'!$B:$H,7,0),0)</f>
        <v>0</v>
      </c>
      <c r="G5562" s="34" t="n">
        <f aca="false">SUMIFS('12.326ana'!$C:$C,'12.326ana'!$M:$M,redes!A5562)</f>
        <v>0</v>
      </c>
    </row>
    <row r="5563" customFormat="false" ht="14.4" hidden="true" customHeight="false" outlineLevel="0" collapsed="false">
      <c r="A5563" s="34" t="n">
        <v>506809000190</v>
      </c>
      <c r="B5563" s="34" t="s">
        <v>12653</v>
      </c>
      <c r="C5563" s="34" t="s">
        <v>77</v>
      </c>
      <c r="E5563" s="30" t="s">
        <v>12654</v>
      </c>
      <c r="F5563" s="34" t="n">
        <f aca="false">IFERROR(VLOOKUP($A5563,'319'!$B:$H,7,0),0)</f>
        <v>140.62</v>
      </c>
      <c r="G5563" s="34" t="n">
        <f aca="false">SUMIFS('12.326ana'!$C:$C,'12.326ana'!$M:$M,redes!A5563)</f>
        <v>0</v>
      </c>
    </row>
    <row r="5564" customFormat="false" ht="14.4" hidden="true" customHeight="false" outlineLevel="0" collapsed="false">
      <c r="A5564" s="34" t="n">
        <v>506809000270</v>
      </c>
      <c r="B5564" s="34" t="s">
        <v>12655</v>
      </c>
      <c r="C5564" s="34" t="s">
        <v>77</v>
      </c>
      <c r="E5564" s="30" t="s">
        <v>4630</v>
      </c>
      <c r="F5564" s="34" t="n">
        <f aca="false">IFERROR(VLOOKUP($A5564,'319'!$B:$H,7,0),0)</f>
        <v>140.62</v>
      </c>
      <c r="G5564" s="34" t="n">
        <f aca="false">SUMIFS('12.326ana'!$C:$C,'12.326ana'!$M:$M,redes!A5564)</f>
        <v>0</v>
      </c>
    </row>
    <row r="5565" customFormat="false" ht="14.4" hidden="true" customHeight="false" outlineLevel="0" collapsed="false">
      <c r="A5565" s="34" t="n">
        <v>508279000119</v>
      </c>
      <c r="B5565" s="34" t="s">
        <v>12656</v>
      </c>
      <c r="C5565" s="34" t="s">
        <v>598</v>
      </c>
      <c r="E5565" s="30" t="s">
        <v>12657</v>
      </c>
      <c r="F5565" s="34" t="n">
        <f aca="false">IFERROR(VLOOKUP($A5565,'319'!$B:$H,7,0),0)</f>
        <v>0</v>
      </c>
      <c r="G5565" s="34" t="n">
        <f aca="false">SUMIFS('12.326ana'!$C:$C,'12.326ana'!$M:$M,redes!A5565)</f>
        <v>0</v>
      </c>
    </row>
    <row r="5566" customFormat="false" ht="14.4" hidden="true" customHeight="false" outlineLevel="0" collapsed="false">
      <c r="A5566" s="34" t="n">
        <v>508284000121</v>
      </c>
      <c r="B5566" s="34" t="s">
        <v>12658</v>
      </c>
      <c r="C5566" s="34" t="s">
        <v>103</v>
      </c>
      <c r="E5566" s="30" t="s">
        <v>12659</v>
      </c>
      <c r="F5566" s="34" t="n">
        <f aca="false">IFERROR(VLOOKUP($A5566,'319'!$B:$H,7,0),0)</f>
        <v>0</v>
      </c>
      <c r="G5566" s="34" t="n">
        <f aca="false">SUMIFS('12.326ana'!$C:$C,'12.326ana'!$M:$M,redes!A5566)</f>
        <v>0</v>
      </c>
    </row>
    <row r="5567" customFormat="false" ht="14.4" hidden="true" customHeight="false" outlineLevel="0" collapsed="false">
      <c r="A5567" s="34" t="n">
        <v>508357000185</v>
      </c>
      <c r="B5567" s="34" t="s">
        <v>12660</v>
      </c>
      <c r="C5567" s="34" t="s">
        <v>342</v>
      </c>
      <c r="E5567" s="30" t="s">
        <v>4942</v>
      </c>
      <c r="F5567" s="34" t="n">
        <f aca="false">IFERROR(VLOOKUP($A5567,'319'!$B:$H,7,0),0)</f>
        <v>0</v>
      </c>
      <c r="G5567" s="34" t="n">
        <f aca="false">SUMIFS('12.326ana'!$C:$C,'12.326ana'!$M:$M,redes!A5567)</f>
        <v>0</v>
      </c>
    </row>
    <row r="5568" customFormat="false" ht="14.4" hidden="true" customHeight="false" outlineLevel="0" collapsed="false">
      <c r="A5568" s="34" t="n">
        <v>509728000143</v>
      </c>
      <c r="B5568" s="34" t="s">
        <v>12661</v>
      </c>
      <c r="C5568" s="34" t="s">
        <v>197</v>
      </c>
      <c r="E5568" s="30" t="s">
        <v>12662</v>
      </c>
      <c r="F5568" s="34" t="n">
        <f aca="false">IFERROR(VLOOKUP($A5568,'319'!$B:$H,7,0),0)</f>
        <v>0</v>
      </c>
      <c r="G5568" s="34" t="n">
        <f aca="false">SUMIFS('12.326ana'!$C:$C,'12.326ana'!$M:$M,redes!A5568)</f>
        <v>0</v>
      </c>
    </row>
    <row r="5569" customFormat="false" ht="14.4" hidden="true" customHeight="false" outlineLevel="0" collapsed="false">
      <c r="A5569" s="34" t="n">
        <v>511792000169</v>
      </c>
      <c r="B5569" s="34" t="s">
        <v>12663</v>
      </c>
      <c r="C5569" s="34" t="s">
        <v>4156</v>
      </c>
      <c r="E5569" s="30" t="s">
        <v>12664</v>
      </c>
      <c r="F5569" s="34" t="n">
        <f aca="false">IFERROR(VLOOKUP($A5569,'319'!$B:$H,7,0),0)</f>
        <v>0</v>
      </c>
      <c r="G5569" s="34" t="n">
        <f aca="false">SUMIFS('12.326ana'!$C:$C,'12.326ana'!$M:$M,redes!A5569)</f>
        <v>0</v>
      </c>
    </row>
    <row r="5570" customFormat="false" ht="14.4" hidden="true" customHeight="false" outlineLevel="0" collapsed="false">
      <c r="A5570" s="34" t="n">
        <v>513029000177</v>
      </c>
      <c r="B5570" s="34" t="s">
        <v>12665</v>
      </c>
      <c r="C5570" s="34" t="s">
        <v>117</v>
      </c>
      <c r="E5570" s="30" t="s">
        <v>12666</v>
      </c>
      <c r="F5570" s="34" t="n">
        <f aca="false">IFERROR(VLOOKUP($A5570,'319'!$B:$H,7,0),0)</f>
        <v>0</v>
      </c>
      <c r="G5570" s="34" t="n">
        <f aca="false">SUMIFS('12.326ana'!$C:$C,'12.326ana'!$M:$M,redes!A5570)</f>
        <v>0</v>
      </c>
    </row>
    <row r="5571" customFormat="false" ht="14.4" hidden="true" customHeight="false" outlineLevel="0" collapsed="false">
      <c r="A5571" s="34" t="n">
        <v>521669000129</v>
      </c>
      <c r="B5571" s="34" t="s">
        <v>12667</v>
      </c>
      <c r="C5571" s="34" t="s">
        <v>107</v>
      </c>
      <c r="E5571" s="30" t="s">
        <v>12668</v>
      </c>
      <c r="F5571" s="34" t="n">
        <f aca="false">IFERROR(VLOOKUP($A5571,'319'!$B:$H,7,0),0)</f>
        <v>0</v>
      </c>
      <c r="G5571" s="34" t="n">
        <f aca="false">SUMIFS('12.326ana'!$C:$C,'12.326ana'!$M:$M,redes!A5571)</f>
        <v>0</v>
      </c>
    </row>
    <row r="5572" customFormat="false" ht="14.4" hidden="true" customHeight="false" outlineLevel="0" collapsed="false">
      <c r="A5572" s="34" t="n">
        <v>521673000197</v>
      </c>
      <c r="B5572" s="34" t="s">
        <v>12669</v>
      </c>
      <c r="C5572" s="34" t="s">
        <v>77</v>
      </c>
      <c r="E5572" s="30" t="s">
        <v>12670</v>
      </c>
      <c r="F5572" s="34" t="n">
        <f aca="false">IFERROR(VLOOKUP($A5572,'319'!$B:$H,7,0),0)</f>
        <v>0</v>
      </c>
      <c r="G5572" s="34" t="n">
        <f aca="false">SUMIFS('12.326ana'!$C:$C,'12.326ana'!$M:$M,redes!A5572)</f>
        <v>0</v>
      </c>
    </row>
    <row r="5573" customFormat="false" ht="14.4" hidden="true" customHeight="false" outlineLevel="0" collapsed="false">
      <c r="A5573" s="34" t="n">
        <v>521686000166</v>
      </c>
      <c r="B5573" s="34" t="s">
        <v>12671</v>
      </c>
      <c r="C5573" s="34" t="s">
        <v>139</v>
      </c>
      <c r="E5573" s="30" t="s">
        <v>12672</v>
      </c>
      <c r="F5573" s="34" t="n">
        <f aca="false">IFERROR(VLOOKUP($A5573,'319'!$B:$H,7,0),0)</f>
        <v>0</v>
      </c>
      <c r="G5573" s="34" t="n">
        <f aca="false">SUMIFS('12.326ana'!$C:$C,'12.326ana'!$M:$M,redes!A5573)</f>
        <v>0</v>
      </c>
    </row>
    <row r="5574" customFormat="false" ht="14.4" hidden="true" customHeight="false" outlineLevel="0" collapsed="false">
      <c r="A5574" s="34" t="n">
        <v>528031000110</v>
      </c>
      <c r="B5574" s="34" t="s">
        <v>907</v>
      </c>
      <c r="C5574" s="34" t="s">
        <v>473</v>
      </c>
      <c r="E5574" s="30" t="s">
        <v>12673</v>
      </c>
      <c r="F5574" s="34" t="n">
        <f aca="false">IFERROR(VLOOKUP($A5574,'319'!$B:$H,7,0),0)</f>
        <v>1415.79</v>
      </c>
      <c r="G5574" s="34" t="n">
        <f aca="false">SUMIFS('12.326ana'!$C:$C,'12.326ana'!$M:$M,redes!A5574)</f>
        <v>0</v>
      </c>
    </row>
    <row r="5575" customFormat="false" ht="14.4" hidden="true" customHeight="false" outlineLevel="0" collapsed="false">
      <c r="A5575" s="34" t="n">
        <v>528031000209</v>
      </c>
      <c r="B5575" s="34" t="s">
        <v>12674</v>
      </c>
      <c r="C5575" s="34" t="s">
        <v>473</v>
      </c>
      <c r="E5575" s="30" t="s">
        <v>12675</v>
      </c>
      <c r="F5575" s="34" t="n">
        <f aca="false">IFERROR(VLOOKUP($A5575,'319'!$B:$H,7,0),0)</f>
        <v>497.4</v>
      </c>
      <c r="G5575" s="34" t="n">
        <f aca="false">SUMIFS('12.326ana'!$C:$C,'12.326ana'!$M:$M,redes!A5575)</f>
        <v>0</v>
      </c>
    </row>
    <row r="5576" customFormat="false" ht="14.4" hidden="true" customHeight="false" outlineLevel="0" collapsed="false">
      <c r="A5576" s="34" t="n">
        <v>528306000115</v>
      </c>
      <c r="B5576" s="34" t="s">
        <v>12676</v>
      </c>
      <c r="C5576" s="34" t="s">
        <v>77</v>
      </c>
      <c r="E5576" s="30" t="s">
        <v>12677</v>
      </c>
      <c r="F5576" s="34" t="n">
        <f aca="false">IFERROR(VLOOKUP($A5576,'319'!$B:$H,7,0),0)</f>
        <v>0</v>
      </c>
      <c r="G5576" s="34" t="n">
        <f aca="false">SUMIFS('12.326ana'!$C:$C,'12.326ana'!$M:$M,redes!A5576)</f>
        <v>0</v>
      </c>
    </row>
    <row r="5577" customFormat="false" ht="14.4" hidden="true" customHeight="false" outlineLevel="0" collapsed="false">
      <c r="A5577" s="34" t="n">
        <v>531379000166</v>
      </c>
      <c r="B5577" s="34" t="s">
        <v>12678</v>
      </c>
      <c r="C5577" s="34" t="s">
        <v>328</v>
      </c>
      <c r="E5577" s="30" t="s">
        <v>9509</v>
      </c>
      <c r="F5577" s="34" t="n">
        <f aca="false">IFERROR(VLOOKUP($A5577,'319'!$B:$H,7,0),0)</f>
        <v>0</v>
      </c>
      <c r="G5577" s="34" t="n">
        <f aca="false">SUMIFS('12.326ana'!$C:$C,'12.326ana'!$M:$M,redes!A5577)</f>
        <v>0</v>
      </c>
    </row>
    <row r="5578" customFormat="false" ht="14.4" hidden="true" customHeight="false" outlineLevel="0" collapsed="false">
      <c r="A5578" s="34" t="n">
        <v>531401000178</v>
      </c>
      <c r="B5578" s="34" t="s">
        <v>12679</v>
      </c>
      <c r="C5578" s="34" t="s">
        <v>935</v>
      </c>
      <c r="E5578" s="30" t="s">
        <v>12680</v>
      </c>
      <c r="F5578" s="34" t="n">
        <f aca="false">IFERROR(VLOOKUP($A5578,'319'!$B:$H,7,0),0)</f>
        <v>0</v>
      </c>
      <c r="G5578" s="34" t="n">
        <f aca="false">SUMIFS('12.326ana'!$C:$C,'12.326ana'!$M:$M,redes!A5578)</f>
        <v>0</v>
      </c>
    </row>
    <row r="5579" customFormat="false" ht="14.4" hidden="true" customHeight="false" outlineLevel="0" collapsed="false">
      <c r="A5579" s="34" t="n">
        <v>534454000142</v>
      </c>
      <c r="B5579" s="34" t="s">
        <v>12681</v>
      </c>
      <c r="C5579" s="34" t="s">
        <v>463</v>
      </c>
      <c r="E5579" s="30" t="s">
        <v>6698</v>
      </c>
      <c r="F5579" s="34" t="n">
        <f aca="false">IFERROR(VLOOKUP($A5579,'319'!$B:$H,7,0),0)</f>
        <v>0</v>
      </c>
      <c r="G5579" s="34" t="n">
        <f aca="false">SUMIFS('12.326ana'!$C:$C,'12.326ana'!$M:$M,redes!A5579)</f>
        <v>0</v>
      </c>
    </row>
    <row r="5580" customFormat="false" ht="14.4" hidden="true" customHeight="false" outlineLevel="0" collapsed="false">
      <c r="A5580" s="34" t="n">
        <v>537247000141</v>
      </c>
      <c r="B5580" s="34" t="s">
        <v>12682</v>
      </c>
      <c r="C5580" s="34" t="s">
        <v>107</v>
      </c>
      <c r="E5580" s="30" t="s">
        <v>12683</v>
      </c>
      <c r="F5580" s="34" t="n">
        <f aca="false">IFERROR(VLOOKUP($A5580,'319'!$B:$H,7,0),0)</f>
        <v>0</v>
      </c>
      <c r="G5580" s="34" t="n">
        <f aca="false">SUMIFS('12.326ana'!$C:$C,'12.326ana'!$M:$M,redes!A5580)</f>
        <v>0</v>
      </c>
    </row>
    <row r="5581" customFormat="false" ht="14.4" hidden="true" customHeight="false" outlineLevel="0" collapsed="false">
      <c r="A5581" s="34" t="n">
        <v>537264000189</v>
      </c>
      <c r="B5581" s="34" t="s">
        <v>12684</v>
      </c>
      <c r="C5581" s="34" t="s">
        <v>351</v>
      </c>
      <c r="E5581" s="30" t="s">
        <v>12685</v>
      </c>
      <c r="F5581" s="34" t="n">
        <f aca="false">IFERROR(VLOOKUP($A5581,'319'!$B:$H,7,0),0)</f>
        <v>0</v>
      </c>
      <c r="G5581" s="34" t="n">
        <f aca="false">SUMIFS('12.326ana'!$C:$C,'12.326ana'!$M:$M,redes!A5581)</f>
        <v>0</v>
      </c>
    </row>
    <row r="5582" customFormat="false" ht="14.4" hidden="true" customHeight="false" outlineLevel="0" collapsed="false">
      <c r="A5582" s="34" t="n">
        <v>541530000902</v>
      </c>
      <c r="B5582" s="34" t="s">
        <v>12686</v>
      </c>
      <c r="C5582" s="34" t="s">
        <v>12687</v>
      </c>
      <c r="E5582" s="30" t="s">
        <v>12688</v>
      </c>
      <c r="F5582" s="34" t="n">
        <f aca="false">IFERROR(VLOOKUP($A5582,'319'!$B:$H,7,0),0)</f>
        <v>0</v>
      </c>
      <c r="G5582" s="34" t="n">
        <f aca="false">SUMIFS('12.326ana'!$C:$C,'12.326ana'!$M:$M,redes!A5582)</f>
        <v>0</v>
      </c>
    </row>
    <row r="5583" customFormat="false" ht="14.4" hidden="true" customHeight="false" outlineLevel="0" collapsed="false">
      <c r="A5583" s="34" t="n">
        <v>543468000122</v>
      </c>
      <c r="B5583" s="34" t="s">
        <v>12689</v>
      </c>
      <c r="C5583" s="34" t="s">
        <v>107</v>
      </c>
      <c r="E5583" s="30" t="s">
        <v>12690</v>
      </c>
      <c r="F5583" s="34" t="n">
        <f aca="false">IFERROR(VLOOKUP($A5583,'319'!$B:$H,7,0),0)</f>
        <v>0</v>
      </c>
      <c r="G5583" s="34" t="n">
        <f aca="false">SUMIFS('12.326ana'!$C:$C,'12.326ana'!$M:$M,redes!A5583)</f>
        <v>0</v>
      </c>
    </row>
    <row r="5584" customFormat="false" ht="14.4" hidden="true" customHeight="false" outlineLevel="0" collapsed="false">
      <c r="A5584" s="34" t="n">
        <v>543484000115</v>
      </c>
      <c r="B5584" s="34" t="s">
        <v>12691</v>
      </c>
      <c r="C5584" s="34" t="s">
        <v>77</v>
      </c>
      <c r="E5584" s="30" t="s">
        <v>12692</v>
      </c>
      <c r="F5584" s="34" t="n">
        <f aca="false">IFERROR(VLOOKUP($A5584,'319'!$B:$H,7,0),0)</f>
        <v>0</v>
      </c>
      <c r="G5584" s="34" t="n">
        <f aca="false">SUMIFS('12.326ana'!$C:$C,'12.326ana'!$M:$M,redes!A5584)</f>
        <v>0</v>
      </c>
    </row>
    <row r="5585" customFormat="false" ht="14.4" hidden="true" customHeight="false" outlineLevel="0" collapsed="false">
      <c r="A5585" s="34" t="n">
        <v>543484000204</v>
      </c>
      <c r="B5585" s="34" t="s">
        <v>12693</v>
      </c>
      <c r="C5585" s="34" t="s">
        <v>77</v>
      </c>
      <c r="E5585" s="30" t="s">
        <v>12692</v>
      </c>
      <c r="F5585" s="34" t="n">
        <f aca="false">IFERROR(VLOOKUP($A5585,'319'!$B:$H,7,0),0)</f>
        <v>0</v>
      </c>
      <c r="G5585" s="34" t="n">
        <f aca="false">SUMIFS('12.326ana'!$C:$C,'12.326ana'!$M:$M,redes!A5585)</f>
        <v>0</v>
      </c>
    </row>
    <row r="5586" customFormat="false" ht="14.4" hidden="true" customHeight="false" outlineLevel="0" collapsed="false">
      <c r="A5586" s="34" t="n">
        <v>543484000387</v>
      </c>
      <c r="B5586" s="34" t="s">
        <v>12691</v>
      </c>
      <c r="C5586" s="34" t="s">
        <v>77</v>
      </c>
      <c r="D5586" s="34" t="s">
        <v>12694</v>
      </c>
      <c r="E5586" s="30" t="s">
        <v>12695</v>
      </c>
      <c r="F5586" s="34" t="n">
        <f aca="false">IFERROR(VLOOKUP($A5586,'319'!$B:$H,7,0),0)</f>
        <v>0</v>
      </c>
      <c r="G5586" s="34" t="n">
        <f aca="false">SUMIFS('12.326ana'!$C:$C,'12.326ana'!$M:$M,redes!A5586)</f>
        <v>0</v>
      </c>
    </row>
    <row r="5587" customFormat="false" ht="14.4" hidden="true" customHeight="false" outlineLevel="0" collapsed="false">
      <c r="A5587" s="34" t="n">
        <v>549016000158</v>
      </c>
      <c r="B5587" s="34" t="s">
        <v>12696</v>
      </c>
      <c r="C5587" s="34" t="s">
        <v>631</v>
      </c>
      <c r="E5587" s="30" t="s">
        <v>12697</v>
      </c>
      <c r="F5587" s="34" t="n">
        <f aca="false">IFERROR(VLOOKUP($A5587,'319'!$B:$H,7,0),0)</f>
        <v>0</v>
      </c>
      <c r="G5587" s="34" t="n">
        <f aca="false">SUMIFS('12.326ana'!$C:$C,'12.326ana'!$M:$M,redes!A5587)</f>
        <v>0</v>
      </c>
    </row>
    <row r="5588" customFormat="false" ht="14.4" hidden="true" customHeight="false" outlineLevel="0" collapsed="false">
      <c r="A5588" s="34" t="n">
        <v>549020000540</v>
      </c>
      <c r="B5588" s="34" t="s">
        <v>12698</v>
      </c>
      <c r="C5588" s="34" t="s">
        <v>213</v>
      </c>
      <c r="E5588" s="30" t="s">
        <v>12699</v>
      </c>
      <c r="F5588" s="34" t="n">
        <f aca="false">IFERROR(VLOOKUP($A5588,'319'!$B:$H,7,0),0)</f>
        <v>0</v>
      </c>
      <c r="G5588" s="34" t="n">
        <f aca="false">SUMIFS('12.326ana'!$C:$C,'12.326ana'!$M:$M,redes!A5588)</f>
        <v>0</v>
      </c>
    </row>
    <row r="5589" customFormat="false" ht="14.4" hidden="true" customHeight="false" outlineLevel="0" collapsed="false">
      <c r="A5589" s="34" t="n">
        <v>551907000149</v>
      </c>
      <c r="B5589" s="34" t="s">
        <v>12700</v>
      </c>
      <c r="C5589" s="34" t="s">
        <v>737</v>
      </c>
      <c r="E5589" s="30" t="s">
        <v>11323</v>
      </c>
      <c r="F5589" s="34" t="n">
        <f aca="false">IFERROR(VLOOKUP($A5589,'319'!$B:$H,7,0),0)</f>
        <v>0</v>
      </c>
      <c r="G5589" s="34" t="n">
        <f aca="false">SUMIFS('12.326ana'!$C:$C,'12.326ana'!$M:$M,redes!A5589)</f>
        <v>0</v>
      </c>
    </row>
    <row r="5590" customFormat="false" ht="14.4" hidden="true" customHeight="false" outlineLevel="0" collapsed="false">
      <c r="A5590" s="34" t="n">
        <v>551968000106</v>
      </c>
      <c r="B5590" s="34" t="s">
        <v>12701</v>
      </c>
      <c r="C5590" s="34" t="s">
        <v>77</v>
      </c>
      <c r="E5590" s="30" t="s">
        <v>12702</v>
      </c>
      <c r="F5590" s="34" t="n">
        <f aca="false">IFERROR(VLOOKUP($A5590,'319'!$B:$H,7,0),0)</f>
        <v>0</v>
      </c>
      <c r="G5590" s="34" t="n">
        <f aca="false">SUMIFS('12.326ana'!$C:$C,'12.326ana'!$M:$M,redes!A5590)</f>
        <v>0</v>
      </c>
    </row>
    <row r="5591" customFormat="false" ht="14.4" hidden="true" customHeight="false" outlineLevel="0" collapsed="false">
      <c r="A5591" s="34" t="n">
        <v>551975000108</v>
      </c>
      <c r="B5591" s="34" t="s">
        <v>12703</v>
      </c>
      <c r="C5591" s="34" t="s">
        <v>448</v>
      </c>
      <c r="E5591" s="30" t="s">
        <v>12704</v>
      </c>
      <c r="F5591" s="34" t="n">
        <f aca="false">IFERROR(VLOOKUP($A5591,'319'!$B:$H,7,0),0)</f>
        <v>0</v>
      </c>
      <c r="G5591" s="34" t="n">
        <f aca="false">SUMIFS('12.326ana'!$C:$C,'12.326ana'!$M:$M,redes!A5591)</f>
        <v>0</v>
      </c>
    </row>
    <row r="5592" customFormat="false" ht="14.4" hidden="true" customHeight="false" outlineLevel="0" collapsed="false">
      <c r="A5592" s="34" t="n">
        <v>551975000450</v>
      </c>
      <c r="B5592" s="34" t="s">
        <v>12705</v>
      </c>
      <c r="C5592" s="34" t="s">
        <v>1341</v>
      </c>
      <c r="E5592" s="30" t="s">
        <v>12706</v>
      </c>
      <c r="F5592" s="34" t="n">
        <f aca="false">IFERROR(VLOOKUP($A5592,'319'!$B:$H,7,0),0)</f>
        <v>0</v>
      </c>
      <c r="G5592" s="34" t="n">
        <f aca="false">SUMIFS('12.326ana'!$C:$C,'12.326ana'!$M:$M,redes!A5592)</f>
        <v>0</v>
      </c>
    </row>
    <row r="5593" customFormat="false" ht="14.4" hidden="true" customHeight="false" outlineLevel="0" collapsed="false">
      <c r="A5593" s="34" t="n">
        <v>551975000531</v>
      </c>
      <c r="B5593" s="34" t="s">
        <v>444</v>
      </c>
      <c r="C5593" s="34" t="s">
        <v>448</v>
      </c>
      <c r="E5593" s="30" t="s">
        <v>12707</v>
      </c>
      <c r="F5593" s="34" t="n">
        <f aca="false">IFERROR(VLOOKUP($A5593,'319'!$B:$H,7,0),0)</f>
        <v>7883.7</v>
      </c>
      <c r="G5593" s="34" t="n">
        <f aca="false">SUMIFS('12.326ana'!$C:$C,'12.326ana'!$M:$M,redes!A5593)</f>
        <v>8140.26</v>
      </c>
    </row>
    <row r="5594" customFormat="false" ht="14.4" hidden="true" customHeight="false" outlineLevel="0" collapsed="false">
      <c r="A5594" s="34" t="n">
        <v>551975000612</v>
      </c>
      <c r="B5594" s="34" t="s">
        <v>12708</v>
      </c>
      <c r="C5594" s="34" t="s">
        <v>448</v>
      </c>
      <c r="E5594" s="30" t="s">
        <v>12709</v>
      </c>
      <c r="F5594" s="34" t="n">
        <f aca="false">IFERROR(VLOOKUP($A5594,'319'!$B:$H,7,0),0)</f>
        <v>0</v>
      </c>
      <c r="G5594" s="34" t="n">
        <f aca="false">SUMIFS('12.326ana'!$C:$C,'12.326ana'!$M:$M,redes!A5594)</f>
        <v>0</v>
      </c>
    </row>
    <row r="5595" customFormat="false" ht="14.4" hidden="true" customHeight="false" outlineLevel="0" collapsed="false">
      <c r="A5595" s="34" t="n">
        <v>563558000185</v>
      </c>
      <c r="B5595" s="34" t="s">
        <v>12710</v>
      </c>
      <c r="C5595" s="34" t="s">
        <v>89</v>
      </c>
      <c r="E5595" s="30" t="s">
        <v>12711</v>
      </c>
      <c r="F5595" s="34" t="n">
        <f aca="false">IFERROR(VLOOKUP($A5595,'319'!$B:$H,7,0),0)</f>
        <v>0</v>
      </c>
      <c r="G5595" s="34" t="n">
        <f aca="false">SUMIFS('12.326ana'!$C:$C,'12.326ana'!$M:$M,redes!A5595)</f>
        <v>0</v>
      </c>
    </row>
    <row r="5596" customFormat="false" ht="14.4" hidden="true" customHeight="false" outlineLevel="0" collapsed="false">
      <c r="A5596" s="34" t="n">
        <v>565974000112</v>
      </c>
      <c r="B5596" s="34" t="s">
        <v>1850</v>
      </c>
      <c r="C5596" s="34" t="s">
        <v>77</v>
      </c>
      <c r="D5596" s="34" t="s">
        <v>12712</v>
      </c>
      <c r="E5596" s="30" t="s">
        <v>12713</v>
      </c>
      <c r="F5596" s="34" t="n">
        <f aca="false">IFERROR(VLOOKUP($A5596,'319'!$B:$H,7,0),0)</f>
        <v>-1146.13</v>
      </c>
      <c r="G5596" s="34" t="n">
        <f aca="false">SUMIFS('12.326ana'!$C:$C,'12.326ana'!$M:$M,redes!A5596)</f>
        <v>0</v>
      </c>
    </row>
    <row r="5597" customFormat="false" ht="14.4" hidden="true" customHeight="false" outlineLevel="0" collapsed="false">
      <c r="A5597" s="34" t="n">
        <v>565974000201</v>
      </c>
      <c r="B5597" s="34" t="s">
        <v>1850</v>
      </c>
      <c r="C5597" s="34" t="s">
        <v>77</v>
      </c>
      <c r="D5597" s="34" t="s">
        <v>12712</v>
      </c>
      <c r="E5597" s="30" t="s">
        <v>12713</v>
      </c>
      <c r="F5597" s="34" t="n">
        <f aca="false">IFERROR(VLOOKUP($A5597,'319'!$B:$H,7,0),0)</f>
        <v>-4312.44</v>
      </c>
      <c r="G5597" s="34" t="n">
        <f aca="false">SUMIFS('12.326ana'!$C:$C,'12.326ana'!$M:$M,redes!A5597)</f>
        <v>0</v>
      </c>
    </row>
    <row r="5598" customFormat="false" ht="14.4" hidden="true" customHeight="false" outlineLevel="0" collapsed="false">
      <c r="A5598" s="34" t="n">
        <v>565974000384</v>
      </c>
      <c r="B5598" s="34" t="s">
        <v>12714</v>
      </c>
      <c r="C5598" s="34" t="s">
        <v>77</v>
      </c>
      <c r="D5598" s="34" t="s">
        <v>12712</v>
      </c>
      <c r="E5598" s="30" t="s">
        <v>12713</v>
      </c>
      <c r="F5598" s="34" t="n">
        <f aca="false">IFERROR(VLOOKUP($A5598,'319'!$B:$H,7,0),0)</f>
        <v>-508.81</v>
      </c>
      <c r="G5598" s="34" t="n">
        <f aca="false">SUMIFS('12.326ana'!$C:$C,'12.326ana'!$M:$M,redes!A5598)</f>
        <v>0</v>
      </c>
    </row>
    <row r="5599" customFormat="false" ht="14.4" hidden="true" customHeight="false" outlineLevel="0" collapsed="false">
      <c r="A5599" s="34" t="n">
        <v>565974000465</v>
      </c>
      <c r="B5599" s="34" t="s">
        <v>12714</v>
      </c>
      <c r="C5599" s="34" t="s">
        <v>77</v>
      </c>
      <c r="D5599" s="34" t="s">
        <v>12712</v>
      </c>
      <c r="E5599" s="30" t="s">
        <v>12713</v>
      </c>
      <c r="F5599" s="34" t="n">
        <f aca="false">IFERROR(VLOOKUP($A5599,'319'!$B:$H,7,0),0)</f>
        <v>52.89</v>
      </c>
      <c r="G5599" s="34" t="n">
        <f aca="false">SUMIFS('12.326ana'!$C:$C,'12.326ana'!$M:$M,redes!A5599)</f>
        <v>0</v>
      </c>
    </row>
    <row r="5600" customFormat="false" ht="14.4" hidden="true" customHeight="false" outlineLevel="0" collapsed="false">
      <c r="A5600" s="34" t="n">
        <v>569000000107</v>
      </c>
      <c r="B5600" s="34" t="s">
        <v>12715</v>
      </c>
      <c r="C5600" s="34" t="s">
        <v>107</v>
      </c>
      <c r="E5600" s="30" t="s">
        <v>12716</v>
      </c>
      <c r="F5600" s="34" t="n">
        <f aca="false">IFERROR(VLOOKUP($A5600,'319'!$B:$H,7,0),0)</f>
        <v>0</v>
      </c>
      <c r="G5600" s="34" t="n">
        <f aca="false">SUMIFS('12.326ana'!$C:$C,'12.326ana'!$M:$M,redes!A5600)</f>
        <v>0</v>
      </c>
    </row>
    <row r="5601" customFormat="false" ht="14.4" hidden="true" customHeight="false" outlineLevel="0" collapsed="false">
      <c r="A5601" s="34" t="n">
        <v>569017000164</v>
      </c>
      <c r="B5601" s="34" t="s">
        <v>7839</v>
      </c>
      <c r="C5601" s="34" t="s">
        <v>107</v>
      </c>
      <c r="E5601" s="30" t="s">
        <v>12717</v>
      </c>
      <c r="F5601" s="34" t="n">
        <f aca="false">IFERROR(VLOOKUP($A5601,'319'!$B:$H,7,0),0)</f>
        <v>0</v>
      </c>
      <c r="G5601" s="34" t="n">
        <f aca="false">SUMIFS('12.326ana'!$C:$C,'12.326ana'!$M:$M,redes!A5601)</f>
        <v>0</v>
      </c>
    </row>
    <row r="5602" customFormat="false" ht="14.4" hidden="true" customHeight="false" outlineLevel="0" collapsed="false">
      <c r="A5602" s="34" t="n">
        <v>573812000126</v>
      </c>
      <c r="B5602" s="34" t="s">
        <v>12718</v>
      </c>
      <c r="C5602" s="34" t="s">
        <v>77</v>
      </c>
      <c r="E5602" s="30" t="s">
        <v>5357</v>
      </c>
      <c r="F5602" s="34" t="n">
        <f aca="false">IFERROR(VLOOKUP($A5602,'319'!$B:$H,7,0),0)</f>
        <v>0</v>
      </c>
      <c r="G5602" s="34" t="n">
        <f aca="false">SUMIFS('12.326ana'!$C:$C,'12.326ana'!$M:$M,redes!A5602)</f>
        <v>0</v>
      </c>
    </row>
    <row r="5603" customFormat="false" ht="14.4" hidden="true" customHeight="false" outlineLevel="0" collapsed="false">
      <c r="A5603" s="34" t="n">
        <v>576888000105</v>
      </c>
      <c r="B5603" s="34" t="s">
        <v>12719</v>
      </c>
      <c r="C5603" s="34" t="s">
        <v>342</v>
      </c>
      <c r="E5603" s="30" t="s">
        <v>12720</v>
      </c>
      <c r="F5603" s="34" t="n">
        <f aca="false">IFERROR(VLOOKUP($A5603,'319'!$B:$H,7,0),0)</f>
        <v>0</v>
      </c>
      <c r="G5603" s="34" t="n">
        <f aca="false">SUMIFS('12.326ana'!$C:$C,'12.326ana'!$M:$M,redes!A5603)</f>
        <v>0</v>
      </c>
    </row>
    <row r="5604" customFormat="false" ht="14.4" hidden="true" customHeight="false" outlineLevel="0" collapsed="false">
      <c r="A5604" s="34" t="n">
        <v>576924000130</v>
      </c>
      <c r="B5604" s="34" t="s">
        <v>12721</v>
      </c>
      <c r="C5604" s="34" t="s">
        <v>89</v>
      </c>
      <c r="E5604" s="30" t="s">
        <v>12722</v>
      </c>
      <c r="F5604" s="34" t="n">
        <f aca="false">IFERROR(VLOOKUP($A5604,'319'!$B:$H,7,0),0)</f>
        <v>0</v>
      </c>
      <c r="G5604" s="34" t="n">
        <f aca="false">SUMIFS('12.326ana'!$C:$C,'12.326ana'!$M:$M,redes!A5604)</f>
        <v>0</v>
      </c>
    </row>
    <row r="5605" customFormat="false" ht="14.4" hidden="true" customHeight="false" outlineLevel="0" collapsed="false">
      <c r="A5605" s="34" t="n">
        <v>580273000152</v>
      </c>
      <c r="B5605" s="34" t="s">
        <v>12723</v>
      </c>
      <c r="C5605" s="34" t="s">
        <v>804</v>
      </c>
      <c r="E5605" s="30" t="s">
        <v>12724</v>
      </c>
      <c r="F5605" s="34" t="n">
        <f aca="false">IFERROR(VLOOKUP($A5605,'319'!$B:$H,7,0),0)</f>
        <v>0</v>
      </c>
      <c r="G5605" s="34" t="n">
        <f aca="false">SUMIFS('12.326ana'!$C:$C,'12.326ana'!$M:$M,redes!A5605)</f>
        <v>0</v>
      </c>
    </row>
    <row r="5606" customFormat="false" ht="14.4" hidden="true" customHeight="false" outlineLevel="0" collapsed="false">
      <c r="A5606" s="34" t="n">
        <v>580285000187</v>
      </c>
      <c r="B5606" s="34" t="s">
        <v>12725</v>
      </c>
      <c r="C5606" s="34" t="s">
        <v>604</v>
      </c>
      <c r="E5606" s="30" t="s">
        <v>12726</v>
      </c>
      <c r="F5606" s="34" t="n">
        <f aca="false">IFERROR(VLOOKUP($A5606,'319'!$B:$H,7,0),0)</f>
        <v>0</v>
      </c>
      <c r="G5606" s="34" t="n">
        <f aca="false">SUMIFS('12.326ana'!$C:$C,'12.326ana'!$M:$M,redes!A5606)</f>
        <v>0</v>
      </c>
    </row>
    <row r="5607" customFormat="false" ht="14.4" hidden="true" customHeight="false" outlineLevel="0" collapsed="false">
      <c r="A5607" s="34" t="n">
        <v>580302000186</v>
      </c>
      <c r="B5607" s="34" t="s">
        <v>12727</v>
      </c>
      <c r="C5607" s="34" t="s">
        <v>77</v>
      </c>
      <c r="E5607" s="30" t="s">
        <v>11517</v>
      </c>
      <c r="F5607" s="34" t="n">
        <f aca="false">IFERROR(VLOOKUP($A5607,'319'!$B:$H,7,0),0)</f>
        <v>334.09</v>
      </c>
      <c r="G5607" s="34" t="n">
        <f aca="false">SUMIFS('12.326ana'!$C:$C,'12.326ana'!$M:$M,redes!A5607)</f>
        <v>0</v>
      </c>
    </row>
    <row r="5608" customFormat="false" ht="14.4" hidden="true" customHeight="false" outlineLevel="0" collapsed="false">
      <c r="A5608" s="34" t="n">
        <v>589642000178</v>
      </c>
      <c r="B5608" s="34" t="s">
        <v>12728</v>
      </c>
      <c r="C5608" s="34" t="s">
        <v>77</v>
      </c>
      <c r="E5608" s="30" t="s">
        <v>12729</v>
      </c>
      <c r="F5608" s="34" t="n">
        <f aca="false">IFERROR(VLOOKUP($A5608,'319'!$B:$H,7,0),0)</f>
        <v>0</v>
      </c>
      <c r="G5608" s="34" t="n">
        <f aca="false">SUMIFS('12.326ana'!$C:$C,'12.326ana'!$M:$M,redes!A5608)</f>
        <v>0</v>
      </c>
    </row>
    <row r="5609" customFormat="false" ht="14.4" hidden="true" customHeight="false" outlineLevel="0" collapsed="false">
      <c r="A5609" s="34" t="n">
        <v>593317000189</v>
      </c>
      <c r="B5609" s="34" t="s">
        <v>12730</v>
      </c>
      <c r="C5609" s="34" t="s">
        <v>213</v>
      </c>
      <c r="E5609" s="30" t="s">
        <v>12731</v>
      </c>
      <c r="F5609" s="34" t="n">
        <f aca="false">IFERROR(VLOOKUP($A5609,'319'!$B:$H,7,0),0)</f>
        <v>0</v>
      </c>
      <c r="G5609" s="34" t="n">
        <f aca="false">SUMIFS('12.326ana'!$C:$C,'12.326ana'!$M:$M,redes!A5609)</f>
        <v>0</v>
      </c>
    </row>
    <row r="5610" customFormat="false" ht="14.4" hidden="true" customHeight="false" outlineLevel="0" collapsed="false">
      <c r="A5610" s="34" t="n">
        <v>601701000186</v>
      </c>
      <c r="B5610" s="34" t="s">
        <v>12732</v>
      </c>
      <c r="C5610" s="34" t="s">
        <v>336</v>
      </c>
      <c r="E5610" s="30" t="s">
        <v>12733</v>
      </c>
      <c r="F5610" s="34" t="n">
        <f aca="false">IFERROR(VLOOKUP($A5610,'319'!$B:$H,7,0),0)</f>
        <v>0</v>
      </c>
      <c r="G5610" s="34" t="n">
        <f aca="false">SUMIFS('12.326ana'!$C:$C,'12.326ana'!$M:$M,redes!A5610)</f>
        <v>0</v>
      </c>
    </row>
    <row r="5611" customFormat="false" ht="14.4" hidden="true" customHeight="false" outlineLevel="0" collapsed="false">
      <c r="A5611" s="34" t="n">
        <v>603812000121</v>
      </c>
      <c r="B5611" s="34" t="s">
        <v>12734</v>
      </c>
      <c r="C5611" s="34" t="s">
        <v>207</v>
      </c>
      <c r="E5611" s="30" t="s">
        <v>12735</v>
      </c>
      <c r="F5611" s="34" t="n">
        <f aca="false">IFERROR(VLOOKUP($A5611,'319'!$B:$H,7,0),0)</f>
        <v>0</v>
      </c>
      <c r="G5611" s="34" t="n">
        <f aca="false">SUMIFS('12.326ana'!$C:$C,'12.326ana'!$M:$M,redes!A5611)</f>
        <v>0</v>
      </c>
    </row>
    <row r="5612" customFormat="false" ht="14.4" hidden="true" customHeight="false" outlineLevel="0" collapsed="false">
      <c r="A5612" s="34" t="n">
        <v>606338000191</v>
      </c>
      <c r="B5612" s="34" t="s">
        <v>7973</v>
      </c>
      <c r="C5612" s="34" t="s">
        <v>781</v>
      </c>
      <c r="E5612" s="30" t="s">
        <v>6599</v>
      </c>
      <c r="F5612" s="34" t="n">
        <f aca="false">IFERROR(VLOOKUP($A5612,'319'!$B:$H,7,0),0)</f>
        <v>0</v>
      </c>
      <c r="G5612" s="34" t="n">
        <f aca="false">SUMIFS('12.326ana'!$C:$C,'12.326ana'!$M:$M,redes!A5612)</f>
        <v>0</v>
      </c>
    </row>
    <row r="5613" customFormat="false" ht="14.4" hidden="true" customHeight="false" outlineLevel="0" collapsed="false">
      <c r="A5613" s="34" t="n">
        <v>608742000102</v>
      </c>
      <c r="B5613" s="34" t="s">
        <v>12736</v>
      </c>
      <c r="C5613" s="34" t="s">
        <v>77</v>
      </c>
      <c r="E5613" s="30" t="s">
        <v>12737</v>
      </c>
      <c r="F5613" s="34" t="n">
        <f aca="false">IFERROR(VLOOKUP($A5613,'319'!$B:$H,7,0),0)</f>
        <v>0</v>
      </c>
      <c r="G5613" s="34" t="n">
        <f aca="false">SUMIFS('12.326ana'!$C:$C,'12.326ana'!$M:$M,redes!A5613)</f>
        <v>0</v>
      </c>
    </row>
    <row r="5614" customFormat="false" ht="14.4" hidden="true" customHeight="false" outlineLevel="0" collapsed="false">
      <c r="A5614" s="34" t="n">
        <v>608751000195</v>
      </c>
      <c r="B5614" s="34" t="s">
        <v>12738</v>
      </c>
      <c r="C5614" s="34" t="s">
        <v>336</v>
      </c>
      <c r="E5614" s="30" t="s">
        <v>4223</v>
      </c>
      <c r="F5614" s="34" t="n">
        <f aca="false">IFERROR(VLOOKUP($A5614,'319'!$B:$H,7,0),0)</f>
        <v>0</v>
      </c>
      <c r="G5614" s="34" t="n">
        <f aca="false">SUMIFS('12.326ana'!$C:$C,'12.326ana'!$M:$M,redes!A5614)</f>
        <v>0</v>
      </c>
    </row>
    <row r="5615" customFormat="false" ht="14.4" hidden="true" customHeight="false" outlineLevel="0" collapsed="false">
      <c r="A5615" s="34" t="n">
        <v>614066000171</v>
      </c>
      <c r="B5615" s="34" t="s">
        <v>12739</v>
      </c>
      <c r="C5615" s="34" t="s">
        <v>342</v>
      </c>
      <c r="E5615" s="30" t="s">
        <v>12740</v>
      </c>
      <c r="F5615" s="34" t="n">
        <f aca="false">IFERROR(VLOOKUP($A5615,'319'!$B:$H,7,0),0)</f>
        <v>0</v>
      </c>
      <c r="G5615" s="34" t="n">
        <f aca="false">SUMIFS('12.326ana'!$C:$C,'12.326ana'!$M:$M,redes!A5615)</f>
        <v>0</v>
      </c>
    </row>
    <row r="5616" customFormat="false" ht="14.4" hidden="true" customHeight="false" outlineLevel="0" collapsed="false">
      <c r="A5616" s="34" t="n">
        <v>615678000189</v>
      </c>
      <c r="B5616" s="34" t="s">
        <v>12741</v>
      </c>
      <c r="C5616" s="34" t="s">
        <v>77</v>
      </c>
      <c r="E5616" s="30" t="s">
        <v>12742</v>
      </c>
      <c r="F5616" s="34" t="n">
        <f aca="false">IFERROR(VLOOKUP($A5616,'319'!$B:$H,7,0),0)</f>
        <v>0</v>
      </c>
      <c r="G5616" s="34" t="n">
        <f aca="false">SUMIFS('12.326ana'!$C:$C,'12.326ana'!$M:$M,redes!A5616)</f>
        <v>0</v>
      </c>
    </row>
    <row r="5617" customFormat="false" ht="14.4" hidden="true" customHeight="false" outlineLevel="0" collapsed="false">
      <c r="A5617" s="34" t="n">
        <v>623937000113</v>
      </c>
      <c r="B5617" s="34" t="s">
        <v>12743</v>
      </c>
      <c r="C5617" s="34" t="s">
        <v>207</v>
      </c>
      <c r="E5617" s="30" t="s">
        <v>12744</v>
      </c>
      <c r="F5617" s="34" t="n">
        <f aca="false">IFERROR(VLOOKUP($A5617,'319'!$B:$H,7,0),0)</f>
        <v>0</v>
      </c>
      <c r="G5617" s="34" t="n">
        <f aca="false">SUMIFS('12.326ana'!$C:$C,'12.326ana'!$M:$M,redes!A5617)</f>
        <v>0</v>
      </c>
    </row>
    <row r="5618" customFormat="false" ht="14.4" hidden="true" customHeight="false" outlineLevel="0" collapsed="false">
      <c r="A5618" s="34" t="n">
        <v>627983000190</v>
      </c>
      <c r="B5618" s="34" t="s">
        <v>12745</v>
      </c>
      <c r="C5618" s="34" t="s">
        <v>129</v>
      </c>
      <c r="E5618" s="30" t="s">
        <v>12746</v>
      </c>
      <c r="F5618" s="34" t="n">
        <f aca="false">IFERROR(VLOOKUP($A5618,'319'!$B:$H,7,0),0)</f>
        <v>0</v>
      </c>
      <c r="G5618" s="34" t="n">
        <f aca="false">SUMIFS('12.326ana'!$C:$C,'12.326ana'!$M:$M,redes!A5618)</f>
        <v>0</v>
      </c>
    </row>
    <row r="5619" customFormat="false" ht="14.4" hidden="true" customHeight="false" outlineLevel="0" collapsed="false">
      <c r="A5619" s="34" t="n">
        <v>632376000119</v>
      </c>
      <c r="B5619" s="34" t="s">
        <v>12747</v>
      </c>
      <c r="C5619" s="34" t="s">
        <v>77</v>
      </c>
      <c r="E5619" s="30" t="s">
        <v>8617</v>
      </c>
      <c r="F5619" s="34" t="n">
        <f aca="false">IFERROR(VLOOKUP($A5619,'319'!$B:$H,7,0),0)</f>
        <v>0</v>
      </c>
      <c r="G5619" s="34" t="n">
        <f aca="false">SUMIFS('12.326ana'!$C:$C,'12.326ana'!$M:$M,redes!A5619)</f>
        <v>0</v>
      </c>
    </row>
    <row r="5620" customFormat="false" ht="14.4" hidden="true" customHeight="false" outlineLevel="0" collapsed="false">
      <c r="A5620" s="34" t="n">
        <v>636297000186</v>
      </c>
      <c r="B5620" s="34" t="s">
        <v>12748</v>
      </c>
      <c r="C5620" s="34" t="s">
        <v>77</v>
      </c>
      <c r="E5620" s="30" t="s">
        <v>12749</v>
      </c>
      <c r="F5620" s="34" t="n">
        <f aca="false">IFERROR(VLOOKUP($A5620,'319'!$B:$H,7,0),0)</f>
        <v>0</v>
      </c>
      <c r="G5620" s="34" t="n">
        <f aca="false">SUMIFS('12.326ana'!$C:$C,'12.326ana'!$M:$M,redes!A5620)</f>
        <v>0</v>
      </c>
    </row>
    <row r="5621" customFormat="false" ht="14.4" hidden="true" customHeight="false" outlineLevel="0" collapsed="false">
      <c r="A5621" s="34" t="n">
        <v>636524000173</v>
      </c>
      <c r="B5621" s="34" t="s">
        <v>12750</v>
      </c>
      <c r="C5621" s="34" t="s">
        <v>12327</v>
      </c>
      <c r="E5621" s="30"/>
      <c r="F5621" s="34" t="n">
        <f aca="false">IFERROR(VLOOKUP($A5621,'319'!$B:$H,7,0),0)</f>
        <v>0</v>
      </c>
      <c r="G5621" s="34" t="n">
        <f aca="false">SUMIFS('12.326ana'!$C:$C,'12.326ana'!$M:$M,redes!A5621)</f>
        <v>0</v>
      </c>
    </row>
    <row r="5622" customFormat="false" ht="14.4" hidden="true" customHeight="false" outlineLevel="0" collapsed="false">
      <c r="A5622" s="34" t="n">
        <v>639391000199</v>
      </c>
      <c r="B5622" s="34" t="s">
        <v>12751</v>
      </c>
      <c r="C5622" s="34" t="s">
        <v>77</v>
      </c>
      <c r="E5622" s="30" t="s">
        <v>12752</v>
      </c>
      <c r="F5622" s="34" t="n">
        <f aca="false">IFERROR(VLOOKUP($A5622,'319'!$B:$H,7,0),0)</f>
        <v>0</v>
      </c>
      <c r="G5622" s="34" t="n">
        <f aca="false">SUMIFS('12.326ana'!$C:$C,'12.326ana'!$M:$M,redes!A5622)</f>
        <v>0</v>
      </c>
    </row>
    <row r="5623" customFormat="false" ht="14.4" hidden="true" customHeight="false" outlineLevel="0" collapsed="false">
      <c r="A5623" s="34" t="n">
        <v>639400000141</v>
      </c>
      <c r="B5623" s="34" t="s">
        <v>12753</v>
      </c>
      <c r="C5623" s="34" t="s">
        <v>77</v>
      </c>
      <c r="E5623" s="30" t="s">
        <v>12754</v>
      </c>
      <c r="F5623" s="34" t="n">
        <f aca="false">IFERROR(VLOOKUP($A5623,'319'!$B:$H,7,0),0)</f>
        <v>0</v>
      </c>
      <c r="G5623" s="34" t="n">
        <f aca="false">SUMIFS('12.326ana'!$C:$C,'12.326ana'!$M:$M,redes!A5623)</f>
        <v>0</v>
      </c>
    </row>
    <row r="5624" customFormat="false" ht="14.4" hidden="true" customHeight="false" outlineLevel="0" collapsed="false">
      <c r="A5624" s="34" t="n">
        <v>641315000118</v>
      </c>
      <c r="B5624" s="34" t="s">
        <v>12755</v>
      </c>
      <c r="C5624" s="34" t="s">
        <v>197</v>
      </c>
      <c r="E5624" s="30" t="s">
        <v>7828</v>
      </c>
      <c r="F5624" s="34" t="n">
        <f aca="false">IFERROR(VLOOKUP($A5624,'319'!$B:$H,7,0),0)</f>
        <v>0</v>
      </c>
      <c r="G5624" s="34" t="n">
        <f aca="false">SUMIFS('12.326ana'!$C:$C,'12.326ana'!$M:$M,redes!A5624)</f>
        <v>0</v>
      </c>
    </row>
    <row r="5625" customFormat="false" ht="14.4" hidden="true" customHeight="false" outlineLevel="0" collapsed="false">
      <c r="A5625" s="34" t="n">
        <v>641325000153</v>
      </c>
      <c r="B5625" s="34" t="s">
        <v>12756</v>
      </c>
      <c r="C5625" s="34" t="s">
        <v>77</v>
      </c>
      <c r="E5625" s="30" t="s">
        <v>12757</v>
      </c>
      <c r="F5625" s="34" t="n">
        <f aca="false">IFERROR(VLOOKUP($A5625,'319'!$B:$H,7,0),0)</f>
        <v>0</v>
      </c>
      <c r="G5625" s="34" t="n">
        <f aca="false">SUMIFS('12.326ana'!$C:$C,'12.326ana'!$M:$M,redes!A5625)</f>
        <v>0</v>
      </c>
    </row>
    <row r="5626" customFormat="false" ht="14.4" hidden="true" customHeight="false" outlineLevel="0" collapsed="false">
      <c r="A5626" s="34" t="n">
        <v>641334000144</v>
      </c>
      <c r="B5626" s="34" t="s">
        <v>12758</v>
      </c>
      <c r="C5626" s="34" t="s">
        <v>357</v>
      </c>
      <c r="E5626" s="30" t="s">
        <v>12759</v>
      </c>
      <c r="F5626" s="34" t="n">
        <f aca="false">IFERROR(VLOOKUP($A5626,'319'!$B:$H,7,0),0)</f>
        <v>0</v>
      </c>
      <c r="G5626" s="34" t="n">
        <f aca="false">SUMIFS('12.326ana'!$C:$C,'12.326ana'!$M:$M,redes!A5626)</f>
        <v>0</v>
      </c>
    </row>
    <row r="5627" customFormat="false" ht="14.4" hidden="true" customHeight="false" outlineLevel="0" collapsed="false">
      <c r="A5627" s="34" t="n">
        <v>645722000101</v>
      </c>
      <c r="B5627" s="34" t="s">
        <v>12760</v>
      </c>
      <c r="C5627" s="34" t="s">
        <v>77</v>
      </c>
      <c r="E5627" s="30" t="s">
        <v>12761</v>
      </c>
      <c r="F5627" s="34" t="n">
        <f aca="false">IFERROR(VLOOKUP($A5627,'319'!$B:$H,7,0),0)</f>
        <v>0</v>
      </c>
      <c r="G5627" s="34" t="n">
        <f aca="false">SUMIFS('12.326ana'!$C:$C,'12.326ana'!$M:$M,redes!A5627)</f>
        <v>0</v>
      </c>
    </row>
    <row r="5628" customFormat="false" ht="14.4" hidden="true" customHeight="false" outlineLevel="0" collapsed="false">
      <c r="A5628" s="34" t="n">
        <v>649527000141</v>
      </c>
      <c r="B5628" s="34" t="s">
        <v>12762</v>
      </c>
      <c r="C5628" s="34" t="s">
        <v>89</v>
      </c>
      <c r="E5628" s="30" t="s">
        <v>12763</v>
      </c>
      <c r="F5628" s="34" t="n">
        <f aca="false">IFERROR(VLOOKUP($A5628,'319'!$B:$H,7,0),0)</f>
        <v>0</v>
      </c>
      <c r="G5628" s="34" t="n">
        <f aca="false">SUMIFS('12.326ana'!$C:$C,'12.326ana'!$M:$M,redes!A5628)</f>
        <v>0</v>
      </c>
    </row>
    <row r="5629" customFormat="false" ht="14.4" hidden="true" customHeight="false" outlineLevel="0" collapsed="false">
      <c r="A5629" s="34" t="n">
        <v>649534000143</v>
      </c>
      <c r="B5629" s="34" t="s">
        <v>12764</v>
      </c>
      <c r="C5629" s="34" t="s">
        <v>77</v>
      </c>
      <c r="E5629" s="30" t="s">
        <v>6130</v>
      </c>
      <c r="F5629" s="34" t="n">
        <f aca="false">IFERROR(VLOOKUP($A5629,'319'!$B:$H,7,0),0)</f>
        <v>0</v>
      </c>
      <c r="G5629" s="34" t="n">
        <f aca="false">SUMIFS('12.326ana'!$C:$C,'12.326ana'!$M:$M,redes!A5629)</f>
        <v>0</v>
      </c>
    </row>
    <row r="5630" customFormat="false" ht="14.4" hidden="true" customHeight="false" outlineLevel="0" collapsed="false">
      <c r="A5630" s="34" t="n">
        <v>655634000182</v>
      </c>
      <c r="B5630" s="34" t="s">
        <v>12765</v>
      </c>
      <c r="C5630" s="34" t="s">
        <v>77</v>
      </c>
      <c r="E5630" s="30" t="s">
        <v>6919</v>
      </c>
      <c r="F5630" s="34" t="n">
        <f aca="false">IFERROR(VLOOKUP($A5630,'319'!$B:$H,7,0),0)</f>
        <v>0</v>
      </c>
      <c r="G5630" s="34" t="n">
        <f aca="false">SUMIFS('12.326ana'!$C:$C,'12.326ana'!$M:$M,redes!A5630)</f>
        <v>0</v>
      </c>
    </row>
    <row r="5631" customFormat="false" ht="14.4" hidden="true" customHeight="false" outlineLevel="0" collapsed="false">
      <c r="A5631" s="34" t="n">
        <v>662299000140</v>
      </c>
      <c r="B5631" s="34" t="s">
        <v>12766</v>
      </c>
      <c r="C5631" s="34" t="s">
        <v>546</v>
      </c>
      <c r="E5631" s="30" t="s">
        <v>12767</v>
      </c>
      <c r="F5631" s="34" t="n">
        <f aca="false">IFERROR(VLOOKUP($A5631,'319'!$B:$H,7,0),0)</f>
        <v>0</v>
      </c>
      <c r="G5631" s="34" t="n">
        <f aca="false">SUMIFS('12.326ana'!$C:$C,'12.326ana'!$M:$M,redes!A5631)</f>
        <v>0</v>
      </c>
    </row>
    <row r="5632" customFormat="false" ht="14.4" hidden="true" customHeight="false" outlineLevel="0" collapsed="false">
      <c r="A5632" s="34" t="n">
        <v>664876000132</v>
      </c>
      <c r="B5632" s="34" t="s">
        <v>12768</v>
      </c>
      <c r="C5632" s="34" t="s">
        <v>1341</v>
      </c>
      <c r="E5632" s="30" t="s">
        <v>12769</v>
      </c>
      <c r="F5632" s="34" t="n">
        <f aca="false">IFERROR(VLOOKUP($A5632,'319'!$B:$H,7,0),0)</f>
        <v>0</v>
      </c>
      <c r="G5632" s="34" t="n">
        <f aca="false">SUMIFS('12.326ana'!$C:$C,'12.326ana'!$M:$M,redes!A5632)</f>
        <v>0</v>
      </c>
    </row>
    <row r="5633" customFormat="false" ht="14.4" hidden="true" customHeight="false" outlineLevel="0" collapsed="false">
      <c r="A5633" s="34" t="n">
        <v>674476000108</v>
      </c>
      <c r="B5633" s="34" t="s">
        <v>12770</v>
      </c>
      <c r="C5633" s="34" t="s">
        <v>197</v>
      </c>
      <c r="E5633" s="30" t="s">
        <v>12771</v>
      </c>
      <c r="F5633" s="34" t="n">
        <f aca="false">IFERROR(VLOOKUP($A5633,'319'!$B:$H,7,0),0)</f>
        <v>0</v>
      </c>
      <c r="G5633" s="34" t="n">
        <f aca="false">SUMIFS('12.326ana'!$C:$C,'12.326ana'!$M:$M,redes!A5633)</f>
        <v>0</v>
      </c>
    </row>
    <row r="5634" customFormat="false" ht="14.4" hidden="true" customHeight="false" outlineLevel="0" collapsed="false">
      <c r="A5634" s="34" t="n">
        <v>674497000123</v>
      </c>
      <c r="B5634" s="34" t="s">
        <v>12772</v>
      </c>
      <c r="C5634" s="34" t="s">
        <v>213</v>
      </c>
      <c r="E5634" s="30" t="s">
        <v>12773</v>
      </c>
      <c r="F5634" s="34" t="n">
        <f aca="false">IFERROR(VLOOKUP($A5634,'319'!$B:$H,7,0),0)</f>
        <v>0</v>
      </c>
      <c r="G5634" s="34" t="n">
        <f aca="false">SUMIFS('12.326ana'!$C:$C,'12.326ana'!$M:$M,redes!A5634)</f>
        <v>0</v>
      </c>
    </row>
    <row r="5635" customFormat="false" ht="14.4" hidden="true" customHeight="false" outlineLevel="0" collapsed="false">
      <c r="A5635" s="34" t="n">
        <v>679441000161</v>
      </c>
      <c r="B5635" s="34" t="s">
        <v>12774</v>
      </c>
      <c r="C5635" s="34" t="s">
        <v>463</v>
      </c>
      <c r="E5635" s="30" t="s">
        <v>12775</v>
      </c>
      <c r="F5635" s="34" t="n">
        <f aca="false">IFERROR(VLOOKUP($A5635,'319'!$B:$H,7,0),0)</f>
        <v>0</v>
      </c>
      <c r="G5635" s="34" t="n">
        <f aca="false">SUMIFS('12.326ana'!$C:$C,'12.326ana'!$M:$M,redes!A5635)</f>
        <v>0</v>
      </c>
    </row>
    <row r="5636" customFormat="false" ht="14.4" hidden="true" customHeight="false" outlineLevel="0" collapsed="false">
      <c r="A5636" s="34" t="n">
        <v>690652000103</v>
      </c>
      <c r="B5636" s="34" t="s">
        <v>12776</v>
      </c>
      <c r="C5636" s="34" t="s">
        <v>77</v>
      </c>
      <c r="E5636" s="30" t="s">
        <v>12777</v>
      </c>
      <c r="F5636" s="34" t="n">
        <f aca="false">IFERROR(VLOOKUP($A5636,'319'!$B:$H,7,0),0)</f>
        <v>0</v>
      </c>
      <c r="G5636" s="34" t="n">
        <f aca="false">SUMIFS('12.326ana'!$C:$C,'12.326ana'!$M:$M,redes!A5636)</f>
        <v>0</v>
      </c>
    </row>
    <row r="5637" customFormat="false" ht="14.4" hidden="true" customHeight="false" outlineLevel="0" collapsed="false">
      <c r="A5637" s="34" t="n">
        <v>690676000154</v>
      </c>
      <c r="B5637" s="34" t="s">
        <v>12778</v>
      </c>
      <c r="C5637" s="34" t="s">
        <v>377</v>
      </c>
      <c r="E5637" s="30" t="s">
        <v>12779</v>
      </c>
      <c r="F5637" s="34" t="n">
        <f aca="false">IFERROR(VLOOKUP($A5637,'319'!$B:$H,7,0),0)</f>
        <v>0</v>
      </c>
      <c r="G5637" s="34" t="n">
        <f aca="false">SUMIFS('12.326ana'!$C:$C,'12.326ana'!$M:$M,redes!A5637)</f>
        <v>0</v>
      </c>
    </row>
    <row r="5638" customFormat="false" ht="14.4" hidden="true" customHeight="false" outlineLevel="0" collapsed="false">
      <c r="A5638" s="34" t="n">
        <v>690703000199</v>
      </c>
      <c r="B5638" s="34" t="s">
        <v>12780</v>
      </c>
      <c r="C5638" s="34" t="s">
        <v>107</v>
      </c>
      <c r="E5638" s="30" t="s">
        <v>12781</v>
      </c>
      <c r="F5638" s="34" t="n">
        <f aca="false">IFERROR(VLOOKUP($A5638,'319'!$B:$H,7,0),0)</f>
        <v>0</v>
      </c>
      <c r="G5638" s="34" t="n">
        <f aca="false">SUMIFS('12.326ana'!$C:$C,'12.326ana'!$M:$M,redes!A5638)</f>
        <v>0</v>
      </c>
    </row>
    <row r="5639" customFormat="false" ht="14.4" hidden="true" customHeight="false" outlineLevel="0" collapsed="false">
      <c r="A5639" s="34" t="n">
        <v>694669000120</v>
      </c>
      <c r="B5639" s="34" t="s">
        <v>12782</v>
      </c>
      <c r="C5639" s="34" t="s">
        <v>546</v>
      </c>
      <c r="E5639" s="30" t="s">
        <v>12783</v>
      </c>
      <c r="F5639" s="34" t="n">
        <f aca="false">IFERROR(VLOOKUP($A5639,'319'!$B:$H,7,0),0)</f>
        <v>0</v>
      </c>
      <c r="G5639" s="34" t="n">
        <f aca="false">SUMIFS('12.326ana'!$C:$C,'12.326ana'!$M:$M,redes!A5639)</f>
        <v>0</v>
      </c>
    </row>
    <row r="5640" customFormat="false" ht="14.4" hidden="true" customHeight="false" outlineLevel="0" collapsed="false">
      <c r="A5640" s="34" t="n">
        <v>696181000132</v>
      </c>
      <c r="B5640" s="34" t="s">
        <v>12784</v>
      </c>
      <c r="C5640" s="34" t="s">
        <v>77</v>
      </c>
      <c r="E5640" s="30" t="s">
        <v>12785</v>
      </c>
      <c r="F5640" s="34" t="n">
        <f aca="false">IFERROR(VLOOKUP($A5640,'319'!$B:$H,7,0),0)</f>
        <v>0</v>
      </c>
      <c r="G5640" s="34" t="n">
        <f aca="false">SUMIFS('12.326ana'!$C:$C,'12.326ana'!$M:$M,redes!A5640)</f>
        <v>0</v>
      </c>
    </row>
    <row r="5641" customFormat="false" ht="14.4" hidden="true" customHeight="false" outlineLevel="0" collapsed="false">
      <c r="A5641" s="34" t="n">
        <v>697611000130</v>
      </c>
      <c r="B5641" s="34" t="s">
        <v>12786</v>
      </c>
      <c r="C5641" s="34" t="s">
        <v>77</v>
      </c>
      <c r="E5641" s="30" t="s">
        <v>12787</v>
      </c>
      <c r="F5641" s="34" t="n">
        <f aca="false">IFERROR(VLOOKUP($A5641,'319'!$B:$H,7,0),0)</f>
        <v>0</v>
      </c>
      <c r="G5641" s="34" t="n">
        <f aca="false">SUMIFS('12.326ana'!$C:$C,'12.326ana'!$M:$M,redes!A5641)</f>
        <v>0</v>
      </c>
    </row>
    <row r="5642" customFormat="false" ht="14.4" hidden="true" customHeight="false" outlineLevel="0" collapsed="false">
      <c r="A5642" s="34" t="n">
        <v>700228000194</v>
      </c>
      <c r="B5642" s="34" t="s">
        <v>12788</v>
      </c>
      <c r="C5642" s="34" t="s">
        <v>77</v>
      </c>
      <c r="E5642" s="30" t="s">
        <v>12789</v>
      </c>
      <c r="F5642" s="34" t="n">
        <f aca="false">IFERROR(VLOOKUP($A5642,'319'!$B:$H,7,0),0)</f>
        <v>0</v>
      </c>
      <c r="G5642" s="34" t="n">
        <f aca="false">SUMIFS('12.326ana'!$C:$C,'12.326ana'!$M:$M,redes!A5642)</f>
        <v>0</v>
      </c>
    </row>
    <row r="5643" customFormat="false" ht="14.4" hidden="true" customHeight="false" outlineLevel="0" collapsed="false">
      <c r="A5643" s="34" t="n">
        <v>700247000110</v>
      </c>
      <c r="B5643" s="34" t="s">
        <v>12790</v>
      </c>
      <c r="C5643" s="34" t="s">
        <v>77</v>
      </c>
      <c r="E5643" s="30" t="s">
        <v>12791</v>
      </c>
      <c r="F5643" s="34" t="n">
        <f aca="false">IFERROR(VLOOKUP($A5643,'319'!$B:$H,7,0),0)</f>
        <v>0</v>
      </c>
      <c r="G5643" s="34" t="n">
        <f aca="false">SUMIFS('12.326ana'!$C:$C,'12.326ana'!$M:$M,redes!A5643)</f>
        <v>0</v>
      </c>
    </row>
    <row r="5644" customFormat="false" ht="14.4" hidden="true" customHeight="false" outlineLevel="0" collapsed="false">
      <c r="A5644" s="34" t="n">
        <v>704181000137</v>
      </c>
      <c r="B5644" s="34" t="s">
        <v>12792</v>
      </c>
      <c r="C5644" s="34" t="s">
        <v>77</v>
      </c>
      <c r="E5644" s="30" t="s">
        <v>12793</v>
      </c>
      <c r="F5644" s="34" t="n">
        <f aca="false">IFERROR(VLOOKUP($A5644,'319'!$B:$H,7,0),0)</f>
        <v>0</v>
      </c>
      <c r="G5644" s="34" t="n">
        <f aca="false">SUMIFS('12.326ana'!$C:$C,'12.326ana'!$M:$M,redes!A5644)</f>
        <v>0</v>
      </c>
    </row>
    <row r="5645" customFormat="false" ht="14.4" hidden="true" customHeight="false" outlineLevel="0" collapsed="false">
      <c r="A5645" s="34" t="n">
        <v>705225000143</v>
      </c>
      <c r="B5645" s="34" t="s">
        <v>12794</v>
      </c>
      <c r="C5645" s="34" t="s">
        <v>77</v>
      </c>
      <c r="E5645" s="30" t="s">
        <v>8178</v>
      </c>
      <c r="F5645" s="34" t="n">
        <f aca="false">IFERROR(VLOOKUP($A5645,'319'!$B:$H,7,0),0)</f>
        <v>0</v>
      </c>
      <c r="G5645" s="34" t="n">
        <f aca="false">SUMIFS('12.326ana'!$C:$C,'12.326ana'!$M:$M,redes!A5645)</f>
        <v>0</v>
      </c>
    </row>
    <row r="5646" customFormat="false" ht="14.4" hidden="true" customHeight="false" outlineLevel="0" collapsed="false">
      <c r="A5646" s="34" t="n">
        <v>708632000104</v>
      </c>
      <c r="B5646" s="34" t="s">
        <v>12795</v>
      </c>
      <c r="C5646" s="34" t="s">
        <v>77</v>
      </c>
      <c r="E5646" s="30" t="s">
        <v>12796</v>
      </c>
      <c r="F5646" s="34" t="n">
        <f aca="false">IFERROR(VLOOKUP($A5646,'319'!$B:$H,7,0),0)</f>
        <v>0</v>
      </c>
      <c r="G5646" s="34" t="n">
        <f aca="false">SUMIFS('12.326ana'!$C:$C,'12.326ana'!$M:$M,redes!A5646)</f>
        <v>0</v>
      </c>
    </row>
    <row r="5647" customFormat="false" ht="14.4" hidden="true" customHeight="false" outlineLevel="0" collapsed="false">
      <c r="A5647" s="34" t="n">
        <v>708645000183</v>
      </c>
      <c r="B5647" s="34" t="s">
        <v>12797</v>
      </c>
      <c r="C5647" s="34" t="s">
        <v>197</v>
      </c>
      <c r="E5647" s="30" t="s">
        <v>12798</v>
      </c>
      <c r="F5647" s="34" t="n">
        <f aca="false">IFERROR(VLOOKUP($A5647,'319'!$B:$H,7,0),0)</f>
        <v>0</v>
      </c>
      <c r="G5647" s="34" t="n">
        <f aca="false">SUMIFS('12.326ana'!$C:$C,'12.326ana'!$M:$M,redes!A5647)</f>
        <v>0</v>
      </c>
    </row>
    <row r="5648" customFormat="false" ht="14.4" hidden="true" customHeight="false" outlineLevel="0" collapsed="false">
      <c r="A5648" s="34" t="n">
        <v>712066000104</v>
      </c>
      <c r="B5648" s="34" t="s">
        <v>12799</v>
      </c>
      <c r="C5648" s="34" t="s">
        <v>7250</v>
      </c>
      <c r="E5648" s="30" t="s">
        <v>12800</v>
      </c>
      <c r="F5648" s="34" t="n">
        <f aca="false">IFERROR(VLOOKUP($A5648,'319'!$B:$H,7,0),0)</f>
        <v>0</v>
      </c>
      <c r="G5648" s="34" t="n">
        <f aca="false">SUMIFS('12.326ana'!$C:$C,'12.326ana'!$M:$M,redes!A5648)</f>
        <v>0</v>
      </c>
    </row>
    <row r="5649" customFormat="false" ht="14.4" hidden="true" customHeight="false" outlineLevel="0" collapsed="false">
      <c r="A5649" s="34" t="n">
        <v>715861000156</v>
      </c>
      <c r="B5649" s="34" t="s">
        <v>12801</v>
      </c>
      <c r="C5649" s="34" t="s">
        <v>77</v>
      </c>
      <c r="E5649" s="30" t="s">
        <v>12802</v>
      </c>
      <c r="F5649" s="34" t="n">
        <f aca="false">IFERROR(VLOOKUP($A5649,'319'!$B:$H,7,0),0)</f>
        <v>0</v>
      </c>
      <c r="G5649" s="34" t="n">
        <f aca="false">SUMIFS('12.326ana'!$C:$C,'12.326ana'!$M:$M,redes!A5649)</f>
        <v>0</v>
      </c>
    </row>
    <row r="5650" customFormat="false" ht="14.4" hidden="true" customHeight="false" outlineLevel="0" collapsed="false">
      <c r="A5650" s="34" t="n">
        <v>719852000133</v>
      </c>
      <c r="B5650" s="34" t="s">
        <v>12803</v>
      </c>
      <c r="C5650" s="34" t="s">
        <v>89</v>
      </c>
      <c r="E5650" s="30" t="s">
        <v>12804</v>
      </c>
      <c r="F5650" s="34" t="n">
        <f aca="false">IFERROR(VLOOKUP($A5650,'319'!$B:$H,7,0),0)</f>
        <v>0</v>
      </c>
      <c r="G5650" s="34" t="n">
        <f aca="false">SUMIFS('12.326ana'!$C:$C,'12.326ana'!$M:$M,redes!A5650)</f>
        <v>0</v>
      </c>
    </row>
    <row r="5651" customFormat="false" ht="14.4" hidden="true" customHeight="false" outlineLevel="0" collapsed="false">
      <c r="A5651" s="34" t="n">
        <v>726560000128</v>
      </c>
      <c r="B5651" s="34" t="s">
        <v>12805</v>
      </c>
      <c r="C5651" s="34" t="s">
        <v>77</v>
      </c>
      <c r="E5651" s="30" t="s">
        <v>12806</v>
      </c>
      <c r="F5651" s="34" t="n">
        <f aca="false">IFERROR(VLOOKUP($A5651,'319'!$B:$H,7,0),0)</f>
        <v>0</v>
      </c>
      <c r="G5651" s="34" t="n">
        <f aca="false">SUMIFS('12.326ana'!$C:$C,'12.326ana'!$M:$M,redes!A5651)</f>
        <v>0</v>
      </c>
    </row>
    <row r="5652" customFormat="false" ht="14.4" hidden="true" customHeight="false" outlineLevel="0" collapsed="false">
      <c r="A5652" s="34" t="n">
        <v>726560000209</v>
      </c>
      <c r="B5652" s="34" t="s">
        <v>12805</v>
      </c>
      <c r="C5652" s="34" t="s">
        <v>1795</v>
      </c>
      <c r="E5652" s="30" t="s">
        <v>12806</v>
      </c>
      <c r="F5652" s="34" t="n">
        <f aca="false">IFERROR(VLOOKUP($A5652,'319'!$B:$H,7,0),0)</f>
        <v>0</v>
      </c>
      <c r="G5652" s="34" t="n">
        <f aca="false">SUMIFS('12.326ana'!$C:$C,'12.326ana'!$M:$M,redes!A5652)</f>
        <v>0</v>
      </c>
    </row>
    <row r="5653" customFormat="false" ht="14.4" hidden="true" customHeight="false" outlineLevel="0" collapsed="false">
      <c r="A5653" s="34" t="n">
        <v>727092000106</v>
      </c>
      <c r="B5653" s="34" t="s">
        <v>12807</v>
      </c>
      <c r="C5653" s="34" t="s">
        <v>77</v>
      </c>
      <c r="E5653" s="30" t="s">
        <v>12808</v>
      </c>
      <c r="F5653" s="34" t="n">
        <f aca="false">IFERROR(VLOOKUP($A5653,'319'!$B:$H,7,0),0)</f>
        <v>0</v>
      </c>
      <c r="G5653" s="34" t="n">
        <f aca="false">SUMIFS('12.326ana'!$C:$C,'12.326ana'!$M:$M,redes!A5653)</f>
        <v>0</v>
      </c>
    </row>
    <row r="5654" customFormat="false" ht="14.4" hidden="true" customHeight="false" outlineLevel="0" collapsed="false">
      <c r="A5654" s="34" t="n">
        <v>727104000100</v>
      </c>
      <c r="B5654" s="34" t="s">
        <v>12809</v>
      </c>
      <c r="C5654" s="34" t="s">
        <v>77</v>
      </c>
      <c r="E5654" s="30" t="s">
        <v>12810</v>
      </c>
      <c r="F5654" s="34" t="n">
        <f aca="false">IFERROR(VLOOKUP($A5654,'319'!$B:$H,7,0),0)</f>
        <v>0</v>
      </c>
      <c r="G5654" s="34" t="n">
        <f aca="false">SUMIFS('12.326ana'!$C:$C,'12.326ana'!$M:$M,redes!A5654)</f>
        <v>0</v>
      </c>
    </row>
    <row r="5655" customFormat="false" ht="14.4" hidden="true" customHeight="false" outlineLevel="0" collapsed="false">
      <c r="A5655" s="34" t="n">
        <v>729956000129</v>
      </c>
      <c r="B5655" s="34" t="s">
        <v>12811</v>
      </c>
      <c r="C5655" s="34" t="s">
        <v>77</v>
      </c>
      <c r="E5655" s="30" t="s">
        <v>12812</v>
      </c>
      <c r="F5655" s="34" t="n">
        <f aca="false">IFERROR(VLOOKUP($A5655,'319'!$B:$H,7,0),0)</f>
        <v>0</v>
      </c>
      <c r="G5655" s="34" t="n">
        <f aca="false">SUMIFS('12.326ana'!$C:$C,'12.326ana'!$M:$M,redes!A5655)</f>
        <v>0</v>
      </c>
    </row>
    <row r="5656" customFormat="false" ht="14.4" hidden="true" customHeight="false" outlineLevel="0" collapsed="false">
      <c r="A5656" s="34" t="n">
        <v>730532000184</v>
      </c>
      <c r="B5656" s="34" t="s">
        <v>12813</v>
      </c>
      <c r="C5656" s="34" t="s">
        <v>103</v>
      </c>
      <c r="E5656" s="30" t="s">
        <v>12814</v>
      </c>
      <c r="F5656" s="34" t="n">
        <f aca="false">IFERROR(VLOOKUP($A5656,'319'!$B:$H,7,0),0)</f>
        <v>0</v>
      </c>
      <c r="G5656" s="34" t="n">
        <f aca="false">SUMIFS('12.326ana'!$C:$C,'12.326ana'!$M:$M,redes!A5656)</f>
        <v>0</v>
      </c>
    </row>
    <row r="5657" customFormat="false" ht="14.4" hidden="true" customHeight="false" outlineLevel="0" collapsed="false">
      <c r="A5657" s="34" t="n">
        <v>734986000123</v>
      </c>
      <c r="B5657" s="34" t="s">
        <v>12815</v>
      </c>
      <c r="C5657" s="34" t="s">
        <v>463</v>
      </c>
      <c r="E5657" s="30" t="s">
        <v>12816</v>
      </c>
      <c r="F5657" s="34" t="n">
        <f aca="false">IFERROR(VLOOKUP($A5657,'319'!$B:$H,7,0),0)</f>
        <v>0</v>
      </c>
      <c r="G5657" s="34" t="n">
        <f aca="false">SUMIFS('12.326ana'!$C:$C,'12.326ana'!$M:$M,redes!A5657)</f>
        <v>0</v>
      </c>
    </row>
    <row r="5658" customFormat="false" ht="14.4" hidden="true" customHeight="false" outlineLevel="0" collapsed="false">
      <c r="A5658" s="34" t="n">
        <v>735005000162</v>
      </c>
      <c r="B5658" s="34" t="s">
        <v>1146</v>
      </c>
      <c r="C5658" s="34" t="s">
        <v>103</v>
      </c>
      <c r="E5658" s="30" t="s">
        <v>12817</v>
      </c>
      <c r="F5658" s="34" t="n">
        <f aca="false">IFERROR(VLOOKUP($A5658,'319'!$B:$H,7,0),0)</f>
        <v>478.87</v>
      </c>
      <c r="G5658" s="34" t="n">
        <f aca="false">SUMIFS('12.326ana'!$C:$C,'12.326ana'!$M:$M,redes!A5658)</f>
        <v>0</v>
      </c>
    </row>
    <row r="5659" customFormat="false" ht="14.4" hidden="true" customHeight="false" outlineLevel="0" collapsed="false">
      <c r="A5659" s="34" t="n">
        <v>735014000153</v>
      </c>
      <c r="B5659" s="34" t="s">
        <v>11665</v>
      </c>
      <c r="C5659" s="34" t="s">
        <v>781</v>
      </c>
      <c r="E5659" s="30" t="s">
        <v>12818</v>
      </c>
      <c r="F5659" s="34" t="n">
        <f aca="false">IFERROR(VLOOKUP($A5659,'319'!$B:$H,7,0),0)</f>
        <v>0</v>
      </c>
      <c r="G5659" s="34" t="n">
        <f aca="false">SUMIFS('12.326ana'!$C:$C,'12.326ana'!$M:$M,redes!A5659)</f>
        <v>0</v>
      </c>
    </row>
    <row r="5660" customFormat="false" ht="14.4" hidden="true" customHeight="false" outlineLevel="0" collapsed="false">
      <c r="A5660" s="34" t="n">
        <v>739209000333</v>
      </c>
      <c r="B5660" s="34" t="s">
        <v>12819</v>
      </c>
      <c r="C5660" s="34" t="s">
        <v>1795</v>
      </c>
      <c r="E5660" s="30" t="s">
        <v>12819</v>
      </c>
      <c r="F5660" s="34" t="n">
        <f aca="false">IFERROR(VLOOKUP($A5660,'319'!$B:$H,7,0),0)</f>
        <v>0</v>
      </c>
      <c r="G5660" s="34" t="n">
        <f aca="false">SUMIFS('12.326ana'!$C:$C,'12.326ana'!$M:$M,redes!A5660)</f>
        <v>0</v>
      </c>
    </row>
    <row r="5661" customFormat="false" ht="14.4" hidden="true" customHeight="false" outlineLevel="0" collapsed="false">
      <c r="A5661" s="34" t="n">
        <v>739209001062</v>
      </c>
      <c r="B5661" s="34" t="s">
        <v>12820</v>
      </c>
      <c r="C5661" s="34" t="s">
        <v>12821</v>
      </c>
      <c r="E5661" s="30" t="s">
        <v>12820</v>
      </c>
      <c r="F5661" s="34" t="n">
        <f aca="false">IFERROR(VLOOKUP($A5661,'319'!$B:$H,7,0),0)</f>
        <v>0</v>
      </c>
      <c r="G5661" s="34" t="n">
        <f aca="false">SUMIFS('12.326ana'!$C:$C,'12.326ana'!$M:$M,redes!A5661)</f>
        <v>0</v>
      </c>
    </row>
    <row r="5662" customFormat="false" ht="14.4" hidden="true" customHeight="false" outlineLevel="0" collapsed="false">
      <c r="A5662" s="34" t="n">
        <v>742954000170</v>
      </c>
      <c r="B5662" s="34" t="s">
        <v>12822</v>
      </c>
      <c r="C5662" s="34" t="s">
        <v>463</v>
      </c>
      <c r="E5662" s="30" t="s">
        <v>3615</v>
      </c>
      <c r="F5662" s="34" t="n">
        <f aca="false">IFERROR(VLOOKUP($A5662,'319'!$B:$H,7,0),0)</f>
        <v>0</v>
      </c>
      <c r="G5662" s="34" t="n">
        <f aca="false">SUMIFS('12.326ana'!$C:$C,'12.326ana'!$M:$M,redes!A5662)</f>
        <v>0</v>
      </c>
    </row>
    <row r="5663" customFormat="false" ht="14.4" hidden="true" customHeight="false" outlineLevel="0" collapsed="false">
      <c r="A5663" s="34" t="n">
        <v>753873000175</v>
      </c>
      <c r="B5663" s="34" t="s">
        <v>12823</v>
      </c>
      <c r="C5663" s="34" t="s">
        <v>631</v>
      </c>
      <c r="E5663" s="30" t="s">
        <v>12824</v>
      </c>
      <c r="F5663" s="34" t="n">
        <f aca="false">IFERROR(VLOOKUP($A5663,'319'!$B:$H,7,0),0)</f>
        <v>0</v>
      </c>
      <c r="G5663" s="34" t="n">
        <f aca="false">SUMIFS('12.326ana'!$C:$C,'12.326ana'!$M:$M,redes!A5663)</f>
        <v>0</v>
      </c>
    </row>
    <row r="5664" customFormat="false" ht="14.4" hidden="true" customHeight="false" outlineLevel="0" collapsed="false">
      <c r="A5664" s="34" t="n">
        <v>753890000102</v>
      </c>
      <c r="B5664" s="34" t="s">
        <v>12825</v>
      </c>
      <c r="C5664" s="34" t="s">
        <v>77</v>
      </c>
      <c r="E5664" s="30" t="s">
        <v>12826</v>
      </c>
      <c r="F5664" s="34" t="n">
        <f aca="false">IFERROR(VLOOKUP($A5664,'319'!$B:$H,7,0),0)</f>
        <v>0</v>
      </c>
      <c r="G5664" s="34" t="n">
        <f aca="false">SUMIFS('12.326ana'!$C:$C,'12.326ana'!$M:$M,redes!A5664)</f>
        <v>0</v>
      </c>
    </row>
    <row r="5665" customFormat="false" ht="14.4" hidden="true" customHeight="false" outlineLevel="0" collapsed="false">
      <c r="A5665" s="34" t="n">
        <v>753894000190</v>
      </c>
      <c r="B5665" s="34" t="s">
        <v>12827</v>
      </c>
      <c r="C5665" s="34" t="s">
        <v>77</v>
      </c>
      <c r="E5665" s="30" t="s">
        <v>12828</v>
      </c>
      <c r="F5665" s="34" t="n">
        <f aca="false">IFERROR(VLOOKUP($A5665,'319'!$B:$H,7,0),0)</f>
        <v>0</v>
      </c>
      <c r="G5665" s="34" t="n">
        <f aca="false">SUMIFS('12.326ana'!$C:$C,'12.326ana'!$M:$M,redes!A5665)</f>
        <v>0</v>
      </c>
    </row>
    <row r="5666" customFormat="false" ht="14.4" hidden="true" customHeight="false" outlineLevel="0" collapsed="false">
      <c r="A5666" s="34" t="n">
        <v>755174000164</v>
      </c>
      <c r="B5666" s="34" t="s">
        <v>12829</v>
      </c>
      <c r="C5666" s="34" t="s">
        <v>103</v>
      </c>
      <c r="E5666" s="30" t="s">
        <v>12830</v>
      </c>
      <c r="F5666" s="34" t="n">
        <f aca="false">IFERROR(VLOOKUP($A5666,'319'!$B:$H,7,0),0)</f>
        <v>0</v>
      </c>
      <c r="G5666" s="34" t="n">
        <f aca="false">SUMIFS('12.326ana'!$C:$C,'12.326ana'!$M:$M,redes!A5666)</f>
        <v>0</v>
      </c>
    </row>
    <row r="5667" customFormat="false" ht="14.4" hidden="true" customHeight="false" outlineLevel="0" collapsed="false">
      <c r="A5667" s="34" t="n">
        <v>758041000141</v>
      </c>
      <c r="B5667" s="34" t="s">
        <v>12831</v>
      </c>
      <c r="C5667" s="34" t="s">
        <v>357</v>
      </c>
      <c r="E5667" s="30" t="s">
        <v>3066</v>
      </c>
      <c r="F5667" s="34" t="n">
        <f aca="false">IFERROR(VLOOKUP($A5667,'319'!$B:$H,7,0),0)</f>
        <v>0</v>
      </c>
      <c r="G5667" s="34" t="n">
        <f aca="false">SUMIFS('12.326ana'!$C:$C,'12.326ana'!$M:$M,redes!A5667)</f>
        <v>0</v>
      </c>
    </row>
    <row r="5668" customFormat="false" ht="14.4" hidden="true" customHeight="false" outlineLevel="0" collapsed="false">
      <c r="A5668" s="34" t="n">
        <v>759653000159</v>
      </c>
      <c r="B5668" s="34" t="s">
        <v>12832</v>
      </c>
      <c r="C5668" s="34" t="s">
        <v>4261</v>
      </c>
      <c r="E5668" s="30" t="s">
        <v>12833</v>
      </c>
      <c r="F5668" s="34" t="n">
        <f aca="false">IFERROR(VLOOKUP($A5668,'319'!$B:$H,7,0),0)</f>
        <v>0</v>
      </c>
      <c r="G5668" s="34" t="n">
        <f aca="false">SUMIFS('12.326ana'!$C:$C,'12.326ana'!$M:$M,redes!A5668)</f>
        <v>0</v>
      </c>
    </row>
    <row r="5669" customFormat="false" ht="14.4" hidden="true" customHeight="false" outlineLevel="0" collapsed="false">
      <c r="A5669" s="34" t="n">
        <v>762041000115</v>
      </c>
      <c r="B5669" s="34" t="s">
        <v>12834</v>
      </c>
      <c r="C5669" s="34" t="s">
        <v>103</v>
      </c>
      <c r="E5669" s="30" t="s">
        <v>11710</v>
      </c>
      <c r="F5669" s="34" t="n">
        <f aca="false">IFERROR(VLOOKUP($A5669,'319'!$B:$H,7,0),0)</f>
        <v>0</v>
      </c>
      <c r="G5669" s="34" t="n">
        <f aca="false">SUMIFS('12.326ana'!$C:$C,'12.326ana'!$M:$M,redes!A5669)</f>
        <v>0</v>
      </c>
    </row>
    <row r="5670" customFormat="false" ht="14.4" hidden="true" customHeight="false" outlineLevel="0" collapsed="false">
      <c r="A5670" s="34" t="n">
        <v>762048000137</v>
      </c>
      <c r="B5670" s="34" t="s">
        <v>12835</v>
      </c>
      <c r="C5670" s="34" t="s">
        <v>107</v>
      </c>
      <c r="E5670" s="30" t="s">
        <v>12836</v>
      </c>
      <c r="F5670" s="34" t="n">
        <f aca="false">IFERROR(VLOOKUP($A5670,'319'!$B:$H,7,0),0)</f>
        <v>0</v>
      </c>
      <c r="G5670" s="34" t="n">
        <f aca="false">SUMIFS('12.326ana'!$C:$C,'12.326ana'!$M:$M,redes!A5670)</f>
        <v>0</v>
      </c>
    </row>
    <row r="5671" customFormat="false" ht="14.4" hidden="true" customHeight="false" outlineLevel="0" collapsed="false">
      <c r="A5671" s="34" t="n">
        <v>766752000168</v>
      </c>
      <c r="B5671" s="34" t="s">
        <v>12837</v>
      </c>
      <c r="C5671" s="34" t="s">
        <v>77</v>
      </c>
      <c r="E5671" s="30" t="s">
        <v>4445</v>
      </c>
      <c r="F5671" s="34" t="n">
        <f aca="false">IFERROR(VLOOKUP($A5671,'319'!$B:$H,7,0),0)</f>
        <v>0</v>
      </c>
      <c r="G5671" s="34" t="n">
        <f aca="false">SUMIFS('12.326ana'!$C:$C,'12.326ana'!$M:$M,redes!A5671)</f>
        <v>0</v>
      </c>
    </row>
    <row r="5672" customFormat="false" ht="14.4" hidden="true" customHeight="false" outlineLevel="0" collapsed="false">
      <c r="A5672" s="34" t="n">
        <v>773973000163</v>
      </c>
      <c r="B5672" s="34" t="s">
        <v>12838</v>
      </c>
      <c r="C5672" s="34" t="s">
        <v>77</v>
      </c>
      <c r="E5672" s="30" t="s">
        <v>12839</v>
      </c>
      <c r="F5672" s="34" t="n">
        <f aca="false">IFERROR(VLOOKUP($A5672,'319'!$B:$H,7,0),0)</f>
        <v>0</v>
      </c>
      <c r="G5672" s="34" t="n">
        <f aca="false">SUMIFS('12.326ana'!$C:$C,'12.326ana'!$M:$M,redes!A5672)</f>
        <v>0</v>
      </c>
    </row>
    <row r="5673" customFormat="false" ht="14.4" hidden="true" customHeight="false" outlineLevel="0" collapsed="false">
      <c r="A5673" s="34" t="n">
        <v>773979000130</v>
      </c>
      <c r="B5673" s="34" t="s">
        <v>12840</v>
      </c>
      <c r="C5673" s="34" t="s">
        <v>89</v>
      </c>
      <c r="E5673" s="30" t="s">
        <v>12841</v>
      </c>
      <c r="F5673" s="34" t="n">
        <f aca="false">IFERROR(VLOOKUP($A5673,'319'!$B:$H,7,0),0)</f>
        <v>0</v>
      </c>
      <c r="G5673" s="34" t="n">
        <f aca="false">SUMIFS('12.326ana'!$C:$C,'12.326ana'!$M:$M,redes!A5673)</f>
        <v>0</v>
      </c>
    </row>
    <row r="5674" customFormat="false" ht="14.4" hidden="true" customHeight="false" outlineLevel="0" collapsed="false">
      <c r="A5674" s="34" t="n">
        <v>776658000190</v>
      </c>
      <c r="B5674" s="34" t="s">
        <v>12842</v>
      </c>
      <c r="C5674" s="34" t="s">
        <v>77</v>
      </c>
      <c r="E5674" s="30" t="s">
        <v>12843</v>
      </c>
      <c r="F5674" s="34" t="n">
        <f aca="false">IFERROR(VLOOKUP($A5674,'319'!$B:$H,7,0),0)</f>
        <v>0</v>
      </c>
      <c r="G5674" s="34" t="n">
        <f aca="false">SUMIFS('12.326ana'!$C:$C,'12.326ana'!$M:$M,redes!A5674)</f>
        <v>0</v>
      </c>
    </row>
    <row r="5675" customFormat="false" ht="14.4" hidden="true" customHeight="false" outlineLevel="0" collapsed="false">
      <c r="A5675" s="34" t="n">
        <v>776724000121</v>
      </c>
      <c r="B5675" s="34" t="s">
        <v>12844</v>
      </c>
      <c r="C5675" s="34" t="s">
        <v>299</v>
      </c>
      <c r="E5675" s="30" t="s">
        <v>2912</v>
      </c>
      <c r="F5675" s="34" t="n">
        <f aca="false">IFERROR(VLOOKUP($A5675,'319'!$B:$H,7,0),0)</f>
        <v>0</v>
      </c>
      <c r="G5675" s="34" t="n">
        <f aca="false">SUMIFS('12.326ana'!$C:$C,'12.326ana'!$M:$M,redes!A5675)</f>
        <v>0</v>
      </c>
    </row>
    <row r="5676" customFormat="false" ht="14.4" hidden="true" customHeight="false" outlineLevel="0" collapsed="false">
      <c r="A5676" s="34" t="n">
        <v>778241000166</v>
      </c>
      <c r="B5676" s="34" t="s">
        <v>12845</v>
      </c>
      <c r="C5676" s="34" t="s">
        <v>77</v>
      </c>
      <c r="E5676" s="30" t="s">
        <v>12846</v>
      </c>
      <c r="F5676" s="34" t="n">
        <f aca="false">IFERROR(VLOOKUP($A5676,'319'!$B:$H,7,0),0)</f>
        <v>0</v>
      </c>
      <c r="G5676" s="34" t="n">
        <f aca="false">SUMIFS('12.326ana'!$C:$C,'12.326ana'!$M:$M,redes!A5676)</f>
        <v>0</v>
      </c>
    </row>
    <row r="5677" customFormat="false" ht="14.4" hidden="true" customHeight="false" outlineLevel="0" collapsed="false">
      <c r="A5677" s="34" t="n">
        <v>779475000128</v>
      </c>
      <c r="B5677" s="34" t="s">
        <v>12847</v>
      </c>
      <c r="C5677" s="34" t="s">
        <v>77</v>
      </c>
      <c r="E5677" s="30" t="s">
        <v>12848</v>
      </c>
      <c r="F5677" s="34" t="n">
        <f aca="false">IFERROR(VLOOKUP($A5677,'319'!$B:$H,7,0),0)</f>
        <v>0</v>
      </c>
      <c r="G5677" s="34" t="n">
        <f aca="false">SUMIFS('12.326ana'!$C:$C,'12.326ana'!$M:$M,redes!A5677)</f>
        <v>0</v>
      </c>
    </row>
    <row r="5678" customFormat="false" ht="14.4" hidden="true" customHeight="false" outlineLevel="0" collapsed="false">
      <c r="A5678" s="34" t="n">
        <v>779493000100</v>
      </c>
      <c r="B5678" s="34" t="s">
        <v>12849</v>
      </c>
      <c r="C5678" s="34" t="s">
        <v>77</v>
      </c>
      <c r="E5678" s="30" t="s">
        <v>4873</v>
      </c>
      <c r="F5678" s="34" t="n">
        <f aca="false">IFERROR(VLOOKUP($A5678,'319'!$B:$H,7,0),0)</f>
        <v>0</v>
      </c>
      <c r="G5678" s="34" t="n">
        <f aca="false">SUMIFS('12.326ana'!$C:$C,'12.326ana'!$M:$M,redes!A5678)</f>
        <v>0</v>
      </c>
    </row>
    <row r="5679" customFormat="false" ht="14.4" hidden="true" customHeight="false" outlineLevel="0" collapsed="false">
      <c r="A5679" s="34" t="n">
        <v>779495000107</v>
      </c>
      <c r="B5679" s="34" t="s">
        <v>12850</v>
      </c>
      <c r="C5679" s="34" t="s">
        <v>77</v>
      </c>
      <c r="E5679" s="30" t="s">
        <v>12851</v>
      </c>
      <c r="F5679" s="34" t="n">
        <f aca="false">IFERROR(VLOOKUP($A5679,'319'!$B:$H,7,0),0)</f>
        <v>0</v>
      </c>
      <c r="G5679" s="34" t="n">
        <f aca="false">SUMIFS('12.326ana'!$C:$C,'12.326ana'!$M:$M,redes!A5679)</f>
        <v>0</v>
      </c>
    </row>
    <row r="5680" customFormat="false" ht="14.4" hidden="true" customHeight="false" outlineLevel="0" collapsed="false">
      <c r="A5680" s="34" t="n">
        <v>779495000280</v>
      </c>
      <c r="B5680" s="34" t="s">
        <v>12852</v>
      </c>
      <c r="C5680" s="34" t="s">
        <v>77</v>
      </c>
      <c r="E5680" s="30" t="s">
        <v>12853</v>
      </c>
      <c r="F5680" s="34" t="n">
        <f aca="false">IFERROR(VLOOKUP($A5680,'319'!$B:$H,7,0),0)</f>
        <v>0</v>
      </c>
      <c r="G5680" s="34" t="n">
        <f aca="false">SUMIFS('12.326ana'!$C:$C,'12.326ana'!$M:$M,redes!A5680)</f>
        <v>0</v>
      </c>
    </row>
    <row r="5681" customFormat="false" ht="14.4" hidden="true" customHeight="false" outlineLevel="0" collapsed="false">
      <c r="A5681" s="34" t="n">
        <v>779769000150</v>
      </c>
      <c r="B5681" s="34" t="s">
        <v>12854</v>
      </c>
      <c r="C5681" s="34" t="s">
        <v>107</v>
      </c>
      <c r="E5681" s="30" t="s">
        <v>12855</v>
      </c>
      <c r="F5681" s="34" t="n">
        <f aca="false">IFERROR(VLOOKUP($A5681,'319'!$B:$H,7,0),0)</f>
        <v>0</v>
      </c>
      <c r="G5681" s="34" t="n">
        <f aca="false">SUMIFS('12.326ana'!$C:$C,'12.326ana'!$M:$M,redes!A5681)</f>
        <v>0</v>
      </c>
    </row>
    <row r="5682" customFormat="false" ht="14.4" hidden="true" customHeight="false" outlineLevel="0" collapsed="false">
      <c r="A5682" s="34" t="n">
        <v>780569000117</v>
      </c>
      <c r="B5682" s="34" t="s">
        <v>12856</v>
      </c>
      <c r="C5682" s="34" t="s">
        <v>107</v>
      </c>
      <c r="E5682" s="30" t="s">
        <v>12857</v>
      </c>
      <c r="F5682" s="34" t="n">
        <f aca="false">IFERROR(VLOOKUP($A5682,'319'!$B:$H,7,0),0)</f>
        <v>0</v>
      </c>
      <c r="G5682" s="34" t="n">
        <f aca="false">SUMIFS('12.326ana'!$C:$C,'12.326ana'!$M:$M,redes!A5682)</f>
        <v>0</v>
      </c>
    </row>
    <row r="5683" customFormat="false" ht="14.4" hidden="true" customHeight="false" outlineLevel="0" collapsed="false">
      <c r="A5683" s="34" t="n">
        <v>780726000194</v>
      </c>
      <c r="B5683" s="34" t="s">
        <v>12858</v>
      </c>
      <c r="C5683" s="34" t="s">
        <v>581</v>
      </c>
      <c r="E5683" s="30" t="s">
        <v>12859</v>
      </c>
      <c r="F5683" s="34" t="n">
        <f aca="false">IFERROR(VLOOKUP($A5683,'319'!$B:$H,7,0),0)</f>
        <v>0</v>
      </c>
      <c r="G5683" s="34" t="n">
        <f aca="false">SUMIFS('12.326ana'!$C:$C,'12.326ana'!$M:$M,redes!A5683)</f>
        <v>0</v>
      </c>
    </row>
    <row r="5684" customFormat="false" ht="14.4" hidden="true" customHeight="false" outlineLevel="0" collapsed="false">
      <c r="A5684" s="34" t="n">
        <v>781054000131</v>
      </c>
      <c r="B5684" s="34" t="s">
        <v>12860</v>
      </c>
      <c r="C5684" s="34" t="s">
        <v>581</v>
      </c>
      <c r="E5684" s="30" t="s">
        <v>12861</v>
      </c>
      <c r="F5684" s="34" t="n">
        <f aca="false">IFERROR(VLOOKUP($A5684,'319'!$B:$H,7,0),0)</f>
        <v>0</v>
      </c>
      <c r="G5684" s="34" t="n">
        <f aca="false">SUMIFS('12.326ana'!$C:$C,'12.326ana'!$M:$M,redes!A5684)</f>
        <v>0</v>
      </c>
    </row>
    <row r="5685" customFormat="false" ht="14.4" hidden="true" customHeight="false" outlineLevel="0" collapsed="false">
      <c r="A5685" s="34" t="n">
        <v>781559000104</v>
      </c>
      <c r="B5685" s="34" t="s">
        <v>12862</v>
      </c>
      <c r="C5685" s="34" t="s">
        <v>77</v>
      </c>
      <c r="E5685" s="30" t="s">
        <v>4630</v>
      </c>
      <c r="F5685" s="34" t="n">
        <f aca="false">IFERROR(VLOOKUP($A5685,'319'!$B:$H,7,0),0)</f>
        <v>0</v>
      </c>
      <c r="G5685" s="34" t="n">
        <f aca="false">SUMIFS('12.326ana'!$C:$C,'12.326ana'!$M:$M,redes!A5685)</f>
        <v>0</v>
      </c>
    </row>
    <row r="5686" customFormat="false" ht="14.4" hidden="true" customHeight="false" outlineLevel="0" collapsed="false">
      <c r="A5686" s="34" t="n">
        <v>781955000123</v>
      </c>
      <c r="B5686" s="34" t="s">
        <v>12863</v>
      </c>
      <c r="C5686" s="34" t="s">
        <v>7250</v>
      </c>
      <c r="E5686" s="30" t="s">
        <v>12864</v>
      </c>
      <c r="F5686" s="34" t="n">
        <f aca="false">IFERROR(VLOOKUP($A5686,'319'!$B:$H,7,0),0)</f>
        <v>0</v>
      </c>
      <c r="G5686" s="34" t="n">
        <f aca="false">SUMIFS('12.326ana'!$C:$C,'12.326ana'!$M:$M,redes!A5686)</f>
        <v>0</v>
      </c>
    </row>
    <row r="5687" customFormat="false" ht="14.4" hidden="true" customHeight="false" outlineLevel="0" collapsed="false">
      <c r="A5687" s="34" t="n">
        <v>781983000140</v>
      </c>
      <c r="B5687" s="34" t="s">
        <v>12865</v>
      </c>
      <c r="C5687" s="34" t="s">
        <v>77</v>
      </c>
      <c r="E5687" s="30" t="s">
        <v>12866</v>
      </c>
      <c r="F5687" s="34" t="n">
        <f aca="false">IFERROR(VLOOKUP($A5687,'319'!$B:$H,7,0),0)</f>
        <v>0</v>
      </c>
      <c r="G5687" s="34" t="n">
        <f aca="false">SUMIFS('12.326ana'!$C:$C,'12.326ana'!$M:$M,redes!A5687)</f>
        <v>0</v>
      </c>
    </row>
    <row r="5688" customFormat="false" ht="14.4" hidden="true" customHeight="false" outlineLevel="0" collapsed="false">
      <c r="A5688" s="34" t="n">
        <v>781990000142</v>
      </c>
      <c r="B5688" s="34" t="s">
        <v>12867</v>
      </c>
      <c r="C5688" s="34" t="s">
        <v>2998</v>
      </c>
      <c r="E5688" s="30" t="s">
        <v>12868</v>
      </c>
      <c r="F5688" s="34" t="n">
        <f aca="false">IFERROR(VLOOKUP($A5688,'319'!$B:$H,7,0),0)</f>
        <v>0</v>
      </c>
      <c r="G5688" s="34" t="n">
        <f aca="false">SUMIFS('12.326ana'!$C:$C,'12.326ana'!$M:$M,redes!A5688)</f>
        <v>0</v>
      </c>
    </row>
    <row r="5689" customFormat="false" ht="14.4" hidden="true" customHeight="false" outlineLevel="0" collapsed="false">
      <c r="A5689" s="34" t="n">
        <v>787231000197</v>
      </c>
      <c r="B5689" s="34" t="s">
        <v>12869</v>
      </c>
      <c r="C5689" s="34" t="s">
        <v>77</v>
      </c>
      <c r="E5689" s="30" t="s">
        <v>12870</v>
      </c>
      <c r="F5689" s="34" t="n">
        <f aca="false">IFERROR(VLOOKUP($A5689,'319'!$B:$H,7,0),0)</f>
        <v>0</v>
      </c>
      <c r="G5689" s="34" t="n">
        <f aca="false">SUMIFS('12.326ana'!$C:$C,'12.326ana'!$M:$M,redes!A5689)</f>
        <v>0</v>
      </c>
    </row>
    <row r="5690" customFormat="false" ht="14.4" hidden="true" customHeight="false" outlineLevel="0" collapsed="false">
      <c r="A5690" s="34" t="n">
        <v>787253000157</v>
      </c>
      <c r="B5690" s="34" t="s">
        <v>12871</v>
      </c>
      <c r="C5690" s="34" t="s">
        <v>77</v>
      </c>
      <c r="E5690" s="30" t="s">
        <v>12872</v>
      </c>
      <c r="F5690" s="34" t="n">
        <f aca="false">IFERROR(VLOOKUP($A5690,'319'!$B:$H,7,0),0)</f>
        <v>0</v>
      </c>
      <c r="G5690" s="34" t="n">
        <f aca="false">SUMIFS('12.326ana'!$C:$C,'12.326ana'!$M:$M,redes!A5690)</f>
        <v>0</v>
      </c>
    </row>
    <row r="5691" customFormat="false" ht="14.4" hidden="true" customHeight="false" outlineLevel="0" collapsed="false">
      <c r="A5691" s="34" t="n">
        <v>791072000102</v>
      </c>
      <c r="B5691" s="34" t="s">
        <v>12873</v>
      </c>
      <c r="C5691" s="34" t="s">
        <v>77</v>
      </c>
      <c r="E5691" s="30" t="s">
        <v>12874</v>
      </c>
      <c r="F5691" s="34" t="n">
        <f aca="false">IFERROR(VLOOKUP($A5691,'319'!$B:$H,7,0),0)</f>
        <v>0</v>
      </c>
      <c r="G5691" s="34" t="n">
        <f aca="false">SUMIFS('12.326ana'!$C:$C,'12.326ana'!$M:$M,redes!A5691)</f>
        <v>0</v>
      </c>
    </row>
    <row r="5692" customFormat="false" ht="14.4" hidden="true" customHeight="false" outlineLevel="0" collapsed="false">
      <c r="A5692" s="34" t="n">
        <v>792265000170</v>
      </c>
      <c r="B5692" s="34" t="s">
        <v>12875</v>
      </c>
      <c r="C5692" s="34" t="s">
        <v>77</v>
      </c>
      <c r="E5692" s="30" t="s">
        <v>12876</v>
      </c>
      <c r="F5692" s="34" t="n">
        <f aca="false">IFERROR(VLOOKUP($A5692,'319'!$B:$H,7,0),0)</f>
        <v>0</v>
      </c>
      <c r="G5692" s="34" t="n">
        <f aca="false">SUMIFS('12.326ana'!$C:$C,'12.326ana'!$M:$M,redes!A5692)</f>
        <v>0</v>
      </c>
    </row>
    <row r="5693" customFormat="false" ht="14.4" hidden="true" customHeight="false" outlineLevel="0" collapsed="false">
      <c r="A5693" s="34" t="n">
        <v>795923000187</v>
      </c>
      <c r="B5693" s="34" t="s">
        <v>12877</v>
      </c>
      <c r="C5693" s="34" t="s">
        <v>77</v>
      </c>
      <c r="E5693" s="30" t="s">
        <v>12877</v>
      </c>
      <c r="F5693" s="34" t="n">
        <f aca="false">IFERROR(VLOOKUP($A5693,'319'!$B:$H,7,0),0)</f>
        <v>0</v>
      </c>
      <c r="G5693" s="34" t="n">
        <f aca="false">SUMIFS('12.326ana'!$C:$C,'12.326ana'!$M:$M,redes!A5693)</f>
        <v>0</v>
      </c>
    </row>
    <row r="5694" customFormat="false" ht="14.4" hidden="true" customHeight="false" outlineLevel="0" collapsed="false">
      <c r="A5694" s="34" t="n">
        <v>798483000111</v>
      </c>
      <c r="B5694" s="34" t="s">
        <v>12878</v>
      </c>
      <c r="C5694" s="34" t="s">
        <v>117</v>
      </c>
      <c r="E5694" s="30" t="s">
        <v>12879</v>
      </c>
      <c r="F5694" s="34" t="n">
        <f aca="false">IFERROR(VLOOKUP($A5694,'319'!$B:$H,7,0),0)</f>
        <v>0</v>
      </c>
      <c r="G5694" s="34" t="n">
        <f aca="false">SUMIFS('12.326ana'!$C:$C,'12.326ana'!$M:$M,redes!A5694)</f>
        <v>0</v>
      </c>
    </row>
    <row r="5695" customFormat="false" ht="14.4" hidden="true" customHeight="false" outlineLevel="0" collapsed="false">
      <c r="A5695" s="34" t="n">
        <v>798483000383</v>
      </c>
      <c r="B5695" s="34" t="s">
        <v>12880</v>
      </c>
      <c r="C5695" s="34" t="s">
        <v>117</v>
      </c>
      <c r="E5695" s="30" t="s">
        <v>12881</v>
      </c>
      <c r="F5695" s="34" t="n">
        <f aca="false">IFERROR(VLOOKUP($A5695,'319'!$B:$H,7,0),0)</f>
        <v>0</v>
      </c>
      <c r="G5695" s="34" t="n">
        <f aca="false">SUMIFS('12.326ana'!$C:$C,'12.326ana'!$M:$M,redes!A5695)</f>
        <v>0</v>
      </c>
    </row>
    <row r="5696" customFormat="false" ht="14.4" hidden="true" customHeight="false" outlineLevel="0" collapsed="false">
      <c r="A5696" s="34" t="n">
        <v>798529000100</v>
      </c>
      <c r="B5696" s="34" t="s">
        <v>12882</v>
      </c>
      <c r="C5696" s="34" t="s">
        <v>77</v>
      </c>
      <c r="E5696" s="30" t="s">
        <v>12883</v>
      </c>
      <c r="F5696" s="34" t="n">
        <f aca="false">IFERROR(VLOOKUP($A5696,'319'!$B:$H,7,0),0)</f>
        <v>0</v>
      </c>
      <c r="G5696" s="34" t="n">
        <f aca="false">SUMIFS('12.326ana'!$C:$C,'12.326ana'!$M:$M,redes!A5696)</f>
        <v>0</v>
      </c>
    </row>
    <row r="5697" customFormat="false" ht="14.4" hidden="true" customHeight="false" outlineLevel="0" collapsed="false">
      <c r="A5697" s="34" t="n">
        <v>801133000167</v>
      </c>
      <c r="B5697" s="34" t="s">
        <v>12884</v>
      </c>
      <c r="C5697" s="34" t="s">
        <v>336</v>
      </c>
      <c r="E5697" s="30" t="s">
        <v>12885</v>
      </c>
      <c r="F5697" s="34" t="n">
        <f aca="false">IFERROR(VLOOKUP($A5697,'319'!$B:$H,7,0),0)</f>
        <v>0</v>
      </c>
      <c r="G5697" s="34" t="n">
        <f aca="false">SUMIFS('12.326ana'!$C:$C,'12.326ana'!$M:$M,redes!A5697)</f>
        <v>0</v>
      </c>
    </row>
    <row r="5698" customFormat="false" ht="14.4" hidden="true" customHeight="false" outlineLevel="0" collapsed="false">
      <c r="A5698" s="34" t="n">
        <v>806195000161</v>
      </c>
      <c r="B5698" s="34" t="s">
        <v>12886</v>
      </c>
      <c r="C5698" s="34" t="s">
        <v>351</v>
      </c>
      <c r="E5698" s="30" t="s">
        <v>12887</v>
      </c>
      <c r="F5698" s="34" t="n">
        <f aca="false">IFERROR(VLOOKUP($A5698,'319'!$B:$H,7,0),0)</f>
        <v>0</v>
      </c>
      <c r="G5698" s="34" t="n">
        <f aca="false">SUMIFS('12.326ana'!$C:$C,'12.326ana'!$M:$M,redes!A5698)</f>
        <v>0</v>
      </c>
    </row>
    <row r="5699" customFormat="false" ht="14.4" hidden="true" customHeight="false" outlineLevel="0" collapsed="false">
      <c r="A5699" s="34" t="n">
        <v>810898000163</v>
      </c>
      <c r="B5699" s="34" t="s">
        <v>12888</v>
      </c>
      <c r="C5699" s="34" t="s">
        <v>77</v>
      </c>
      <c r="E5699" s="30" t="s">
        <v>12889</v>
      </c>
      <c r="F5699" s="34" t="n">
        <f aca="false">IFERROR(VLOOKUP($A5699,'319'!$B:$H,7,0),0)</f>
        <v>0</v>
      </c>
      <c r="G5699" s="34" t="n">
        <f aca="false">SUMIFS('12.326ana'!$C:$C,'12.326ana'!$M:$M,redes!A5699)</f>
        <v>0</v>
      </c>
    </row>
    <row r="5700" customFormat="false" ht="14.4" hidden="true" customHeight="false" outlineLevel="0" collapsed="false">
      <c r="A5700" s="34" t="n">
        <v>813144000167</v>
      </c>
      <c r="B5700" s="34" t="s">
        <v>12890</v>
      </c>
      <c r="C5700" s="34" t="s">
        <v>213</v>
      </c>
      <c r="E5700" s="30" t="s">
        <v>12891</v>
      </c>
      <c r="F5700" s="34" t="n">
        <f aca="false">IFERROR(VLOOKUP($A5700,'319'!$B:$H,7,0),0)</f>
        <v>0</v>
      </c>
      <c r="G5700" s="34" t="n">
        <f aca="false">SUMIFS('12.326ana'!$C:$C,'12.326ana'!$M:$M,redes!A5700)</f>
        <v>0</v>
      </c>
    </row>
    <row r="5701" customFormat="false" ht="14.4" hidden="true" customHeight="false" outlineLevel="0" collapsed="false">
      <c r="A5701" s="34" t="n">
        <v>817476000110</v>
      </c>
      <c r="B5701" s="34" t="s">
        <v>12892</v>
      </c>
      <c r="C5701" s="34" t="s">
        <v>77</v>
      </c>
      <c r="E5701" s="30" t="s">
        <v>12893</v>
      </c>
      <c r="F5701" s="34" t="n">
        <f aca="false">IFERROR(VLOOKUP($A5701,'319'!$B:$H,7,0),0)</f>
        <v>0</v>
      </c>
      <c r="G5701" s="34" t="n">
        <f aca="false">SUMIFS('12.326ana'!$C:$C,'12.326ana'!$M:$M,redes!A5701)</f>
        <v>0</v>
      </c>
    </row>
    <row r="5702" customFormat="false" ht="14.4" hidden="true" customHeight="false" outlineLevel="0" collapsed="false">
      <c r="A5702" s="34" t="n">
        <v>817479000153</v>
      </c>
      <c r="B5702" s="34" t="s">
        <v>12894</v>
      </c>
      <c r="C5702" s="34" t="s">
        <v>351</v>
      </c>
      <c r="E5702" s="30" t="s">
        <v>12895</v>
      </c>
      <c r="F5702" s="34" t="n">
        <f aca="false">IFERROR(VLOOKUP($A5702,'319'!$B:$H,7,0),0)</f>
        <v>0</v>
      </c>
      <c r="G5702" s="34" t="n">
        <f aca="false">SUMIFS('12.326ana'!$C:$C,'12.326ana'!$M:$M,redes!A5702)</f>
        <v>0</v>
      </c>
    </row>
    <row r="5703" customFormat="false" ht="14.4" hidden="true" customHeight="false" outlineLevel="0" collapsed="false">
      <c r="A5703" s="34" t="n">
        <v>817490000202</v>
      </c>
      <c r="B5703" s="34" t="s">
        <v>12896</v>
      </c>
      <c r="C5703" s="34" t="s">
        <v>336</v>
      </c>
      <c r="E5703" s="30" t="s">
        <v>12897</v>
      </c>
      <c r="F5703" s="34" t="n">
        <f aca="false">IFERROR(VLOOKUP($A5703,'319'!$B:$H,7,0),0)</f>
        <v>0</v>
      </c>
      <c r="G5703" s="34" t="n">
        <f aca="false">SUMIFS('12.326ana'!$C:$C,'12.326ana'!$M:$M,redes!A5703)</f>
        <v>0</v>
      </c>
    </row>
    <row r="5704" customFormat="false" ht="14.4" hidden="true" customHeight="false" outlineLevel="0" collapsed="false">
      <c r="A5704" s="34" t="n">
        <v>817493000157</v>
      </c>
      <c r="B5704" s="34" t="s">
        <v>12898</v>
      </c>
      <c r="C5704" s="34" t="s">
        <v>103</v>
      </c>
      <c r="E5704" s="30"/>
      <c r="F5704" s="34" t="n">
        <f aca="false">IFERROR(VLOOKUP($A5704,'319'!$B:$H,7,0),0)</f>
        <v>0</v>
      </c>
      <c r="G5704" s="34" t="n">
        <f aca="false">SUMIFS('12.326ana'!$C:$C,'12.326ana'!$M:$M,redes!A5704)</f>
        <v>0</v>
      </c>
    </row>
    <row r="5705" customFormat="false" ht="14.4" hidden="true" customHeight="false" outlineLevel="0" collapsed="false">
      <c r="A5705" s="34" t="n">
        <v>818998000136</v>
      </c>
      <c r="B5705" s="34" t="s">
        <v>12899</v>
      </c>
      <c r="C5705" s="34" t="s">
        <v>213</v>
      </c>
      <c r="E5705" s="30" t="s">
        <v>12900</v>
      </c>
      <c r="F5705" s="34" t="n">
        <f aca="false">IFERROR(VLOOKUP($A5705,'319'!$B:$H,7,0),0)</f>
        <v>0</v>
      </c>
      <c r="G5705" s="34" t="n">
        <f aca="false">SUMIFS('12.326ana'!$C:$C,'12.326ana'!$M:$M,redes!A5705)</f>
        <v>0</v>
      </c>
    </row>
    <row r="5706" customFormat="false" ht="14.4" hidden="true" customHeight="false" outlineLevel="0" collapsed="false">
      <c r="A5706" s="34" t="n">
        <v>824140000184</v>
      </c>
      <c r="B5706" s="34" t="s">
        <v>12901</v>
      </c>
      <c r="C5706" s="34" t="s">
        <v>77</v>
      </c>
      <c r="D5706" s="34" t="s">
        <v>4797</v>
      </c>
      <c r="E5706" s="30" t="s">
        <v>12902</v>
      </c>
      <c r="F5706" s="34" t="n">
        <f aca="false">IFERROR(VLOOKUP($A5706,'319'!$B:$H,7,0),0)</f>
        <v>0</v>
      </c>
      <c r="G5706" s="34" t="n">
        <f aca="false">SUMIFS('12.326ana'!$C:$C,'12.326ana'!$M:$M,redes!A5706)</f>
        <v>0</v>
      </c>
    </row>
    <row r="5707" customFormat="false" ht="14.4" hidden="true" customHeight="false" outlineLevel="0" collapsed="false">
      <c r="A5707" s="34" t="n">
        <v>824820000106</v>
      </c>
      <c r="B5707" s="34" t="s">
        <v>12903</v>
      </c>
      <c r="C5707" s="34" t="s">
        <v>351</v>
      </c>
      <c r="E5707" s="30" t="s">
        <v>12904</v>
      </c>
      <c r="F5707" s="34" t="n">
        <f aca="false">IFERROR(VLOOKUP($A5707,'319'!$B:$H,7,0),0)</f>
        <v>0</v>
      </c>
      <c r="G5707" s="34" t="n">
        <f aca="false">SUMIFS('12.326ana'!$C:$C,'12.326ana'!$M:$M,redes!A5707)</f>
        <v>0</v>
      </c>
    </row>
    <row r="5708" customFormat="false" ht="14.4" hidden="true" customHeight="false" outlineLevel="0" collapsed="false">
      <c r="A5708" s="34" t="n">
        <v>836368000194</v>
      </c>
      <c r="B5708" s="34" t="s">
        <v>12905</v>
      </c>
      <c r="C5708" s="34" t="s">
        <v>77</v>
      </c>
      <c r="E5708" s="30" t="s">
        <v>12906</v>
      </c>
      <c r="F5708" s="34" t="n">
        <f aca="false">IFERROR(VLOOKUP($A5708,'319'!$B:$H,7,0),0)</f>
        <v>0</v>
      </c>
      <c r="G5708" s="34" t="n">
        <f aca="false">SUMIFS('12.326ana'!$C:$C,'12.326ana'!$M:$M,redes!A5708)</f>
        <v>0</v>
      </c>
    </row>
    <row r="5709" customFormat="false" ht="14.4" hidden="true" customHeight="false" outlineLevel="0" collapsed="false">
      <c r="A5709" s="34" t="n">
        <v>836371000108</v>
      </c>
      <c r="B5709" s="34" t="s">
        <v>12907</v>
      </c>
      <c r="C5709" s="34" t="s">
        <v>475</v>
      </c>
      <c r="E5709" s="30" t="s">
        <v>12908</v>
      </c>
      <c r="F5709" s="34" t="n">
        <f aca="false">IFERROR(VLOOKUP($A5709,'319'!$B:$H,7,0),0)</f>
        <v>0</v>
      </c>
      <c r="G5709" s="34" t="n">
        <f aca="false">SUMIFS('12.326ana'!$C:$C,'12.326ana'!$M:$M,redes!A5709)</f>
        <v>0</v>
      </c>
    </row>
    <row r="5710" customFormat="false" ht="14.4" hidden="true" customHeight="false" outlineLevel="0" collapsed="false">
      <c r="A5710" s="34" t="n">
        <v>836412000166</v>
      </c>
      <c r="B5710" s="34" t="s">
        <v>12909</v>
      </c>
      <c r="C5710" s="34" t="s">
        <v>935</v>
      </c>
      <c r="E5710" s="30" t="s">
        <v>12910</v>
      </c>
      <c r="F5710" s="34" t="n">
        <f aca="false">IFERROR(VLOOKUP($A5710,'319'!$B:$H,7,0),0)</f>
        <v>0</v>
      </c>
      <c r="G5710" s="34" t="n">
        <f aca="false">SUMIFS('12.326ana'!$C:$C,'12.326ana'!$M:$M,redes!A5710)</f>
        <v>0</v>
      </c>
    </row>
    <row r="5711" customFormat="false" ht="14.4" hidden="true" customHeight="false" outlineLevel="0" collapsed="false">
      <c r="A5711" s="34" t="n">
        <v>838350000121</v>
      </c>
      <c r="B5711" s="34" t="s">
        <v>7724</v>
      </c>
      <c r="C5711" s="34" t="s">
        <v>1680</v>
      </c>
      <c r="E5711" s="30" t="s">
        <v>6461</v>
      </c>
      <c r="F5711" s="34" t="n">
        <f aca="false">IFERROR(VLOOKUP($A5711,'319'!$B:$H,7,0),0)</f>
        <v>0</v>
      </c>
      <c r="G5711" s="34" t="n">
        <f aca="false">SUMIFS('12.326ana'!$C:$C,'12.326ana'!$M:$M,redes!A5711)</f>
        <v>0</v>
      </c>
    </row>
    <row r="5712" customFormat="false" ht="14.4" hidden="true" customHeight="false" outlineLevel="0" collapsed="false">
      <c r="A5712" s="34" t="n">
        <v>840914000160</v>
      </c>
      <c r="B5712" s="34" t="s">
        <v>12911</v>
      </c>
      <c r="C5712" s="34" t="s">
        <v>77</v>
      </c>
      <c r="E5712" s="30" t="s">
        <v>12912</v>
      </c>
      <c r="F5712" s="34" t="n">
        <f aca="false">IFERROR(VLOOKUP($A5712,'319'!$B:$H,7,0),0)</f>
        <v>0</v>
      </c>
      <c r="G5712" s="34" t="n">
        <f aca="false">SUMIFS('12.326ana'!$C:$C,'12.326ana'!$M:$M,redes!A5712)</f>
        <v>0</v>
      </c>
    </row>
    <row r="5713" customFormat="false" ht="14.4" hidden="true" customHeight="false" outlineLevel="0" collapsed="false">
      <c r="A5713" s="34" t="n">
        <v>844194000101</v>
      </c>
      <c r="B5713" s="34" t="s">
        <v>12913</v>
      </c>
      <c r="C5713" s="34" t="s">
        <v>604</v>
      </c>
      <c r="E5713" s="30" t="s">
        <v>12914</v>
      </c>
      <c r="F5713" s="34" t="n">
        <f aca="false">IFERROR(VLOOKUP($A5713,'319'!$B:$H,7,0),0)</f>
        <v>0</v>
      </c>
      <c r="G5713" s="34" t="n">
        <f aca="false">SUMIFS('12.326ana'!$C:$C,'12.326ana'!$M:$M,redes!A5713)</f>
        <v>0</v>
      </c>
    </row>
    <row r="5714" customFormat="false" ht="14.4" hidden="true" customHeight="false" outlineLevel="0" collapsed="false">
      <c r="A5714" s="34" t="n">
        <v>844239002272</v>
      </c>
      <c r="B5714" s="34" t="s">
        <v>12915</v>
      </c>
      <c r="C5714" s="34" t="s">
        <v>77</v>
      </c>
      <c r="E5714" s="30" t="s">
        <v>12916</v>
      </c>
      <c r="F5714" s="34" t="n">
        <f aca="false">IFERROR(VLOOKUP($A5714,'319'!$B:$H,7,0),0)</f>
        <v>0</v>
      </c>
      <c r="G5714" s="34" t="n">
        <f aca="false">SUMIFS('12.326ana'!$C:$C,'12.326ana'!$M:$M,redes!A5714)</f>
        <v>0</v>
      </c>
    </row>
    <row r="5715" customFormat="false" ht="14.4" hidden="true" customHeight="false" outlineLevel="0" collapsed="false">
      <c r="A5715" s="34" t="n">
        <v>850352000136</v>
      </c>
      <c r="B5715" s="34" t="s">
        <v>12917</v>
      </c>
      <c r="C5715" s="34" t="s">
        <v>594</v>
      </c>
      <c r="E5715" s="30" t="s">
        <v>12918</v>
      </c>
      <c r="F5715" s="34" t="n">
        <f aca="false">IFERROR(VLOOKUP($A5715,'319'!$B:$H,7,0),0)</f>
        <v>0</v>
      </c>
      <c r="G5715" s="34" t="n">
        <f aca="false">SUMIFS('12.326ana'!$C:$C,'12.326ana'!$M:$M,redes!A5715)</f>
        <v>0</v>
      </c>
    </row>
    <row r="5716" customFormat="false" ht="14.4" hidden="true" customHeight="false" outlineLevel="0" collapsed="false">
      <c r="A5716" s="34" t="n">
        <v>850379000129</v>
      </c>
      <c r="B5716" s="34" t="s">
        <v>12919</v>
      </c>
      <c r="C5716" s="34" t="s">
        <v>77</v>
      </c>
      <c r="E5716" s="30" t="s">
        <v>12920</v>
      </c>
      <c r="F5716" s="34" t="n">
        <f aca="false">IFERROR(VLOOKUP($A5716,'319'!$B:$H,7,0),0)</f>
        <v>0</v>
      </c>
      <c r="G5716" s="34" t="n">
        <f aca="false">SUMIFS('12.326ana'!$C:$C,'12.326ana'!$M:$M,redes!A5716)</f>
        <v>0</v>
      </c>
    </row>
    <row r="5717" customFormat="false" ht="14.4" hidden="true" customHeight="false" outlineLevel="0" collapsed="false">
      <c r="A5717" s="34" t="n">
        <v>857680000164</v>
      </c>
      <c r="B5717" s="34" t="s">
        <v>12921</v>
      </c>
      <c r="C5717" s="34" t="s">
        <v>478</v>
      </c>
      <c r="E5717" s="30" t="s">
        <v>12922</v>
      </c>
      <c r="F5717" s="34" t="n">
        <f aca="false">IFERROR(VLOOKUP($A5717,'319'!$B:$H,7,0),0)</f>
        <v>0</v>
      </c>
      <c r="G5717" s="34" t="n">
        <f aca="false">SUMIFS('12.326ana'!$C:$C,'12.326ana'!$M:$M,redes!A5717)</f>
        <v>0</v>
      </c>
    </row>
    <row r="5718" customFormat="false" ht="14.4" hidden="true" customHeight="false" outlineLevel="0" collapsed="false">
      <c r="A5718" s="34" t="n">
        <v>857733000228</v>
      </c>
      <c r="B5718" s="34" t="s">
        <v>12923</v>
      </c>
      <c r="C5718" s="34" t="s">
        <v>77</v>
      </c>
      <c r="E5718" s="30" t="s">
        <v>12924</v>
      </c>
      <c r="F5718" s="34" t="n">
        <f aca="false">IFERROR(VLOOKUP($A5718,'319'!$B:$H,7,0),0)</f>
        <v>0</v>
      </c>
      <c r="G5718" s="34" t="n">
        <f aca="false">SUMIFS('12.326ana'!$C:$C,'12.326ana'!$M:$M,redes!A5718)</f>
        <v>0</v>
      </c>
    </row>
    <row r="5719" customFormat="false" ht="14.4" hidden="true" customHeight="false" outlineLevel="0" collapsed="false">
      <c r="A5719" s="34" t="n">
        <v>858985000190</v>
      </c>
      <c r="B5719" s="34" t="s">
        <v>12925</v>
      </c>
      <c r="C5719" s="34" t="s">
        <v>448</v>
      </c>
      <c r="E5719" s="30" t="s">
        <v>12926</v>
      </c>
      <c r="F5719" s="34" t="n">
        <f aca="false">IFERROR(VLOOKUP($A5719,'319'!$B:$H,7,0),0)</f>
        <v>0</v>
      </c>
      <c r="G5719" s="34" t="n">
        <f aca="false">SUMIFS('12.326ana'!$C:$C,'12.326ana'!$M:$M,redes!A5719)</f>
        <v>0</v>
      </c>
    </row>
    <row r="5720" customFormat="false" ht="14.4" hidden="true" customHeight="false" outlineLevel="0" collapsed="false">
      <c r="A5720" s="34" t="n">
        <v>859871000165</v>
      </c>
      <c r="B5720" s="34" t="s">
        <v>743</v>
      </c>
      <c r="C5720" s="34" t="s">
        <v>744</v>
      </c>
      <c r="E5720" s="30" t="s">
        <v>12927</v>
      </c>
      <c r="F5720" s="34" t="n">
        <f aca="false">IFERROR(VLOOKUP($A5720,'319'!$B:$H,7,0),0)</f>
        <v>4761.66</v>
      </c>
      <c r="G5720" s="34" t="n">
        <f aca="false">SUMIFS('12.326ana'!$C:$C,'12.326ana'!$M:$M,redes!A5720)</f>
        <v>0</v>
      </c>
    </row>
    <row r="5721" customFormat="false" ht="14.4" hidden="true" customHeight="false" outlineLevel="0" collapsed="false">
      <c r="A5721" s="34" t="n">
        <v>859910000124</v>
      </c>
      <c r="B5721" s="34" t="s">
        <v>12928</v>
      </c>
      <c r="C5721" s="34" t="s">
        <v>77</v>
      </c>
      <c r="E5721" s="30" t="s">
        <v>12929</v>
      </c>
      <c r="F5721" s="34" t="n">
        <f aca="false">IFERROR(VLOOKUP($A5721,'319'!$B:$H,7,0),0)</f>
        <v>0</v>
      </c>
      <c r="G5721" s="34" t="n">
        <f aca="false">SUMIFS('12.326ana'!$C:$C,'12.326ana'!$M:$M,redes!A5721)</f>
        <v>0</v>
      </c>
    </row>
    <row r="5722" customFormat="false" ht="14.4" hidden="true" customHeight="false" outlineLevel="0" collapsed="false">
      <c r="A5722" s="34" t="n">
        <v>860197000139</v>
      </c>
      <c r="B5722" s="34" t="s">
        <v>12930</v>
      </c>
      <c r="C5722" s="34" t="s">
        <v>77</v>
      </c>
      <c r="E5722" s="30" t="s">
        <v>12931</v>
      </c>
      <c r="F5722" s="34" t="n">
        <f aca="false">IFERROR(VLOOKUP($A5722,'319'!$B:$H,7,0),0)</f>
        <v>0</v>
      </c>
      <c r="G5722" s="34" t="n">
        <f aca="false">SUMIFS('12.326ana'!$C:$C,'12.326ana'!$M:$M,redes!A5722)</f>
        <v>0</v>
      </c>
    </row>
    <row r="5723" customFormat="false" ht="14.4" hidden="true" customHeight="false" outlineLevel="0" collapsed="false">
      <c r="A5723" s="34" t="n">
        <v>860841000179</v>
      </c>
      <c r="B5723" s="34" t="s">
        <v>12932</v>
      </c>
      <c r="C5723" s="34" t="s">
        <v>77</v>
      </c>
      <c r="E5723" s="30" t="s">
        <v>12933</v>
      </c>
      <c r="F5723" s="34" t="n">
        <f aca="false">IFERROR(VLOOKUP($A5723,'319'!$B:$H,7,0),0)</f>
        <v>0</v>
      </c>
      <c r="G5723" s="34" t="n">
        <f aca="false">SUMIFS('12.326ana'!$C:$C,'12.326ana'!$M:$M,redes!A5723)</f>
        <v>0</v>
      </c>
    </row>
    <row r="5724" customFormat="false" ht="14.4" hidden="true" customHeight="false" outlineLevel="0" collapsed="false">
      <c r="A5724" s="34" t="n">
        <v>862052000177</v>
      </c>
      <c r="B5724" s="34" t="s">
        <v>12934</v>
      </c>
      <c r="C5724" s="34" t="s">
        <v>89</v>
      </c>
      <c r="E5724" s="30" t="s">
        <v>12935</v>
      </c>
      <c r="F5724" s="34" t="n">
        <f aca="false">IFERROR(VLOOKUP($A5724,'319'!$B:$H,7,0),0)</f>
        <v>0</v>
      </c>
      <c r="G5724" s="34" t="n">
        <f aca="false">SUMIFS('12.326ana'!$C:$C,'12.326ana'!$M:$M,redes!A5724)</f>
        <v>0</v>
      </c>
    </row>
    <row r="5725" customFormat="false" ht="14.4" hidden="true" customHeight="false" outlineLevel="0" collapsed="false">
      <c r="A5725" s="34" t="n">
        <v>862193000190</v>
      </c>
      <c r="B5725" s="34" t="s">
        <v>12936</v>
      </c>
      <c r="C5725" s="34" t="s">
        <v>89</v>
      </c>
      <c r="D5725" s="34" t="s">
        <v>4797</v>
      </c>
      <c r="E5725" s="30" t="s">
        <v>12937</v>
      </c>
      <c r="F5725" s="34" t="n">
        <f aca="false">IFERROR(VLOOKUP($A5725,'319'!$B:$H,7,0),0)</f>
        <v>0</v>
      </c>
      <c r="G5725" s="34" t="n">
        <f aca="false">SUMIFS('12.326ana'!$C:$C,'12.326ana'!$M:$M,redes!A5725)</f>
        <v>0</v>
      </c>
    </row>
    <row r="5726" customFormat="false" ht="14.4" hidden="true" customHeight="false" outlineLevel="0" collapsed="false">
      <c r="A5726" s="34" t="n">
        <v>862755000103</v>
      </c>
      <c r="B5726" s="34" t="s">
        <v>12938</v>
      </c>
      <c r="C5726" s="34" t="s">
        <v>77</v>
      </c>
      <c r="E5726" s="30" t="s">
        <v>9682</v>
      </c>
      <c r="F5726" s="34" t="n">
        <f aca="false">IFERROR(VLOOKUP($A5726,'319'!$B:$H,7,0),0)</f>
        <v>0</v>
      </c>
      <c r="G5726" s="34" t="n">
        <f aca="false">SUMIFS('12.326ana'!$C:$C,'12.326ana'!$M:$M,redes!A5726)</f>
        <v>0</v>
      </c>
    </row>
    <row r="5727" customFormat="false" ht="14.4" hidden="true" customHeight="false" outlineLevel="0" collapsed="false">
      <c r="A5727" s="34" t="n">
        <v>863811000116</v>
      </c>
      <c r="B5727" s="34" t="s">
        <v>12939</v>
      </c>
      <c r="C5727" s="34" t="s">
        <v>598</v>
      </c>
      <c r="E5727" s="30" t="s">
        <v>4010</v>
      </c>
      <c r="F5727" s="34" t="n">
        <f aca="false">IFERROR(VLOOKUP($A5727,'319'!$B:$H,7,0),0)</f>
        <v>0</v>
      </c>
      <c r="G5727" s="34" t="n">
        <f aca="false">SUMIFS('12.326ana'!$C:$C,'12.326ana'!$M:$M,redes!A5727)</f>
        <v>0</v>
      </c>
    </row>
    <row r="5728" customFormat="false" ht="14.4" hidden="true" customHeight="false" outlineLevel="0" collapsed="false">
      <c r="A5728" s="34" t="n">
        <v>864017000197</v>
      </c>
      <c r="B5728" s="34" t="s">
        <v>12940</v>
      </c>
      <c r="C5728" s="34" t="s">
        <v>77</v>
      </c>
      <c r="E5728" s="30" t="s">
        <v>12941</v>
      </c>
      <c r="F5728" s="34" t="n">
        <f aca="false">IFERROR(VLOOKUP($A5728,'319'!$B:$H,7,0),0)</f>
        <v>0</v>
      </c>
      <c r="G5728" s="34" t="n">
        <f aca="false">SUMIFS('12.326ana'!$C:$C,'12.326ana'!$M:$M,redes!A5728)</f>
        <v>0</v>
      </c>
    </row>
    <row r="5729" customFormat="false" ht="14.4" hidden="true" customHeight="false" outlineLevel="0" collapsed="false">
      <c r="A5729" s="34" t="n">
        <v>864791000106</v>
      </c>
      <c r="B5729" s="34" t="s">
        <v>12942</v>
      </c>
      <c r="C5729" s="34" t="s">
        <v>377</v>
      </c>
      <c r="E5729" s="30" t="s">
        <v>12943</v>
      </c>
      <c r="F5729" s="34" t="n">
        <f aca="false">IFERROR(VLOOKUP($A5729,'319'!$B:$H,7,0),0)</f>
        <v>0</v>
      </c>
      <c r="G5729" s="34" t="n">
        <f aca="false">SUMIFS('12.326ana'!$C:$C,'12.326ana'!$M:$M,redes!A5729)</f>
        <v>0</v>
      </c>
    </row>
    <row r="5730" customFormat="false" ht="14.4" hidden="true" customHeight="false" outlineLevel="0" collapsed="false">
      <c r="A5730" s="34" t="n">
        <v>864797000175</v>
      </c>
      <c r="B5730" s="34" t="s">
        <v>12944</v>
      </c>
      <c r="C5730" s="34" t="s">
        <v>77</v>
      </c>
      <c r="E5730" s="30" t="s">
        <v>3794</v>
      </c>
      <c r="F5730" s="34" t="n">
        <f aca="false">IFERROR(VLOOKUP($A5730,'319'!$B:$H,7,0),0)</f>
        <v>0</v>
      </c>
      <c r="G5730" s="34" t="n">
        <f aca="false">SUMIFS('12.326ana'!$C:$C,'12.326ana'!$M:$M,redes!A5730)</f>
        <v>0</v>
      </c>
    </row>
    <row r="5731" customFormat="false" ht="14.4" hidden="true" customHeight="false" outlineLevel="0" collapsed="false">
      <c r="A5731" s="34" t="n">
        <v>877496000186</v>
      </c>
      <c r="B5731" s="34" t="s">
        <v>12945</v>
      </c>
      <c r="C5731" s="34" t="s">
        <v>77</v>
      </c>
      <c r="E5731" s="30" t="s">
        <v>12946</v>
      </c>
      <c r="F5731" s="34" t="n">
        <f aca="false">IFERROR(VLOOKUP($A5731,'319'!$B:$H,7,0),0)</f>
        <v>0</v>
      </c>
      <c r="G5731" s="34" t="n">
        <f aca="false">SUMIFS('12.326ana'!$C:$C,'12.326ana'!$M:$M,redes!A5731)</f>
        <v>0</v>
      </c>
    </row>
    <row r="5732" customFormat="false" ht="14.4" hidden="true" customHeight="false" outlineLevel="0" collapsed="false">
      <c r="A5732" s="34" t="n">
        <v>879017000160</v>
      </c>
      <c r="B5732" s="34" t="s">
        <v>12947</v>
      </c>
      <c r="C5732" s="34" t="s">
        <v>342</v>
      </c>
      <c r="E5732" s="30" t="s">
        <v>12948</v>
      </c>
      <c r="F5732" s="34" t="n">
        <f aca="false">IFERROR(VLOOKUP($A5732,'319'!$B:$H,7,0),0)</f>
        <v>0</v>
      </c>
      <c r="G5732" s="34" t="n">
        <f aca="false">SUMIFS('12.326ana'!$C:$C,'12.326ana'!$M:$M,redes!A5732)</f>
        <v>0</v>
      </c>
    </row>
    <row r="5733" customFormat="false" ht="14.4" hidden="true" customHeight="false" outlineLevel="0" collapsed="false">
      <c r="A5733" s="34" t="n">
        <v>886127000150</v>
      </c>
      <c r="B5733" s="34" t="s">
        <v>12949</v>
      </c>
      <c r="C5733" s="34" t="s">
        <v>77</v>
      </c>
      <c r="E5733" s="30"/>
      <c r="F5733" s="34" t="n">
        <f aca="false">IFERROR(VLOOKUP($A5733,'319'!$B:$H,7,0),0)</f>
        <v>0</v>
      </c>
      <c r="G5733" s="34" t="n">
        <f aca="false">SUMIFS('12.326ana'!$C:$C,'12.326ana'!$M:$M,redes!A5733)</f>
        <v>0</v>
      </c>
    </row>
    <row r="5734" customFormat="false" ht="14.4" hidden="true" customHeight="false" outlineLevel="0" collapsed="false">
      <c r="A5734" s="34" t="n">
        <v>886458000190</v>
      </c>
      <c r="B5734" s="34" t="s">
        <v>12950</v>
      </c>
      <c r="C5734" s="34" t="s">
        <v>77</v>
      </c>
      <c r="E5734" s="30" t="s">
        <v>12951</v>
      </c>
      <c r="F5734" s="34" t="n">
        <f aca="false">IFERROR(VLOOKUP($A5734,'319'!$B:$H,7,0),0)</f>
        <v>0</v>
      </c>
      <c r="G5734" s="34" t="n">
        <f aca="false">SUMIFS('12.326ana'!$C:$C,'12.326ana'!$M:$M,redes!A5734)</f>
        <v>0</v>
      </c>
    </row>
    <row r="5735" customFormat="false" ht="14.4" hidden="true" customHeight="false" outlineLevel="0" collapsed="false">
      <c r="A5735" s="34" t="n">
        <v>886459000134</v>
      </c>
      <c r="B5735" s="34" t="s">
        <v>12952</v>
      </c>
      <c r="C5735" s="34" t="s">
        <v>107</v>
      </c>
      <c r="E5735" s="30" t="s">
        <v>12953</v>
      </c>
      <c r="F5735" s="34" t="n">
        <f aca="false">IFERROR(VLOOKUP($A5735,'319'!$B:$H,7,0),0)</f>
        <v>0</v>
      </c>
      <c r="G5735" s="34" t="n">
        <f aca="false">SUMIFS('12.326ana'!$C:$C,'12.326ana'!$M:$M,redes!A5735)</f>
        <v>0</v>
      </c>
    </row>
    <row r="5736" customFormat="false" ht="14.4" hidden="true" customHeight="false" outlineLevel="0" collapsed="false">
      <c r="A5736" s="34" t="n">
        <v>886459000304</v>
      </c>
      <c r="B5736" s="34" t="s">
        <v>12952</v>
      </c>
      <c r="C5736" s="34" t="s">
        <v>107</v>
      </c>
      <c r="E5736" s="30" t="s">
        <v>12953</v>
      </c>
      <c r="F5736" s="34" t="n">
        <f aca="false">IFERROR(VLOOKUP($A5736,'319'!$B:$H,7,0),0)</f>
        <v>0</v>
      </c>
      <c r="G5736" s="34" t="n">
        <f aca="false">SUMIFS('12.326ana'!$C:$C,'12.326ana'!$M:$M,redes!A5736)</f>
        <v>0</v>
      </c>
    </row>
    <row r="5737" customFormat="false" ht="14.4" hidden="true" customHeight="false" outlineLevel="0" collapsed="false">
      <c r="A5737" s="34" t="n">
        <v>896140000190</v>
      </c>
      <c r="B5737" s="34" t="s">
        <v>12954</v>
      </c>
      <c r="C5737" s="34" t="s">
        <v>77</v>
      </c>
      <c r="E5737" s="30" t="s">
        <v>7820</v>
      </c>
      <c r="F5737" s="34" t="n">
        <f aca="false">IFERROR(VLOOKUP($A5737,'319'!$B:$H,7,0),0)</f>
        <v>0</v>
      </c>
      <c r="G5737" s="34" t="n">
        <f aca="false">SUMIFS('12.326ana'!$C:$C,'12.326ana'!$M:$M,redes!A5737)</f>
        <v>0</v>
      </c>
    </row>
    <row r="5738" customFormat="false" ht="14.4" hidden="true" customHeight="false" outlineLevel="0" collapsed="false">
      <c r="A5738" s="34" t="n">
        <v>896146000167</v>
      </c>
      <c r="B5738" s="34" t="s">
        <v>12955</v>
      </c>
      <c r="C5738" s="34" t="s">
        <v>89</v>
      </c>
      <c r="E5738" s="30" t="s">
        <v>12956</v>
      </c>
      <c r="F5738" s="34" t="n">
        <f aca="false">IFERROR(VLOOKUP($A5738,'319'!$B:$H,7,0),0)</f>
        <v>0</v>
      </c>
      <c r="G5738" s="34" t="n">
        <f aca="false">SUMIFS('12.326ana'!$C:$C,'12.326ana'!$M:$M,redes!A5738)</f>
        <v>0</v>
      </c>
    </row>
    <row r="5739" customFormat="false" ht="14.4" hidden="true" customHeight="false" outlineLevel="0" collapsed="false">
      <c r="A5739" s="34" t="n">
        <v>898343000115</v>
      </c>
      <c r="B5739" s="34" t="s">
        <v>12957</v>
      </c>
      <c r="C5739" s="34" t="s">
        <v>562</v>
      </c>
      <c r="E5739" s="30" t="s">
        <v>12958</v>
      </c>
      <c r="F5739" s="34" t="n">
        <f aca="false">IFERROR(VLOOKUP($A5739,'319'!$B:$H,7,0),0)</f>
        <v>0</v>
      </c>
      <c r="G5739" s="34" t="n">
        <f aca="false">SUMIFS('12.326ana'!$C:$C,'12.326ana'!$M:$M,redes!A5739)</f>
        <v>0</v>
      </c>
    </row>
    <row r="5740" customFormat="false" ht="14.4" hidden="true" customHeight="false" outlineLevel="0" collapsed="false">
      <c r="A5740" s="34" t="n">
        <v>898350000117</v>
      </c>
      <c r="B5740" s="34" t="s">
        <v>12959</v>
      </c>
      <c r="C5740" s="34" t="s">
        <v>77</v>
      </c>
      <c r="E5740" s="30" t="s">
        <v>12960</v>
      </c>
      <c r="F5740" s="34" t="n">
        <f aca="false">IFERROR(VLOOKUP($A5740,'319'!$B:$H,7,0),0)</f>
        <v>0</v>
      </c>
      <c r="G5740" s="34" t="n">
        <f aca="false">SUMIFS('12.326ana'!$C:$C,'12.326ana'!$M:$M,redes!A5740)</f>
        <v>0</v>
      </c>
    </row>
    <row r="5741" customFormat="false" ht="14.4" hidden="true" customHeight="false" outlineLevel="0" collapsed="false">
      <c r="A5741" s="34" t="n">
        <v>898350000206</v>
      </c>
      <c r="B5741" s="34" t="s">
        <v>12959</v>
      </c>
      <c r="C5741" s="34" t="s">
        <v>77</v>
      </c>
      <c r="E5741" s="30" t="s">
        <v>12961</v>
      </c>
      <c r="F5741" s="34" t="n">
        <f aca="false">IFERROR(VLOOKUP($A5741,'319'!$B:$H,7,0),0)</f>
        <v>0</v>
      </c>
      <c r="G5741" s="34" t="n">
        <f aca="false">SUMIFS('12.326ana'!$C:$C,'12.326ana'!$M:$M,redes!A5741)</f>
        <v>0</v>
      </c>
    </row>
    <row r="5742" customFormat="false" ht="14.4" hidden="true" customHeight="false" outlineLevel="0" collapsed="false">
      <c r="A5742" s="34" t="n">
        <v>906121000105</v>
      </c>
      <c r="B5742" s="34" t="s">
        <v>12962</v>
      </c>
      <c r="C5742" s="34" t="s">
        <v>77</v>
      </c>
      <c r="E5742" s="30" t="s">
        <v>10721</v>
      </c>
      <c r="F5742" s="34" t="n">
        <f aca="false">IFERROR(VLOOKUP($A5742,'319'!$B:$H,7,0),0)</f>
        <v>0</v>
      </c>
      <c r="G5742" s="34" t="n">
        <f aca="false">SUMIFS('12.326ana'!$C:$C,'12.326ana'!$M:$M,redes!A5742)</f>
        <v>0</v>
      </c>
    </row>
    <row r="5743" customFormat="false" ht="14.4" hidden="true" customHeight="false" outlineLevel="0" collapsed="false">
      <c r="A5743" s="34" t="n">
        <v>906124000130</v>
      </c>
      <c r="B5743" s="34" t="s">
        <v>12963</v>
      </c>
      <c r="C5743" s="34" t="s">
        <v>463</v>
      </c>
      <c r="E5743" s="30" t="s">
        <v>11095</v>
      </c>
      <c r="F5743" s="34" t="n">
        <f aca="false">IFERROR(VLOOKUP($A5743,'319'!$B:$H,7,0),0)</f>
        <v>0</v>
      </c>
      <c r="G5743" s="34" t="n">
        <f aca="false">SUMIFS('12.326ana'!$C:$C,'12.326ana'!$M:$M,redes!A5743)</f>
        <v>0</v>
      </c>
    </row>
    <row r="5744" customFormat="false" ht="14.4" hidden="true" customHeight="false" outlineLevel="0" collapsed="false">
      <c r="A5744" s="34" t="n">
        <v>909085000125</v>
      </c>
      <c r="B5744" s="34" t="s">
        <v>12964</v>
      </c>
      <c r="C5744" s="34" t="s">
        <v>207</v>
      </c>
      <c r="E5744" s="30" t="s">
        <v>7701</v>
      </c>
      <c r="F5744" s="34" t="n">
        <f aca="false">IFERROR(VLOOKUP($A5744,'319'!$B:$H,7,0),0)</f>
        <v>0</v>
      </c>
      <c r="G5744" s="34" t="n">
        <f aca="false">SUMIFS('12.326ana'!$C:$C,'12.326ana'!$M:$M,redes!A5744)</f>
        <v>0</v>
      </c>
    </row>
    <row r="5745" customFormat="false" ht="14.4" hidden="true" customHeight="false" outlineLevel="0" collapsed="false">
      <c r="A5745" s="34" t="n">
        <v>909446000133</v>
      </c>
      <c r="B5745" s="34" t="s">
        <v>12965</v>
      </c>
      <c r="C5745" s="34" t="s">
        <v>77</v>
      </c>
      <c r="E5745" s="30" t="s">
        <v>12966</v>
      </c>
      <c r="F5745" s="34" t="n">
        <f aca="false">IFERROR(VLOOKUP($A5745,'319'!$B:$H,7,0),0)</f>
        <v>0</v>
      </c>
      <c r="G5745" s="34" t="n">
        <f aca="false">SUMIFS('12.326ana'!$C:$C,'12.326ana'!$M:$M,redes!A5745)</f>
        <v>0</v>
      </c>
    </row>
    <row r="5746" customFormat="false" ht="14.4" hidden="true" customHeight="false" outlineLevel="0" collapsed="false">
      <c r="A5746" s="34" t="n">
        <v>913342000100</v>
      </c>
      <c r="B5746" s="34" t="s">
        <v>12967</v>
      </c>
      <c r="C5746" s="34" t="s">
        <v>473</v>
      </c>
      <c r="E5746" s="30" t="s">
        <v>12968</v>
      </c>
      <c r="F5746" s="34" t="n">
        <f aca="false">IFERROR(VLOOKUP($A5746,'319'!$B:$H,7,0),0)</f>
        <v>0</v>
      </c>
      <c r="G5746" s="34" t="n">
        <f aca="false">SUMIFS('12.326ana'!$C:$C,'12.326ana'!$M:$M,redes!A5746)</f>
        <v>0</v>
      </c>
    </row>
    <row r="5747" customFormat="false" ht="14.4" hidden="true" customHeight="false" outlineLevel="0" collapsed="false">
      <c r="A5747" s="34" t="n">
        <v>916069000160</v>
      </c>
      <c r="B5747" s="34" t="s">
        <v>12969</v>
      </c>
      <c r="C5747" s="34" t="s">
        <v>89</v>
      </c>
      <c r="E5747" s="30" t="s">
        <v>12970</v>
      </c>
      <c r="F5747" s="34" t="n">
        <f aca="false">IFERROR(VLOOKUP($A5747,'319'!$B:$H,7,0),0)</f>
        <v>0</v>
      </c>
      <c r="G5747" s="34" t="n">
        <f aca="false">SUMIFS('12.326ana'!$C:$C,'12.326ana'!$M:$M,redes!A5747)</f>
        <v>0</v>
      </c>
    </row>
    <row r="5748" customFormat="false" ht="14.4" hidden="true" customHeight="false" outlineLevel="0" collapsed="false">
      <c r="A5748" s="34" t="n">
        <v>916106000130</v>
      </c>
      <c r="B5748" s="34" t="s">
        <v>12971</v>
      </c>
      <c r="C5748" s="34" t="s">
        <v>598</v>
      </c>
      <c r="E5748" s="30" t="s">
        <v>12972</v>
      </c>
      <c r="F5748" s="34" t="n">
        <f aca="false">IFERROR(VLOOKUP($A5748,'319'!$B:$H,7,0),0)</f>
        <v>0</v>
      </c>
      <c r="G5748" s="34" t="n">
        <f aca="false">SUMIFS('12.326ana'!$C:$C,'12.326ana'!$M:$M,redes!A5748)</f>
        <v>0</v>
      </c>
    </row>
    <row r="5749" customFormat="false" ht="14.4" hidden="true" customHeight="false" outlineLevel="0" collapsed="false">
      <c r="A5749" s="34" t="n">
        <v>916817000104</v>
      </c>
      <c r="B5749" s="34" t="s">
        <v>12973</v>
      </c>
      <c r="C5749" s="34" t="s">
        <v>103</v>
      </c>
      <c r="E5749" s="30" t="s">
        <v>12974</v>
      </c>
      <c r="F5749" s="34" t="n">
        <f aca="false">IFERROR(VLOOKUP($A5749,'319'!$B:$H,7,0),0)</f>
        <v>0</v>
      </c>
      <c r="G5749" s="34" t="n">
        <f aca="false">SUMIFS('12.326ana'!$C:$C,'12.326ana'!$M:$M,redes!A5749)</f>
        <v>0</v>
      </c>
    </row>
    <row r="5750" customFormat="false" ht="14.4" hidden="true" customHeight="false" outlineLevel="0" collapsed="false">
      <c r="A5750" s="34" t="n">
        <v>917088000100</v>
      </c>
      <c r="B5750" s="34" t="s">
        <v>12975</v>
      </c>
      <c r="C5750" s="34" t="s">
        <v>842</v>
      </c>
      <c r="E5750" s="30"/>
      <c r="F5750" s="34" t="n">
        <f aca="false">IFERROR(VLOOKUP($A5750,'319'!$B:$H,7,0),0)</f>
        <v>0</v>
      </c>
      <c r="G5750" s="34" t="n">
        <f aca="false">SUMIFS('12.326ana'!$C:$C,'12.326ana'!$M:$M,redes!A5750)</f>
        <v>0</v>
      </c>
    </row>
    <row r="5751" customFormat="false" ht="14.4" hidden="true" customHeight="false" outlineLevel="0" collapsed="false">
      <c r="A5751" s="34" t="n">
        <v>917500000192</v>
      </c>
      <c r="B5751" s="34" t="s">
        <v>12976</v>
      </c>
      <c r="C5751" s="34" t="s">
        <v>107</v>
      </c>
      <c r="E5751" s="30" t="s">
        <v>12977</v>
      </c>
      <c r="F5751" s="34" t="n">
        <f aca="false">IFERROR(VLOOKUP($A5751,'319'!$B:$H,7,0),0)</f>
        <v>105.78</v>
      </c>
      <c r="G5751" s="34" t="n">
        <f aca="false">SUMIFS('12.326ana'!$C:$C,'12.326ana'!$M:$M,redes!A5751)</f>
        <v>0</v>
      </c>
    </row>
    <row r="5752" customFormat="false" ht="14.4" hidden="true" customHeight="false" outlineLevel="0" collapsed="false">
      <c r="A5752" s="34" t="n">
        <v>920769000128</v>
      </c>
      <c r="B5752" s="34" t="s">
        <v>12978</v>
      </c>
      <c r="C5752" s="34" t="s">
        <v>89</v>
      </c>
      <c r="E5752" s="30" t="s">
        <v>5781</v>
      </c>
      <c r="F5752" s="34" t="n">
        <f aca="false">IFERROR(VLOOKUP($A5752,'319'!$B:$H,7,0),0)</f>
        <v>0</v>
      </c>
      <c r="G5752" s="34" t="n">
        <f aca="false">SUMIFS('12.326ana'!$C:$C,'12.326ana'!$M:$M,redes!A5752)</f>
        <v>0</v>
      </c>
    </row>
    <row r="5753" customFormat="false" ht="14.4" hidden="true" customHeight="false" outlineLevel="0" collapsed="false">
      <c r="A5753" s="34" t="n">
        <v>920876000156</v>
      </c>
      <c r="B5753" s="34" t="s">
        <v>12979</v>
      </c>
      <c r="C5753" s="34" t="s">
        <v>77</v>
      </c>
      <c r="E5753" s="30" t="s">
        <v>12980</v>
      </c>
      <c r="F5753" s="34" t="n">
        <f aca="false">IFERROR(VLOOKUP($A5753,'319'!$B:$H,7,0),0)</f>
        <v>0</v>
      </c>
      <c r="G5753" s="34" t="n">
        <f aca="false">SUMIFS('12.326ana'!$C:$C,'12.326ana'!$M:$M,redes!A5753)</f>
        <v>0</v>
      </c>
    </row>
    <row r="5754" customFormat="false" ht="14.4" hidden="true" customHeight="false" outlineLevel="0" collapsed="false">
      <c r="A5754" s="34" t="n">
        <v>921346000122</v>
      </c>
      <c r="B5754" s="34" t="s">
        <v>12981</v>
      </c>
      <c r="C5754" s="34" t="s">
        <v>139</v>
      </c>
      <c r="E5754" s="30" t="s">
        <v>12982</v>
      </c>
      <c r="F5754" s="34" t="n">
        <f aca="false">IFERROR(VLOOKUP($A5754,'319'!$B:$H,7,0),0)</f>
        <v>0</v>
      </c>
      <c r="G5754" s="34" t="n">
        <f aca="false">SUMIFS('12.326ana'!$C:$C,'12.326ana'!$M:$M,redes!A5754)</f>
        <v>0</v>
      </c>
    </row>
    <row r="5755" customFormat="false" ht="14.4" hidden="true" customHeight="false" outlineLevel="0" collapsed="false">
      <c r="A5755" s="34" t="n">
        <v>921502000155</v>
      </c>
      <c r="B5755" s="34" t="s">
        <v>12983</v>
      </c>
      <c r="C5755" s="34" t="s">
        <v>77</v>
      </c>
      <c r="E5755" s="30" t="s">
        <v>12984</v>
      </c>
      <c r="F5755" s="34" t="n">
        <f aca="false">IFERROR(VLOOKUP($A5755,'319'!$B:$H,7,0),0)</f>
        <v>0</v>
      </c>
      <c r="G5755" s="34" t="n">
        <f aca="false">SUMIFS('12.326ana'!$C:$C,'12.326ana'!$M:$M,redes!A5755)</f>
        <v>0</v>
      </c>
    </row>
    <row r="5756" customFormat="false" ht="14.4" hidden="true" customHeight="false" outlineLevel="0" collapsed="false">
      <c r="A5756" s="34" t="n">
        <v>922377000360</v>
      </c>
      <c r="B5756" s="34" t="s">
        <v>12985</v>
      </c>
      <c r="C5756" s="34" t="s">
        <v>103</v>
      </c>
      <c r="E5756" s="30" t="s">
        <v>12986</v>
      </c>
      <c r="F5756" s="34" t="n">
        <f aca="false">IFERROR(VLOOKUP($A5756,'319'!$B:$H,7,0),0)</f>
        <v>0</v>
      </c>
      <c r="G5756" s="34" t="n">
        <f aca="false">SUMIFS('12.326ana'!$C:$C,'12.326ana'!$M:$M,redes!A5756)</f>
        <v>0</v>
      </c>
    </row>
    <row r="5757" customFormat="false" ht="14.4" hidden="true" customHeight="false" outlineLevel="0" collapsed="false">
      <c r="A5757" s="34" t="n">
        <v>922526000129</v>
      </c>
      <c r="B5757" s="34" t="s">
        <v>12987</v>
      </c>
      <c r="C5757" s="34" t="s">
        <v>464</v>
      </c>
      <c r="E5757" s="30" t="s">
        <v>12987</v>
      </c>
      <c r="F5757" s="34" t="n">
        <f aca="false">IFERROR(VLOOKUP($A5757,'319'!$B:$H,7,0),0)</f>
        <v>0</v>
      </c>
      <c r="G5757" s="34" t="n">
        <f aca="false">SUMIFS('12.326ana'!$C:$C,'12.326ana'!$M:$M,redes!A5757)</f>
        <v>0</v>
      </c>
    </row>
    <row r="5758" customFormat="false" ht="14.4" hidden="true" customHeight="false" outlineLevel="0" collapsed="false">
      <c r="A5758" s="34" t="n">
        <v>922732000139</v>
      </c>
      <c r="B5758" s="34" t="s">
        <v>12988</v>
      </c>
      <c r="C5758" s="34" t="s">
        <v>7250</v>
      </c>
      <c r="E5758" s="30" t="s">
        <v>3066</v>
      </c>
      <c r="F5758" s="34" t="n">
        <f aca="false">IFERROR(VLOOKUP($A5758,'319'!$B:$H,7,0),0)</f>
        <v>0</v>
      </c>
      <c r="G5758" s="34" t="n">
        <f aca="false">SUMIFS('12.326ana'!$C:$C,'12.326ana'!$M:$M,redes!A5758)</f>
        <v>0</v>
      </c>
    </row>
    <row r="5759" customFormat="false" ht="14.4" hidden="true" customHeight="false" outlineLevel="0" collapsed="false">
      <c r="A5759" s="34" t="n">
        <v>923524000154</v>
      </c>
      <c r="B5759" s="34" t="s">
        <v>12989</v>
      </c>
      <c r="C5759" s="34" t="s">
        <v>342</v>
      </c>
      <c r="E5759" s="30" t="s">
        <v>12990</v>
      </c>
      <c r="F5759" s="34" t="n">
        <f aca="false">IFERROR(VLOOKUP($A5759,'319'!$B:$H,7,0),0)</f>
        <v>0</v>
      </c>
      <c r="G5759" s="34" t="n">
        <f aca="false">SUMIFS('12.326ana'!$C:$C,'12.326ana'!$M:$M,redes!A5759)</f>
        <v>0</v>
      </c>
    </row>
    <row r="5760" customFormat="false" ht="14.4" hidden="true" customHeight="false" outlineLevel="0" collapsed="false">
      <c r="A5760" s="34" t="n">
        <v>923607000143</v>
      </c>
      <c r="B5760" s="34" t="s">
        <v>12991</v>
      </c>
      <c r="C5760" s="34" t="s">
        <v>77</v>
      </c>
      <c r="E5760" s="30" t="s">
        <v>12992</v>
      </c>
      <c r="F5760" s="34" t="n">
        <f aca="false">IFERROR(VLOOKUP($A5760,'319'!$B:$H,7,0),0)</f>
        <v>0</v>
      </c>
      <c r="G5760" s="34" t="n">
        <f aca="false">SUMIFS('12.326ana'!$C:$C,'12.326ana'!$M:$M,redes!A5760)</f>
        <v>0</v>
      </c>
    </row>
    <row r="5761" customFormat="false" ht="14.4" hidden="true" customHeight="false" outlineLevel="0" collapsed="false">
      <c r="A5761" s="34" t="n">
        <v>924282000113</v>
      </c>
      <c r="B5761" s="34" t="s">
        <v>12993</v>
      </c>
      <c r="C5761" s="34" t="s">
        <v>546</v>
      </c>
      <c r="E5761" s="30" t="s">
        <v>12994</v>
      </c>
      <c r="F5761" s="34" t="n">
        <f aca="false">IFERROR(VLOOKUP($A5761,'319'!$B:$H,7,0),0)</f>
        <v>0</v>
      </c>
      <c r="G5761" s="34" t="n">
        <f aca="false">SUMIFS('12.326ana'!$C:$C,'12.326ana'!$M:$M,redes!A5761)</f>
        <v>0</v>
      </c>
    </row>
    <row r="5762" customFormat="false" ht="14.4" hidden="true" customHeight="false" outlineLevel="0" collapsed="false">
      <c r="A5762" s="34" t="n">
        <v>924787000188</v>
      </c>
      <c r="B5762" s="34" t="s">
        <v>12995</v>
      </c>
      <c r="C5762" s="34" t="s">
        <v>1272</v>
      </c>
      <c r="E5762" s="30" t="s">
        <v>12996</v>
      </c>
      <c r="F5762" s="34" t="n">
        <f aca="false">IFERROR(VLOOKUP($A5762,'319'!$B:$H,7,0),0)</f>
        <v>0</v>
      </c>
      <c r="G5762" s="34" t="n">
        <f aca="false">SUMIFS('12.326ana'!$C:$C,'12.326ana'!$M:$M,redes!A5762)</f>
        <v>0</v>
      </c>
    </row>
    <row r="5763" customFormat="false" ht="14.4" hidden="true" customHeight="false" outlineLevel="0" collapsed="false">
      <c r="A5763" s="34" t="n">
        <v>924845000335</v>
      </c>
      <c r="B5763" s="34" t="s">
        <v>12997</v>
      </c>
      <c r="C5763" s="34" t="s">
        <v>77</v>
      </c>
      <c r="E5763" s="30" t="s">
        <v>12998</v>
      </c>
      <c r="F5763" s="34" t="n">
        <f aca="false">IFERROR(VLOOKUP($A5763,'319'!$B:$H,7,0),0)</f>
        <v>0</v>
      </c>
      <c r="G5763" s="34" t="n">
        <f aca="false">SUMIFS('12.326ana'!$C:$C,'12.326ana'!$M:$M,redes!A5763)</f>
        <v>0</v>
      </c>
    </row>
    <row r="5764" customFormat="false" ht="14.4" hidden="true" customHeight="false" outlineLevel="0" collapsed="false">
      <c r="A5764" s="34" t="n">
        <v>926220000140</v>
      </c>
      <c r="B5764" s="34" t="s">
        <v>12999</v>
      </c>
      <c r="C5764" s="34" t="s">
        <v>89</v>
      </c>
      <c r="E5764" s="30" t="s">
        <v>13000</v>
      </c>
      <c r="F5764" s="34" t="n">
        <f aca="false">IFERROR(VLOOKUP($A5764,'319'!$B:$H,7,0),0)</f>
        <v>0</v>
      </c>
      <c r="G5764" s="34" t="n">
        <f aca="false">SUMIFS('12.326ana'!$C:$C,'12.326ana'!$M:$M,redes!A5764)</f>
        <v>0</v>
      </c>
    </row>
    <row r="5765" customFormat="false" ht="14.4" hidden="true" customHeight="false" outlineLevel="0" collapsed="false">
      <c r="A5765" s="34" t="n">
        <v>926710000147</v>
      </c>
      <c r="B5765" s="34" t="s">
        <v>13001</v>
      </c>
      <c r="C5765" s="34" t="s">
        <v>77</v>
      </c>
      <c r="E5765" s="30" t="s">
        <v>3540</v>
      </c>
      <c r="F5765" s="34" t="n">
        <f aca="false">IFERROR(VLOOKUP($A5765,'319'!$B:$H,7,0),0)</f>
        <v>0</v>
      </c>
      <c r="G5765" s="34" t="n">
        <f aca="false">SUMIFS('12.326ana'!$C:$C,'12.326ana'!$M:$M,redes!A5765)</f>
        <v>0</v>
      </c>
    </row>
    <row r="5766" customFormat="false" ht="14.4" hidden="true" customHeight="false" outlineLevel="0" collapsed="false">
      <c r="A5766" s="34" t="n">
        <v>927574000100</v>
      </c>
      <c r="B5766" s="34" t="s">
        <v>13002</v>
      </c>
      <c r="C5766" s="34" t="s">
        <v>713</v>
      </c>
      <c r="E5766" s="30" t="s">
        <v>13003</v>
      </c>
      <c r="F5766" s="34" t="n">
        <f aca="false">IFERROR(VLOOKUP($A5766,'319'!$B:$H,7,0),0)</f>
        <v>0</v>
      </c>
      <c r="G5766" s="34" t="n">
        <f aca="false">SUMIFS('12.326ana'!$C:$C,'12.326ana'!$M:$M,redes!A5766)</f>
        <v>0</v>
      </c>
    </row>
    <row r="5767" customFormat="false" ht="14.4" hidden="true" customHeight="false" outlineLevel="0" collapsed="false">
      <c r="A5767" s="34" t="n">
        <v>930029000172</v>
      </c>
      <c r="B5767" s="34" t="s">
        <v>13004</v>
      </c>
      <c r="C5767" s="34" t="s">
        <v>77</v>
      </c>
      <c r="E5767" s="30" t="s">
        <v>13005</v>
      </c>
      <c r="F5767" s="34" t="n">
        <f aca="false">IFERROR(VLOOKUP($A5767,'319'!$B:$H,7,0),0)</f>
        <v>0</v>
      </c>
      <c r="G5767" s="34" t="n">
        <f aca="false">SUMIFS('12.326ana'!$C:$C,'12.326ana'!$M:$M,redes!A5767)</f>
        <v>0</v>
      </c>
    </row>
    <row r="5768" customFormat="false" ht="14.4" hidden="true" customHeight="false" outlineLevel="0" collapsed="false">
      <c r="A5768" s="34" t="n">
        <v>931485000137</v>
      </c>
      <c r="B5768" s="34" t="s">
        <v>13006</v>
      </c>
      <c r="C5768" s="34" t="s">
        <v>192</v>
      </c>
      <c r="E5768" s="30" t="s">
        <v>13007</v>
      </c>
      <c r="F5768" s="34" t="n">
        <f aca="false">IFERROR(VLOOKUP($A5768,'319'!$B:$H,7,0),0)</f>
        <v>0</v>
      </c>
      <c r="G5768" s="34" t="n">
        <f aca="false">SUMIFS('12.326ana'!$C:$C,'12.326ana'!$M:$M,redes!A5768)</f>
        <v>0</v>
      </c>
    </row>
    <row r="5769" customFormat="false" ht="14.4" hidden="true" customHeight="false" outlineLevel="0" collapsed="false">
      <c r="A5769" s="34" t="n">
        <v>934603000160</v>
      </c>
      <c r="B5769" s="34" t="s">
        <v>13008</v>
      </c>
      <c r="C5769" s="34" t="s">
        <v>737</v>
      </c>
      <c r="E5769" s="30" t="s">
        <v>13009</v>
      </c>
      <c r="F5769" s="34" t="n">
        <f aca="false">IFERROR(VLOOKUP($A5769,'319'!$B:$H,7,0),0)</f>
        <v>0</v>
      </c>
      <c r="G5769" s="34" t="n">
        <f aca="false">SUMIFS('12.326ana'!$C:$C,'12.326ana'!$M:$M,redes!A5769)</f>
        <v>0</v>
      </c>
    </row>
    <row r="5770" customFormat="false" ht="14.4" hidden="true" customHeight="false" outlineLevel="0" collapsed="false">
      <c r="A5770" s="34" t="n">
        <v>935502000104</v>
      </c>
      <c r="B5770" s="34" t="s">
        <v>13010</v>
      </c>
      <c r="C5770" s="34" t="s">
        <v>192</v>
      </c>
      <c r="E5770" s="30" t="s">
        <v>13011</v>
      </c>
      <c r="F5770" s="34" t="n">
        <f aca="false">IFERROR(VLOOKUP($A5770,'319'!$B:$H,7,0),0)</f>
        <v>0</v>
      </c>
      <c r="G5770" s="34" t="n">
        <f aca="false">SUMIFS('12.326ana'!$C:$C,'12.326ana'!$M:$M,redes!A5770)</f>
        <v>0</v>
      </c>
    </row>
    <row r="5771" customFormat="false" ht="14.4" hidden="true" customHeight="false" outlineLevel="0" collapsed="false">
      <c r="A5771" s="34" t="n">
        <v>935585000131</v>
      </c>
      <c r="B5771" s="34" t="s">
        <v>13012</v>
      </c>
      <c r="C5771" s="34" t="s">
        <v>77</v>
      </c>
      <c r="E5771" s="30" t="s">
        <v>13013</v>
      </c>
      <c r="F5771" s="34" t="n">
        <f aca="false">IFERROR(VLOOKUP($A5771,'319'!$B:$H,7,0),0)</f>
        <v>0</v>
      </c>
      <c r="G5771" s="34" t="n">
        <f aca="false">SUMIFS('12.326ana'!$C:$C,'12.326ana'!$M:$M,redes!A5771)</f>
        <v>0</v>
      </c>
    </row>
    <row r="5772" customFormat="false" ht="14.4" hidden="true" customHeight="false" outlineLevel="0" collapsed="false">
      <c r="A5772" s="34" t="n">
        <v>936359000175</v>
      </c>
      <c r="B5772" s="34" t="s">
        <v>13014</v>
      </c>
      <c r="C5772" s="34" t="s">
        <v>77</v>
      </c>
      <c r="E5772" s="30" t="s">
        <v>13015</v>
      </c>
      <c r="F5772" s="34" t="n">
        <f aca="false">IFERROR(VLOOKUP($A5772,'319'!$B:$H,7,0),0)</f>
        <v>0</v>
      </c>
      <c r="G5772" s="34" t="n">
        <f aca="false">SUMIFS('12.326ana'!$C:$C,'12.326ana'!$M:$M,redes!A5772)</f>
        <v>0</v>
      </c>
    </row>
    <row r="5773" customFormat="false" ht="14.4" hidden="true" customHeight="false" outlineLevel="0" collapsed="false">
      <c r="A5773" s="34" t="n">
        <v>939531000144</v>
      </c>
      <c r="B5773" s="34" t="s">
        <v>13016</v>
      </c>
      <c r="C5773" s="34" t="s">
        <v>357</v>
      </c>
      <c r="E5773" s="30" t="s">
        <v>13017</v>
      </c>
      <c r="F5773" s="34" t="n">
        <f aca="false">IFERROR(VLOOKUP($A5773,'319'!$B:$H,7,0),0)</f>
        <v>0</v>
      </c>
      <c r="G5773" s="34" t="n">
        <f aca="false">SUMIFS('12.326ana'!$C:$C,'12.326ana'!$M:$M,redes!A5773)</f>
        <v>0</v>
      </c>
    </row>
    <row r="5774" customFormat="false" ht="14.4" hidden="true" customHeight="false" outlineLevel="0" collapsed="false">
      <c r="A5774" s="34" t="n">
        <v>939648000128</v>
      </c>
      <c r="B5774" s="34" t="s">
        <v>13018</v>
      </c>
      <c r="C5774" s="34" t="s">
        <v>342</v>
      </c>
      <c r="E5774" s="30" t="s">
        <v>13019</v>
      </c>
      <c r="F5774" s="34" t="n">
        <f aca="false">IFERROR(VLOOKUP($A5774,'319'!$B:$H,7,0),0)</f>
        <v>0</v>
      </c>
      <c r="G5774" s="34" t="n">
        <f aca="false">SUMIFS('12.326ana'!$C:$C,'12.326ana'!$M:$M,redes!A5774)</f>
        <v>0</v>
      </c>
    </row>
    <row r="5775" customFormat="false" ht="14.4" hidden="true" customHeight="false" outlineLevel="0" collapsed="false">
      <c r="A5775" s="34" t="n">
        <v>942218000165</v>
      </c>
      <c r="B5775" s="34" t="s">
        <v>13020</v>
      </c>
      <c r="C5775" s="34" t="s">
        <v>107</v>
      </c>
      <c r="E5775" s="30" t="s">
        <v>8895</v>
      </c>
      <c r="F5775" s="34" t="n">
        <f aca="false">IFERROR(VLOOKUP($A5775,'319'!$B:$H,7,0),0)</f>
        <v>0</v>
      </c>
      <c r="G5775" s="34" t="n">
        <f aca="false">SUMIFS('12.326ana'!$C:$C,'12.326ana'!$M:$M,redes!A5775)</f>
        <v>0</v>
      </c>
    </row>
    <row r="5776" customFormat="false" ht="14.4" hidden="true" customHeight="false" outlineLevel="0" collapsed="false">
      <c r="A5776" s="34" t="n">
        <v>944585000106</v>
      </c>
      <c r="B5776" s="34" t="s">
        <v>13021</v>
      </c>
      <c r="C5776" s="34" t="s">
        <v>77</v>
      </c>
      <c r="E5776" s="30" t="s">
        <v>13022</v>
      </c>
      <c r="F5776" s="34" t="n">
        <f aca="false">IFERROR(VLOOKUP($A5776,'319'!$B:$H,7,0),0)</f>
        <v>0</v>
      </c>
      <c r="G5776" s="34" t="n">
        <f aca="false">SUMIFS('12.326ana'!$C:$C,'12.326ana'!$M:$M,redes!A5776)</f>
        <v>0</v>
      </c>
    </row>
    <row r="5777" customFormat="false" ht="14.4" hidden="true" customHeight="false" outlineLevel="0" collapsed="false">
      <c r="A5777" s="34" t="n">
        <v>944592000108</v>
      </c>
      <c r="B5777" s="34" t="s">
        <v>13023</v>
      </c>
      <c r="C5777" s="34" t="s">
        <v>107</v>
      </c>
      <c r="E5777" s="30" t="s">
        <v>13024</v>
      </c>
      <c r="F5777" s="34" t="n">
        <f aca="false">IFERROR(VLOOKUP($A5777,'319'!$B:$H,7,0),0)</f>
        <v>0</v>
      </c>
      <c r="G5777" s="34" t="n">
        <f aca="false">SUMIFS('12.326ana'!$C:$C,'12.326ana'!$M:$M,redes!A5777)</f>
        <v>0</v>
      </c>
    </row>
    <row r="5778" customFormat="false" ht="14.4" hidden="true" customHeight="false" outlineLevel="0" collapsed="false">
      <c r="A5778" s="34" t="n">
        <v>944601000152</v>
      </c>
      <c r="B5778" s="34" t="s">
        <v>13025</v>
      </c>
      <c r="C5778" s="34" t="s">
        <v>89</v>
      </c>
      <c r="E5778" s="30"/>
      <c r="F5778" s="34" t="n">
        <f aca="false">IFERROR(VLOOKUP($A5778,'319'!$B:$H,7,0),0)</f>
        <v>0</v>
      </c>
      <c r="G5778" s="34" t="n">
        <f aca="false">SUMIFS('12.326ana'!$C:$C,'12.326ana'!$M:$M,redes!A5778)</f>
        <v>0</v>
      </c>
    </row>
    <row r="5779" customFormat="false" ht="14.4" hidden="true" customHeight="false" outlineLevel="0" collapsed="false">
      <c r="A5779" s="34" t="n">
        <v>946548000129</v>
      </c>
      <c r="B5779" s="34" t="s">
        <v>13026</v>
      </c>
      <c r="C5779" s="34" t="s">
        <v>336</v>
      </c>
      <c r="E5779" s="30" t="s">
        <v>13027</v>
      </c>
      <c r="F5779" s="34" t="n">
        <f aca="false">IFERROR(VLOOKUP($A5779,'319'!$B:$H,7,0),0)</f>
        <v>0</v>
      </c>
      <c r="G5779" s="34" t="n">
        <f aca="false">SUMIFS('12.326ana'!$C:$C,'12.326ana'!$M:$M,redes!A5779)</f>
        <v>0</v>
      </c>
    </row>
    <row r="5780" customFormat="false" ht="14.4" hidden="true" customHeight="false" outlineLevel="0" collapsed="false">
      <c r="A5780" s="34" t="n">
        <v>951068000156</v>
      </c>
      <c r="B5780" s="34" t="s">
        <v>13028</v>
      </c>
      <c r="C5780" s="34" t="s">
        <v>77</v>
      </c>
      <c r="E5780" s="30" t="s">
        <v>13029</v>
      </c>
      <c r="F5780" s="34" t="n">
        <f aca="false">IFERROR(VLOOKUP($A5780,'319'!$B:$H,7,0),0)</f>
        <v>0</v>
      </c>
      <c r="G5780" s="34" t="n">
        <f aca="false">SUMIFS('12.326ana'!$C:$C,'12.326ana'!$M:$M,redes!A5780)</f>
        <v>0</v>
      </c>
    </row>
    <row r="5781" customFormat="false" ht="14.4" hidden="true" customHeight="false" outlineLevel="0" collapsed="false">
      <c r="A5781" s="34" t="n">
        <v>953115000109</v>
      </c>
      <c r="B5781" s="34" t="s">
        <v>13030</v>
      </c>
      <c r="C5781" s="34" t="s">
        <v>357</v>
      </c>
      <c r="E5781" s="30" t="s">
        <v>11517</v>
      </c>
      <c r="F5781" s="34" t="n">
        <f aca="false">IFERROR(VLOOKUP($A5781,'319'!$B:$H,7,0),0)</f>
        <v>0</v>
      </c>
      <c r="G5781" s="34" t="n">
        <f aca="false">SUMIFS('12.326ana'!$C:$C,'12.326ana'!$M:$M,redes!A5781)</f>
        <v>0</v>
      </c>
    </row>
    <row r="5782" customFormat="false" ht="14.4" hidden="true" customHeight="false" outlineLevel="0" collapsed="false">
      <c r="A5782" s="34" t="n">
        <v>962454000143</v>
      </c>
      <c r="B5782" s="34" t="s">
        <v>13031</v>
      </c>
      <c r="C5782" s="34" t="s">
        <v>77</v>
      </c>
      <c r="E5782" s="30" t="s">
        <v>13032</v>
      </c>
      <c r="F5782" s="34" t="n">
        <f aca="false">IFERROR(VLOOKUP($A5782,'319'!$B:$H,7,0),0)</f>
        <v>0</v>
      </c>
      <c r="G5782" s="34" t="n">
        <f aca="false">SUMIFS('12.326ana'!$C:$C,'12.326ana'!$M:$M,redes!A5782)</f>
        <v>0</v>
      </c>
    </row>
    <row r="5783" customFormat="false" ht="14.4" hidden="true" customHeight="false" outlineLevel="0" collapsed="false">
      <c r="A5783" s="34" t="n">
        <v>971109000176</v>
      </c>
      <c r="B5783" s="34" t="s">
        <v>13033</v>
      </c>
      <c r="C5783" s="34" t="s">
        <v>139</v>
      </c>
      <c r="E5783" s="30" t="s">
        <v>13034</v>
      </c>
      <c r="F5783" s="34" t="n">
        <f aca="false">IFERROR(VLOOKUP($A5783,'319'!$B:$H,7,0),0)</f>
        <v>0</v>
      </c>
      <c r="G5783" s="34" t="n">
        <f aca="false">SUMIFS('12.326ana'!$C:$C,'12.326ana'!$M:$M,redes!A5783)</f>
        <v>0</v>
      </c>
    </row>
    <row r="5784" customFormat="false" ht="14.4" hidden="true" customHeight="false" outlineLevel="0" collapsed="false">
      <c r="A5784" s="34" t="n">
        <v>978301000194</v>
      </c>
      <c r="B5784" s="34" t="s">
        <v>13035</v>
      </c>
      <c r="C5784" s="34" t="s">
        <v>77</v>
      </c>
      <c r="E5784" s="30" t="s">
        <v>13036</v>
      </c>
      <c r="F5784" s="34" t="n">
        <f aca="false">IFERROR(VLOOKUP($A5784,'319'!$B:$H,7,0),0)</f>
        <v>0</v>
      </c>
      <c r="G5784" s="34" t="n">
        <f aca="false">SUMIFS('12.326ana'!$C:$C,'12.326ana'!$M:$M,redes!A5784)</f>
        <v>0</v>
      </c>
    </row>
    <row r="5785" customFormat="false" ht="14.4" hidden="true" customHeight="false" outlineLevel="0" collapsed="false">
      <c r="A5785" s="34" t="n">
        <v>978303000183</v>
      </c>
      <c r="B5785" s="34" t="s">
        <v>13037</v>
      </c>
      <c r="C5785" s="34" t="s">
        <v>77</v>
      </c>
      <c r="E5785" s="30" t="s">
        <v>13038</v>
      </c>
      <c r="F5785" s="34" t="n">
        <f aca="false">IFERROR(VLOOKUP($A5785,'319'!$B:$H,7,0),0)</f>
        <v>0</v>
      </c>
      <c r="G5785" s="34" t="n">
        <f aca="false">SUMIFS('12.326ana'!$C:$C,'12.326ana'!$M:$M,redes!A5785)</f>
        <v>0</v>
      </c>
    </row>
    <row r="5786" customFormat="false" ht="14.4" hidden="true" customHeight="false" outlineLevel="0" collapsed="false">
      <c r="A5786" s="34" t="n">
        <v>978445000140</v>
      </c>
      <c r="B5786" s="34" t="s">
        <v>13039</v>
      </c>
      <c r="C5786" s="34" t="s">
        <v>77</v>
      </c>
      <c r="E5786" s="30" t="s">
        <v>13040</v>
      </c>
      <c r="F5786" s="34" t="n">
        <f aca="false">IFERROR(VLOOKUP($A5786,'319'!$B:$H,7,0),0)</f>
        <v>0</v>
      </c>
      <c r="G5786" s="34" t="n">
        <f aca="false">SUMIFS('12.326ana'!$C:$C,'12.326ana'!$M:$M,redes!A5786)</f>
        <v>0</v>
      </c>
    </row>
    <row r="5787" customFormat="false" ht="14.4" hidden="true" customHeight="false" outlineLevel="0" collapsed="false">
      <c r="A5787" s="34" t="n">
        <v>978676000154</v>
      </c>
      <c r="B5787" s="34" t="s">
        <v>13041</v>
      </c>
      <c r="C5787" s="34" t="s">
        <v>77</v>
      </c>
      <c r="E5787" s="30" t="s">
        <v>10391</v>
      </c>
      <c r="F5787" s="34" t="n">
        <f aca="false">IFERROR(VLOOKUP($A5787,'319'!$B:$H,7,0),0)</f>
        <v>0</v>
      </c>
      <c r="G5787" s="34" t="n">
        <f aca="false">SUMIFS('12.326ana'!$C:$C,'12.326ana'!$M:$M,redes!A5787)</f>
        <v>0</v>
      </c>
    </row>
    <row r="5788" customFormat="false" ht="14.4" hidden="true" customHeight="false" outlineLevel="0" collapsed="false">
      <c r="A5788" s="34" t="n">
        <v>979021000109</v>
      </c>
      <c r="B5788" s="34" t="s">
        <v>13042</v>
      </c>
      <c r="C5788" s="34" t="s">
        <v>77</v>
      </c>
      <c r="E5788" s="30" t="s">
        <v>13043</v>
      </c>
      <c r="F5788" s="34" t="n">
        <f aca="false">IFERROR(VLOOKUP($A5788,'319'!$B:$H,7,0),0)</f>
        <v>0</v>
      </c>
      <c r="G5788" s="34" t="n">
        <f aca="false">SUMIFS('12.326ana'!$C:$C,'12.326ana'!$M:$M,redes!A5788)</f>
        <v>0</v>
      </c>
    </row>
    <row r="5789" customFormat="false" ht="14.4" hidden="true" customHeight="false" outlineLevel="0" collapsed="false">
      <c r="A5789" s="34" t="n">
        <v>979658000197</v>
      </c>
      <c r="B5789" s="34" t="s">
        <v>13044</v>
      </c>
      <c r="C5789" s="34" t="s">
        <v>594</v>
      </c>
      <c r="E5789" s="30" t="s">
        <v>13045</v>
      </c>
      <c r="F5789" s="34" t="n">
        <f aca="false">IFERROR(VLOOKUP($A5789,'319'!$B:$H,7,0),0)</f>
        <v>0</v>
      </c>
      <c r="G5789" s="34" t="n">
        <f aca="false">SUMIFS('12.326ana'!$C:$C,'12.326ana'!$M:$M,redes!A5789)</f>
        <v>0</v>
      </c>
    </row>
    <row r="5790" customFormat="false" ht="14.4" hidden="true" customHeight="false" outlineLevel="0" collapsed="false">
      <c r="A5790" s="34" t="n">
        <v>980516000140</v>
      </c>
      <c r="B5790" s="34" t="s">
        <v>13046</v>
      </c>
      <c r="C5790" s="34" t="s">
        <v>107</v>
      </c>
      <c r="E5790" s="30" t="s">
        <v>13047</v>
      </c>
      <c r="F5790" s="34" t="n">
        <f aca="false">IFERROR(VLOOKUP($A5790,'319'!$B:$H,7,0),0)</f>
        <v>0</v>
      </c>
      <c r="G5790" s="34" t="n">
        <f aca="false">SUMIFS('12.326ana'!$C:$C,'12.326ana'!$M:$M,redes!A5790)</f>
        <v>0</v>
      </c>
    </row>
    <row r="5791" customFormat="false" ht="14.4" hidden="true" customHeight="false" outlineLevel="0" collapsed="false">
      <c r="A5791" s="34" t="n">
        <v>982157000160</v>
      </c>
      <c r="B5791" s="34" t="s">
        <v>13048</v>
      </c>
      <c r="C5791" s="34" t="s">
        <v>473</v>
      </c>
      <c r="E5791" s="30" t="s">
        <v>13049</v>
      </c>
      <c r="F5791" s="34" t="n">
        <f aca="false">IFERROR(VLOOKUP($A5791,'319'!$B:$H,7,0),0)</f>
        <v>0</v>
      </c>
      <c r="G5791" s="34" t="n">
        <f aca="false">SUMIFS('12.326ana'!$C:$C,'12.326ana'!$M:$M,redes!A5791)</f>
        <v>0</v>
      </c>
    </row>
    <row r="5792" customFormat="false" ht="14.4" hidden="true" customHeight="false" outlineLevel="0" collapsed="false">
      <c r="A5792" s="34" t="n">
        <v>983056000103</v>
      </c>
      <c r="B5792" s="34" t="s">
        <v>13050</v>
      </c>
      <c r="C5792" s="34" t="s">
        <v>464</v>
      </c>
      <c r="E5792" s="30" t="s">
        <v>13051</v>
      </c>
      <c r="F5792" s="34" t="n">
        <f aca="false">IFERROR(VLOOKUP($A5792,'319'!$B:$H,7,0),0)</f>
        <v>0</v>
      </c>
      <c r="G5792" s="34" t="n">
        <f aca="false">SUMIFS('12.326ana'!$C:$C,'12.326ana'!$M:$M,redes!A5792)</f>
        <v>0</v>
      </c>
    </row>
    <row r="5793" customFormat="false" ht="14.4" hidden="true" customHeight="false" outlineLevel="0" collapsed="false">
      <c r="A5793" s="34" t="n">
        <v>983304000116</v>
      </c>
      <c r="B5793" s="34" t="s">
        <v>13052</v>
      </c>
      <c r="C5793" s="34" t="s">
        <v>77</v>
      </c>
      <c r="E5793" s="30" t="s">
        <v>13053</v>
      </c>
      <c r="F5793" s="34" t="n">
        <f aca="false">IFERROR(VLOOKUP($A5793,'319'!$B:$H,7,0),0)</f>
        <v>0</v>
      </c>
      <c r="G5793" s="34" t="n">
        <f aca="false">SUMIFS('12.326ana'!$C:$C,'12.326ana'!$M:$M,redes!A5793)</f>
        <v>0</v>
      </c>
    </row>
    <row r="5794" customFormat="false" ht="14.4" hidden="true" customHeight="false" outlineLevel="0" collapsed="false">
      <c r="A5794" s="34" t="n">
        <v>983544000110</v>
      </c>
      <c r="B5794" s="34" t="s">
        <v>13054</v>
      </c>
      <c r="C5794" s="34" t="s">
        <v>77</v>
      </c>
      <c r="E5794" s="30" t="s">
        <v>13055</v>
      </c>
      <c r="F5794" s="34" t="n">
        <f aca="false">IFERROR(VLOOKUP($A5794,'319'!$B:$H,7,0),0)</f>
        <v>0</v>
      </c>
      <c r="G5794" s="34" t="n">
        <f aca="false">SUMIFS('12.326ana'!$C:$C,'12.326ana'!$M:$M,redes!A5794)</f>
        <v>0</v>
      </c>
    </row>
    <row r="5795" customFormat="false" ht="14.4" hidden="true" customHeight="false" outlineLevel="0" collapsed="false">
      <c r="A5795" s="34" t="n">
        <v>983585000107</v>
      </c>
      <c r="B5795" s="34" t="s">
        <v>13056</v>
      </c>
      <c r="C5795" s="34" t="s">
        <v>1341</v>
      </c>
      <c r="E5795" s="30" t="s">
        <v>13057</v>
      </c>
      <c r="F5795" s="34" t="n">
        <f aca="false">IFERROR(VLOOKUP($A5795,'319'!$B:$H,7,0),0)</f>
        <v>0</v>
      </c>
      <c r="G5795" s="34" t="n">
        <f aca="false">SUMIFS('12.326ana'!$C:$C,'12.326ana'!$M:$M,redes!A5795)</f>
        <v>0</v>
      </c>
    </row>
    <row r="5796" customFormat="false" ht="14.4" hidden="true" customHeight="false" outlineLevel="0" collapsed="false">
      <c r="A5796" s="34" t="n">
        <v>984708000124</v>
      </c>
      <c r="B5796" s="34" t="s">
        <v>13058</v>
      </c>
      <c r="C5796" s="34" t="s">
        <v>77</v>
      </c>
      <c r="E5796" s="30" t="s">
        <v>13059</v>
      </c>
      <c r="F5796" s="34" t="n">
        <f aca="false">IFERROR(VLOOKUP($A5796,'319'!$B:$H,7,0),0)</f>
        <v>0</v>
      </c>
      <c r="G5796" s="34" t="n">
        <f aca="false">SUMIFS('12.326ana'!$C:$C,'12.326ana'!$M:$M,redes!A5796)</f>
        <v>0</v>
      </c>
    </row>
    <row r="5797" customFormat="false" ht="14.4" hidden="true" customHeight="false" outlineLevel="0" collapsed="false">
      <c r="A5797" s="34" t="n">
        <v>984716000170</v>
      </c>
      <c r="B5797" s="34" t="s">
        <v>13060</v>
      </c>
      <c r="C5797" s="34" t="s">
        <v>581</v>
      </c>
      <c r="E5797" s="30" t="s">
        <v>13061</v>
      </c>
      <c r="F5797" s="34" t="n">
        <f aca="false">IFERROR(VLOOKUP($A5797,'319'!$B:$H,7,0),0)</f>
        <v>208.42</v>
      </c>
      <c r="G5797" s="34" t="n">
        <f aca="false">SUMIFS('12.326ana'!$C:$C,'12.326ana'!$M:$M,redes!A5797)</f>
        <v>0</v>
      </c>
    </row>
    <row r="5798" customFormat="false" ht="14.4" hidden="true" customHeight="false" outlineLevel="0" collapsed="false">
      <c r="A5798" s="34" t="n">
        <v>984922000180</v>
      </c>
      <c r="B5798" s="34" t="s">
        <v>13062</v>
      </c>
      <c r="C5798" s="34" t="s">
        <v>377</v>
      </c>
      <c r="E5798" s="30" t="s">
        <v>13063</v>
      </c>
      <c r="F5798" s="34" t="n">
        <f aca="false">IFERROR(VLOOKUP($A5798,'319'!$B:$H,7,0),0)</f>
        <v>0</v>
      </c>
      <c r="G5798" s="34" t="n">
        <f aca="false">SUMIFS('12.326ana'!$C:$C,'12.326ana'!$M:$M,redes!A5798)</f>
        <v>0</v>
      </c>
    </row>
    <row r="5799" customFormat="false" ht="14.4" hidden="true" customHeight="false" outlineLevel="0" collapsed="false">
      <c r="A5799" s="34" t="n">
        <v>984997000161</v>
      </c>
      <c r="B5799" s="34" t="s">
        <v>13064</v>
      </c>
      <c r="C5799" s="34" t="s">
        <v>848</v>
      </c>
      <c r="E5799" s="30" t="s">
        <v>13065</v>
      </c>
      <c r="F5799" s="34" t="n">
        <f aca="false">IFERROR(VLOOKUP($A5799,'319'!$B:$H,7,0),0)</f>
        <v>0</v>
      </c>
      <c r="G5799" s="34" t="n">
        <f aca="false">SUMIFS('12.326ana'!$C:$C,'12.326ana'!$M:$M,redes!A5799)</f>
        <v>0</v>
      </c>
    </row>
    <row r="5800" customFormat="false" ht="14.4" hidden="true" customHeight="false" outlineLevel="0" collapsed="false">
      <c r="A5800" s="34" t="n">
        <v>985672000101</v>
      </c>
      <c r="B5800" s="34" t="s">
        <v>13066</v>
      </c>
      <c r="C5800" s="34" t="s">
        <v>309</v>
      </c>
      <c r="E5800" s="30" t="s">
        <v>9582</v>
      </c>
      <c r="F5800" s="34" t="n">
        <f aca="false">IFERROR(VLOOKUP($A5800,'319'!$B:$H,7,0),0)</f>
        <v>0</v>
      </c>
      <c r="G5800" s="34" t="n">
        <f aca="false">SUMIFS('12.326ana'!$C:$C,'12.326ana'!$M:$M,redes!A5800)</f>
        <v>0</v>
      </c>
    </row>
    <row r="5801" customFormat="false" ht="14.4" hidden="true" customHeight="false" outlineLevel="0" collapsed="false">
      <c r="A5801" s="34" t="n">
        <v>985680000140</v>
      </c>
      <c r="B5801" s="34" t="s">
        <v>13067</v>
      </c>
      <c r="C5801" s="34" t="s">
        <v>77</v>
      </c>
      <c r="E5801" s="30" t="s">
        <v>13068</v>
      </c>
      <c r="F5801" s="34" t="n">
        <f aca="false">IFERROR(VLOOKUP($A5801,'319'!$B:$H,7,0),0)</f>
        <v>0</v>
      </c>
      <c r="G5801" s="34" t="n">
        <f aca="false">SUMIFS('12.326ana'!$C:$C,'12.326ana'!$M:$M,redes!A5801)</f>
        <v>0</v>
      </c>
    </row>
    <row r="5802" customFormat="false" ht="14.4" hidden="true" customHeight="false" outlineLevel="0" collapsed="false">
      <c r="A5802" s="34" t="n">
        <v>985804000197</v>
      </c>
      <c r="B5802" s="34" t="s">
        <v>13069</v>
      </c>
      <c r="C5802" s="34" t="s">
        <v>107</v>
      </c>
      <c r="E5802" s="30" t="s">
        <v>13070</v>
      </c>
      <c r="F5802" s="34" t="n">
        <f aca="false">IFERROR(VLOOKUP($A5802,'319'!$B:$H,7,0),0)</f>
        <v>0</v>
      </c>
      <c r="G5802" s="34" t="n">
        <f aca="false">SUMIFS('12.326ana'!$C:$C,'12.326ana'!$M:$M,redes!A5802)</f>
        <v>0</v>
      </c>
    </row>
    <row r="5803" customFormat="false" ht="14.4" hidden="true" customHeight="false" outlineLevel="0" collapsed="false">
      <c r="A5803" s="34" t="n">
        <v>986059000109</v>
      </c>
      <c r="B5803" s="34" t="s">
        <v>13071</v>
      </c>
      <c r="C5803" s="34" t="s">
        <v>77</v>
      </c>
      <c r="E5803" s="30" t="s">
        <v>13072</v>
      </c>
      <c r="F5803" s="34" t="n">
        <f aca="false">IFERROR(VLOOKUP($A5803,'319'!$B:$H,7,0),0)</f>
        <v>0</v>
      </c>
      <c r="G5803" s="34" t="n">
        <f aca="false">SUMIFS('12.326ana'!$C:$C,'12.326ana'!$M:$M,redes!A5803)</f>
        <v>0</v>
      </c>
    </row>
    <row r="5804" customFormat="false" ht="14.4" hidden="true" customHeight="false" outlineLevel="0" collapsed="false">
      <c r="A5804" s="34" t="n">
        <v>986331000142</v>
      </c>
      <c r="B5804" s="34" t="s">
        <v>13073</v>
      </c>
      <c r="C5804" s="34" t="s">
        <v>107</v>
      </c>
      <c r="E5804" s="30" t="s">
        <v>13074</v>
      </c>
      <c r="F5804" s="34" t="n">
        <f aca="false">IFERROR(VLOOKUP($A5804,'319'!$B:$H,7,0),0)</f>
        <v>0</v>
      </c>
      <c r="G5804" s="34" t="n">
        <f aca="false">SUMIFS('12.326ana'!$C:$C,'12.326ana'!$M:$M,redes!A5804)</f>
        <v>0</v>
      </c>
    </row>
    <row r="5805" customFormat="false" ht="14.4" hidden="true" customHeight="false" outlineLevel="0" collapsed="false">
      <c r="A5805" s="34" t="n">
        <v>986711000187</v>
      </c>
      <c r="B5805" s="34" t="s">
        <v>13075</v>
      </c>
      <c r="C5805" s="34" t="s">
        <v>631</v>
      </c>
      <c r="E5805" s="30" t="s">
        <v>13076</v>
      </c>
      <c r="F5805" s="34" t="n">
        <f aca="false">IFERROR(VLOOKUP($A5805,'319'!$B:$H,7,0),0)</f>
        <v>0</v>
      </c>
      <c r="G5805" s="34" t="n">
        <f aca="false">SUMIFS('12.326ana'!$C:$C,'12.326ana'!$M:$M,redes!A5805)</f>
        <v>0</v>
      </c>
    </row>
    <row r="5806" customFormat="false" ht="14.4" hidden="true" customHeight="false" outlineLevel="0" collapsed="false">
      <c r="A5806" s="34" t="n">
        <v>987172000109</v>
      </c>
      <c r="B5806" s="34" t="s">
        <v>13077</v>
      </c>
      <c r="C5806" s="34" t="s">
        <v>89</v>
      </c>
      <c r="E5806" s="30" t="s">
        <v>13078</v>
      </c>
      <c r="F5806" s="34" t="n">
        <f aca="false">IFERROR(VLOOKUP($A5806,'319'!$B:$H,7,0),0)</f>
        <v>0</v>
      </c>
      <c r="G5806" s="34" t="n">
        <f aca="false">SUMIFS('12.326ana'!$C:$C,'12.326ana'!$M:$M,redes!A5806)</f>
        <v>0</v>
      </c>
    </row>
    <row r="5807" customFormat="false" ht="14.4" hidden="true" customHeight="false" outlineLevel="0" collapsed="false">
      <c r="A5807" s="34" t="n">
        <v>987602000184</v>
      </c>
      <c r="B5807" s="34" t="s">
        <v>13079</v>
      </c>
      <c r="C5807" s="34" t="s">
        <v>107</v>
      </c>
      <c r="E5807" s="30" t="s">
        <v>13080</v>
      </c>
      <c r="F5807" s="34" t="n">
        <f aca="false">IFERROR(VLOOKUP($A5807,'319'!$B:$H,7,0),0)</f>
        <v>0</v>
      </c>
      <c r="G5807" s="34" t="n">
        <f aca="false">SUMIFS('12.326ana'!$C:$C,'12.326ana'!$M:$M,redes!A5807)</f>
        <v>0</v>
      </c>
    </row>
    <row r="5808" customFormat="false" ht="14.4" hidden="true" customHeight="false" outlineLevel="0" collapsed="false">
      <c r="A5808" s="34" t="n">
        <v>987933000114</v>
      </c>
      <c r="B5808" s="34" t="s">
        <v>13081</v>
      </c>
      <c r="C5808" s="34" t="s">
        <v>139</v>
      </c>
      <c r="E5808" s="30" t="s">
        <v>13082</v>
      </c>
      <c r="F5808" s="34" t="n">
        <f aca="false">IFERROR(VLOOKUP($A5808,'319'!$B:$H,7,0),0)</f>
        <v>0</v>
      </c>
      <c r="G5808" s="34" t="n">
        <f aca="false">SUMIFS('12.326ana'!$C:$C,'12.326ana'!$M:$M,redes!A5808)</f>
        <v>0</v>
      </c>
    </row>
    <row r="5809" customFormat="false" ht="14.4" hidden="true" customHeight="false" outlineLevel="0" collapsed="false">
      <c r="A5809" s="34" t="n">
        <v>988533000123</v>
      </c>
      <c r="B5809" s="34" t="s">
        <v>13083</v>
      </c>
      <c r="C5809" s="34" t="s">
        <v>631</v>
      </c>
      <c r="E5809" s="30" t="s">
        <v>13084</v>
      </c>
      <c r="F5809" s="34" t="n">
        <f aca="false">IFERROR(VLOOKUP($A5809,'319'!$B:$H,7,0),0)</f>
        <v>0</v>
      </c>
      <c r="G5809" s="34" t="n">
        <f aca="false">SUMIFS('12.326ana'!$C:$C,'12.326ana'!$M:$M,redes!A5809)</f>
        <v>0</v>
      </c>
    </row>
    <row r="5810" customFormat="false" ht="14.4" hidden="true" customHeight="false" outlineLevel="0" collapsed="false">
      <c r="A5810" s="34" t="n">
        <v>988533000476</v>
      </c>
      <c r="B5810" s="34" t="s">
        <v>13085</v>
      </c>
      <c r="C5810" s="34" t="s">
        <v>631</v>
      </c>
      <c r="E5810" s="30" t="s">
        <v>13086</v>
      </c>
      <c r="F5810" s="34" t="n">
        <f aca="false">IFERROR(VLOOKUP($A5810,'319'!$B:$H,7,0),0)</f>
        <v>0</v>
      </c>
      <c r="G5810" s="34" t="n">
        <f aca="false">SUMIFS('12.326ana'!$C:$C,'12.326ana'!$M:$M,redes!A5810)</f>
        <v>0</v>
      </c>
    </row>
    <row r="5811" customFormat="false" ht="14.4" hidden="true" customHeight="false" outlineLevel="0" collapsed="false">
      <c r="A5811" s="34" t="n">
        <v>988533000557</v>
      </c>
      <c r="B5811" s="34" t="s">
        <v>13083</v>
      </c>
      <c r="C5811" s="34" t="s">
        <v>89</v>
      </c>
      <c r="E5811" s="30" t="s">
        <v>13085</v>
      </c>
      <c r="F5811" s="34" t="n">
        <f aca="false">IFERROR(VLOOKUP($A5811,'319'!$B:$H,7,0),0)</f>
        <v>0</v>
      </c>
      <c r="G5811" s="34" t="n">
        <f aca="false">SUMIFS('12.326ana'!$C:$C,'12.326ana'!$M:$M,redes!A5811)</f>
        <v>0</v>
      </c>
    </row>
    <row r="5812" customFormat="false" ht="14.4" hidden="true" customHeight="false" outlineLevel="0" collapsed="false">
      <c r="A5812" s="34" t="n">
        <v>988706000103</v>
      </c>
      <c r="B5812" s="34" t="s">
        <v>13087</v>
      </c>
      <c r="C5812" s="34" t="s">
        <v>77</v>
      </c>
      <c r="E5812" s="30" t="s">
        <v>13088</v>
      </c>
      <c r="F5812" s="34" t="n">
        <f aca="false">IFERROR(VLOOKUP($A5812,'319'!$B:$H,7,0),0)</f>
        <v>0</v>
      </c>
      <c r="G5812" s="34" t="n">
        <f aca="false">SUMIFS('12.326ana'!$C:$C,'12.326ana'!$M:$M,redes!A5812)</f>
        <v>0</v>
      </c>
    </row>
    <row r="5813" customFormat="false" ht="14.4" hidden="true" customHeight="false" outlineLevel="0" collapsed="false">
      <c r="A5813" s="34" t="n">
        <v>989319000191</v>
      </c>
      <c r="B5813" s="34" t="s">
        <v>13089</v>
      </c>
      <c r="C5813" s="34" t="s">
        <v>764</v>
      </c>
      <c r="E5813" s="30" t="s">
        <v>13089</v>
      </c>
      <c r="F5813" s="34" t="n">
        <f aca="false">IFERROR(VLOOKUP($A5813,'319'!$B:$H,7,0),0)</f>
        <v>0</v>
      </c>
      <c r="G5813" s="34" t="n">
        <f aca="false">SUMIFS('12.326ana'!$C:$C,'12.326ana'!$M:$M,redes!A5813)</f>
        <v>0</v>
      </c>
    </row>
    <row r="5814" customFormat="false" ht="14.4" hidden="true" customHeight="false" outlineLevel="0" collapsed="false">
      <c r="A5814" s="34" t="n">
        <v>990036000160</v>
      </c>
      <c r="B5814" s="34" t="s">
        <v>13090</v>
      </c>
      <c r="C5814" s="34" t="s">
        <v>2998</v>
      </c>
      <c r="E5814" s="30" t="s">
        <v>13091</v>
      </c>
      <c r="F5814" s="34" t="n">
        <f aca="false">IFERROR(VLOOKUP($A5814,'319'!$B:$H,7,0),0)</f>
        <v>0</v>
      </c>
      <c r="G5814" s="34" t="n">
        <f aca="false">SUMIFS('12.326ana'!$C:$C,'12.326ana'!$M:$M,redes!A5814)</f>
        <v>0</v>
      </c>
    </row>
    <row r="5815" customFormat="false" ht="14.4" hidden="true" customHeight="false" outlineLevel="0" collapsed="false">
      <c r="A5815" s="34" t="n">
        <v>990853000118</v>
      </c>
      <c r="B5815" s="34" t="s">
        <v>13092</v>
      </c>
      <c r="C5815" s="34" t="s">
        <v>357</v>
      </c>
      <c r="E5815" s="30" t="s">
        <v>13093</v>
      </c>
      <c r="F5815" s="34" t="n">
        <f aca="false">IFERROR(VLOOKUP($A5815,'319'!$B:$H,7,0),0)</f>
        <v>0</v>
      </c>
      <c r="G5815" s="34" t="n">
        <f aca="false">SUMIFS('12.326ana'!$C:$C,'12.326ana'!$M:$M,redes!A5815)</f>
        <v>0</v>
      </c>
    </row>
    <row r="5816" customFormat="false" ht="14.4" hidden="true" customHeight="false" outlineLevel="0" collapsed="false">
      <c r="A5816" s="34" t="n">
        <v>991646000188</v>
      </c>
      <c r="B5816" s="34" t="s">
        <v>13094</v>
      </c>
      <c r="C5816" s="34" t="s">
        <v>77</v>
      </c>
      <c r="E5816" s="30" t="s">
        <v>13095</v>
      </c>
      <c r="F5816" s="34" t="n">
        <f aca="false">IFERROR(VLOOKUP($A5816,'319'!$B:$H,7,0),0)</f>
        <v>0</v>
      </c>
      <c r="G5816" s="34" t="n">
        <f aca="false">SUMIFS('12.326ana'!$C:$C,'12.326ana'!$M:$M,redes!A5816)</f>
        <v>0</v>
      </c>
    </row>
    <row r="5817" customFormat="false" ht="14.4" hidden="true" customHeight="false" outlineLevel="0" collapsed="false">
      <c r="A5817" s="34" t="n">
        <v>992206000145</v>
      </c>
      <c r="B5817" s="34" t="s">
        <v>8441</v>
      </c>
      <c r="C5817" s="34" t="s">
        <v>342</v>
      </c>
      <c r="E5817" s="30" t="s">
        <v>13096</v>
      </c>
      <c r="F5817" s="34" t="n">
        <f aca="false">IFERROR(VLOOKUP($A5817,'319'!$B:$H,7,0),0)</f>
        <v>0</v>
      </c>
      <c r="G5817" s="34" t="n">
        <f aca="false">SUMIFS('12.326ana'!$C:$C,'12.326ana'!$M:$M,redes!A5817)</f>
        <v>0</v>
      </c>
    </row>
    <row r="5818" customFormat="false" ht="14.4" hidden="true" customHeight="false" outlineLevel="0" collapsed="false">
      <c r="A5818" s="34" t="n">
        <v>992444000150</v>
      </c>
      <c r="B5818" s="34" t="s">
        <v>13097</v>
      </c>
      <c r="C5818" s="34" t="s">
        <v>77</v>
      </c>
      <c r="E5818" s="30" t="s">
        <v>13098</v>
      </c>
      <c r="F5818" s="34" t="n">
        <f aca="false">IFERROR(VLOOKUP($A5818,'319'!$B:$H,7,0),0)</f>
        <v>0</v>
      </c>
      <c r="G5818" s="34" t="n">
        <f aca="false">SUMIFS('12.326ana'!$C:$C,'12.326ana'!$M:$M,redes!A5818)</f>
        <v>0</v>
      </c>
    </row>
    <row r="5819" customFormat="false" ht="14.4" hidden="true" customHeight="false" outlineLevel="0" collapsed="false">
      <c r="A5819" s="34" t="n">
        <v>992454000196</v>
      </c>
      <c r="B5819" s="34" t="s">
        <v>13099</v>
      </c>
      <c r="C5819" s="34" t="s">
        <v>77</v>
      </c>
      <c r="E5819" s="30" t="s">
        <v>11333</v>
      </c>
      <c r="F5819" s="34" t="n">
        <f aca="false">IFERROR(VLOOKUP($A5819,'319'!$B:$H,7,0),0)</f>
        <v>0</v>
      </c>
      <c r="G5819" s="34" t="n">
        <f aca="false">SUMIFS('12.326ana'!$C:$C,'12.326ana'!$M:$M,redes!A5819)</f>
        <v>0</v>
      </c>
    </row>
    <row r="5820" customFormat="false" ht="14.4" hidden="true" customHeight="false" outlineLevel="0" collapsed="false">
      <c r="A5820" s="34" t="n">
        <v>992457000120</v>
      </c>
      <c r="B5820" s="34" t="s">
        <v>13100</v>
      </c>
      <c r="C5820" s="34" t="s">
        <v>737</v>
      </c>
      <c r="E5820" s="30" t="s">
        <v>13101</v>
      </c>
      <c r="F5820" s="34" t="n">
        <f aca="false">IFERROR(VLOOKUP($A5820,'319'!$B:$H,7,0),0)</f>
        <v>0</v>
      </c>
      <c r="G5820" s="34" t="n">
        <f aca="false">SUMIFS('12.326ana'!$C:$C,'12.326ana'!$M:$M,redes!A5820)</f>
        <v>0</v>
      </c>
    </row>
    <row r="5821" customFormat="false" ht="14.4" hidden="true" customHeight="false" outlineLevel="0" collapsed="false">
      <c r="A5821" s="34" t="n">
        <v>993592000190</v>
      </c>
      <c r="B5821" s="34" t="s">
        <v>13102</v>
      </c>
      <c r="C5821" s="34" t="s">
        <v>77</v>
      </c>
      <c r="E5821" s="30" t="s">
        <v>13103</v>
      </c>
      <c r="F5821" s="34" t="n">
        <f aca="false">IFERROR(VLOOKUP($A5821,'319'!$B:$H,7,0),0)</f>
        <v>0</v>
      </c>
      <c r="G5821" s="34" t="n">
        <f aca="false">SUMIFS('12.326ana'!$C:$C,'12.326ana'!$M:$M,redes!A5821)</f>
        <v>0</v>
      </c>
    </row>
    <row r="5822" customFormat="false" ht="14.4" hidden="true" customHeight="false" outlineLevel="0" collapsed="false">
      <c r="A5822" s="34" t="n">
        <v>993741000110</v>
      </c>
      <c r="B5822" s="34" t="s">
        <v>13104</v>
      </c>
      <c r="C5822" s="34" t="s">
        <v>475</v>
      </c>
      <c r="E5822" s="30" t="s">
        <v>13105</v>
      </c>
      <c r="F5822" s="34" t="n">
        <f aca="false">IFERROR(VLOOKUP($A5822,'319'!$B:$H,7,0),0)</f>
        <v>0</v>
      </c>
      <c r="G5822" s="34" t="n">
        <f aca="false">SUMIFS('12.326ana'!$C:$C,'12.326ana'!$M:$M,redes!A5822)</f>
        <v>0</v>
      </c>
    </row>
    <row r="5823" customFormat="false" ht="14.4" hidden="true" customHeight="false" outlineLevel="0" collapsed="false">
      <c r="A5823" s="34" t="n">
        <v>994277000187</v>
      </c>
      <c r="B5823" s="34" t="s">
        <v>13106</v>
      </c>
      <c r="C5823" s="34" t="s">
        <v>357</v>
      </c>
      <c r="E5823" s="30" t="s">
        <v>13107</v>
      </c>
      <c r="F5823" s="34" t="n">
        <f aca="false">IFERROR(VLOOKUP($A5823,'319'!$B:$H,7,0),0)</f>
        <v>0</v>
      </c>
      <c r="G5823" s="34" t="n">
        <f aca="false">SUMIFS('12.326ana'!$C:$C,'12.326ana'!$M:$M,redes!A5823)</f>
        <v>0</v>
      </c>
    </row>
    <row r="5824" customFormat="false" ht="14.4" hidden="true" customHeight="false" outlineLevel="0" collapsed="false">
      <c r="A5824" s="34" t="n">
        <v>994384000105</v>
      </c>
      <c r="B5824" s="34" t="s">
        <v>13108</v>
      </c>
      <c r="C5824" s="34" t="s">
        <v>77</v>
      </c>
      <c r="E5824" s="30" t="s">
        <v>13109</v>
      </c>
      <c r="F5824" s="34" t="n">
        <f aca="false">IFERROR(VLOOKUP($A5824,'319'!$B:$H,7,0),0)</f>
        <v>0</v>
      </c>
      <c r="G5824" s="34" t="n">
        <f aca="false">SUMIFS('12.326ana'!$C:$C,'12.326ana'!$M:$M,redes!A5824)</f>
        <v>0</v>
      </c>
    </row>
    <row r="5825" customFormat="false" ht="14.4" hidden="true" customHeight="false" outlineLevel="0" collapsed="false">
      <c r="A5825" s="34" t="n">
        <v>994426000108</v>
      </c>
      <c r="B5825" s="34" t="s">
        <v>13110</v>
      </c>
      <c r="C5825" s="34" t="s">
        <v>107</v>
      </c>
      <c r="E5825" s="30" t="s">
        <v>13111</v>
      </c>
      <c r="F5825" s="34" t="n">
        <f aca="false">IFERROR(VLOOKUP($A5825,'319'!$B:$H,7,0),0)</f>
        <v>0</v>
      </c>
      <c r="G5825" s="34" t="n">
        <f aca="false">SUMIFS('12.326ana'!$C:$C,'12.326ana'!$M:$M,redes!A5825)</f>
        <v>0</v>
      </c>
    </row>
    <row r="5826" customFormat="false" ht="14.4" hidden="true" customHeight="false" outlineLevel="0" collapsed="false">
      <c r="A5826" s="34" t="n">
        <v>994749000100</v>
      </c>
      <c r="B5826" s="34" t="s">
        <v>13112</v>
      </c>
      <c r="C5826" s="34" t="s">
        <v>77</v>
      </c>
      <c r="E5826" s="30" t="s">
        <v>7900</v>
      </c>
      <c r="F5826" s="34" t="n">
        <f aca="false">IFERROR(VLOOKUP($A5826,'319'!$B:$H,7,0),0)</f>
        <v>0</v>
      </c>
      <c r="G5826" s="34" t="n">
        <f aca="false">SUMIFS('12.326ana'!$C:$C,'12.326ana'!$M:$M,redes!A5826)</f>
        <v>0</v>
      </c>
    </row>
    <row r="5827" customFormat="false" ht="14.4" hidden="true" customHeight="false" outlineLevel="0" collapsed="false">
      <c r="A5827" s="34" t="n">
        <v>995134000190</v>
      </c>
      <c r="B5827" s="34" t="s">
        <v>13113</v>
      </c>
      <c r="C5827" s="34" t="s">
        <v>77</v>
      </c>
      <c r="E5827" s="30" t="s">
        <v>13114</v>
      </c>
      <c r="F5827" s="34" t="n">
        <f aca="false">IFERROR(VLOOKUP($A5827,'319'!$B:$H,7,0),0)</f>
        <v>0</v>
      </c>
      <c r="G5827" s="34" t="n">
        <f aca="false">SUMIFS('12.326ana'!$C:$C,'12.326ana'!$M:$M,redes!A5827)</f>
        <v>0</v>
      </c>
    </row>
    <row r="5828" customFormat="false" ht="14.4" hidden="true" customHeight="false" outlineLevel="0" collapsed="false">
      <c r="A5828" s="34" t="n">
        <v>995274000168</v>
      </c>
      <c r="B5828" s="34" t="s">
        <v>13115</v>
      </c>
      <c r="C5828" s="34" t="s">
        <v>77</v>
      </c>
      <c r="E5828" s="30" t="s">
        <v>13116</v>
      </c>
      <c r="F5828" s="34" t="n">
        <f aca="false">IFERROR(VLOOKUP($A5828,'319'!$B:$H,7,0),0)</f>
        <v>0</v>
      </c>
      <c r="G5828" s="34" t="n">
        <f aca="false">SUMIFS('12.326ana'!$C:$C,'12.326ana'!$M:$M,redes!A5828)</f>
        <v>0</v>
      </c>
    </row>
    <row r="5829" customFormat="false" ht="14.4" hidden="true" customHeight="false" outlineLevel="0" collapsed="false">
      <c r="A5829" s="34" t="n">
        <v>995498000170</v>
      </c>
      <c r="B5829" s="34" t="s">
        <v>13117</v>
      </c>
      <c r="C5829" s="34" t="s">
        <v>598</v>
      </c>
      <c r="E5829" s="30" t="s">
        <v>13118</v>
      </c>
      <c r="F5829" s="34" t="n">
        <f aca="false">IFERROR(VLOOKUP($A5829,'319'!$B:$H,7,0),0)</f>
        <v>0</v>
      </c>
      <c r="G5829" s="34" t="n">
        <f aca="false">SUMIFS('12.326ana'!$C:$C,'12.326ana'!$M:$M,redes!A5829)</f>
        <v>0</v>
      </c>
    </row>
    <row r="5830" customFormat="false" ht="14.4" hidden="true" customHeight="false" outlineLevel="0" collapsed="false">
      <c r="A5830" s="34" t="n">
        <v>995811000170</v>
      </c>
      <c r="B5830" s="34" t="s">
        <v>13119</v>
      </c>
      <c r="C5830" s="34" t="s">
        <v>77</v>
      </c>
      <c r="E5830" s="30" t="s">
        <v>13120</v>
      </c>
      <c r="F5830" s="34" t="n">
        <f aca="false">IFERROR(VLOOKUP($A5830,'319'!$B:$H,7,0),0)</f>
        <v>0</v>
      </c>
      <c r="G5830" s="34" t="n">
        <f aca="false">SUMIFS('12.326ana'!$C:$C,'12.326ana'!$M:$M,redes!A5830)</f>
        <v>0</v>
      </c>
    </row>
    <row r="5831" customFormat="false" ht="14.4" hidden="true" customHeight="false" outlineLevel="0" collapsed="false">
      <c r="A5831" s="34" t="n">
        <v>996187000125</v>
      </c>
      <c r="B5831" s="34" t="s">
        <v>13121</v>
      </c>
      <c r="C5831" s="34" t="s">
        <v>631</v>
      </c>
      <c r="D5831" s="34" t="s">
        <v>4797</v>
      </c>
      <c r="E5831" s="30" t="s">
        <v>13122</v>
      </c>
      <c r="F5831" s="34" t="n">
        <f aca="false">IFERROR(VLOOKUP($A5831,'319'!$B:$H,7,0),0)</f>
        <v>0</v>
      </c>
      <c r="G5831" s="34" t="n">
        <f aca="false">SUMIFS('12.326ana'!$C:$C,'12.326ana'!$M:$M,redes!A5831)</f>
        <v>0</v>
      </c>
    </row>
    <row r="5832" customFormat="false" ht="14.4" hidden="true" customHeight="false" outlineLevel="0" collapsed="false">
      <c r="A5832" s="34" t="n">
        <v>998303000145</v>
      </c>
      <c r="B5832" s="34" t="s">
        <v>13123</v>
      </c>
      <c r="C5832" s="34" t="s">
        <v>342</v>
      </c>
      <c r="E5832" s="30" t="s">
        <v>13124</v>
      </c>
      <c r="F5832" s="34" t="n">
        <f aca="false">IFERROR(VLOOKUP($A5832,'319'!$B:$H,7,0),0)</f>
        <v>0</v>
      </c>
      <c r="G5832" s="34" t="n">
        <f aca="false">SUMIFS('12.326ana'!$C:$C,'12.326ana'!$M:$M,redes!A5832)</f>
        <v>0</v>
      </c>
    </row>
    <row r="5833" customFormat="false" ht="14.4" hidden="true" customHeight="false" outlineLevel="0" collapsed="false">
      <c r="A5833" s="34" t="n">
        <v>1003966000145</v>
      </c>
      <c r="B5833" s="34" t="s">
        <v>13125</v>
      </c>
      <c r="C5833" s="34" t="s">
        <v>1272</v>
      </c>
      <c r="E5833" s="30" t="s">
        <v>12690</v>
      </c>
      <c r="F5833" s="34" t="n">
        <f aca="false">IFERROR(VLOOKUP($A5833,'319'!$B:$H,7,0),0)</f>
        <v>0</v>
      </c>
      <c r="G5833" s="34" t="n">
        <f aca="false">SUMIFS('12.326ana'!$C:$C,'12.326ana'!$M:$M,redes!A5833)</f>
        <v>0</v>
      </c>
    </row>
    <row r="5834" customFormat="false" ht="14.4" hidden="true" customHeight="false" outlineLevel="0" collapsed="false">
      <c r="A5834" s="34" t="n">
        <v>1006306000118</v>
      </c>
      <c r="B5834" s="34" t="s">
        <v>13126</v>
      </c>
      <c r="C5834" s="34" t="s">
        <v>77</v>
      </c>
      <c r="E5834" s="30" t="s">
        <v>13127</v>
      </c>
      <c r="F5834" s="34" t="n">
        <f aca="false">IFERROR(VLOOKUP($A5834,'319'!$B:$H,7,0),0)</f>
        <v>0</v>
      </c>
      <c r="G5834" s="34" t="n">
        <f aca="false">SUMIFS('12.326ana'!$C:$C,'12.326ana'!$M:$M,redes!A5834)</f>
        <v>0</v>
      </c>
    </row>
    <row r="5835" customFormat="false" ht="14.4" hidden="true" customHeight="false" outlineLevel="0" collapsed="false">
      <c r="A5835" s="34" t="n">
        <v>1006315000109</v>
      </c>
      <c r="B5835" s="34" t="s">
        <v>13128</v>
      </c>
      <c r="C5835" s="34" t="s">
        <v>117</v>
      </c>
      <c r="E5835" s="30" t="s">
        <v>4499</v>
      </c>
      <c r="F5835" s="34" t="n">
        <f aca="false">IFERROR(VLOOKUP($A5835,'319'!$B:$H,7,0),0)</f>
        <v>0</v>
      </c>
      <c r="G5835" s="34" t="n">
        <f aca="false">SUMIFS('12.326ana'!$C:$C,'12.326ana'!$M:$M,redes!A5835)</f>
        <v>0</v>
      </c>
    </row>
    <row r="5836" customFormat="false" ht="14.4" hidden="true" customHeight="false" outlineLevel="0" collapsed="false">
      <c r="A5836" s="34" t="n">
        <v>1006324000108</v>
      </c>
      <c r="B5836" s="34" t="s">
        <v>13129</v>
      </c>
      <c r="C5836" s="34" t="s">
        <v>77</v>
      </c>
      <c r="E5836" s="30" t="s">
        <v>13130</v>
      </c>
      <c r="F5836" s="34" t="n">
        <f aca="false">IFERROR(VLOOKUP($A5836,'319'!$B:$H,7,0),0)</f>
        <v>0</v>
      </c>
      <c r="G5836" s="34" t="n">
        <f aca="false">SUMIFS('12.326ana'!$C:$C,'12.326ana'!$M:$M,redes!A5836)</f>
        <v>0</v>
      </c>
    </row>
    <row r="5837" customFormat="false" ht="14.4" hidden="true" customHeight="false" outlineLevel="0" collapsed="false">
      <c r="A5837" s="34" t="n">
        <v>1006328000188</v>
      </c>
      <c r="B5837" s="34" t="s">
        <v>13131</v>
      </c>
      <c r="C5837" s="34" t="s">
        <v>77</v>
      </c>
      <c r="E5837" s="30" t="s">
        <v>13132</v>
      </c>
      <c r="F5837" s="34" t="n">
        <f aca="false">IFERROR(VLOOKUP($A5837,'319'!$B:$H,7,0),0)</f>
        <v>0</v>
      </c>
      <c r="G5837" s="34" t="n">
        <f aca="false">SUMIFS('12.326ana'!$C:$C,'12.326ana'!$M:$M,redes!A5837)</f>
        <v>0</v>
      </c>
    </row>
    <row r="5838" customFormat="false" ht="14.4" hidden="true" customHeight="false" outlineLevel="0" collapsed="false">
      <c r="A5838" s="35" t="n">
        <v>1010310000150</v>
      </c>
      <c r="B5838" s="34" t="s">
        <v>13133</v>
      </c>
      <c r="C5838" s="34" t="s">
        <v>107</v>
      </c>
      <c r="E5838" s="30" t="s">
        <v>13134</v>
      </c>
      <c r="F5838" s="34" t="n">
        <f aca="false">IFERROR(VLOOKUP($A5838,'319'!$B:$H,7,0),0)</f>
        <v>0</v>
      </c>
      <c r="G5838" s="34" t="n">
        <f aca="false">SUMIFS('12.326ana'!$C:$C,'12.326ana'!$M:$M,redes!A5838)</f>
        <v>0</v>
      </c>
    </row>
    <row r="5839" customFormat="false" ht="14.4" hidden="true" customHeight="false" outlineLevel="0" collapsed="false">
      <c r="A5839" s="34" t="n">
        <v>1010314000138</v>
      </c>
      <c r="B5839" s="34" t="s">
        <v>13135</v>
      </c>
      <c r="C5839" s="34" t="s">
        <v>77</v>
      </c>
      <c r="E5839" s="30" t="s">
        <v>13136</v>
      </c>
      <c r="F5839" s="34" t="n">
        <f aca="false">IFERROR(VLOOKUP($A5839,'319'!$B:$H,7,0),0)</f>
        <v>0</v>
      </c>
      <c r="G5839" s="34" t="n">
        <f aca="false">SUMIFS('12.326ana'!$C:$C,'12.326ana'!$M:$M,redes!A5839)</f>
        <v>0</v>
      </c>
    </row>
    <row r="5840" customFormat="false" ht="14.4" hidden="true" customHeight="false" outlineLevel="0" collapsed="false">
      <c r="A5840" s="34" t="n">
        <v>1010335000153</v>
      </c>
      <c r="B5840" s="34" t="s">
        <v>13137</v>
      </c>
      <c r="C5840" s="34" t="s">
        <v>4139</v>
      </c>
      <c r="D5840" s="34" t="s">
        <v>4797</v>
      </c>
      <c r="E5840" s="30" t="s">
        <v>13138</v>
      </c>
      <c r="F5840" s="34" t="n">
        <f aca="false">IFERROR(VLOOKUP($A5840,'319'!$B:$H,7,0),0)</f>
        <v>0</v>
      </c>
      <c r="G5840" s="34" t="n">
        <f aca="false">SUMIFS('12.326ana'!$C:$C,'12.326ana'!$M:$M,redes!A5840)</f>
        <v>0</v>
      </c>
    </row>
    <row r="5841" customFormat="false" ht="14.4" hidden="true" customHeight="false" outlineLevel="0" collapsed="false">
      <c r="A5841" s="34" t="n">
        <v>1013158000169</v>
      </c>
      <c r="B5841" s="34" t="s">
        <v>13139</v>
      </c>
      <c r="C5841" s="34" t="s">
        <v>139</v>
      </c>
      <c r="E5841" s="30" t="s">
        <v>13140</v>
      </c>
      <c r="F5841" s="34" t="n">
        <f aca="false">IFERROR(VLOOKUP($A5841,'319'!$B:$H,7,0),0)</f>
        <v>0</v>
      </c>
      <c r="G5841" s="34" t="n">
        <f aca="false">SUMIFS('12.326ana'!$C:$C,'12.326ana'!$M:$M,redes!A5841)</f>
        <v>0</v>
      </c>
    </row>
    <row r="5842" customFormat="false" ht="14.4" hidden="true" customHeight="false" outlineLevel="0" collapsed="false">
      <c r="A5842" s="34" t="n">
        <v>1014600000171</v>
      </c>
      <c r="B5842" s="34" t="s">
        <v>13141</v>
      </c>
      <c r="C5842" s="34" t="s">
        <v>77</v>
      </c>
      <c r="D5842" s="34" t="s">
        <v>33</v>
      </c>
      <c r="E5842" s="30" t="s">
        <v>13142</v>
      </c>
      <c r="F5842" s="34" t="n">
        <f aca="false">IFERROR(VLOOKUP($A5842,'319'!$B:$H,7,0),0)</f>
        <v>0</v>
      </c>
      <c r="G5842" s="34" t="n">
        <f aca="false">SUMIFS('12.326ana'!$C:$C,'12.326ana'!$M:$M,redes!A5842)</f>
        <v>0</v>
      </c>
    </row>
    <row r="5843" customFormat="false" ht="14.4" hidden="true" customHeight="false" outlineLevel="0" collapsed="false">
      <c r="A5843" s="34" t="n">
        <v>1014600000252</v>
      </c>
      <c r="B5843" s="34" t="s">
        <v>13141</v>
      </c>
      <c r="C5843" s="34" t="s">
        <v>77</v>
      </c>
      <c r="E5843" s="30" t="s">
        <v>13142</v>
      </c>
      <c r="F5843" s="34" t="n">
        <f aca="false">IFERROR(VLOOKUP($A5843,'319'!$B:$H,7,0),0)</f>
        <v>0</v>
      </c>
      <c r="G5843" s="34" t="n">
        <f aca="false">SUMIFS('12.326ana'!$C:$C,'12.326ana'!$M:$M,redes!A5843)</f>
        <v>0</v>
      </c>
    </row>
    <row r="5844" customFormat="false" ht="14.4" hidden="true" customHeight="false" outlineLevel="0" collapsed="false">
      <c r="A5844" s="34" t="n">
        <v>1014689000176</v>
      </c>
      <c r="B5844" s="34" t="s">
        <v>13143</v>
      </c>
      <c r="C5844" s="34" t="s">
        <v>546</v>
      </c>
      <c r="E5844" s="30" t="s">
        <v>13144</v>
      </c>
      <c r="F5844" s="34" t="n">
        <f aca="false">IFERROR(VLOOKUP($A5844,'319'!$B:$H,7,0),0)</f>
        <v>0</v>
      </c>
      <c r="G5844" s="34" t="n">
        <f aca="false">SUMIFS('12.326ana'!$C:$C,'12.326ana'!$M:$M,redes!A5844)</f>
        <v>0</v>
      </c>
    </row>
    <row r="5845" customFormat="false" ht="14.4" hidden="true" customHeight="false" outlineLevel="0" collapsed="false">
      <c r="A5845" s="34" t="n">
        <v>1016179000138</v>
      </c>
      <c r="B5845" s="34" t="s">
        <v>13145</v>
      </c>
      <c r="C5845" s="34" t="s">
        <v>89</v>
      </c>
      <c r="E5845" s="30" t="s">
        <v>13146</v>
      </c>
      <c r="F5845" s="34" t="n">
        <f aca="false">IFERROR(VLOOKUP($A5845,'319'!$B:$H,7,0),0)</f>
        <v>0</v>
      </c>
      <c r="G5845" s="34" t="n">
        <f aca="false">SUMIFS('12.326ana'!$C:$C,'12.326ana'!$M:$M,redes!A5845)</f>
        <v>0</v>
      </c>
    </row>
    <row r="5846" customFormat="false" ht="14.4" hidden="true" customHeight="false" outlineLevel="0" collapsed="false">
      <c r="A5846" s="34" t="n">
        <v>1016664000101</v>
      </c>
      <c r="B5846" s="34" t="s">
        <v>13147</v>
      </c>
      <c r="C5846" s="34" t="s">
        <v>336</v>
      </c>
      <c r="E5846" s="30" t="s">
        <v>6944</v>
      </c>
      <c r="F5846" s="34" t="n">
        <f aca="false">IFERROR(VLOOKUP($A5846,'319'!$B:$H,7,0),0)</f>
        <v>0</v>
      </c>
      <c r="G5846" s="34" t="n">
        <f aca="false">SUMIFS('12.326ana'!$C:$C,'12.326ana'!$M:$M,redes!A5846)</f>
        <v>0</v>
      </c>
    </row>
    <row r="5847" customFormat="false" ht="14.4" hidden="true" customHeight="false" outlineLevel="0" collapsed="false">
      <c r="A5847" s="34" t="n">
        <v>1016671000103</v>
      </c>
      <c r="B5847" s="34" t="s">
        <v>13148</v>
      </c>
      <c r="C5847" s="34" t="s">
        <v>77</v>
      </c>
      <c r="E5847" s="30" t="s">
        <v>5015</v>
      </c>
      <c r="F5847" s="34" t="n">
        <f aca="false">IFERROR(VLOOKUP($A5847,'319'!$B:$H,7,0),0)</f>
        <v>0</v>
      </c>
      <c r="G5847" s="34" t="n">
        <f aca="false">SUMIFS('12.326ana'!$C:$C,'12.326ana'!$M:$M,redes!A5847)</f>
        <v>0</v>
      </c>
    </row>
    <row r="5848" customFormat="false" ht="14.4" hidden="true" customHeight="false" outlineLevel="0" collapsed="false">
      <c r="A5848" s="34" t="n">
        <v>1020637000102</v>
      </c>
      <c r="B5848" s="34" t="s">
        <v>13149</v>
      </c>
      <c r="C5848" s="34" t="s">
        <v>77</v>
      </c>
      <c r="E5848" s="30" t="s">
        <v>13150</v>
      </c>
      <c r="F5848" s="34" t="n">
        <f aca="false">IFERROR(VLOOKUP($A5848,'319'!$B:$H,7,0),0)</f>
        <v>0</v>
      </c>
      <c r="G5848" s="34" t="n">
        <f aca="false">SUMIFS('12.326ana'!$C:$C,'12.326ana'!$M:$M,redes!A5848)</f>
        <v>0</v>
      </c>
    </row>
    <row r="5849" customFormat="false" ht="14.4" hidden="true" customHeight="false" outlineLevel="0" collapsed="false">
      <c r="A5849" s="34" t="n">
        <v>1023152000172</v>
      </c>
      <c r="B5849" s="34" t="s">
        <v>6903</v>
      </c>
      <c r="C5849" s="34" t="s">
        <v>77</v>
      </c>
      <c r="E5849" s="30" t="s">
        <v>6169</v>
      </c>
      <c r="F5849" s="34" t="n">
        <f aca="false">IFERROR(VLOOKUP($A5849,'319'!$B:$H,7,0),0)</f>
        <v>0</v>
      </c>
      <c r="G5849" s="34" t="n">
        <f aca="false">SUMIFS('12.326ana'!$C:$C,'12.326ana'!$M:$M,redes!A5849)</f>
        <v>0</v>
      </c>
    </row>
    <row r="5850" customFormat="false" ht="14.4" hidden="true" customHeight="false" outlineLevel="0" collapsed="false">
      <c r="A5850" s="34" t="n">
        <v>1028821000107</v>
      </c>
      <c r="B5850" s="34" t="s">
        <v>13151</v>
      </c>
      <c r="C5850" s="34" t="s">
        <v>631</v>
      </c>
      <c r="E5850" s="30" t="s">
        <v>13152</v>
      </c>
      <c r="F5850" s="34" t="n">
        <f aca="false">IFERROR(VLOOKUP($A5850,'319'!$B:$H,7,0),0)</f>
        <v>0</v>
      </c>
      <c r="G5850" s="34" t="n">
        <f aca="false">SUMIFS('12.326ana'!$C:$C,'12.326ana'!$M:$M,redes!A5850)</f>
        <v>0</v>
      </c>
    </row>
    <row r="5851" customFormat="false" ht="14.4" hidden="true" customHeight="false" outlineLevel="0" collapsed="false">
      <c r="A5851" s="34" t="n">
        <v>1038148000188</v>
      </c>
      <c r="B5851" s="34" t="s">
        <v>13153</v>
      </c>
      <c r="C5851" s="34" t="s">
        <v>77</v>
      </c>
      <c r="E5851" s="30" t="s">
        <v>13154</v>
      </c>
      <c r="F5851" s="34" t="n">
        <f aca="false">IFERROR(VLOOKUP($A5851,'319'!$B:$H,7,0),0)</f>
        <v>0</v>
      </c>
      <c r="G5851" s="34" t="n">
        <f aca="false">SUMIFS('12.326ana'!$C:$C,'12.326ana'!$M:$M,redes!A5851)</f>
        <v>0</v>
      </c>
    </row>
    <row r="5852" customFormat="false" ht="14.4" hidden="true" customHeight="false" outlineLevel="0" collapsed="false">
      <c r="A5852" s="34" t="n">
        <v>1040572000167</v>
      </c>
      <c r="B5852" s="34" t="s">
        <v>13155</v>
      </c>
      <c r="C5852" s="34" t="s">
        <v>107</v>
      </c>
      <c r="E5852" s="30" t="s">
        <v>13156</v>
      </c>
      <c r="F5852" s="34" t="n">
        <f aca="false">IFERROR(VLOOKUP($A5852,'319'!$B:$H,7,0),0)</f>
        <v>0</v>
      </c>
      <c r="G5852" s="34" t="n">
        <f aca="false">SUMIFS('12.326ana'!$C:$C,'12.326ana'!$M:$M,redes!A5852)</f>
        <v>0</v>
      </c>
    </row>
    <row r="5853" customFormat="false" ht="14.4" hidden="true" customHeight="false" outlineLevel="0" collapsed="false">
      <c r="A5853" s="34" t="n">
        <v>1042839000155</v>
      </c>
      <c r="B5853" s="34" t="s">
        <v>13157</v>
      </c>
      <c r="C5853" s="34" t="s">
        <v>77</v>
      </c>
      <c r="E5853" s="30" t="s">
        <v>13158</v>
      </c>
      <c r="F5853" s="34" t="n">
        <f aca="false">IFERROR(VLOOKUP($A5853,'319'!$B:$H,7,0),0)</f>
        <v>0</v>
      </c>
      <c r="G5853" s="34" t="n">
        <f aca="false">SUMIFS('12.326ana'!$C:$C,'12.326ana'!$M:$M,redes!A5853)</f>
        <v>0</v>
      </c>
    </row>
    <row r="5854" customFormat="false" ht="14.4" hidden="true" customHeight="false" outlineLevel="0" collapsed="false">
      <c r="A5854" s="34" t="n">
        <v>1045614000152</v>
      </c>
      <c r="B5854" s="34" t="s">
        <v>13159</v>
      </c>
      <c r="C5854" s="34" t="s">
        <v>77</v>
      </c>
      <c r="E5854" s="30" t="s">
        <v>13160</v>
      </c>
      <c r="F5854" s="34" t="n">
        <f aca="false">IFERROR(VLOOKUP($A5854,'319'!$B:$H,7,0),0)</f>
        <v>0</v>
      </c>
      <c r="G5854" s="34" t="n">
        <f aca="false">SUMIFS('12.326ana'!$C:$C,'12.326ana'!$M:$M,redes!A5854)</f>
        <v>0</v>
      </c>
    </row>
    <row r="5855" customFormat="false" ht="14.4" hidden="true" customHeight="false" outlineLevel="0" collapsed="false">
      <c r="A5855" s="34" t="n">
        <v>1048245000151</v>
      </c>
      <c r="B5855" s="34" t="s">
        <v>13161</v>
      </c>
      <c r="C5855" s="34" t="s">
        <v>107</v>
      </c>
      <c r="E5855" s="30" t="s">
        <v>13161</v>
      </c>
      <c r="F5855" s="34" t="n">
        <f aca="false">IFERROR(VLOOKUP($A5855,'319'!$B:$H,7,0),0)</f>
        <v>0</v>
      </c>
      <c r="G5855" s="34" t="n">
        <f aca="false">SUMIFS('12.326ana'!$C:$C,'12.326ana'!$M:$M,redes!A5855)</f>
        <v>0</v>
      </c>
    </row>
    <row r="5856" customFormat="false" ht="14.4" hidden="true" customHeight="false" outlineLevel="0" collapsed="false">
      <c r="A5856" s="34" t="n">
        <v>1048285000101</v>
      </c>
      <c r="B5856" s="34" t="s">
        <v>13162</v>
      </c>
      <c r="C5856" s="34" t="s">
        <v>336</v>
      </c>
      <c r="E5856" s="30" t="s">
        <v>13163</v>
      </c>
      <c r="F5856" s="34" t="n">
        <f aca="false">IFERROR(VLOOKUP($A5856,'319'!$B:$H,7,0),0)</f>
        <v>0</v>
      </c>
      <c r="G5856" s="34" t="n">
        <f aca="false">SUMIFS('12.326ana'!$C:$C,'12.326ana'!$M:$M,redes!A5856)</f>
        <v>0</v>
      </c>
    </row>
    <row r="5857" customFormat="false" ht="14.4" hidden="true" customHeight="false" outlineLevel="0" collapsed="false">
      <c r="A5857" s="34" t="n">
        <v>1049992000104</v>
      </c>
      <c r="B5857" s="34" t="s">
        <v>13164</v>
      </c>
      <c r="C5857" s="34" t="s">
        <v>464</v>
      </c>
      <c r="E5857" s="30" t="s">
        <v>13165</v>
      </c>
      <c r="F5857" s="34" t="n">
        <f aca="false">IFERROR(VLOOKUP($A5857,'319'!$B:$H,7,0),0)</f>
        <v>0</v>
      </c>
      <c r="G5857" s="34" t="n">
        <f aca="false">SUMIFS('12.326ana'!$C:$C,'12.326ana'!$M:$M,redes!A5857)</f>
        <v>0</v>
      </c>
    </row>
    <row r="5858" customFormat="false" ht="14.4" hidden="true" customHeight="false" outlineLevel="0" collapsed="false">
      <c r="A5858" s="34" t="n">
        <v>1055768000125</v>
      </c>
      <c r="B5858" s="34" t="s">
        <v>13166</v>
      </c>
      <c r="C5858" s="34" t="s">
        <v>744</v>
      </c>
      <c r="E5858" s="30" t="s">
        <v>13167</v>
      </c>
      <c r="F5858" s="34" t="n">
        <f aca="false">IFERROR(VLOOKUP($A5858,'319'!$B:$H,7,0),0)</f>
        <v>0</v>
      </c>
      <c r="G5858" s="34" t="n">
        <f aca="false">SUMIFS('12.326ana'!$C:$C,'12.326ana'!$M:$M,redes!A5858)</f>
        <v>0</v>
      </c>
    </row>
    <row r="5859" customFormat="false" ht="14.4" hidden="true" customHeight="false" outlineLevel="0" collapsed="false">
      <c r="A5859" s="34" t="n">
        <v>1057615000117</v>
      </c>
      <c r="B5859" s="34" t="s">
        <v>13168</v>
      </c>
      <c r="C5859" s="34" t="s">
        <v>77</v>
      </c>
      <c r="E5859" s="30" t="s">
        <v>10133</v>
      </c>
      <c r="F5859" s="34" t="n">
        <f aca="false">IFERROR(VLOOKUP($A5859,'319'!$B:$H,7,0),0)</f>
        <v>0</v>
      </c>
      <c r="G5859" s="34" t="n">
        <f aca="false">SUMIFS('12.326ana'!$C:$C,'12.326ana'!$M:$M,redes!A5859)</f>
        <v>0</v>
      </c>
    </row>
    <row r="5860" customFormat="false" ht="14.4" hidden="true" customHeight="false" outlineLevel="0" collapsed="false">
      <c r="A5860" s="34" t="n">
        <v>1059535000109</v>
      </c>
      <c r="B5860" s="34" t="s">
        <v>13169</v>
      </c>
      <c r="C5860" s="34" t="s">
        <v>89</v>
      </c>
      <c r="E5860" s="30" t="s">
        <v>13170</v>
      </c>
      <c r="F5860" s="34" t="n">
        <f aca="false">IFERROR(VLOOKUP($A5860,'319'!$B:$H,7,0),0)</f>
        <v>0</v>
      </c>
      <c r="G5860" s="34" t="n">
        <f aca="false">SUMIFS('12.326ana'!$C:$C,'12.326ana'!$M:$M,redes!A5860)</f>
        <v>0</v>
      </c>
    </row>
    <row r="5861" customFormat="false" ht="14.4" hidden="true" customHeight="false" outlineLevel="0" collapsed="false">
      <c r="A5861" s="34" t="n">
        <v>1062171000108</v>
      </c>
      <c r="B5861" s="34" t="s">
        <v>13171</v>
      </c>
      <c r="C5861" s="34" t="s">
        <v>77</v>
      </c>
      <c r="E5861" s="30" t="s">
        <v>13172</v>
      </c>
      <c r="F5861" s="34" t="n">
        <f aca="false">IFERROR(VLOOKUP($A5861,'319'!$B:$H,7,0),0)</f>
        <v>0</v>
      </c>
      <c r="G5861" s="34" t="n">
        <f aca="false">SUMIFS('12.326ana'!$C:$C,'12.326ana'!$M:$M,redes!A5861)</f>
        <v>0</v>
      </c>
    </row>
    <row r="5862" customFormat="false" ht="14.4" hidden="true" customHeight="false" outlineLevel="0" collapsed="false">
      <c r="A5862" s="34" t="n">
        <v>1064671000189</v>
      </c>
      <c r="B5862" s="34" t="s">
        <v>13173</v>
      </c>
      <c r="C5862" s="34" t="s">
        <v>77</v>
      </c>
      <c r="E5862" s="30" t="s">
        <v>13174</v>
      </c>
      <c r="F5862" s="34" t="n">
        <f aca="false">IFERROR(VLOOKUP($A5862,'319'!$B:$H,7,0),0)</f>
        <v>0</v>
      </c>
      <c r="G5862" s="34" t="n">
        <f aca="false">SUMIFS('12.326ana'!$C:$C,'12.326ana'!$M:$M,redes!A5862)</f>
        <v>0</v>
      </c>
    </row>
    <row r="5863" customFormat="false" ht="14.4" hidden="true" customHeight="false" outlineLevel="0" collapsed="false">
      <c r="A5863" s="34" t="n">
        <v>1068856000161</v>
      </c>
      <c r="B5863" s="34" t="s">
        <v>13175</v>
      </c>
      <c r="C5863" s="34" t="s">
        <v>107</v>
      </c>
      <c r="E5863" s="30" t="s">
        <v>13176</v>
      </c>
      <c r="F5863" s="34" t="n">
        <f aca="false">IFERROR(VLOOKUP($A5863,'319'!$B:$H,7,0),0)</f>
        <v>0</v>
      </c>
      <c r="G5863" s="34" t="n">
        <f aca="false">SUMIFS('12.326ana'!$C:$C,'12.326ana'!$M:$M,redes!A5863)</f>
        <v>0</v>
      </c>
    </row>
    <row r="5864" customFormat="false" ht="14.4" hidden="true" customHeight="false" outlineLevel="0" collapsed="false">
      <c r="A5864" s="34" t="n">
        <v>1071517000134</v>
      </c>
      <c r="B5864" s="34" t="s">
        <v>13177</v>
      </c>
      <c r="C5864" s="34" t="s">
        <v>197</v>
      </c>
      <c r="E5864" s="30" t="s">
        <v>13178</v>
      </c>
      <c r="F5864" s="34" t="n">
        <f aca="false">IFERROR(VLOOKUP($A5864,'319'!$B:$H,7,0),0)</f>
        <v>0</v>
      </c>
      <c r="G5864" s="34" t="n">
        <f aca="false">SUMIFS('12.326ana'!$C:$C,'12.326ana'!$M:$M,redes!A5864)</f>
        <v>0</v>
      </c>
    </row>
    <row r="5865" customFormat="false" ht="14.4" hidden="true" customHeight="false" outlineLevel="0" collapsed="false">
      <c r="A5865" s="34" t="n">
        <v>1071528000114</v>
      </c>
      <c r="B5865" s="34" t="s">
        <v>13179</v>
      </c>
      <c r="C5865" s="34" t="s">
        <v>309</v>
      </c>
      <c r="E5865" s="30" t="s">
        <v>13180</v>
      </c>
      <c r="F5865" s="34" t="n">
        <f aca="false">IFERROR(VLOOKUP($A5865,'319'!$B:$H,7,0),0)</f>
        <v>0</v>
      </c>
      <c r="G5865" s="34" t="n">
        <f aca="false">SUMIFS('12.326ana'!$C:$C,'12.326ana'!$M:$M,redes!A5865)</f>
        <v>0</v>
      </c>
    </row>
    <row r="5866" customFormat="false" ht="14.4" hidden="true" customHeight="false" outlineLevel="0" collapsed="false">
      <c r="A5866" s="34" t="n">
        <v>1071544000107</v>
      </c>
      <c r="B5866" s="34" t="s">
        <v>13181</v>
      </c>
      <c r="C5866" s="34" t="s">
        <v>737</v>
      </c>
      <c r="E5866" s="30" t="s">
        <v>13182</v>
      </c>
      <c r="F5866" s="34" t="n">
        <f aca="false">IFERROR(VLOOKUP($A5866,'319'!$B:$H,7,0),0)</f>
        <v>0</v>
      </c>
      <c r="G5866" s="34" t="n">
        <f aca="false">SUMIFS('12.326ana'!$C:$C,'12.326ana'!$M:$M,redes!A5866)</f>
        <v>0</v>
      </c>
    </row>
    <row r="5867" customFormat="false" ht="14.4" hidden="true" customHeight="false" outlineLevel="0" collapsed="false">
      <c r="A5867" s="34" t="n">
        <v>1077148000197</v>
      </c>
      <c r="B5867" s="34" t="s">
        <v>13183</v>
      </c>
      <c r="C5867" s="34" t="s">
        <v>342</v>
      </c>
      <c r="E5867" s="30" t="s">
        <v>13184</v>
      </c>
      <c r="F5867" s="34" t="n">
        <f aca="false">IFERROR(VLOOKUP($A5867,'319'!$B:$H,7,0),0)</f>
        <v>0</v>
      </c>
      <c r="G5867" s="34" t="n">
        <f aca="false">SUMIFS('12.326ana'!$C:$C,'12.326ana'!$M:$M,redes!A5867)</f>
        <v>0</v>
      </c>
    </row>
    <row r="5868" customFormat="false" ht="14.4" hidden="true" customHeight="false" outlineLevel="0" collapsed="false">
      <c r="A5868" s="34" t="n">
        <v>1077205000138</v>
      </c>
      <c r="B5868" s="34" t="s">
        <v>13185</v>
      </c>
      <c r="C5868" s="34" t="s">
        <v>77</v>
      </c>
      <c r="E5868" s="30" t="s">
        <v>13186</v>
      </c>
      <c r="F5868" s="34" t="n">
        <f aca="false">IFERROR(VLOOKUP($A5868,'319'!$B:$H,7,0),0)</f>
        <v>0</v>
      </c>
      <c r="G5868" s="34" t="n">
        <f aca="false">SUMIFS('12.326ana'!$C:$C,'12.326ana'!$M:$M,redes!A5868)</f>
        <v>0</v>
      </c>
    </row>
    <row r="5869" customFormat="false" ht="14.4" hidden="true" customHeight="false" outlineLevel="0" collapsed="false">
      <c r="A5869" s="34" t="n">
        <v>1077270000163</v>
      </c>
      <c r="B5869" s="34" t="s">
        <v>13187</v>
      </c>
      <c r="C5869" s="34" t="s">
        <v>604</v>
      </c>
      <c r="E5869" s="30" t="s">
        <v>13188</v>
      </c>
      <c r="F5869" s="34" t="n">
        <f aca="false">IFERROR(VLOOKUP($A5869,'319'!$B:$H,7,0),0)</f>
        <v>0</v>
      </c>
      <c r="G5869" s="34" t="n">
        <f aca="false">SUMIFS('12.326ana'!$C:$C,'12.326ana'!$M:$M,redes!A5869)</f>
        <v>0</v>
      </c>
    </row>
    <row r="5870" customFormat="false" ht="14.4" hidden="true" customHeight="false" outlineLevel="0" collapsed="false">
      <c r="A5870" s="34" t="n">
        <v>1077320000102</v>
      </c>
      <c r="B5870" s="34" t="s">
        <v>13189</v>
      </c>
      <c r="C5870" s="34" t="s">
        <v>1054</v>
      </c>
      <c r="E5870" s="30" t="s">
        <v>13190</v>
      </c>
      <c r="F5870" s="34" t="n">
        <f aca="false">IFERROR(VLOOKUP($A5870,'319'!$B:$H,7,0),0)</f>
        <v>0</v>
      </c>
      <c r="G5870" s="34" t="n">
        <f aca="false">SUMIFS('12.326ana'!$C:$C,'12.326ana'!$M:$M,redes!A5870)</f>
        <v>0</v>
      </c>
    </row>
    <row r="5871" customFormat="false" ht="14.4" hidden="true" customHeight="false" outlineLevel="0" collapsed="false">
      <c r="A5871" s="34" t="n">
        <v>1078054000132</v>
      </c>
      <c r="B5871" s="34" t="s">
        <v>13191</v>
      </c>
      <c r="C5871" s="34" t="s">
        <v>473</v>
      </c>
      <c r="E5871" s="30" t="s">
        <v>13192</v>
      </c>
      <c r="F5871" s="34" t="n">
        <f aca="false">IFERROR(VLOOKUP($A5871,'319'!$B:$H,7,0),0)</f>
        <v>0</v>
      </c>
      <c r="G5871" s="34" t="n">
        <f aca="false">SUMIFS('12.326ana'!$C:$C,'12.326ana'!$M:$M,redes!A5871)</f>
        <v>0</v>
      </c>
    </row>
    <row r="5872" customFormat="false" ht="14.4" hidden="true" customHeight="false" outlineLevel="0" collapsed="false">
      <c r="A5872" s="34" t="n">
        <v>1078403000116</v>
      </c>
      <c r="B5872" s="34" t="s">
        <v>13193</v>
      </c>
      <c r="C5872" s="34" t="s">
        <v>77</v>
      </c>
      <c r="E5872" s="30" t="s">
        <v>7576</v>
      </c>
      <c r="F5872" s="34" t="n">
        <f aca="false">IFERROR(VLOOKUP($A5872,'319'!$B:$H,7,0),0)</f>
        <v>0</v>
      </c>
      <c r="G5872" s="34" t="n">
        <f aca="false">SUMIFS('12.326ana'!$C:$C,'12.326ana'!$M:$M,redes!A5872)</f>
        <v>0</v>
      </c>
    </row>
    <row r="5873" customFormat="false" ht="14.4" hidden="true" customHeight="false" outlineLevel="0" collapsed="false">
      <c r="A5873" s="34" t="n">
        <v>1079167000152</v>
      </c>
      <c r="B5873" s="34" t="s">
        <v>13194</v>
      </c>
      <c r="C5873" s="34" t="s">
        <v>721</v>
      </c>
      <c r="E5873" s="30" t="s">
        <v>13195</v>
      </c>
      <c r="F5873" s="34" t="n">
        <f aca="false">IFERROR(VLOOKUP($A5873,'319'!$B:$H,7,0),0)</f>
        <v>0</v>
      </c>
      <c r="G5873" s="34" t="n">
        <f aca="false">SUMIFS('12.326ana'!$C:$C,'12.326ana'!$M:$M,redes!A5873)</f>
        <v>0</v>
      </c>
    </row>
    <row r="5874" customFormat="false" ht="14.4" hidden="true" customHeight="false" outlineLevel="0" collapsed="false">
      <c r="A5874" s="34" t="n">
        <v>1080226000102</v>
      </c>
      <c r="B5874" s="34" t="s">
        <v>13196</v>
      </c>
      <c r="C5874" s="34" t="s">
        <v>77</v>
      </c>
      <c r="E5874" s="30" t="s">
        <v>13197</v>
      </c>
      <c r="F5874" s="34" t="n">
        <f aca="false">IFERROR(VLOOKUP($A5874,'319'!$B:$H,7,0),0)</f>
        <v>0</v>
      </c>
      <c r="G5874" s="34" t="n">
        <f aca="false">SUMIFS('12.326ana'!$C:$C,'12.326ana'!$M:$M,redes!A5874)</f>
        <v>0</v>
      </c>
    </row>
    <row r="5875" customFormat="false" ht="14.4" hidden="true" customHeight="false" outlineLevel="0" collapsed="false">
      <c r="A5875" s="34" t="n">
        <v>1080226000293</v>
      </c>
      <c r="B5875" s="34" t="s">
        <v>13196</v>
      </c>
      <c r="C5875" s="34" t="s">
        <v>77</v>
      </c>
      <c r="E5875" s="30" t="s">
        <v>13198</v>
      </c>
      <c r="F5875" s="34" t="n">
        <f aca="false">IFERROR(VLOOKUP($A5875,'319'!$B:$H,7,0),0)</f>
        <v>0</v>
      </c>
      <c r="G5875" s="34" t="n">
        <f aca="false">SUMIFS('12.326ana'!$C:$C,'12.326ana'!$M:$M,redes!A5875)</f>
        <v>0</v>
      </c>
    </row>
    <row r="5876" customFormat="false" ht="14.4" hidden="true" customHeight="false" outlineLevel="0" collapsed="false">
      <c r="A5876" s="34" t="n">
        <v>1080234000159</v>
      </c>
      <c r="B5876" s="34" t="s">
        <v>13199</v>
      </c>
      <c r="C5876" s="34" t="s">
        <v>478</v>
      </c>
      <c r="E5876" s="30" t="s">
        <v>13200</v>
      </c>
      <c r="F5876" s="34" t="n">
        <f aca="false">IFERROR(VLOOKUP($A5876,'319'!$B:$H,7,0),0)</f>
        <v>0</v>
      </c>
      <c r="G5876" s="34" t="n">
        <f aca="false">SUMIFS('12.326ana'!$C:$C,'12.326ana'!$M:$M,redes!A5876)</f>
        <v>0</v>
      </c>
    </row>
    <row r="5877" customFormat="false" ht="14.4" hidden="true" customHeight="false" outlineLevel="0" collapsed="false">
      <c r="A5877" s="34" t="n">
        <v>1080720000177</v>
      </c>
      <c r="B5877" s="34" t="s">
        <v>13201</v>
      </c>
      <c r="C5877" s="34" t="s">
        <v>77</v>
      </c>
      <c r="E5877" s="30" t="s">
        <v>13202</v>
      </c>
      <c r="F5877" s="34" t="n">
        <f aca="false">IFERROR(VLOOKUP($A5877,'319'!$B:$H,7,0),0)</f>
        <v>0</v>
      </c>
      <c r="G5877" s="34" t="n">
        <f aca="false">SUMIFS('12.326ana'!$C:$C,'12.326ana'!$M:$M,redes!A5877)</f>
        <v>0</v>
      </c>
    </row>
    <row r="5878" customFormat="false" ht="14.4" hidden="true" customHeight="false" outlineLevel="0" collapsed="false">
      <c r="A5878" s="34" t="n">
        <v>1081066000116</v>
      </c>
      <c r="B5878" s="34" t="s">
        <v>13203</v>
      </c>
      <c r="C5878" s="34" t="s">
        <v>77</v>
      </c>
      <c r="E5878" s="30" t="s">
        <v>13204</v>
      </c>
      <c r="F5878" s="34" t="n">
        <f aca="false">IFERROR(VLOOKUP($A5878,'319'!$B:$H,7,0),0)</f>
        <v>0</v>
      </c>
      <c r="G5878" s="34" t="n">
        <f aca="false">SUMIFS('12.326ana'!$C:$C,'12.326ana'!$M:$M,redes!A5878)</f>
        <v>0</v>
      </c>
    </row>
    <row r="5879" customFormat="false" ht="14.4" hidden="true" customHeight="false" outlineLevel="0" collapsed="false">
      <c r="A5879" s="34" t="n">
        <v>1081141000149</v>
      </c>
      <c r="B5879" s="34" t="s">
        <v>13205</v>
      </c>
      <c r="C5879" s="34" t="s">
        <v>77</v>
      </c>
      <c r="E5879" s="30" t="s">
        <v>13206</v>
      </c>
      <c r="F5879" s="34" t="n">
        <f aca="false">IFERROR(VLOOKUP($A5879,'319'!$B:$H,7,0),0)</f>
        <v>0</v>
      </c>
      <c r="G5879" s="34" t="n">
        <f aca="false">SUMIFS('12.326ana'!$C:$C,'12.326ana'!$M:$M,redes!A5879)</f>
        <v>0</v>
      </c>
    </row>
    <row r="5880" customFormat="false" ht="14.4" hidden="true" customHeight="false" outlineLevel="0" collapsed="false">
      <c r="A5880" s="34" t="n">
        <v>1081147000116</v>
      </c>
      <c r="B5880" s="34" t="s">
        <v>13207</v>
      </c>
      <c r="C5880" s="34" t="s">
        <v>89</v>
      </c>
      <c r="E5880" s="30" t="s">
        <v>13208</v>
      </c>
      <c r="F5880" s="34" t="n">
        <f aca="false">IFERROR(VLOOKUP($A5880,'319'!$B:$H,7,0),0)</f>
        <v>0</v>
      </c>
      <c r="G5880" s="34" t="n">
        <f aca="false">SUMIFS('12.326ana'!$C:$C,'12.326ana'!$M:$M,redes!A5880)</f>
        <v>0</v>
      </c>
    </row>
    <row r="5881" customFormat="false" ht="14.4" hidden="true" customHeight="false" outlineLevel="0" collapsed="false">
      <c r="A5881" s="34" t="n">
        <v>1081512000192</v>
      </c>
      <c r="B5881" s="34" t="s">
        <v>13209</v>
      </c>
      <c r="C5881" s="34" t="s">
        <v>107</v>
      </c>
      <c r="E5881" s="30" t="s">
        <v>10412</v>
      </c>
      <c r="F5881" s="34" t="n">
        <f aca="false">IFERROR(VLOOKUP($A5881,'319'!$B:$H,7,0),0)</f>
        <v>0</v>
      </c>
      <c r="G5881" s="34" t="n">
        <f aca="false">SUMIFS('12.326ana'!$C:$C,'12.326ana'!$M:$M,redes!A5881)</f>
        <v>0</v>
      </c>
    </row>
    <row r="5882" customFormat="false" ht="14.4" hidden="true" customHeight="false" outlineLevel="0" collapsed="false">
      <c r="A5882" s="34" t="n">
        <v>1083351000176</v>
      </c>
      <c r="B5882" s="34" t="s">
        <v>13210</v>
      </c>
      <c r="C5882" s="34" t="s">
        <v>473</v>
      </c>
      <c r="E5882" s="30"/>
      <c r="F5882" s="34" t="n">
        <f aca="false">IFERROR(VLOOKUP($A5882,'319'!$B:$H,7,0),0)</f>
        <v>0</v>
      </c>
      <c r="G5882" s="34" t="n">
        <f aca="false">SUMIFS('12.326ana'!$C:$C,'12.326ana'!$M:$M,redes!A5882)</f>
        <v>0</v>
      </c>
    </row>
    <row r="5883" customFormat="false" ht="14.4" hidden="true" customHeight="false" outlineLevel="0" collapsed="false">
      <c r="A5883" s="34" t="n">
        <v>1083529000189</v>
      </c>
      <c r="B5883" s="34" t="s">
        <v>13211</v>
      </c>
      <c r="C5883" s="34" t="s">
        <v>77</v>
      </c>
      <c r="E5883" s="30" t="s">
        <v>13212</v>
      </c>
      <c r="F5883" s="34" t="n">
        <f aca="false">IFERROR(VLOOKUP($A5883,'319'!$B:$H,7,0),0)</f>
        <v>0</v>
      </c>
      <c r="G5883" s="34" t="n">
        <f aca="false">SUMIFS('12.326ana'!$C:$C,'12.326ana'!$M:$M,redes!A5883)</f>
        <v>0</v>
      </c>
    </row>
    <row r="5884" customFormat="false" ht="14.4" hidden="true" customHeight="false" outlineLevel="0" collapsed="false">
      <c r="A5884" s="34" t="n">
        <v>1084417000223</v>
      </c>
      <c r="B5884" s="34" t="s">
        <v>13213</v>
      </c>
      <c r="C5884" s="34" t="s">
        <v>77</v>
      </c>
      <c r="E5884" s="30" t="s">
        <v>13214</v>
      </c>
      <c r="F5884" s="34" t="n">
        <f aca="false">IFERROR(VLOOKUP($A5884,'319'!$B:$H,7,0),0)</f>
        <v>0</v>
      </c>
      <c r="G5884" s="34" t="n">
        <f aca="false">SUMIFS('12.326ana'!$C:$C,'12.326ana'!$M:$M,redes!A5884)</f>
        <v>0</v>
      </c>
    </row>
    <row r="5885" customFormat="false" ht="14.4" hidden="true" customHeight="false" outlineLevel="0" collapsed="false">
      <c r="A5885" s="34" t="n">
        <v>1086205000102</v>
      </c>
      <c r="B5885" s="34" t="s">
        <v>13215</v>
      </c>
      <c r="C5885" s="34" t="s">
        <v>1272</v>
      </c>
      <c r="E5885" s="30" t="s">
        <v>13216</v>
      </c>
      <c r="F5885" s="34" t="n">
        <f aca="false">IFERROR(VLOOKUP($A5885,'319'!$B:$H,7,0),0)</f>
        <v>0</v>
      </c>
      <c r="G5885" s="34" t="n">
        <f aca="false">SUMIFS('12.326ana'!$C:$C,'12.326ana'!$M:$M,redes!A5885)</f>
        <v>0</v>
      </c>
    </row>
    <row r="5886" customFormat="false" ht="14.4" hidden="true" customHeight="false" outlineLevel="0" collapsed="false">
      <c r="A5886" s="34" t="n">
        <v>1086263000128</v>
      </c>
      <c r="B5886" s="34" t="s">
        <v>13217</v>
      </c>
      <c r="C5886" s="34" t="s">
        <v>77</v>
      </c>
      <c r="E5886" s="30" t="s">
        <v>13218</v>
      </c>
      <c r="F5886" s="34" t="n">
        <f aca="false">IFERROR(VLOOKUP($A5886,'319'!$B:$H,7,0),0)</f>
        <v>0</v>
      </c>
      <c r="G5886" s="34" t="n">
        <f aca="false">SUMIFS('12.326ana'!$C:$C,'12.326ana'!$M:$M,redes!A5886)</f>
        <v>0</v>
      </c>
    </row>
    <row r="5887" customFormat="false" ht="14.4" hidden="true" customHeight="false" outlineLevel="0" collapsed="false">
      <c r="A5887" s="34" t="n">
        <v>1087634000196</v>
      </c>
      <c r="B5887" s="34" t="s">
        <v>746</v>
      </c>
      <c r="C5887" s="34" t="s">
        <v>737</v>
      </c>
      <c r="D5887" s="34" t="s">
        <v>13219</v>
      </c>
      <c r="E5887" s="30" t="s">
        <v>13220</v>
      </c>
      <c r="F5887" s="34" t="n">
        <f aca="false">IFERROR(VLOOKUP($A5887,'319'!$B:$H,7,0),0)</f>
        <v>4699.71</v>
      </c>
      <c r="G5887" s="34" t="n">
        <f aca="false">SUMIFS('12.326ana'!$C:$C,'12.326ana'!$M:$M,redes!A5887)</f>
        <v>0</v>
      </c>
    </row>
    <row r="5888" customFormat="false" ht="14.4" hidden="true" customHeight="false" outlineLevel="0" collapsed="false">
      <c r="A5888" s="34" t="n">
        <v>1087634000358</v>
      </c>
      <c r="B5888" s="34" t="s">
        <v>1017</v>
      </c>
      <c r="C5888" s="34" t="s">
        <v>737</v>
      </c>
      <c r="D5888" s="34" t="s">
        <v>13219</v>
      </c>
      <c r="E5888" s="30" t="s">
        <v>13221</v>
      </c>
      <c r="F5888" s="34" t="n">
        <f aca="false">IFERROR(VLOOKUP($A5888,'319'!$B:$H,7,0),0)</f>
        <v>916.17</v>
      </c>
      <c r="G5888" s="34" t="n">
        <f aca="false">SUMIFS('12.326ana'!$C:$C,'12.326ana'!$M:$M,redes!A5888)</f>
        <v>0</v>
      </c>
    </row>
    <row r="5889" customFormat="false" ht="14.4" hidden="true" customHeight="false" outlineLevel="0" collapsed="false">
      <c r="A5889" s="34" t="n">
        <v>1090014000106</v>
      </c>
      <c r="B5889" s="34" t="s">
        <v>13222</v>
      </c>
      <c r="C5889" s="34" t="s">
        <v>107</v>
      </c>
      <c r="E5889" s="30" t="s">
        <v>13223</v>
      </c>
      <c r="F5889" s="34" t="n">
        <f aca="false">IFERROR(VLOOKUP($A5889,'319'!$B:$H,7,0),0)</f>
        <v>0</v>
      </c>
      <c r="G5889" s="34" t="n">
        <f aca="false">SUMIFS('12.326ana'!$C:$C,'12.326ana'!$M:$M,redes!A5889)</f>
        <v>0</v>
      </c>
    </row>
    <row r="5890" customFormat="false" ht="14.4" hidden="true" customHeight="false" outlineLevel="0" collapsed="false">
      <c r="A5890" s="34" t="n">
        <v>1093855000177</v>
      </c>
      <c r="B5890" s="34" t="s">
        <v>13224</v>
      </c>
      <c r="C5890" s="34" t="s">
        <v>77</v>
      </c>
      <c r="E5890" s="30" t="s">
        <v>13225</v>
      </c>
      <c r="F5890" s="34" t="n">
        <f aca="false">IFERROR(VLOOKUP($A5890,'319'!$B:$H,7,0),0)</f>
        <v>0</v>
      </c>
      <c r="G5890" s="34" t="n">
        <f aca="false">SUMIFS('12.326ana'!$C:$C,'12.326ana'!$M:$M,redes!A5890)</f>
        <v>0</v>
      </c>
    </row>
    <row r="5891" customFormat="false" ht="14.4" hidden="true" customHeight="false" outlineLevel="0" collapsed="false">
      <c r="A5891" s="34" t="n">
        <v>1095926000170</v>
      </c>
      <c r="B5891" s="34" t="s">
        <v>13226</v>
      </c>
      <c r="C5891" s="34" t="s">
        <v>77</v>
      </c>
      <c r="E5891" s="30" t="s">
        <v>13227</v>
      </c>
      <c r="F5891" s="34" t="n">
        <f aca="false">IFERROR(VLOOKUP($A5891,'319'!$B:$H,7,0),0)</f>
        <v>0</v>
      </c>
      <c r="G5891" s="34" t="n">
        <f aca="false">SUMIFS('12.326ana'!$C:$C,'12.326ana'!$M:$M,redes!A5891)</f>
        <v>0</v>
      </c>
    </row>
    <row r="5892" customFormat="false" ht="14.4" hidden="true" customHeight="false" outlineLevel="0" collapsed="false">
      <c r="A5892" s="34" t="n">
        <v>1096338000151</v>
      </c>
      <c r="B5892" s="34" t="s">
        <v>13228</v>
      </c>
      <c r="C5892" s="34" t="s">
        <v>207</v>
      </c>
      <c r="E5892" s="30" t="s">
        <v>13229</v>
      </c>
      <c r="F5892" s="34" t="n">
        <f aca="false">IFERROR(VLOOKUP($A5892,'319'!$B:$H,7,0),0)</f>
        <v>0</v>
      </c>
      <c r="G5892" s="34" t="n">
        <f aca="false">SUMIFS('12.326ana'!$C:$C,'12.326ana'!$M:$M,redes!A5892)</f>
        <v>0</v>
      </c>
    </row>
    <row r="5893" customFormat="false" ht="14.4" hidden="true" customHeight="false" outlineLevel="0" collapsed="false">
      <c r="A5893" s="34" t="n">
        <v>1098250000179</v>
      </c>
      <c r="B5893" s="34" t="s">
        <v>13230</v>
      </c>
      <c r="C5893" s="34" t="s">
        <v>77</v>
      </c>
      <c r="E5893" s="30" t="s">
        <v>13231</v>
      </c>
      <c r="F5893" s="34" t="n">
        <f aca="false">IFERROR(VLOOKUP($A5893,'319'!$B:$H,7,0),0)</f>
        <v>0</v>
      </c>
      <c r="G5893" s="34" t="n">
        <f aca="false">SUMIFS('12.326ana'!$C:$C,'12.326ana'!$M:$M,redes!A5893)</f>
        <v>0</v>
      </c>
    </row>
    <row r="5894" customFormat="false" ht="14.4" hidden="true" customHeight="false" outlineLevel="0" collapsed="false">
      <c r="A5894" s="34" t="n">
        <v>1099574000121</v>
      </c>
      <c r="B5894" s="34" t="s">
        <v>13232</v>
      </c>
      <c r="C5894" s="34" t="s">
        <v>604</v>
      </c>
      <c r="E5894" s="30" t="s">
        <v>13233</v>
      </c>
      <c r="F5894" s="34" t="n">
        <f aca="false">IFERROR(VLOOKUP($A5894,'319'!$B:$H,7,0),0)</f>
        <v>0</v>
      </c>
      <c r="G5894" s="34" t="n">
        <f aca="false">SUMIFS('12.326ana'!$C:$C,'12.326ana'!$M:$M,redes!A5894)</f>
        <v>0</v>
      </c>
    </row>
    <row r="5895" customFormat="false" ht="14.4" hidden="true" customHeight="false" outlineLevel="0" collapsed="false">
      <c r="A5895" s="34" t="n">
        <v>1100336000199</v>
      </c>
      <c r="B5895" s="34" t="s">
        <v>13234</v>
      </c>
      <c r="C5895" s="34" t="s">
        <v>4462</v>
      </c>
      <c r="E5895" s="30" t="s">
        <v>13235</v>
      </c>
      <c r="F5895" s="34" t="n">
        <f aca="false">IFERROR(VLOOKUP($A5895,'319'!$B:$H,7,0),0)</f>
        <v>0</v>
      </c>
      <c r="G5895" s="34" t="n">
        <f aca="false">SUMIFS('12.326ana'!$C:$C,'12.326ana'!$M:$M,redes!A5895)</f>
        <v>0</v>
      </c>
    </row>
    <row r="5896" customFormat="false" ht="14.4" hidden="true" customHeight="false" outlineLevel="0" collapsed="false">
      <c r="A5896" s="34" t="n">
        <v>1100403000175</v>
      </c>
      <c r="B5896" s="34" t="s">
        <v>5463</v>
      </c>
      <c r="C5896" s="34" t="s">
        <v>336</v>
      </c>
      <c r="E5896" s="30" t="s">
        <v>13236</v>
      </c>
      <c r="F5896" s="34" t="n">
        <f aca="false">IFERROR(VLOOKUP($A5896,'319'!$B:$H,7,0),0)</f>
        <v>0</v>
      </c>
      <c r="G5896" s="34" t="n">
        <f aca="false">SUMIFS('12.326ana'!$C:$C,'12.326ana'!$M:$M,redes!A5896)</f>
        <v>0</v>
      </c>
    </row>
    <row r="5897" customFormat="false" ht="14.4" hidden="true" customHeight="false" outlineLevel="0" collapsed="false">
      <c r="A5897" s="34" t="n">
        <v>1100502000157</v>
      </c>
      <c r="B5897" s="34" t="s">
        <v>13237</v>
      </c>
      <c r="C5897" s="34" t="s">
        <v>77</v>
      </c>
      <c r="E5897" s="30" t="s">
        <v>13238</v>
      </c>
      <c r="F5897" s="34" t="n">
        <f aca="false">IFERROR(VLOOKUP($A5897,'319'!$B:$H,7,0),0)</f>
        <v>0</v>
      </c>
      <c r="G5897" s="34" t="n">
        <f aca="false">SUMIFS('12.326ana'!$C:$C,'12.326ana'!$M:$M,redes!A5897)</f>
        <v>0</v>
      </c>
    </row>
    <row r="5898" customFormat="false" ht="14.4" hidden="true" customHeight="false" outlineLevel="0" collapsed="false">
      <c r="A5898" s="34" t="n">
        <v>1101906000165</v>
      </c>
      <c r="B5898" s="34" t="s">
        <v>13239</v>
      </c>
      <c r="C5898" s="34" t="s">
        <v>77</v>
      </c>
      <c r="E5898" s="30" t="s">
        <v>13240</v>
      </c>
      <c r="F5898" s="34" t="n">
        <f aca="false">IFERROR(VLOOKUP($A5898,'319'!$B:$H,7,0),0)</f>
        <v>0</v>
      </c>
      <c r="G5898" s="34" t="n">
        <f aca="false">SUMIFS('12.326ana'!$C:$C,'12.326ana'!$M:$M,redes!A5898)</f>
        <v>0</v>
      </c>
    </row>
    <row r="5899" customFormat="false" ht="14.4" hidden="true" customHeight="false" outlineLevel="0" collapsed="false">
      <c r="A5899" s="34" t="n">
        <v>1102769000183</v>
      </c>
      <c r="B5899" s="34" t="s">
        <v>13241</v>
      </c>
      <c r="C5899" s="34" t="s">
        <v>77</v>
      </c>
      <c r="E5899" s="30"/>
      <c r="F5899" s="34" t="n">
        <f aca="false">IFERROR(VLOOKUP($A5899,'319'!$B:$H,7,0),0)</f>
        <v>0</v>
      </c>
      <c r="G5899" s="34" t="n">
        <f aca="false">SUMIFS('12.326ana'!$C:$C,'12.326ana'!$M:$M,redes!A5899)</f>
        <v>0</v>
      </c>
    </row>
    <row r="5900" customFormat="false" ht="14.4" hidden="true" customHeight="false" outlineLevel="0" collapsed="false">
      <c r="A5900" s="34" t="n">
        <v>1103977000105</v>
      </c>
      <c r="B5900" s="34" t="s">
        <v>13242</v>
      </c>
      <c r="C5900" s="34" t="s">
        <v>309</v>
      </c>
      <c r="E5900" s="30" t="s">
        <v>13243</v>
      </c>
      <c r="F5900" s="34" t="n">
        <f aca="false">IFERROR(VLOOKUP($A5900,'319'!$B:$H,7,0),0)</f>
        <v>0</v>
      </c>
      <c r="G5900" s="34" t="n">
        <f aca="false">SUMIFS('12.326ana'!$C:$C,'12.326ana'!$M:$M,redes!A5900)</f>
        <v>0</v>
      </c>
    </row>
    <row r="5901" customFormat="false" ht="14.4" hidden="true" customHeight="false" outlineLevel="0" collapsed="false">
      <c r="A5901" s="34" t="n">
        <v>1105681000115</v>
      </c>
      <c r="B5901" s="34" t="s">
        <v>13244</v>
      </c>
      <c r="C5901" s="34" t="s">
        <v>631</v>
      </c>
      <c r="E5901" s="30" t="s">
        <v>13245</v>
      </c>
      <c r="F5901" s="34" t="n">
        <f aca="false">IFERROR(VLOOKUP($A5901,'319'!$B:$H,7,0),0)</f>
        <v>0</v>
      </c>
      <c r="G5901" s="34" t="n">
        <f aca="false">SUMIFS('12.326ana'!$C:$C,'12.326ana'!$M:$M,redes!A5901)</f>
        <v>0</v>
      </c>
    </row>
    <row r="5902" customFormat="false" ht="14.4" hidden="true" customHeight="false" outlineLevel="0" collapsed="false">
      <c r="A5902" s="34" t="n">
        <v>1110711000181</v>
      </c>
      <c r="B5902" s="34" t="s">
        <v>13246</v>
      </c>
      <c r="C5902" s="34" t="s">
        <v>598</v>
      </c>
      <c r="E5902" s="30" t="s">
        <v>3206</v>
      </c>
      <c r="F5902" s="34" t="n">
        <f aca="false">IFERROR(VLOOKUP($A5902,'319'!$B:$H,7,0),0)</f>
        <v>0</v>
      </c>
      <c r="G5902" s="34" t="n">
        <f aca="false">SUMIFS('12.326ana'!$C:$C,'12.326ana'!$M:$M,redes!A5902)</f>
        <v>0</v>
      </c>
    </row>
    <row r="5903" customFormat="false" ht="14.4" hidden="true" customHeight="false" outlineLevel="0" collapsed="false">
      <c r="A5903" s="34" t="n">
        <v>1112893000120</v>
      </c>
      <c r="B5903" s="34" t="s">
        <v>13247</v>
      </c>
      <c r="C5903" s="34" t="s">
        <v>77</v>
      </c>
      <c r="E5903" s="30" t="s">
        <v>13248</v>
      </c>
      <c r="F5903" s="34" t="n">
        <f aca="false">IFERROR(VLOOKUP($A5903,'319'!$B:$H,7,0),0)</f>
        <v>0</v>
      </c>
      <c r="G5903" s="34" t="n">
        <f aca="false">SUMIFS('12.326ana'!$C:$C,'12.326ana'!$M:$M,redes!A5903)</f>
        <v>0</v>
      </c>
    </row>
    <row r="5904" customFormat="false" ht="14.4" hidden="true" customHeight="false" outlineLevel="0" collapsed="false">
      <c r="A5904" s="34" t="n">
        <v>1113095000112</v>
      </c>
      <c r="B5904" s="34" t="s">
        <v>13249</v>
      </c>
      <c r="C5904" s="34" t="s">
        <v>463</v>
      </c>
      <c r="E5904" s="30" t="s">
        <v>13250</v>
      </c>
      <c r="F5904" s="34" t="n">
        <f aca="false">IFERROR(VLOOKUP($A5904,'319'!$B:$H,7,0),0)</f>
        <v>0</v>
      </c>
      <c r="G5904" s="34" t="n">
        <f aca="false">SUMIFS('12.326ana'!$C:$C,'12.326ana'!$M:$M,redes!A5904)</f>
        <v>0</v>
      </c>
    </row>
    <row r="5905" customFormat="false" ht="14.4" hidden="true" customHeight="false" outlineLevel="0" collapsed="false">
      <c r="A5905" s="34" t="n">
        <v>1118168000169</v>
      </c>
      <c r="B5905" s="34" t="s">
        <v>13251</v>
      </c>
      <c r="C5905" s="34" t="s">
        <v>103</v>
      </c>
      <c r="E5905" s="30" t="s">
        <v>13252</v>
      </c>
      <c r="F5905" s="34" t="n">
        <f aca="false">IFERROR(VLOOKUP($A5905,'319'!$B:$H,7,0),0)</f>
        <v>0</v>
      </c>
      <c r="G5905" s="34" t="n">
        <f aca="false">SUMIFS('12.326ana'!$C:$C,'12.326ana'!$M:$M,redes!A5905)</f>
        <v>0</v>
      </c>
    </row>
    <row r="5906" customFormat="false" ht="14.4" hidden="true" customHeight="false" outlineLevel="0" collapsed="false">
      <c r="A5906" s="34" t="n">
        <v>1123544000103</v>
      </c>
      <c r="B5906" s="34" t="s">
        <v>13253</v>
      </c>
      <c r="C5906" s="34" t="s">
        <v>207</v>
      </c>
      <c r="E5906" s="30" t="s">
        <v>13254</v>
      </c>
      <c r="F5906" s="34" t="n">
        <f aca="false">IFERROR(VLOOKUP($A5906,'319'!$B:$H,7,0),0)</f>
        <v>0</v>
      </c>
      <c r="G5906" s="34" t="n">
        <f aca="false">SUMIFS('12.326ana'!$C:$C,'12.326ana'!$M:$M,redes!A5906)</f>
        <v>0</v>
      </c>
    </row>
    <row r="5907" customFormat="false" ht="14.4" hidden="true" customHeight="false" outlineLevel="0" collapsed="false">
      <c r="A5907" s="34" t="n">
        <v>1123557000182</v>
      </c>
      <c r="B5907" s="34" t="s">
        <v>13255</v>
      </c>
      <c r="C5907" s="34" t="s">
        <v>631</v>
      </c>
      <c r="E5907" s="30" t="s">
        <v>13256</v>
      </c>
      <c r="F5907" s="34" t="n">
        <f aca="false">IFERROR(VLOOKUP($A5907,'319'!$B:$H,7,0),0)</f>
        <v>0</v>
      </c>
      <c r="G5907" s="34" t="n">
        <f aca="false">SUMIFS('12.326ana'!$C:$C,'12.326ana'!$M:$M,redes!A5907)</f>
        <v>0</v>
      </c>
    </row>
    <row r="5908" customFormat="false" ht="14.4" hidden="true" customHeight="false" outlineLevel="0" collapsed="false">
      <c r="A5908" s="34" t="n">
        <v>1125355000170</v>
      </c>
      <c r="B5908" s="34" t="s">
        <v>1640</v>
      </c>
      <c r="C5908" s="34" t="s">
        <v>1306</v>
      </c>
      <c r="E5908" s="30" t="s">
        <v>10797</v>
      </c>
      <c r="F5908" s="34" t="n">
        <f aca="false">IFERROR(VLOOKUP($A5908,'319'!$B:$H,7,0),0)</f>
        <v>65.52</v>
      </c>
      <c r="G5908" s="34" t="n">
        <f aca="false">SUMIFS('12.326ana'!$C:$C,'12.326ana'!$M:$M,redes!A5908)</f>
        <v>0</v>
      </c>
    </row>
    <row r="5909" customFormat="false" ht="14.4" hidden="true" customHeight="false" outlineLevel="0" collapsed="false">
      <c r="A5909" s="34" t="n">
        <v>1128907000101</v>
      </c>
      <c r="B5909" s="34" t="s">
        <v>13257</v>
      </c>
      <c r="C5909" s="34" t="s">
        <v>77</v>
      </c>
      <c r="E5909" s="30" t="s">
        <v>13258</v>
      </c>
      <c r="F5909" s="34" t="n">
        <f aca="false">IFERROR(VLOOKUP($A5909,'319'!$B:$H,7,0),0)</f>
        <v>0</v>
      </c>
      <c r="G5909" s="34" t="n">
        <f aca="false">SUMIFS('12.326ana'!$C:$C,'12.326ana'!$M:$M,redes!A5909)</f>
        <v>0</v>
      </c>
    </row>
    <row r="5910" customFormat="false" ht="14.4" hidden="true" customHeight="false" outlineLevel="0" collapsed="false">
      <c r="A5910" s="34" t="n">
        <v>1128912000106</v>
      </c>
      <c r="B5910" s="34" t="s">
        <v>13259</v>
      </c>
      <c r="C5910" s="34" t="s">
        <v>1054</v>
      </c>
      <c r="E5910" s="30" t="s">
        <v>3440</v>
      </c>
      <c r="F5910" s="34" t="n">
        <f aca="false">IFERROR(VLOOKUP($A5910,'319'!$B:$H,7,0),0)</f>
        <v>0</v>
      </c>
      <c r="G5910" s="34" t="n">
        <f aca="false">SUMIFS('12.326ana'!$C:$C,'12.326ana'!$M:$M,redes!A5910)</f>
        <v>0</v>
      </c>
    </row>
    <row r="5911" customFormat="false" ht="14.4" hidden="true" customHeight="false" outlineLevel="0" collapsed="false">
      <c r="A5911" s="34" t="n">
        <v>1131224000103</v>
      </c>
      <c r="B5911" s="34" t="s">
        <v>13260</v>
      </c>
      <c r="C5911" s="34" t="s">
        <v>77</v>
      </c>
      <c r="D5911" s="34" t="s">
        <v>13261</v>
      </c>
      <c r="E5911" s="30" t="s">
        <v>13262</v>
      </c>
      <c r="F5911" s="34" t="n">
        <f aca="false">IFERROR(VLOOKUP($A5911,'319'!$B:$H,7,0),0)</f>
        <v>0</v>
      </c>
      <c r="G5911" s="34" t="n">
        <f aca="false">SUMIFS('12.326ana'!$C:$C,'12.326ana'!$M:$M,redes!A5911)</f>
        <v>0</v>
      </c>
    </row>
    <row r="5912" customFormat="false" ht="14.4" hidden="true" customHeight="false" outlineLevel="0" collapsed="false">
      <c r="A5912" s="34" t="n">
        <v>1131224000286</v>
      </c>
      <c r="B5912" s="34" t="s">
        <v>13260</v>
      </c>
      <c r="C5912" s="34" t="s">
        <v>77</v>
      </c>
      <c r="D5912" s="34" t="s">
        <v>13261</v>
      </c>
      <c r="E5912" s="30" t="s">
        <v>13263</v>
      </c>
      <c r="F5912" s="34" t="n">
        <f aca="false">IFERROR(VLOOKUP($A5912,'319'!$B:$H,7,0),0)</f>
        <v>0</v>
      </c>
      <c r="G5912" s="34" t="n">
        <f aca="false">SUMIFS('12.326ana'!$C:$C,'12.326ana'!$M:$M,redes!A5912)</f>
        <v>0</v>
      </c>
    </row>
    <row r="5913" customFormat="false" ht="14.4" hidden="true" customHeight="false" outlineLevel="0" collapsed="false">
      <c r="A5913" s="34" t="n">
        <v>1131224000367</v>
      </c>
      <c r="B5913" s="34" t="s">
        <v>13264</v>
      </c>
      <c r="C5913" s="34" t="s">
        <v>77</v>
      </c>
      <c r="D5913" s="34" t="s">
        <v>13261</v>
      </c>
      <c r="E5913" s="30" t="s">
        <v>13265</v>
      </c>
      <c r="F5913" s="34" t="n">
        <f aca="false">IFERROR(VLOOKUP($A5913,'319'!$B:$H,7,0),0)</f>
        <v>0</v>
      </c>
      <c r="G5913" s="34" t="n">
        <f aca="false">SUMIFS('12.326ana'!$C:$C,'12.326ana'!$M:$M,redes!A5913)</f>
        <v>0</v>
      </c>
    </row>
    <row r="5914" customFormat="false" ht="14.4" hidden="true" customHeight="false" outlineLevel="0" collapsed="false">
      <c r="A5914" s="34" t="n">
        <v>1133658000134</v>
      </c>
      <c r="B5914" s="34" t="s">
        <v>13266</v>
      </c>
      <c r="C5914" s="34" t="s">
        <v>77</v>
      </c>
      <c r="E5914" s="30" t="s">
        <v>13267</v>
      </c>
      <c r="F5914" s="34" t="n">
        <f aca="false">IFERROR(VLOOKUP($A5914,'319'!$B:$H,7,0),0)</f>
        <v>0</v>
      </c>
      <c r="G5914" s="34" t="n">
        <f aca="false">SUMIFS('12.326ana'!$C:$C,'12.326ana'!$M:$M,redes!A5914)</f>
        <v>0</v>
      </c>
    </row>
    <row r="5915" customFormat="false" ht="14.4" hidden="true" customHeight="false" outlineLevel="0" collapsed="false">
      <c r="A5915" s="34" t="n">
        <v>1135824000131</v>
      </c>
      <c r="B5915" s="34" t="s">
        <v>13268</v>
      </c>
      <c r="C5915" s="34" t="s">
        <v>954</v>
      </c>
      <c r="E5915" s="30" t="s">
        <v>13269</v>
      </c>
      <c r="F5915" s="34" t="n">
        <f aca="false">IFERROR(VLOOKUP($A5915,'319'!$B:$H,7,0),0)</f>
        <v>0</v>
      </c>
      <c r="G5915" s="34" t="n">
        <f aca="false">SUMIFS('12.326ana'!$C:$C,'12.326ana'!$M:$M,redes!A5915)</f>
        <v>0</v>
      </c>
    </row>
    <row r="5916" customFormat="false" ht="14.4" hidden="true" customHeight="false" outlineLevel="0" collapsed="false">
      <c r="A5916" s="34" t="n">
        <v>1135825000186</v>
      </c>
      <c r="B5916" s="34" t="s">
        <v>13270</v>
      </c>
      <c r="C5916" s="34" t="s">
        <v>77</v>
      </c>
      <c r="E5916" s="30" t="s">
        <v>13271</v>
      </c>
      <c r="F5916" s="34" t="n">
        <f aca="false">IFERROR(VLOOKUP($A5916,'319'!$B:$H,7,0),0)</f>
        <v>0</v>
      </c>
      <c r="G5916" s="34" t="n">
        <f aca="false">SUMIFS('12.326ana'!$C:$C,'12.326ana'!$M:$M,redes!A5916)</f>
        <v>0</v>
      </c>
    </row>
    <row r="5917" customFormat="false" ht="14.4" hidden="true" customHeight="false" outlineLevel="0" collapsed="false">
      <c r="A5917" s="34" t="n">
        <v>1135826000120</v>
      </c>
      <c r="B5917" s="34" t="s">
        <v>13272</v>
      </c>
      <c r="C5917" s="34" t="s">
        <v>463</v>
      </c>
      <c r="E5917" s="30" t="s">
        <v>13273</v>
      </c>
      <c r="F5917" s="34" t="n">
        <f aca="false">IFERROR(VLOOKUP($A5917,'319'!$B:$H,7,0),0)</f>
        <v>0</v>
      </c>
      <c r="G5917" s="34" t="n">
        <f aca="false">SUMIFS('12.326ana'!$C:$C,'12.326ana'!$M:$M,redes!A5917)</f>
        <v>0</v>
      </c>
    </row>
    <row r="5918" customFormat="false" ht="14.4" hidden="true" customHeight="false" outlineLevel="0" collapsed="false">
      <c r="A5918" s="34" t="n">
        <v>1135828000110</v>
      </c>
      <c r="B5918" s="34" t="s">
        <v>13274</v>
      </c>
      <c r="C5918" s="34" t="s">
        <v>342</v>
      </c>
      <c r="E5918" s="30" t="s">
        <v>13275</v>
      </c>
      <c r="F5918" s="34" t="n">
        <f aca="false">IFERROR(VLOOKUP($A5918,'319'!$B:$H,7,0),0)</f>
        <v>0</v>
      </c>
      <c r="G5918" s="34" t="n">
        <f aca="false">SUMIFS('12.326ana'!$C:$C,'12.326ana'!$M:$M,redes!A5918)</f>
        <v>0</v>
      </c>
    </row>
    <row r="5919" customFormat="false" ht="14.4" hidden="true" customHeight="false" outlineLevel="0" collapsed="false">
      <c r="A5919" s="34" t="n">
        <v>1135834000177</v>
      </c>
      <c r="B5919" s="34" t="s">
        <v>13276</v>
      </c>
      <c r="C5919" s="34" t="s">
        <v>77</v>
      </c>
      <c r="E5919" s="30" t="s">
        <v>13277</v>
      </c>
      <c r="F5919" s="34" t="n">
        <f aca="false">IFERROR(VLOOKUP($A5919,'319'!$B:$H,7,0),0)</f>
        <v>0</v>
      </c>
      <c r="G5919" s="34" t="n">
        <f aca="false">SUMIFS('12.326ana'!$C:$C,'12.326ana'!$M:$M,redes!A5919)</f>
        <v>0</v>
      </c>
    </row>
    <row r="5920" customFormat="false" ht="14.4" hidden="true" customHeight="false" outlineLevel="0" collapsed="false">
      <c r="A5920" s="34" t="n">
        <v>1142118000117</v>
      </c>
      <c r="B5920" s="34" t="s">
        <v>13278</v>
      </c>
      <c r="C5920" s="34" t="s">
        <v>77</v>
      </c>
      <c r="E5920" s="30" t="s">
        <v>13279</v>
      </c>
      <c r="F5920" s="34" t="n">
        <f aca="false">IFERROR(VLOOKUP($A5920,'319'!$B:$H,7,0),0)</f>
        <v>0</v>
      </c>
      <c r="G5920" s="34" t="n">
        <f aca="false">SUMIFS('12.326ana'!$C:$C,'12.326ana'!$M:$M,redes!A5920)</f>
        <v>0</v>
      </c>
    </row>
    <row r="5921" customFormat="false" ht="14.4" hidden="true" customHeight="false" outlineLevel="0" collapsed="false">
      <c r="A5921" s="34" t="n">
        <v>1142120000196</v>
      </c>
      <c r="B5921" s="34" t="s">
        <v>13280</v>
      </c>
      <c r="C5921" s="34" t="s">
        <v>77</v>
      </c>
      <c r="E5921" s="30" t="s">
        <v>13281</v>
      </c>
      <c r="F5921" s="34" t="n">
        <f aca="false">IFERROR(VLOOKUP($A5921,'319'!$B:$H,7,0),0)</f>
        <v>0</v>
      </c>
      <c r="G5921" s="34" t="n">
        <f aca="false">SUMIFS('12.326ana'!$C:$C,'12.326ana'!$M:$M,redes!A5921)</f>
        <v>0</v>
      </c>
    </row>
    <row r="5922" customFormat="false" ht="14.4" hidden="true" customHeight="false" outlineLevel="0" collapsed="false">
      <c r="A5922" s="34" t="n">
        <v>1142123000120</v>
      </c>
      <c r="B5922" s="34" t="s">
        <v>13282</v>
      </c>
      <c r="C5922" s="34" t="s">
        <v>77</v>
      </c>
      <c r="E5922" s="30" t="s">
        <v>13283</v>
      </c>
      <c r="F5922" s="34" t="n">
        <f aca="false">IFERROR(VLOOKUP($A5922,'319'!$B:$H,7,0),0)</f>
        <v>0</v>
      </c>
      <c r="G5922" s="34" t="n">
        <f aca="false">SUMIFS('12.326ana'!$C:$C,'12.326ana'!$M:$M,redes!A5922)</f>
        <v>0</v>
      </c>
    </row>
    <row r="5923" customFormat="false" ht="14.4" hidden="true" customHeight="false" outlineLevel="0" collapsed="false">
      <c r="A5923" s="34" t="n">
        <v>1146071000160</v>
      </c>
      <c r="B5923" s="34" t="s">
        <v>13284</v>
      </c>
      <c r="C5923" s="34" t="s">
        <v>89</v>
      </c>
      <c r="E5923" s="30" t="s">
        <v>7189</v>
      </c>
      <c r="F5923" s="34" t="n">
        <f aca="false">IFERROR(VLOOKUP($A5923,'319'!$B:$H,7,0),0)</f>
        <v>0</v>
      </c>
      <c r="G5923" s="34" t="n">
        <f aca="false">SUMIFS('12.326ana'!$C:$C,'12.326ana'!$M:$M,redes!A5923)</f>
        <v>0</v>
      </c>
    </row>
    <row r="5924" customFormat="false" ht="14.4" hidden="true" customHeight="false" outlineLevel="0" collapsed="false">
      <c r="A5924" s="34" t="n">
        <v>1148910000189</v>
      </c>
      <c r="B5924" s="34" t="s">
        <v>13285</v>
      </c>
      <c r="C5924" s="34" t="s">
        <v>103</v>
      </c>
      <c r="E5924" s="30" t="s">
        <v>13286</v>
      </c>
      <c r="F5924" s="34" t="n">
        <f aca="false">IFERROR(VLOOKUP($A5924,'319'!$B:$H,7,0),0)</f>
        <v>0</v>
      </c>
      <c r="G5924" s="34" t="n">
        <f aca="false">SUMIFS('12.326ana'!$C:$C,'12.326ana'!$M:$M,redes!A5924)</f>
        <v>0</v>
      </c>
    </row>
    <row r="5925" customFormat="false" ht="14.4" hidden="true" customHeight="false" outlineLevel="0" collapsed="false">
      <c r="A5925" s="34" t="n">
        <v>1150282000176</v>
      </c>
      <c r="B5925" s="34" t="s">
        <v>13287</v>
      </c>
      <c r="C5925" s="34" t="s">
        <v>781</v>
      </c>
      <c r="E5925" s="30" t="s">
        <v>13288</v>
      </c>
      <c r="F5925" s="34" t="n">
        <f aca="false">IFERROR(VLOOKUP($A5925,'319'!$B:$H,7,0),0)</f>
        <v>0</v>
      </c>
      <c r="G5925" s="34" t="n">
        <f aca="false">SUMIFS('12.326ana'!$C:$C,'12.326ana'!$M:$M,redes!A5925)</f>
        <v>0</v>
      </c>
    </row>
    <row r="5926" customFormat="false" ht="14.4" hidden="true" customHeight="false" outlineLevel="0" collapsed="false">
      <c r="A5926" s="34" t="n">
        <v>1155246000103</v>
      </c>
      <c r="B5926" s="34" t="s">
        <v>13289</v>
      </c>
      <c r="C5926" s="34" t="s">
        <v>342</v>
      </c>
      <c r="E5926" s="30" t="s">
        <v>13290</v>
      </c>
      <c r="F5926" s="34" t="n">
        <f aca="false">IFERROR(VLOOKUP($A5926,'319'!$B:$H,7,0),0)</f>
        <v>0</v>
      </c>
      <c r="G5926" s="34" t="n">
        <f aca="false">SUMIFS('12.326ana'!$C:$C,'12.326ana'!$M:$M,redes!A5926)</f>
        <v>0</v>
      </c>
    </row>
    <row r="5927" customFormat="false" ht="14.4" hidden="true" customHeight="false" outlineLevel="0" collapsed="false">
      <c r="A5927" s="34" t="n">
        <v>1155255000196</v>
      </c>
      <c r="B5927" s="34" t="s">
        <v>13291</v>
      </c>
      <c r="C5927" s="34" t="s">
        <v>77</v>
      </c>
      <c r="E5927" s="30" t="s">
        <v>3540</v>
      </c>
      <c r="F5927" s="34" t="n">
        <f aca="false">IFERROR(VLOOKUP($A5927,'319'!$B:$H,7,0),0)</f>
        <v>0</v>
      </c>
      <c r="G5927" s="34" t="n">
        <f aca="false">SUMIFS('12.326ana'!$C:$C,'12.326ana'!$M:$M,redes!A5927)</f>
        <v>0</v>
      </c>
    </row>
    <row r="5928" customFormat="false" ht="14.4" hidden="true" customHeight="false" outlineLevel="0" collapsed="false">
      <c r="A5928" s="34" t="n">
        <v>1157915000178</v>
      </c>
      <c r="B5928" s="34" t="s">
        <v>13292</v>
      </c>
      <c r="C5928" s="34" t="s">
        <v>594</v>
      </c>
      <c r="D5928" s="34" t="s">
        <v>3324</v>
      </c>
      <c r="E5928" s="30" t="s">
        <v>13293</v>
      </c>
      <c r="F5928" s="34" t="n">
        <f aca="false">IFERROR(VLOOKUP($A5928,'319'!$B:$H,7,0),0)</f>
        <v>0</v>
      </c>
      <c r="G5928" s="34" t="n">
        <f aca="false">SUMIFS('12.326ana'!$C:$C,'12.326ana'!$M:$M,redes!A5928)</f>
        <v>0</v>
      </c>
    </row>
    <row r="5929" customFormat="false" ht="14.4" hidden="true" customHeight="false" outlineLevel="0" collapsed="false">
      <c r="A5929" s="34" t="n">
        <v>1157971000102</v>
      </c>
      <c r="B5929" s="34" t="s">
        <v>13294</v>
      </c>
      <c r="C5929" s="34" t="s">
        <v>107</v>
      </c>
      <c r="E5929" s="30" t="s">
        <v>13295</v>
      </c>
      <c r="F5929" s="34" t="n">
        <f aca="false">IFERROR(VLOOKUP($A5929,'319'!$B:$H,7,0),0)</f>
        <v>0</v>
      </c>
      <c r="G5929" s="34" t="n">
        <f aca="false">SUMIFS('12.326ana'!$C:$C,'12.326ana'!$M:$M,redes!A5929)</f>
        <v>0</v>
      </c>
    </row>
    <row r="5930" customFormat="false" ht="14.4" hidden="true" customHeight="false" outlineLevel="0" collapsed="false">
      <c r="A5930" s="34" t="n">
        <v>1159463000163</v>
      </c>
      <c r="B5930" s="34" t="s">
        <v>13296</v>
      </c>
      <c r="C5930" s="34" t="s">
        <v>357</v>
      </c>
      <c r="E5930" s="30" t="s">
        <v>13297</v>
      </c>
      <c r="F5930" s="34" t="n">
        <f aca="false">IFERROR(VLOOKUP($A5930,'319'!$B:$H,7,0),0)</f>
        <v>0</v>
      </c>
      <c r="G5930" s="34" t="n">
        <f aca="false">SUMIFS('12.326ana'!$C:$C,'12.326ana'!$M:$M,redes!A5930)</f>
        <v>0</v>
      </c>
    </row>
    <row r="5931" customFormat="false" ht="14.4" hidden="true" customHeight="false" outlineLevel="0" collapsed="false">
      <c r="A5931" s="34" t="n">
        <v>1162477000136</v>
      </c>
      <c r="B5931" s="34" t="s">
        <v>13298</v>
      </c>
      <c r="C5931" s="34" t="s">
        <v>77</v>
      </c>
      <c r="E5931" s="30" t="s">
        <v>13298</v>
      </c>
      <c r="F5931" s="34" t="n">
        <f aca="false">IFERROR(VLOOKUP($A5931,'319'!$B:$H,7,0),0)</f>
        <v>0</v>
      </c>
      <c r="G5931" s="34" t="n">
        <f aca="false">SUMIFS('12.326ana'!$C:$C,'12.326ana'!$M:$M,redes!A5931)</f>
        <v>0</v>
      </c>
    </row>
    <row r="5932" customFormat="false" ht="14.4" hidden="true" customHeight="false" outlineLevel="0" collapsed="false">
      <c r="A5932" s="34" t="n">
        <v>1162477000217</v>
      </c>
      <c r="B5932" s="34" t="s">
        <v>13299</v>
      </c>
      <c r="C5932" s="34" t="s">
        <v>77</v>
      </c>
      <c r="E5932" s="30" t="s">
        <v>13300</v>
      </c>
      <c r="F5932" s="34" t="n">
        <f aca="false">IFERROR(VLOOKUP($A5932,'319'!$B:$H,7,0),0)</f>
        <v>0</v>
      </c>
      <c r="G5932" s="34" t="n">
        <f aca="false">SUMIFS('12.326ana'!$C:$C,'12.326ana'!$M:$M,redes!A5932)</f>
        <v>0</v>
      </c>
    </row>
    <row r="5933" customFormat="false" ht="14.4" hidden="true" customHeight="false" outlineLevel="0" collapsed="false">
      <c r="A5933" s="34" t="n">
        <v>1173924000152</v>
      </c>
      <c r="B5933" s="34" t="s">
        <v>13301</v>
      </c>
      <c r="C5933" s="34" t="s">
        <v>77</v>
      </c>
      <c r="E5933" s="30" t="s">
        <v>13302</v>
      </c>
      <c r="F5933" s="34" t="n">
        <f aca="false">IFERROR(VLOOKUP($A5933,'319'!$B:$H,7,0),0)</f>
        <v>0</v>
      </c>
      <c r="G5933" s="34" t="n">
        <f aca="false">SUMIFS('12.326ana'!$C:$C,'12.326ana'!$M:$M,redes!A5933)</f>
        <v>0</v>
      </c>
    </row>
    <row r="5934" customFormat="false" ht="14.4" hidden="true" customHeight="false" outlineLevel="0" collapsed="false">
      <c r="A5934" s="34" t="n">
        <v>1176697000119</v>
      </c>
      <c r="B5934" s="34" t="s">
        <v>13303</v>
      </c>
      <c r="C5934" s="34" t="s">
        <v>594</v>
      </c>
      <c r="E5934" s="30" t="s">
        <v>13304</v>
      </c>
      <c r="F5934" s="34" t="n">
        <f aca="false">IFERROR(VLOOKUP($A5934,'319'!$B:$H,7,0),0)</f>
        <v>0</v>
      </c>
      <c r="G5934" s="34" t="n">
        <f aca="false">SUMIFS('12.326ana'!$C:$C,'12.326ana'!$M:$M,redes!A5934)</f>
        <v>0</v>
      </c>
    </row>
    <row r="5935" customFormat="false" ht="14.4" hidden="true" customHeight="false" outlineLevel="0" collapsed="false">
      <c r="A5935" s="34" t="n">
        <v>1177436000113</v>
      </c>
      <c r="B5935" s="34" t="s">
        <v>13305</v>
      </c>
      <c r="C5935" s="34" t="s">
        <v>77</v>
      </c>
      <c r="E5935" s="30" t="s">
        <v>13306</v>
      </c>
      <c r="F5935" s="34" t="n">
        <f aca="false">IFERROR(VLOOKUP($A5935,'319'!$B:$H,7,0),0)</f>
        <v>0</v>
      </c>
      <c r="G5935" s="34" t="n">
        <f aca="false">SUMIFS('12.326ana'!$C:$C,'12.326ana'!$M:$M,redes!A5935)</f>
        <v>0</v>
      </c>
    </row>
    <row r="5936" customFormat="false" ht="14.4" hidden="true" customHeight="false" outlineLevel="0" collapsed="false">
      <c r="A5936" s="34" t="n">
        <v>1184366000120</v>
      </c>
      <c r="B5936" s="34" t="s">
        <v>13307</v>
      </c>
      <c r="C5936" s="34" t="s">
        <v>309</v>
      </c>
      <c r="E5936" s="30" t="s">
        <v>13308</v>
      </c>
      <c r="F5936" s="34" t="n">
        <f aca="false">IFERROR(VLOOKUP($A5936,'319'!$B:$H,7,0),0)</f>
        <v>0</v>
      </c>
      <c r="G5936" s="34" t="n">
        <f aca="false">SUMIFS('12.326ana'!$C:$C,'12.326ana'!$M:$M,redes!A5936)</f>
        <v>0</v>
      </c>
    </row>
    <row r="5937" customFormat="false" ht="14.4" hidden="true" customHeight="false" outlineLevel="0" collapsed="false">
      <c r="A5937" s="34" t="n">
        <v>1186321000195</v>
      </c>
      <c r="B5937" s="34" t="s">
        <v>13309</v>
      </c>
      <c r="C5937" s="34" t="s">
        <v>77</v>
      </c>
      <c r="E5937" s="30" t="s">
        <v>3003</v>
      </c>
      <c r="F5937" s="34" t="n">
        <f aca="false">IFERROR(VLOOKUP($A5937,'319'!$B:$H,7,0),0)</f>
        <v>0</v>
      </c>
      <c r="G5937" s="34" t="n">
        <f aca="false">SUMIFS('12.326ana'!$C:$C,'12.326ana'!$M:$M,redes!A5937)</f>
        <v>0</v>
      </c>
    </row>
    <row r="5938" customFormat="false" ht="14.4" hidden="true" customHeight="false" outlineLevel="0" collapsed="false">
      <c r="A5938" s="34" t="n">
        <v>1188092000148</v>
      </c>
      <c r="B5938" s="34" t="s">
        <v>13310</v>
      </c>
      <c r="C5938" s="34" t="s">
        <v>357</v>
      </c>
      <c r="E5938" s="30" t="s">
        <v>13311</v>
      </c>
      <c r="F5938" s="34" t="n">
        <f aca="false">IFERROR(VLOOKUP($A5938,'319'!$B:$H,7,0),0)</f>
        <v>0</v>
      </c>
      <c r="G5938" s="34" t="n">
        <f aca="false">SUMIFS('12.326ana'!$C:$C,'12.326ana'!$M:$M,redes!A5938)</f>
        <v>0</v>
      </c>
    </row>
    <row r="5939" customFormat="false" ht="14.4" hidden="true" customHeight="false" outlineLevel="0" collapsed="false">
      <c r="A5939" s="34" t="n">
        <v>1188826000199</v>
      </c>
      <c r="B5939" s="34" t="s">
        <v>13312</v>
      </c>
      <c r="C5939" s="34" t="s">
        <v>77</v>
      </c>
      <c r="E5939" s="30" t="s">
        <v>8795</v>
      </c>
      <c r="F5939" s="34" t="n">
        <f aca="false">IFERROR(VLOOKUP($A5939,'319'!$B:$H,7,0),0)</f>
        <v>0</v>
      </c>
      <c r="G5939" s="34" t="n">
        <f aca="false">SUMIFS('12.326ana'!$C:$C,'12.326ana'!$M:$M,redes!A5939)</f>
        <v>0</v>
      </c>
    </row>
    <row r="5940" customFormat="false" ht="14.4" hidden="true" customHeight="false" outlineLevel="0" collapsed="false">
      <c r="A5940" s="34" t="n">
        <v>1189590000105</v>
      </c>
      <c r="B5940" s="34" t="s">
        <v>13313</v>
      </c>
      <c r="C5940" s="34" t="s">
        <v>77</v>
      </c>
      <c r="E5940" s="30" t="s">
        <v>13314</v>
      </c>
      <c r="F5940" s="34" t="n">
        <f aca="false">IFERROR(VLOOKUP($A5940,'319'!$B:$H,7,0),0)</f>
        <v>0</v>
      </c>
      <c r="G5940" s="34" t="n">
        <f aca="false">SUMIFS('12.326ana'!$C:$C,'12.326ana'!$M:$M,redes!A5940)</f>
        <v>0</v>
      </c>
    </row>
    <row r="5941" customFormat="false" ht="14.4" hidden="true" customHeight="false" outlineLevel="0" collapsed="false">
      <c r="A5941" s="34" t="n">
        <v>1191793000136</v>
      </c>
      <c r="B5941" s="34" t="s">
        <v>13315</v>
      </c>
      <c r="C5941" s="34" t="s">
        <v>107</v>
      </c>
      <c r="E5941" s="30" t="s">
        <v>4504</v>
      </c>
      <c r="F5941" s="34" t="n">
        <f aca="false">IFERROR(VLOOKUP($A5941,'319'!$B:$H,7,0),0)</f>
        <v>0</v>
      </c>
      <c r="G5941" s="34" t="n">
        <f aca="false">SUMIFS('12.326ana'!$C:$C,'12.326ana'!$M:$M,redes!A5941)</f>
        <v>0</v>
      </c>
    </row>
    <row r="5942" customFormat="false" ht="14.4" hidden="true" customHeight="false" outlineLevel="0" collapsed="false">
      <c r="A5942" s="34" t="n">
        <v>1195522000159</v>
      </c>
      <c r="B5942" s="34" t="s">
        <v>13316</v>
      </c>
      <c r="C5942" s="34" t="s">
        <v>77</v>
      </c>
      <c r="E5942" s="30" t="s">
        <v>9302</v>
      </c>
      <c r="F5942" s="34" t="n">
        <f aca="false">IFERROR(VLOOKUP($A5942,'319'!$B:$H,7,0),0)</f>
        <v>0</v>
      </c>
      <c r="G5942" s="34" t="n">
        <f aca="false">SUMIFS('12.326ana'!$C:$C,'12.326ana'!$M:$M,redes!A5942)</f>
        <v>0</v>
      </c>
    </row>
    <row r="5943" customFormat="false" ht="14.4" hidden="true" customHeight="false" outlineLevel="0" collapsed="false">
      <c r="A5943" s="34" t="n">
        <v>1198120000299</v>
      </c>
      <c r="B5943" s="34" t="s">
        <v>13317</v>
      </c>
      <c r="C5943" s="34" t="s">
        <v>77</v>
      </c>
      <c r="E5943" s="30" t="s">
        <v>13318</v>
      </c>
      <c r="F5943" s="34" t="n">
        <f aca="false">IFERROR(VLOOKUP($A5943,'319'!$B:$H,7,0),0)</f>
        <v>0</v>
      </c>
      <c r="G5943" s="34" t="n">
        <f aca="false">SUMIFS('12.326ana'!$C:$C,'12.326ana'!$M:$M,redes!A5943)</f>
        <v>0</v>
      </c>
    </row>
    <row r="5944" customFormat="false" ht="14.4" hidden="true" customHeight="false" outlineLevel="0" collapsed="false">
      <c r="A5944" s="34" t="n">
        <v>1198495000178</v>
      </c>
      <c r="B5944" s="34" t="s">
        <v>13319</v>
      </c>
      <c r="C5944" s="34" t="s">
        <v>881</v>
      </c>
      <c r="E5944" s="30" t="s">
        <v>13320</v>
      </c>
      <c r="F5944" s="34" t="n">
        <f aca="false">IFERROR(VLOOKUP($A5944,'319'!$B:$H,7,0),0)</f>
        <v>0</v>
      </c>
      <c r="G5944" s="34" t="n">
        <f aca="false">SUMIFS('12.326ana'!$C:$C,'12.326ana'!$M:$M,redes!A5944)</f>
        <v>0</v>
      </c>
    </row>
    <row r="5945" customFormat="false" ht="14.4" hidden="true" customHeight="false" outlineLevel="0" collapsed="false">
      <c r="A5945" s="34" t="n">
        <v>1205304000158</v>
      </c>
      <c r="B5945" s="34" t="s">
        <v>13321</v>
      </c>
      <c r="C5945" s="34" t="s">
        <v>299</v>
      </c>
      <c r="E5945" s="30" t="s">
        <v>13322</v>
      </c>
      <c r="F5945" s="34" t="n">
        <f aca="false">IFERROR(VLOOKUP($A5945,'319'!$B:$H,7,0),0)</f>
        <v>0</v>
      </c>
      <c r="G5945" s="34" t="n">
        <f aca="false">SUMIFS('12.326ana'!$C:$C,'12.326ana'!$M:$M,redes!A5945)</f>
        <v>0</v>
      </c>
    </row>
    <row r="5946" customFormat="false" ht="14.4" hidden="true" customHeight="false" outlineLevel="0" collapsed="false">
      <c r="A5946" s="34" t="n">
        <v>1205306000147</v>
      </c>
      <c r="B5946" s="34" t="s">
        <v>13323</v>
      </c>
      <c r="C5946" s="34" t="s">
        <v>107</v>
      </c>
      <c r="E5946" s="30" t="s">
        <v>13324</v>
      </c>
      <c r="F5946" s="34" t="n">
        <f aca="false">IFERROR(VLOOKUP($A5946,'319'!$B:$H,7,0),0)</f>
        <v>0</v>
      </c>
      <c r="G5946" s="34" t="n">
        <f aca="false">SUMIFS('12.326ana'!$C:$C,'12.326ana'!$M:$M,redes!A5946)</f>
        <v>0</v>
      </c>
    </row>
    <row r="5947" customFormat="false" ht="14.4" hidden="true" customHeight="false" outlineLevel="0" collapsed="false">
      <c r="A5947" s="34" t="n">
        <v>1206306000161</v>
      </c>
      <c r="B5947" s="34" t="s">
        <v>13325</v>
      </c>
      <c r="C5947" s="34" t="s">
        <v>77</v>
      </c>
      <c r="E5947" s="30" t="s">
        <v>13326</v>
      </c>
      <c r="F5947" s="34" t="n">
        <f aca="false">IFERROR(VLOOKUP($A5947,'319'!$B:$H,7,0),0)</f>
        <v>0</v>
      </c>
      <c r="G5947" s="34" t="n">
        <f aca="false">SUMIFS('12.326ana'!$C:$C,'12.326ana'!$M:$M,redes!A5947)</f>
        <v>0</v>
      </c>
    </row>
    <row r="5948" customFormat="false" ht="14.4" hidden="true" customHeight="false" outlineLevel="0" collapsed="false">
      <c r="A5948" s="34" t="n">
        <v>1208618000104</v>
      </c>
      <c r="B5948" s="34" t="s">
        <v>13327</v>
      </c>
      <c r="C5948" s="34" t="s">
        <v>77</v>
      </c>
      <c r="E5948" s="30" t="s">
        <v>13328</v>
      </c>
      <c r="F5948" s="34" t="n">
        <f aca="false">IFERROR(VLOOKUP($A5948,'319'!$B:$H,7,0),0)</f>
        <v>0</v>
      </c>
      <c r="G5948" s="34" t="n">
        <f aca="false">SUMIFS('12.326ana'!$C:$C,'12.326ana'!$M:$M,redes!A5948)</f>
        <v>0</v>
      </c>
    </row>
    <row r="5949" customFormat="false" ht="14.4" hidden="true" customHeight="false" outlineLevel="0" collapsed="false">
      <c r="A5949" s="34" t="n">
        <v>1211215000114</v>
      </c>
      <c r="B5949" s="34" t="s">
        <v>13329</v>
      </c>
      <c r="C5949" s="34" t="s">
        <v>77</v>
      </c>
      <c r="D5949" s="34" t="s">
        <v>13330</v>
      </c>
      <c r="E5949" s="30" t="s">
        <v>13331</v>
      </c>
      <c r="F5949" s="34" t="n">
        <f aca="false">IFERROR(VLOOKUP($A5949,'319'!$B:$H,7,0),0)</f>
        <v>0</v>
      </c>
      <c r="G5949" s="34" t="n">
        <f aca="false">SUMIFS('12.326ana'!$C:$C,'12.326ana'!$M:$M,redes!A5949)</f>
        <v>0</v>
      </c>
    </row>
    <row r="5950" customFormat="false" ht="14.4" hidden="true" customHeight="false" outlineLevel="0" collapsed="false">
      <c r="A5950" s="34" t="n">
        <v>1211215000203</v>
      </c>
      <c r="B5950" s="34" t="s">
        <v>13329</v>
      </c>
      <c r="C5950" s="34" t="s">
        <v>77</v>
      </c>
      <c r="D5950" s="34" t="s">
        <v>13330</v>
      </c>
      <c r="E5950" s="30" t="s">
        <v>11565</v>
      </c>
      <c r="F5950" s="34" t="n">
        <f aca="false">IFERROR(VLOOKUP($A5950,'319'!$B:$H,7,0),0)</f>
        <v>0</v>
      </c>
      <c r="G5950" s="34" t="n">
        <f aca="false">SUMIFS('12.326ana'!$C:$C,'12.326ana'!$M:$M,redes!A5950)</f>
        <v>0</v>
      </c>
    </row>
    <row r="5951" customFormat="false" ht="14.4" hidden="true" customHeight="false" outlineLevel="0" collapsed="false">
      <c r="A5951" s="34" t="n">
        <v>1211225000150</v>
      </c>
      <c r="B5951" s="34" t="s">
        <v>13332</v>
      </c>
      <c r="C5951" s="34" t="s">
        <v>77</v>
      </c>
      <c r="E5951" s="30" t="s">
        <v>13333</v>
      </c>
      <c r="F5951" s="34" t="n">
        <f aca="false">IFERROR(VLOOKUP($A5951,'319'!$B:$H,7,0),0)</f>
        <v>0</v>
      </c>
      <c r="G5951" s="34" t="n">
        <f aca="false">SUMIFS('12.326ana'!$C:$C,'12.326ana'!$M:$M,redes!A5951)</f>
        <v>0</v>
      </c>
    </row>
    <row r="5952" customFormat="false" ht="14.4" hidden="true" customHeight="false" outlineLevel="0" collapsed="false">
      <c r="A5952" s="34" t="n">
        <v>1213806000120</v>
      </c>
      <c r="B5952" s="34" t="s">
        <v>13334</v>
      </c>
      <c r="C5952" s="34" t="s">
        <v>77</v>
      </c>
      <c r="E5952" s="30" t="s">
        <v>13335</v>
      </c>
      <c r="F5952" s="34" t="n">
        <f aca="false">IFERROR(VLOOKUP($A5952,'319'!$B:$H,7,0),0)</f>
        <v>0</v>
      </c>
      <c r="G5952" s="34" t="n">
        <f aca="false">SUMIFS('12.326ana'!$C:$C,'12.326ana'!$M:$M,redes!A5952)</f>
        <v>0</v>
      </c>
    </row>
    <row r="5953" customFormat="false" ht="14.4" hidden="true" customHeight="false" outlineLevel="0" collapsed="false">
      <c r="A5953" s="34" t="n">
        <v>1213811000214</v>
      </c>
      <c r="B5953" s="34" t="s">
        <v>13336</v>
      </c>
      <c r="C5953" s="34" t="s">
        <v>117</v>
      </c>
      <c r="E5953" s="30" t="s">
        <v>13337</v>
      </c>
      <c r="F5953" s="34" t="n">
        <f aca="false">IFERROR(VLOOKUP($A5953,'319'!$B:$H,7,0),0)</f>
        <v>0</v>
      </c>
      <c r="G5953" s="34" t="n">
        <f aca="false">SUMIFS('12.326ana'!$C:$C,'12.326ana'!$M:$M,redes!A5953)</f>
        <v>0</v>
      </c>
    </row>
    <row r="5954" customFormat="false" ht="14.4" hidden="true" customHeight="false" outlineLevel="0" collapsed="false">
      <c r="A5954" s="34" t="n">
        <v>1224212000115</v>
      </c>
      <c r="B5954" s="34" t="s">
        <v>13338</v>
      </c>
      <c r="C5954" s="34" t="s">
        <v>77</v>
      </c>
      <c r="E5954" s="30" t="s">
        <v>4338</v>
      </c>
      <c r="F5954" s="34" t="n">
        <f aca="false">IFERROR(VLOOKUP($A5954,'319'!$B:$H,7,0),0)</f>
        <v>0</v>
      </c>
      <c r="G5954" s="34" t="n">
        <f aca="false">SUMIFS('12.326ana'!$C:$C,'12.326ana'!$M:$M,redes!A5954)</f>
        <v>0</v>
      </c>
    </row>
    <row r="5955" customFormat="false" ht="14.4" hidden="true" customHeight="false" outlineLevel="0" collapsed="false">
      <c r="A5955" s="34" t="n">
        <v>1227407000119</v>
      </c>
      <c r="B5955" s="34" t="s">
        <v>13339</v>
      </c>
      <c r="C5955" s="34" t="s">
        <v>77</v>
      </c>
      <c r="E5955" s="30" t="s">
        <v>13340</v>
      </c>
      <c r="F5955" s="34" t="n">
        <f aca="false">IFERROR(VLOOKUP($A5955,'319'!$B:$H,7,0),0)</f>
        <v>0</v>
      </c>
      <c r="G5955" s="34" t="n">
        <f aca="false">SUMIFS('12.326ana'!$C:$C,'12.326ana'!$M:$M,redes!A5955)</f>
        <v>0</v>
      </c>
    </row>
    <row r="5956" customFormat="false" ht="14.4" hidden="true" customHeight="false" outlineLevel="0" collapsed="false">
      <c r="A5956" s="34" t="n">
        <v>1227416000100</v>
      </c>
      <c r="B5956" s="34" t="s">
        <v>13341</v>
      </c>
      <c r="C5956" s="34" t="s">
        <v>192</v>
      </c>
      <c r="E5956" s="30" t="s">
        <v>13342</v>
      </c>
      <c r="F5956" s="34" t="n">
        <f aca="false">IFERROR(VLOOKUP($A5956,'319'!$B:$H,7,0),0)</f>
        <v>0</v>
      </c>
      <c r="G5956" s="34" t="n">
        <f aca="false">SUMIFS('12.326ana'!$C:$C,'12.326ana'!$M:$M,redes!A5956)</f>
        <v>0</v>
      </c>
    </row>
    <row r="5957" customFormat="false" ht="14.4" hidden="true" customHeight="false" outlineLevel="0" collapsed="false">
      <c r="A5957" s="34" t="n">
        <v>1227428000134</v>
      </c>
      <c r="B5957" s="34" t="s">
        <v>13343</v>
      </c>
      <c r="C5957" s="34" t="s">
        <v>197</v>
      </c>
      <c r="E5957" s="30" t="s">
        <v>13344</v>
      </c>
      <c r="F5957" s="34" t="n">
        <f aca="false">IFERROR(VLOOKUP($A5957,'319'!$B:$H,7,0),0)</f>
        <v>0</v>
      </c>
      <c r="G5957" s="34" t="n">
        <f aca="false">SUMIFS('12.326ana'!$C:$C,'12.326ana'!$M:$M,redes!A5957)</f>
        <v>0</v>
      </c>
    </row>
    <row r="5958" customFormat="false" ht="14.4" hidden="true" customHeight="false" outlineLevel="0" collapsed="false">
      <c r="A5958" s="34" t="n">
        <v>1229091000102</v>
      </c>
      <c r="B5958" s="34" t="s">
        <v>13345</v>
      </c>
      <c r="C5958" s="34" t="s">
        <v>107</v>
      </c>
      <c r="E5958" s="30" t="s">
        <v>13346</v>
      </c>
      <c r="F5958" s="34" t="n">
        <f aca="false">IFERROR(VLOOKUP($A5958,'319'!$B:$H,7,0),0)</f>
        <v>0</v>
      </c>
      <c r="G5958" s="34" t="n">
        <f aca="false">SUMIFS('12.326ana'!$C:$C,'12.326ana'!$M:$M,redes!A5958)</f>
        <v>0</v>
      </c>
    </row>
    <row r="5959" customFormat="false" ht="14.4" hidden="true" customHeight="false" outlineLevel="0" collapsed="false">
      <c r="A5959" s="34" t="n">
        <v>1233701000133</v>
      </c>
      <c r="B5959" s="34" t="s">
        <v>13347</v>
      </c>
      <c r="C5959" s="34" t="s">
        <v>464</v>
      </c>
      <c r="E5959" s="30" t="s">
        <v>13348</v>
      </c>
      <c r="F5959" s="34" t="n">
        <f aca="false">IFERROR(VLOOKUP($A5959,'319'!$B:$H,7,0),0)</f>
        <v>0</v>
      </c>
      <c r="G5959" s="34" t="n">
        <f aca="false">SUMIFS('12.326ana'!$C:$C,'12.326ana'!$M:$M,redes!A5959)</f>
        <v>0</v>
      </c>
    </row>
    <row r="5960" customFormat="false" ht="14.4" hidden="true" customHeight="false" outlineLevel="0" collapsed="false">
      <c r="A5960" s="34" t="n">
        <v>1236243000196</v>
      </c>
      <c r="B5960" s="34" t="s">
        <v>13349</v>
      </c>
      <c r="C5960" s="34" t="s">
        <v>77</v>
      </c>
      <c r="E5960" s="30" t="s">
        <v>13350</v>
      </c>
      <c r="F5960" s="34" t="n">
        <f aca="false">IFERROR(VLOOKUP($A5960,'319'!$B:$H,7,0),0)</f>
        <v>0</v>
      </c>
      <c r="G5960" s="34" t="n">
        <f aca="false">SUMIFS('12.326ana'!$C:$C,'12.326ana'!$M:$M,redes!A5960)</f>
        <v>0</v>
      </c>
    </row>
    <row r="5961" customFormat="false" ht="14.4" hidden="true" customHeight="false" outlineLevel="0" collapsed="false">
      <c r="A5961" s="34" t="n">
        <v>1238130000120</v>
      </c>
      <c r="B5961" s="34" t="s">
        <v>13351</v>
      </c>
      <c r="C5961" s="34" t="s">
        <v>377</v>
      </c>
      <c r="E5961" s="30" t="s">
        <v>5121</v>
      </c>
      <c r="F5961" s="34" t="n">
        <f aca="false">IFERROR(VLOOKUP($A5961,'319'!$B:$H,7,0),0)</f>
        <v>0</v>
      </c>
      <c r="G5961" s="34" t="n">
        <f aca="false">SUMIFS('12.326ana'!$C:$C,'12.326ana'!$M:$M,redes!A5961)</f>
        <v>0</v>
      </c>
    </row>
    <row r="5962" customFormat="false" ht="14.4" hidden="true" customHeight="false" outlineLevel="0" collapsed="false">
      <c r="A5962" s="34" t="n">
        <v>1238203000183</v>
      </c>
      <c r="B5962" s="34" t="s">
        <v>13352</v>
      </c>
      <c r="C5962" s="34" t="s">
        <v>107</v>
      </c>
      <c r="E5962" s="30" t="s">
        <v>13353</v>
      </c>
      <c r="F5962" s="34" t="n">
        <f aca="false">IFERROR(VLOOKUP($A5962,'319'!$B:$H,7,0),0)</f>
        <v>0</v>
      </c>
      <c r="G5962" s="34" t="n">
        <f aca="false">SUMIFS('12.326ana'!$C:$C,'12.326ana'!$M:$M,redes!A5962)</f>
        <v>0</v>
      </c>
    </row>
    <row r="5963" customFormat="false" ht="14.4" hidden="true" customHeight="false" outlineLevel="0" collapsed="false">
      <c r="A5963" s="34" t="n">
        <v>1239083000139</v>
      </c>
      <c r="B5963" s="34" t="s">
        <v>13354</v>
      </c>
      <c r="C5963" s="34" t="s">
        <v>473</v>
      </c>
      <c r="E5963" s="30" t="s">
        <v>13355</v>
      </c>
      <c r="F5963" s="34" t="n">
        <f aca="false">IFERROR(VLOOKUP($A5963,'319'!$B:$H,7,0),0)</f>
        <v>0</v>
      </c>
      <c r="G5963" s="34" t="n">
        <f aca="false">SUMIFS('12.326ana'!$C:$C,'12.326ana'!$M:$M,redes!A5963)</f>
        <v>0</v>
      </c>
    </row>
    <row r="5964" customFormat="false" ht="14.4" hidden="true" customHeight="false" outlineLevel="0" collapsed="false">
      <c r="A5964" s="34" t="n">
        <v>1239161000103</v>
      </c>
      <c r="B5964" s="34" t="s">
        <v>13356</v>
      </c>
      <c r="C5964" s="34" t="s">
        <v>3594</v>
      </c>
      <c r="E5964" s="30" t="s">
        <v>7189</v>
      </c>
      <c r="F5964" s="34" t="n">
        <f aca="false">IFERROR(VLOOKUP($A5964,'319'!$B:$H,7,0),0)</f>
        <v>0</v>
      </c>
      <c r="G5964" s="34" t="n">
        <f aca="false">SUMIFS('12.326ana'!$C:$C,'12.326ana'!$M:$M,redes!A5964)</f>
        <v>0</v>
      </c>
    </row>
    <row r="5965" customFormat="false" ht="14.4" hidden="true" customHeight="false" outlineLevel="0" collapsed="false">
      <c r="A5965" s="34" t="n">
        <v>1239748000104</v>
      </c>
      <c r="B5965" s="34" t="s">
        <v>13357</v>
      </c>
      <c r="C5965" s="34" t="s">
        <v>77</v>
      </c>
      <c r="E5965" s="30" t="s">
        <v>13358</v>
      </c>
      <c r="F5965" s="34" t="n">
        <f aca="false">IFERROR(VLOOKUP($A5965,'319'!$B:$H,7,0),0)</f>
        <v>0</v>
      </c>
      <c r="G5965" s="34" t="n">
        <f aca="false">SUMIFS('12.326ana'!$C:$C,'12.326ana'!$M:$M,redes!A5965)</f>
        <v>0</v>
      </c>
    </row>
    <row r="5966" customFormat="false" ht="14.4" hidden="true" customHeight="false" outlineLevel="0" collapsed="false">
      <c r="A5966" s="34" t="n">
        <v>1241679000173</v>
      </c>
      <c r="B5966" s="34" t="s">
        <v>13359</v>
      </c>
      <c r="C5966" s="34" t="s">
        <v>77</v>
      </c>
      <c r="E5966" s="30" t="s">
        <v>3206</v>
      </c>
      <c r="F5966" s="34" t="n">
        <f aca="false">IFERROR(VLOOKUP($A5966,'319'!$B:$H,7,0),0)</f>
        <v>0</v>
      </c>
      <c r="G5966" s="34" t="n">
        <f aca="false">SUMIFS('12.326ana'!$C:$C,'12.326ana'!$M:$M,redes!A5966)</f>
        <v>0</v>
      </c>
    </row>
    <row r="5967" customFormat="false" ht="14.4" hidden="true" customHeight="false" outlineLevel="0" collapsed="false">
      <c r="A5967" s="34" t="n">
        <v>1242353000160</v>
      </c>
      <c r="B5967" s="34" t="s">
        <v>13360</v>
      </c>
      <c r="C5967" s="34" t="s">
        <v>77</v>
      </c>
      <c r="E5967" s="30" t="s">
        <v>13361</v>
      </c>
      <c r="F5967" s="34" t="n">
        <f aca="false">IFERROR(VLOOKUP($A5967,'319'!$B:$H,7,0),0)</f>
        <v>0</v>
      </c>
      <c r="G5967" s="34" t="n">
        <f aca="false">SUMIFS('12.326ana'!$C:$C,'12.326ana'!$M:$M,redes!A5967)</f>
        <v>0</v>
      </c>
    </row>
    <row r="5968" customFormat="false" ht="14.4" hidden="true" customHeight="false" outlineLevel="0" collapsed="false">
      <c r="A5968" s="34" t="n">
        <v>1242965000153</v>
      </c>
      <c r="B5968" s="34" t="s">
        <v>13362</v>
      </c>
      <c r="C5968" s="34" t="s">
        <v>737</v>
      </c>
      <c r="E5968" s="30" t="s">
        <v>13363</v>
      </c>
      <c r="F5968" s="34" t="n">
        <f aca="false">IFERROR(VLOOKUP($A5968,'319'!$B:$H,7,0),0)</f>
        <v>0</v>
      </c>
      <c r="G5968" s="34" t="n">
        <f aca="false">SUMIFS('12.326ana'!$C:$C,'12.326ana'!$M:$M,redes!A5968)</f>
        <v>0</v>
      </c>
    </row>
    <row r="5969" customFormat="false" ht="14.4" hidden="true" customHeight="false" outlineLevel="0" collapsed="false">
      <c r="A5969" s="34" t="n">
        <v>1243252000104</v>
      </c>
      <c r="B5969" s="34" t="s">
        <v>13364</v>
      </c>
      <c r="C5969" s="34" t="s">
        <v>12298</v>
      </c>
      <c r="E5969" s="30" t="s">
        <v>10099</v>
      </c>
      <c r="F5969" s="34" t="n">
        <f aca="false">IFERROR(VLOOKUP($A5969,'319'!$B:$H,7,0),0)</f>
        <v>0</v>
      </c>
      <c r="G5969" s="34" t="n">
        <f aca="false">SUMIFS('12.326ana'!$C:$C,'12.326ana'!$M:$M,redes!A5969)</f>
        <v>0</v>
      </c>
    </row>
    <row r="5970" customFormat="false" ht="14.4" hidden="true" customHeight="false" outlineLevel="0" collapsed="false">
      <c r="A5970" s="34" t="n">
        <v>1243427000183</v>
      </c>
      <c r="B5970" s="34" t="s">
        <v>13365</v>
      </c>
      <c r="C5970" s="34" t="s">
        <v>77</v>
      </c>
      <c r="E5970" s="30" t="s">
        <v>13366</v>
      </c>
      <c r="F5970" s="34" t="n">
        <f aca="false">IFERROR(VLOOKUP($A5970,'319'!$B:$H,7,0),0)</f>
        <v>0</v>
      </c>
      <c r="G5970" s="34" t="n">
        <f aca="false">SUMIFS('12.326ana'!$C:$C,'12.326ana'!$M:$M,redes!A5970)</f>
        <v>0</v>
      </c>
    </row>
    <row r="5971" customFormat="false" ht="14.4" hidden="true" customHeight="false" outlineLevel="0" collapsed="false">
      <c r="A5971" s="34" t="n">
        <v>1243777000140</v>
      </c>
      <c r="B5971" s="34" t="s">
        <v>13367</v>
      </c>
      <c r="C5971" s="34" t="s">
        <v>77</v>
      </c>
      <c r="E5971" s="30" t="s">
        <v>6851</v>
      </c>
      <c r="F5971" s="34" t="n">
        <f aca="false">IFERROR(VLOOKUP($A5971,'319'!$B:$H,7,0),0)</f>
        <v>0</v>
      </c>
      <c r="G5971" s="34" t="n">
        <f aca="false">SUMIFS('12.326ana'!$C:$C,'12.326ana'!$M:$M,redes!A5971)</f>
        <v>0</v>
      </c>
    </row>
    <row r="5972" customFormat="false" ht="14.4" hidden="true" customHeight="false" outlineLevel="0" collapsed="false">
      <c r="A5972" s="34" t="n">
        <v>1243792000198</v>
      </c>
      <c r="B5972" s="34" t="s">
        <v>13368</v>
      </c>
      <c r="C5972" s="34" t="s">
        <v>77</v>
      </c>
      <c r="E5972" s="30" t="s">
        <v>13369</v>
      </c>
      <c r="F5972" s="34" t="n">
        <f aca="false">IFERROR(VLOOKUP($A5972,'319'!$B:$H,7,0),0)</f>
        <v>0</v>
      </c>
      <c r="G5972" s="34" t="n">
        <f aca="false">SUMIFS('12.326ana'!$C:$C,'12.326ana'!$M:$M,redes!A5972)</f>
        <v>0</v>
      </c>
    </row>
    <row r="5973" customFormat="false" ht="14.4" hidden="true" customHeight="false" outlineLevel="0" collapsed="false">
      <c r="A5973" s="34" t="n">
        <v>1243807000118</v>
      </c>
      <c r="B5973" s="34" t="s">
        <v>13370</v>
      </c>
      <c r="C5973" s="34" t="s">
        <v>77</v>
      </c>
      <c r="E5973" s="30" t="s">
        <v>13371</v>
      </c>
      <c r="F5973" s="34" t="n">
        <f aca="false">IFERROR(VLOOKUP($A5973,'319'!$B:$H,7,0),0)</f>
        <v>0</v>
      </c>
      <c r="G5973" s="34" t="n">
        <f aca="false">SUMIFS('12.326ana'!$C:$C,'12.326ana'!$M:$M,redes!A5973)</f>
        <v>0</v>
      </c>
    </row>
    <row r="5974" customFormat="false" ht="14.4" hidden="true" customHeight="false" outlineLevel="0" collapsed="false">
      <c r="A5974" s="34" t="n">
        <v>1244923000151</v>
      </c>
      <c r="B5974" s="34" t="s">
        <v>13372</v>
      </c>
      <c r="C5974" s="34" t="s">
        <v>967</v>
      </c>
      <c r="E5974" s="30" t="s">
        <v>5613</v>
      </c>
      <c r="F5974" s="34" t="n">
        <f aca="false">IFERROR(VLOOKUP($A5974,'319'!$B:$H,7,0),0)</f>
        <v>0</v>
      </c>
      <c r="G5974" s="34" t="n">
        <f aca="false">SUMIFS('12.326ana'!$C:$C,'12.326ana'!$M:$M,redes!A5974)</f>
        <v>0</v>
      </c>
    </row>
    <row r="5975" customFormat="false" ht="14.4" hidden="true" customHeight="false" outlineLevel="0" collapsed="false">
      <c r="A5975" s="34" t="n">
        <v>1249488000158</v>
      </c>
      <c r="B5975" s="34" t="s">
        <v>13373</v>
      </c>
      <c r="C5975" s="34" t="s">
        <v>77</v>
      </c>
      <c r="E5975" s="30" t="s">
        <v>4630</v>
      </c>
      <c r="F5975" s="34" t="n">
        <f aca="false">IFERROR(VLOOKUP($A5975,'319'!$B:$H,7,0),0)</f>
        <v>0</v>
      </c>
      <c r="G5975" s="34" t="n">
        <f aca="false">SUMIFS('12.326ana'!$C:$C,'12.326ana'!$M:$M,redes!A5975)</f>
        <v>0</v>
      </c>
    </row>
    <row r="5976" customFormat="false" ht="14.4" hidden="true" customHeight="false" outlineLevel="0" collapsed="false">
      <c r="A5976" s="34" t="n">
        <v>1249796000183</v>
      </c>
      <c r="B5976" s="34" t="s">
        <v>13374</v>
      </c>
      <c r="C5976" s="34" t="s">
        <v>139</v>
      </c>
      <c r="E5976" s="30" t="s">
        <v>13375</v>
      </c>
      <c r="F5976" s="34" t="n">
        <f aca="false">IFERROR(VLOOKUP($A5976,'319'!$B:$H,7,0),0)</f>
        <v>0</v>
      </c>
      <c r="G5976" s="34" t="n">
        <f aca="false">SUMIFS('12.326ana'!$C:$C,'12.326ana'!$M:$M,redes!A5976)</f>
        <v>0</v>
      </c>
    </row>
    <row r="5977" customFormat="false" ht="14.4" hidden="true" customHeight="false" outlineLevel="0" collapsed="false">
      <c r="A5977" s="34" t="n">
        <v>1253223000123</v>
      </c>
      <c r="B5977" s="34" t="s">
        <v>13376</v>
      </c>
      <c r="C5977" s="34" t="s">
        <v>107</v>
      </c>
      <c r="E5977" s="30" t="s">
        <v>13377</v>
      </c>
      <c r="F5977" s="34" t="n">
        <f aca="false">IFERROR(VLOOKUP($A5977,'319'!$B:$H,7,0),0)</f>
        <v>0</v>
      </c>
      <c r="G5977" s="34" t="n">
        <f aca="false">SUMIFS('12.326ana'!$C:$C,'12.326ana'!$M:$M,redes!A5977)</f>
        <v>0</v>
      </c>
    </row>
    <row r="5978" customFormat="false" ht="14.4" hidden="true" customHeight="false" outlineLevel="0" collapsed="false">
      <c r="A5978" s="34" t="n">
        <v>1256743000190</v>
      </c>
      <c r="B5978" s="34" t="s">
        <v>13378</v>
      </c>
      <c r="C5978" s="34" t="s">
        <v>89</v>
      </c>
      <c r="E5978" s="30" t="s">
        <v>13379</v>
      </c>
      <c r="F5978" s="34" t="n">
        <f aca="false">IFERROR(VLOOKUP($A5978,'319'!$B:$H,7,0),0)</f>
        <v>0</v>
      </c>
      <c r="G5978" s="34" t="n">
        <f aca="false">SUMIFS('12.326ana'!$C:$C,'12.326ana'!$M:$M,redes!A5978)</f>
        <v>0</v>
      </c>
    </row>
    <row r="5979" customFormat="false" ht="14.4" hidden="true" customHeight="false" outlineLevel="0" collapsed="false">
      <c r="A5979" s="34" t="n">
        <v>1260079000152</v>
      </c>
      <c r="B5979" s="34" t="s">
        <v>13380</v>
      </c>
      <c r="C5979" s="34" t="s">
        <v>809</v>
      </c>
      <c r="E5979" s="30" t="s">
        <v>13381</v>
      </c>
      <c r="F5979" s="34" t="n">
        <f aca="false">IFERROR(VLOOKUP($A5979,'319'!$B:$H,7,0),0)</f>
        <v>0</v>
      </c>
      <c r="G5979" s="34" t="n">
        <f aca="false">SUMIFS('12.326ana'!$C:$C,'12.326ana'!$M:$M,redes!A5979)</f>
        <v>0</v>
      </c>
    </row>
    <row r="5980" customFormat="false" ht="14.4" hidden="true" customHeight="false" outlineLevel="0" collapsed="false">
      <c r="A5980" s="34" t="n">
        <v>1262705000140</v>
      </c>
      <c r="B5980" s="34" t="s">
        <v>13382</v>
      </c>
      <c r="C5980" s="34" t="s">
        <v>139</v>
      </c>
      <c r="E5980" s="30" t="s">
        <v>13383</v>
      </c>
      <c r="F5980" s="34" t="n">
        <f aca="false">IFERROR(VLOOKUP($A5980,'319'!$B:$H,7,0),0)</f>
        <v>0</v>
      </c>
      <c r="G5980" s="34" t="n">
        <f aca="false">SUMIFS('12.326ana'!$C:$C,'12.326ana'!$M:$M,redes!A5980)</f>
        <v>0</v>
      </c>
    </row>
    <row r="5981" customFormat="false" ht="14.4" hidden="true" customHeight="false" outlineLevel="0" collapsed="false">
      <c r="A5981" s="34" t="n">
        <v>1263019000193</v>
      </c>
      <c r="B5981" s="34" t="s">
        <v>13384</v>
      </c>
      <c r="C5981" s="34" t="s">
        <v>77</v>
      </c>
      <c r="E5981" s="30" t="s">
        <v>13385</v>
      </c>
      <c r="F5981" s="34" t="n">
        <f aca="false">IFERROR(VLOOKUP($A5981,'319'!$B:$H,7,0),0)</f>
        <v>0</v>
      </c>
      <c r="G5981" s="34" t="n">
        <f aca="false">SUMIFS('12.326ana'!$C:$C,'12.326ana'!$M:$M,redes!A5981)</f>
        <v>0</v>
      </c>
    </row>
    <row r="5982" customFormat="false" ht="14.4" hidden="true" customHeight="false" outlineLevel="0" collapsed="false">
      <c r="A5982" s="34" t="n">
        <v>1266712000110</v>
      </c>
      <c r="B5982" s="34" t="s">
        <v>13386</v>
      </c>
      <c r="C5982" s="34" t="s">
        <v>139</v>
      </c>
      <c r="E5982" s="30" t="s">
        <v>13387</v>
      </c>
      <c r="F5982" s="34" t="n">
        <f aca="false">IFERROR(VLOOKUP($A5982,'319'!$B:$H,7,0),0)</f>
        <v>0</v>
      </c>
      <c r="G5982" s="34" t="n">
        <f aca="false">SUMIFS('12.326ana'!$C:$C,'12.326ana'!$M:$M,redes!A5982)</f>
        <v>0</v>
      </c>
    </row>
    <row r="5983" customFormat="false" ht="14.4" hidden="true" customHeight="false" outlineLevel="0" collapsed="false">
      <c r="A5983" s="34" t="n">
        <v>1267820000107</v>
      </c>
      <c r="B5983" s="34" t="s">
        <v>13388</v>
      </c>
      <c r="C5983" s="34" t="s">
        <v>107</v>
      </c>
      <c r="E5983" s="30" t="s">
        <v>13389</v>
      </c>
      <c r="F5983" s="34" t="n">
        <f aca="false">IFERROR(VLOOKUP($A5983,'319'!$B:$H,7,0),0)</f>
        <v>0</v>
      </c>
      <c r="G5983" s="34" t="n">
        <f aca="false">SUMIFS('12.326ana'!$C:$C,'12.326ana'!$M:$M,redes!A5983)</f>
        <v>0</v>
      </c>
    </row>
    <row r="5984" customFormat="false" ht="14.4" hidden="true" customHeight="false" outlineLevel="0" collapsed="false">
      <c r="A5984" s="34" t="n">
        <v>1268777000102</v>
      </c>
      <c r="B5984" s="34" t="s">
        <v>13390</v>
      </c>
      <c r="C5984" s="34" t="s">
        <v>89</v>
      </c>
      <c r="E5984" s="30" t="s">
        <v>13391</v>
      </c>
      <c r="F5984" s="34" t="n">
        <f aca="false">IFERROR(VLOOKUP($A5984,'319'!$B:$H,7,0),0)</f>
        <v>0</v>
      </c>
      <c r="G5984" s="34" t="n">
        <f aca="false">SUMIFS('12.326ana'!$C:$C,'12.326ana'!$M:$M,redes!A5984)</f>
        <v>0</v>
      </c>
    </row>
    <row r="5985" customFormat="false" ht="14.4" hidden="true" customHeight="false" outlineLevel="0" collapsed="false">
      <c r="A5985" s="34" t="n">
        <v>1268786000195</v>
      </c>
      <c r="B5985" s="34" t="s">
        <v>13392</v>
      </c>
      <c r="C5985" s="34" t="s">
        <v>357</v>
      </c>
      <c r="E5985" s="30" t="s">
        <v>4262</v>
      </c>
      <c r="F5985" s="34" t="n">
        <f aca="false">IFERROR(VLOOKUP($A5985,'319'!$B:$H,7,0),0)</f>
        <v>0</v>
      </c>
      <c r="G5985" s="34" t="n">
        <f aca="false">SUMIFS('12.326ana'!$C:$C,'12.326ana'!$M:$M,redes!A5985)</f>
        <v>0</v>
      </c>
    </row>
    <row r="5986" customFormat="false" ht="14.4" hidden="true" customHeight="false" outlineLevel="0" collapsed="false">
      <c r="A5986" s="34" t="n">
        <v>1270476000105</v>
      </c>
      <c r="B5986" s="34" t="s">
        <v>13393</v>
      </c>
      <c r="C5986" s="34" t="s">
        <v>473</v>
      </c>
      <c r="E5986" s="30" t="s">
        <v>13394</v>
      </c>
      <c r="F5986" s="34" t="n">
        <f aca="false">IFERROR(VLOOKUP($A5986,'319'!$B:$H,7,0),0)</f>
        <v>0</v>
      </c>
      <c r="G5986" s="34" t="n">
        <f aca="false">SUMIFS('12.326ana'!$C:$C,'12.326ana'!$M:$M,redes!A5986)</f>
        <v>0</v>
      </c>
    </row>
    <row r="5987" customFormat="false" ht="14.4" hidden="true" customHeight="false" outlineLevel="0" collapsed="false">
      <c r="A5987" s="34" t="n">
        <v>1271505000153</v>
      </c>
      <c r="B5987" s="34" t="s">
        <v>13395</v>
      </c>
      <c r="C5987" s="34" t="s">
        <v>342</v>
      </c>
      <c r="E5987" s="30" t="s">
        <v>13396</v>
      </c>
      <c r="F5987" s="34" t="n">
        <f aca="false">IFERROR(VLOOKUP($A5987,'319'!$B:$H,7,0),0)</f>
        <v>0</v>
      </c>
      <c r="G5987" s="34" t="n">
        <f aca="false">SUMIFS('12.326ana'!$C:$C,'12.326ana'!$M:$M,redes!A5987)</f>
        <v>0</v>
      </c>
    </row>
    <row r="5988" customFormat="false" ht="14.4" hidden="true" customHeight="false" outlineLevel="0" collapsed="false">
      <c r="A5988" s="35" t="n">
        <v>1271520000100</v>
      </c>
      <c r="B5988" s="34" t="s">
        <v>13397</v>
      </c>
      <c r="C5988" s="34" t="s">
        <v>77</v>
      </c>
      <c r="E5988" s="30" t="s">
        <v>13397</v>
      </c>
      <c r="F5988" s="34" t="n">
        <f aca="false">IFERROR(VLOOKUP($A5988,'319'!$B:$H,7,0),0)</f>
        <v>0</v>
      </c>
      <c r="G5988" s="34" t="n">
        <f aca="false">SUMIFS('12.326ana'!$C:$C,'12.326ana'!$M:$M,redes!A5988)</f>
        <v>0</v>
      </c>
    </row>
    <row r="5989" customFormat="false" ht="14.4" hidden="true" customHeight="false" outlineLevel="0" collapsed="false">
      <c r="A5989" s="35" t="n">
        <v>1274271000106</v>
      </c>
      <c r="B5989" s="34" t="s">
        <v>13398</v>
      </c>
      <c r="C5989" s="34" t="s">
        <v>809</v>
      </c>
      <c r="E5989" s="30" t="s">
        <v>13399</v>
      </c>
      <c r="F5989" s="34" t="n">
        <f aca="false">IFERROR(VLOOKUP($A5989,'319'!$B:$H,7,0),0)</f>
        <v>0</v>
      </c>
      <c r="G5989" s="34" t="n">
        <f aca="false">SUMIFS('12.326ana'!$C:$C,'12.326ana'!$M:$M,redes!A5989)</f>
        <v>0</v>
      </c>
    </row>
    <row r="5990" customFormat="false" ht="14.4" hidden="true" customHeight="false" outlineLevel="0" collapsed="false">
      <c r="A5990" s="35" t="n">
        <v>1274292000113</v>
      </c>
      <c r="B5990" s="34" t="s">
        <v>13400</v>
      </c>
      <c r="C5990" s="34" t="s">
        <v>77</v>
      </c>
      <c r="E5990" s="30" t="s">
        <v>13401</v>
      </c>
      <c r="F5990" s="34" t="n">
        <f aca="false">IFERROR(VLOOKUP($A5990,'319'!$B:$H,7,0),0)</f>
        <v>0</v>
      </c>
      <c r="G5990" s="34" t="n">
        <f aca="false">SUMIFS('12.326ana'!$C:$C,'12.326ana'!$M:$M,redes!A5990)</f>
        <v>0</v>
      </c>
    </row>
    <row r="5991" customFormat="false" ht="14.4" hidden="true" customHeight="false" outlineLevel="0" collapsed="false">
      <c r="A5991" s="35" t="n">
        <v>1274292000202</v>
      </c>
      <c r="B5991" s="34" t="s">
        <v>13400</v>
      </c>
      <c r="C5991" s="34" t="s">
        <v>77</v>
      </c>
      <c r="E5991" s="30" t="s">
        <v>13402</v>
      </c>
      <c r="F5991" s="34" t="n">
        <f aca="false">IFERROR(VLOOKUP($A5991,'319'!$B:$H,7,0),0)</f>
        <v>0</v>
      </c>
      <c r="G5991" s="34" t="n">
        <f aca="false">SUMIFS('12.326ana'!$C:$C,'12.326ana'!$M:$M,redes!A5991)</f>
        <v>0</v>
      </c>
    </row>
    <row r="5992" customFormat="false" ht="14.4" hidden="true" customHeight="false" outlineLevel="0" collapsed="false">
      <c r="A5992" s="35" t="n">
        <v>1274396000128</v>
      </c>
      <c r="B5992" s="34" t="s">
        <v>2775</v>
      </c>
      <c r="C5992" s="34" t="s">
        <v>192</v>
      </c>
      <c r="D5992" s="34" t="s">
        <v>25</v>
      </c>
      <c r="E5992" s="30" t="s">
        <v>2776</v>
      </c>
      <c r="F5992" s="34" t="n">
        <f aca="false">IFERROR(VLOOKUP($A5992,'319'!$B:$H,7,0),0)</f>
        <v>2692.15</v>
      </c>
      <c r="G5992" s="34" t="n">
        <f aca="false">SUMIFS('12.326ana'!$C:$C,'12.326ana'!$M:$M,redes!A5992)</f>
        <v>0</v>
      </c>
    </row>
    <row r="5993" customFormat="false" ht="14.4" hidden="true" customHeight="false" outlineLevel="0" collapsed="false">
      <c r="A5993" s="35" t="n">
        <v>1274396000209</v>
      </c>
      <c r="B5993" s="34" t="s">
        <v>2775</v>
      </c>
      <c r="C5993" s="34" t="s">
        <v>197</v>
      </c>
      <c r="D5993" s="34" t="s">
        <v>25</v>
      </c>
      <c r="E5993" s="30" t="s">
        <v>2777</v>
      </c>
      <c r="F5993" s="34" t="n">
        <f aca="false">IFERROR(VLOOKUP($A5993,'319'!$B:$H,7,0),0)</f>
        <v>4037.09</v>
      </c>
      <c r="G5993" s="34" t="n">
        <f aca="false">SUMIFS('12.326ana'!$C:$C,'12.326ana'!$M:$M,redes!A5993)</f>
        <v>3051.54</v>
      </c>
    </row>
    <row r="5994" customFormat="false" ht="14.4" hidden="true" customHeight="false" outlineLevel="0" collapsed="false">
      <c r="A5994" s="35" t="n">
        <v>1274396000390</v>
      </c>
      <c r="B5994" s="34" t="s">
        <v>2775</v>
      </c>
      <c r="C5994" s="34" t="s">
        <v>192</v>
      </c>
      <c r="D5994" s="34" t="s">
        <v>25</v>
      </c>
      <c r="E5994" s="30" t="s">
        <v>2778</v>
      </c>
      <c r="F5994" s="34" t="n">
        <f aca="false">IFERROR(VLOOKUP($A5994,'319'!$B:$H,7,0),0)</f>
        <v>15137.6</v>
      </c>
      <c r="G5994" s="34" t="n">
        <f aca="false">SUMIFS('12.326ana'!$C:$C,'12.326ana'!$M:$M,redes!A5994)</f>
        <v>2940.67</v>
      </c>
    </row>
    <row r="5995" customFormat="false" ht="14.4" hidden="true" customHeight="false" outlineLevel="0" collapsed="false">
      <c r="A5995" s="35" t="n">
        <v>1274396000470</v>
      </c>
      <c r="B5995" s="34" t="s">
        <v>2775</v>
      </c>
      <c r="C5995" s="34" t="s">
        <v>207</v>
      </c>
      <c r="D5995" s="34" t="s">
        <v>25</v>
      </c>
      <c r="E5995" s="30" t="s">
        <v>2779</v>
      </c>
      <c r="F5995" s="34" t="n">
        <f aca="false">IFERROR(VLOOKUP($A5995,'319'!$B:$H,7,0),0)</f>
        <v>204.87</v>
      </c>
      <c r="G5995" s="34" t="n">
        <f aca="false">SUMIFS('12.326ana'!$C:$C,'12.326ana'!$M:$M,redes!A5995)</f>
        <v>0</v>
      </c>
    </row>
    <row r="5996" customFormat="false" ht="14.4" hidden="true" customHeight="false" outlineLevel="0" collapsed="false">
      <c r="A5996" s="35" t="n">
        <v>1274396000551</v>
      </c>
      <c r="B5996" s="34" t="s">
        <v>2775</v>
      </c>
      <c r="C5996" s="34" t="s">
        <v>192</v>
      </c>
      <c r="D5996" s="34" t="s">
        <v>25</v>
      </c>
      <c r="E5996" s="30" t="s">
        <v>13403</v>
      </c>
      <c r="F5996" s="34" t="n">
        <f aca="false">IFERROR(VLOOKUP($A5996,'319'!$B:$H,7,0),0)</f>
        <v>0</v>
      </c>
      <c r="G5996" s="34" t="n">
        <f aca="false">SUMIFS('12.326ana'!$C:$C,'12.326ana'!$M:$M,redes!A5996)</f>
        <v>0</v>
      </c>
    </row>
    <row r="5997" customFormat="false" ht="14.4" hidden="true" customHeight="false" outlineLevel="0" collapsed="false">
      <c r="A5997" s="35" t="n">
        <v>1274396000632</v>
      </c>
      <c r="B5997" s="34" t="s">
        <v>2775</v>
      </c>
      <c r="C5997" s="34" t="s">
        <v>197</v>
      </c>
      <c r="D5997" s="34" t="s">
        <v>25</v>
      </c>
      <c r="E5997" s="30" t="s">
        <v>2780</v>
      </c>
      <c r="F5997" s="34" t="n">
        <f aca="false">IFERROR(VLOOKUP($A5997,'319'!$B:$H,7,0),0)</f>
        <v>49122.34</v>
      </c>
      <c r="G5997" s="34" t="n">
        <f aca="false">SUMIFS('12.326ana'!$C:$C,'12.326ana'!$M:$M,redes!A5997)</f>
        <v>14316.2</v>
      </c>
    </row>
    <row r="5998" customFormat="false" ht="14.4" hidden="true" customHeight="false" outlineLevel="0" collapsed="false">
      <c r="A5998" s="34" t="n">
        <v>1274396000713</v>
      </c>
      <c r="B5998" s="34" t="s">
        <v>2775</v>
      </c>
      <c r="C5998" s="34" t="s">
        <v>207</v>
      </c>
      <c r="D5998" s="34" t="s">
        <v>25</v>
      </c>
      <c r="E5998" s="30" t="s">
        <v>2781</v>
      </c>
      <c r="F5998" s="34" t="n">
        <f aca="false">IFERROR(VLOOKUP($A5998,'319'!$B:$H,7,0),0)</f>
        <v>7357.77</v>
      </c>
      <c r="G5998" s="34" t="n">
        <f aca="false">SUMIFS('12.326ana'!$C:$C,'12.326ana'!$M:$M,redes!A5998)</f>
        <v>2612.15</v>
      </c>
    </row>
    <row r="5999" customFormat="false" ht="14.4" hidden="true" customHeight="false" outlineLevel="0" collapsed="false">
      <c r="A5999" s="34" t="n">
        <v>1274396000802</v>
      </c>
      <c r="B5999" s="34" t="s">
        <v>2775</v>
      </c>
      <c r="C5999" s="34" t="s">
        <v>213</v>
      </c>
      <c r="D5999" s="34" t="s">
        <v>25</v>
      </c>
      <c r="E5999" s="30" t="s">
        <v>2781</v>
      </c>
      <c r="F5999" s="34" t="n">
        <f aca="false">IFERROR(VLOOKUP($A5999,'319'!$B:$H,7,0),0)</f>
        <v>9335.77</v>
      </c>
      <c r="G5999" s="34" t="n">
        <f aca="false">SUMIFS('12.326ana'!$C:$C,'12.326ana'!$M:$M,redes!A5999)</f>
        <v>3337.07</v>
      </c>
    </row>
    <row r="6000" customFormat="false" ht="14.4" hidden="true" customHeight="false" outlineLevel="0" collapsed="false">
      <c r="A6000" s="34" t="n">
        <v>1274396000985</v>
      </c>
      <c r="B6000" s="34" t="s">
        <v>2775</v>
      </c>
      <c r="C6000" s="34" t="s">
        <v>207</v>
      </c>
      <c r="D6000" s="34" t="s">
        <v>25</v>
      </c>
      <c r="E6000" s="30" t="s">
        <v>2775</v>
      </c>
      <c r="F6000" s="34" t="n">
        <f aca="false">IFERROR(VLOOKUP($A6000,'319'!$B:$H,7,0),0)</f>
        <v>12951.56</v>
      </c>
      <c r="G6000" s="34" t="n">
        <f aca="false">SUMIFS('12.326ana'!$C:$C,'12.326ana'!$M:$M,redes!A6000)</f>
        <v>4691.84</v>
      </c>
    </row>
    <row r="6001" customFormat="false" ht="14.4" hidden="true" customHeight="false" outlineLevel="0" collapsed="false">
      <c r="A6001" s="34" t="n">
        <v>1274396001019</v>
      </c>
      <c r="B6001" s="34" t="s">
        <v>2775</v>
      </c>
      <c r="C6001" s="34" t="s">
        <v>192</v>
      </c>
      <c r="D6001" s="34" t="s">
        <v>25</v>
      </c>
      <c r="E6001" s="30" t="s">
        <v>2780</v>
      </c>
      <c r="F6001" s="34" t="n">
        <f aca="false">IFERROR(VLOOKUP($A6001,'319'!$B:$H,7,0),0)</f>
        <v>35735.35</v>
      </c>
      <c r="G6001" s="34" t="n">
        <f aca="false">SUMIFS('12.326ana'!$C:$C,'12.326ana'!$M:$M,redes!A6001)</f>
        <v>11928.5</v>
      </c>
    </row>
    <row r="6002" customFormat="false" ht="14.4" hidden="true" customHeight="false" outlineLevel="0" collapsed="false">
      <c r="A6002" s="34" t="n">
        <v>1279295000140</v>
      </c>
      <c r="B6002" s="34" t="s">
        <v>13404</v>
      </c>
      <c r="C6002" s="34" t="s">
        <v>598</v>
      </c>
      <c r="E6002" s="30" t="s">
        <v>13405</v>
      </c>
      <c r="F6002" s="34" t="n">
        <f aca="false">IFERROR(VLOOKUP($A6002,'319'!$B:$H,7,0),0)</f>
        <v>0</v>
      </c>
      <c r="G6002" s="34" t="n">
        <f aca="false">SUMIFS('12.326ana'!$C:$C,'12.326ana'!$M:$M,redes!A6002)</f>
        <v>0</v>
      </c>
    </row>
    <row r="6003" customFormat="false" ht="14.4" hidden="true" customHeight="false" outlineLevel="0" collapsed="false">
      <c r="A6003" s="34" t="n">
        <v>1284031000184</v>
      </c>
      <c r="B6003" s="34" t="s">
        <v>13406</v>
      </c>
      <c r="C6003" s="34" t="s">
        <v>107</v>
      </c>
      <c r="E6003" s="30" t="s">
        <v>2958</v>
      </c>
      <c r="F6003" s="34" t="n">
        <f aca="false">IFERROR(VLOOKUP($A6003,'319'!$B:$H,7,0),0)</f>
        <v>0</v>
      </c>
      <c r="G6003" s="34" t="n">
        <f aca="false">SUMIFS('12.326ana'!$C:$C,'12.326ana'!$M:$M,redes!A6003)</f>
        <v>0</v>
      </c>
    </row>
    <row r="6004" customFormat="false" ht="14.4" hidden="true" customHeight="false" outlineLevel="0" collapsed="false">
      <c r="A6004" s="34" t="n">
        <v>1284924000120</v>
      </c>
      <c r="B6004" s="34" t="s">
        <v>13407</v>
      </c>
      <c r="C6004" s="34" t="s">
        <v>77</v>
      </c>
      <c r="E6004" s="30" t="s">
        <v>6972</v>
      </c>
      <c r="F6004" s="34" t="n">
        <f aca="false">IFERROR(VLOOKUP($A6004,'319'!$B:$H,7,0),0)</f>
        <v>0</v>
      </c>
      <c r="G6004" s="34" t="n">
        <f aca="false">SUMIFS('12.326ana'!$C:$C,'12.326ana'!$M:$M,redes!A6004)</f>
        <v>0</v>
      </c>
    </row>
    <row r="6005" customFormat="false" ht="14.4" hidden="true" customHeight="false" outlineLevel="0" collapsed="false">
      <c r="A6005" s="34" t="n">
        <v>1284937000107</v>
      </c>
      <c r="B6005" s="34" t="s">
        <v>13408</v>
      </c>
      <c r="C6005" s="34" t="s">
        <v>77</v>
      </c>
      <c r="E6005" s="30" t="s">
        <v>13409</v>
      </c>
      <c r="F6005" s="34" t="n">
        <f aca="false">IFERROR(VLOOKUP($A6005,'319'!$B:$H,7,0),0)</f>
        <v>0</v>
      </c>
      <c r="G6005" s="34" t="n">
        <f aca="false">SUMIFS('12.326ana'!$C:$C,'12.326ana'!$M:$M,redes!A6005)</f>
        <v>0</v>
      </c>
    </row>
    <row r="6006" customFormat="false" ht="14.4" hidden="true" customHeight="false" outlineLevel="0" collapsed="false">
      <c r="A6006" s="34" t="n">
        <v>1284944000109</v>
      </c>
      <c r="B6006" s="34" t="s">
        <v>13410</v>
      </c>
      <c r="C6006" s="34" t="s">
        <v>342</v>
      </c>
      <c r="E6006" s="30" t="s">
        <v>7281</v>
      </c>
      <c r="F6006" s="34" t="n">
        <f aca="false">IFERROR(VLOOKUP($A6006,'319'!$B:$H,7,0),0)</f>
        <v>0</v>
      </c>
      <c r="G6006" s="34" t="n">
        <f aca="false">SUMIFS('12.326ana'!$C:$C,'12.326ana'!$M:$M,redes!A6006)</f>
        <v>0</v>
      </c>
    </row>
    <row r="6007" customFormat="false" ht="14.4" hidden="true" customHeight="false" outlineLevel="0" collapsed="false">
      <c r="A6007" s="34" t="n">
        <v>1286605000153</v>
      </c>
      <c r="B6007" s="34" t="s">
        <v>13411</v>
      </c>
      <c r="C6007" s="34" t="s">
        <v>77</v>
      </c>
      <c r="E6007" s="30" t="s">
        <v>13412</v>
      </c>
      <c r="F6007" s="34" t="n">
        <f aca="false">IFERROR(VLOOKUP($A6007,'319'!$B:$H,7,0),0)</f>
        <v>0</v>
      </c>
      <c r="G6007" s="34" t="n">
        <f aca="false">SUMIFS('12.326ana'!$C:$C,'12.326ana'!$M:$M,redes!A6007)</f>
        <v>0</v>
      </c>
    </row>
    <row r="6008" customFormat="false" ht="14.4" hidden="true" customHeight="false" outlineLevel="0" collapsed="false">
      <c r="A6008" s="34" t="n">
        <v>1286635000160</v>
      </c>
      <c r="B6008" s="34" t="s">
        <v>13413</v>
      </c>
      <c r="C6008" s="34" t="s">
        <v>464</v>
      </c>
      <c r="E6008" s="30" t="s">
        <v>13414</v>
      </c>
      <c r="F6008" s="34" t="n">
        <f aca="false">IFERROR(VLOOKUP($A6008,'319'!$B:$H,7,0),0)</f>
        <v>0</v>
      </c>
      <c r="G6008" s="34" t="n">
        <f aca="false">SUMIFS('12.326ana'!$C:$C,'12.326ana'!$M:$M,redes!A6008)</f>
        <v>0</v>
      </c>
    </row>
    <row r="6009" customFormat="false" ht="14.4" hidden="true" customHeight="false" outlineLevel="0" collapsed="false">
      <c r="A6009" s="34" t="n">
        <v>1289530001306</v>
      </c>
      <c r="B6009" s="34" t="s">
        <v>13415</v>
      </c>
      <c r="C6009" s="34" t="s">
        <v>77</v>
      </c>
      <c r="E6009" s="30" t="s">
        <v>13416</v>
      </c>
      <c r="F6009" s="34" t="n">
        <f aca="false">IFERROR(VLOOKUP($A6009,'319'!$B:$H,7,0),0)</f>
        <v>0</v>
      </c>
      <c r="G6009" s="34" t="n">
        <f aca="false">SUMIFS('12.326ana'!$C:$C,'12.326ana'!$M:$M,redes!A6009)</f>
        <v>0</v>
      </c>
    </row>
    <row r="6010" customFormat="false" ht="14.4" hidden="true" customHeight="false" outlineLevel="0" collapsed="false">
      <c r="A6010" s="34" t="n">
        <v>1290529000150</v>
      </c>
      <c r="B6010" s="34" t="s">
        <v>13417</v>
      </c>
      <c r="C6010" s="34" t="s">
        <v>107</v>
      </c>
      <c r="E6010" s="30" t="s">
        <v>13418</v>
      </c>
      <c r="F6010" s="34" t="n">
        <f aca="false">IFERROR(VLOOKUP($A6010,'319'!$B:$H,7,0),0)</f>
        <v>0</v>
      </c>
      <c r="G6010" s="34" t="n">
        <f aca="false">SUMIFS('12.326ana'!$C:$C,'12.326ana'!$M:$M,redes!A6010)</f>
        <v>0</v>
      </c>
    </row>
    <row r="6011" customFormat="false" ht="14.4" hidden="true" customHeight="false" outlineLevel="0" collapsed="false">
      <c r="A6011" s="34" t="n">
        <v>1291043000136</v>
      </c>
      <c r="B6011" s="34" t="s">
        <v>13419</v>
      </c>
      <c r="C6011" s="34" t="s">
        <v>77</v>
      </c>
      <c r="E6011" s="30" t="s">
        <v>13419</v>
      </c>
      <c r="F6011" s="34" t="n">
        <f aca="false">IFERROR(VLOOKUP($A6011,'319'!$B:$H,7,0),0)</f>
        <v>0</v>
      </c>
      <c r="G6011" s="34" t="n">
        <f aca="false">SUMIFS('12.326ana'!$C:$C,'12.326ana'!$M:$M,redes!A6011)</f>
        <v>0</v>
      </c>
    </row>
    <row r="6012" customFormat="false" ht="14.4" hidden="true" customHeight="false" outlineLevel="0" collapsed="false">
      <c r="A6012" s="34" t="n">
        <v>1291045000125</v>
      </c>
      <c r="B6012" s="34" t="s">
        <v>13420</v>
      </c>
      <c r="C6012" s="34" t="s">
        <v>77</v>
      </c>
      <c r="E6012" s="30"/>
      <c r="F6012" s="34" t="n">
        <f aca="false">IFERROR(VLOOKUP($A6012,'319'!$B:$H,7,0),0)</f>
        <v>0</v>
      </c>
      <c r="G6012" s="34" t="n">
        <f aca="false">SUMIFS('12.326ana'!$C:$C,'12.326ana'!$M:$M,redes!A6012)</f>
        <v>0</v>
      </c>
    </row>
    <row r="6013" customFormat="false" ht="14.4" hidden="true" customHeight="false" outlineLevel="0" collapsed="false">
      <c r="A6013" s="34" t="n">
        <v>1291303000173</v>
      </c>
      <c r="B6013" s="34" t="s">
        <v>13421</v>
      </c>
      <c r="C6013" s="34" t="s">
        <v>77</v>
      </c>
      <c r="E6013" s="30" t="s">
        <v>11918</v>
      </c>
      <c r="F6013" s="34" t="n">
        <f aca="false">IFERROR(VLOOKUP($A6013,'319'!$B:$H,7,0),0)</f>
        <v>0</v>
      </c>
      <c r="G6013" s="34" t="n">
        <f aca="false">SUMIFS('12.326ana'!$C:$C,'12.326ana'!$M:$M,redes!A6013)</f>
        <v>0</v>
      </c>
    </row>
    <row r="6014" customFormat="false" ht="14.4" hidden="true" customHeight="false" outlineLevel="0" collapsed="false">
      <c r="A6014" s="34" t="n">
        <v>1293608000114</v>
      </c>
      <c r="B6014" s="34" t="s">
        <v>13422</v>
      </c>
      <c r="C6014" s="34" t="s">
        <v>77</v>
      </c>
      <c r="E6014" s="30"/>
      <c r="F6014" s="34" t="n">
        <f aca="false">IFERROR(VLOOKUP($A6014,'319'!$B:$H,7,0),0)</f>
        <v>0</v>
      </c>
      <c r="G6014" s="34" t="n">
        <f aca="false">SUMIFS('12.326ana'!$C:$C,'12.326ana'!$M:$M,redes!A6014)</f>
        <v>0</v>
      </c>
    </row>
    <row r="6015" customFormat="false" ht="14.4" hidden="true" customHeight="false" outlineLevel="0" collapsed="false">
      <c r="A6015" s="34" t="n">
        <v>1293613000127</v>
      </c>
      <c r="B6015" s="34" t="s">
        <v>13423</v>
      </c>
      <c r="C6015" s="34" t="s">
        <v>357</v>
      </c>
      <c r="E6015" s="30" t="s">
        <v>13424</v>
      </c>
      <c r="F6015" s="34" t="n">
        <f aca="false">IFERROR(VLOOKUP($A6015,'319'!$B:$H,7,0),0)</f>
        <v>0</v>
      </c>
      <c r="G6015" s="34" t="n">
        <f aca="false">SUMIFS('12.326ana'!$C:$C,'12.326ana'!$M:$M,redes!A6015)</f>
        <v>0</v>
      </c>
    </row>
    <row r="6016" customFormat="false" ht="14.4" hidden="true" customHeight="false" outlineLevel="0" collapsed="false">
      <c r="A6016" s="34" t="n">
        <v>1293616000160</v>
      </c>
      <c r="B6016" s="34" t="s">
        <v>13425</v>
      </c>
      <c r="C6016" s="34" t="s">
        <v>192</v>
      </c>
      <c r="E6016" s="30" t="s">
        <v>13426</v>
      </c>
      <c r="F6016" s="34" t="n">
        <f aca="false">IFERROR(VLOOKUP($A6016,'319'!$B:$H,7,0),0)</f>
        <v>0</v>
      </c>
      <c r="G6016" s="34" t="n">
        <f aca="false">SUMIFS('12.326ana'!$C:$C,'12.326ana'!$M:$M,redes!A6016)</f>
        <v>0</v>
      </c>
    </row>
    <row r="6017" customFormat="false" ht="14.4" hidden="true" customHeight="false" outlineLevel="0" collapsed="false">
      <c r="A6017" s="34" t="n">
        <v>1296408000115</v>
      </c>
      <c r="B6017" s="34" t="s">
        <v>13427</v>
      </c>
      <c r="C6017" s="34" t="s">
        <v>77</v>
      </c>
      <c r="E6017" s="30" t="s">
        <v>13428</v>
      </c>
      <c r="F6017" s="34" t="n">
        <f aca="false">IFERROR(VLOOKUP($A6017,'319'!$B:$H,7,0),0)</f>
        <v>0</v>
      </c>
      <c r="G6017" s="34" t="n">
        <f aca="false">SUMIFS('12.326ana'!$C:$C,'12.326ana'!$M:$M,redes!A6017)</f>
        <v>0</v>
      </c>
    </row>
    <row r="6018" customFormat="false" ht="14.4" hidden="true" customHeight="false" outlineLevel="0" collapsed="false">
      <c r="A6018" s="34" t="n">
        <v>1305082000145</v>
      </c>
      <c r="B6018" s="34" t="s">
        <v>13429</v>
      </c>
      <c r="C6018" s="34" t="s">
        <v>377</v>
      </c>
      <c r="E6018" s="30" t="s">
        <v>13430</v>
      </c>
      <c r="F6018" s="34" t="n">
        <f aca="false">IFERROR(VLOOKUP($A6018,'319'!$B:$H,7,0),0)</f>
        <v>0</v>
      </c>
      <c r="G6018" s="34" t="n">
        <f aca="false">SUMIFS('12.326ana'!$C:$C,'12.326ana'!$M:$M,redes!A6018)</f>
        <v>0</v>
      </c>
    </row>
    <row r="6019" customFormat="false" ht="14.4" hidden="true" customHeight="false" outlineLevel="0" collapsed="false">
      <c r="A6019" s="34" t="n">
        <v>1313254000122</v>
      </c>
      <c r="B6019" s="34" t="s">
        <v>13431</v>
      </c>
      <c r="C6019" s="34" t="s">
        <v>781</v>
      </c>
      <c r="E6019" s="30" t="s">
        <v>13432</v>
      </c>
      <c r="F6019" s="34" t="n">
        <f aca="false">IFERROR(VLOOKUP($A6019,'319'!$B:$H,7,0),0)</f>
        <v>0</v>
      </c>
      <c r="G6019" s="34" t="n">
        <f aca="false">SUMIFS('12.326ana'!$C:$C,'12.326ana'!$M:$M,redes!A6019)</f>
        <v>0</v>
      </c>
    </row>
    <row r="6020" customFormat="false" ht="14.4" hidden="true" customHeight="false" outlineLevel="0" collapsed="false">
      <c r="A6020" s="34" t="n">
        <v>1313795000150</v>
      </c>
      <c r="B6020" s="34" t="s">
        <v>13433</v>
      </c>
      <c r="C6020" s="34" t="s">
        <v>13434</v>
      </c>
      <c r="E6020" s="30" t="s">
        <v>13435</v>
      </c>
      <c r="F6020" s="34" t="n">
        <f aca="false">IFERROR(VLOOKUP($A6020,'319'!$B:$H,7,0),0)</f>
        <v>0</v>
      </c>
      <c r="G6020" s="34" t="n">
        <f aca="false">SUMIFS('12.326ana'!$C:$C,'12.326ana'!$M:$M,redes!A6020)</f>
        <v>0</v>
      </c>
    </row>
    <row r="6021" customFormat="false" ht="14.4" hidden="true" customHeight="false" outlineLevel="0" collapsed="false">
      <c r="A6021" s="34" t="n">
        <v>1316077000138</v>
      </c>
      <c r="B6021" s="34" t="s">
        <v>13436</v>
      </c>
      <c r="C6021" s="34" t="s">
        <v>77</v>
      </c>
      <c r="E6021" s="30" t="s">
        <v>13437</v>
      </c>
      <c r="F6021" s="34" t="n">
        <f aca="false">IFERROR(VLOOKUP($A6021,'319'!$B:$H,7,0),0)</f>
        <v>0</v>
      </c>
      <c r="G6021" s="34" t="n">
        <f aca="false">SUMIFS('12.326ana'!$C:$C,'12.326ana'!$M:$M,redes!A6021)</f>
        <v>0</v>
      </c>
    </row>
    <row r="6022" customFormat="false" ht="14.4" hidden="true" customHeight="false" outlineLevel="0" collapsed="false">
      <c r="A6022" s="34" t="n">
        <v>1318491000186</v>
      </c>
      <c r="B6022" s="34" t="s">
        <v>13438</v>
      </c>
      <c r="C6022" s="34" t="s">
        <v>680</v>
      </c>
      <c r="E6022" s="30" t="s">
        <v>13439</v>
      </c>
      <c r="F6022" s="34" t="n">
        <f aca="false">IFERROR(VLOOKUP($A6022,'319'!$B:$H,7,0),0)</f>
        <v>0</v>
      </c>
      <c r="G6022" s="34" t="n">
        <f aca="false">SUMIFS('12.326ana'!$C:$C,'12.326ana'!$M:$M,redes!A6022)</f>
        <v>0</v>
      </c>
    </row>
    <row r="6023" customFormat="false" ht="14.4" hidden="true" customHeight="false" outlineLevel="0" collapsed="false">
      <c r="A6023" s="34" t="n">
        <v>1319366000190</v>
      </c>
      <c r="B6023" s="34" t="s">
        <v>13440</v>
      </c>
      <c r="C6023" s="34" t="s">
        <v>77</v>
      </c>
      <c r="E6023" s="30" t="s">
        <v>10111</v>
      </c>
      <c r="F6023" s="34" t="n">
        <f aca="false">IFERROR(VLOOKUP($A6023,'319'!$B:$H,7,0),0)</f>
        <v>0</v>
      </c>
      <c r="G6023" s="34" t="n">
        <f aca="false">SUMIFS('12.326ana'!$C:$C,'12.326ana'!$M:$M,redes!A6023)</f>
        <v>0</v>
      </c>
    </row>
    <row r="6024" customFormat="false" ht="14.4" hidden="true" customHeight="false" outlineLevel="0" collapsed="false">
      <c r="A6024" s="34" t="n">
        <v>1325884000117</v>
      </c>
      <c r="B6024" s="34" t="s">
        <v>13441</v>
      </c>
      <c r="C6024" s="34" t="s">
        <v>77</v>
      </c>
      <c r="E6024" s="30" t="s">
        <v>13442</v>
      </c>
      <c r="F6024" s="34" t="n">
        <f aca="false">IFERROR(VLOOKUP($A6024,'319'!$B:$H,7,0),0)</f>
        <v>0</v>
      </c>
      <c r="G6024" s="34" t="n">
        <f aca="false">SUMIFS('12.326ana'!$C:$C,'12.326ana'!$M:$M,redes!A6024)</f>
        <v>0</v>
      </c>
    </row>
    <row r="6025" customFormat="false" ht="14.4" hidden="true" customHeight="false" outlineLevel="0" collapsed="false">
      <c r="A6025" s="34" t="n">
        <v>1325890000174</v>
      </c>
      <c r="B6025" s="34" t="s">
        <v>13443</v>
      </c>
      <c r="C6025" s="34" t="s">
        <v>77</v>
      </c>
      <c r="E6025" s="30" t="s">
        <v>5070</v>
      </c>
      <c r="F6025" s="34" t="n">
        <f aca="false">IFERROR(VLOOKUP($A6025,'319'!$B:$H,7,0),0)</f>
        <v>0</v>
      </c>
      <c r="G6025" s="34" t="n">
        <f aca="false">SUMIFS('12.326ana'!$C:$C,'12.326ana'!$M:$M,redes!A6025)</f>
        <v>0</v>
      </c>
    </row>
    <row r="6026" customFormat="false" ht="14.4" hidden="true" customHeight="false" outlineLevel="0" collapsed="false">
      <c r="A6026" s="34" t="n">
        <v>1330656000135</v>
      </c>
      <c r="B6026" s="34" t="s">
        <v>13444</v>
      </c>
      <c r="C6026" s="34" t="s">
        <v>192</v>
      </c>
      <c r="E6026" s="30" t="s">
        <v>13445</v>
      </c>
      <c r="F6026" s="34" t="n">
        <f aca="false">IFERROR(VLOOKUP($A6026,'319'!$B:$H,7,0),0)</f>
        <v>0</v>
      </c>
      <c r="G6026" s="34" t="n">
        <f aca="false">SUMIFS('12.326ana'!$C:$C,'12.326ana'!$M:$M,redes!A6026)</f>
        <v>0</v>
      </c>
    </row>
    <row r="6027" customFormat="false" ht="14.4" hidden="true" customHeight="false" outlineLevel="0" collapsed="false">
      <c r="A6027" s="34" t="n">
        <v>1330663000137</v>
      </c>
      <c r="B6027" s="34" t="s">
        <v>13446</v>
      </c>
      <c r="C6027" s="34" t="s">
        <v>77</v>
      </c>
      <c r="E6027" s="30" t="s">
        <v>13447</v>
      </c>
      <c r="F6027" s="34" t="n">
        <f aca="false">IFERROR(VLOOKUP($A6027,'319'!$B:$H,7,0),0)</f>
        <v>0</v>
      </c>
      <c r="G6027" s="34" t="n">
        <f aca="false">SUMIFS('12.326ana'!$C:$C,'12.326ana'!$M:$M,redes!A6027)</f>
        <v>0</v>
      </c>
    </row>
    <row r="6028" customFormat="false" ht="14.4" hidden="true" customHeight="false" outlineLevel="0" collapsed="false">
      <c r="A6028" s="34" t="n">
        <v>1331512000101</v>
      </c>
      <c r="B6028" s="34" t="s">
        <v>13448</v>
      </c>
      <c r="C6028" s="34" t="s">
        <v>1602</v>
      </c>
      <c r="E6028" s="30" t="s">
        <v>12450</v>
      </c>
      <c r="F6028" s="34" t="n">
        <f aca="false">IFERROR(VLOOKUP($A6028,'319'!$B:$H,7,0),0)</f>
        <v>0</v>
      </c>
      <c r="G6028" s="34" t="n">
        <f aca="false">SUMIFS('12.326ana'!$C:$C,'12.326ana'!$M:$M,redes!A6028)</f>
        <v>0</v>
      </c>
    </row>
    <row r="6029" customFormat="false" ht="14.4" hidden="true" customHeight="false" outlineLevel="0" collapsed="false">
      <c r="A6029" s="34" t="n">
        <v>1331513000148</v>
      </c>
      <c r="B6029" s="34" t="s">
        <v>13449</v>
      </c>
      <c r="C6029" s="34" t="s">
        <v>7250</v>
      </c>
      <c r="E6029" s="30" t="s">
        <v>13450</v>
      </c>
      <c r="F6029" s="34" t="n">
        <f aca="false">IFERROR(VLOOKUP($A6029,'319'!$B:$H,7,0),0)</f>
        <v>0</v>
      </c>
      <c r="G6029" s="34" t="n">
        <f aca="false">SUMIFS('12.326ana'!$C:$C,'12.326ana'!$M:$M,redes!A6029)</f>
        <v>0</v>
      </c>
    </row>
    <row r="6030" customFormat="false" ht="14.4" hidden="true" customHeight="false" outlineLevel="0" collapsed="false">
      <c r="A6030" s="34" t="n">
        <v>1331513000229</v>
      </c>
      <c r="B6030" s="34" t="s">
        <v>13451</v>
      </c>
      <c r="C6030" s="34" t="s">
        <v>7250</v>
      </c>
      <c r="E6030" s="30" t="s">
        <v>13452</v>
      </c>
      <c r="F6030" s="34" t="n">
        <f aca="false">IFERROR(VLOOKUP($A6030,'319'!$B:$H,7,0),0)</f>
        <v>0</v>
      </c>
      <c r="G6030" s="34" t="n">
        <f aca="false">SUMIFS('12.326ana'!$C:$C,'12.326ana'!$M:$M,redes!A6030)</f>
        <v>0</v>
      </c>
    </row>
    <row r="6031" customFormat="false" ht="14.4" hidden="true" customHeight="false" outlineLevel="0" collapsed="false">
      <c r="A6031" s="34" t="n">
        <v>1332532000199</v>
      </c>
      <c r="B6031" s="34" t="s">
        <v>13453</v>
      </c>
      <c r="C6031" s="34" t="s">
        <v>77</v>
      </c>
      <c r="E6031" s="30" t="s">
        <v>13453</v>
      </c>
      <c r="F6031" s="34" t="n">
        <f aca="false">IFERROR(VLOOKUP($A6031,'319'!$B:$H,7,0),0)</f>
        <v>0</v>
      </c>
      <c r="G6031" s="34" t="n">
        <f aca="false">SUMIFS('12.326ana'!$C:$C,'12.326ana'!$M:$M,redes!A6031)</f>
        <v>0</v>
      </c>
    </row>
    <row r="6032" customFormat="false" ht="14.4" hidden="true" customHeight="false" outlineLevel="0" collapsed="false">
      <c r="A6032" s="34" t="n">
        <v>1337830000171</v>
      </c>
      <c r="B6032" s="34" t="s">
        <v>13454</v>
      </c>
      <c r="C6032" s="34" t="s">
        <v>77</v>
      </c>
      <c r="E6032" s="30" t="s">
        <v>13455</v>
      </c>
      <c r="F6032" s="34" t="n">
        <f aca="false">IFERROR(VLOOKUP($A6032,'319'!$B:$H,7,0),0)</f>
        <v>0</v>
      </c>
      <c r="G6032" s="34" t="n">
        <f aca="false">SUMIFS('12.326ana'!$C:$C,'12.326ana'!$M:$M,redes!A6032)</f>
        <v>0</v>
      </c>
    </row>
    <row r="6033" customFormat="false" ht="14.4" hidden="true" customHeight="false" outlineLevel="0" collapsed="false">
      <c r="A6033" s="34" t="n">
        <v>1339721000789</v>
      </c>
      <c r="B6033" s="34" t="s">
        <v>13456</v>
      </c>
      <c r="C6033" s="34" t="s">
        <v>89</v>
      </c>
      <c r="E6033" s="30" t="s">
        <v>13457</v>
      </c>
      <c r="F6033" s="34" t="n">
        <f aca="false">IFERROR(VLOOKUP($A6033,'319'!$B:$H,7,0),0)</f>
        <v>0</v>
      </c>
      <c r="G6033" s="34" t="n">
        <f aca="false">SUMIFS('12.326ana'!$C:$C,'12.326ana'!$M:$M,redes!A6033)</f>
        <v>0</v>
      </c>
    </row>
    <row r="6034" customFormat="false" ht="14.4" hidden="true" customHeight="false" outlineLevel="0" collapsed="false">
      <c r="A6034" s="34" t="n">
        <v>1339721000860</v>
      </c>
      <c r="B6034" s="34" t="s">
        <v>13456</v>
      </c>
      <c r="C6034" s="34" t="s">
        <v>89</v>
      </c>
      <c r="E6034" s="30" t="s">
        <v>13457</v>
      </c>
      <c r="F6034" s="34" t="n">
        <f aca="false">IFERROR(VLOOKUP($A6034,'319'!$B:$H,7,0),0)</f>
        <v>0</v>
      </c>
      <c r="G6034" s="34" t="n">
        <f aca="false">SUMIFS('12.326ana'!$C:$C,'12.326ana'!$M:$M,redes!A6034)</f>
        <v>0</v>
      </c>
    </row>
    <row r="6035" customFormat="false" ht="14.4" hidden="true" customHeight="false" outlineLevel="0" collapsed="false">
      <c r="A6035" s="34" t="n">
        <v>1340262000168</v>
      </c>
      <c r="B6035" s="34" t="s">
        <v>13458</v>
      </c>
      <c r="C6035" s="34" t="s">
        <v>77</v>
      </c>
      <c r="E6035" s="30" t="s">
        <v>13459</v>
      </c>
      <c r="F6035" s="34" t="n">
        <f aca="false">IFERROR(VLOOKUP($A6035,'319'!$B:$H,7,0),0)</f>
        <v>0</v>
      </c>
      <c r="G6035" s="34" t="n">
        <f aca="false">SUMIFS('12.326ana'!$C:$C,'12.326ana'!$M:$M,redes!A6035)</f>
        <v>0</v>
      </c>
    </row>
    <row r="6036" customFormat="false" ht="14.4" hidden="true" customHeight="false" outlineLevel="0" collapsed="false">
      <c r="A6036" s="34" t="n">
        <v>1340809000125</v>
      </c>
      <c r="B6036" s="34" t="s">
        <v>13460</v>
      </c>
      <c r="C6036" s="34" t="s">
        <v>213</v>
      </c>
      <c r="E6036" s="30" t="s">
        <v>13461</v>
      </c>
      <c r="F6036" s="34" t="n">
        <f aca="false">IFERROR(VLOOKUP($A6036,'319'!$B:$H,7,0),0)</f>
        <v>0</v>
      </c>
      <c r="G6036" s="34" t="n">
        <f aca="false">SUMIFS('12.326ana'!$C:$C,'12.326ana'!$M:$M,redes!A6036)</f>
        <v>0</v>
      </c>
    </row>
    <row r="6037" customFormat="false" ht="14.4" hidden="true" customHeight="false" outlineLevel="0" collapsed="false">
      <c r="A6037" s="34" t="n">
        <v>1346270000111</v>
      </c>
      <c r="B6037" s="34" t="s">
        <v>13462</v>
      </c>
      <c r="C6037" s="34" t="s">
        <v>351</v>
      </c>
      <c r="E6037" s="30" t="s">
        <v>13463</v>
      </c>
      <c r="F6037" s="34" t="n">
        <f aca="false">IFERROR(VLOOKUP($A6037,'319'!$B:$H,7,0),0)</f>
        <v>0</v>
      </c>
      <c r="G6037" s="34" t="n">
        <f aca="false">SUMIFS('12.326ana'!$C:$C,'12.326ana'!$M:$M,redes!A6037)</f>
        <v>0</v>
      </c>
    </row>
    <row r="6038" customFormat="false" ht="14.4" hidden="true" customHeight="false" outlineLevel="0" collapsed="false">
      <c r="A6038" s="34" t="n">
        <v>1348779000101</v>
      </c>
      <c r="B6038" s="34" t="s">
        <v>13464</v>
      </c>
      <c r="C6038" s="34" t="s">
        <v>744</v>
      </c>
      <c r="E6038" s="30" t="s">
        <v>11474</v>
      </c>
      <c r="F6038" s="34" t="n">
        <f aca="false">IFERROR(VLOOKUP($A6038,'319'!$B:$H,7,0),0)</f>
        <v>0</v>
      </c>
      <c r="G6038" s="34" t="n">
        <f aca="false">SUMIFS('12.326ana'!$C:$C,'12.326ana'!$M:$M,redes!A6038)</f>
        <v>0</v>
      </c>
    </row>
    <row r="6039" customFormat="false" ht="14.4" hidden="true" customHeight="false" outlineLevel="0" collapsed="false">
      <c r="A6039" s="34" t="n">
        <v>1350078000107</v>
      </c>
      <c r="B6039" s="34" t="s">
        <v>13465</v>
      </c>
      <c r="C6039" s="34" t="s">
        <v>89</v>
      </c>
      <c r="E6039" s="30" t="s">
        <v>13466</v>
      </c>
      <c r="F6039" s="34" t="n">
        <f aca="false">IFERROR(VLOOKUP($A6039,'319'!$B:$H,7,0),0)</f>
        <v>0</v>
      </c>
      <c r="G6039" s="34" t="n">
        <f aca="false">SUMIFS('12.326ana'!$C:$C,'12.326ana'!$M:$M,redes!A6039)</f>
        <v>0</v>
      </c>
    </row>
    <row r="6040" customFormat="false" ht="14.4" hidden="true" customHeight="false" outlineLevel="0" collapsed="false">
      <c r="A6040" s="34" t="n">
        <v>1350092000100</v>
      </c>
      <c r="B6040" s="34" t="s">
        <v>13467</v>
      </c>
      <c r="C6040" s="34" t="s">
        <v>77</v>
      </c>
      <c r="E6040" s="30" t="s">
        <v>13468</v>
      </c>
      <c r="F6040" s="34" t="n">
        <f aca="false">IFERROR(VLOOKUP($A6040,'319'!$B:$H,7,0),0)</f>
        <v>0</v>
      </c>
      <c r="G6040" s="34" t="n">
        <f aca="false">SUMIFS('12.326ana'!$C:$C,'12.326ana'!$M:$M,redes!A6040)</f>
        <v>0</v>
      </c>
    </row>
    <row r="6041" customFormat="false" ht="14.4" hidden="true" customHeight="false" outlineLevel="0" collapsed="false">
      <c r="A6041" s="34" t="n">
        <v>1350093000147</v>
      </c>
      <c r="B6041" s="34" t="s">
        <v>13469</v>
      </c>
      <c r="C6041" s="34" t="s">
        <v>77</v>
      </c>
      <c r="E6041" s="30" t="s">
        <v>13470</v>
      </c>
      <c r="F6041" s="34" t="n">
        <f aca="false">IFERROR(VLOOKUP($A6041,'319'!$B:$H,7,0),0)</f>
        <v>0</v>
      </c>
      <c r="G6041" s="34" t="n">
        <f aca="false">SUMIFS('12.326ana'!$C:$C,'12.326ana'!$M:$M,redes!A6041)</f>
        <v>0</v>
      </c>
    </row>
    <row r="6042" customFormat="false" ht="14.4" hidden="true" customHeight="false" outlineLevel="0" collapsed="false">
      <c r="A6042" s="34" t="n">
        <v>1352627000174</v>
      </c>
      <c r="B6042" s="34" t="s">
        <v>13471</v>
      </c>
      <c r="C6042" s="34" t="s">
        <v>107</v>
      </c>
      <c r="E6042" s="30" t="s">
        <v>13472</v>
      </c>
      <c r="F6042" s="34" t="n">
        <f aca="false">IFERROR(VLOOKUP($A6042,'319'!$B:$H,7,0),0)</f>
        <v>0</v>
      </c>
      <c r="G6042" s="34" t="n">
        <f aca="false">SUMIFS('12.326ana'!$C:$C,'12.326ana'!$M:$M,redes!A6042)</f>
        <v>0</v>
      </c>
    </row>
    <row r="6043" customFormat="false" ht="14.4" hidden="true" customHeight="false" outlineLevel="0" collapsed="false">
      <c r="A6043" s="34" t="n">
        <v>1356241000130</v>
      </c>
      <c r="B6043" s="34" t="s">
        <v>13473</v>
      </c>
      <c r="C6043" s="34" t="s">
        <v>1272</v>
      </c>
      <c r="E6043" s="30" t="s">
        <v>13474</v>
      </c>
      <c r="F6043" s="34" t="n">
        <f aca="false">IFERROR(VLOOKUP($A6043,'319'!$B:$H,7,0),0)</f>
        <v>0</v>
      </c>
      <c r="G6043" s="34" t="n">
        <f aca="false">SUMIFS('12.326ana'!$C:$C,'12.326ana'!$M:$M,redes!A6043)</f>
        <v>0</v>
      </c>
    </row>
    <row r="6044" customFormat="false" ht="14.4" hidden="true" customHeight="false" outlineLevel="0" collapsed="false">
      <c r="A6044" s="34" t="n">
        <v>1356246000163</v>
      </c>
      <c r="B6044" s="34" t="s">
        <v>13475</v>
      </c>
      <c r="C6044" s="34" t="s">
        <v>77</v>
      </c>
      <c r="E6044" s="30" t="s">
        <v>13476</v>
      </c>
      <c r="F6044" s="34" t="n">
        <f aca="false">IFERROR(VLOOKUP($A6044,'319'!$B:$H,7,0),0)</f>
        <v>0</v>
      </c>
      <c r="G6044" s="34" t="n">
        <f aca="false">SUMIFS('12.326ana'!$C:$C,'12.326ana'!$M:$M,redes!A6044)</f>
        <v>0</v>
      </c>
    </row>
    <row r="6045" customFormat="false" ht="14.4" hidden="true" customHeight="false" outlineLevel="0" collapsed="false">
      <c r="A6045" s="34" t="n">
        <v>1358478000150</v>
      </c>
      <c r="B6045" s="34" t="s">
        <v>13477</v>
      </c>
      <c r="C6045" s="34" t="s">
        <v>77</v>
      </c>
      <c r="E6045" s="30" t="s">
        <v>13478</v>
      </c>
      <c r="F6045" s="34" t="n">
        <f aca="false">IFERROR(VLOOKUP($A6045,'319'!$B:$H,7,0),0)</f>
        <v>0</v>
      </c>
      <c r="G6045" s="34" t="n">
        <f aca="false">SUMIFS('12.326ana'!$C:$C,'12.326ana'!$M:$M,redes!A6045)</f>
        <v>0</v>
      </c>
    </row>
    <row r="6046" customFormat="false" ht="14.4" hidden="true" customHeight="false" outlineLevel="0" collapsed="false">
      <c r="A6046" s="35" t="n">
        <v>1367731000132</v>
      </c>
      <c r="B6046" s="34" t="s">
        <v>13479</v>
      </c>
      <c r="C6046" s="34" t="s">
        <v>1272</v>
      </c>
      <c r="E6046" s="30" t="s">
        <v>8730</v>
      </c>
      <c r="F6046" s="34" t="n">
        <f aca="false">IFERROR(VLOOKUP($A6046,'319'!$B:$H,7,0),0)</f>
        <v>0</v>
      </c>
      <c r="G6046" s="34" t="n">
        <f aca="false">SUMIFS('12.326ana'!$C:$C,'12.326ana'!$M:$M,redes!A6046)</f>
        <v>0</v>
      </c>
    </row>
    <row r="6047" customFormat="false" ht="14.4" hidden="true" customHeight="false" outlineLevel="0" collapsed="false">
      <c r="A6047" s="34" t="n">
        <v>1367733000121</v>
      </c>
      <c r="B6047" s="34" t="s">
        <v>13480</v>
      </c>
      <c r="C6047" s="34" t="s">
        <v>737</v>
      </c>
      <c r="E6047" s="30" t="s">
        <v>13481</v>
      </c>
      <c r="F6047" s="34" t="n">
        <f aca="false">IFERROR(VLOOKUP($A6047,'319'!$B:$H,7,0),0)</f>
        <v>0</v>
      </c>
      <c r="G6047" s="34" t="n">
        <f aca="false">SUMIFS('12.326ana'!$C:$C,'12.326ana'!$M:$M,redes!A6047)</f>
        <v>0</v>
      </c>
    </row>
    <row r="6048" customFormat="false" ht="14.4" hidden="true" customHeight="false" outlineLevel="0" collapsed="false">
      <c r="A6048" s="34" t="n">
        <v>1367753000100</v>
      </c>
      <c r="B6048" s="34" t="s">
        <v>13482</v>
      </c>
      <c r="C6048" s="34" t="s">
        <v>77</v>
      </c>
      <c r="E6048" s="30" t="s">
        <v>13483</v>
      </c>
      <c r="F6048" s="34" t="n">
        <f aca="false">IFERROR(VLOOKUP($A6048,'319'!$B:$H,7,0),0)</f>
        <v>0</v>
      </c>
      <c r="G6048" s="34" t="n">
        <f aca="false">SUMIFS('12.326ana'!$C:$C,'12.326ana'!$M:$M,redes!A6048)</f>
        <v>0</v>
      </c>
    </row>
    <row r="6049" customFormat="false" ht="14.4" hidden="true" customHeight="false" outlineLevel="0" collapsed="false">
      <c r="A6049" s="34" t="n">
        <v>1367755000191</v>
      </c>
      <c r="B6049" s="34" t="s">
        <v>13484</v>
      </c>
      <c r="C6049" s="34" t="s">
        <v>192</v>
      </c>
      <c r="E6049" s="30" t="s">
        <v>13485</v>
      </c>
      <c r="F6049" s="34" t="n">
        <f aca="false">IFERROR(VLOOKUP($A6049,'319'!$B:$H,7,0),0)</f>
        <v>0</v>
      </c>
      <c r="G6049" s="34" t="n">
        <f aca="false">SUMIFS('12.326ana'!$C:$C,'12.326ana'!$M:$M,redes!A6049)</f>
        <v>0</v>
      </c>
    </row>
    <row r="6050" customFormat="false" ht="14.4" hidden="true" customHeight="false" outlineLevel="0" collapsed="false">
      <c r="A6050" s="34" t="n">
        <v>1367758000125</v>
      </c>
      <c r="B6050" s="34" t="s">
        <v>13486</v>
      </c>
      <c r="C6050" s="34" t="s">
        <v>77</v>
      </c>
      <c r="D6050" s="34" t="s">
        <v>33</v>
      </c>
      <c r="E6050" s="30" t="s">
        <v>13487</v>
      </c>
      <c r="F6050" s="34" t="n">
        <f aca="false">IFERROR(VLOOKUP($A6050,'319'!$B:$H,7,0),0)</f>
        <v>0</v>
      </c>
      <c r="G6050" s="34" t="n">
        <f aca="false">SUMIFS('12.326ana'!$C:$C,'12.326ana'!$M:$M,redes!A6050)</f>
        <v>0</v>
      </c>
    </row>
    <row r="6051" customFormat="false" ht="14.4" hidden="true" customHeight="false" outlineLevel="0" collapsed="false">
      <c r="A6051" s="34" t="n">
        <v>1368314000104</v>
      </c>
      <c r="B6051" s="34" t="s">
        <v>13488</v>
      </c>
      <c r="C6051" s="34" t="s">
        <v>309</v>
      </c>
      <c r="E6051" s="30" t="s">
        <v>13489</v>
      </c>
      <c r="F6051" s="34" t="n">
        <f aca="false">IFERROR(VLOOKUP($A6051,'319'!$B:$H,7,0),0)</f>
        <v>0</v>
      </c>
      <c r="G6051" s="34" t="n">
        <f aca="false">SUMIFS('12.326ana'!$C:$C,'12.326ana'!$M:$M,redes!A6051)</f>
        <v>0</v>
      </c>
    </row>
    <row r="6052" customFormat="false" ht="14.4" hidden="true" customHeight="false" outlineLevel="0" collapsed="false">
      <c r="A6052" s="34" t="n">
        <v>1371973000108</v>
      </c>
      <c r="B6052" s="34" t="s">
        <v>13490</v>
      </c>
      <c r="C6052" s="34" t="s">
        <v>77</v>
      </c>
      <c r="E6052" s="30" t="s">
        <v>13293</v>
      </c>
      <c r="F6052" s="34" t="n">
        <f aca="false">IFERROR(VLOOKUP($A6052,'319'!$B:$H,7,0),0)</f>
        <v>0</v>
      </c>
      <c r="G6052" s="34" t="n">
        <f aca="false">SUMIFS('12.326ana'!$C:$C,'12.326ana'!$M:$M,redes!A6052)</f>
        <v>0</v>
      </c>
    </row>
    <row r="6053" customFormat="false" ht="14.4" hidden="true" customHeight="false" outlineLevel="0" collapsed="false">
      <c r="A6053" s="34" t="n">
        <v>1374622000142</v>
      </c>
      <c r="B6053" s="34" t="s">
        <v>13491</v>
      </c>
      <c r="C6053" s="34" t="s">
        <v>77</v>
      </c>
      <c r="E6053" s="30" t="s">
        <v>13492</v>
      </c>
      <c r="F6053" s="34" t="n">
        <f aca="false">IFERROR(VLOOKUP($A6053,'319'!$B:$H,7,0),0)</f>
        <v>0</v>
      </c>
      <c r="G6053" s="34" t="n">
        <f aca="false">SUMIFS('12.326ana'!$C:$C,'12.326ana'!$M:$M,redes!A6053)</f>
        <v>0</v>
      </c>
    </row>
    <row r="6054" customFormat="false" ht="14.4" hidden="true" customHeight="false" outlineLevel="0" collapsed="false">
      <c r="A6054" s="34" t="n">
        <v>1379104000111</v>
      </c>
      <c r="B6054" s="34" t="s">
        <v>13493</v>
      </c>
      <c r="C6054" s="34" t="s">
        <v>546</v>
      </c>
      <c r="E6054" s="30" t="s">
        <v>13494</v>
      </c>
      <c r="F6054" s="34" t="n">
        <f aca="false">IFERROR(VLOOKUP($A6054,'319'!$B:$H,7,0),0)</f>
        <v>0</v>
      </c>
      <c r="G6054" s="34" t="n">
        <f aca="false">SUMIFS('12.326ana'!$C:$C,'12.326ana'!$M:$M,redes!A6054)</f>
        <v>0</v>
      </c>
    </row>
    <row r="6055" customFormat="false" ht="14.4" hidden="true" customHeight="false" outlineLevel="0" collapsed="false">
      <c r="A6055" s="34" t="n">
        <v>1383803000135</v>
      </c>
      <c r="B6055" s="34" t="s">
        <v>13495</v>
      </c>
      <c r="C6055" s="34" t="s">
        <v>562</v>
      </c>
      <c r="D6055" s="34" t="s">
        <v>4797</v>
      </c>
      <c r="E6055" s="30" t="s">
        <v>13496</v>
      </c>
      <c r="F6055" s="34" t="n">
        <f aca="false">IFERROR(VLOOKUP($A6055,'319'!$B:$H,7,0),0)</f>
        <v>0</v>
      </c>
      <c r="G6055" s="34" t="n">
        <f aca="false">SUMIFS('12.326ana'!$C:$C,'12.326ana'!$M:$M,redes!A6055)</f>
        <v>0</v>
      </c>
    </row>
    <row r="6056" customFormat="false" ht="14.4" hidden="true" customHeight="false" outlineLevel="0" collapsed="false">
      <c r="A6056" s="34" t="n">
        <v>1386729000100</v>
      </c>
      <c r="B6056" s="34" t="s">
        <v>13497</v>
      </c>
      <c r="C6056" s="34" t="s">
        <v>473</v>
      </c>
      <c r="E6056" s="30" t="s">
        <v>13498</v>
      </c>
      <c r="F6056" s="34" t="n">
        <f aca="false">IFERROR(VLOOKUP($A6056,'319'!$B:$H,7,0),0)</f>
        <v>0</v>
      </c>
      <c r="G6056" s="34" t="n">
        <f aca="false">SUMIFS('12.326ana'!$C:$C,'12.326ana'!$M:$M,redes!A6056)</f>
        <v>0</v>
      </c>
    </row>
    <row r="6057" customFormat="false" ht="14.4" hidden="true" customHeight="false" outlineLevel="0" collapsed="false">
      <c r="A6057" s="34" t="n">
        <v>1386784000109</v>
      </c>
      <c r="B6057" s="34" t="s">
        <v>6067</v>
      </c>
      <c r="C6057" s="34" t="s">
        <v>1680</v>
      </c>
      <c r="E6057" s="30" t="s">
        <v>6068</v>
      </c>
      <c r="F6057" s="34" t="n">
        <f aca="false">IFERROR(VLOOKUP($A6057,'319'!$B:$H,7,0),0)</f>
        <v>0</v>
      </c>
      <c r="G6057" s="34" t="n">
        <f aca="false">SUMIFS('12.326ana'!$C:$C,'12.326ana'!$M:$M,redes!A6057)</f>
        <v>0</v>
      </c>
    </row>
    <row r="6058" customFormat="false" ht="14.4" hidden="true" customHeight="false" outlineLevel="0" collapsed="false">
      <c r="A6058" s="34" t="n">
        <v>1386786000190</v>
      </c>
      <c r="B6058" s="34" t="s">
        <v>13499</v>
      </c>
      <c r="C6058" s="34" t="s">
        <v>77</v>
      </c>
      <c r="E6058" s="30" t="s">
        <v>13500</v>
      </c>
      <c r="F6058" s="34" t="n">
        <f aca="false">IFERROR(VLOOKUP($A6058,'319'!$B:$H,7,0),0)</f>
        <v>0</v>
      </c>
      <c r="G6058" s="34" t="n">
        <f aca="false">SUMIFS('12.326ana'!$C:$C,'12.326ana'!$M:$M,redes!A6058)</f>
        <v>0</v>
      </c>
    </row>
    <row r="6059" customFormat="false" ht="14.4" hidden="true" customHeight="false" outlineLevel="0" collapsed="false">
      <c r="A6059" s="34" t="n">
        <v>1386799000169</v>
      </c>
      <c r="B6059" s="34" t="s">
        <v>13501</v>
      </c>
      <c r="C6059" s="34" t="s">
        <v>2998</v>
      </c>
      <c r="E6059" s="30" t="s">
        <v>13502</v>
      </c>
      <c r="F6059" s="34" t="n">
        <f aca="false">IFERROR(VLOOKUP($A6059,'319'!$B:$H,7,0),0)</f>
        <v>0</v>
      </c>
      <c r="G6059" s="34" t="n">
        <f aca="false">SUMIFS('12.326ana'!$C:$C,'12.326ana'!$M:$M,redes!A6059)</f>
        <v>0</v>
      </c>
    </row>
    <row r="6060" customFormat="false" ht="14.4" hidden="true" customHeight="false" outlineLevel="0" collapsed="false">
      <c r="A6060" s="34" t="n">
        <v>1386799000240</v>
      </c>
      <c r="B6060" s="34" t="s">
        <v>13501</v>
      </c>
      <c r="C6060" s="34" t="s">
        <v>4418</v>
      </c>
      <c r="E6060" s="30" t="s">
        <v>13503</v>
      </c>
      <c r="F6060" s="34" t="n">
        <f aca="false">IFERROR(VLOOKUP($A6060,'319'!$B:$H,7,0),0)</f>
        <v>0</v>
      </c>
      <c r="G6060" s="34" t="n">
        <f aca="false">SUMIFS('12.326ana'!$C:$C,'12.326ana'!$M:$M,redes!A6060)</f>
        <v>0</v>
      </c>
    </row>
    <row r="6061" customFormat="false" ht="14.4" hidden="true" customHeight="false" outlineLevel="0" collapsed="false">
      <c r="A6061" s="34" t="n">
        <v>1386818000157</v>
      </c>
      <c r="B6061" s="34" t="s">
        <v>13504</v>
      </c>
      <c r="C6061" s="34" t="s">
        <v>77</v>
      </c>
      <c r="E6061" s="30" t="s">
        <v>13505</v>
      </c>
      <c r="F6061" s="34" t="n">
        <f aca="false">IFERROR(VLOOKUP($A6061,'319'!$B:$H,7,0),0)</f>
        <v>0</v>
      </c>
      <c r="G6061" s="34" t="n">
        <f aca="false">SUMIFS('12.326ana'!$C:$C,'12.326ana'!$M:$M,redes!A6061)</f>
        <v>0</v>
      </c>
    </row>
    <row r="6062" customFormat="false" ht="14.4" hidden="true" customHeight="false" outlineLevel="0" collapsed="false">
      <c r="A6062" s="34" t="n">
        <v>1386822000115</v>
      </c>
      <c r="B6062" s="34" t="s">
        <v>13506</v>
      </c>
      <c r="C6062" s="34" t="s">
        <v>631</v>
      </c>
      <c r="E6062" s="30" t="s">
        <v>13507</v>
      </c>
      <c r="F6062" s="34" t="n">
        <f aca="false">IFERROR(VLOOKUP($A6062,'319'!$B:$H,7,0),0)</f>
        <v>0</v>
      </c>
      <c r="G6062" s="34" t="n">
        <f aca="false">SUMIFS('12.326ana'!$C:$C,'12.326ana'!$M:$M,redes!A6062)</f>
        <v>0</v>
      </c>
    </row>
    <row r="6063" customFormat="false" ht="14.4" hidden="true" customHeight="false" outlineLevel="0" collapsed="false">
      <c r="A6063" s="34" t="n">
        <v>1390361000154</v>
      </c>
      <c r="B6063" s="34" t="s">
        <v>13508</v>
      </c>
      <c r="C6063" s="34" t="s">
        <v>139</v>
      </c>
      <c r="E6063" s="30" t="s">
        <v>13509</v>
      </c>
      <c r="F6063" s="34" t="n">
        <f aca="false">IFERROR(VLOOKUP($A6063,'319'!$B:$H,7,0),0)</f>
        <v>0</v>
      </c>
      <c r="G6063" s="34" t="n">
        <f aca="false">SUMIFS('12.326ana'!$C:$C,'12.326ana'!$M:$M,redes!A6063)</f>
        <v>0</v>
      </c>
    </row>
    <row r="6064" customFormat="false" ht="14.4" hidden="true" customHeight="false" outlineLevel="0" collapsed="false">
      <c r="A6064" s="34" t="n">
        <v>1391918000171</v>
      </c>
      <c r="B6064" s="34" t="s">
        <v>13510</v>
      </c>
      <c r="C6064" s="34" t="s">
        <v>77</v>
      </c>
      <c r="E6064" s="30" t="s">
        <v>13511</v>
      </c>
      <c r="F6064" s="34" t="n">
        <f aca="false">IFERROR(VLOOKUP($A6064,'319'!$B:$H,7,0),0)</f>
        <v>0</v>
      </c>
      <c r="G6064" s="34" t="n">
        <f aca="false">SUMIFS('12.326ana'!$C:$C,'12.326ana'!$M:$M,redes!A6064)</f>
        <v>0</v>
      </c>
    </row>
    <row r="6065" customFormat="false" ht="14.4" hidden="true" customHeight="false" outlineLevel="0" collapsed="false">
      <c r="A6065" s="34" t="n">
        <v>1391922000210</v>
      </c>
      <c r="B6065" s="34" t="s">
        <v>13512</v>
      </c>
      <c r="C6065" s="34" t="s">
        <v>565</v>
      </c>
      <c r="E6065" s="30" t="s">
        <v>13513</v>
      </c>
      <c r="F6065" s="34" t="n">
        <f aca="false">IFERROR(VLOOKUP($A6065,'319'!$B:$H,7,0),0)</f>
        <v>0</v>
      </c>
      <c r="G6065" s="34" t="n">
        <f aca="false">SUMIFS('12.326ana'!$C:$C,'12.326ana'!$M:$M,redes!A6065)</f>
        <v>0</v>
      </c>
    </row>
    <row r="6066" customFormat="false" ht="14.4" hidden="true" customHeight="false" outlineLevel="0" collapsed="false">
      <c r="A6066" s="34" t="n">
        <v>1394350000142</v>
      </c>
      <c r="B6066" s="34" t="s">
        <v>13514</v>
      </c>
      <c r="C6066" s="34" t="s">
        <v>1680</v>
      </c>
      <c r="E6066" s="30" t="s">
        <v>13515</v>
      </c>
      <c r="F6066" s="34" t="n">
        <f aca="false">IFERROR(VLOOKUP($A6066,'319'!$B:$H,7,0),0)</f>
        <v>0</v>
      </c>
      <c r="G6066" s="34" t="n">
        <f aca="false">SUMIFS('12.326ana'!$C:$C,'12.326ana'!$M:$M,redes!A6066)</f>
        <v>0</v>
      </c>
    </row>
    <row r="6067" customFormat="false" ht="14.4" hidden="true" customHeight="false" outlineLevel="0" collapsed="false">
      <c r="A6067" s="34" t="n">
        <v>1399282000104</v>
      </c>
      <c r="B6067" s="34" t="s">
        <v>13516</v>
      </c>
      <c r="C6067" s="34" t="s">
        <v>77</v>
      </c>
      <c r="E6067" s="30" t="s">
        <v>13517</v>
      </c>
      <c r="F6067" s="34" t="n">
        <f aca="false">IFERROR(VLOOKUP($A6067,'319'!$B:$H,7,0),0)</f>
        <v>0</v>
      </c>
      <c r="G6067" s="34" t="n">
        <f aca="false">SUMIFS('12.326ana'!$C:$C,'12.326ana'!$M:$M,redes!A6067)</f>
        <v>0</v>
      </c>
    </row>
    <row r="6068" customFormat="false" ht="14.4" hidden="true" customHeight="false" outlineLevel="0" collapsed="false">
      <c r="A6068" s="34" t="n">
        <v>1399408000140</v>
      </c>
      <c r="B6068" s="34" t="s">
        <v>13518</v>
      </c>
      <c r="C6068" s="34" t="s">
        <v>77</v>
      </c>
      <c r="E6068" s="30" t="s">
        <v>13519</v>
      </c>
      <c r="F6068" s="34" t="n">
        <f aca="false">IFERROR(VLOOKUP($A6068,'319'!$B:$H,7,0),0)</f>
        <v>0</v>
      </c>
      <c r="G6068" s="34" t="n">
        <f aca="false">SUMIFS('12.326ana'!$C:$C,'12.326ana'!$M:$M,redes!A6068)</f>
        <v>0</v>
      </c>
    </row>
    <row r="6069" customFormat="false" ht="14.4" hidden="true" customHeight="false" outlineLevel="0" collapsed="false">
      <c r="A6069" s="34" t="n">
        <v>1400064000142</v>
      </c>
      <c r="B6069" s="34" t="s">
        <v>13520</v>
      </c>
      <c r="C6069" s="34" t="s">
        <v>77</v>
      </c>
      <c r="E6069" s="30" t="s">
        <v>13521</v>
      </c>
      <c r="F6069" s="34" t="n">
        <f aca="false">IFERROR(VLOOKUP($A6069,'319'!$B:$H,7,0),0)</f>
        <v>0</v>
      </c>
      <c r="G6069" s="34" t="n">
        <f aca="false">SUMIFS('12.326ana'!$C:$C,'12.326ana'!$M:$M,redes!A6069)</f>
        <v>0</v>
      </c>
    </row>
    <row r="6070" customFormat="false" ht="14.4" hidden="true" customHeight="false" outlineLevel="0" collapsed="false">
      <c r="A6070" s="34" t="n">
        <v>1404701000159</v>
      </c>
      <c r="B6070" s="34" t="s">
        <v>13522</v>
      </c>
      <c r="C6070" s="34" t="s">
        <v>77</v>
      </c>
      <c r="E6070" s="30" t="s">
        <v>13523</v>
      </c>
      <c r="F6070" s="34" t="n">
        <f aca="false">IFERROR(VLOOKUP($A6070,'319'!$B:$H,7,0),0)</f>
        <v>0</v>
      </c>
      <c r="G6070" s="34" t="n">
        <f aca="false">SUMIFS('12.326ana'!$C:$C,'12.326ana'!$M:$M,redes!A6070)</f>
        <v>0</v>
      </c>
    </row>
    <row r="6071" customFormat="false" ht="14.4" hidden="true" customHeight="false" outlineLevel="0" collapsed="false">
      <c r="A6071" s="34" t="n">
        <v>1409706000174</v>
      </c>
      <c r="B6071" s="34" t="s">
        <v>13524</v>
      </c>
      <c r="C6071" s="34" t="s">
        <v>197</v>
      </c>
      <c r="E6071" s="30" t="s">
        <v>13525</v>
      </c>
      <c r="F6071" s="34" t="n">
        <f aca="false">IFERROR(VLOOKUP($A6071,'319'!$B:$H,7,0),0)</f>
        <v>0</v>
      </c>
      <c r="G6071" s="34" t="n">
        <f aca="false">SUMIFS('12.326ana'!$C:$C,'12.326ana'!$M:$M,redes!A6071)</f>
        <v>0</v>
      </c>
    </row>
    <row r="6072" customFormat="false" ht="14.4" hidden="true" customHeight="false" outlineLevel="0" collapsed="false">
      <c r="A6072" s="34" t="n">
        <v>1412091000135</v>
      </c>
      <c r="B6072" s="34" t="s">
        <v>13526</v>
      </c>
      <c r="C6072" s="34" t="s">
        <v>117</v>
      </c>
      <c r="E6072" s="30" t="s">
        <v>13527</v>
      </c>
      <c r="F6072" s="34" t="n">
        <f aca="false">IFERROR(VLOOKUP($A6072,'319'!$B:$H,7,0),0)</f>
        <v>0</v>
      </c>
      <c r="G6072" s="34" t="n">
        <f aca="false">SUMIFS('12.326ana'!$C:$C,'12.326ana'!$M:$M,redes!A6072)</f>
        <v>0</v>
      </c>
    </row>
    <row r="6073" customFormat="false" ht="14.4" hidden="true" customHeight="false" outlineLevel="0" collapsed="false">
      <c r="A6073" s="34" t="n">
        <v>1413010000111</v>
      </c>
      <c r="B6073" s="34" t="s">
        <v>13528</v>
      </c>
      <c r="C6073" s="34" t="s">
        <v>117</v>
      </c>
      <c r="D6073" s="34" t="s">
        <v>13529</v>
      </c>
      <c r="E6073" s="30" t="s">
        <v>13530</v>
      </c>
      <c r="F6073" s="34" t="n">
        <f aca="false">IFERROR(VLOOKUP($A6073,'319'!$B:$H,7,0),0)</f>
        <v>0</v>
      </c>
      <c r="G6073" s="34" t="n">
        <f aca="false">SUMIFS('12.326ana'!$C:$C,'12.326ana'!$M:$M,redes!A6073)</f>
        <v>0</v>
      </c>
    </row>
    <row r="6074" customFormat="false" ht="14.4" hidden="true" customHeight="false" outlineLevel="0" collapsed="false">
      <c r="A6074" s="34" t="n">
        <v>1413010000200</v>
      </c>
      <c r="B6074" s="34" t="s">
        <v>13528</v>
      </c>
      <c r="C6074" s="34" t="s">
        <v>117</v>
      </c>
      <c r="E6074" s="30" t="s">
        <v>13528</v>
      </c>
      <c r="F6074" s="34" t="n">
        <f aca="false">IFERROR(VLOOKUP($A6074,'319'!$B:$H,7,0),0)</f>
        <v>0</v>
      </c>
      <c r="G6074" s="34" t="n">
        <f aca="false">SUMIFS('12.326ana'!$C:$C,'12.326ana'!$M:$M,redes!A6074)</f>
        <v>0</v>
      </c>
    </row>
    <row r="6075" customFormat="false" ht="14.4" hidden="true" customHeight="false" outlineLevel="0" collapsed="false">
      <c r="A6075" s="34" t="n">
        <v>1413016000199</v>
      </c>
      <c r="B6075" s="34" t="s">
        <v>13531</v>
      </c>
      <c r="C6075" s="34" t="s">
        <v>1680</v>
      </c>
      <c r="E6075" s="30" t="s">
        <v>13532</v>
      </c>
      <c r="F6075" s="34" t="n">
        <f aca="false">IFERROR(VLOOKUP($A6075,'319'!$B:$H,7,0),0)</f>
        <v>0</v>
      </c>
      <c r="G6075" s="34" t="n">
        <f aca="false">SUMIFS('12.326ana'!$C:$C,'12.326ana'!$M:$M,redes!A6075)</f>
        <v>0</v>
      </c>
    </row>
    <row r="6076" customFormat="false" ht="14.4" hidden="true" customHeight="false" outlineLevel="0" collapsed="false">
      <c r="A6076" s="34" t="n">
        <v>1414248000161</v>
      </c>
      <c r="B6076" s="34" t="s">
        <v>13533</v>
      </c>
      <c r="C6076" s="34" t="s">
        <v>1680</v>
      </c>
      <c r="E6076" s="30" t="s">
        <v>13534</v>
      </c>
      <c r="F6076" s="34" t="n">
        <f aca="false">IFERROR(VLOOKUP($A6076,'319'!$B:$H,7,0),0)</f>
        <v>0</v>
      </c>
      <c r="G6076" s="34" t="n">
        <f aca="false">SUMIFS('12.326ana'!$C:$C,'12.326ana'!$M:$M,redes!A6076)</f>
        <v>0</v>
      </c>
    </row>
    <row r="6077" customFormat="false" ht="14.4" hidden="true" customHeight="false" outlineLevel="0" collapsed="false">
      <c r="A6077" s="34" t="n">
        <v>1423134000188</v>
      </c>
      <c r="B6077" s="34" t="s">
        <v>13535</v>
      </c>
      <c r="C6077" s="34" t="s">
        <v>77</v>
      </c>
      <c r="E6077" s="30" t="s">
        <v>13536</v>
      </c>
      <c r="F6077" s="34" t="n">
        <f aca="false">IFERROR(VLOOKUP($A6077,'319'!$B:$H,7,0),0)</f>
        <v>0</v>
      </c>
      <c r="G6077" s="34" t="n">
        <f aca="false">SUMIFS('12.326ana'!$C:$C,'12.326ana'!$M:$M,redes!A6077)</f>
        <v>0</v>
      </c>
    </row>
    <row r="6078" customFormat="false" ht="14.4" hidden="true" customHeight="false" outlineLevel="0" collapsed="false">
      <c r="A6078" s="34" t="n">
        <v>1423159000181</v>
      </c>
      <c r="B6078" s="34" t="s">
        <v>13537</v>
      </c>
      <c r="C6078" s="34" t="s">
        <v>405</v>
      </c>
      <c r="E6078" s="30" t="s">
        <v>7467</v>
      </c>
      <c r="F6078" s="34" t="n">
        <f aca="false">IFERROR(VLOOKUP($A6078,'319'!$B:$H,7,0),0)</f>
        <v>0</v>
      </c>
      <c r="G6078" s="34" t="n">
        <f aca="false">SUMIFS('12.326ana'!$C:$C,'12.326ana'!$M:$M,redes!A6078)</f>
        <v>0</v>
      </c>
    </row>
    <row r="6079" customFormat="false" ht="14.4" hidden="true" customHeight="false" outlineLevel="0" collapsed="false">
      <c r="A6079" s="34" t="n">
        <v>1425382000168</v>
      </c>
      <c r="B6079" s="34" t="s">
        <v>13538</v>
      </c>
      <c r="C6079" s="34" t="s">
        <v>309</v>
      </c>
      <c r="E6079" s="30" t="s">
        <v>7071</v>
      </c>
      <c r="F6079" s="34" t="n">
        <f aca="false">IFERROR(VLOOKUP($A6079,'319'!$B:$H,7,0),0)</f>
        <v>0</v>
      </c>
      <c r="G6079" s="34" t="n">
        <f aca="false">SUMIFS('12.326ana'!$C:$C,'12.326ana'!$M:$M,redes!A6079)</f>
        <v>0</v>
      </c>
    </row>
    <row r="6080" customFormat="false" ht="14.4" hidden="true" customHeight="false" outlineLevel="0" collapsed="false">
      <c r="A6080" s="34" t="n">
        <v>1427899000196</v>
      </c>
      <c r="B6080" s="34" t="s">
        <v>13539</v>
      </c>
      <c r="C6080" s="34" t="s">
        <v>139</v>
      </c>
      <c r="E6080" s="30" t="s">
        <v>13540</v>
      </c>
      <c r="F6080" s="34" t="n">
        <f aca="false">IFERROR(VLOOKUP($A6080,'319'!$B:$H,7,0),0)</f>
        <v>0</v>
      </c>
      <c r="G6080" s="34" t="n">
        <f aca="false">SUMIFS('12.326ana'!$C:$C,'12.326ana'!$M:$M,redes!A6080)</f>
        <v>0</v>
      </c>
    </row>
    <row r="6081" customFormat="false" ht="14.4" hidden="true" customHeight="false" outlineLevel="0" collapsed="false">
      <c r="A6081" s="34" t="n">
        <v>1431086000170</v>
      </c>
      <c r="B6081" s="34" t="s">
        <v>13541</v>
      </c>
      <c r="C6081" s="34" t="s">
        <v>464</v>
      </c>
      <c r="E6081" s="30" t="s">
        <v>13542</v>
      </c>
      <c r="F6081" s="34" t="n">
        <f aca="false">IFERROR(VLOOKUP($A6081,'319'!$B:$H,7,0),0)</f>
        <v>0</v>
      </c>
      <c r="G6081" s="34" t="n">
        <f aca="false">SUMIFS('12.326ana'!$C:$C,'12.326ana'!$M:$M,redes!A6081)</f>
        <v>0</v>
      </c>
    </row>
    <row r="6082" customFormat="false" ht="14.4" hidden="true" customHeight="false" outlineLevel="0" collapsed="false">
      <c r="A6082" s="34" t="n">
        <v>1431512000175</v>
      </c>
      <c r="B6082" s="34" t="s">
        <v>13543</v>
      </c>
      <c r="C6082" s="34" t="s">
        <v>848</v>
      </c>
      <c r="E6082" s="30" t="s">
        <v>13544</v>
      </c>
      <c r="F6082" s="34" t="n">
        <f aca="false">IFERROR(VLOOKUP($A6082,'319'!$B:$H,7,0),0)</f>
        <v>0</v>
      </c>
      <c r="G6082" s="34" t="n">
        <f aca="false">SUMIFS('12.326ana'!$C:$C,'12.326ana'!$M:$M,redes!A6082)</f>
        <v>0</v>
      </c>
    </row>
    <row r="6083" customFormat="false" ht="14.4" hidden="true" customHeight="false" outlineLevel="0" collapsed="false">
      <c r="A6083" s="34" t="n">
        <v>1434080000156</v>
      </c>
      <c r="B6083" s="34" t="s">
        <v>13545</v>
      </c>
      <c r="C6083" s="34" t="s">
        <v>737</v>
      </c>
      <c r="E6083" s="30" t="s">
        <v>13546</v>
      </c>
      <c r="F6083" s="34" t="n">
        <f aca="false">IFERROR(VLOOKUP($A6083,'319'!$B:$H,7,0),0)</f>
        <v>0</v>
      </c>
      <c r="G6083" s="34" t="n">
        <f aca="false">SUMIFS('12.326ana'!$C:$C,'12.326ana'!$M:$M,redes!A6083)</f>
        <v>0</v>
      </c>
    </row>
    <row r="6084" customFormat="false" ht="14.4" hidden="true" customHeight="false" outlineLevel="0" collapsed="false">
      <c r="A6084" s="34" t="n">
        <v>1436241000140</v>
      </c>
      <c r="B6084" s="34" t="s">
        <v>13547</v>
      </c>
      <c r="C6084" s="34" t="s">
        <v>77</v>
      </c>
      <c r="E6084" s="30" t="s">
        <v>6972</v>
      </c>
      <c r="F6084" s="34" t="n">
        <f aca="false">IFERROR(VLOOKUP($A6084,'319'!$B:$H,7,0),0)</f>
        <v>0</v>
      </c>
      <c r="G6084" s="34" t="n">
        <f aca="false">SUMIFS('12.326ana'!$C:$C,'12.326ana'!$M:$M,redes!A6084)</f>
        <v>0</v>
      </c>
    </row>
    <row r="6085" customFormat="false" ht="14.4" hidden="true" customHeight="false" outlineLevel="0" collapsed="false">
      <c r="A6085" s="34" t="n">
        <v>1440934000107</v>
      </c>
      <c r="B6085" s="34" t="s">
        <v>13548</v>
      </c>
      <c r="C6085" s="34" t="s">
        <v>342</v>
      </c>
      <c r="E6085" s="30" t="s">
        <v>13549</v>
      </c>
      <c r="F6085" s="34" t="n">
        <f aca="false">IFERROR(VLOOKUP($A6085,'319'!$B:$H,7,0),0)</f>
        <v>0</v>
      </c>
      <c r="G6085" s="34" t="n">
        <f aca="false">SUMIFS('12.326ana'!$C:$C,'12.326ana'!$M:$M,redes!A6085)</f>
        <v>0</v>
      </c>
    </row>
    <row r="6086" customFormat="false" ht="14.4" hidden="true" customHeight="false" outlineLevel="0" collapsed="false">
      <c r="A6086" s="34" t="n">
        <v>1441129000106</v>
      </c>
      <c r="B6086" s="34" t="s">
        <v>11014</v>
      </c>
      <c r="C6086" s="34" t="s">
        <v>77</v>
      </c>
      <c r="E6086" s="30" t="s">
        <v>13550</v>
      </c>
      <c r="F6086" s="34" t="n">
        <f aca="false">IFERROR(VLOOKUP($A6086,'319'!$B:$H,7,0),0)</f>
        <v>0</v>
      </c>
      <c r="G6086" s="34" t="n">
        <f aca="false">SUMIFS('12.326ana'!$C:$C,'12.326ana'!$M:$M,redes!A6086)</f>
        <v>0</v>
      </c>
    </row>
    <row r="6087" customFormat="false" ht="14.4" hidden="true" customHeight="false" outlineLevel="0" collapsed="false">
      <c r="A6087" s="34" t="n">
        <v>1441129000289</v>
      </c>
      <c r="B6087" s="34" t="s">
        <v>11014</v>
      </c>
      <c r="C6087" s="34" t="s">
        <v>77</v>
      </c>
      <c r="E6087" s="30" t="s">
        <v>13551</v>
      </c>
      <c r="F6087" s="34" t="n">
        <f aca="false">IFERROR(VLOOKUP($A6087,'319'!$B:$H,7,0),0)</f>
        <v>0</v>
      </c>
      <c r="G6087" s="34" t="n">
        <f aca="false">SUMIFS('12.326ana'!$C:$C,'12.326ana'!$M:$M,redes!A6087)</f>
        <v>0</v>
      </c>
    </row>
    <row r="6088" customFormat="false" ht="14.4" hidden="true" customHeight="false" outlineLevel="0" collapsed="false">
      <c r="A6088" s="34" t="n">
        <v>1441130000122</v>
      </c>
      <c r="B6088" s="34" t="s">
        <v>13552</v>
      </c>
      <c r="C6088" s="34" t="s">
        <v>117</v>
      </c>
      <c r="E6088" s="30" t="s">
        <v>13553</v>
      </c>
      <c r="F6088" s="34" t="n">
        <f aca="false">IFERROR(VLOOKUP($A6088,'319'!$B:$H,7,0),0)</f>
        <v>0</v>
      </c>
      <c r="G6088" s="34" t="n">
        <f aca="false">SUMIFS('12.326ana'!$C:$C,'12.326ana'!$M:$M,redes!A6088)</f>
        <v>0</v>
      </c>
    </row>
    <row r="6089" customFormat="false" ht="14.4" hidden="true" customHeight="false" outlineLevel="0" collapsed="false">
      <c r="A6089" s="34" t="n">
        <v>1443490000163</v>
      </c>
      <c r="B6089" s="34" t="s">
        <v>13554</v>
      </c>
      <c r="C6089" s="34" t="s">
        <v>77</v>
      </c>
      <c r="E6089" s="30" t="s">
        <v>13555</v>
      </c>
      <c r="F6089" s="34" t="n">
        <f aca="false">IFERROR(VLOOKUP($A6089,'319'!$B:$H,7,0),0)</f>
        <v>0</v>
      </c>
      <c r="G6089" s="34" t="n">
        <f aca="false">SUMIFS('12.326ana'!$C:$C,'12.326ana'!$M:$M,redes!A6089)</f>
        <v>0</v>
      </c>
    </row>
    <row r="6090" customFormat="false" ht="14.4" hidden="true" customHeight="false" outlineLevel="0" collapsed="false">
      <c r="A6090" s="34" t="n">
        <v>1443509000171</v>
      </c>
      <c r="B6090" s="34" t="s">
        <v>13556</v>
      </c>
      <c r="C6090" s="34" t="s">
        <v>77</v>
      </c>
      <c r="E6090" s="30" t="s">
        <v>13557</v>
      </c>
      <c r="F6090" s="34" t="n">
        <f aca="false">IFERROR(VLOOKUP($A6090,'319'!$B:$H,7,0),0)</f>
        <v>0</v>
      </c>
      <c r="G6090" s="34" t="n">
        <f aca="false">SUMIFS('12.326ana'!$C:$C,'12.326ana'!$M:$M,redes!A6090)</f>
        <v>0</v>
      </c>
    </row>
    <row r="6091" customFormat="false" ht="14.4" hidden="true" customHeight="false" outlineLevel="0" collapsed="false">
      <c r="A6091" s="34" t="n">
        <v>1446199000149</v>
      </c>
      <c r="B6091" s="34" t="s">
        <v>13558</v>
      </c>
      <c r="C6091" s="34" t="s">
        <v>77</v>
      </c>
      <c r="E6091" s="30" t="s">
        <v>13559</v>
      </c>
      <c r="F6091" s="34" t="n">
        <f aca="false">IFERROR(VLOOKUP($A6091,'319'!$B:$H,7,0),0)</f>
        <v>0</v>
      </c>
      <c r="G6091" s="34" t="n">
        <f aca="false">SUMIFS('12.326ana'!$C:$C,'12.326ana'!$M:$M,redes!A6091)</f>
        <v>0</v>
      </c>
    </row>
    <row r="6092" customFormat="false" ht="14.4" hidden="true" customHeight="false" outlineLevel="0" collapsed="false">
      <c r="A6092" s="34" t="n">
        <v>1446439000105</v>
      </c>
      <c r="B6092" s="34" t="s">
        <v>13560</v>
      </c>
      <c r="C6092" s="34" t="s">
        <v>107</v>
      </c>
      <c r="E6092" s="30" t="s">
        <v>13561</v>
      </c>
      <c r="F6092" s="34" t="n">
        <f aca="false">IFERROR(VLOOKUP($A6092,'319'!$B:$H,7,0),0)</f>
        <v>0</v>
      </c>
      <c r="G6092" s="34" t="n">
        <f aca="false">SUMIFS('12.326ana'!$C:$C,'12.326ana'!$M:$M,redes!A6092)</f>
        <v>0</v>
      </c>
    </row>
    <row r="6093" customFormat="false" ht="14.4" hidden="true" customHeight="false" outlineLevel="0" collapsed="false">
      <c r="A6093" s="34" t="n">
        <v>1457942000166</v>
      </c>
      <c r="B6093" s="34" t="s">
        <v>8974</v>
      </c>
      <c r="C6093" s="34" t="s">
        <v>77</v>
      </c>
      <c r="E6093" s="30" t="s">
        <v>8975</v>
      </c>
      <c r="F6093" s="34" t="n">
        <f aca="false">IFERROR(VLOOKUP($A6093,'319'!$B:$H,7,0),0)</f>
        <v>0</v>
      </c>
      <c r="G6093" s="34" t="n">
        <f aca="false">SUMIFS('12.326ana'!$C:$C,'12.326ana'!$M:$M,redes!A6093)</f>
        <v>0</v>
      </c>
    </row>
    <row r="6094" customFormat="false" ht="14.4" hidden="true" customHeight="false" outlineLevel="0" collapsed="false">
      <c r="A6094" s="34" t="n">
        <v>1460437000170</v>
      </c>
      <c r="B6094" s="34" t="s">
        <v>803</v>
      </c>
      <c r="C6094" s="34" t="s">
        <v>3060</v>
      </c>
      <c r="E6094" s="30" t="s">
        <v>8917</v>
      </c>
      <c r="F6094" s="34" t="n">
        <f aca="false">IFERROR(VLOOKUP($A6094,'319'!$B:$H,7,0),0)</f>
        <v>458.75</v>
      </c>
      <c r="G6094" s="34" t="n">
        <f aca="false">SUMIFS('12.326ana'!$C:$C,'12.326ana'!$M:$M,redes!A6094)</f>
        <v>0</v>
      </c>
    </row>
    <row r="6095" customFormat="false" ht="14.4" hidden="true" customHeight="false" outlineLevel="0" collapsed="false">
      <c r="A6095" s="34" t="n">
        <v>1460437000251</v>
      </c>
      <c r="B6095" s="34" t="s">
        <v>803</v>
      </c>
      <c r="C6095" s="34" t="s">
        <v>804</v>
      </c>
      <c r="E6095" s="30" t="s">
        <v>2956</v>
      </c>
      <c r="F6095" s="34" t="n">
        <f aca="false">IFERROR(VLOOKUP($A6095,'319'!$B:$H,7,0),0)</f>
        <v>2761.58</v>
      </c>
      <c r="G6095" s="34" t="n">
        <f aca="false">SUMIFS('12.326ana'!$C:$C,'12.326ana'!$M:$M,redes!A6095)</f>
        <v>0</v>
      </c>
    </row>
    <row r="6096" customFormat="false" ht="14.4" hidden="true" customHeight="false" outlineLevel="0" collapsed="false">
      <c r="A6096" s="34" t="n">
        <v>1460437000332</v>
      </c>
      <c r="B6096" s="34" t="s">
        <v>990</v>
      </c>
      <c r="C6096" s="34" t="s">
        <v>804</v>
      </c>
      <c r="E6096" s="30" t="s">
        <v>990</v>
      </c>
      <c r="F6096" s="34" t="n">
        <f aca="false">IFERROR(VLOOKUP($A6096,'319'!$B:$H,7,0),0)</f>
        <v>994.78</v>
      </c>
      <c r="G6096" s="34" t="n">
        <f aca="false">SUMIFS('12.326ana'!$C:$C,'12.326ana'!$M:$M,redes!A6096)</f>
        <v>0</v>
      </c>
    </row>
    <row r="6097" customFormat="false" ht="14.4" hidden="true" customHeight="false" outlineLevel="0" collapsed="false">
      <c r="A6097" s="34" t="n">
        <v>1460437000413</v>
      </c>
      <c r="B6097" s="34" t="s">
        <v>1126</v>
      </c>
      <c r="C6097" s="34" t="s">
        <v>804</v>
      </c>
      <c r="E6097" s="30" t="s">
        <v>13562</v>
      </c>
      <c r="F6097" s="34" t="n">
        <f aca="false">IFERROR(VLOOKUP($A6097,'319'!$B:$H,7,0),0)</f>
        <v>540.33</v>
      </c>
      <c r="G6097" s="34" t="n">
        <f aca="false">SUMIFS('12.326ana'!$C:$C,'12.326ana'!$M:$M,redes!A6097)</f>
        <v>0</v>
      </c>
    </row>
    <row r="6098" customFormat="false" ht="14.4" hidden="true" customHeight="false" outlineLevel="0" collapsed="false">
      <c r="A6098" s="34" t="n">
        <v>1460438000115</v>
      </c>
      <c r="B6098" s="34" t="s">
        <v>13563</v>
      </c>
      <c r="C6098" s="34" t="s">
        <v>336</v>
      </c>
      <c r="E6098" s="30" t="s">
        <v>13564</v>
      </c>
      <c r="F6098" s="34" t="n">
        <f aca="false">IFERROR(VLOOKUP($A6098,'319'!$B:$H,7,0),0)</f>
        <v>0</v>
      </c>
      <c r="G6098" s="34" t="n">
        <f aca="false">SUMIFS('12.326ana'!$C:$C,'12.326ana'!$M:$M,redes!A6098)</f>
        <v>0</v>
      </c>
    </row>
    <row r="6099" customFormat="false" ht="14.4" hidden="true" customHeight="false" outlineLevel="0" collapsed="false">
      <c r="A6099" s="34" t="n">
        <v>1462859000185</v>
      </c>
      <c r="B6099" s="34" t="s">
        <v>13565</v>
      </c>
      <c r="C6099" s="34" t="s">
        <v>139</v>
      </c>
      <c r="E6099" s="30" t="s">
        <v>13566</v>
      </c>
      <c r="F6099" s="34" t="n">
        <f aca="false">IFERROR(VLOOKUP($A6099,'319'!$B:$H,7,0),0)</f>
        <v>65.52</v>
      </c>
      <c r="G6099" s="34" t="n">
        <f aca="false">SUMIFS('12.326ana'!$C:$C,'12.326ana'!$M:$M,redes!A6099)</f>
        <v>0</v>
      </c>
    </row>
    <row r="6100" customFormat="false" ht="14.4" hidden="true" customHeight="false" outlineLevel="0" collapsed="false">
      <c r="A6100" s="34" t="n">
        <v>1464314000108</v>
      </c>
      <c r="B6100" s="34" t="s">
        <v>13567</v>
      </c>
      <c r="C6100" s="34" t="s">
        <v>139</v>
      </c>
      <c r="E6100" s="30" t="s">
        <v>13568</v>
      </c>
      <c r="F6100" s="34" t="n">
        <f aca="false">IFERROR(VLOOKUP($A6100,'319'!$B:$H,7,0),0)</f>
        <v>0</v>
      </c>
      <c r="G6100" s="34" t="n">
        <f aca="false">SUMIFS('12.326ana'!$C:$C,'12.326ana'!$M:$M,redes!A6100)</f>
        <v>0</v>
      </c>
    </row>
    <row r="6101" customFormat="false" ht="14.4" hidden="true" customHeight="false" outlineLevel="0" collapsed="false">
      <c r="A6101" s="34" t="n">
        <v>1466214000110</v>
      </c>
      <c r="B6101" s="34" t="s">
        <v>13569</v>
      </c>
      <c r="C6101" s="34" t="s">
        <v>473</v>
      </c>
      <c r="E6101" s="30" t="s">
        <v>13570</v>
      </c>
      <c r="F6101" s="34" t="n">
        <f aca="false">IFERROR(VLOOKUP($A6101,'319'!$B:$H,7,0),0)</f>
        <v>0</v>
      </c>
      <c r="G6101" s="34" t="n">
        <f aca="false">SUMIFS('12.326ana'!$C:$C,'12.326ana'!$M:$M,redes!A6101)</f>
        <v>0</v>
      </c>
    </row>
    <row r="6102" customFormat="false" ht="14.4" hidden="true" customHeight="false" outlineLevel="0" collapsed="false">
      <c r="A6102" s="34" t="n">
        <v>1466219000143</v>
      </c>
      <c r="B6102" s="34" t="s">
        <v>13571</v>
      </c>
      <c r="C6102" s="34" t="s">
        <v>103</v>
      </c>
      <c r="E6102" s="30" t="s">
        <v>13572</v>
      </c>
      <c r="F6102" s="34" t="n">
        <f aca="false">IFERROR(VLOOKUP($A6102,'319'!$B:$H,7,0),0)</f>
        <v>0</v>
      </c>
      <c r="G6102" s="34" t="n">
        <f aca="false">SUMIFS('12.326ana'!$C:$C,'12.326ana'!$M:$M,redes!A6102)</f>
        <v>0</v>
      </c>
    </row>
    <row r="6103" customFormat="false" ht="14.4" hidden="true" customHeight="false" outlineLevel="0" collapsed="false">
      <c r="A6103" s="34" t="n">
        <v>1468245000100</v>
      </c>
      <c r="B6103" s="34" t="s">
        <v>13573</v>
      </c>
      <c r="C6103" s="34" t="s">
        <v>77</v>
      </c>
      <c r="E6103" s="30" t="s">
        <v>13574</v>
      </c>
      <c r="F6103" s="34" t="n">
        <f aca="false">IFERROR(VLOOKUP($A6103,'319'!$B:$H,7,0),0)</f>
        <v>0</v>
      </c>
      <c r="G6103" s="34" t="n">
        <f aca="false">SUMIFS('12.326ana'!$C:$C,'12.326ana'!$M:$M,redes!A6103)</f>
        <v>0</v>
      </c>
    </row>
    <row r="6104" customFormat="false" ht="14.4" hidden="true" customHeight="false" outlineLevel="0" collapsed="false">
      <c r="A6104" s="34" t="n">
        <v>1472459000150</v>
      </c>
      <c r="B6104" s="34" t="s">
        <v>13575</v>
      </c>
      <c r="C6104" s="34" t="s">
        <v>107</v>
      </c>
      <c r="E6104" s="30" t="s">
        <v>13576</v>
      </c>
      <c r="F6104" s="34" t="n">
        <f aca="false">IFERROR(VLOOKUP($A6104,'319'!$B:$H,7,0),0)</f>
        <v>0</v>
      </c>
      <c r="G6104" s="34" t="n">
        <f aca="false">SUMIFS('12.326ana'!$C:$C,'12.326ana'!$M:$M,redes!A6104)</f>
        <v>0</v>
      </c>
    </row>
    <row r="6105" customFormat="false" ht="14.4" hidden="true" customHeight="false" outlineLevel="0" collapsed="false">
      <c r="A6105" s="34" t="n">
        <v>1477040000191</v>
      </c>
      <c r="B6105" s="34" t="s">
        <v>13577</v>
      </c>
      <c r="C6105" s="34" t="s">
        <v>213</v>
      </c>
      <c r="E6105" s="30" t="s">
        <v>13578</v>
      </c>
      <c r="F6105" s="34" t="n">
        <f aca="false">IFERROR(VLOOKUP($A6105,'319'!$B:$H,7,0),0)</f>
        <v>0</v>
      </c>
      <c r="G6105" s="34" t="n">
        <f aca="false">SUMIFS('12.326ana'!$C:$C,'12.326ana'!$M:$M,redes!A6105)</f>
        <v>0</v>
      </c>
    </row>
    <row r="6106" customFormat="false" ht="14.4" hidden="true" customHeight="false" outlineLevel="0" collapsed="false">
      <c r="A6106" s="34" t="n">
        <v>1477122000136</v>
      </c>
      <c r="B6106" s="34" t="s">
        <v>13579</v>
      </c>
      <c r="C6106" s="34" t="s">
        <v>77</v>
      </c>
      <c r="E6106" s="30" t="s">
        <v>13580</v>
      </c>
      <c r="F6106" s="34" t="n">
        <f aca="false">IFERROR(VLOOKUP($A6106,'319'!$B:$H,7,0),0)</f>
        <v>0</v>
      </c>
      <c r="G6106" s="34" t="n">
        <f aca="false">SUMIFS('12.326ana'!$C:$C,'12.326ana'!$M:$M,redes!A6106)</f>
        <v>0</v>
      </c>
    </row>
    <row r="6107" customFormat="false" ht="14.4" hidden="true" customHeight="false" outlineLevel="0" collapsed="false">
      <c r="A6107" s="34" t="n">
        <v>1477931000148</v>
      </c>
      <c r="B6107" s="34" t="s">
        <v>13581</v>
      </c>
      <c r="C6107" s="34" t="s">
        <v>12327</v>
      </c>
      <c r="E6107" s="30" t="s">
        <v>13582</v>
      </c>
      <c r="F6107" s="34" t="n">
        <f aca="false">IFERROR(VLOOKUP($A6107,'319'!$B:$H,7,0),0)</f>
        <v>0</v>
      </c>
      <c r="G6107" s="34" t="n">
        <f aca="false">SUMIFS('12.326ana'!$C:$C,'12.326ana'!$M:$M,redes!A6107)</f>
        <v>0</v>
      </c>
    </row>
    <row r="6108" customFormat="false" ht="14.4" hidden="true" customHeight="false" outlineLevel="0" collapsed="false">
      <c r="A6108" s="34" t="n">
        <v>1480099000139</v>
      </c>
      <c r="B6108" s="34" t="s">
        <v>13583</v>
      </c>
      <c r="C6108" s="34" t="s">
        <v>77</v>
      </c>
      <c r="E6108" s="30" t="s">
        <v>13584</v>
      </c>
      <c r="F6108" s="34" t="n">
        <f aca="false">IFERROR(VLOOKUP($A6108,'319'!$B:$H,7,0),0)</f>
        <v>0</v>
      </c>
      <c r="G6108" s="34" t="n">
        <f aca="false">SUMIFS('12.326ana'!$C:$C,'12.326ana'!$M:$M,redes!A6108)</f>
        <v>0</v>
      </c>
    </row>
    <row r="6109" customFormat="false" ht="14.4" hidden="true" customHeight="false" outlineLevel="0" collapsed="false">
      <c r="A6109" s="34" t="n">
        <v>1480120000104</v>
      </c>
      <c r="B6109" s="34" t="s">
        <v>13585</v>
      </c>
      <c r="C6109" s="34" t="s">
        <v>351</v>
      </c>
      <c r="E6109" s="30" t="s">
        <v>13586</v>
      </c>
      <c r="F6109" s="34" t="n">
        <f aca="false">IFERROR(VLOOKUP($A6109,'319'!$B:$H,7,0),0)</f>
        <v>0</v>
      </c>
      <c r="G6109" s="34" t="n">
        <f aca="false">SUMIFS('12.326ana'!$C:$C,'12.326ana'!$M:$M,redes!A6109)</f>
        <v>0</v>
      </c>
    </row>
    <row r="6110" customFormat="false" ht="14.4" hidden="true" customHeight="false" outlineLevel="0" collapsed="false">
      <c r="A6110" s="34" t="n">
        <v>1480752000160</v>
      </c>
      <c r="B6110" s="34" t="s">
        <v>13587</v>
      </c>
      <c r="C6110" s="34" t="s">
        <v>473</v>
      </c>
      <c r="E6110" s="30" t="s">
        <v>13588</v>
      </c>
      <c r="F6110" s="34" t="n">
        <f aca="false">IFERROR(VLOOKUP($A6110,'319'!$B:$H,7,0),0)</f>
        <v>0</v>
      </c>
      <c r="G6110" s="34" t="n">
        <f aca="false">SUMIFS('12.326ana'!$C:$C,'12.326ana'!$M:$M,redes!A6110)</f>
        <v>0</v>
      </c>
    </row>
    <row r="6111" customFormat="false" ht="14.4" hidden="true" customHeight="false" outlineLevel="0" collapsed="false">
      <c r="A6111" s="34" t="n">
        <v>1482304000103</v>
      </c>
      <c r="B6111" s="34" t="s">
        <v>13589</v>
      </c>
      <c r="C6111" s="34" t="s">
        <v>594</v>
      </c>
      <c r="E6111" s="30" t="s">
        <v>13590</v>
      </c>
      <c r="F6111" s="34" t="n">
        <f aca="false">IFERROR(VLOOKUP($A6111,'319'!$B:$H,7,0),0)</f>
        <v>0</v>
      </c>
      <c r="G6111" s="34" t="n">
        <f aca="false">SUMIFS('12.326ana'!$C:$C,'12.326ana'!$M:$M,redes!A6111)</f>
        <v>0</v>
      </c>
    </row>
    <row r="6112" customFormat="false" ht="14.4" hidden="true" customHeight="false" outlineLevel="0" collapsed="false">
      <c r="A6112" s="34" t="n">
        <v>1482792000140</v>
      </c>
      <c r="B6112" s="34" t="s">
        <v>13591</v>
      </c>
      <c r="C6112" s="34" t="s">
        <v>77</v>
      </c>
      <c r="E6112" s="30" t="s">
        <v>2912</v>
      </c>
      <c r="F6112" s="34" t="n">
        <f aca="false">IFERROR(VLOOKUP($A6112,'319'!$B:$H,7,0),0)</f>
        <v>0</v>
      </c>
      <c r="G6112" s="34" t="n">
        <f aca="false">SUMIFS('12.326ana'!$C:$C,'12.326ana'!$M:$M,redes!A6112)</f>
        <v>0</v>
      </c>
    </row>
    <row r="6113" customFormat="false" ht="14.4" hidden="true" customHeight="false" outlineLevel="0" collapsed="false">
      <c r="A6113" s="34" t="n">
        <v>1485318000172</v>
      </c>
      <c r="B6113" s="34" t="s">
        <v>13592</v>
      </c>
      <c r="C6113" s="34" t="s">
        <v>213</v>
      </c>
      <c r="E6113" s="30" t="s">
        <v>2912</v>
      </c>
      <c r="F6113" s="34" t="n">
        <f aca="false">IFERROR(VLOOKUP($A6113,'319'!$B:$H,7,0),0)</f>
        <v>0</v>
      </c>
      <c r="G6113" s="34" t="n">
        <f aca="false">SUMIFS('12.326ana'!$C:$C,'12.326ana'!$M:$M,redes!A6113)</f>
        <v>0</v>
      </c>
    </row>
    <row r="6114" customFormat="false" ht="14.4" hidden="true" customHeight="false" outlineLevel="0" collapsed="false">
      <c r="A6114" s="34" t="n">
        <v>1485320000141</v>
      </c>
      <c r="B6114" s="34" t="s">
        <v>13593</v>
      </c>
      <c r="C6114" s="34" t="s">
        <v>77</v>
      </c>
      <c r="E6114" s="30" t="s">
        <v>13594</v>
      </c>
      <c r="F6114" s="34" t="n">
        <f aca="false">IFERROR(VLOOKUP($A6114,'319'!$B:$H,7,0),0)</f>
        <v>0</v>
      </c>
      <c r="G6114" s="34" t="n">
        <f aca="false">SUMIFS('12.326ana'!$C:$C,'12.326ana'!$M:$M,redes!A6114)</f>
        <v>0</v>
      </c>
    </row>
    <row r="6115" customFormat="false" ht="14.4" hidden="true" customHeight="false" outlineLevel="0" collapsed="false">
      <c r="A6115" s="34" t="n">
        <v>1487963000124</v>
      </c>
      <c r="B6115" s="34" t="s">
        <v>13595</v>
      </c>
      <c r="C6115" s="34" t="s">
        <v>77</v>
      </c>
      <c r="E6115" s="30" t="s">
        <v>13596</v>
      </c>
      <c r="F6115" s="34" t="n">
        <f aca="false">IFERROR(VLOOKUP($A6115,'319'!$B:$H,7,0),0)</f>
        <v>0</v>
      </c>
      <c r="G6115" s="34" t="n">
        <f aca="false">SUMIFS('12.326ana'!$C:$C,'12.326ana'!$M:$M,redes!A6115)</f>
        <v>0</v>
      </c>
    </row>
    <row r="6116" customFormat="false" ht="14.4" hidden="true" customHeight="false" outlineLevel="0" collapsed="false">
      <c r="A6116" s="34" t="n">
        <v>1489086000120</v>
      </c>
      <c r="B6116" s="34" t="s">
        <v>13597</v>
      </c>
      <c r="C6116" s="34" t="s">
        <v>107</v>
      </c>
      <c r="E6116" s="30" t="s">
        <v>13598</v>
      </c>
      <c r="F6116" s="34" t="n">
        <f aca="false">IFERROR(VLOOKUP($A6116,'319'!$B:$H,7,0),0)</f>
        <v>0</v>
      </c>
      <c r="G6116" s="34" t="n">
        <f aca="false">SUMIFS('12.326ana'!$C:$C,'12.326ana'!$M:$M,redes!A6116)</f>
        <v>0</v>
      </c>
    </row>
    <row r="6117" customFormat="false" ht="14.4" hidden="true" customHeight="false" outlineLevel="0" collapsed="false">
      <c r="A6117" s="34" t="n">
        <v>1489957000106</v>
      </c>
      <c r="B6117" s="34" t="s">
        <v>13599</v>
      </c>
      <c r="C6117" s="34" t="s">
        <v>139</v>
      </c>
      <c r="E6117" s="30" t="s">
        <v>13600</v>
      </c>
      <c r="F6117" s="34" t="n">
        <f aca="false">IFERROR(VLOOKUP($A6117,'319'!$B:$H,7,0),0)</f>
        <v>0</v>
      </c>
      <c r="G6117" s="34" t="n">
        <f aca="false">SUMIFS('12.326ana'!$C:$C,'12.326ana'!$M:$M,redes!A6117)</f>
        <v>0</v>
      </c>
    </row>
    <row r="6118" customFormat="false" ht="14.4" hidden="true" customHeight="false" outlineLevel="0" collapsed="false">
      <c r="A6118" s="34" t="n">
        <v>1492359000196</v>
      </c>
      <c r="B6118" s="34" t="s">
        <v>13601</v>
      </c>
      <c r="C6118" s="34" t="s">
        <v>77</v>
      </c>
      <c r="E6118" s="30" t="s">
        <v>13602</v>
      </c>
      <c r="F6118" s="34" t="n">
        <f aca="false">IFERROR(VLOOKUP($A6118,'319'!$B:$H,7,0),0)</f>
        <v>0</v>
      </c>
      <c r="G6118" s="34" t="n">
        <f aca="false">SUMIFS('12.326ana'!$C:$C,'12.326ana'!$M:$M,redes!A6118)</f>
        <v>0</v>
      </c>
    </row>
    <row r="6119" customFormat="false" ht="14.4" hidden="true" customHeight="false" outlineLevel="0" collapsed="false">
      <c r="A6119" s="34" t="n">
        <v>1492360000110</v>
      </c>
      <c r="B6119" s="34" t="s">
        <v>13603</v>
      </c>
      <c r="C6119" s="34" t="s">
        <v>464</v>
      </c>
      <c r="E6119" s="30" t="s">
        <v>13604</v>
      </c>
      <c r="F6119" s="34" t="n">
        <f aca="false">IFERROR(VLOOKUP($A6119,'319'!$B:$H,7,0),0)</f>
        <v>0</v>
      </c>
      <c r="G6119" s="34" t="n">
        <f aca="false">SUMIFS('12.326ana'!$C:$C,'12.326ana'!$M:$M,redes!A6119)</f>
        <v>0</v>
      </c>
    </row>
    <row r="6120" customFormat="false" ht="14.4" hidden="true" customHeight="false" outlineLevel="0" collapsed="false">
      <c r="A6120" s="34" t="n">
        <v>1498883000174</v>
      </c>
      <c r="B6120" s="34" t="s">
        <v>13605</v>
      </c>
      <c r="C6120" s="34" t="s">
        <v>197</v>
      </c>
      <c r="E6120" s="30" t="s">
        <v>12103</v>
      </c>
      <c r="F6120" s="34" t="n">
        <f aca="false">IFERROR(VLOOKUP($A6120,'319'!$B:$H,7,0),0)</f>
        <v>0</v>
      </c>
      <c r="G6120" s="34" t="n">
        <f aca="false">SUMIFS('12.326ana'!$C:$C,'12.326ana'!$M:$M,redes!A6120)</f>
        <v>0</v>
      </c>
    </row>
    <row r="6121" customFormat="false" ht="14.4" hidden="true" customHeight="false" outlineLevel="0" collapsed="false">
      <c r="A6121" s="34" t="n">
        <v>1499120000148</v>
      </c>
      <c r="B6121" s="34" t="s">
        <v>1553</v>
      </c>
      <c r="C6121" s="34" t="s">
        <v>473</v>
      </c>
      <c r="E6121" s="30" t="s">
        <v>13606</v>
      </c>
      <c r="F6121" s="34" t="n">
        <f aca="false">IFERROR(VLOOKUP($A6121,'319'!$B:$H,7,0),0)</f>
        <v>107.66</v>
      </c>
      <c r="G6121" s="34" t="n">
        <f aca="false">SUMIFS('12.326ana'!$C:$C,'12.326ana'!$M:$M,redes!A6121)</f>
        <v>0</v>
      </c>
    </row>
    <row r="6122" customFormat="false" ht="14.4" hidden="true" customHeight="false" outlineLevel="0" collapsed="false">
      <c r="A6122" s="34" t="n">
        <v>1503284000100</v>
      </c>
      <c r="B6122" s="34" t="s">
        <v>13607</v>
      </c>
      <c r="C6122" s="34" t="s">
        <v>13608</v>
      </c>
      <c r="E6122" s="30" t="s">
        <v>13607</v>
      </c>
      <c r="F6122" s="34" t="n">
        <f aca="false">IFERROR(VLOOKUP($A6122,'319'!$B:$H,7,0),0)</f>
        <v>0</v>
      </c>
      <c r="G6122" s="34" t="n">
        <f aca="false">SUMIFS('12.326ana'!$C:$C,'12.326ana'!$M:$M,redes!A6122)</f>
        <v>0</v>
      </c>
    </row>
    <row r="6123" customFormat="false" ht="14.4" hidden="true" customHeight="false" outlineLevel="0" collapsed="false">
      <c r="A6123" s="34" t="n">
        <v>1504364000171</v>
      </c>
      <c r="B6123" s="34" t="s">
        <v>13609</v>
      </c>
      <c r="C6123" s="34" t="s">
        <v>89</v>
      </c>
      <c r="E6123" s="30" t="s">
        <v>13610</v>
      </c>
      <c r="F6123" s="34" t="n">
        <f aca="false">IFERROR(VLOOKUP($A6123,'319'!$B:$H,7,0),0)</f>
        <v>0</v>
      </c>
      <c r="G6123" s="34" t="n">
        <f aca="false">SUMIFS('12.326ana'!$C:$C,'12.326ana'!$M:$M,redes!A6123)</f>
        <v>0</v>
      </c>
    </row>
    <row r="6124" customFormat="false" ht="14.4" hidden="true" customHeight="false" outlineLevel="0" collapsed="false">
      <c r="A6124" s="34" t="n">
        <v>1504661000117</v>
      </c>
      <c r="B6124" s="34" t="s">
        <v>13611</v>
      </c>
      <c r="C6124" s="34" t="s">
        <v>197</v>
      </c>
      <c r="E6124" s="30" t="s">
        <v>13612</v>
      </c>
      <c r="F6124" s="34" t="n">
        <f aca="false">IFERROR(VLOOKUP($A6124,'319'!$B:$H,7,0),0)</f>
        <v>0</v>
      </c>
      <c r="G6124" s="34" t="n">
        <f aca="false">SUMIFS('12.326ana'!$C:$C,'12.326ana'!$M:$M,redes!A6124)</f>
        <v>0</v>
      </c>
    </row>
    <row r="6125" customFormat="false" ht="14.4" hidden="true" customHeight="false" outlineLevel="0" collapsed="false">
      <c r="A6125" s="34" t="n">
        <v>1505165000188</v>
      </c>
      <c r="B6125" s="34" t="s">
        <v>13613</v>
      </c>
      <c r="C6125" s="34" t="s">
        <v>107</v>
      </c>
      <c r="E6125" s="30" t="s">
        <v>13614</v>
      </c>
      <c r="F6125" s="34" t="n">
        <f aca="false">IFERROR(VLOOKUP($A6125,'319'!$B:$H,7,0),0)</f>
        <v>0</v>
      </c>
      <c r="G6125" s="34" t="n">
        <f aca="false">SUMIFS('12.326ana'!$C:$C,'12.326ana'!$M:$M,redes!A6125)</f>
        <v>0</v>
      </c>
    </row>
    <row r="6126" customFormat="false" ht="14.4" hidden="true" customHeight="false" outlineLevel="0" collapsed="false">
      <c r="A6126" s="34" t="n">
        <v>1507242000139</v>
      </c>
      <c r="B6126" s="34" t="s">
        <v>13615</v>
      </c>
      <c r="C6126" s="34" t="s">
        <v>77</v>
      </c>
      <c r="D6126" s="34" t="s">
        <v>9598</v>
      </c>
      <c r="E6126" s="30" t="s">
        <v>13616</v>
      </c>
      <c r="F6126" s="34" t="n">
        <f aca="false">IFERROR(VLOOKUP($A6126,'319'!$B:$H,7,0),0)</f>
        <v>0</v>
      </c>
      <c r="G6126" s="34" t="n">
        <f aca="false">SUMIFS('12.326ana'!$C:$C,'12.326ana'!$M:$M,redes!A6126)</f>
        <v>0</v>
      </c>
    </row>
    <row r="6127" customFormat="false" ht="14.4" hidden="true" customHeight="false" outlineLevel="0" collapsed="false">
      <c r="A6127" s="34" t="n">
        <v>1507242000481</v>
      </c>
      <c r="B6127" s="34" t="s">
        <v>13617</v>
      </c>
      <c r="C6127" s="34" t="s">
        <v>77</v>
      </c>
      <c r="E6127" s="30" t="s">
        <v>13618</v>
      </c>
      <c r="F6127" s="34" t="n">
        <f aca="false">IFERROR(VLOOKUP($A6127,'319'!$B:$H,7,0),0)</f>
        <v>0</v>
      </c>
      <c r="G6127" s="34" t="n">
        <f aca="false">SUMIFS('12.326ana'!$C:$C,'12.326ana'!$M:$M,redes!A6127)</f>
        <v>0</v>
      </c>
    </row>
    <row r="6128" customFormat="false" ht="14.4" hidden="true" customHeight="false" outlineLevel="0" collapsed="false">
      <c r="A6128" s="34" t="n">
        <v>1507510000112</v>
      </c>
      <c r="B6128" s="34" t="s">
        <v>13619</v>
      </c>
      <c r="C6128" s="34" t="s">
        <v>594</v>
      </c>
      <c r="E6128" s="30" t="s">
        <v>13620</v>
      </c>
      <c r="F6128" s="34" t="n">
        <f aca="false">IFERROR(VLOOKUP($A6128,'319'!$B:$H,7,0),0)</f>
        <v>0</v>
      </c>
      <c r="G6128" s="34" t="n">
        <f aca="false">SUMIFS('12.326ana'!$C:$C,'12.326ana'!$M:$M,redes!A6128)</f>
        <v>0</v>
      </c>
    </row>
    <row r="6129" customFormat="false" ht="14.4" hidden="true" customHeight="false" outlineLevel="0" collapsed="false">
      <c r="A6129" s="34" t="n">
        <v>1507805000199</v>
      </c>
      <c r="B6129" s="34" t="s">
        <v>13621</v>
      </c>
      <c r="C6129" s="34" t="s">
        <v>979</v>
      </c>
      <c r="E6129" s="30" t="s">
        <v>13622</v>
      </c>
      <c r="F6129" s="34" t="n">
        <f aca="false">IFERROR(VLOOKUP($A6129,'319'!$B:$H,7,0),0)</f>
        <v>0</v>
      </c>
      <c r="G6129" s="34" t="n">
        <f aca="false">SUMIFS('12.326ana'!$C:$C,'12.326ana'!$M:$M,redes!A6129)</f>
        <v>0</v>
      </c>
    </row>
    <row r="6130" customFormat="false" ht="14.4" hidden="true" customHeight="false" outlineLevel="0" collapsed="false">
      <c r="A6130" s="34" t="n">
        <v>1507961000150</v>
      </c>
      <c r="B6130" s="34" t="s">
        <v>13623</v>
      </c>
      <c r="C6130" s="34" t="s">
        <v>207</v>
      </c>
      <c r="E6130" s="30" t="s">
        <v>13624</v>
      </c>
      <c r="F6130" s="34" t="n">
        <f aca="false">IFERROR(VLOOKUP($A6130,'319'!$B:$H,7,0),0)</f>
        <v>0</v>
      </c>
      <c r="G6130" s="34" t="n">
        <f aca="false">SUMIFS('12.326ana'!$C:$C,'12.326ana'!$M:$M,redes!A6130)</f>
        <v>0</v>
      </c>
    </row>
    <row r="6131" customFormat="false" ht="14.4" hidden="true" customHeight="false" outlineLevel="0" collapsed="false">
      <c r="A6131" s="34" t="n">
        <v>1508001000104</v>
      </c>
      <c r="B6131" s="34" t="s">
        <v>13625</v>
      </c>
      <c r="C6131" s="34" t="s">
        <v>77</v>
      </c>
      <c r="D6131" s="34" t="s">
        <v>13626</v>
      </c>
      <c r="E6131" s="30" t="s">
        <v>13627</v>
      </c>
      <c r="F6131" s="34" t="n">
        <f aca="false">IFERROR(VLOOKUP($A6131,'319'!$B:$H,7,0),0)</f>
        <v>0</v>
      </c>
      <c r="G6131" s="34" t="n">
        <f aca="false">SUMIFS('12.326ana'!$C:$C,'12.326ana'!$M:$M,redes!A6131)</f>
        <v>0</v>
      </c>
    </row>
    <row r="6132" customFormat="false" ht="14.4" hidden="true" customHeight="false" outlineLevel="0" collapsed="false">
      <c r="A6132" s="34" t="n">
        <v>1508563000158</v>
      </c>
      <c r="B6132" s="34" t="s">
        <v>13628</v>
      </c>
      <c r="C6132" s="34" t="s">
        <v>107</v>
      </c>
      <c r="E6132" s="30" t="s">
        <v>13629</v>
      </c>
      <c r="F6132" s="34" t="n">
        <f aca="false">IFERROR(VLOOKUP($A6132,'319'!$B:$H,7,0),0)</f>
        <v>0</v>
      </c>
      <c r="G6132" s="34" t="n">
        <f aca="false">SUMIFS('12.326ana'!$C:$C,'12.326ana'!$M:$M,redes!A6132)</f>
        <v>0</v>
      </c>
    </row>
    <row r="6133" customFormat="false" ht="14.4" hidden="true" customHeight="false" outlineLevel="0" collapsed="false">
      <c r="A6133" s="34" t="n">
        <v>1509660000165</v>
      </c>
      <c r="B6133" s="34" t="s">
        <v>13630</v>
      </c>
      <c r="C6133" s="34" t="s">
        <v>139</v>
      </c>
      <c r="E6133" s="30" t="s">
        <v>13631</v>
      </c>
      <c r="F6133" s="34" t="n">
        <f aca="false">IFERROR(VLOOKUP($A6133,'319'!$B:$H,7,0),0)</f>
        <v>0</v>
      </c>
      <c r="G6133" s="34" t="n">
        <f aca="false">SUMIFS('12.326ana'!$C:$C,'12.326ana'!$M:$M,redes!A6133)</f>
        <v>0</v>
      </c>
    </row>
    <row r="6134" customFormat="false" ht="14.4" hidden="true" customHeight="false" outlineLevel="0" collapsed="false">
      <c r="A6134" s="34" t="n">
        <v>1510549000199</v>
      </c>
      <c r="B6134" s="34" t="s">
        <v>13632</v>
      </c>
      <c r="C6134" s="34" t="s">
        <v>309</v>
      </c>
      <c r="E6134" s="30" t="s">
        <v>13633</v>
      </c>
      <c r="F6134" s="34" t="n">
        <f aca="false">IFERROR(VLOOKUP($A6134,'319'!$B:$H,7,0),0)</f>
        <v>0</v>
      </c>
      <c r="G6134" s="34" t="n">
        <f aca="false">SUMIFS('12.326ana'!$C:$C,'12.326ana'!$M:$M,redes!A6134)</f>
        <v>0</v>
      </c>
    </row>
    <row r="6135" customFormat="false" ht="14.4" hidden="true" customHeight="false" outlineLevel="0" collapsed="false">
      <c r="A6135" s="34" t="n">
        <v>1511724000162</v>
      </c>
      <c r="B6135" s="34" t="s">
        <v>13634</v>
      </c>
      <c r="C6135" s="34" t="s">
        <v>139</v>
      </c>
      <c r="E6135" s="30" t="s">
        <v>13635</v>
      </c>
      <c r="F6135" s="34" t="n">
        <f aca="false">IFERROR(VLOOKUP($A6135,'319'!$B:$H,7,0),0)</f>
        <v>0</v>
      </c>
      <c r="G6135" s="34" t="n">
        <f aca="false">SUMIFS('12.326ana'!$C:$C,'12.326ana'!$M:$M,redes!A6135)</f>
        <v>0</v>
      </c>
    </row>
    <row r="6136" customFormat="false" ht="14.4" hidden="true" customHeight="false" outlineLevel="0" collapsed="false">
      <c r="A6136" s="34" t="n">
        <v>1512201000130</v>
      </c>
      <c r="B6136" s="34" t="s">
        <v>13636</v>
      </c>
      <c r="C6136" s="34" t="s">
        <v>107</v>
      </c>
      <c r="E6136" s="30" t="s">
        <v>13637</v>
      </c>
      <c r="F6136" s="34" t="n">
        <f aca="false">IFERROR(VLOOKUP($A6136,'319'!$B:$H,7,0),0)</f>
        <v>0</v>
      </c>
      <c r="G6136" s="34" t="n">
        <f aca="false">SUMIFS('12.326ana'!$C:$C,'12.326ana'!$M:$M,redes!A6136)</f>
        <v>0</v>
      </c>
    </row>
    <row r="6137" customFormat="false" ht="14.4" hidden="true" customHeight="false" outlineLevel="0" collapsed="false">
      <c r="A6137" s="34" t="n">
        <v>1513431000114</v>
      </c>
      <c r="B6137" s="34" t="s">
        <v>13638</v>
      </c>
      <c r="C6137" s="34" t="s">
        <v>107</v>
      </c>
      <c r="E6137" s="30" t="s">
        <v>13639</v>
      </c>
      <c r="F6137" s="34" t="n">
        <f aca="false">IFERROR(VLOOKUP($A6137,'319'!$B:$H,7,0),0)</f>
        <v>0</v>
      </c>
      <c r="G6137" s="34" t="n">
        <f aca="false">SUMIFS('12.326ana'!$C:$C,'12.326ana'!$M:$M,redes!A6137)</f>
        <v>0</v>
      </c>
    </row>
    <row r="6138" customFormat="false" ht="14.4" hidden="true" customHeight="false" outlineLevel="0" collapsed="false">
      <c r="A6138" s="34" t="n">
        <v>1513644000146</v>
      </c>
      <c r="B6138" s="34" t="s">
        <v>13640</v>
      </c>
      <c r="C6138" s="34" t="s">
        <v>77</v>
      </c>
      <c r="E6138" s="30" t="s">
        <v>13641</v>
      </c>
      <c r="F6138" s="34" t="n">
        <f aca="false">IFERROR(VLOOKUP($A6138,'319'!$B:$H,7,0),0)</f>
        <v>0</v>
      </c>
      <c r="G6138" s="34" t="n">
        <f aca="false">SUMIFS('12.326ana'!$C:$C,'12.326ana'!$M:$M,redes!A6138)</f>
        <v>0</v>
      </c>
    </row>
    <row r="6139" customFormat="false" ht="14.4" hidden="true" customHeight="false" outlineLevel="0" collapsed="false">
      <c r="A6139" s="34" t="n">
        <v>1513688000176</v>
      </c>
      <c r="B6139" s="34" t="s">
        <v>13642</v>
      </c>
      <c r="C6139" s="34" t="s">
        <v>117</v>
      </c>
      <c r="E6139" s="30" t="s">
        <v>13643</v>
      </c>
      <c r="F6139" s="34" t="n">
        <f aca="false">IFERROR(VLOOKUP($A6139,'319'!$B:$H,7,0),0)</f>
        <v>0</v>
      </c>
      <c r="G6139" s="34" t="n">
        <f aca="false">SUMIFS('12.326ana'!$C:$C,'12.326ana'!$M:$M,redes!A6139)</f>
        <v>0</v>
      </c>
    </row>
    <row r="6140" customFormat="false" ht="14.4" hidden="true" customHeight="false" outlineLevel="0" collapsed="false">
      <c r="A6140" s="34" t="n">
        <v>1513939000112</v>
      </c>
      <c r="B6140" s="34" t="s">
        <v>13644</v>
      </c>
      <c r="C6140" s="34" t="s">
        <v>77</v>
      </c>
      <c r="E6140" s="30" t="s">
        <v>13644</v>
      </c>
      <c r="F6140" s="34" t="n">
        <f aca="false">IFERROR(VLOOKUP($A6140,'319'!$B:$H,7,0),0)</f>
        <v>0</v>
      </c>
      <c r="G6140" s="34" t="n">
        <f aca="false">SUMIFS('12.326ana'!$C:$C,'12.326ana'!$M:$M,redes!A6140)</f>
        <v>0</v>
      </c>
    </row>
    <row r="6141" customFormat="false" ht="14.4" hidden="true" customHeight="false" outlineLevel="0" collapsed="false">
      <c r="A6141" s="34" t="n">
        <v>1514033000112</v>
      </c>
      <c r="B6141" s="34" t="s">
        <v>13645</v>
      </c>
      <c r="C6141" s="34" t="s">
        <v>744</v>
      </c>
      <c r="E6141" s="30" t="s">
        <v>13646</v>
      </c>
      <c r="F6141" s="34" t="n">
        <f aca="false">IFERROR(VLOOKUP($A6141,'319'!$B:$H,7,0),0)</f>
        <v>0</v>
      </c>
      <c r="G6141" s="34" t="n">
        <f aca="false">SUMIFS('12.326ana'!$C:$C,'12.326ana'!$M:$M,redes!A6141)</f>
        <v>0</v>
      </c>
    </row>
    <row r="6142" customFormat="false" ht="14.4" hidden="true" customHeight="false" outlineLevel="0" collapsed="false">
      <c r="A6142" s="34" t="n">
        <v>1516424000176</v>
      </c>
      <c r="B6142" s="34" t="s">
        <v>13647</v>
      </c>
      <c r="C6142" s="34" t="s">
        <v>594</v>
      </c>
      <c r="E6142" s="30" t="s">
        <v>13648</v>
      </c>
      <c r="F6142" s="34" t="n">
        <f aca="false">IFERROR(VLOOKUP($A6142,'319'!$B:$H,7,0),0)</f>
        <v>0</v>
      </c>
      <c r="G6142" s="34" t="n">
        <f aca="false">SUMIFS('12.326ana'!$C:$C,'12.326ana'!$M:$M,redes!A6142)</f>
        <v>0</v>
      </c>
    </row>
    <row r="6143" customFormat="false" ht="14.4" hidden="true" customHeight="false" outlineLevel="0" collapsed="false">
      <c r="A6143" s="34" t="n">
        <v>1516600000170</v>
      </c>
      <c r="B6143" s="34" t="s">
        <v>13649</v>
      </c>
      <c r="C6143" s="34" t="s">
        <v>107</v>
      </c>
      <c r="E6143" s="30" t="s">
        <v>13650</v>
      </c>
      <c r="F6143" s="34" t="n">
        <f aca="false">IFERROR(VLOOKUP($A6143,'319'!$B:$H,7,0),0)</f>
        <v>0</v>
      </c>
      <c r="G6143" s="34" t="n">
        <f aca="false">SUMIFS('12.326ana'!$C:$C,'12.326ana'!$M:$M,redes!A6143)</f>
        <v>0</v>
      </c>
    </row>
    <row r="6144" customFormat="false" ht="14.4" hidden="true" customHeight="false" outlineLevel="0" collapsed="false">
      <c r="A6144" s="34" t="n">
        <v>1519379000103</v>
      </c>
      <c r="B6144" s="34" t="s">
        <v>13651</v>
      </c>
      <c r="C6144" s="34" t="s">
        <v>357</v>
      </c>
      <c r="E6144" s="30" t="s">
        <v>13652</v>
      </c>
      <c r="F6144" s="34" t="n">
        <f aca="false">IFERROR(VLOOKUP($A6144,'319'!$B:$H,7,0),0)</f>
        <v>0</v>
      </c>
      <c r="G6144" s="34" t="n">
        <f aca="false">SUMIFS('12.326ana'!$C:$C,'12.326ana'!$M:$M,redes!A6144)</f>
        <v>0</v>
      </c>
    </row>
    <row r="6145" customFormat="false" ht="14.4" hidden="true" customHeight="false" outlineLevel="0" collapsed="false">
      <c r="A6145" s="34" t="n">
        <v>1519842000117</v>
      </c>
      <c r="B6145" s="34" t="s">
        <v>13653</v>
      </c>
      <c r="C6145" s="34" t="s">
        <v>4139</v>
      </c>
      <c r="E6145" s="30" t="s">
        <v>13654</v>
      </c>
      <c r="F6145" s="34" t="n">
        <f aca="false">IFERROR(VLOOKUP($A6145,'319'!$B:$H,7,0),0)</f>
        <v>0</v>
      </c>
      <c r="G6145" s="34" t="n">
        <f aca="false">SUMIFS('12.326ana'!$C:$C,'12.326ana'!$M:$M,redes!A6145)</f>
        <v>0</v>
      </c>
    </row>
    <row r="6146" customFormat="false" ht="14.4" hidden="true" customHeight="false" outlineLevel="0" collapsed="false">
      <c r="A6146" s="34" t="n">
        <v>1520667000692</v>
      </c>
      <c r="B6146" s="34" t="s">
        <v>13655</v>
      </c>
      <c r="C6146" s="34" t="s">
        <v>77</v>
      </c>
      <c r="E6146" s="30" t="s">
        <v>13656</v>
      </c>
      <c r="F6146" s="34" t="n">
        <f aca="false">IFERROR(VLOOKUP($A6146,'319'!$B:$H,7,0),0)</f>
        <v>0</v>
      </c>
      <c r="G6146" s="34" t="n">
        <f aca="false">SUMIFS('12.326ana'!$C:$C,'12.326ana'!$M:$M,redes!A6146)</f>
        <v>0</v>
      </c>
    </row>
    <row r="6147" customFormat="false" ht="14.4" hidden="true" customHeight="false" outlineLevel="0" collapsed="false">
      <c r="A6147" s="34" t="n">
        <v>1521079000169</v>
      </c>
      <c r="B6147" s="34" t="s">
        <v>13657</v>
      </c>
      <c r="C6147" s="34" t="s">
        <v>842</v>
      </c>
      <c r="E6147" s="30" t="s">
        <v>13658</v>
      </c>
      <c r="F6147" s="34" t="n">
        <f aca="false">IFERROR(VLOOKUP($A6147,'319'!$B:$H,7,0),0)</f>
        <v>0</v>
      </c>
      <c r="G6147" s="34" t="n">
        <f aca="false">SUMIFS('12.326ana'!$C:$C,'12.326ana'!$M:$M,redes!A6147)</f>
        <v>0</v>
      </c>
    </row>
    <row r="6148" customFormat="false" ht="14.4" hidden="true" customHeight="false" outlineLevel="0" collapsed="false">
      <c r="A6148" s="34" t="n">
        <v>1521780000188</v>
      </c>
      <c r="B6148" s="34" t="s">
        <v>13659</v>
      </c>
      <c r="C6148" s="34" t="s">
        <v>103</v>
      </c>
      <c r="E6148" s="30" t="s">
        <v>13660</v>
      </c>
      <c r="F6148" s="34" t="n">
        <f aca="false">IFERROR(VLOOKUP($A6148,'319'!$B:$H,7,0),0)</f>
        <v>0</v>
      </c>
      <c r="G6148" s="34" t="n">
        <f aca="false">SUMIFS('12.326ana'!$C:$C,'12.326ana'!$M:$M,redes!A6148)</f>
        <v>0</v>
      </c>
    </row>
    <row r="6149" customFormat="false" ht="14.4" hidden="true" customHeight="false" outlineLevel="0" collapsed="false">
      <c r="A6149" s="34" t="n">
        <v>1521889000115</v>
      </c>
      <c r="B6149" s="34" t="s">
        <v>13661</v>
      </c>
      <c r="C6149" s="34" t="s">
        <v>103</v>
      </c>
      <c r="E6149" s="30" t="s">
        <v>13662</v>
      </c>
      <c r="F6149" s="34" t="n">
        <f aca="false">IFERROR(VLOOKUP($A6149,'319'!$B:$H,7,0),0)</f>
        <v>0</v>
      </c>
      <c r="G6149" s="34" t="n">
        <f aca="false">SUMIFS('12.326ana'!$C:$C,'12.326ana'!$M:$M,redes!A6149)</f>
        <v>0</v>
      </c>
    </row>
    <row r="6150" customFormat="false" ht="14.4" hidden="true" customHeight="false" outlineLevel="0" collapsed="false">
      <c r="A6150" s="34" t="n">
        <v>1522111000120</v>
      </c>
      <c r="B6150" s="34" t="s">
        <v>13663</v>
      </c>
      <c r="C6150" s="34" t="s">
        <v>107</v>
      </c>
      <c r="E6150" s="30"/>
      <c r="F6150" s="34" t="n">
        <f aca="false">IFERROR(VLOOKUP($A6150,'319'!$B:$H,7,0),0)</f>
        <v>0</v>
      </c>
      <c r="G6150" s="34" t="n">
        <f aca="false">SUMIFS('12.326ana'!$C:$C,'12.326ana'!$M:$M,redes!A6150)</f>
        <v>0</v>
      </c>
    </row>
    <row r="6151" customFormat="false" ht="14.4" hidden="true" customHeight="false" outlineLevel="0" collapsed="false">
      <c r="A6151" s="34" t="n">
        <v>1522473000111</v>
      </c>
      <c r="B6151" s="34" t="s">
        <v>13664</v>
      </c>
      <c r="C6151" s="34" t="s">
        <v>377</v>
      </c>
      <c r="E6151" s="30" t="s">
        <v>13665</v>
      </c>
      <c r="F6151" s="34" t="n">
        <f aca="false">IFERROR(VLOOKUP($A6151,'319'!$B:$H,7,0),0)</f>
        <v>0</v>
      </c>
      <c r="G6151" s="34" t="n">
        <f aca="false">SUMIFS('12.326ana'!$C:$C,'12.326ana'!$M:$M,redes!A6151)</f>
        <v>0</v>
      </c>
    </row>
    <row r="6152" customFormat="false" ht="14.4" hidden="true" customHeight="false" outlineLevel="0" collapsed="false">
      <c r="A6152" s="34" t="n">
        <v>1522937000190</v>
      </c>
      <c r="B6152" s="34" t="s">
        <v>13666</v>
      </c>
      <c r="C6152" s="34" t="s">
        <v>77</v>
      </c>
      <c r="E6152" s="30" t="s">
        <v>13667</v>
      </c>
      <c r="F6152" s="34" t="n">
        <f aca="false">IFERROR(VLOOKUP($A6152,'319'!$B:$H,7,0),0)</f>
        <v>0</v>
      </c>
      <c r="G6152" s="34" t="n">
        <f aca="false">SUMIFS('12.326ana'!$C:$C,'12.326ana'!$M:$M,redes!A6152)</f>
        <v>0</v>
      </c>
    </row>
    <row r="6153" customFormat="false" ht="14.4" hidden="true" customHeight="false" outlineLevel="0" collapsed="false">
      <c r="A6153" s="34" t="n">
        <v>1523174000100</v>
      </c>
      <c r="B6153" s="34" t="s">
        <v>13668</v>
      </c>
      <c r="C6153" s="34" t="s">
        <v>77</v>
      </c>
      <c r="E6153" s="30" t="s">
        <v>13669</v>
      </c>
      <c r="F6153" s="34" t="n">
        <f aca="false">IFERROR(VLOOKUP($A6153,'319'!$B:$H,7,0),0)</f>
        <v>0</v>
      </c>
      <c r="G6153" s="34" t="n">
        <f aca="false">SUMIFS('12.326ana'!$C:$C,'12.326ana'!$M:$M,redes!A6153)</f>
        <v>0</v>
      </c>
    </row>
    <row r="6154" customFormat="false" ht="14.4" hidden="true" customHeight="false" outlineLevel="0" collapsed="false">
      <c r="A6154" s="34" t="n">
        <v>1523679000166</v>
      </c>
      <c r="B6154" s="34" t="s">
        <v>13670</v>
      </c>
      <c r="C6154" s="34" t="s">
        <v>328</v>
      </c>
      <c r="E6154" s="30" t="s">
        <v>13671</v>
      </c>
      <c r="F6154" s="34" t="n">
        <f aca="false">IFERROR(VLOOKUP($A6154,'319'!$B:$H,7,0),0)</f>
        <v>0</v>
      </c>
      <c r="G6154" s="34" t="n">
        <f aca="false">SUMIFS('12.326ana'!$C:$C,'12.326ana'!$M:$M,redes!A6154)</f>
        <v>0</v>
      </c>
    </row>
    <row r="6155" customFormat="false" ht="14.4" hidden="true" customHeight="false" outlineLevel="0" collapsed="false">
      <c r="A6155" s="34" t="n">
        <v>1524289000100</v>
      </c>
      <c r="B6155" s="34" t="s">
        <v>13672</v>
      </c>
      <c r="C6155" s="34" t="s">
        <v>565</v>
      </c>
      <c r="E6155" s="30" t="s">
        <v>13673</v>
      </c>
      <c r="F6155" s="34" t="n">
        <f aca="false">IFERROR(VLOOKUP($A6155,'319'!$B:$H,7,0),0)</f>
        <v>0</v>
      </c>
      <c r="G6155" s="34" t="n">
        <f aca="false">SUMIFS('12.326ana'!$C:$C,'12.326ana'!$M:$M,redes!A6155)</f>
        <v>0</v>
      </c>
    </row>
    <row r="6156" customFormat="false" ht="14.4" hidden="true" customHeight="false" outlineLevel="0" collapsed="false">
      <c r="A6156" s="34" t="n">
        <v>1524586000156</v>
      </c>
      <c r="B6156" s="34" t="s">
        <v>13674</v>
      </c>
      <c r="C6156" s="34" t="s">
        <v>2998</v>
      </c>
      <c r="E6156" s="30" t="s">
        <v>13675</v>
      </c>
      <c r="F6156" s="34" t="n">
        <f aca="false">IFERROR(VLOOKUP($A6156,'319'!$B:$H,7,0),0)</f>
        <v>0</v>
      </c>
      <c r="G6156" s="34" t="n">
        <f aca="false">SUMIFS('12.326ana'!$C:$C,'12.326ana'!$M:$M,redes!A6156)</f>
        <v>0</v>
      </c>
    </row>
    <row r="6157" customFormat="false" ht="14.4" hidden="true" customHeight="false" outlineLevel="0" collapsed="false">
      <c r="A6157" s="34" t="n">
        <v>1524651000143</v>
      </c>
      <c r="B6157" s="34" t="s">
        <v>13676</v>
      </c>
      <c r="C6157" s="34" t="s">
        <v>3594</v>
      </c>
      <c r="E6157" s="30" t="s">
        <v>13677</v>
      </c>
      <c r="F6157" s="34" t="n">
        <f aca="false">IFERROR(VLOOKUP($A6157,'319'!$B:$H,7,0),0)</f>
        <v>0</v>
      </c>
      <c r="G6157" s="34" t="n">
        <f aca="false">SUMIFS('12.326ana'!$C:$C,'12.326ana'!$M:$M,redes!A6157)</f>
        <v>0</v>
      </c>
    </row>
    <row r="6158" customFormat="false" ht="14.4" hidden="true" customHeight="false" outlineLevel="0" collapsed="false">
      <c r="A6158" s="34" t="n">
        <v>1529155000182</v>
      </c>
      <c r="B6158" s="34" t="s">
        <v>13678</v>
      </c>
      <c r="C6158" s="34" t="s">
        <v>77</v>
      </c>
      <c r="E6158" s="30" t="s">
        <v>13679</v>
      </c>
      <c r="F6158" s="34" t="n">
        <f aca="false">IFERROR(VLOOKUP($A6158,'319'!$B:$H,7,0),0)</f>
        <v>0</v>
      </c>
      <c r="G6158" s="34" t="n">
        <f aca="false">SUMIFS('12.326ana'!$C:$C,'12.326ana'!$M:$M,redes!A6158)</f>
        <v>0</v>
      </c>
    </row>
    <row r="6159" customFormat="false" ht="14.4" hidden="true" customHeight="false" outlineLevel="0" collapsed="false">
      <c r="A6159" s="34" t="n">
        <v>1530435000100</v>
      </c>
      <c r="B6159" s="34" t="s">
        <v>13680</v>
      </c>
      <c r="C6159" s="34" t="s">
        <v>107</v>
      </c>
      <c r="E6159" s="30" t="s">
        <v>13681</v>
      </c>
      <c r="F6159" s="34" t="n">
        <f aca="false">IFERROR(VLOOKUP($A6159,'319'!$B:$H,7,0),0)</f>
        <v>0</v>
      </c>
      <c r="G6159" s="34" t="n">
        <f aca="false">SUMIFS('12.326ana'!$C:$C,'12.326ana'!$M:$M,redes!A6159)</f>
        <v>0</v>
      </c>
    </row>
    <row r="6160" customFormat="false" ht="14.4" hidden="true" customHeight="false" outlineLevel="0" collapsed="false">
      <c r="A6160" s="34" t="n">
        <v>1530500000106</v>
      </c>
      <c r="B6160" s="34" t="s">
        <v>13682</v>
      </c>
      <c r="C6160" s="34" t="s">
        <v>77</v>
      </c>
      <c r="E6160" s="30" t="s">
        <v>13683</v>
      </c>
      <c r="F6160" s="34" t="n">
        <f aca="false">IFERROR(VLOOKUP($A6160,'319'!$B:$H,7,0),0)</f>
        <v>0</v>
      </c>
      <c r="G6160" s="34" t="n">
        <f aca="false">SUMIFS('12.326ana'!$C:$C,'12.326ana'!$M:$M,redes!A6160)</f>
        <v>0</v>
      </c>
    </row>
    <row r="6161" customFormat="false" ht="14.4" hidden="true" customHeight="false" outlineLevel="0" collapsed="false">
      <c r="A6161" s="34" t="n">
        <v>1531235000172</v>
      </c>
      <c r="B6161" s="34" t="s">
        <v>13684</v>
      </c>
      <c r="C6161" s="34" t="s">
        <v>77</v>
      </c>
      <c r="E6161" s="30" t="s">
        <v>13685</v>
      </c>
      <c r="F6161" s="34" t="n">
        <f aca="false">IFERROR(VLOOKUP($A6161,'319'!$B:$H,7,0),0)</f>
        <v>0</v>
      </c>
      <c r="G6161" s="34" t="n">
        <f aca="false">SUMIFS('12.326ana'!$C:$C,'12.326ana'!$M:$M,redes!A6161)</f>
        <v>0</v>
      </c>
    </row>
    <row r="6162" customFormat="false" ht="14.4" hidden="true" customHeight="false" outlineLevel="0" collapsed="false">
      <c r="A6162" s="34" t="n">
        <v>1531326000108</v>
      </c>
      <c r="B6162" s="34" t="s">
        <v>13686</v>
      </c>
      <c r="C6162" s="34" t="s">
        <v>962</v>
      </c>
      <c r="E6162" s="30" t="s">
        <v>13687</v>
      </c>
      <c r="F6162" s="34" t="n">
        <f aca="false">IFERROR(VLOOKUP($A6162,'319'!$B:$H,7,0),0)</f>
        <v>0</v>
      </c>
      <c r="G6162" s="34" t="n">
        <f aca="false">SUMIFS('12.326ana'!$C:$C,'12.326ana'!$M:$M,redes!A6162)</f>
        <v>0</v>
      </c>
    </row>
    <row r="6163" customFormat="false" ht="14.4" hidden="true" customHeight="false" outlineLevel="0" collapsed="false">
      <c r="A6163" s="34" t="n">
        <v>1531920000107</v>
      </c>
      <c r="B6163" s="34" t="s">
        <v>13688</v>
      </c>
      <c r="C6163" s="34" t="s">
        <v>1602</v>
      </c>
      <c r="E6163" s="30" t="s">
        <v>13689</v>
      </c>
      <c r="F6163" s="34" t="n">
        <f aca="false">IFERROR(VLOOKUP($A6163,'319'!$B:$H,7,0),0)</f>
        <v>0</v>
      </c>
      <c r="G6163" s="34" t="n">
        <f aca="false">SUMIFS('12.326ana'!$C:$C,'12.326ana'!$M:$M,redes!A6163)</f>
        <v>0</v>
      </c>
    </row>
    <row r="6164" customFormat="false" ht="14.4" hidden="true" customHeight="false" outlineLevel="0" collapsed="false">
      <c r="A6164" s="34" t="n">
        <v>1532639000180</v>
      </c>
      <c r="B6164" s="34" t="s">
        <v>13690</v>
      </c>
      <c r="C6164" s="34" t="s">
        <v>192</v>
      </c>
      <c r="E6164" s="30" t="s">
        <v>13691</v>
      </c>
      <c r="F6164" s="34" t="n">
        <f aca="false">IFERROR(VLOOKUP($A6164,'319'!$B:$H,7,0),0)</f>
        <v>0</v>
      </c>
      <c r="G6164" s="34" t="n">
        <f aca="false">SUMIFS('12.326ana'!$C:$C,'12.326ana'!$M:$M,redes!A6164)</f>
        <v>0</v>
      </c>
    </row>
    <row r="6165" customFormat="false" ht="14.4" hidden="true" customHeight="false" outlineLevel="0" collapsed="false">
      <c r="A6165" s="34" t="n">
        <v>1534851000187</v>
      </c>
      <c r="B6165" s="34" t="s">
        <v>13692</v>
      </c>
      <c r="C6165" s="34" t="s">
        <v>737</v>
      </c>
      <c r="E6165" s="30" t="s">
        <v>13693</v>
      </c>
      <c r="F6165" s="34" t="n">
        <f aca="false">IFERROR(VLOOKUP($A6165,'319'!$B:$H,7,0),0)</f>
        <v>0</v>
      </c>
      <c r="G6165" s="34" t="n">
        <f aca="false">SUMIFS('12.326ana'!$C:$C,'12.326ana'!$M:$M,redes!A6165)</f>
        <v>0</v>
      </c>
    </row>
    <row r="6166" customFormat="false" ht="14.4" hidden="true" customHeight="false" outlineLevel="0" collapsed="false">
      <c r="A6166" s="34" t="n">
        <v>1536440000120</v>
      </c>
      <c r="B6166" s="34" t="s">
        <v>13694</v>
      </c>
      <c r="C6166" s="34" t="s">
        <v>604</v>
      </c>
      <c r="E6166" s="30" t="s">
        <v>11517</v>
      </c>
      <c r="F6166" s="34" t="n">
        <f aca="false">IFERROR(VLOOKUP($A6166,'319'!$B:$H,7,0),0)</f>
        <v>0</v>
      </c>
      <c r="G6166" s="34" t="n">
        <f aca="false">SUMIFS('12.326ana'!$C:$C,'12.326ana'!$M:$M,redes!A6166)</f>
        <v>0</v>
      </c>
    </row>
    <row r="6167" customFormat="false" ht="14.4" hidden="true" customHeight="false" outlineLevel="0" collapsed="false">
      <c r="A6167" s="34" t="n">
        <v>1536457000188</v>
      </c>
      <c r="B6167" s="34" t="s">
        <v>13695</v>
      </c>
      <c r="C6167" s="34" t="s">
        <v>77</v>
      </c>
      <c r="E6167" s="30" t="s">
        <v>13696</v>
      </c>
      <c r="F6167" s="34" t="n">
        <f aca="false">IFERROR(VLOOKUP($A6167,'319'!$B:$H,7,0),0)</f>
        <v>0</v>
      </c>
      <c r="G6167" s="34" t="n">
        <f aca="false">SUMIFS('12.326ana'!$C:$C,'12.326ana'!$M:$M,redes!A6167)</f>
        <v>0</v>
      </c>
    </row>
    <row r="6168" customFormat="false" ht="14.4" hidden="true" customHeight="false" outlineLevel="0" collapsed="false">
      <c r="A6168" s="34" t="n">
        <v>1537620000127</v>
      </c>
      <c r="B6168" s="34" t="s">
        <v>13697</v>
      </c>
      <c r="C6168" s="34" t="s">
        <v>107</v>
      </c>
      <c r="E6168" s="30" t="s">
        <v>5613</v>
      </c>
      <c r="F6168" s="34" t="n">
        <f aca="false">IFERROR(VLOOKUP($A6168,'319'!$B:$H,7,0),0)</f>
        <v>0</v>
      </c>
      <c r="G6168" s="34" t="n">
        <f aca="false">SUMIFS('12.326ana'!$C:$C,'12.326ana'!$M:$M,redes!A6168)</f>
        <v>0</v>
      </c>
    </row>
    <row r="6169" customFormat="false" ht="14.4" hidden="true" customHeight="false" outlineLevel="0" collapsed="false">
      <c r="A6169" s="34" t="n">
        <v>1538990000189</v>
      </c>
      <c r="B6169" s="34" t="s">
        <v>13698</v>
      </c>
      <c r="C6169" s="34" t="s">
        <v>89</v>
      </c>
      <c r="E6169" s="30" t="s">
        <v>13698</v>
      </c>
      <c r="F6169" s="34" t="n">
        <f aca="false">IFERROR(VLOOKUP($A6169,'319'!$B:$H,7,0),0)</f>
        <v>0</v>
      </c>
      <c r="G6169" s="34" t="n">
        <f aca="false">SUMIFS('12.326ana'!$C:$C,'12.326ana'!$M:$M,redes!A6169)</f>
        <v>0</v>
      </c>
    </row>
    <row r="6170" customFormat="false" ht="14.4" hidden="true" customHeight="false" outlineLevel="0" collapsed="false">
      <c r="A6170" s="34" t="n">
        <v>1541077000131</v>
      </c>
      <c r="B6170" s="34" t="s">
        <v>13699</v>
      </c>
      <c r="C6170" s="34" t="s">
        <v>299</v>
      </c>
      <c r="E6170" s="30" t="s">
        <v>13700</v>
      </c>
      <c r="F6170" s="34" t="n">
        <f aca="false">IFERROR(VLOOKUP($A6170,'319'!$B:$H,7,0),0)</f>
        <v>0</v>
      </c>
      <c r="G6170" s="34" t="n">
        <f aca="false">SUMIFS('12.326ana'!$C:$C,'12.326ana'!$M:$M,redes!A6170)</f>
        <v>0</v>
      </c>
    </row>
    <row r="6171" customFormat="false" ht="14.4" hidden="true" customHeight="false" outlineLevel="0" collapsed="false">
      <c r="A6171" s="34" t="n">
        <v>1541366000130</v>
      </c>
      <c r="B6171" s="34" t="s">
        <v>13701</v>
      </c>
      <c r="C6171" s="34" t="s">
        <v>107</v>
      </c>
      <c r="E6171" s="30" t="s">
        <v>13702</v>
      </c>
      <c r="F6171" s="34" t="n">
        <f aca="false">IFERROR(VLOOKUP($A6171,'319'!$B:$H,7,0),0)</f>
        <v>0</v>
      </c>
      <c r="G6171" s="34" t="n">
        <f aca="false">SUMIFS('12.326ana'!$C:$C,'12.326ana'!$M:$M,redes!A6171)</f>
        <v>0</v>
      </c>
    </row>
    <row r="6172" customFormat="false" ht="14.4" hidden="true" customHeight="false" outlineLevel="0" collapsed="false">
      <c r="A6172" s="34" t="n">
        <v>1542901000178</v>
      </c>
      <c r="B6172" s="34" t="s">
        <v>13703</v>
      </c>
      <c r="C6172" s="34" t="s">
        <v>357</v>
      </c>
      <c r="E6172" s="30" t="s">
        <v>12980</v>
      </c>
      <c r="F6172" s="34" t="n">
        <f aca="false">IFERROR(VLOOKUP($A6172,'319'!$B:$H,7,0),0)</f>
        <v>0</v>
      </c>
      <c r="G6172" s="34" t="n">
        <f aca="false">SUMIFS('12.326ana'!$C:$C,'12.326ana'!$M:$M,redes!A6172)</f>
        <v>0</v>
      </c>
    </row>
    <row r="6173" customFormat="false" ht="14.4" hidden="true" customHeight="false" outlineLevel="0" collapsed="false">
      <c r="A6173" s="34" t="n">
        <v>1544055000125</v>
      </c>
      <c r="B6173" s="34" t="s">
        <v>13704</v>
      </c>
      <c r="C6173" s="34" t="s">
        <v>89</v>
      </c>
      <c r="E6173" s="30" t="s">
        <v>13705</v>
      </c>
      <c r="F6173" s="34" t="n">
        <f aca="false">IFERROR(VLOOKUP($A6173,'319'!$B:$H,7,0),0)</f>
        <v>0</v>
      </c>
      <c r="G6173" s="34" t="n">
        <f aca="false">SUMIFS('12.326ana'!$C:$C,'12.326ana'!$M:$M,redes!A6173)</f>
        <v>0</v>
      </c>
    </row>
    <row r="6174" customFormat="false" ht="14.4" hidden="true" customHeight="false" outlineLevel="0" collapsed="false">
      <c r="A6174" s="34" t="n">
        <v>1544265000113</v>
      </c>
      <c r="B6174" s="34" t="s">
        <v>13706</v>
      </c>
      <c r="C6174" s="34" t="s">
        <v>117</v>
      </c>
      <c r="E6174" s="30" t="s">
        <v>13707</v>
      </c>
      <c r="F6174" s="34" t="n">
        <f aca="false">IFERROR(VLOOKUP($A6174,'319'!$B:$H,7,0),0)</f>
        <v>0</v>
      </c>
      <c r="G6174" s="34" t="n">
        <f aca="false">SUMIFS('12.326ana'!$C:$C,'12.326ana'!$M:$M,redes!A6174)</f>
        <v>0</v>
      </c>
    </row>
    <row r="6175" customFormat="false" ht="14.4" hidden="true" customHeight="false" outlineLevel="0" collapsed="false">
      <c r="A6175" s="34" t="n">
        <v>1544907000184</v>
      </c>
      <c r="B6175" s="34" t="s">
        <v>13708</v>
      </c>
      <c r="C6175" s="34" t="s">
        <v>4418</v>
      </c>
      <c r="E6175" s="30"/>
      <c r="F6175" s="34" t="n">
        <f aca="false">IFERROR(VLOOKUP($A6175,'319'!$B:$H,7,0),0)</f>
        <v>0</v>
      </c>
      <c r="G6175" s="34" t="n">
        <f aca="false">SUMIFS('12.326ana'!$C:$C,'12.326ana'!$M:$M,redes!A6175)</f>
        <v>0</v>
      </c>
    </row>
    <row r="6176" customFormat="false" ht="14.4" hidden="true" customHeight="false" outlineLevel="0" collapsed="false">
      <c r="A6176" s="34" t="n">
        <v>1545128000101</v>
      </c>
      <c r="B6176" s="34" t="s">
        <v>13709</v>
      </c>
      <c r="C6176" s="34" t="s">
        <v>107</v>
      </c>
      <c r="E6176" s="30" t="s">
        <v>13710</v>
      </c>
      <c r="F6176" s="34" t="n">
        <f aca="false">IFERROR(VLOOKUP($A6176,'319'!$B:$H,7,0),0)</f>
        <v>0</v>
      </c>
      <c r="G6176" s="34" t="n">
        <f aca="false">SUMIFS('12.326ana'!$C:$C,'12.326ana'!$M:$M,redes!A6176)</f>
        <v>0</v>
      </c>
    </row>
    <row r="6177" customFormat="false" ht="14.4" hidden="true" customHeight="false" outlineLevel="0" collapsed="false">
      <c r="A6177" s="34" t="n">
        <v>1547434000179</v>
      </c>
      <c r="B6177" s="34" t="s">
        <v>13711</v>
      </c>
      <c r="C6177" s="34" t="s">
        <v>77</v>
      </c>
      <c r="E6177" s="30" t="s">
        <v>3293</v>
      </c>
      <c r="F6177" s="34" t="n">
        <f aca="false">IFERROR(VLOOKUP($A6177,'319'!$B:$H,7,0),0)</f>
        <v>0</v>
      </c>
      <c r="G6177" s="34" t="n">
        <f aca="false">SUMIFS('12.326ana'!$C:$C,'12.326ana'!$M:$M,redes!A6177)</f>
        <v>0</v>
      </c>
    </row>
    <row r="6178" customFormat="false" ht="14.4" hidden="true" customHeight="false" outlineLevel="0" collapsed="false">
      <c r="A6178" s="34" t="n">
        <v>1547436000168</v>
      </c>
      <c r="B6178" s="34" t="s">
        <v>13712</v>
      </c>
      <c r="C6178" s="34" t="s">
        <v>296</v>
      </c>
      <c r="D6178" s="34" t="s">
        <v>13713</v>
      </c>
      <c r="E6178" s="30" t="s">
        <v>13714</v>
      </c>
      <c r="F6178" s="34" t="n">
        <f aca="false">IFERROR(VLOOKUP($A6178,'319'!$B:$H,7,0),0)</f>
        <v>4465.73</v>
      </c>
      <c r="G6178" s="34" t="n">
        <f aca="false">SUMIFS('12.326ana'!$C:$C,'12.326ana'!$M:$M,redes!A6178)</f>
        <v>183.54</v>
      </c>
    </row>
    <row r="6179" customFormat="false" ht="14.4" hidden="true" customHeight="false" outlineLevel="0" collapsed="false">
      <c r="A6179" s="34" t="n">
        <v>1547436000320</v>
      </c>
      <c r="B6179" s="34" t="s">
        <v>13715</v>
      </c>
      <c r="C6179" s="34" t="s">
        <v>296</v>
      </c>
      <c r="D6179" s="34" t="s">
        <v>13713</v>
      </c>
      <c r="E6179" s="30" t="s">
        <v>13716</v>
      </c>
      <c r="F6179" s="34" t="n">
        <f aca="false">IFERROR(VLOOKUP($A6179,'319'!$B:$H,7,0),0)</f>
        <v>0</v>
      </c>
      <c r="G6179" s="34" t="n">
        <f aca="false">SUMIFS('12.326ana'!$C:$C,'12.326ana'!$M:$M,redes!A6179)</f>
        <v>0</v>
      </c>
    </row>
    <row r="6180" customFormat="false" ht="14.4" hidden="true" customHeight="false" outlineLevel="0" collapsed="false">
      <c r="A6180" s="34" t="n">
        <v>1547445000159</v>
      </c>
      <c r="B6180" s="34" t="s">
        <v>13717</v>
      </c>
      <c r="C6180" s="34" t="s">
        <v>706</v>
      </c>
      <c r="E6180" s="30" t="s">
        <v>13718</v>
      </c>
      <c r="F6180" s="34" t="n">
        <f aca="false">IFERROR(VLOOKUP($A6180,'319'!$B:$H,7,0),0)</f>
        <v>1184.82</v>
      </c>
      <c r="G6180" s="34" t="n">
        <f aca="false">SUMIFS('12.326ana'!$C:$C,'12.326ana'!$M:$M,redes!A6180)</f>
        <v>0</v>
      </c>
    </row>
    <row r="6181" customFormat="false" ht="14.4" hidden="true" customHeight="false" outlineLevel="0" collapsed="false">
      <c r="A6181" s="34" t="n">
        <v>1548999000170</v>
      </c>
      <c r="B6181" s="34" t="s">
        <v>13719</v>
      </c>
      <c r="C6181" s="34" t="s">
        <v>804</v>
      </c>
      <c r="E6181" s="30" t="s">
        <v>13720</v>
      </c>
      <c r="F6181" s="34" t="n">
        <f aca="false">IFERROR(VLOOKUP($A6181,'319'!$B:$H,7,0),0)</f>
        <v>0</v>
      </c>
      <c r="G6181" s="34" t="n">
        <f aca="false">SUMIFS('12.326ana'!$C:$C,'12.326ana'!$M:$M,redes!A6181)</f>
        <v>0</v>
      </c>
    </row>
    <row r="6182" customFormat="false" ht="14.4" hidden="true" customHeight="false" outlineLevel="0" collapsed="false">
      <c r="A6182" s="34" t="n">
        <v>1549385000103</v>
      </c>
      <c r="B6182" s="34" t="s">
        <v>13721</v>
      </c>
      <c r="C6182" s="34" t="s">
        <v>935</v>
      </c>
      <c r="E6182" s="30" t="s">
        <v>13722</v>
      </c>
      <c r="F6182" s="34" t="n">
        <f aca="false">IFERROR(VLOOKUP($A6182,'319'!$B:$H,7,0),0)</f>
        <v>0</v>
      </c>
      <c r="G6182" s="34" t="n">
        <f aca="false">SUMIFS('12.326ana'!$C:$C,'12.326ana'!$M:$M,redes!A6182)</f>
        <v>0</v>
      </c>
    </row>
    <row r="6183" customFormat="false" ht="14.4" hidden="true" customHeight="false" outlineLevel="0" collapsed="false">
      <c r="A6183" s="34" t="n">
        <v>1549856000264</v>
      </c>
      <c r="B6183" s="34" t="s">
        <v>13723</v>
      </c>
      <c r="C6183" s="34" t="s">
        <v>77</v>
      </c>
      <c r="E6183" s="30" t="s">
        <v>13724</v>
      </c>
      <c r="F6183" s="34" t="n">
        <f aca="false">IFERROR(VLOOKUP($A6183,'319'!$B:$H,7,0),0)</f>
        <v>0</v>
      </c>
      <c r="G6183" s="34" t="n">
        <f aca="false">SUMIFS('12.326ana'!$C:$C,'12.326ana'!$M:$M,redes!A6183)</f>
        <v>0</v>
      </c>
    </row>
    <row r="6184" customFormat="false" ht="14.4" hidden="true" customHeight="false" outlineLevel="0" collapsed="false">
      <c r="A6184" s="34" t="n">
        <v>1550214000102</v>
      </c>
      <c r="B6184" s="34" t="s">
        <v>13725</v>
      </c>
      <c r="C6184" s="34" t="s">
        <v>107</v>
      </c>
      <c r="E6184" s="30" t="s">
        <v>3238</v>
      </c>
      <c r="F6184" s="34" t="n">
        <f aca="false">IFERROR(VLOOKUP($A6184,'319'!$B:$H,7,0),0)</f>
        <v>0</v>
      </c>
      <c r="G6184" s="34" t="n">
        <f aca="false">SUMIFS('12.326ana'!$C:$C,'12.326ana'!$M:$M,redes!A6184)</f>
        <v>0</v>
      </c>
    </row>
    <row r="6185" customFormat="false" ht="14.4" hidden="true" customHeight="false" outlineLevel="0" collapsed="false">
      <c r="A6185" s="34" t="n">
        <v>1551272000142</v>
      </c>
      <c r="B6185" s="34" t="s">
        <v>13726</v>
      </c>
      <c r="C6185" s="34" t="s">
        <v>13727</v>
      </c>
      <c r="E6185" s="30" t="s">
        <v>13728</v>
      </c>
      <c r="F6185" s="34" t="n">
        <f aca="false">IFERROR(VLOOKUP($A6185,'319'!$B:$H,7,0),0)</f>
        <v>0</v>
      </c>
      <c r="G6185" s="34" t="n">
        <f aca="false">SUMIFS('12.326ana'!$C:$C,'12.326ana'!$M:$M,redes!A6185)</f>
        <v>0</v>
      </c>
    </row>
    <row r="6186" customFormat="false" ht="14.4" hidden="true" customHeight="false" outlineLevel="0" collapsed="false">
      <c r="A6186" s="34" t="n">
        <v>1552953000125</v>
      </c>
      <c r="B6186" s="34" t="s">
        <v>13729</v>
      </c>
      <c r="C6186" s="34" t="s">
        <v>107</v>
      </c>
      <c r="E6186" s="30" t="s">
        <v>13730</v>
      </c>
      <c r="F6186" s="34" t="n">
        <f aca="false">IFERROR(VLOOKUP($A6186,'319'!$B:$H,7,0),0)</f>
        <v>0</v>
      </c>
      <c r="G6186" s="34" t="n">
        <f aca="false">SUMIFS('12.326ana'!$C:$C,'12.326ana'!$M:$M,redes!A6186)</f>
        <v>0</v>
      </c>
    </row>
    <row r="6187" customFormat="false" ht="14.4" hidden="true" customHeight="false" outlineLevel="0" collapsed="false">
      <c r="A6187" s="34" t="n">
        <v>1553387000176</v>
      </c>
      <c r="B6187" s="34" t="s">
        <v>13731</v>
      </c>
      <c r="C6187" s="34" t="s">
        <v>1272</v>
      </c>
      <c r="E6187" s="30" t="s">
        <v>7392</v>
      </c>
      <c r="F6187" s="34" t="n">
        <f aca="false">IFERROR(VLOOKUP($A6187,'319'!$B:$H,7,0),0)</f>
        <v>0</v>
      </c>
      <c r="G6187" s="34" t="n">
        <f aca="false">SUMIFS('12.326ana'!$C:$C,'12.326ana'!$M:$M,redes!A6187)</f>
        <v>0</v>
      </c>
    </row>
    <row r="6188" customFormat="false" ht="14.4" hidden="true" customHeight="false" outlineLevel="0" collapsed="false">
      <c r="A6188" s="34" t="n">
        <v>1553551000145</v>
      </c>
      <c r="B6188" s="34" t="s">
        <v>13732</v>
      </c>
      <c r="C6188" s="34" t="s">
        <v>604</v>
      </c>
      <c r="E6188" s="30" t="s">
        <v>13733</v>
      </c>
      <c r="F6188" s="34" t="n">
        <f aca="false">IFERROR(VLOOKUP($A6188,'319'!$B:$H,7,0),0)</f>
        <v>0</v>
      </c>
      <c r="G6188" s="34" t="n">
        <f aca="false">SUMIFS('12.326ana'!$C:$C,'12.326ana'!$M:$M,redes!A6188)</f>
        <v>0</v>
      </c>
    </row>
    <row r="6189" customFormat="false" ht="14.4" hidden="true" customHeight="false" outlineLevel="0" collapsed="false">
      <c r="A6189" s="34" t="n">
        <v>1554015000164</v>
      </c>
      <c r="B6189" s="34" t="s">
        <v>13734</v>
      </c>
      <c r="C6189" s="34" t="s">
        <v>464</v>
      </c>
      <c r="E6189" s="30" t="s">
        <v>12783</v>
      </c>
      <c r="F6189" s="34" t="n">
        <f aca="false">IFERROR(VLOOKUP($A6189,'319'!$B:$H,7,0),0)</f>
        <v>0</v>
      </c>
      <c r="G6189" s="34" t="n">
        <f aca="false">SUMIFS('12.326ana'!$C:$C,'12.326ana'!$M:$M,redes!A6189)</f>
        <v>0</v>
      </c>
    </row>
    <row r="6190" customFormat="false" ht="14.4" hidden="true" customHeight="false" outlineLevel="0" collapsed="false">
      <c r="A6190" s="34" t="n">
        <v>1555531000103</v>
      </c>
      <c r="B6190" s="34" t="s">
        <v>13735</v>
      </c>
      <c r="C6190" s="34" t="s">
        <v>77</v>
      </c>
      <c r="E6190" s="30" t="s">
        <v>9902</v>
      </c>
      <c r="F6190" s="34" t="n">
        <f aca="false">IFERROR(VLOOKUP($A6190,'319'!$B:$H,7,0),0)</f>
        <v>0</v>
      </c>
      <c r="G6190" s="34" t="n">
        <f aca="false">SUMIFS('12.326ana'!$C:$C,'12.326ana'!$M:$M,redes!A6190)</f>
        <v>0</v>
      </c>
    </row>
    <row r="6191" customFormat="false" ht="14.4" hidden="true" customHeight="false" outlineLevel="0" collapsed="false">
      <c r="A6191" s="34" t="n">
        <v>1555831000192</v>
      </c>
      <c r="B6191" s="34" t="s">
        <v>13736</v>
      </c>
      <c r="C6191" s="34" t="s">
        <v>77</v>
      </c>
      <c r="E6191" s="30" t="s">
        <v>13737</v>
      </c>
      <c r="F6191" s="34" t="n">
        <f aca="false">IFERROR(VLOOKUP($A6191,'319'!$B:$H,7,0),0)</f>
        <v>0</v>
      </c>
      <c r="G6191" s="34" t="n">
        <f aca="false">SUMIFS('12.326ana'!$C:$C,'12.326ana'!$M:$M,redes!A6191)</f>
        <v>0</v>
      </c>
    </row>
    <row r="6192" customFormat="false" ht="14.4" hidden="true" customHeight="false" outlineLevel="0" collapsed="false">
      <c r="A6192" s="34" t="n">
        <v>1556471000143</v>
      </c>
      <c r="B6192" s="34" t="s">
        <v>13738</v>
      </c>
      <c r="C6192" s="34" t="s">
        <v>103</v>
      </c>
      <c r="E6192" s="30" t="s">
        <v>13739</v>
      </c>
      <c r="F6192" s="34" t="n">
        <f aca="false">IFERROR(VLOOKUP($A6192,'319'!$B:$H,7,0),0)</f>
        <v>0</v>
      </c>
      <c r="G6192" s="34" t="n">
        <f aca="false">SUMIFS('12.326ana'!$C:$C,'12.326ana'!$M:$M,redes!A6192)</f>
        <v>0</v>
      </c>
    </row>
    <row r="6193" customFormat="false" ht="14.4" hidden="true" customHeight="false" outlineLevel="0" collapsed="false">
      <c r="A6193" s="34" t="n">
        <v>1556620000174</v>
      </c>
      <c r="B6193" s="34" t="s">
        <v>13740</v>
      </c>
      <c r="C6193" s="34" t="s">
        <v>631</v>
      </c>
      <c r="E6193" s="30" t="s">
        <v>13741</v>
      </c>
      <c r="F6193" s="34" t="n">
        <f aca="false">IFERROR(VLOOKUP($A6193,'319'!$B:$H,7,0),0)</f>
        <v>0</v>
      </c>
      <c r="G6193" s="34" t="n">
        <f aca="false">SUMIFS('12.326ana'!$C:$C,'12.326ana'!$M:$M,redes!A6193)</f>
        <v>0</v>
      </c>
    </row>
    <row r="6194" customFormat="false" ht="14.4" hidden="true" customHeight="false" outlineLevel="0" collapsed="false">
      <c r="A6194" s="34" t="n">
        <v>1557375000110</v>
      </c>
      <c r="B6194" s="34" t="s">
        <v>1111</v>
      </c>
      <c r="C6194" s="34" t="s">
        <v>979</v>
      </c>
      <c r="E6194" s="30" t="s">
        <v>13742</v>
      </c>
      <c r="F6194" s="34" t="n">
        <f aca="false">IFERROR(VLOOKUP($A6194,'319'!$B:$H,7,0),0)</f>
        <v>561.33</v>
      </c>
      <c r="G6194" s="34" t="n">
        <f aca="false">SUMIFS('12.326ana'!$C:$C,'12.326ana'!$M:$M,redes!A6194)</f>
        <v>0</v>
      </c>
    </row>
    <row r="6195" customFormat="false" ht="14.4" hidden="true" customHeight="false" outlineLevel="0" collapsed="false">
      <c r="A6195" s="34" t="n">
        <v>1557378000153</v>
      </c>
      <c r="B6195" s="34" t="s">
        <v>1570</v>
      </c>
      <c r="C6195" s="34" t="s">
        <v>309</v>
      </c>
      <c r="E6195" s="30" t="s">
        <v>8048</v>
      </c>
      <c r="F6195" s="34" t="n">
        <f aca="false">IFERROR(VLOOKUP($A6195,'319'!$B:$H,7,0),0)</f>
        <v>89.71</v>
      </c>
      <c r="G6195" s="34" t="n">
        <f aca="false">SUMIFS('12.326ana'!$C:$C,'12.326ana'!$M:$M,redes!A6195)</f>
        <v>0</v>
      </c>
    </row>
    <row r="6196" customFormat="false" ht="14.4" hidden="true" customHeight="false" outlineLevel="0" collapsed="false">
      <c r="A6196" s="34" t="n">
        <v>1558477000150</v>
      </c>
      <c r="B6196" s="34" t="s">
        <v>13743</v>
      </c>
      <c r="C6196" s="34" t="s">
        <v>107</v>
      </c>
      <c r="E6196" s="30" t="s">
        <v>13744</v>
      </c>
      <c r="F6196" s="34" t="n">
        <f aca="false">IFERROR(VLOOKUP($A6196,'319'!$B:$H,7,0),0)</f>
        <v>0</v>
      </c>
      <c r="G6196" s="34" t="n">
        <f aca="false">SUMIFS('12.326ana'!$C:$C,'12.326ana'!$M:$M,redes!A6196)</f>
        <v>0</v>
      </c>
    </row>
    <row r="6197" customFormat="false" ht="14.4" hidden="true" customHeight="false" outlineLevel="0" collapsed="false">
      <c r="A6197" s="34" t="n">
        <v>1559590000150</v>
      </c>
      <c r="B6197" s="34" t="s">
        <v>13745</v>
      </c>
      <c r="C6197" s="34" t="s">
        <v>77</v>
      </c>
      <c r="E6197" s="30" t="s">
        <v>13746</v>
      </c>
      <c r="F6197" s="34" t="n">
        <f aca="false">IFERROR(VLOOKUP($A6197,'319'!$B:$H,7,0),0)</f>
        <v>0</v>
      </c>
      <c r="G6197" s="34" t="n">
        <f aca="false">SUMIFS('12.326ana'!$C:$C,'12.326ana'!$M:$M,redes!A6197)</f>
        <v>0</v>
      </c>
    </row>
    <row r="6198" customFormat="false" ht="14.4" hidden="true" customHeight="false" outlineLevel="0" collapsed="false">
      <c r="A6198" s="34" t="n">
        <v>1559756000138</v>
      </c>
      <c r="B6198" s="34" t="s">
        <v>13747</v>
      </c>
      <c r="C6198" s="34" t="s">
        <v>737</v>
      </c>
      <c r="E6198" s="30" t="s">
        <v>13748</v>
      </c>
      <c r="F6198" s="34" t="n">
        <f aca="false">IFERROR(VLOOKUP($A6198,'319'!$B:$H,7,0),0)</f>
        <v>0</v>
      </c>
      <c r="G6198" s="34" t="n">
        <f aca="false">SUMIFS('12.326ana'!$C:$C,'12.326ana'!$M:$M,redes!A6198)</f>
        <v>0</v>
      </c>
    </row>
    <row r="6199" customFormat="false" ht="14.4" hidden="true" customHeight="false" outlineLevel="0" collapsed="false">
      <c r="A6199" s="34" t="n">
        <v>1560747000167</v>
      </c>
      <c r="B6199" s="34" t="s">
        <v>13749</v>
      </c>
      <c r="C6199" s="34" t="s">
        <v>107</v>
      </c>
      <c r="E6199" s="30" t="s">
        <v>6454</v>
      </c>
      <c r="F6199" s="34" t="n">
        <f aca="false">IFERROR(VLOOKUP($A6199,'319'!$B:$H,7,0),0)</f>
        <v>0</v>
      </c>
      <c r="G6199" s="34" t="n">
        <f aca="false">SUMIFS('12.326ana'!$C:$C,'12.326ana'!$M:$M,redes!A6199)</f>
        <v>0</v>
      </c>
    </row>
    <row r="6200" customFormat="false" ht="14.4" hidden="true" customHeight="false" outlineLevel="0" collapsed="false">
      <c r="A6200" s="34" t="n">
        <v>1561737000146</v>
      </c>
      <c r="B6200" s="34" t="s">
        <v>13006</v>
      </c>
      <c r="C6200" s="34" t="s">
        <v>192</v>
      </c>
      <c r="E6200" s="30" t="s">
        <v>13750</v>
      </c>
      <c r="F6200" s="34" t="n">
        <f aca="false">IFERROR(VLOOKUP($A6200,'319'!$B:$H,7,0),0)</f>
        <v>0</v>
      </c>
      <c r="G6200" s="34" t="n">
        <f aca="false">SUMIFS('12.326ana'!$C:$C,'12.326ana'!$M:$M,redes!A6200)</f>
        <v>0</v>
      </c>
    </row>
    <row r="6201" customFormat="false" ht="14.4" hidden="true" customHeight="false" outlineLevel="0" collapsed="false">
      <c r="A6201" s="34" t="n">
        <v>1561919000117</v>
      </c>
      <c r="B6201" s="34" t="s">
        <v>13751</v>
      </c>
      <c r="C6201" s="34" t="s">
        <v>1054</v>
      </c>
      <c r="E6201" s="30" t="s">
        <v>13752</v>
      </c>
      <c r="F6201" s="34" t="n">
        <f aca="false">IFERROR(VLOOKUP($A6201,'319'!$B:$H,7,0),0)</f>
        <v>0</v>
      </c>
      <c r="G6201" s="34" t="n">
        <f aca="false">SUMIFS('12.326ana'!$C:$C,'12.326ana'!$M:$M,redes!A6201)</f>
        <v>0</v>
      </c>
    </row>
    <row r="6202" customFormat="false" ht="14.4" hidden="true" customHeight="false" outlineLevel="0" collapsed="false">
      <c r="A6202" s="34" t="n">
        <v>1561935000100</v>
      </c>
      <c r="B6202" s="34" t="s">
        <v>13753</v>
      </c>
      <c r="C6202" s="34" t="s">
        <v>77</v>
      </c>
      <c r="E6202" s="30" t="s">
        <v>13754</v>
      </c>
      <c r="F6202" s="34" t="n">
        <f aca="false">IFERROR(VLOOKUP($A6202,'319'!$B:$H,7,0),0)</f>
        <v>0</v>
      </c>
      <c r="G6202" s="34" t="n">
        <f aca="false">SUMIFS('12.326ana'!$C:$C,'12.326ana'!$M:$M,redes!A6202)</f>
        <v>0</v>
      </c>
    </row>
    <row r="6203" customFormat="false" ht="14.4" hidden="true" customHeight="false" outlineLevel="0" collapsed="false">
      <c r="A6203" s="34" t="n">
        <v>1562511000160</v>
      </c>
      <c r="B6203" s="34" t="s">
        <v>13755</v>
      </c>
      <c r="C6203" s="34" t="s">
        <v>127</v>
      </c>
      <c r="E6203" s="30" t="s">
        <v>13756</v>
      </c>
      <c r="F6203" s="34" t="n">
        <f aca="false">IFERROR(VLOOKUP($A6203,'319'!$B:$H,7,0),0)</f>
        <v>0</v>
      </c>
      <c r="G6203" s="34" t="n">
        <f aca="false">SUMIFS('12.326ana'!$C:$C,'12.326ana'!$M:$M,redes!A6203)</f>
        <v>0</v>
      </c>
    </row>
    <row r="6204" customFormat="false" ht="14.4" hidden="true" customHeight="false" outlineLevel="0" collapsed="false">
      <c r="A6204" s="34" t="n">
        <v>1563408000134</v>
      </c>
      <c r="B6204" s="34" t="s">
        <v>13757</v>
      </c>
      <c r="C6204" s="34" t="s">
        <v>89</v>
      </c>
      <c r="E6204" s="30" t="s">
        <v>13758</v>
      </c>
      <c r="F6204" s="34" t="n">
        <f aca="false">IFERROR(VLOOKUP($A6204,'319'!$B:$H,7,0),0)</f>
        <v>0</v>
      </c>
      <c r="G6204" s="34" t="n">
        <f aca="false">SUMIFS('12.326ana'!$C:$C,'12.326ana'!$M:$M,redes!A6204)</f>
        <v>0</v>
      </c>
    </row>
    <row r="6205" customFormat="false" ht="14.4" hidden="true" customHeight="false" outlineLevel="0" collapsed="false">
      <c r="A6205" s="34" t="n">
        <v>1563411000158</v>
      </c>
      <c r="B6205" s="34" t="s">
        <v>13759</v>
      </c>
      <c r="C6205" s="34" t="s">
        <v>405</v>
      </c>
      <c r="E6205" s="30"/>
      <c r="F6205" s="34" t="n">
        <f aca="false">IFERROR(VLOOKUP($A6205,'319'!$B:$H,7,0),0)</f>
        <v>0</v>
      </c>
      <c r="G6205" s="34" t="n">
        <f aca="false">SUMIFS('12.326ana'!$C:$C,'12.326ana'!$M:$M,redes!A6205)</f>
        <v>0</v>
      </c>
    </row>
    <row r="6206" customFormat="false" ht="14.4" hidden="true" customHeight="false" outlineLevel="0" collapsed="false">
      <c r="A6206" s="34" t="n">
        <v>1563477000148</v>
      </c>
      <c r="B6206" s="34" t="s">
        <v>13760</v>
      </c>
      <c r="C6206" s="34" t="s">
        <v>1341</v>
      </c>
      <c r="E6206" s="30" t="s">
        <v>11527</v>
      </c>
      <c r="F6206" s="34" t="n">
        <f aca="false">IFERROR(VLOOKUP($A6206,'319'!$B:$H,7,0),0)</f>
        <v>0</v>
      </c>
      <c r="G6206" s="34" t="n">
        <f aca="false">SUMIFS('12.326ana'!$C:$C,'12.326ana'!$M:$M,redes!A6206)</f>
        <v>0</v>
      </c>
    </row>
    <row r="6207" customFormat="false" ht="14.4" hidden="true" customHeight="false" outlineLevel="0" collapsed="false">
      <c r="A6207" s="34" t="n">
        <v>1563680000114</v>
      </c>
      <c r="B6207" s="34" t="s">
        <v>13761</v>
      </c>
      <c r="C6207" s="34" t="s">
        <v>77</v>
      </c>
      <c r="E6207" s="30" t="s">
        <v>13762</v>
      </c>
      <c r="F6207" s="34" t="n">
        <f aca="false">IFERROR(VLOOKUP($A6207,'319'!$B:$H,7,0),0)</f>
        <v>0</v>
      </c>
      <c r="G6207" s="34" t="n">
        <f aca="false">SUMIFS('12.326ana'!$C:$C,'12.326ana'!$M:$M,redes!A6207)</f>
        <v>0</v>
      </c>
    </row>
    <row r="6208" customFormat="false" ht="14.4" hidden="true" customHeight="false" outlineLevel="0" collapsed="false">
      <c r="A6208" s="34" t="n">
        <v>1564616000158</v>
      </c>
      <c r="B6208" s="34" t="s">
        <v>13763</v>
      </c>
      <c r="C6208" s="34" t="s">
        <v>77</v>
      </c>
      <c r="E6208" s="30" t="s">
        <v>13764</v>
      </c>
      <c r="F6208" s="34" t="n">
        <f aca="false">IFERROR(VLOOKUP($A6208,'319'!$B:$H,7,0),0)</f>
        <v>0</v>
      </c>
      <c r="G6208" s="34" t="n">
        <f aca="false">SUMIFS('12.326ana'!$C:$C,'12.326ana'!$M:$M,redes!A6208)</f>
        <v>0</v>
      </c>
    </row>
    <row r="6209" customFormat="false" ht="14.4" hidden="true" customHeight="false" outlineLevel="0" collapsed="false">
      <c r="A6209" s="34" t="n">
        <v>1564772000119</v>
      </c>
      <c r="B6209" s="34" t="s">
        <v>13765</v>
      </c>
      <c r="C6209" s="34" t="s">
        <v>117</v>
      </c>
      <c r="E6209" s="30" t="s">
        <v>13766</v>
      </c>
      <c r="F6209" s="34" t="n">
        <f aca="false">IFERROR(VLOOKUP($A6209,'319'!$B:$H,7,0),0)</f>
        <v>0</v>
      </c>
      <c r="G6209" s="34" t="n">
        <f aca="false">SUMIFS('12.326ana'!$C:$C,'12.326ana'!$M:$M,redes!A6209)</f>
        <v>0</v>
      </c>
    </row>
    <row r="6210" customFormat="false" ht="14.4" hidden="true" customHeight="false" outlineLevel="0" collapsed="false">
      <c r="A6210" s="34" t="n">
        <v>1565589000138</v>
      </c>
      <c r="B6210" s="34" t="s">
        <v>13767</v>
      </c>
      <c r="C6210" s="34" t="s">
        <v>77</v>
      </c>
      <c r="E6210" s="30" t="s">
        <v>13768</v>
      </c>
      <c r="F6210" s="34" t="n">
        <f aca="false">IFERROR(VLOOKUP($A6210,'319'!$B:$H,7,0),0)</f>
        <v>0</v>
      </c>
      <c r="G6210" s="34" t="n">
        <f aca="false">SUMIFS('12.326ana'!$C:$C,'12.326ana'!$M:$M,redes!A6210)</f>
        <v>0</v>
      </c>
    </row>
    <row r="6211" customFormat="false" ht="14.4" hidden="true" customHeight="false" outlineLevel="0" collapsed="false">
      <c r="A6211" s="34" t="n">
        <v>1566041000102</v>
      </c>
      <c r="B6211" s="34" t="s">
        <v>13769</v>
      </c>
      <c r="C6211" s="34" t="s">
        <v>107</v>
      </c>
      <c r="E6211" s="30" t="s">
        <v>3800</v>
      </c>
      <c r="F6211" s="34" t="n">
        <f aca="false">IFERROR(VLOOKUP($A6211,'319'!$B:$H,7,0),0)</f>
        <v>0</v>
      </c>
      <c r="G6211" s="34" t="n">
        <f aca="false">SUMIFS('12.326ana'!$C:$C,'12.326ana'!$M:$M,redes!A6211)</f>
        <v>0</v>
      </c>
    </row>
    <row r="6212" customFormat="false" ht="14.4" hidden="true" customHeight="false" outlineLevel="0" collapsed="false">
      <c r="A6212" s="34" t="n">
        <v>1566421000147</v>
      </c>
      <c r="B6212" s="34" t="s">
        <v>13770</v>
      </c>
      <c r="C6212" s="34" t="s">
        <v>2998</v>
      </c>
      <c r="E6212" s="30" t="s">
        <v>13771</v>
      </c>
      <c r="F6212" s="34" t="n">
        <f aca="false">IFERROR(VLOOKUP($A6212,'319'!$B:$H,7,0),0)</f>
        <v>0</v>
      </c>
      <c r="G6212" s="34" t="n">
        <f aca="false">SUMIFS('12.326ana'!$C:$C,'12.326ana'!$M:$M,redes!A6212)</f>
        <v>0</v>
      </c>
    </row>
    <row r="6213" customFormat="false" ht="14.4" hidden="true" customHeight="false" outlineLevel="0" collapsed="false">
      <c r="A6213" s="34" t="n">
        <v>1566769000134</v>
      </c>
      <c r="B6213" s="34" t="s">
        <v>13772</v>
      </c>
      <c r="C6213" s="34" t="s">
        <v>89</v>
      </c>
      <c r="E6213" s="30" t="s">
        <v>13773</v>
      </c>
      <c r="F6213" s="34" t="n">
        <f aca="false">IFERROR(VLOOKUP($A6213,'319'!$B:$H,7,0),0)</f>
        <v>0</v>
      </c>
      <c r="G6213" s="34" t="n">
        <f aca="false">SUMIFS('12.326ana'!$C:$C,'12.326ana'!$M:$M,redes!A6213)</f>
        <v>0</v>
      </c>
    </row>
    <row r="6214" customFormat="false" ht="14.4" hidden="true" customHeight="false" outlineLevel="0" collapsed="false">
      <c r="A6214" s="34" t="n">
        <v>1567069000164</v>
      </c>
      <c r="B6214" s="34" t="s">
        <v>13774</v>
      </c>
      <c r="C6214" s="34" t="s">
        <v>781</v>
      </c>
      <c r="E6214" s="30" t="s">
        <v>13775</v>
      </c>
      <c r="F6214" s="34" t="n">
        <f aca="false">IFERROR(VLOOKUP($A6214,'319'!$B:$H,7,0),0)</f>
        <v>0</v>
      </c>
      <c r="G6214" s="34" t="n">
        <f aca="false">SUMIFS('12.326ana'!$C:$C,'12.326ana'!$M:$M,redes!A6214)</f>
        <v>0</v>
      </c>
    </row>
    <row r="6215" customFormat="false" ht="14.4" hidden="true" customHeight="false" outlineLevel="0" collapsed="false">
      <c r="A6215" s="34" t="n">
        <v>1567130000173</v>
      </c>
      <c r="B6215" s="34" t="s">
        <v>13776</v>
      </c>
      <c r="C6215" s="34" t="s">
        <v>103</v>
      </c>
      <c r="E6215" s="30" t="s">
        <v>5305</v>
      </c>
      <c r="F6215" s="34" t="n">
        <f aca="false">IFERROR(VLOOKUP($A6215,'319'!$B:$H,7,0),0)</f>
        <v>0</v>
      </c>
      <c r="G6215" s="34" t="n">
        <f aca="false">SUMIFS('12.326ana'!$C:$C,'12.326ana'!$M:$M,redes!A6215)</f>
        <v>0</v>
      </c>
    </row>
    <row r="6216" customFormat="false" ht="14.4" hidden="true" customHeight="false" outlineLevel="0" collapsed="false">
      <c r="A6216" s="34" t="n">
        <v>1568815000134</v>
      </c>
      <c r="B6216" s="34" t="s">
        <v>13777</v>
      </c>
      <c r="C6216" s="34" t="s">
        <v>103</v>
      </c>
      <c r="E6216" s="30" t="s">
        <v>13778</v>
      </c>
      <c r="F6216" s="34" t="n">
        <f aca="false">IFERROR(VLOOKUP($A6216,'319'!$B:$H,7,0),0)</f>
        <v>0</v>
      </c>
      <c r="G6216" s="34" t="n">
        <f aca="false">SUMIFS('12.326ana'!$C:$C,'12.326ana'!$M:$M,redes!A6216)</f>
        <v>0</v>
      </c>
    </row>
    <row r="6217" customFormat="false" ht="14.4" hidden="true" customHeight="false" outlineLevel="0" collapsed="false">
      <c r="A6217" s="34" t="n">
        <v>1569011000150</v>
      </c>
      <c r="B6217" s="34" t="s">
        <v>13779</v>
      </c>
      <c r="C6217" s="34" t="s">
        <v>139</v>
      </c>
      <c r="E6217" s="30" t="s">
        <v>13780</v>
      </c>
      <c r="F6217" s="34" t="n">
        <f aca="false">IFERROR(VLOOKUP($A6217,'319'!$B:$H,7,0),0)</f>
        <v>0</v>
      </c>
      <c r="G6217" s="34" t="n">
        <f aca="false">SUMIFS('12.326ana'!$C:$C,'12.326ana'!$M:$M,redes!A6217)</f>
        <v>0</v>
      </c>
    </row>
    <row r="6218" customFormat="false" ht="14.4" hidden="true" customHeight="false" outlineLevel="0" collapsed="false">
      <c r="A6218" s="34" t="n">
        <v>1569540000153</v>
      </c>
      <c r="B6218" s="34" t="s">
        <v>13781</v>
      </c>
      <c r="C6218" s="34" t="s">
        <v>192</v>
      </c>
      <c r="E6218" s="30" t="s">
        <v>5280</v>
      </c>
      <c r="F6218" s="34" t="n">
        <f aca="false">IFERROR(VLOOKUP($A6218,'319'!$B:$H,7,0),0)</f>
        <v>0</v>
      </c>
      <c r="G6218" s="34" t="n">
        <f aca="false">SUMIFS('12.326ana'!$C:$C,'12.326ana'!$M:$M,redes!A6218)</f>
        <v>0</v>
      </c>
    </row>
    <row r="6219" customFormat="false" ht="14.4" hidden="true" customHeight="false" outlineLevel="0" collapsed="false">
      <c r="A6219" s="34" t="n">
        <v>1569797000105</v>
      </c>
      <c r="B6219" s="34" t="s">
        <v>13782</v>
      </c>
      <c r="C6219" s="34" t="s">
        <v>77</v>
      </c>
      <c r="E6219" s="30" t="s">
        <v>13505</v>
      </c>
      <c r="F6219" s="34" t="n">
        <f aca="false">IFERROR(VLOOKUP($A6219,'319'!$B:$H,7,0),0)</f>
        <v>0</v>
      </c>
      <c r="G6219" s="34" t="n">
        <f aca="false">SUMIFS('12.326ana'!$C:$C,'12.326ana'!$M:$M,redes!A6219)</f>
        <v>0</v>
      </c>
    </row>
    <row r="6220" customFormat="false" ht="14.4" hidden="true" customHeight="false" outlineLevel="0" collapsed="false">
      <c r="A6220" s="34" t="n">
        <v>1570464000104</v>
      </c>
      <c r="B6220" s="34" t="s">
        <v>13783</v>
      </c>
      <c r="C6220" s="34" t="s">
        <v>107</v>
      </c>
      <c r="E6220" s="30" t="s">
        <v>13784</v>
      </c>
      <c r="F6220" s="34" t="n">
        <f aca="false">IFERROR(VLOOKUP($A6220,'319'!$B:$H,7,0),0)</f>
        <v>0</v>
      </c>
      <c r="G6220" s="34" t="n">
        <f aca="false">SUMIFS('12.326ana'!$C:$C,'12.326ana'!$M:$M,redes!A6220)</f>
        <v>0</v>
      </c>
    </row>
    <row r="6221" customFormat="false" ht="14.4" hidden="true" customHeight="false" outlineLevel="0" collapsed="false">
      <c r="A6221" s="34" t="n">
        <v>1572684000169</v>
      </c>
      <c r="B6221" s="34" t="s">
        <v>13785</v>
      </c>
      <c r="C6221" s="34" t="s">
        <v>77</v>
      </c>
      <c r="E6221" s="30" t="s">
        <v>3922</v>
      </c>
      <c r="F6221" s="34" t="n">
        <f aca="false">IFERROR(VLOOKUP($A6221,'319'!$B:$H,7,0),0)</f>
        <v>0</v>
      </c>
      <c r="G6221" s="34" t="n">
        <f aca="false">SUMIFS('12.326ana'!$C:$C,'12.326ana'!$M:$M,redes!A6221)</f>
        <v>0</v>
      </c>
    </row>
    <row r="6222" customFormat="false" ht="14.4" hidden="true" customHeight="false" outlineLevel="0" collapsed="false">
      <c r="A6222" s="34" t="n">
        <v>1573310000168</v>
      </c>
      <c r="B6222" s="34" t="s">
        <v>13786</v>
      </c>
      <c r="C6222" s="34" t="s">
        <v>77</v>
      </c>
      <c r="E6222" s="30" t="s">
        <v>13787</v>
      </c>
      <c r="F6222" s="34" t="n">
        <f aca="false">IFERROR(VLOOKUP($A6222,'319'!$B:$H,7,0),0)</f>
        <v>0</v>
      </c>
      <c r="G6222" s="34" t="n">
        <f aca="false">SUMIFS('12.326ana'!$C:$C,'12.326ana'!$M:$M,redes!A6222)</f>
        <v>0</v>
      </c>
    </row>
    <row r="6223" customFormat="false" ht="14.4" hidden="true" customHeight="false" outlineLevel="0" collapsed="false">
      <c r="A6223" s="34" t="n">
        <v>1573377000100</v>
      </c>
      <c r="B6223" s="34" t="s">
        <v>13788</v>
      </c>
      <c r="C6223" s="34" t="s">
        <v>77</v>
      </c>
      <c r="E6223" s="30" t="s">
        <v>3765</v>
      </c>
      <c r="F6223" s="34" t="n">
        <f aca="false">IFERROR(VLOOKUP($A6223,'319'!$B:$H,7,0),0)</f>
        <v>0</v>
      </c>
      <c r="G6223" s="34" t="n">
        <f aca="false">SUMIFS('12.326ana'!$C:$C,'12.326ana'!$M:$M,redes!A6223)</f>
        <v>0</v>
      </c>
    </row>
    <row r="6224" customFormat="false" ht="14.4" hidden="true" customHeight="false" outlineLevel="0" collapsed="false">
      <c r="A6224" s="34" t="n">
        <v>1574383000174</v>
      </c>
      <c r="B6224" s="34" t="s">
        <v>13789</v>
      </c>
      <c r="C6224" s="34" t="s">
        <v>336</v>
      </c>
      <c r="E6224" s="30" t="s">
        <v>13790</v>
      </c>
      <c r="F6224" s="34" t="n">
        <f aca="false">IFERROR(VLOOKUP($A6224,'319'!$B:$H,7,0),0)</f>
        <v>0</v>
      </c>
      <c r="G6224" s="34" t="n">
        <f aca="false">SUMIFS('12.326ana'!$C:$C,'12.326ana'!$M:$M,redes!A6224)</f>
        <v>0</v>
      </c>
    </row>
    <row r="6225" customFormat="false" ht="14.4" hidden="true" customHeight="false" outlineLevel="0" collapsed="false">
      <c r="A6225" s="34" t="n">
        <v>1574763000109</v>
      </c>
      <c r="B6225" s="34" t="s">
        <v>13791</v>
      </c>
      <c r="C6225" s="34" t="s">
        <v>478</v>
      </c>
      <c r="E6225" s="30" t="s">
        <v>13792</v>
      </c>
      <c r="F6225" s="34" t="n">
        <f aca="false">IFERROR(VLOOKUP($A6225,'319'!$B:$H,7,0),0)</f>
        <v>0</v>
      </c>
      <c r="G6225" s="34" t="n">
        <f aca="false">SUMIFS('12.326ana'!$C:$C,'12.326ana'!$M:$M,redes!A6225)</f>
        <v>0</v>
      </c>
    </row>
    <row r="6226" customFormat="false" ht="14.4" hidden="true" customHeight="false" outlineLevel="0" collapsed="false">
      <c r="A6226" s="34" t="n">
        <v>1576610000109</v>
      </c>
      <c r="B6226" s="34" t="s">
        <v>13793</v>
      </c>
      <c r="C6226" s="34" t="s">
        <v>103</v>
      </c>
      <c r="D6226" s="34" t="s">
        <v>4797</v>
      </c>
      <c r="E6226" s="30" t="s">
        <v>13794</v>
      </c>
      <c r="F6226" s="34" t="n">
        <f aca="false">IFERROR(VLOOKUP($A6226,'319'!$B:$H,7,0),0)</f>
        <v>0</v>
      </c>
      <c r="G6226" s="34" t="n">
        <f aca="false">SUMIFS('12.326ana'!$C:$C,'12.326ana'!$M:$M,redes!A6226)</f>
        <v>0</v>
      </c>
    </row>
    <row r="6227" customFormat="false" ht="14.4" hidden="true" customHeight="false" outlineLevel="0" collapsed="false">
      <c r="A6227" s="34" t="n">
        <v>1576937000253</v>
      </c>
      <c r="B6227" s="34" t="s">
        <v>13795</v>
      </c>
      <c r="C6227" s="34" t="s">
        <v>336</v>
      </c>
      <c r="E6227" s="30" t="s">
        <v>13796</v>
      </c>
      <c r="F6227" s="34" t="n">
        <f aca="false">IFERROR(VLOOKUP($A6227,'319'!$B:$H,7,0),0)</f>
        <v>0</v>
      </c>
      <c r="G6227" s="34" t="n">
        <f aca="false">SUMIFS('12.326ana'!$C:$C,'12.326ana'!$M:$M,redes!A6227)</f>
        <v>0</v>
      </c>
    </row>
    <row r="6228" customFormat="false" ht="14.4" hidden="true" customHeight="false" outlineLevel="0" collapsed="false">
      <c r="A6228" s="34" t="n">
        <v>1577121000163</v>
      </c>
      <c r="B6228" s="34" t="s">
        <v>13797</v>
      </c>
      <c r="C6228" s="34" t="s">
        <v>77</v>
      </c>
      <c r="E6228" s="30" t="s">
        <v>13797</v>
      </c>
      <c r="F6228" s="34" t="n">
        <f aca="false">IFERROR(VLOOKUP($A6228,'319'!$B:$H,7,0),0)</f>
        <v>0</v>
      </c>
      <c r="G6228" s="34" t="n">
        <f aca="false">SUMIFS('12.326ana'!$C:$C,'12.326ana'!$M:$M,redes!A6228)</f>
        <v>0</v>
      </c>
    </row>
    <row r="6229" customFormat="false" ht="14.4" hidden="true" customHeight="false" outlineLevel="0" collapsed="false">
      <c r="A6229" s="34" t="n">
        <v>1578079000103</v>
      </c>
      <c r="B6229" s="34" t="s">
        <v>13798</v>
      </c>
      <c r="C6229" s="34" t="s">
        <v>103</v>
      </c>
      <c r="E6229" s="30" t="s">
        <v>13160</v>
      </c>
      <c r="F6229" s="34" t="n">
        <f aca="false">IFERROR(VLOOKUP($A6229,'319'!$B:$H,7,0),0)</f>
        <v>0</v>
      </c>
      <c r="G6229" s="34" t="n">
        <f aca="false">SUMIFS('12.326ana'!$C:$C,'12.326ana'!$M:$M,redes!A6229)</f>
        <v>0</v>
      </c>
    </row>
    <row r="6230" customFormat="false" ht="14.4" hidden="true" customHeight="false" outlineLevel="0" collapsed="false">
      <c r="A6230" s="34" t="n">
        <v>1578213000168</v>
      </c>
      <c r="B6230" s="34" t="s">
        <v>13799</v>
      </c>
      <c r="C6230" s="34" t="s">
        <v>77</v>
      </c>
      <c r="E6230" s="30" t="s">
        <v>3297</v>
      </c>
      <c r="F6230" s="34" t="n">
        <f aca="false">IFERROR(VLOOKUP($A6230,'319'!$B:$H,7,0),0)</f>
        <v>0</v>
      </c>
      <c r="G6230" s="34" t="n">
        <f aca="false">SUMIFS('12.326ana'!$C:$C,'12.326ana'!$M:$M,redes!A6230)</f>
        <v>0</v>
      </c>
    </row>
    <row r="6231" customFormat="false" ht="14.4" hidden="true" customHeight="false" outlineLevel="0" collapsed="false">
      <c r="A6231" s="34" t="n">
        <v>1582033000150</v>
      </c>
      <c r="B6231" s="34" t="s">
        <v>13800</v>
      </c>
      <c r="C6231" s="34" t="s">
        <v>77</v>
      </c>
      <c r="E6231" s="30" t="s">
        <v>13801</v>
      </c>
      <c r="F6231" s="34" t="n">
        <f aca="false">IFERROR(VLOOKUP($A6231,'319'!$B:$H,7,0),0)</f>
        <v>0</v>
      </c>
      <c r="G6231" s="34" t="n">
        <f aca="false">SUMIFS('12.326ana'!$C:$C,'12.326ana'!$M:$M,redes!A6231)</f>
        <v>0</v>
      </c>
    </row>
    <row r="6232" customFormat="false" ht="14.4" hidden="true" customHeight="false" outlineLevel="0" collapsed="false">
      <c r="A6232" s="34" t="n">
        <v>1583918000173</v>
      </c>
      <c r="B6232" s="34" t="s">
        <v>13802</v>
      </c>
      <c r="C6232" s="34" t="s">
        <v>475</v>
      </c>
      <c r="E6232" s="30" t="s">
        <v>13803</v>
      </c>
      <c r="F6232" s="34" t="n">
        <f aca="false">IFERROR(VLOOKUP($A6232,'319'!$B:$H,7,0),0)</f>
        <v>0</v>
      </c>
      <c r="G6232" s="34" t="n">
        <f aca="false">SUMIFS('12.326ana'!$C:$C,'12.326ana'!$M:$M,redes!A6232)</f>
        <v>0</v>
      </c>
    </row>
    <row r="6233" customFormat="false" ht="14.4" hidden="true" customHeight="false" outlineLevel="0" collapsed="false">
      <c r="A6233" s="34" t="n">
        <v>1584738000106</v>
      </c>
      <c r="B6233" s="34" t="s">
        <v>13804</v>
      </c>
      <c r="C6233" s="34" t="s">
        <v>1602</v>
      </c>
      <c r="E6233" s="30" t="s">
        <v>13805</v>
      </c>
      <c r="F6233" s="34" t="n">
        <f aca="false">IFERROR(VLOOKUP($A6233,'319'!$B:$H,7,0),0)</f>
        <v>0</v>
      </c>
      <c r="G6233" s="34" t="n">
        <f aca="false">SUMIFS('12.326ana'!$C:$C,'12.326ana'!$M:$M,redes!A6233)</f>
        <v>0</v>
      </c>
    </row>
    <row r="6234" customFormat="false" ht="14.4" hidden="true" customHeight="false" outlineLevel="0" collapsed="false">
      <c r="A6234" s="34" t="n">
        <v>1589471000140</v>
      </c>
      <c r="B6234" s="34" t="s">
        <v>13806</v>
      </c>
      <c r="C6234" s="34" t="s">
        <v>328</v>
      </c>
      <c r="E6234" s="30" t="s">
        <v>13807</v>
      </c>
      <c r="F6234" s="34" t="n">
        <f aca="false">IFERROR(VLOOKUP($A6234,'319'!$B:$H,7,0),0)</f>
        <v>0</v>
      </c>
      <c r="G6234" s="34" t="n">
        <f aca="false">SUMIFS('12.326ana'!$C:$C,'12.326ana'!$M:$M,redes!A6234)</f>
        <v>0</v>
      </c>
    </row>
    <row r="6235" customFormat="false" ht="14.4" hidden="true" customHeight="false" outlineLevel="0" collapsed="false">
      <c r="A6235" s="34" t="n">
        <v>1592513000100</v>
      </c>
      <c r="B6235" s="34" t="s">
        <v>13808</v>
      </c>
      <c r="C6235" s="34" t="s">
        <v>77</v>
      </c>
      <c r="E6235" s="30" t="s">
        <v>4466</v>
      </c>
      <c r="F6235" s="34" t="n">
        <f aca="false">IFERROR(VLOOKUP($A6235,'319'!$B:$H,7,0),0)</f>
        <v>0</v>
      </c>
      <c r="G6235" s="34" t="n">
        <f aca="false">SUMIFS('12.326ana'!$C:$C,'12.326ana'!$M:$M,redes!A6235)</f>
        <v>0</v>
      </c>
    </row>
    <row r="6236" customFormat="false" ht="14.4" hidden="true" customHeight="false" outlineLevel="0" collapsed="false">
      <c r="A6236" s="34" t="n">
        <v>1595444000180</v>
      </c>
      <c r="B6236" s="34" t="s">
        <v>13809</v>
      </c>
      <c r="C6236" s="34" t="s">
        <v>309</v>
      </c>
      <c r="E6236" s="30" t="s">
        <v>13810</v>
      </c>
      <c r="F6236" s="34" t="n">
        <f aca="false">IFERROR(VLOOKUP($A6236,'319'!$B:$H,7,0),0)</f>
        <v>0</v>
      </c>
      <c r="G6236" s="34" t="n">
        <f aca="false">SUMIFS('12.326ana'!$C:$C,'12.326ana'!$M:$M,redes!A6236)</f>
        <v>0</v>
      </c>
    </row>
    <row r="6237" customFormat="false" ht="14.4" hidden="true" customHeight="false" outlineLevel="0" collapsed="false">
      <c r="A6237" s="34" t="n">
        <v>1595676000138</v>
      </c>
      <c r="B6237" s="34" t="s">
        <v>13811</v>
      </c>
      <c r="C6237" s="34" t="s">
        <v>77</v>
      </c>
      <c r="E6237" s="30" t="s">
        <v>13812</v>
      </c>
      <c r="F6237" s="34" t="n">
        <f aca="false">IFERROR(VLOOKUP($A6237,'319'!$B:$H,7,0),0)</f>
        <v>0</v>
      </c>
      <c r="G6237" s="34" t="n">
        <f aca="false">SUMIFS('12.326ana'!$C:$C,'12.326ana'!$M:$M,redes!A6237)</f>
        <v>0</v>
      </c>
    </row>
    <row r="6238" customFormat="false" ht="14.4" hidden="true" customHeight="false" outlineLevel="0" collapsed="false">
      <c r="A6238" s="34" t="n">
        <v>1597567000150</v>
      </c>
      <c r="B6238" s="34" t="s">
        <v>13813</v>
      </c>
      <c r="C6238" s="34" t="s">
        <v>77</v>
      </c>
      <c r="E6238" s="30" t="s">
        <v>13814</v>
      </c>
      <c r="F6238" s="34" t="n">
        <f aca="false">IFERROR(VLOOKUP($A6238,'319'!$B:$H,7,0),0)</f>
        <v>0</v>
      </c>
      <c r="G6238" s="34" t="n">
        <f aca="false">SUMIFS('12.326ana'!$C:$C,'12.326ana'!$M:$M,redes!A6238)</f>
        <v>0</v>
      </c>
    </row>
    <row r="6239" customFormat="false" ht="14.4" hidden="true" customHeight="false" outlineLevel="0" collapsed="false">
      <c r="A6239" s="34" t="n">
        <v>1597569000149</v>
      </c>
      <c r="B6239" s="34" t="s">
        <v>13815</v>
      </c>
      <c r="C6239" s="34" t="s">
        <v>4418</v>
      </c>
      <c r="E6239" s="30" t="s">
        <v>13816</v>
      </c>
      <c r="F6239" s="34" t="n">
        <f aca="false">IFERROR(VLOOKUP($A6239,'319'!$B:$H,7,0),0)</f>
        <v>0</v>
      </c>
      <c r="G6239" s="34" t="n">
        <f aca="false">SUMIFS('12.326ana'!$C:$C,'12.326ana'!$M:$M,redes!A6239)</f>
        <v>0</v>
      </c>
    </row>
    <row r="6240" customFormat="false" ht="14.4" hidden="true" customHeight="false" outlineLevel="0" collapsed="false">
      <c r="A6240" s="34" t="n">
        <v>1599496000124</v>
      </c>
      <c r="B6240" s="34" t="s">
        <v>13817</v>
      </c>
      <c r="C6240" s="34" t="s">
        <v>77</v>
      </c>
      <c r="E6240" s="30" t="s">
        <v>13818</v>
      </c>
      <c r="F6240" s="34" t="n">
        <f aca="false">IFERROR(VLOOKUP($A6240,'319'!$B:$H,7,0),0)</f>
        <v>0</v>
      </c>
      <c r="G6240" s="34" t="n">
        <f aca="false">SUMIFS('12.326ana'!$C:$C,'12.326ana'!$M:$M,redes!A6240)</f>
        <v>0</v>
      </c>
    </row>
    <row r="6241" customFormat="false" ht="14.4" hidden="true" customHeight="false" outlineLevel="0" collapsed="false">
      <c r="A6241" s="34" t="n">
        <v>1601994000164</v>
      </c>
      <c r="B6241" s="34" t="s">
        <v>13819</v>
      </c>
      <c r="C6241" s="34" t="s">
        <v>77</v>
      </c>
      <c r="E6241" s="30" t="s">
        <v>13820</v>
      </c>
      <c r="F6241" s="34" t="n">
        <f aca="false">IFERROR(VLOOKUP($A6241,'319'!$B:$H,7,0),0)</f>
        <v>0</v>
      </c>
      <c r="G6241" s="34" t="n">
        <f aca="false">SUMIFS('12.326ana'!$C:$C,'12.326ana'!$M:$M,redes!A6241)</f>
        <v>0</v>
      </c>
    </row>
    <row r="6242" customFormat="false" ht="14.4" hidden="true" customHeight="false" outlineLevel="0" collapsed="false">
      <c r="A6242" s="34" t="n">
        <v>1602811000125</v>
      </c>
      <c r="B6242" s="34" t="s">
        <v>352</v>
      </c>
      <c r="C6242" s="34" t="s">
        <v>357</v>
      </c>
      <c r="E6242" s="30" t="s">
        <v>13821</v>
      </c>
      <c r="F6242" s="34" t="n">
        <f aca="false">IFERROR(VLOOKUP($A6242,'319'!$B:$H,7,0),0)</f>
        <v>624.14</v>
      </c>
      <c r="G6242" s="34" t="n">
        <f aca="false">SUMIFS('12.326ana'!$C:$C,'12.326ana'!$M:$M,redes!A6242)</f>
        <v>613.11</v>
      </c>
    </row>
    <row r="6243" customFormat="false" ht="14.4" hidden="true" customHeight="false" outlineLevel="0" collapsed="false">
      <c r="A6243" s="34" t="n">
        <v>1602811000206</v>
      </c>
      <c r="B6243" s="34" t="s">
        <v>1848</v>
      </c>
      <c r="C6243" s="34" t="s">
        <v>357</v>
      </c>
      <c r="E6243" s="30" t="s">
        <v>1848</v>
      </c>
      <c r="F6243" s="34" t="n">
        <f aca="false">IFERROR(VLOOKUP($A6243,'319'!$B:$H,7,0),0)</f>
        <v>-1092.47</v>
      </c>
      <c r="G6243" s="34" t="n">
        <f aca="false">SUMIFS('12.326ana'!$C:$C,'12.326ana'!$M:$M,redes!A6243)</f>
        <v>0</v>
      </c>
    </row>
    <row r="6244" customFormat="false" ht="14.4" hidden="true" customHeight="false" outlineLevel="0" collapsed="false">
      <c r="A6244" s="34" t="n">
        <v>1602811000397</v>
      </c>
      <c r="B6244" s="34" t="s">
        <v>13822</v>
      </c>
      <c r="C6244" s="34" t="s">
        <v>357</v>
      </c>
      <c r="E6244" s="30" t="s">
        <v>13823</v>
      </c>
      <c r="F6244" s="34" t="n">
        <f aca="false">IFERROR(VLOOKUP($A6244,'319'!$B:$H,7,0),0)</f>
        <v>0</v>
      </c>
      <c r="G6244" s="34" t="n">
        <f aca="false">SUMIFS('12.326ana'!$C:$C,'12.326ana'!$M:$M,redes!A6244)</f>
        <v>0</v>
      </c>
    </row>
    <row r="6245" customFormat="false" ht="14.4" hidden="true" customHeight="false" outlineLevel="0" collapsed="false">
      <c r="A6245" s="34" t="n">
        <v>1602827000138</v>
      </c>
      <c r="B6245" s="34" t="s">
        <v>13824</v>
      </c>
      <c r="C6245" s="34" t="s">
        <v>77</v>
      </c>
      <c r="E6245" s="30" t="s">
        <v>13825</v>
      </c>
      <c r="F6245" s="34" t="n">
        <f aca="false">IFERROR(VLOOKUP($A6245,'319'!$B:$H,7,0),0)</f>
        <v>0</v>
      </c>
      <c r="G6245" s="34" t="n">
        <f aca="false">SUMIFS('12.326ana'!$C:$C,'12.326ana'!$M:$M,redes!A6245)</f>
        <v>0</v>
      </c>
    </row>
    <row r="6246" customFormat="false" ht="14.4" hidden="true" customHeight="false" outlineLevel="0" collapsed="false">
      <c r="A6246" s="34" t="n">
        <v>1610614000158</v>
      </c>
      <c r="B6246" s="34" t="s">
        <v>13826</v>
      </c>
      <c r="C6246" s="34" t="s">
        <v>565</v>
      </c>
      <c r="E6246" s="30" t="s">
        <v>13827</v>
      </c>
      <c r="F6246" s="34" t="n">
        <f aca="false">IFERROR(VLOOKUP($A6246,'319'!$B:$H,7,0),0)</f>
        <v>0</v>
      </c>
      <c r="G6246" s="34" t="n">
        <f aca="false">SUMIFS('12.326ana'!$C:$C,'12.326ana'!$M:$M,redes!A6246)</f>
        <v>0</v>
      </c>
    </row>
    <row r="6247" customFormat="false" ht="14.4" hidden="true" customHeight="false" outlineLevel="0" collapsed="false">
      <c r="A6247" s="34" t="n">
        <v>1615027000151</v>
      </c>
      <c r="B6247" s="34" t="s">
        <v>13828</v>
      </c>
      <c r="C6247" s="34" t="s">
        <v>77</v>
      </c>
      <c r="E6247" s="30" t="s">
        <v>3807</v>
      </c>
      <c r="F6247" s="34" t="n">
        <f aca="false">IFERROR(VLOOKUP($A6247,'319'!$B:$H,7,0),0)</f>
        <v>0</v>
      </c>
      <c r="G6247" s="34" t="n">
        <f aca="false">SUMIFS('12.326ana'!$C:$C,'12.326ana'!$M:$M,redes!A6247)</f>
        <v>0</v>
      </c>
    </row>
    <row r="6248" customFormat="false" ht="14.4" hidden="true" customHeight="false" outlineLevel="0" collapsed="false">
      <c r="A6248" s="34" t="n">
        <v>1615029000140</v>
      </c>
      <c r="B6248" s="34" t="s">
        <v>13829</v>
      </c>
      <c r="C6248" s="34" t="s">
        <v>377</v>
      </c>
      <c r="E6248" s="30" t="s">
        <v>13830</v>
      </c>
      <c r="F6248" s="34" t="n">
        <f aca="false">IFERROR(VLOOKUP($A6248,'319'!$B:$H,7,0),0)</f>
        <v>0</v>
      </c>
      <c r="G6248" s="34" t="n">
        <f aca="false">SUMIFS('12.326ana'!$C:$C,'12.326ana'!$M:$M,redes!A6248)</f>
        <v>0</v>
      </c>
    </row>
    <row r="6249" customFormat="false" ht="14.4" hidden="true" customHeight="false" outlineLevel="0" collapsed="false">
      <c r="A6249" s="34" t="n">
        <v>1615033000109</v>
      </c>
      <c r="B6249" s="34" t="s">
        <v>13831</v>
      </c>
      <c r="C6249" s="34" t="s">
        <v>213</v>
      </c>
      <c r="E6249" s="30" t="s">
        <v>13832</v>
      </c>
      <c r="F6249" s="34" t="n">
        <f aca="false">IFERROR(VLOOKUP($A6249,'319'!$B:$H,7,0),0)</f>
        <v>0</v>
      </c>
      <c r="G6249" s="34" t="n">
        <f aca="false">SUMIFS('12.326ana'!$C:$C,'12.326ana'!$M:$M,redes!A6249)</f>
        <v>0</v>
      </c>
    </row>
    <row r="6250" customFormat="false" ht="14.4" hidden="true" customHeight="false" outlineLevel="0" collapsed="false">
      <c r="A6250" s="34" t="n">
        <v>1615814003895</v>
      </c>
      <c r="B6250" s="34" t="s">
        <v>13833</v>
      </c>
      <c r="C6250" s="34" t="s">
        <v>644</v>
      </c>
      <c r="E6250" s="30" t="s">
        <v>13834</v>
      </c>
      <c r="F6250" s="34" t="n">
        <f aca="false">IFERROR(VLOOKUP($A6250,'319'!$B:$H,7,0),0)</f>
        <v>0</v>
      </c>
      <c r="G6250" s="34" t="n">
        <f aca="false">SUMIFS('12.326ana'!$C:$C,'12.326ana'!$M:$M,redes!A6250)</f>
        <v>0</v>
      </c>
    </row>
    <row r="6251" customFormat="false" ht="14.4" hidden="true" customHeight="false" outlineLevel="0" collapsed="false">
      <c r="A6251" s="34" t="n">
        <v>1615814005839</v>
      </c>
      <c r="B6251" s="34" t="s">
        <v>13833</v>
      </c>
      <c r="C6251" s="34" t="s">
        <v>13835</v>
      </c>
      <c r="E6251" s="30" t="s">
        <v>13834</v>
      </c>
      <c r="F6251" s="34" t="n">
        <f aca="false">IFERROR(VLOOKUP($A6251,'319'!$B:$H,7,0),0)</f>
        <v>0</v>
      </c>
      <c r="G6251" s="34" t="n">
        <f aca="false">SUMIFS('12.326ana'!$C:$C,'12.326ana'!$M:$M,redes!A6251)</f>
        <v>0</v>
      </c>
    </row>
    <row r="6252" customFormat="false" ht="14.4" hidden="true" customHeight="false" outlineLevel="0" collapsed="false">
      <c r="A6252" s="34" t="n">
        <v>1615814006487</v>
      </c>
      <c r="B6252" s="34" t="s">
        <v>13833</v>
      </c>
      <c r="C6252" s="34" t="s">
        <v>12327</v>
      </c>
      <c r="E6252" s="30" t="s">
        <v>13834</v>
      </c>
      <c r="F6252" s="34" t="n">
        <f aca="false">IFERROR(VLOOKUP($A6252,'319'!$B:$H,7,0),0)</f>
        <v>0</v>
      </c>
      <c r="G6252" s="34" t="n">
        <f aca="false">SUMIFS('12.326ana'!$C:$C,'12.326ana'!$M:$M,redes!A6252)</f>
        <v>0</v>
      </c>
    </row>
    <row r="6253" customFormat="false" ht="14.4" hidden="true" customHeight="false" outlineLevel="0" collapsed="false">
      <c r="A6253" s="34" t="n">
        <v>1618201000110</v>
      </c>
      <c r="B6253" s="34" t="s">
        <v>13836</v>
      </c>
      <c r="C6253" s="34" t="s">
        <v>77</v>
      </c>
      <c r="E6253" s="30" t="s">
        <v>6174</v>
      </c>
      <c r="F6253" s="34" t="n">
        <f aca="false">IFERROR(VLOOKUP($A6253,'319'!$B:$H,7,0),0)</f>
        <v>0</v>
      </c>
      <c r="G6253" s="34" t="n">
        <f aca="false">SUMIFS('12.326ana'!$C:$C,'12.326ana'!$M:$M,redes!A6253)</f>
        <v>0</v>
      </c>
    </row>
    <row r="6254" customFormat="false" ht="14.4" hidden="true" customHeight="false" outlineLevel="0" collapsed="false">
      <c r="A6254" s="34" t="n">
        <v>1619565000114</v>
      </c>
      <c r="B6254" s="34" t="s">
        <v>13837</v>
      </c>
      <c r="C6254" s="34" t="s">
        <v>77</v>
      </c>
      <c r="E6254" s="30" t="s">
        <v>13838</v>
      </c>
      <c r="F6254" s="34" t="n">
        <f aca="false">IFERROR(VLOOKUP($A6254,'319'!$B:$H,7,0),0)</f>
        <v>0</v>
      </c>
      <c r="G6254" s="34" t="n">
        <f aca="false">SUMIFS('12.326ana'!$C:$C,'12.326ana'!$M:$M,redes!A6254)</f>
        <v>0</v>
      </c>
    </row>
    <row r="6255" customFormat="false" ht="14.4" hidden="true" customHeight="false" outlineLevel="0" collapsed="false">
      <c r="A6255" s="34" t="n">
        <v>1620531000140</v>
      </c>
      <c r="B6255" s="34" t="s">
        <v>13839</v>
      </c>
      <c r="C6255" s="34" t="s">
        <v>107</v>
      </c>
      <c r="E6255" s="30" t="s">
        <v>13840</v>
      </c>
      <c r="F6255" s="34" t="n">
        <f aca="false">IFERROR(VLOOKUP($A6255,'319'!$B:$H,7,0),0)</f>
        <v>0</v>
      </c>
      <c r="G6255" s="34" t="n">
        <f aca="false">SUMIFS('12.326ana'!$C:$C,'12.326ana'!$M:$M,redes!A6255)</f>
        <v>0</v>
      </c>
    </row>
    <row r="6256" customFormat="false" ht="14.4" hidden="true" customHeight="false" outlineLevel="0" collapsed="false">
      <c r="A6256" s="34" t="n">
        <v>1621081000100</v>
      </c>
      <c r="B6256" s="34" t="s">
        <v>13841</v>
      </c>
      <c r="C6256" s="34" t="s">
        <v>77</v>
      </c>
      <c r="E6256" s="30" t="s">
        <v>5877</v>
      </c>
      <c r="F6256" s="34" t="n">
        <f aca="false">IFERROR(VLOOKUP($A6256,'319'!$B:$H,7,0),0)</f>
        <v>0</v>
      </c>
      <c r="G6256" s="34" t="n">
        <f aca="false">SUMIFS('12.326ana'!$C:$C,'12.326ana'!$M:$M,redes!A6256)</f>
        <v>0</v>
      </c>
    </row>
    <row r="6257" customFormat="false" ht="14.4" hidden="true" customHeight="false" outlineLevel="0" collapsed="false">
      <c r="A6257" s="34" t="n">
        <v>1621083000107</v>
      </c>
      <c r="B6257" s="34" t="s">
        <v>13842</v>
      </c>
      <c r="C6257" s="34" t="s">
        <v>77</v>
      </c>
      <c r="E6257" s="30" t="s">
        <v>13843</v>
      </c>
      <c r="F6257" s="34" t="n">
        <f aca="false">IFERROR(VLOOKUP($A6257,'319'!$B:$H,7,0),0)</f>
        <v>0</v>
      </c>
      <c r="G6257" s="34" t="n">
        <f aca="false">SUMIFS('12.326ana'!$C:$C,'12.326ana'!$M:$M,redes!A6257)</f>
        <v>0</v>
      </c>
    </row>
    <row r="6258" customFormat="false" ht="14.4" hidden="true" customHeight="false" outlineLevel="0" collapsed="false">
      <c r="A6258" s="34" t="n">
        <v>1624437000169</v>
      </c>
      <c r="B6258" s="34" t="s">
        <v>13844</v>
      </c>
      <c r="C6258" s="34" t="s">
        <v>77</v>
      </c>
      <c r="E6258" s="30" t="s">
        <v>13845</v>
      </c>
      <c r="F6258" s="34" t="n">
        <f aca="false">IFERROR(VLOOKUP($A6258,'319'!$B:$H,7,0),0)</f>
        <v>0</v>
      </c>
      <c r="G6258" s="34" t="n">
        <f aca="false">SUMIFS('12.326ana'!$C:$C,'12.326ana'!$M:$M,redes!A6258)</f>
        <v>0</v>
      </c>
    </row>
    <row r="6259" customFormat="false" ht="14.4" hidden="true" customHeight="false" outlineLevel="0" collapsed="false">
      <c r="A6259" s="34" t="n">
        <v>1625791000108</v>
      </c>
      <c r="B6259" s="34" t="s">
        <v>13846</v>
      </c>
      <c r="C6259" s="34" t="s">
        <v>721</v>
      </c>
      <c r="E6259" s="30" t="s">
        <v>13847</v>
      </c>
      <c r="F6259" s="34" t="n">
        <f aca="false">IFERROR(VLOOKUP($A6259,'319'!$B:$H,7,0),0)</f>
        <v>0</v>
      </c>
      <c r="G6259" s="34" t="n">
        <f aca="false">SUMIFS('12.326ana'!$C:$C,'12.326ana'!$M:$M,redes!A6259)</f>
        <v>0</v>
      </c>
    </row>
    <row r="6260" customFormat="false" ht="14.4" hidden="true" customHeight="false" outlineLevel="0" collapsed="false">
      <c r="A6260" s="34" t="n">
        <v>1625792000152</v>
      </c>
      <c r="B6260" s="34" t="s">
        <v>13848</v>
      </c>
      <c r="C6260" s="34" t="s">
        <v>721</v>
      </c>
      <c r="E6260" s="30" t="s">
        <v>5266</v>
      </c>
      <c r="F6260" s="34" t="n">
        <f aca="false">IFERROR(VLOOKUP($A6260,'319'!$B:$H,7,0),0)</f>
        <v>0</v>
      </c>
      <c r="G6260" s="34" t="n">
        <f aca="false">SUMIFS('12.326ana'!$C:$C,'12.326ana'!$M:$M,redes!A6260)</f>
        <v>0</v>
      </c>
    </row>
    <row r="6261" customFormat="false" ht="14.4" hidden="true" customHeight="false" outlineLevel="0" collapsed="false">
      <c r="A6261" s="34" t="n">
        <v>1628667000104</v>
      </c>
      <c r="B6261" s="34" t="s">
        <v>13849</v>
      </c>
      <c r="C6261" s="34" t="s">
        <v>77</v>
      </c>
      <c r="E6261" s="30" t="s">
        <v>4799</v>
      </c>
      <c r="F6261" s="34" t="n">
        <f aca="false">IFERROR(VLOOKUP($A6261,'319'!$B:$H,7,0),0)</f>
        <v>0</v>
      </c>
      <c r="G6261" s="34" t="n">
        <f aca="false">SUMIFS('12.326ana'!$C:$C,'12.326ana'!$M:$M,redes!A6261)</f>
        <v>0</v>
      </c>
    </row>
    <row r="6262" customFormat="false" ht="14.4" hidden="true" customHeight="false" outlineLevel="0" collapsed="false">
      <c r="A6262" s="34" t="n">
        <v>1632234000114</v>
      </c>
      <c r="B6262" s="34" t="s">
        <v>13850</v>
      </c>
      <c r="C6262" s="34" t="s">
        <v>77</v>
      </c>
      <c r="E6262" s="30" t="s">
        <v>13851</v>
      </c>
      <c r="F6262" s="34" t="n">
        <f aca="false">IFERROR(VLOOKUP($A6262,'319'!$B:$H,7,0),0)</f>
        <v>0</v>
      </c>
      <c r="G6262" s="34" t="n">
        <f aca="false">SUMIFS('12.326ana'!$C:$C,'12.326ana'!$M:$M,redes!A6262)</f>
        <v>0</v>
      </c>
    </row>
    <row r="6263" customFormat="false" ht="14.4" hidden="true" customHeight="false" outlineLevel="0" collapsed="false">
      <c r="A6263" s="34" t="n">
        <v>1632548000117</v>
      </c>
      <c r="B6263" s="34" t="s">
        <v>13852</v>
      </c>
      <c r="C6263" s="34" t="s">
        <v>594</v>
      </c>
      <c r="E6263" s="30" t="s">
        <v>13853</v>
      </c>
      <c r="F6263" s="34" t="n">
        <f aca="false">IFERROR(VLOOKUP($A6263,'319'!$B:$H,7,0),0)</f>
        <v>0</v>
      </c>
      <c r="G6263" s="34" t="n">
        <f aca="false">SUMIFS('12.326ana'!$C:$C,'12.326ana'!$M:$M,redes!A6263)</f>
        <v>0</v>
      </c>
    </row>
    <row r="6264" customFormat="false" ht="14.4" hidden="true" customHeight="false" outlineLevel="0" collapsed="false">
      <c r="A6264" s="34" t="n">
        <v>1637021000185</v>
      </c>
      <c r="B6264" s="34" t="s">
        <v>13854</v>
      </c>
      <c r="C6264" s="34" t="s">
        <v>77</v>
      </c>
      <c r="E6264" s="30" t="s">
        <v>13855</v>
      </c>
      <c r="F6264" s="34" t="n">
        <f aca="false">IFERROR(VLOOKUP($A6264,'319'!$B:$H,7,0),0)</f>
        <v>0</v>
      </c>
      <c r="G6264" s="34" t="n">
        <f aca="false">SUMIFS('12.326ana'!$C:$C,'12.326ana'!$M:$M,redes!A6264)</f>
        <v>0</v>
      </c>
    </row>
    <row r="6265" customFormat="false" ht="14.4" hidden="true" customHeight="false" outlineLevel="0" collapsed="false">
      <c r="A6265" s="34" t="n">
        <v>1641718000120</v>
      </c>
      <c r="B6265" s="34" t="s">
        <v>13856</v>
      </c>
      <c r="C6265" s="34" t="s">
        <v>842</v>
      </c>
      <c r="E6265" s="30" t="s">
        <v>13857</v>
      </c>
      <c r="F6265" s="34" t="n">
        <f aca="false">IFERROR(VLOOKUP($A6265,'319'!$B:$H,7,0),0)</f>
        <v>0</v>
      </c>
      <c r="G6265" s="34" t="n">
        <f aca="false">SUMIFS('12.326ana'!$C:$C,'12.326ana'!$M:$M,redes!A6265)</f>
        <v>0</v>
      </c>
    </row>
    <row r="6266" customFormat="false" ht="14.4" hidden="true" customHeight="false" outlineLevel="0" collapsed="false">
      <c r="A6266" s="34" t="n">
        <v>1644868000197</v>
      </c>
      <c r="B6266" s="34" t="s">
        <v>13858</v>
      </c>
      <c r="C6266" s="34" t="s">
        <v>342</v>
      </c>
      <c r="E6266" s="30" t="s">
        <v>13859</v>
      </c>
      <c r="F6266" s="34" t="n">
        <f aca="false">IFERROR(VLOOKUP($A6266,'319'!$B:$H,7,0),0)</f>
        <v>0</v>
      </c>
      <c r="G6266" s="34" t="n">
        <f aca="false">SUMIFS('12.326ana'!$C:$C,'12.326ana'!$M:$M,redes!A6266)</f>
        <v>0</v>
      </c>
    </row>
    <row r="6267" customFormat="false" ht="14.4" hidden="true" customHeight="false" outlineLevel="0" collapsed="false">
      <c r="A6267" s="34" t="n">
        <v>1646433000181</v>
      </c>
      <c r="B6267" s="34" t="s">
        <v>13860</v>
      </c>
      <c r="C6267" s="34" t="s">
        <v>107</v>
      </c>
      <c r="D6267" s="34" t="s">
        <v>4797</v>
      </c>
      <c r="E6267" s="30" t="s">
        <v>12547</v>
      </c>
      <c r="F6267" s="34" t="n">
        <f aca="false">IFERROR(VLOOKUP($A6267,'319'!$B:$H,7,0),0)</f>
        <v>0</v>
      </c>
      <c r="G6267" s="34" t="n">
        <f aca="false">SUMIFS('12.326ana'!$C:$C,'12.326ana'!$M:$M,redes!A6267)</f>
        <v>0</v>
      </c>
    </row>
    <row r="6268" customFormat="false" ht="14.4" hidden="true" customHeight="false" outlineLevel="0" collapsed="false">
      <c r="A6268" s="34" t="n">
        <v>1647990000117</v>
      </c>
      <c r="B6268" s="34" t="s">
        <v>13861</v>
      </c>
      <c r="C6268" s="34" t="s">
        <v>107</v>
      </c>
      <c r="E6268" s="30" t="s">
        <v>13862</v>
      </c>
      <c r="F6268" s="34" t="n">
        <f aca="false">IFERROR(VLOOKUP($A6268,'319'!$B:$H,7,0),0)</f>
        <v>0</v>
      </c>
      <c r="G6268" s="34" t="n">
        <f aca="false">SUMIFS('12.326ana'!$C:$C,'12.326ana'!$M:$M,redes!A6268)</f>
        <v>0</v>
      </c>
    </row>
    <row r="6269" customFormat="false" ht="14.4" hidden="true" customHeight="false" outlineLevel="0" collapsed="false">
      <c r="A6269" s="34" t="n">
        <v>1651179000100</v>
      </c>
      <c r="B6269" s="34" t="s">
        <v>13863</v>
      </c>
      <c r="C6269" s="34" t="s">
        <v>77</v>
      </c>
      <c r="E6269" s="30" t="s">
        <v>13864</v>
      </c>
      <c r="F6269" s="34" t="n">
        <f aca="false">IFERROR(VLOOKUP($A6269,'319'!$B:$H,7,0),0)</f>
        <v>0</v>
      </c>
      <c r="G6269" s="34" t="n">
        <f aca="false">SUMIFS('12.326ana'!$C:$C,'12.326ana'!$M:$M,redes!A6269)</f>
        <v>0</v>
      </c>
    </row>
    <row r="6270" customFormat="false" ht="14.4" hidden="true" customHeight="false" outlineLevel="0" collapsed="false">
      <c r="A6270" s="34" t="n">
        <v>1653340000184</v>
      </c>
      <c r="B6270" s="34" t="s">
        <v>13865</v>
      </c>
      <c r="C6270" s="34" t="s">
        <v>979</v>
      </c>
      <c r="E6270" s="30" t="s">
        <v>13866</v>
      </c>
      <c r="F6270" s="34" t="n">
        <f aca="false">IFERROR(VLOOKUP($A6270,'319'!$B:$H,7,0),0)</f>
        <v>0</v>
      </c>
      <c r="G6270" s="34" t="n">
        <f aca="false">SUMIFS('12.326ana'!$C:$C,'12.326ana'!$M:$M,redes!A6270)</f>
        <v>0</v>
      </c>
    </row>
    <row r="6271" customFormat="false" ht="14.4" hidden="true" customHeight="false" outlineLevel="0" collapsed="false">
      <c r="A6271" s="34" t="n">
        <v>1655727000170</v>
      </c>
      <c r="B6271" s="34" t="s">
        <v>13867</v>
      </c>
      <c r="C6271" s="34" t="s">
        <v>565</v>
      </c>
      <c r="E6271" s="30" t="s">
        <v>13868</v>
      </c>
      <c r="F6271" s="34" t="n">
        <f aca="false">IFERROR(VLOOKUP($A6271,'319'!$B:$H,7,0),0)</f>
        <v>0</v>
      </c>
      <c r="G6271" s="34" t="n">
        <f aca="false">SUMIFS('12.326ana'!$C:$C,'12.326ana'!$M:$M,redes!A6271)</f>
        <v>0</v>
      </c>
    </row>
    <row r="6272" customFormat="false" ht="14.4" hidden="true" customHeight="false" outlineLevel="0" collapsed="false">
      <c r="A6272" s="34" t="n">
        <v>1656127000126</v>
      </c>
      <c r="B6272" s="34" t="s">
        <v>13869</v>
      </c>
      <c r="C6272" s="34" t="s">
        <v>473</v>
      </c>
      <c r="E6272" s="30" t="s">
        <v>13286</v>
      </c>
      <c r="F6272" s="34" t="n">
        <f aca="false">IFERROR(VLOOKUP($A6272,'319'!$B:$H,7,0),0)</f>
        <v>0</v>
      </c>
      <c r="G6272" s="34" t="n">
        <f aca="false">SUMIFS('12.326ana'!$C:$C,'12.326ana'!$M:$M,redes!A6272)</f>
        <v>0</v>
      </c>
    </row>
    <row r="6273" customFormat="false" ht="14.4" hidden="true" customHeight="false" outlineLevel="0" collapsed="false">
      <c r="A6273" s="34" t="n">
        <v>1658771000133</v>
      </c>
      <c r="B6273" s="34" t="s">
        <v>13870</v>
      </c>
      <c r="C6273" s="34" t="s">
        <v>77</v>
      </c>
      <c r="E6273" s="30" t="s">
        <v>9797</v>
      </c>
      <c r="F6273" s="34" t="n">
        <f aca="false">IFERROR(VLOOKUP($A6273,'319'!$B:$H,7,0),0)</f>
        <v>0</v>
      </c>
      <c r="G6273" s="34" t="n">
        <f aca="false">SUMIFS('12.326ana'!$C:$C,'12.326ana'!$M:$M,redes!A6273)</f>
        <v>0</v>
      </c>
    </row>
    <row r="6274" customFormat="false" ht="14.4" hidden="true" customHeight="false" outlineLevel="0" collapsed="false">
      <c r="A6274" s="34" t="n">
        <v>1660162000119</v>
      </c>
      <c r="B6274" s="34" t="s">
        <v>13871</v>
      </c>
      <c r="C6274" s="34" t="s">
        <v>1680</v>
      </c>
      <c r="E6274" s="30" t="s">
        <v>3275</v>
      </c>
      <c r="F6274" s="34" t="n">
        <f aca="false">IFERROR(VLOOKUP($A6274,'319'!$B:$H,7,0),0)</f>
        <v>0</v>
      </c>
      <c r="G6274" s="34" t="n">
        <f aca="false">SUMIFS('12.326ana'!$C:$C,'12.326ana'!$M:$M,redes!A6274)</f>
        <v>0</v>
      </c>
    </row>
    <row r="6275" customFormat="false" ht="14.4" hidden="true" customHeight="false" outlineLevel="0" collapsed="false">
      <c r="A6275" s="34" t="n">
        <v>1660179000176</v>
      </c>
      <c r="B6275" s="34" t="s">
        <v>13872</v>
      </c>
      <c r="C6275" s="34" t="s">
        <v>77</v>
      </c>
      <c r="E6275" s="30" t="s">
        <v>13505</v>
      </c>
      <c r="F6275" s="34" t="n">
        <f aca="false">IFERROR(VLOOKUP($A6275,'319'!$B:$H,7,0),0)</f>
        <v>0</v>
      </c>
      <c r="G6275" s="34" t="n">
        <f aca="false">SUMIFS('12.326ana'!$C:$C,'12.326ana'!$M:$M,redes!A6275)</f>
        <v>0</v>
      </c>
    </row>
    <row r="6276" customFormat="false" ht="14.4" hidden="true" customHeight="false" outlineLevel="0" collapsed="false">
      <c r="A6276" s="34" t="n">
        <v>1660202000122</v>
      </c>
      <c r="B6276" s="34" t="s">
        <v>13873</v>
      </c>
      <c r="C6276" s="34" t="s">
        <v>737</v>
      </c>
      <c r="E6276" s="30" t="s">
        <v>13874</v>
      </c>
      <c r="F6276" s="34" t="n">
        <f aca="false">IFERROR(VLOOKUP($A6276,'319'!$B:$H,7,0),0)</f>
        <v>0</v>
      </c>
      <c r="G6276" s="34" t="n">
        <f aca="false">SUMIFS('12.326ana'!$C:$C,'12.326ana'!$M:$M,redes!A6276)</f>
        <v>0</v>
      </c>
    </row>
    <row r="6277" customFormat="false" ht="14.4" hidden="true" customHeight="false" outlineLevel="0" collapsed="false">
      <c r="A6277" s="34" t="n">
        <v>1660751000105</v>
      </c>
      <c r="B6277" s="34" t="s">
        <v>13875</v>
      </c>
      <c r="C6277" s="34" t="s">
        <v>737</v>
      </c>
      <c r="E6277" s="30" t="s">
        <v>13876</v>
      </c>
      <c r="F6277" s="34" t="n">
        <f aca="false">IFERROR(VLOOKUP($A6277,'319'!$B:$H,7,0),0)</f>
        <v>0</v>
      </c>
      <c r="G6277" s="34" t="n">
        <f aca="false">SUMIFS('12.326ana'!$C:$C,'12.326ana'!$M:$M,redes!A6277)</f>
        <v>0</v>
      </c>
    </row>
    <row r="6278" customFormat="false" ht="14.4" hidden="true" customHeight="false" outlineLevel="0" collapsed="false">
      <c r="A6278" s="34" t="n">
        <v>1664764000144</v>
      </c>
      <c r="B6278" s="34" t="s">
        <v>13877</v>
      </c>
      <c r="C6278" s="34" t="s">
        <v>77</v>
      </c>
      <c r="E6278" s="30" t="s">
        <v>13878</v>
      </c>
      <c r="F6278" s="34" t="n">
        <f aca="false">IFERROR(VLOOKUP($A6278,'319'!$B:$H,7,0),0)</f>
        <v>0</v>
      </c>
      <c r="G6278" s="34" t="n">
        <f aca="false">SUMIFS('12.326ana'!$C:$C,'12.326ana'!$M:$M,redes!A6278)</f>
        <v>0</v>
      </c>
    </row>
    <row r="6279" customFormat="false" ht="14.4" hidden="true" customHeight="false" outlineLevel="0" collapsed="false">
      <c r="A6279" s="34" t="n">
        <v>1667251000197</v>
      </c>
      <c r="B6279" s="34" t="s">
        <v>13879</v>
      </c>
      <c r="C6279" s="34" t="s">
        <v>107</v>
      </c>
      <c r="E6279" s="30" t="s">
        <v>13880</v>
      </c>
      <c r="F6279" s="34" t="n">
        <f aca="false">IFERROR(VLOOKUP($A6279,'319'!$B:$H,7,0),0)</f>
        <v>0</v>
      </c>
      <c r="G6279" s="34" t="n">
        <f aca="false">SUMIFS('12.326ana'!$C:$C,'12.326ana'!$M:$M,redes!A6279)</f>
        <v>0</v>
      </c>
    </row>
    <row r="6280" customFormat="false" ht="14.4" hidden="true" customHeight="false" outlineLevel="0" collapsed="false">
      <c r="A6280" s="34" t="n">
        <v>1669916000100</v>
      </c>
      <c r="B6280" s="34" t="s">
        <v>13881</v>
      </c>
      <c r="C6280" s="34" t="s">
        <v>77</v>
      </c>
      <c r="E6280" s="30" t="s">
        <v>13882</v>
      </c>
      <c r="F6280" s="34" t="n">
        <f aca="false">IFERROR(VLOOKUP($A6280,'319'!$B:$H,7,0),0)</f>
        <v>0</v>
      </c>
      <c r="G6280" s="34" t="n">
        <f aca="false">SUMIFS('12.326ana'!$C:$C,'12.326ana'!$M:$M,redes!A6280)</f>
        <v>0</v>
      </c>
    </row>
    <row r="6281" customFormat="false" ht="14.4" hidden="true" customHeight="false" outlineLevel="0" collapsed="false">
      <c r="A6281" s="34" t="n">
        <v>1671208000103</v>
      </c>
      <c r="B6281" s="34" t="s">
        <v>13883</v>
      </c>
      <c r="C6281" s="34" t="s">
        <v>77</v>
      </c>
      <c r="D6281" s="34" t="s">
        <v>3324</v>
      </c>
      <c r="E6281" s="30" t="s">
        <v>13884</v>
      </c>
      <c r="F6281" s="34" t="n">
        <f aca="false">IFERROR(VLOOKUP($A6281,'319'!$B:$H,7,0),0)</f>
        <v>0</v>
      </c>
      <c r="G6281" s="34" t="n">
        <f aca="false">SUMIFS('12.326ana'!$C:$C,'12.326ana'!$M:$M,redes!A6281)</f>
        <v>0</v>
      </c>
    </row>
    <row r="6282" customFormat="false" ht="14.4" hidden="true" customHeight="false" outlineLevel="0" collapsed="false">
      <c r="A6282" s="34" t="n">
        <v>1673830000142</v>
      </c>
      <c r="B6282" s="34" t="s">
        <v>13885</v>
      </c>
      <c r="C6282" s="34" t="s">
        <v>581</v>
      </c>
      <c r="E6282" s="30" t="s">
        <v>5070</v>
      </c>
      <c r="F6282" s="34" t="n">
        <f aca="false">IFERROR(VLOOKUP($A6282,'319'!$B:$H,7,0),0)</f>
        <v>0</v>
      </c>
      <c r="G6282" s="34" t="n">
        <f aca="false">SUMIFS('12.326ana'!$C:$C,'12.326ana'!$M:$M,redes!A6282)</f>
        <v>0</v>
      </c>
    </row>
    <row r="6283" customFormat="false" ht="14.4" hidden="true" customHeight="false" outlineLevel="0" collapsed="false">
      <c r="A6283" s="34" t="n">
        <v>1673833000186</v>
      </c>
      <c r="B6283" s="34" t="s">
        <v>13886</v>
      </c>
      <c r="C6283" s="34" t="s">
        <v>107</v>
      </c>
      <c r="E6283" s="30" t="s">
        <v>8235</v>
      </c>
      <c r="F6283" s="34" t="n">
        <f aca="false">IFERROR(VLOOKUP($A6283,'319'!$B:$H,7,0),0)</f>
        <v>0</v>
      </c>
      <c r="G6283" s="34" t="n">
        <f aca="false">SUMIFS('12.326ana'!$C:$C,'12.326ana'!$M:$M,redes!A6283)</f>
        <v>0</v>
      </c>
    </row>
    <row r="6284" customFormat="false" ht="14.4" hidden="true" customHeight="false" outlineLevel="0" collapsed="false">
      <c r="A6284" s="34" t="n">
        <v>1676117000152</v>
      </c>
      <c r="B6284" s="34" t="s">
        <v>13887</v>
      </c>
      <c r="C6284" s="34" t="s">
        <v>77</v>
      </c>
      <c r="E6284" s="30" t="s">
        <v>13888</v>
      </c>
      <c r="F6284" s="34" t="n">
        <f aca="false">IFERROR(VLOOKUP($A6284,'319'!$B:$H,7,0),0)</f>
        <v>0</v>
      </c>
      <c r="G6284" s="34" t="n">
        <f aca="false">SUMIFS('12.326ana'!$C:$C,'12.326ana'!$M:$M,redes!A6284)</f>
        <v>0</v>
      </c>
    </row>
    <row r="6285" customFormat="false" ht="14.4" hidden="true" customHeight="false" outlineLevel="0" collapsed="false">
      <c r="A6285" s="34" t="n">
        <v>1678839000146</v>
      </c>
      <c r="B6285" s="34" t="s">
        <v>13889</v>
      </c>
      <c r="C6285" s="34" t="s">
        <v>77</v>
      </c>
      <c r="E6285" s="30" t="s">
        <v>13890</v>
      </c>
      <c r="F6285" s="34" t="n">
        <f aca="false">IFERROR(VLOOKUP($A6285,'319'!$B:$H,7,0),0)</f>
        <v>0</v>
      </c>
      <c r="G6285" s="34" t="n">
        <f aca="false">SUMIFS('12.326ana'!$C:$C,'12.326ana'!$M:$M,redes!A6285)</f>
        <v>0</v>
      </c>
    </row>
    <row r="6286" customFormat="false" ht="14.4" hidden="true" customHeight="false" outlineLevel="0" collapsed="false">
      <c r="A6286" s="34" t="n">
        <v>1683785000107</v>
      </c>
      <c r="B6286" s="34" t="s">
        <v>13891</v>
      </c>
      <c r="C6286" s="34" t="s">
        <v>77</v>
      </c>
      <c r="E6286" s="30" t="s">
        <v>13892</v>
      </c>
      <c r="F6286" s="34" t="n">
        <f aca="false">IFERROR(VLOOKUP($A6286,'319'!$B:$H,7,0),0)</f>
        <v>0</v>
      </c>
      <c r="G6286" s="34" t="n">
        <f aca="false">SUMIFS('12.326ana'!$C:$C,'12.326ana'!$M:$M,redes!A6286)</f>
        <v>0</v>
      </c>
    </row>
    <row r="6287" customFormat="false" ht="14.4" hidden="true" customHeight="false" outlineLevel="0" collapsed="false">
      <c r="A6287" s="34" t="n">
        <v>1685467000185</v>
      </c>
      <c r="B6287" s="34" t="s">
        <v>13893</v>
      </c>
      <c r="C6287" s="34" t="s">
        <v>197</v>
      </c>
      <c r="E6287" s="30" t="s">
        <v>13894</v>
      </c>
      <c r="F6287" s="34" t="n">
        <f aca="false">IFERROR(VLOOKUP($A6287,'319'!$B:$H,7,0),0)</f>
        <v>0</v>
      </c>
      <c r="G6287" s="34" t="n">
        <f aca="false">SUMIFS('12.326ana'!$C:$C,'12.326ana'!$M:$M,redes!A6287)</f>
        <v>0</v>
      </c>
    </row>
    <row r="6288" customFormat="false" ht="14.4" hidden="true" customHeight="false" outlineLevel="0" collapsed="false">
      <c r="A6288" s="34" t="n">
        <v>1685903004960</v>
      </c>
      <c r="B6288" s="34" t="s">
        <v>13895</v>
      </c>
      <c r="C6288" s="34" t="s">
        <v>77</v>
      </c>
      <c r="E6288" s="30" t="s">
        <v>13895</v>
      </c>
      <c r="F6288" s="34" t="n">
        <f aca="false">IFERROR(VLOOKUP($A6288,'319'!$B:$H,7,0),0)</f>
        <v>0</v>
      </c>
      <c r="G6288" s="34" t="n">
        <f aca="false">SUMIFS('12.326ana'!$C:$C,'12.326ana'!$M:$M,redes!A6288)</f>
        <v>0</v>
      </c>
    </row>
    <row r="6289" customFormat="false" ht="14.4" hidden="true" customHeight="false" outlineLevel="0" collapsed="false">
      <c r="A6289" s="34" t="n">
        <v>1688800000100</v>
      </c>
      <c r="B6289" s="34" t="s">
        <v>13896</v>
      </c>
      <c r="C6289" s="34" t="s">
        <v>77</v>
      </c>
      <c r="E6289" s="30" t="s">
        <v>9975</v>
      </c>
      <c r="F6289" s="34" t="n">
        <f aca="false">IFERROR(VLOOKUP($A6289,'319'!$B:$H,7,0),0)</f>
        <v>0</v>
      </c>
      <c r="G6289" s="34" t="n">
        <f aca="false">SUMIFS('12.326ana'!$C:$C,'12.326ana'!$M:$M,redes!A6289)</f>
        <v>0</v>
      </c>
    </row>
    <row r="6290" customFormat="false" ht="14.4" hidden="true" customHeight="false" outlineLevel="0" collapsed="false">
      <c r="A6290" s="34" t="n">
        <v>1691816000171</v>
      </c>
      <c r="B6290" s="34" t="s">
        <v>13897</v>
      </c>
      <c r="C6290" s="34" t="s">
        <v>117</v>
      </c>
      <c r="E6290" s="30" t="s">
        <v>13898</v>
      </c>
      <c r="F6290" s="34" t="n">
        <f aca="false">IFERROR(VLOOKUP($A6290,'319'!$B:$H,7,0),0)</f>
        <v>0</v>
      </c>
      <c r="G6290" s="34" t="n">
        <f aca="false">SUMIFS('12.326ana'!$C:$C,'12.326ana'!$M:$M,redes!A6290)</f>
        <v>0</v>
      </c>
    </row>
    <row r="6291" customFormat="false" ht="14.4" hidden="true" customHeight="false" outlineLevel="0" collapsed="false">
      <c r="A6291" s="34" t="n">
        <v>1693615000103</v>
      </c>
      <c r="B6291" s="34" t="s">
        <v>13899</v>
      </c>
      <c r="C6291" s="34" t="s">
        <v>139</v>
      </c>
      <c r="E6291" s="30" t="s">
        <v>13900</v>
      </c>
      <c r="F6291" s="34" t="n">
        <f aca="false">IFERROR(VLOOKUP($A6291,'319'!$B:$H,7,0),0)</f>
        <v>0</v>
      </c>
      <c r="G6291" s="34" t="n">
        <f aca="false">SUMIFS('12.326ana'!$C:$C,'12.326ana'!$M:$M,redes!A6291)</f>
        <v>0</v>
      </c>
    </row>
    <row r="6292" customFormat="false" ht="14.4" hidden="true" customHeight="false" outlineLevel="0" collapsed="false">
      <c r="A6292" s="34" t="n">
        <v>1696479000105</v>
      </c>
      <c r="B6292" s="34" t="s">
        <v>6834</v>
      </c>
      <c r="C6292" s="34" t="s">
        <v>631</v>
      </c>
      <c r="E6292" s="30" t="s">
        <v>13901</v>
      </c>
      <c r="F6292" s="34" t="n">
        <f aca="false">IFERROR(VLOOKUP($A6292,'319'!$B:$H,7,0),0)</f>
        <v>0</v>
      </c>
      <c r="G6292" s="34" t="n">
        <f aca="false">SUMIFS('12.326ana'!$C:$C,'12.326ana'!$M:$M,redes!A6292)</f>
        <v>0</v>
      </c>
    </row>
    <row r="6293" customFormat="false" ht="14.4" hidden="true" customHeight="false" outlineLevel="0" collapsed="false">
      <c r="A6293" s="34" t="n">
        <v>1696506000140</v>
      </c>
      <c r="B6293" s="34" t="s">
        <v>13902</v>
      </c>
      <c r="C6293" s="34" t="s">
        <v>565</v>
      </c>
      <c r="E6293" s="30"/>
      <c r="F6293" s="34" t="n">
        <f aca="false">IFERROR(VLOOKUP($A6293,'319'!$B:$H,7,0),0)</f>
        <v>0</v>
      </c>
      <c r="G6293" s="34" t="n">
        <f aca="false">SUMIFS('12.326ana'!$C:$C,'12.326ana'!$M:$M,redes!A6293)</f>
        <v>0</v>
      </c>
    </row>
    <row r="6294" customFormat="false" ht="14.4" hidden="true" customHeight="false" outlineLevel="0" collapsed="false">
      <c r="A6294" s="34" t="n">
        <v>1696507000194</v>
      </c>
      <c r="B6294" s="34" t="s">
        <v>13903</v>
      </c>
      <c r="C6294" s="34" t="s">
        <v>89</v>
      </c>
      <c r="E6294" s="30" t="s">
        <v>13904</v>
      </c>
      <c r="F6294" s="34" t="n">
        <f aca="false">IFERROR(VLOOKUP($A6294,'319'!$B:$H,7,0),0)</f>
        <v>0</v>
      </c>
      <c r="G6294" s="34" t="n">
        <f aca="false">SUMIFS('12.326ana'!$C:$C,'12.326ana'!$M:$M,redes!A6294)</f>
        <v>0</v>
      </c>
    </row>
    <row r="6295" customFormat="false" ht="14.4" hidden="true" customHeight="false" outlineLevel="0" collapsed="false">
      <c r="A6295" s="34" t="n">
        <v>1700239000137</v>
      </c>
      <c r="B6295" s="34" t="s">
        <v>13905</v>
      </c>
      <c r="C6295" s="34" t="s">
        <v>737</v>
      </c>
      <c r="E6295" s="30" t="s">
        <v>13906</v>
      </c>
      <c r="F6295" s="34" t="n">
        <f aca="false">IFERROR(VLOOKUP($A6295,'319'!$B:$H,7,0),0)</f>
        <v>0</v>
      </c>
      <c r="G6295" s="34" t="n">
        <f aca="false">SUMIFS('12.326ana'!$C:$C,'12.326ana'!$M:$M,redes!A6295)</f>
        <v>0</v>
      </c>
    </row>
    <row r="6296" customFormat="false" ht="14.4" hidden="true" customHeight="false" outlineLevel="0" collapsed="false">
      <c r="A6296" s="34" t="n">
        <v>1701024000130</v>
      </c>
      <c r="B6296" s="34" t="s">
        <v>13907</v>
      </c>
      <c r="C6296" s="34" t="s">
        <v>103</v>
      </c>
      <c r="D6296" s="34" t="s">
        <v>4797</v>
      </c>
      <c r="E6296" s="30" t="s">
        <v>13908</v>
      </c>
      <c r="F6296" s="34" t="n">
        <f aca="false">IFERROR(VLOOKUP($A6296,'319'!$B:$H,7,0),0)</f>
        <v>0</v>
      </c>
      <c r="G6296" s="34" t="n">
        <f aca="false">SUMIFS('12.326ana'!$C:$C,'12.326ana'!$M:$M,redes!A6296)</f>
        <v>0</v>
      </c>
    </row>
    <row r="6297" customFormat="false" ht="14.4" hidden="true" customHeight="false" outlineLevel="0" collapsed="false">
      <c r="A6297" s="34" t="n">
        <v>1705183000103</v>
      </c>
      <c r="B6297" s="34" t="s">
        <v>7063</v>
      </c>
      <c r="C6297" s="34" t="s">
        <v>192</v>
      </c>
      <c r="E6297" s="30" t="s">
        <v>7064</v>
      </c>
      <c r="F6297" s="34" t="n">
        <f aca="false">IFERROR(VLOOKUP($A6297,'319'!$B:$H,7,0),0)</f>
        <v>0</v>
      </c>
      <c r="G6297" s="34" t="n">
        <f aca="false">SUMIFS('12.326ana'!$C:$C,'12.326ana'!$M:$M,redes!A6297)</f>
        <v>0</v>
      </c>
    </row>
    <row r="6298" customFormat="false" ht="14.4" hidden="true" customHeight="false" outlineLevel="0" collapsed="false">
      <c r="A6298" s="34" t="n">
        <v>1705190000105</v>
      </c>
      <c r="B6298" s="34" t="s">
        <v>13909</v>
      </c>
      <c r="C6298" s="34" t="s">
        <v>77</v>
      </c>
      <c r="D6298" s="34" t="s">
        <v>3324</v>
      </c>
      <c r="E6298" s="30" t="s">
        <v>12943</v>
      </c>
      <c r="F6298" s="34" t="n">
        <f aca="false">IFERROR(VLOOKUP($A6298,'319'!$B:$H,7,0),0)</f>
        <v>0</v>
      </c>
      <c r="G6298" s="34" t="n">
        <f aca="false">SUMIFS('12.326ana'!$C:$C,'12.326ana'!$M:$M,redes!A6298)</f>
        <v>0</v>
      </c>
    </row>
    <row r="6299" customFormat="false" ht="14.4" hidden="true" customHeight="false" outlineLevel="0" collapsed="false">
      <c r="A6299" s="34" t="n">
        <v>1708330000107</v>
      </c>
      <c r="B6299" s="34" t="s">
        <v>13910</v>
      </c>
      <c r="C6299" s="34" t="s">
        <v>192</v>
      </c>
      <c r="E6299" s="30" t="s">
        <v>13911</v>
      </c>
      <c r="F6299" s="34" t="n">
        <f aca="false">IFERROR(VLOOKUP($A6299,'319'!$B:$H,7,0),0)</f>
        <v>0</v>
      </c>
      <c r="G6299" s="34" t="n">
        <f aca="false">SUMIFS('12.326ana'!$C:$C,'12.326ana'!$M:$M,redes!A6299)</f>
        <v>0</v>
      </c>
    </row>
    <row r="6300" customFormat="false" ht="14.4" hidden="true" customHeight="false" outlineLevel="0" collapsed="false">
      <c r="A6300" s="34" t="n">
        <v>1708337000110</v>
      </c>
      <c r="B6300" s="34" t="s">
        <v>13912</v>
      </c>
      <c r="C6300" s="34" t="s">
        <v>342</v>
      </c>
      <c r="E6300" s="30" t="s">
        <v>13913</v>
      </c>
      <c r="F6300" s="34" t="n">
        <f aca="false">IFERROR(VLOOKUP($A6300,'319'!$B:$H,7,0),0)</f>
        <v>0</v>
      </c>
      <c r="G6300" s="34" t="n">
        <f aca="false">SUMIFS('12.326ana'!$C:$C,'12.326ana'!$M:$M,redes!A6300)</f>
        <v>0</v>
      </c>
    </row>
    <row r="6301" customFormat="false" ht="14.4" hidden="true" customHeight="false" outlineLevel="0" collapsed="false">
      <c r="A6301" s="34" t="n">
        <v>1708341000189</v>
      </c>
      <c r="B6301" s="34" t="s">
        <v>13914</v>
      </c>
      <c r="C6301" s="34" t="s">
        <v>464</v>
      </c>
      <c r="E6301" s="30" t="s">
        <v>13915</v>
      </c>
      <c r="F6301" s="34" t="n">
        <f aca="false">IFERROR(VLOOKUP($A6301,'319'!$B:$H,7,0),0)</f>
        <v>0</v>
      </c>
      <c r="G6301" s="34" t="n">
        <f aca="false">SUMIFS('12.326ana'!$C:$C,'12.326ana'!$M:$M,redes!A6301)</f>
        <v>0</v>
      </c>
    </row>
    <row r="6302" customFormat="false" ht="14.4" hidden="true" customHeight="false" outlineLevel="0" collapsed="false">
      <c r="A6302" s="34" t="n">
        <v>1708383000110</v>
      </c>
      <c r="B6302" s="34" t="s">
        <v>13916</v>
      </c>
      <c r="C6302" s="34" t="s">
        <v>631</v>
      </c>
      <c r="E6302" s="30" t="s">
        <v>13917</v>
      </c>
      <c r="F6302" s="34" t="n">
        <f aca="false">IFERROR(VLOOKUP($A6302,'319'!$B:$H,7,0),0)</f>
        <v>0</v>
      </c>
      <c r="G6302" s="34" t="n">
        <f aca="false">SUMIFS('12.326ana'!$C:$C,'12.326ana'!$M:$M,redes!A6302)</f>
        <v>0</v>
      </c>
    </row>
    <row r="6303" customFormat="false" ht="14.4" hidden="true" customHeight="false" outlineLevel="0" collapsed="false">
      <c r="A6303" s="34" t="n">
        <v>1714094000123</v>
      </c>
      <c r="B6303" s="34" t="s">
        <v>13918</v>
      </c>
      <c r="C6303" s="34" t="s">
        <v>954</v>
      </c>
      <c r="E6303" s="30" t="s">
        <v>8315</v>
      </c>
      <c r="F6303" s="34" t="n">
        <f aca="false">IFERROR(VLOOKUP($A6303,'319'!$B:$H,7,0),0)</f>
        <v>0</v>
      </c>
      <c r="G6303" s="34" t="n">
        <f aca="false">SUMIFS('12.326ana'!$C:$C,'12.326ana'!$M:$M,redes!A6303)</f>
        <v>0</v>
      </c>
    </row>
    <row r="6304" customFormat="false" ht="14.4" hidden="true" customHeight="false" outlineLevel="0" collapsed="false">
      <c r="A6304" s="34" t="n">
        <v>1715334000104</v>
      </c>
      <c r="B6304" s="34" t="s">
        <v>13919</v>
      </c>
      <c r="C6304" s="34" t="s">
        <v>478</v>
      </c>
      <c r="E6304" s="30" t="s">
        <v>13920</v>
      </c>
      <c r="F6304" s="34" t="n">
        <f aca="false">IFERROR(VLOOKUP($A6304,'319'!$B:$H,7,0),0)</f>
        <v>0</v>
      </c>
      <c r="G6304" s="34" t="n">
        <f aca="false">SUMIFS('12.326ana'!$C:$C,'12.326ana'!$M:$M,redes!A6304)</f>
        <v>0</v>
      </c>
    </row>
    <row r="6305" customFormat="false" ht="14.4" hidden="true" customHeight="false" outlineLevel="0" collapsed="false">
      <c r="A6305" s="34" t="n">
        <v>1719282000144</v>
      </c>
      <c r="B6305" s="34" t="s">
        <v>13921</v>
      </c>
      <c r="C6305" s="34" t="s">
        <v>1680</v>
      </c>
      <c r="E6305" s="30" t="s">
        <v>13922</v>
      </c>
      <c r="F6305" s="34" t="n">
        <f aca="false">IFERROR(VLOOKUP($A6305,'319'!$B:$H,7,0),0)</f>
        <v>0</v>
      </c>
      <c r="G6305" s="34" t="n">
        <f aca="false">SUMIFS('12.326ana'!$C:$C,'12.326ana'!$M:$M,redes!A6305)</f>
        <v>0</v>
      </c>
    </row>
    <row r="6306" customFormat="false" ht="14.4" hidden="true" customHeight="false" outlineLevel="0" collapsed="false">
      <c r="A6306" s="34" t="n">
        <v>1719283000199</v>
      </c>
      <c r="B6306" s="34" t="s">
        <v>13923</v>
      </c>
      <c r="C6306" s="34" t="s">
        <v>117</v>
      </c>
      <c r="E6306" s="30" t="s">
        <v>13924</v>
      </c>
      <c r="F6306" s="34" t="n">
        <f aca="false">IFERROR(VLOOKUP($A6306,'319'!$B:$H,7,0),0)</f>
        <v>0</v>
      </c>
      <c r="G6306" s="34" t="n">
        <f aca="false">SUMIFS('12.326ana'!$C:$C,'12.326ana'!$M:$M,redes!A6306)</f>
        <v>0</v>
      </c>
    </row>
    <row r="6307" customFormat="false" ht="14.4" hidden="true" customHeight="false" outlineLevel="0" collapsed="false">
      <c r="A6307" s="34" t="n">
        <v>1719289000166</v>
      </c>
      <c r="B6307" s="34" t="s">
        <v>13925</v>
      </c>
      <c r="C6307" s="34" t="s">
        <v>213</v>
      </c>
      <c r="E6307" s="30" t="s">
        <v>13926</v>
      </c>
      <c r="F6307" s="34" t="n">
        <f aca="false">IFERROR(VLOOKUP($A6307,'319'!$B:$H,7,0),0)</f>
        <v>0</v>
      </c>
      <c r="G6307" s="34" t="n">
        <f aca="false">SUMIFS('12.326ana'!$C:$C,'12.326ana'!$M:$M,redes!A6307)</f>
        <v>0</v>
      </c>
    </row>
    <row r="6308" customFormat="false" ht="14.4" hidden="true" customHeight="false" outlineLevel="0" collapsed="false">
      <c r="A6308" s="34" t="n">
        <v>1727621000134</v>
      </c>
      <c r="B6308" s="34" t="s">
        <v>13927</v>
      </c>
      <c r="C6308" s="34" t="s">
        <v>478</v>
      </c>
      <c r="E6308" s="30" t="s">
        <v>13928</v>
      </c>
      <c r="F6308" s="34" t="n">
        <f aca="false">IFERROR(VLOOKUP($A6308,'319'!$B:$H,7,0),0)</f>
        <v>0</v>
      </c>
      <c r="G6308" s="34" t="n">
        <f aca="false">SUMIFS('12.326ana'!$C:$C,'12.326ana'!$M:$M,redes!A6308)</f>
        <v>0</v>
      </c>
    </row>
    <row r="6309" customFormat="false" ht="14.4" hidden="true" customHeight="false" outlineLevel="0" collapsed="false">
      <c r="A6309" s="34" t="n">
        <v>1727623000123</v>
      </c>
      <c r="B6309" s="34" t="s">
        <v>13929</v>
      </c>
      <c r="C6309" s="34" t="s">
        <v>77</v>
      </c>
      <c r="E6309" s="30" t="s">
        <v>13032</v>
      </c>
      <c r="F6309" s="34" t="n">
        <f aca="false">IFERROR(VLOOKUP($A6309,'319'!$B:$H,7,0),0)</f>
        <v>0</v>
      </c>
      <c r="G6309" s="34" t="n">
        <f aca="false">SUMIFS('12.326ana'!$C:$C,'12.326ana'!$M:$M,redes!A6309)</f>
        <v>0</v>
      </c>
    </row>
    <row r="6310" customFormat="false" ht="14.4" hidden="true" customHeight="false" outlineLevel="0" collapsed="false">
      <c r="A6310" s="34" t="n">
        <v>1727625000112</v>
      </c>
      <c r="B6310" s="34" t="s">
        <v>13930</v>
      </c>
      <c r="C6310" s="34" t="s">
        <v>89</v>
      </c>
      <c r="E6310" s="30" t="s">
        <v>13931</v>
      </c>
      <c r="F6310" s="34" t="n">
        <f aca="false">IFERROR(VLOOKUP($A6310,'319'!$B:$H,7,0),0)</f>
        <v>0</v>
      </c>
      <c r="G6310" s="34" t="n">
        <f aca="false">SUMIFS('12.326ana'!$C:$C,'12.326ana'!$M:$M,redes!A6310)</f>
        <v>0</v>
      </c>
    </row>
    <row r="6311" customFormat="false" ht="14.4" hidden="true" customHeight="false" outlineLevel="0" collapsed="false">
      <c r="A6311" s="34" t="n">
        <v>1729683000185</v>
      </c>
      <c r="B6311" s="34" t="s">
        <v>13932</v>
      </c>
      <c r="C6311" s="34" t="s">
        <v>107</v>
      </c>
      <c r="E6311" s="30" t="s">
        <v>5721</v>
      </c>
      <c r="F6311" s="34" t="n">
        <f aca="false">IFERROR(VLOOKUP($A6311,'319'!$B:$H,7,0),0)</f>
        <v>0</v>
      </c>
      <c r="G6311" s="34" t="n">
        <f aca="false">SUMIFS('12.326ana'!$C:$C,'12.326ana'!$M:$M,redes!A6311)</f>
        <v>0</v>
      </c>
    </row>
    <row r="6312" customFormat="false" ht="14.4" hidden="true" customHeight="false" outlineLevel="0" collapsed="false">
      <c r="A6312" s="34" t="n">
        <v>1732386000199</v>
      </c>
      <c r="B6312" s="34" t="s">
        <v>13933</v>
      </c>
      <c r="C6312" s="34" t="s">
        <v>328</v>
      </c>
      <c r="E6312" s="30" t="s">
        <v>13934</v>
      </c>
      <c r="F6312" s="34" t="n">
        <f aca="false">IFERROR(VLOOKUP($A6312,'319'!$B:$H,7,0),0)</f>
        <v>0</v>
      </c>
      <c r="G6312" s="34" t="n">
        <f aca="false">SUMIFS('12.326ana'!$C:$C,'12.326ana'!$M:$M,redes!A6312)</f>
        <v>0</v>
      </c>
    </row>
    <row r="6313" customFormat="false" ht="14.4" hidden="true" customHeight="false" outlineLevel="0" collapsed="false">
      <c r="A6313" s="34" t="n">
        <v>1735875000102</v>
      </c>
      <c r="B6313" s="34" t="s">
        <v>13935</v>
      </c>
      <c r="C6313" s="34" t="s">
        <v>207</v>
      </c>
      <c r="D6313" s="34" t="s">
        <v>9598</v>
      </c>
      <c r="E6313" s="30" t="s">
        <v>9599</v>
      </c>
      <c r="F6313" s="34" t="n">
        <f aca="false">IFERROR(VLOOKUP($A6313,'319'!$B:$H,7,0),0)</f>
        <v>0</v>
      </c>
      <c r="G6313" s="34" t="n">
        <f aca="false">SUMIFS('12.326ana'!$C:$C,'12.326ana'!$M:$M,redes!A6313)</f>
        <v>0</v>
      </c>
    </row>
    <row r="6314" customFormat="false" ht="14.4" hidden="true" customHeight="false" outlineLevel="0" collapsed="false">
      <c r="A6314" s="34" t="n">
        <v>1735875000285</v>
      </c>
      <c r="B6314" s="34" t="s">
        <v>13936</v>
      </c>
      <c r="C6314" s="34" t="s">
        <v>197</v>
      </c>
      <c r="E6314" s="30" t="s">
        <v>9599</v>
      </c>
      <c r="F6314" s="34" t="n">
        <f aca="false">IFERROR(VLOOKUP($A6314,'319'!$B:$H,7,0),0)</f>
        <v>0</v>
      </c>
      <c r="G6314" s="34" t="n">
        <f aca="false">SUMIFS('12.326ana'!$C:$C,'12.326ana'!$M:$M,redes!A6314)</f>
        <v>0</v>
      </c>
    </row>
    <row r="6315" customFormat="false" ht="14.4" hidden="true" customHeight="false" outlineLevel="0" collapsed="false">
      <c r="A6315" s="34" t="n">
        <v>1736947000128</v>
      </c>
      <c r="B6315" s="34" t="s">
        <v>13937</v>
      </c>
      <c r="C6315" s="34" t="s">
        <v>77</v>
      </c>
      <c r="E6315" s="30" t="s">
        <v>13938</v>
      </c>
      <c r="F6315" s="34" t="n">
        <f aca="false">IFERROR(VLOOKUP($A6315,'319'!$B:$H,7,0),0)</f>
        <v>0</v>
      </c>
      <c r="G6315" s="34" t="n">
        <f aca="false">SUMIFS('12.326ana'!$C:$C,'12.326ana'!$M:$M,redes!A6315)</f>
        <v>0</v>
      </c>
    </row>
    <row r="6316" customFormat="false" ht="14.4" hidden="true" customHeight="false" outlineLevel="0" collapsed="false">
      <c r="A6316" s="34" t="n">
        <v>1740010000126</v>
      </c>
      <c r="B6316" s="34" t="s">
        <v>13939</v>
      </c>
      <c r="C6316" s="34" t="s">
        <v>77</v>
      </c>
      <c r="E6316" s="30" t="s">
        <v>13940</v>
      </c>
      <c r="F6316" s="34" t="n">
        <f aca="false">IFERROR(VLOOKUP($A6316,'319'!$B:$H,7,0),0)</f>
        <v>0</v>
      </c>
      <c r="G6316" s="34" t="n">
        <f aca="false">SUMIFS('12.326ana'!$C:$C,'12.326ana'!$M:$M,redes!A6316)</f>
        <v>0</v>
      </c>
    </row>
    <row r="6317" customFormat="false" ht="14.4" hidden="true" customHeight="false" outlineLevel="0" collapsed="false">
      <c r="A6317" s="34" t="n">
        <v>1742740000166</v>
      </c>
      <c r="B6317" s="34" t="s">
        <v>13941</v>
      </c>
      <c r="C6317" s="34" t="s">
        <v>77</v>
      </c>
      <c r="E6317" s="30" t="s">
        <v>13942</v>
      </c>
      <c r="F6317" s="34" t="n">
        <f aca="false">IFERROR(VLOOKUP($A6317,'319'!$B:$H,7,0),0)</f>
        <v>0</v>
      </c>
      <c r="G6317" s="34" t="n">
        <f aca="false">SUMIFS('12.326ana'!$C:$C,'12.326ana'!$M:$M,redes!A6317)</f>
        <v>0</v>
      </c>
    </row>
    <row r="6318" customFormat="false" ht="14.4" hidden="true" customHeight="false" outlineLevel="0" collapsed="false">
      <c r="A6318" s="34" t="n">
        <v>1742813000110</v>
      </c>
      <c r="B6318" s="34" t="s">
        <v>13943</v>
      </c>
      <c r="C6318" s="34" t="s">
        <v>77</v>
      </c>
      <c r="E6318" s="30" t="s">
        <v>13944</v>
      </c>
      <c r="F6318" s="34" t="n">
        <f aca="false">IFERROR(VLOOKUP($A6318,'319'!$B:$H,7,0),0)</f>
        <v>0</v>
      </c>
      <c r="G6318" s="34" t="n">
        <f aca="false">SUMIFS('12.326ana'!$C:$C,'12.326ana'!$M:$M,redes!A6318)</f>
        <v>0</v>
      </c>
    </row>
    <row r="6319" customFormat="false" ht="14.4" hidden="true" customHeight="false" outlineLevel="0" collapsed="false">
      <c r="A6319" s="34" t="n">
        <v>1743404000138</v>
      </c>
      <c r="B6319" s="34" t="s">
        <v>13945</v>
      </c>
      <c r="C6319" s="34" t="s">
        <v>77</v>
      </c>
      <c r="E6319" s="30" t="s">
        <v>13946</v>
      </c>
      <c r="F6319" s="34" t="n">
        <f aca="false">IFERROR(VLOOKUP($A6319,'319'!$B:$H,7,0),0)</f>
        <v>0</v>
      </c>
      <c r="G6319" s="34" t="n">
        <f aca="false">SUMIFS('12.326ana'!$C:$C,'12.326ana'!$M:$M,redes!A6319)</f>
        <v>0</v>
      </c>
    </row>
    <row r="6320" customFormat="false" ht="14.4" hidden="true" customHeight="false" outlineLevel="0" collapsed="false">
      <c r="A6320" s="34" t="n">
        <v>1745141000104</v>
      </c>
      <c r="B6320" s="34" t="s">
        <v>6451</v>
      </c>
      <c r="C6320" s="34" t="s">
        <v>299</v>
      </c>
      <c r="E6320" s="30" t="s">
        <v>13947</v>
      </c>
      <c r="F6320" s="34" t="n">
        <f aca="false">IFERROR(VLOOKUP($A6320,'319'!$B:$H,7,0),0)</f>
        <v>0</v>
      </c>
      <c r="G6320" s="34" t="n">
        <f aca="false">SUMIFS('12.326ana'!$C:$C,'12.326ana'!$M:$M,redes!A6320)</f>
        <v>0</v>
      </c>
    </row>
    <row r="6321" customFormat="false" ht="14.4" hidden="true" customHeight="false" outlineLevel="0" collapsed="false">
      <c r="A6321" s="34" t="n">
        <v>1753827000139</v>
      </c>
      <c r="B6321" s="34" t="s">
        <v>13948</v>
      </c>
      <c r="C6321" s="34" t="s">
        <v>342</v>
      </c>
      <c r="E6321" s="30" t="s">
        <v>13949</v>
      </c>
      <c r="F6321" s="34" t="n">
        <f aca="false">IFERROR(VLOOKUP($A6321,'319'!$B:$H,7,0),0)</f>
        <v>0</v>
      </c>
      <c r="G6321" s="34" t="n">
        <f aca="false">SUMIFS('12.326ana'!$C:$C,'12.326ana'!$M:$M,redes!A6321)</f>
        <v>0</v>
      </c>
    </row>
    <row r="6322" customFormat="false" ht="14.4" hidden="true" customHeight="false" outlineLevel="0" collapsed="false">
      <c r="A6322" s="34" t="n">
        <v>1764016000133</v>
      </c>
      <c r="B6322" s="34" t="s">
        <v>13950</v>
      </c>
      <c r="C6322" s="34" t="s">
        <v>77</v>
      </c>
      <c r="E6322" s="30" t="s">
        <v>828</v>
      </c>
      <c r="F6322" s="34" t="n">
        <f aca="false">IFERROR(VLOOKUP($A6322,'319'!$B:$H,7,0),0)</f>
        <v>0</v>
      </c>
      <c r="G6322" s="34" t="n">
        <f aca="false">SUMIFS('12.326ana'!$C:$C,'12.326ana'!$M:$M,redes!A6322)</f>
        <v>0</v>
      </c>
    </row>
    <row r="6323" customFormat="false" ht="14.4" hidden="true" customHeight="false" outlineLevel="0" collapsed="false">
      <c r="A6323" s="34" t="n">
        <v>1769849000197</v>
      </c>
      <c r="B6323" s="34" t="s">
        <v>13951</v>
      </c>
      <c r="C6323" s="34" t="s">
        <v>77</v>
      </c>
      <c r="E6323" s="30" t="s">
        <v>3883</v>
      </c>
      <c r="F6323" s="34" t="n">
        <f aca="false">IFERROR(VLOOKUP($A6323,'319'!$B:$H,7,0),0)</f>
        <v>0</v>
      </c>
      <c r="G6323" s="34" t="n">
        <f aca="false">SUMIFS('12.326ana'!$C:$C,'12.326ana'!$M:$M,redes!A6323)</f>
        <v>0</v>
      </c>
    </row>
    <row r="6324" customFormat="false" ht="14.4" hidden="true" customHeight="false" outlineLevel="0" collapsed="false">
      <c r="A6324" s="34" t="n">
        <v>1769986000121</v>
      </c>
      <c r="B6324" s="34" t="s">
        <v>13952</v>
      </c>
      <c r="C6324" s="34" t="s">
        <v>89</v>
      </c>
      <c r="E6324" s="30" t="s">
        <v>13953</v>
      </c>
      <c r="F6324" s="34" t="n">
        <f aca="false">IFERROR(VLOOKUP($A6324,'319'!$B:$H,7,0),0)</f>
        <v>0</v>
      </c>
      <c r="G6324" s="34" t="n">
        <f aca="false">SUMIFS('12.326ana'!$C:$C,'12.326ana'!$M:$M,redes!A6324)</f>
        <v>0</v>
      </c>
    </row>
    <row r="6325" customFormat="false" ht="14.4" hidden="true" customHeight="false" outlineLevel="0" collapsed="false">
      <c r="A6325" s="34" t="n">
        <v>1770183000197</v>
      </c>
      <c r="B6325" s="34" t="s">
        <v>13954</v>
      </c>
      <c r="C6325" s="34" t="s">
        <v>10103</v>
      </c>
      <c r="E6325" s="30"/>
      <c r="F6325" s="34" t="n">
        <f aca="false">IFERROR(VLOOKUP($A6325,'319'!$B:$H,7,0),0)</f>
        <v>0</v>
      </c>
      <c r="G6325" s="34" t="n">
        <f aca="false">SUMIFS('12.326ana'!$C:$C,'12.326ana'!$M:$M,redes!A6325)</f>
        <v>0</v>
      </c>
    </row>
    <row r="6326" customFormat="false" ht="14.4" hidden="true" customHeight="false" outlineLevel="0" collapsed="false">
      <c r="A6326" s="34" t="n">
        <v>1772868000172</v>
      </c>
      <c r="B6326" s="34" t="s">
        <v>13955</v>
      </c>
      <c r="C6326" s="34" t="s">
        <v>77</v>
      </c>
      <c r="E6326" s="30" t="s">
        <v>13956</v>
      </c>
      <c r="F6326" s="34" t="n">
        <f aca="false">IFERROR(VLOOKUP($A6326,'319'!$B:$H,7,0),0)</f>
        <v>0</v>
      </c>
      <c r="G6326" s="34" t="n">
        <f aca="false">SUMIFS('12.326ana'!$C:$C,'12.326ana'!$M:$M,redes!A6326)</f>
        <v>0</v>
      </c>
    </row>
    <row r="6327" customFormat="false" ht="14.4" hidden="true" customHeight="false" outlineLevel="0" collapsed="false">
      <c r="A6327" s="34" t="n">
        <v>1773827000109</v>
      </c>
      <c r="B6327" s="34" t="s">
        <v>13957</v>
      </c>
      <c r="C6327" s="34" t="s">
        <v>117</v>
      </c>
      <c r="E6327" s="30" t="s">
        <v>13958</v>
      </c>
      <c r="F6327" s="34" t="n">
        <f aca="false">IFERROR(VLOOKUP($A6327,'319'!$B:$H,7,0),0)</f>
        <v>0</v>
      </c>
      <c r="G6327" s="34" t="n">
        <f aca="false">SUMIFS('12.326ana'!$C:$C,'12.326ana'!$M:$M,redes!A6327)</f>
        <v>0</v>
      </c>
    </row>
    <row r="6328" customFormat="false" ht="14.4" hidden="true" customHeight="false" outlineLevel="0" collapsed="false">
      <c r="A6328" s="34" t="n">
        <v>1775447000103</v>
      </c>
      <c r="B6328" s="34" t="s">
        <v>13959</v>
      </c>
      <c r="C6328" s="34" t="s">
        <v>3594</v>
      </c>
      <c r="E6328" s="30" t="s">
        <v>13960</v>
      </c>
      <c r="F6328" s="34" t="n">
        <f aca="false">IFERROR(VLOOKUP($A6328,'319'!$B:$H,7,0),0)</f>
        <v>0</v>
      </c>
      <c r="G6328" s="34" t="n">
        <f aca="false">SUMIFS('12.326ana'!$C:$C,'12.326ana'!$M:$M,redes!A6328)</f>
        <v>0</v>
      </c>
    </row>
    <row r="6329" customFormat="false" ht="14.4" hidden="true" customHeight="false" outlineLevel="0" collapsed="false">
      <c r="A6329" s="34" t="n">
        <v>1776760000158</v>
      </c>
      <c r="B6329" s="34" t="s">
        <v>13961</v>
      </c>
      <c r="C6329" s="34" t="s">
        <v>77</v>
      </c>
      <c r="E6329" s="30" t="s">
        <v>13962</v>
      </c>
      <c r="F6329" s="34" t="n">
        <f aca="false">IFERROR(VLOOKUP($A6329,'319'!$B:$H,7,0),0)</f>
        <v>0</v>
      </c>
      <c r="G6329" s="34" t="n">
        <f aca="false">SUMIFS('12.326ana'!$C:$C,'12.326ana'!$M:$M,redes!A6329)</f>
        <v>0</v>
      </c>
    </row>
    <row r="6330" customFormat="false" ht="14.4" hidden="true" customHeight="false" outlineLevel="0" collapsed="false">
      <c r="A6330" s="34" t="n">
        <v>1778235000171</v>
      </c>
      <c r="B6330" s="34" t="s">
        <v>13963</v>
      </c>
      <c r="C6330" s="34" t="s">
        <v>107</v>
      </c>
      <c r="E6330" s="30" t="s">
        <v>1029</v>
      </c>
      <c r="F6330" s="34" t="n">
        <f aca="false">IFERROR(VLOOKUP($A6330,'319'!$B:$H,7,0),0)</f>
        <v>0</v>
      </c>
      <c r="G6330" s="34" t="n">
        <f aca="false">SUMIFS('12.326ana'!$C:$C,'12.326ana'!$M:$M,redes!A6330)</f>
        <v>0</v>
      </c>
    </row>
    <row r="6331" customFormat="false" ht="14.4" hidden="true" customHeight="false" outlineLevel="0" collapsed="false">
      <c r="A6331" s="34" t="n">
        <v>1778990000156</v>
      </c>
      <c r="B6331" s="34" t="s">
        <v>13964</v>
      </c>
      <c r="C6331" s="34" t="s">
        <v>594</v>
      </c>
      <c r="E6331" s="30" t="s">
        <v>13965</v>
      </c>
      <c r="F6331" s="34" t="n">
        <f aca="false">IFERROR(VLOOKUP($A6331,'319'!$B:$H,7,0),0)</f>
        <v>0</v>
      </c>
      <c r="G6331" s="34" t="n">
        <f aca="false">SUMIFS('12.326ana'!$C:$C,'12.326ana'!$M:$M,redes!A6331)</f>
        <v>0</v>
      </c>
    </row>
    <row r="6332" customFormat="false" ht="14.4" hidden="true" customHeight="false" outlineLevel="0" collapsed="false">
      <c r="A6332" s="34" t="n">
        <v>1781252000168</v>
      </c>
      <c r="B6332" s="34" t="s">
        <v>13966</v>
      </c>
      <c r="C6332" s="34" t="s">
        <v>77</v>
      </c>
      <c r="E6332" s="30" t="s">
        <v>8939</v>
      </c>
      <c r="F6332" s="34" t="n">
        <f aca="false">IFERROR(VLOOKUP($A6332,'319'!$B:$H,7,0),0)</f>
        <v>0</v>
      </c>
      <c r="G6332" s="34" t="n">
        <f aca="false">SUMIFS('12.326ana'!$C:$C,'12.326ana'!$M:$M,redes!A6332)</f>
        <v>0</v>
      </c>
    </row>
    <row r="6333" customFormat="false" ht="14.4" hidden="true" customHeight="false" outlineLevel="0" collapsed="false">
      <c r="A6333" s="34" t="n">
        <v>1786154000113</v>
      </c>
      <c r="B6333" s="34" t="s">
        <v>13967</v>
      </c>
      <c r="C6333" s="34" t="s">
        <v>562</v>
      </c>
      <c r="E6333" s="30" t="s">
        <v>13968</v>
      </c>
      <c r="F6333" s="34" t="n">
        <f aca="false">IFERROR(VLOOKUP($A6333,'319'!$B:$H,7,0),0)</f>
        <v>0</v>
      </c>
      <c r="G6333" s="34" t="n">
        <f aca="false">SUMIFS('12.326ana'!$C:$C,'12.326ana'!$M:$M,redes!A6333)</f>
        <v>0</v>
      </c>
    </row>
    <row r="6334" customFormat="false" ht="14.4" hidden="true" customHeight="false" outlineLevel="0" collapsed="false">
      <c r="A6334" s="34" t="n">
        <v>1786245000159</v>
      </c>
      <c r="B6334" s="34" t="s">
        <v>13969</v>
      </c>
      <c r="C6334" s="34" t="s">
        <v>77</v>
      </c>
      <c r="E6334" s="30" t="s">
        <v>13970</v>
      </c>
      <c r="F6334" s="34" t="n">
        <f aca="false">IFERROR(VLOOKUP($A6334,'319'!$B:$H,7,0),0)</f>
        <v>0</v>
      </c>
      <c r="G6334" s="34" t="n">
        <f aca="false">SUMIFS('12.326ana'!$C:$C,'12.326ana'!$M:$M,redes!A6334)</f>
        <v>0</v>
      </c>
    </row>
    <row r="6335" customFormat="false" ht="14.4" hidden="true" customHeight="false" outlineLevel="0" collapsed="false">
      <c r="A6335" s="34" t="n">
        <v>1787940000135</v>
      </c>
      <c r="B6335" s="34" t="s">
        <v>13971</v>
      </c>
      <c r="C6335" s="34" t="s">
        <v>351</v>
      </c>
      <c r="E6335" s="30" t="s">
        <v>13972</v>
      </c>
      <c r="F6335" s="34" t="n">
        <f aca="false">IFERROR(VLOOKUP($A6335,'319'!$B:$H,7,0),0)</f>
        <v>0</v>
      </c>
      <c r="G6335" s="34" t="n">
        <f aca="false">SUMIFS('12.326ana'!$C:$C,'12.326ana'!$M:$M,redes!A6335)</f>
        <v>0</v>
      </c>
    </row>
    <row r="6336" customFormat="false" ht="14.4" hidden="true" customHeight="false" outlineLevel="0" collapsed="false">
      <c r="A6336" s="34" t="n">
        <v>1788101000131</v>
      </c>
      <c r="B6336" s="34" t="s">
        <v>13973</v>
      </c>
      <c r="C6336" s="34" t="s">
        <v>77</v>
      </c>
      <c r="E6336" s="30" t="s">
        <v>6424</v>
      </c>
      <c r="F6336" s="34" t="n">
        <f aca="false">IFERROR(VLOOKUP($A6336,'319'!$B:$H,7,0),0)</f>
        <v>0</v>
      </c>
      <c r="G6336" s="34" t="n">
        <f aca="false">SUMIFS('12.326ana'!$C:$C,'12.326ana'!$M:$M,redes!A6336)</f>
        <v>0</v>
      </c>
    </row>
    <row r="6337" customFormat="false" ht="14.4" hidden="true" customHeight="false" outlineLevel="0" collapsed="false">
      <c r="A6337" s="34" t="n">
        <v>1788102000186</v>
      </c>
      <c r="B6337" s="34" t="s">
        <v>13974</v>
      </c>
      <c r="C6337" s="34" t="s">
        <v>2998</v>
      </c>
      <c r="E6337" s="30" t="s">
        <v>13975</v>
      </c>
      <c r="F6337" s="34" t="n">
        <f aca="false">IFERROR(VLOOKUP($A6337,'319'!$B:$H,7,0),0)</f>
        <v>0</v>
      </c>
      <c r="G6337" s="34" t="n">
        <f aca="false">SUMIFS('12.326ana'!$C:$C,'12.326ana'!$M:$M,redes!A6337)</f>
        <v>0</v>
      </c>
    </row>
    <row r="6338" customFormat="false" ht="14.4" hidden="true" customHeight="false" outlineLevel="0" collapsed="false">
      <c r="A6338" s="34" t="n">
        <v>1789232000133</v>
      </c>
      <c r="B6338" s="34" t="s">
        <v>13976</v>
      </c>
      <c r="C6338" s="34" t="s">
        <v>77</v>
      </c>
      <c r="E6338" s="30" t="s">
        <v>7679</v>
      </c>
      <c r="F6338" s="34" t="n">
        <f aca="false">IFERROR(VLOOKUP($A6338,'319'!$B:$H,7,0),0)</f>
        <v>0</v>
      </c>
      <c r="G6338" s="34" t="n">
        <f aca="false">SUMIFS('12.326ana'!$C:$C,'12.326ana'!$M:$M,redes!A6338)</f>
        <v>0</v>
      </c>
    </row>
    <row r="6339" customFormat="false" ht="14.4" hidden="true" customHeight="false" outlineLevel="0" collapsed="false">
      <c r="A6339" s="34" t="n">
        <v>1791868000110</v>
      </c>
      <c r="B6339" s="34" t="s">
        <v>13977</v>
      </c>
      <c r="C6339" s="34" t="s">
        <v>77</v>
      </c>
      <c r="E6339" s="30" t="s">
        <v>13978</v>
      </c>
      <c r="F6339" s="34" t="n">
        <f aca="false">IFERROR(VLOOKUP($A6339,'319'!$B:$H,7,0),0)</f>
        <v>0</v>
      </c>
      <c r="G6339" s="34" t="n">
        <f aca="false">SUMIFS('12.326ana'!$C:$C,'12.326ana'!$M:$M,redes!A6339)</f>
        <v>0</v>
      </c>
    </row>
    <row r="6340" customFormat="false" ht="14.4" hidden="true" customHeight="false" outlineLevel="0" collapsed="false">
      <c r="A6340" s="34" t="n">
        <v>1792003000178</v>
      </c>
      <c r="B6340" s="34" t="s">
        <v>13979</v>
      </c>
      <c r="C6340" s="34" t="s">
        <v>77</v>
      </c>
      <c r="E6340" s="30" t="s">
        <v>13980</v>
      </c>
      <c r="F6340" s="34" t="n">
        <f aca="false">IFERROR(VLOOKUP($A6340,'319'!$B:$H,7,0),0)</f>
        <v>0</v>
      </c>
      <c r="G6340" s="34" t="n">
        <f aca="false">SUMIFS('12.326ana'!$C:$C,'12.326ana'!$M:$M,redes!A6340)</f>
        <v>0</v>
      </c>
    </row>
    <row r="6341" customFormat="false" ht="14.4" hidden="true" customHeight="false" outlineLevel="0" collapsed="false">
      <c r="A6341" s="34" t="n">
        <v>1793768000122</v>
      </c>
      <c r="B6341" s="34" t="s">
        <v>13981</v>
      </c>
      <c r="C6341" s="34" t="s">
        <v>77</v>
      </c>
      <c r="E6341" s="30" t="s">
        <v>13982</v>
      </c>
      <c r="F6341" s="34" t="n">
        <f aca="false">IFERROR(VLOOKUP($A6341,'319'!$B:$H,7,0),0)</f>
        <v>0</v>
      </c>
      <c r="G6341" s="34" t="n">
        <f aca="false">SUMIFS('12.326ana'!$C:$C,'12.326ana'!$M:$M,redes!A6341)</f>
        <v>0</v>
      </c>
    </row>
    <row r="6342" customFormat="false" ht="14.4" hidden="true" customHeight="false" outlineLevel="0" collapsed="false">
      <c r="A6342" s="34" t="n">
        <v>1794818000196</v>
      </c>
      <c r="B6342" s="34" t="s">
        <v>13983</v>
      </c>
      <c r="C6342" s="34" t="s">
        <v>631</v>
      </c>
      <c r="E6342" s="30" t="s">
        <v>13984</v>
      </c>
      <c r="F6342" s="34" t="n">
        <f aca="false">IFERROR(VLOOKUP($A6342,'319'!$B:$H,7,0),0)</f>
        <v>0</v>
      </c>
      <c r="G6342" s="34" t="n">
        <f aca="false">SUMIFS('12.326ana'!$C:$C,'12.326ana'!$M:$M,redes!A6342)</f>
        <v>0</v>
      </c>
    </row>
    <row r="6343" customFormat="false" ht="14.4" hidden="true" customHeight="false" outlineLevel="0" collapsed="false">
      <c r="A6343" s="34" t="n">
        <v>1798466000147</v>
      </c>
      <c r="B6343" s="34" t="s">
        <v>13985</v>
      </c>
      <c r="C6343" s="34" t="s">
        <v>139</v>
      </c>
      <c r="E6343" s="30" t="s">
        <v>13986</v>
      </c>
      <c r="F6343" s="34" t="n">
        <f aca="false">IFERROR(VLOOKUP($A6343,'319'!$B:$H,7,0),0)</f>
        <v>0</v>
      </c>
      <c r="G6343" s="34" t="n">
        <f aca="false">SUMIFS('12.326ana'!$C:$C,'12.326ana'!$M:$M,redes!A6343)</f>
        <v>0</v>
      </c>
    </row>
    <row r="6344" customFormat="false" ht="14.4" hidden="true" customHeight="false" outlineLevel="0" collapsed="false">
      <c r="A6344" s="34" t="n">
        <v>1802003000101</v>
      </c>
      <c r="B6344" s="34" t="s">
        <v>13987</v>
      </c>
      <c r="C6344" s="34" t="s">
        <v>77</v>
      </c>
      <c r="E6344" s="30" t="s">
        <v>13988</v>
      </c>
      <c r="F6344" s="34" t="n">
        <f aca="false">IFERROR(VLOOKUP($A6344,'319'!$B:$H,7,0),0)</f>
        <v>0</v>
      </c>
      <c r="G6344" s="34" t="n">
        <f aca="false">SUMIFS('12.326ana'!$C:$C,'12.326ana'!$M:$M,redes!A6344)</f>
        <v>0</v>
      </c>
    </row>
    <row r="6345" customFormat="false" ht="14.4" hidden="true" customHeight="false" outlineLevel="0" collapsed="false">
      <c r="A6345" s="34" t="n">
        <v>1802003000292</v>
      </c>
      <c r="B6345" s="34" t="s">
        <v>13989</v>
      </c>
      <c r="C6345" s="34" t="s">
        <v>77</v>
      </c>
      <c r="E6345" s="30" t="s">
        <v>13990</v>
      </c>
      <c r="F6345" s="34" t="n">
        <f aca="false">IFERROR(VLOOKUP($A6345,'319'!$B:$H,7,0),0)</f>
        <v>0</v>
      </c>
      <c r="G6345" s="34" t="n">
        <f aca="false">SUMIFS('12.326ana'!$C:$C,'12.326ana'!$M:$M,redes!A6345)</f>
        <v>0</v>
      </c>
    </row>
    <row r="6346" customFormat="false" ht="14.4" hidden="true" customHeight="false" outlineLevel="0" collapsed="false">
      <c r="A6346" s="34" t="n">
        <v>1802003000373</v>
      </c>
      <c r="B6346" s="34" t="s">
        <v>13989</v>
      </c>
      <c r="C6346" s="34" t="s">
        <v>77</v>
      </c>
      <c r="E6346" s="30" t="s">
        <v>13991</v>
      </c>
      <c r="F6346" s="34" t="n">
        <f aca="false">IFERROR(VLOOKUP($A6346,'319'!$B:$H,7,0),0)</f>
        <v>0</v>
      </c>
      <c r="G6346" s="34" t="n">
        <f aca="false">SUMIFS('12.326ana'!$C:$C,'12.326ana'!$M:$M,redes!A6346)</f>
        <v>0</v>
      </c>
    </row>
    <row r="6347" customFormat="false" ht="14.4" hidden="true" customHeight="false" outlineLevel="0" collapsed="false">
      <c r="A6347" s="34" t="n">
        <v>1803280000139</v>
      </c>
      <c r="B6347" s="34" t="s">
        <v>13992</v>
      </c>
      <c r="C6347" s="34" t="s">
        <v>89</v>
      </c>
      <c r="D6347" s="34" t="s">
        <v>4797</v>
      </c>
      <c r="E6347" s="30" t="s">
        <v>13993</v>
      </c>
      <c r="F6347" s="34" t="n">
        <f aca="false">IFERROR(VLOOKUP($A6347,'319'!$B:$H,7,0),0)</f>
        <v>0</v>
      </c>
      <c r="G6347" s="34" t="n">
        <f aca="false">SUMIFS('12.326ana'!$C:$C,'12.326ana'!$M:$M,redes!A6347)</f>
        <v>0</v>
      </c>
    </row>
    <row r="6348" customFormat="false" ht="14.4" hidden="true" customHeight="false" outlineLevel="0" collapsed="false">
      <c r="A6348" s="34" t="n">
        <v>1807773000147</v>
      </c>
      <c r="B6348" s="34" t="s">
        <v>13994</v>
      </c>
      <c r="C6348" s="34" t="s">
        <v>139</v>
      </c>
      <c r="E6348" s="30" t="s">
        <v>13995</v>
      </c>
      <c r="F6348" s="34" t="n">
        <f aca="false">IFERROR(VLOOKUP($A6348,'319'!$B:$H,7,0),0)</f>
        <v>0</v>
      </c>
      <c r="G6348" s="34" t="n">
        <f aca="false">SUMIFS('12.326ana'!$C:$C,'12.326ana'!$M:$M,redes!A6348)</f>
        <v>0</v>
      </c>
    </row>
    <row r="6349" customFormat="false" ht="14.4" hidden="true" customHeight="false" outlineLevel="0" collapsed="false">
      <c r="A6349" s="34" t="n">
        <v>1808654000109</v>
      </c>
      <c r="B6349" s="34" t="s">
        <v>13996</v>
      </c>
      <c r="C6349" s="34" t="s">
        <v>781</v>
      </c>
      <c r="E6349" s="30" t="s">
        <v>13997</v>
      </c>
      <c r="F6349" s="34" t="n">
        <f aca="false">IFERROR(VLOOKUP($A6349,'319'!$B:$H,7,0),0)</f>
        <v>0</v>
      </c>
      <c r="G6349" s="34" t="n">
        <f aca="false">SUMIFS('12.326ana'!$C:$C,'12.326ana'!$M:$M,redes!A6349)</f>
        <v>0</v>
      </c>
    </row>
    <row r="6350" customFormat="false" ht="14.4" hidden="true" customHeight="false" outlineLevel="0" collapsed="false">
      <c r="A6350" s="34" t="n">
        <v>1815030000119</v>
      </c>
      <c r="B6350" s="34" t="s">
        <v>13998</v>
      </c>
      <c r="C6350" s="34" t="s">
        <v>565</v>
      </c>
      <c r="E6350" s="30" t="s">
        <v>6310</v>
      </c>
      <c r="F6350" s="34" t="n">
        <f aca="false">IFERROR(VLOOKUP($A6350,'319'!$B:$H,7,0),0)</f>
        <v>0</v>
      </c>
      <c r="G6350" s="34" t="n">
        <f aca="false">SUMIFS('12.326ana'!$C:$C,'12.326ana'!$M:$M,redes!A6350)</f>
        <v>0</v>
      </c>
    </row>
    <row r="6351" customFormat="false" ht="14.4" hidden="true" customHeight="false" outlineLevel="0" collapsed="false">
      <c r="A6351" s="34" t="n">
        <v>1818198000188</v>
      </c>
      <c r="B6351" s="34" t="s">
        <v>13999</v>
      </c>
      <c r="C6351" s="34" t="s">
        <v>107</v>
      </c>
      <c r="E6351" s="30" t="s">
        <v>14000</v>
      </c>
      <c r="F6351" s="34" t="n">
        <f aca="false">IFERROR(VLOOKUP($A6351,'319'!$B:$H,7,0),0)</f>
        <v>0</v>
      </c>
      <c r="G6351" s="34" t="n">
        <f aca="false">SUMIFS('12.326ana'!$C:$C,'12.326ana'!$M:$M,redes!A6351)</f>
        <v>0</v>
      </c>
    </row>
    <row r="6352" customFormat="false" ht="14.4" hidden="true" customHeight="false" outlineLevel="0" collapsed="false">
      <c r="A6352" s="34" t="n">
        <v>1818217000176</v>
      </c>
      <c r="B6352" s="34" t="s">
        <v>14001</v>
      </c>
      <c r="C6352" s="34" t="s">
        <v>107</v>
      </c>
      <c r="E6352" s="30" t="s">
        <v>14002</v>
      </c>
      <c r="F6352" s="34" t="n">
        <f aca="false">IFERROR(VLOOKUP($A6352,'319'!$B:$H,7,0),0)</f>
        <v>0</v>
      </c>
      <c r="G6352" s="34" t="n">
        <f aca="false">SUMIFS('12.326ana'!$C:$C,'12.326ana'!$M:$M,redes!A6352)</f>
        <v>0</v>
      </c>
    </row>
    <row r="6353" customFormat="false" ht="14.4" hidden="true" customHeight="false" outlineLevel="0" collapsed="false">
      <c r="A6353" s="34" t="n">
        <v>1821184000113</v>
      </c>
      <c r="B6353" s="34" t="s">
        <v>14003</v>
      </c>
      <c r="C6353" s="34" t="s">
        <v>77</v>
      </c>
      <c r="E6353" s="30" t="s">
        <v>3066</v>
      </c>
      <c r="F6353" s="34" t="n">
        <f aca="false">IFERROR(VLOOKUP($A6353,'319'!$B:$H,7,0),0)</f>
        <v>0</v>
      </c>
      <c r="G6353" s="34" t="n">
        <f aca="false">SUMIFS('12.326ana'!$C:$C,'12.326ana'!$M:$M,redes!A6353)</f>
        <v>0</v>
      </c>
    </row>
    <row r="6354" customFormat="false" ht="14.4" hidden="true" customHeight="false" outlineLevel="0" collapsed="false">
      <c r="A6354" s="34" t="n">
        <v>1822531000122</v>
      </c>
      <c r="B6354" s="34" t="s">
        <v>14004</v>
      </c>
      <c r="C6354" s="34" t="s">
        <v>77</v>
      </c>
      <c r="E6354" s="30" t="s">
        <v>4262</v>
      </c>
      <c r="F6354" s="34" t="n">
        <f aca="false">IFERROR(VLOOKUP($A6354,'319'!$B:$H,7,0),0)</f>
        <v>-16.13</v>
      </c>
      <c r="G6354" s="34" t="n">
        <f aca="false">SUMIFS('12.326ana'!$C:$C,'12.326ana'!$M:$M,redes!A6354)</f>
        <v>0</v>
      </c>
    </row>
    <row r="6355" customFormat="false" ht="14.4" hidden="true" customHeight="false" outlineLevel="0" collapsed="false">
      <c r="A6355" s="34" t="n">
        <v>1822547000135</v>
      </c>
      <c r="B6355" s="34" t="s">
        <v>14005</v>
      </c>
      <c r="C6355" s="34" t="s">
        <v>77</v>
      </c>
      <c r="E6355" s="30" t="s">
        <v>14006</v>
      </c>
      <c r="F6355" s="34" t="n">
        <f aca="false">IFERROR(VLOOKUP($A6355,'319'!$B:$H,7,0),0)</f>
        <v>0</v>
      </c>
      <c r="G6355" s="34" t="n">
        <f aca="false">SUMIFS('12.326ana'!$C:$C,'12.326ana'!$M:$M,redes!A6355)</f>
        <v>0</v>
      </c>
    </row>
    <row r="6356" customFormat="false" ht="14.4" hidden="true" customHeight="false" outlineLevel="0" collapsed="false">
      <c r="A6356" s="34" t="n">
        <v>1828551000100</v>
      </c>
      <c r="B6356" s="34" t="s">
        <v>14007</v>
      </c>
      <c r="C6356" s="34" t="s">
        <v>377</v>
      </c>
      <c r="E6356" s="30"/>
      <c r="F6356" s="34" t="n">
        <f aca="false">IFERROR(VLOOKUP($A6356,'319'!$B:$H,7,0),0)</f>
        <v>0</v>
      </c>
      <c r="G6356" s="34" t="n">
        <f aca="false">SUMIFS('12.326ana'!$C:$C,'12.326ana'!$M:$M,redes!A6356)</f>
        <v>0</v>
      </c>
    </row>
    <row r="6357" customFormat="false" ht="14.4" hidden="true" customHeight="false" outlineLevel="0" collapsed="false">
      <c r="A6357" s="34" t="n">
        <v>1828566000179</v>
      </c>
      <c r="B6357" s="34" t="s">
        <v>14008</v>
      </c>
      <c r="C6357" s="34" t="s">
        <v>77</v>
      </c>
      <c r="E6357" s="30" t="s">
        <v>14009</v>
      </c>
      <c r="F6357" s="34" t="n">
        <f aca="false">IFERROR(VLOOKUP($A6357,'319'!$B:$H,7,0),0)</f>
        <v>0</v>
      </c>
      <c r="G6357" s="34" t="n">
        <f aca="false">SUMIFS('12.326ana'!$C:$C,'12.326ana'!$M:$M,redes!A6357)</f>
        <v>0</v>
      </c>
    </row>
    <row r="6358" customFormat="false" ht="14.4" hidden="true" customHeight="false" outlineLevel="0" collapsed="false">
      <c r="A6358" s="34" t="n">
        <v>1828579000148</v>
      </c>
      <c r="B6358" s="34" t="s">
        <v>14010</v>
      </c>
      <c r="C6358" s="34" t="s">
        <v>336</v>
      </c>
      <c r="E6358" s="30" t="s">
        <v>14011</v>
      </c>
      <c r="F6358" s="34" t="n">
        <f aca="false">IFERROR(VLOOKUP($A6358,'319'!$B:$H,7,0),0)</f>
        <v>0</v>
      </c>
      <c r="G6358" s="34" t="n">
        <f aca="false">SUMIFS('12.326ana'!$C:$C,'12.326ana'!$M:$M,redes!A6358)</f>
        <v>0</v>
      </c>
    </row>
    <row r="6359" customFormat="false" ht="14.4" hidden="true" customHeight="false" outlineLevel="0" collapsed="false">
      <c r="A6359" s="34" t="n">
        <v>1828584000150</v>
      </c>
      <c r="B6359" s="34" t="s">
        <v>14012</v>
      </c>
      <c r="C6359" s="34" t="s">
        <v>342</v>
      </c>
      <c r="E6359" s="30" t="s">
        <v>13616</v>
      </c>
      <c r="F6359" s="34" t="n">
        <f aca="false">IFERROR(VLOOKUP($A6359,'319'!$B:$H,7,0),0)</f>
        <v>0</v>
      </c>
      <c r="G6359" s="34" t="n">
        <f aca="false">SUMIFS('12.326ana'!$C:$C,'12.326ana'!$M:$M,redes!A6359)</f>
        <v>0</v>
      </c>
    </row>
    <row r="6360" customFormat="false" ht="14.4" hidden="true" customHeight="false" outlineLevel="0" collapsed="false">
      <c r="A6360" s="34" t="n">
        <v>1828593000141</v>
      </c>
      <c r="B6360" s="34" t="s">
        <v>14013</v>
      </c>
      <c r="C6360" s="34" t="s">
        <v>342</v>
      </c>
      <c r="E6360" s="30" t="s">
        <v>14014</v>
      </c>
      <c r="F6360" s="34" t="n">
        <f aca="false">IFERROR(VLOOKUP($A6360,'319'!$B:$H,7,0),0)</f>
        <v>0</v>
      </c>
      <c r="G6360" s="34" t="n">
        <f aca="false">SUMIFS('12.326ana'!$C:$C,'12.326ana'!$M:$M,redes!A6360)</f>
        <v>0</v>
      </c>
    </row>
    <row r="6361" customFormat="false" ht="14.4" hidden="true" customHeight="false" outlineLevel="0" collapsed="false">
      <c r="A6361" s="34" t="n">
        <v>1828600000105</v>
      </c>
      <c r="B6361" s="34" t="s">
        <v>14015</v>
      </c>
      <c r="C6361" s="34" t="s">
        <v>77</v>
      </c>
      <c r="D6361" s="34" t="s">
        <v>13626</v>
      </c>
      <c r="E6361" s="30" t="s">
        <v>14016</v>
      </c>
      <c r="F6361" s="34" t="n">
        <f aca="false">IFERROR(VLOOKUP($A6361,'319'!$B:$H,7,0),0)</f>
        <v>0</v>
      </c>
      <c r="G6361" s="34" t="n">
        <f aca="false">SUMIFS('12.326ana'!$C:$C,'12.326ana'!$M:$M,redes!A6361)</f>
        <v>0</v>
      </c>
    </row>
    <row r="6362" customFormat="false" ht="14.4" hidden="true" customHeight="false" outlineLevel="0" collapsed="false">
      <c r="A6362" s="34" t="n">
        <v>1838892000167</v>
      </c>
      <c r="B6362" s="34" t="s">
        <v>14017</v>
      </c>
      <c r="C6362" s="34" t="s">
        <v>631</v>
      </c>
      <c r="E6362" s="30" t="s">
        <v>14018</v>
      </c>
      <c r="F6362" s="34" t="n">
        <f aca="false">IFERROR(VLOOKUP($A6362,'319'!$B:$H,7,0),0)</f>
        <v>0</v>
      </c>
      <c r="G6362" s="34" t="n">
        <f aca="false">SUMIFS('12.326ana'!$C:$C,'12.326ana'!$M:$M,redes!A6362)</f>
        <v>0</v>
      </c>
    </row>
    <row r="6363" customFormat="false" ht="14.4" hidden="true" customHeight="false" outlineLevel="0" collapsed="false">
      <c r="A6363" s="34" t="n">
        <v>1840770000105</v>
      </c>
      <c r="B6363" s="34" t="s">
        <v>14019</v>
      </c>
      <c r="C6363" s="34" t="s">
        <v>77</v>
      </c>
      <c r="E6363" s="30" t="s">
        <v>14020</v>
      </c>
      <c r="F6363" s="34" t="n">
        <f aca="false">IFERROR(VLOOKUP($A6363,'319'!$B:$H,7,0),0)</f>
        <v>0</v>
      </c>
      <c r="G6363" s="34" t="n">
        <f aca="false">SUMIFS('12.326ana'!$C:$C,'12.326ana'!$M:$M,redes!A6363)</f>
        <v>0</v>
      </c>
    </row>
    <row r="6364" customFormat="false" ht="14.4" hidden="true" customHeight="false" outlineLevel="0" collapsed="false">
      <c r="A6364" s="34" t="n">
        <v>1843645000159</v>
      </c>
      <c r="B6364" s="34" t="s">
        <v>14021</v>
      </c>
      <c r="C6364" s="34" t="s">
        <v>77</v>
      </c>
      <c r="E6364" s="30" t="s">
        <v>14022</v>
      </c>
      <c r="F6364" s="34" t="n">
        <f aca="false">IFERROR(VLOOKUP($A6364,'319'!$B:$H,7,0),0)</f>
        <v>0</v>
      </c>
      <c r="G6364" s="34" t="n">
        <f aca="false">SUMIFS('12.326ana'!$C:$C,'12.326ana'!$M:$M,redes!A6364)</f>
        <v>0</v>
      </c>
    </row>
    <row r="6365" customFormat="false" ht="14.4" hidden="true" customHeight="false" outlineLevel="0" collapsed="false">
      <c r="A6365" s="34" t="n">
        <v>1848246000180</v>
      </c>
      <c r="B6365" s="34" t="s">
        <v>14023</v>
      </c>
      <c r="C6365" s="34" t="s">
        <v>342</v>
      </c>
      <c r="E6365" s="30" t="s">
        <v>10738</v>
      </c>
      <c r="F6365" s="34" t="n">
        <f aca="false">IFERROR(VLOOKUP($A6365,'319'!$B:$H,7,0),0)</f>
        <v>0</v>
      </c>
      <c r="G6365" s="34" t="n">
        <f aca="false">SUMIFS('12.326ana'!$C:$C,'12.326ana'!$M:$M,redes!A6365)</f>
        <v>0</v>
      </c>
    </row>
    <row r="6366" customFormat="false" ht="14.4" hidden="true" customHeight="false" outlineLevel="0" collapsed="false">
      <c r="A6366" s="34" t="n">
        <v>1848252000138</v>
      </c>
      <c r="B6366" s="34" t="s">
        <v>14024</v>
      </c>
      <c r="C6366" s="34" t="s">
        <v>192</v>
      </c>
      <c r="E6366" s="30" t="s">
        <v>10122</v>
      </c>
      <c r="F6366" s="34" t="n">
        <f aca="false">IFERROR(VLOOKUP($A6366,'319'!$B:$H,7,0),0)</f>
        <v>0</v>
      </c>
      <c r="G6366" s="34" t="n">
        <f aca="false">SUMIFS('12.326ana'!$C:$C,'12.326ana'!$M:$M,redes!A6366)</f>
        <v>0</v>
      </c>
    </row>
    <row r="6367" customFormat="false" ht="14.4" hidden="true" customHeight="false" outlineLevel="0" collapsed="false">
      <c r="A6367" s="34" t="n">
        <v>1848994000163</v>
      </c>
      <c r="B6367" s="34" t="s">
        <v>14025</v>
      </c>
      <c r="C6367" s="34" t="s">
        <v>129</v>
      </c>
      <c r="E6367" s="30" t="s">
        <v>14026</v>
      </c>
      <c r="F6367" s="34" t="n">
        <f aca="false">IFERROR(VLOOKUP($A6367,'319'!$B:$H,7,0),0)</f>
        <v>0</v>
      </c>
      <c r="G6367" s="34" t="n">
        <f aca="false">SUMIFS('12.326ana'!$C:$C,'12.326ana'!$M:$M,redes!A6367)</f>
        <v>0</v>
      </c>
    </row>
    <row r="6368" customFormat="false" ht="14.4" hidden="true" customHeight="false" outlineLevel="0" collapsed="false">
      <c r="A6368" s="34" t="n">
        <v>1851716001722</v>
      </c>
      <c r="B6368" s="34" t="s">
        <v>14027</v>
      </c>
      <c r="C6368" s="34" t="s">
        <v>89</v>
      </c>
      <c r="E6368" s="30" t="s">
        <v>14028</v>
      </c>
      <c r="F6368" s="34" t="n">
        <f aca="false">IFERROR(VLOOKUP($A6368,'319'!$B:$H,7,0),0)</f>
        <v>0</v>
      </c>
      <c r="G6368" s="34" t="n">
        <f aca="false">SUMIFS('12.326ana'!$C:$C,'12.326ana'!$M:$M,redes!A6368)</f>
        <v>0</v>
      </c>
    </row>
    <row r="6369" customFormat="false" ht="14.4" hidden="true" customHeight="false" outlineLevel="0" collapsed="false">
      <c r="A6369" s="34" t="n">
        <v>1853593000100</v>
      </c>
      <c r="B6369" s="34" t="s">
        <v>14029</v>
      </c>
      <c r="C6369" s="34" t="s">
        <v>377</v>
      </c>
      <c r="E6369" s="30" t="s">
        <v>14030</v>
      </c>
      <c r="F6369" s="34" t="n">
        <f aca="false">IFERROR(VLOOKUP($A6369,'319'!$B:$H,7,0),0)</f>
        <v>0</v>
      </c>
      <c r="G6369" s="34" t="n">
        <f aca="false">SUMIFS('12.326ana'!$C:$C,'12.326ana'!$M:$M,redes!A6369)</f>
        <v>0</v>
      </c>
    </row>
    <row r="6370" customFormat="false" ht="14.4" hidden="true" customHeight="false" outlineLevel="0" collapsed="false">
      <c r="A6370" s="34" t="n">
        <v>1856292000121</v>
      </c>
      <c r="B6370" s="34" t="s">
        <v>14031</v>
      </c>
      <c r="C6370" s="34" t="s">
        <v>463</v>
      </c>
      <c r="E6370" s="30" t="s">
        <v>14032</v>
      </c>
      <c r="F6370" s="34" t="n">
        <f aca="false">IFERROR(VLOOKUP($A6370,'319'!$B:$H,7,0),0)</f>
        <v>0</v>
      </c>
      <c r="G6370" s="34" t="n">
        <f aca="false">SUMIFS('12.326ana'!$C:$C,'12.326ana'!$M:$M,redes!A6370)</f>
        <v>0</v>
      </c>
    </row>
    <row r="6371" customFormat="false" ht="14.4" hidden="true" customHeight="false" outlineLevel="0" collapsed="false">
      <c r="A6371" s="34" t="n">
        <v>1856295000165</v>
      </c>
      <c r="B6371" s="34" t="s">
        <v>14033</v>
      </c>
      <c r="C6371" s="34" t="s">
        <v>77</v>
      </c>
      <c r="E6371" s="30" t="s">
        <v>14034</v>
      </c>
      <c r="F6371" s="34" t="n">
        <f aca="false">IFERROR(VLOOKUP($A6371,'319'!$B:$H,7,0),0)</f>
        <v>0</v>
      </c>
      <c r="G6371" s="34" t="n">
        <f aca="false">SUMIFS('12.326ana'!$C:$C,'12.326ana'!$M:$M,redes!A6371)</f>
        <v>0</v>
      </c>
    </row>
    <row r="6372" customFormat="false" ht="14.4" hidden="true" customHeight="false" outlineLevel="0" collapsed="false">
      <c r="A6372" s="34" t="n">
        <v>1856297000154</v>
      </c>
      <c r="B6372" s="34" t="s">
        <v>14035</v>
      </c>
      <c r="C6372" s="34" t="s">
        <v>117</v>
      </c>
      <c r="E6372" s="30" t="s">
        <v>14036</v>
      </c>
      <c r="F6372" s="34" t="n">
        <f aca="false">IFERROR(VLOOKUP($A6372,'319'!$B:$H,7,0),0)</f>
        <v>0</v>
      </c>
      <c r="G6372" s="34" t="n">
        <f aca="false">SUMIFS('12.326ana'!$C:$C,'12.326ana'!$M:$M,redes!A6372)</f>
        <v>0</v>
      </c>
    </row>
    <row r="6373" customFormat="false" ht="14.4" hidden="true" customHeight="false" outlineLevel="0" collapsed="false">
      <c r="A6373" s="34" t="n">
        <v>1857079000134</v>
      </c>
      <c r="B6373" s="34" t="s">
        <v>14037</v>
      </c>
      <c r="C6373" s="34" t="s">
        <v>4139</v>
      </c>
      <c r="E6373" s="30" t="s">
        <v>14038</v>
      </c>
      <c r="F6373" s="34" t="n">
        <f aca="false">IFERROR(VLOOKUP($A6373,'319'!$B:$H,7,0),0)</f>
        <v>0</v>
      </c>
      <c r="G6373" s="34" t="n">
        <f aca="false">SUMIFS('12.326ana'!$C:$C,'12.326ana'!$M:$M,redes!A6373)</f>
        <v>0</v>
      </c>
    </row>
    <row r="6374" customFormat="false" ht="14.4" hidden="true" customHeight="false" outlineLevel="0" collapsed="false">
      <c r="A6374" s="34" t="n">
        <v>1859623000187</v>
      </c>
      <c r="B6374" s="34" t="s">
        <v>14039</v>
      </c>
      <c r="C6374" s="34" t="s">
        <v>77</v>
      </c>
      <c r="E6374" s="30" t="s">
        <v>14040</v>
      </c>
      <c r="F6374" s="34" t="n">
        <f aca="false">IFERROR(VLOOKUP($A6374,'319'!$B:$H,7,0),0)</f>
        <v>0</v>
      </c>
      <c r="G6374" s="34" t="n">
        <f aca="false">SUMIFS('12.326ana'!$C:$C,'12.326ana'!$M:$M,redes!A6374)</f>
        <v>0</v>
      </c>
    </row>
    <row r="6375" customFormat="false" ht="14.4" hidden="true" customHeight="false" outlineLevel="0" collapsed="false">
      <c r="A6375" s="34" t="n">
        <v>1859625000176</v>
      </c>
      <c r="B6375" s="34" t="s">
        <v>14041</v>
      </c>
      <c r="C6375" s="34" t="s">
        <v>77</v>
      </c>
      <c r="E6375" s="30" t="s">
        <v>14042</v>
      </c>
      <c r="F6375" s="34" t="n">
        <f aca="false">IFERROR(VLOOKUP($A6375,'319'!$B:$H,7,0),0)</f>
        <v>0</v>
      </c>
      <c r="G6375" s="34" t="n">
        <f aca="false">SUMIFS('12.326ana'!$C:$C,'12.326ana'!$M:$M,redes!A6375)</f>
        <v>0</v>
      </c>
    </row>
    <row r="6376" customFormat="false" ht="14.4" hidden="true" customHeight="false" outlineLevel="0" collapsed="false">
      <c r="A6376" s="34" t="n">
        <v>1862933000150</v>
      </c>
      <c r="B6376" s="34" t="s">
        <v>14043</v>
      </c>
      <c r="C6376" s="34" t="s">
        <v>77</v>
      </c>
      <c r="E6376" s="30" t="s">
        <v>14044</v>
      </c>
      <c r="F6376" s="34" t="n">
        <f aca="false">IFERROR(VLOOKUP($A6376,'319'!$B:$H,7,0),0)</f>
        <v>0</v>
      </c>
      <c r="G6376" s="34" t="n">
        <f aca="false">SUMIFS('12.326ana'!$C:$C,'12.326ana'!$M:$M,redes!A6376)</f>
        <v>0</v>
      </c>
    </row>
    <row r="6377" customFormat="false" ht="14.4" hidden="true" customHeight="false" outlineLevel="0" collapsed="false">
      <c r="A6377" s="34" t="n">
        <v>1863788000122</v>
      </c>
      <c r="B6377" s="34" t="s">
        <v>14045</v>
      </c>
      <c r="C6377" s="34" t="s">
        <v>77</v>
      </c>
      <c r="E6377" s="30" t="s">
        <v>14046</v>
      </c>
      <c r="F6377" s="34" t="n">
        <f aca="false">IFERROR(VLOOKUP($A6377,'319'!$B:$H,7,0),0)</f>
        <v>0</v>
      </c>
      <c r="G6377" s="34" t="n">
        <f aca="false">SUMIFS('12.326ana'!$C:$C,'12.326ana'!$M:$M,redes!A6377)</f>
        <v>0</v>
      </c>
    </row>
    <row r="6378" customFormat="false" ht="14.4" hidden="true" customHeight="false" outlineLevel="0" collapsed="false">
      <c r="A6378" s="34" t="n">
        <v>1865405000155</v>
      </c>
      <c r="B6378" s="34" t="s">
        <v>14047</v>
      </c>
      <c r="C6378" s="34" t="s">
        <v>77</v>
      </c>
      <c r="E6378" s="30" t="s">
        <v>14048</v>
      </c>
      <c r="F6378" s="34" t="n">
        <f aca="false">IFERROR(VLOOKUP($A6378,'319'!$B:$H,7,0),0)</f>
        <v>0</v>
      </c>
      <c r="G6378" s="34" t="n">
        <f aca="false">SUMIFS('12.326ana'!$C:$C,'12.326ana'!$M:$M,redes!A6378)</f>
        <v>0</v>
      </c>
    </row>
    <row r="6379" customFormat="false" ht="14.4" hidden="true" customHeight="false" outlineLevel="0" collapsed="false">
      <c r="A6379" s="34" t="n">
        <v>1865424000181</v>
      </c>
      <c r="B6379" s="34" t="s">
        <v>14049</v>
      </c>
      <c r="C6379" s="34" t="s">
        <v>4139</v>
      </c>
      <c r="E6379" s="30" t="s">
        <v>4848</v>
      </c>
      <c r="F6379" s="34" t="n">
        <f aca="false">IFERROR(VLOOKUP($A6379,'319'!$B:$H,7,0),0)</f>
        <v>0</v>
      </c>
      <c r="G6379" s="34" t="n">
        <f aca="false">SUMIFS('12.326ana'!$C:$C,'12.326ana'!$M:$M,redes!A6379)</f>
        <v>0</v>
      </c>
    </row>
    <row r="6380" customFormat="false" ht="14.4" hidden="true" customHeight="false" outlineLevel="0" collapsed="false">
      <c r="A6380" s="34" t="n">
        <v>1866222000154</v>
      </c>
      <c r="B6380" s="34" t="s">
        <v>14050</v>
      </c>
      <c r="C6380" s="34" t="s">
        <v>7250</v>
      </c>
      <c r="E6380" s="30" t="s">
        <v>14051</v>
      </c>
      <c r="F6380" s="34" t="n">
        <f aca="false">IFERROR(VLOOKUP($A6380,'319'!$B:$H,7,0),0)</f>
        <v>0</v>
      </c>
      <c r="G6380" s="34" t="n">
        <f aca="false">SUMIFS('12.326ana'!$C:$C,'12.326ana'!$M:$M,redes!A6380)</f>
        <v>0</v>
      </c>
    </row>
    <row r="6381" customFormat="false" ht="14.4" hidden="true" customHeight="false" outlineLevel="0" collapsed="false">
      <c r="A6381" s="34" t="n">
        <v>1869516000130</v>
      </c>
      <c r="B6381" s="34" t="s">
        <v>14052</v>
      </c>
      <c r="C6381" s="34" t="s">
        <v>107</v>
      </c>
      <c r="D6381" s="34" t="s">
        <v>4797</v>
      </c>
      <c r="E6381" s="30" t="s">
        <v>14053</v>
      </c>
      <c r="F6381" s="34" t="n">
        <f aca="false">IFERROR(VLOOKUP($A6381,'319'!$B:$H,7,0),0)</f>
        <v>0</v>
      </c>
      <c r="G6381" s="34" t="n">
        <f aca="false">SUMIFS('12.326ana'!$C:$C,'12.326ana'!$M:$M,redes!A6381)</f>
        <v>0</v>
      </c>
    </row>
    <row r="6382" customFormat="false" ht="14.4" hidden="true" customHeight="false" outlineLevel="0" collapsed="false">
      <c r="A6382" s="34" t="n">
        <v>1869728000117</v>
      </c>
      <c r="B6382" s="34" t="s">
        <v>14054</v>
      </c>
      <c r="C6382" s="34" t="s">
        <v>77</v>
      </c>
      <c r="E6382" s="30" t="s">
        <v>14055</v>
      </c>
      <c r="F6382" s="34" t="n">
        <f aca="false">IFERROR(VLOOKUP($A6382,'319'!$B:$H,7,0),0)</f>
        <v>0</v>
      </c>
      <c r="G6382" s="34" t="n">
        <f aca="false">SUMIFS('12.326ana'!$C:$C,'12.326ana'!$M:$M,redes!A6382)</f>
        <v>0</v>
      </c>
    </row>
    <row r="6383" customFormat="false" ht="14.4" hidden="true" customHeight="false" outlineLevel="0" collapsed="false">
      <c r="A6383" s="34" t="n">
        <v>1869738000152</v>
      </c>
      <c r="B6383" s="34" t="s">
        <v>14056</v>
      </c>
      <c r="C6383" s="34" t="s">
        <v>127</v>
      </c>
      <c r="E6383" s="30" t="s">
        <v>14057</v>
      </c>
      <c r="F6383" s="34" t="n">
        <f aca="false">IFERROR(VLOOKUP($A6383,'319'!$B:$H,7,0),0)</f>
        <v>0</v>
      </c>
      <c r="G6383" s="34" t="n">
        <f aca="false">SUMIFS('12.326ana'!$C:$C,'12.326ana'!$M:$M,redes!A6383)</f>
        <v>0</v>
      </c>
    </row>
    <row r="6384" customFormat="false" ht="14.4" hidden="true" customHeight="false" outlineLevel="0" collapsed="false">
      <c r="A6384" s="34" t="n">
        <v>1869757000189</v>
      </c>
      <c r="B6384" s="34" t="s">
        <v>14058</v>
      </c>
      <c r="C6384" s="34" t="s">
        <v>192</v>
      </c>
      <c r="E6384" s="30" t="s">
        <v>14059</v>
      </c>
      <c r="F6384" s="34" t="n">
        <f aca="false">IFERROR(VLOOKUP($A6384,'319'!$B:$H,7,0),0)</f>
        <v>0</v>
      </c>
      <c r="G6384" s="34" t="n">
        <f aca="false">SUMIFS('12.326ana'!$C:$C,'12.326ana'!$M:$M,redes!A6384)</f>
        <v>0</v>
      </c>
    </row>
    <row r="6385" customFormat="false" ht="14.4" hidden="true" customHeight="false" outlineLevel="0" collapsed="false">
      <c r="A6385" s="34" t="n">
        <v>1869770000138</v>
      </c>
      <c r="B6385" s="34" t="s">
        <v>14060</v>
      </c>
      <c r="C6385" s="34" t="s">
        <v>342</v>
      </c>
      <c r="E6385" s="30" t="s">
        <v>14061</v>
      </c>
      <c r="F6385" s="34" t="n">
        <f aca="false">IFERROR(VLOOKUP($A6385,'319'!$B:$H,7,0),0)</f>
        <v>0</v>
      </c>
      <c r="G6385" s="34" t="n">
        <f aca="false">SUMIFS('12.326ana'!$C:$C,'12.326ana'!$M:$M,redes!A6385)</f>
        <v>0</v>
      </c>
    </row>
    <row r="6386" customFormat="false" ht="14.4" hidden="true" customHeight="false" outlineLevel="0" collapsed="false">
      <c r="A6386" s="34" t="n">
        <v>1869773000171</v>
      </c>
      <c r="B6386" s="34" t="s">
        <v>14062</v>
      </c>
      <c r="C6386" s="34" t="s">
        <v>127</v>
      </c>
      <c r="E6386" s="30" t="s">
        <v>14063</v>
      </c>
      <c r="F6386" s="34" t="n">
        <f aca="false">IFERROR(VLOOKUP($A6386,'319'!$B:$H,7,0),0)</f>
        <v>0</v>
      </c>
      <c r="G6386" s="34" t="n">
        <f aca="false">SUMIFS('12.326ana'!$C:$C,'12.326ana'!$M:$M,redes!A6386)</f>
        <v>0</v>
      </c>
    </row>
    <row r="6387" customFormat="false" ht="14.4" hidden="true" customHeight="false" outlineLevel="0" collapsed="false">
      <c r="A6387" s="34" t="n">
        <v>1869847000170</v>
      </c>
      <c r="B6387" s="34" t="s">
        <v>14064</v>
      </c>
      <c r="C6387" s="34" t="s">
        <v>107</v>
      </c>
      <c r="E6387" s="30" t="s">
        <v>14065</v>
      </c>
      <c r="F6387" s="34" t="n">
        <f aca="false">IFERROR(VLOOKUP($A6387,'319'!$B:$H,7,0),0)</f>
        <v>0</v>
      </c>
      <c r="G6387" s="34" t="n">
        <f aca="false">SUMIFS('12.326ana'!$C:$C,'12.326ana'!$M:$M,redes!A6387)</f>
        <v>0</v>
      </c>
    </row>
    <row r="6388" customFormat="false" ht="14.4" hidden="true" customHeight="false" outlineLevel="0" collapsed="false">
      <c r="A6388" s="34" t="n">
        <v>1872033000194</v>
      </c>
      <c r="B6388" s="34" t="s">
        <v>14066</v>
      </c>
      <c r="C6388" s="34" t="s">
        <v>594</v>
      </c>
      <c r="E6388" s="30" t="s">
        <v>14067</v>
      </c>
      <c r="F6388" s="34" t="n">
        <f aca="false">IFERROR(VLOOKUP($A6388,'319'!$B:$H,7,0),0)</f>
        <v>0</v>
      </c>
      <c r="G6388" s="34" t="n">
        <f aca="false">SUMIFS('12.326ana'!$C:$C,'12.326ana'!$M:$M,redes!A6388)</f>
        <v>0</v>
      </c>
    </row>
    <row r="6389" customFormat="false" ht="14.4" hidden="true" customHeight="false" outlineLevel="0" collapsed="false">
      <c r="A6389" s="34" t="n">
        <v>1872638000185</v>
      </c>
      <c r="B6389" s="34" t="s">
        <v>14068</v>
      </c>
      <c r="C6389" s="34" t="s">
        <v>192</v>
      </c>
      <c r="E6389" s="30" t="s">
        <v>14069</v>
      </c>
      <c r="F6389" s="34" t="n">
        <f aca="false">IFERROR(VLOOKUP($A6389,'319'!$B:$H,7,0),0)</f>
        <v>0</v>
      </c>
      <c r="G6389" s="34" t="n">
        <f aca="false">SUMIFS('12.326ana'!$C:$C,'12.326ana'!$M:$M,redes!A6389)</f>
        <v>0</v>
      </c>
    </row>
    <row r="6390" customFormat="false" ht="14.4" hidden="true" customHeight="false" outlineLevel="0" collapsed="false">
      <c r="A6390" s="34" t="n">
        <v>1872642000143</v>
      </c>
      <c r="B6390" s="34" t="s">
        <v>14070</v>
      </c>
      <c r="C6390" s="34" t="s">
        <v>342</v>
      </c>
      <c r="E6390" s="30" t="s">
        <v>14071</v>
      </c>
      <c r="F6390" s="34" t="n">
        <f aca="false">IFERROR(VLOOKUP($A6390,'319'!$B:$H,7,0),0)</f>
        <v>0</v>
      </c>
      <c r="G6390" s="34" t="n">
        <f aca="false">SUMIFS('12.326ana'!$C:$C,'12.326ana'!$M:$M,redes!A6390)</f>
        <v>0</v>
      </c>
    </row>
    <row r="6391" customFormat="false" ht="14.4" hidden="true" customHeight="false" outlineLevel="0" collapsed="false">
      <c r="A6391" s="34" t="n">
        <v>1878521000109</v>
      </c>
      <c r="B6391" s="34" t="s">
        <v>14072</v>
      </c>
      <c r="C6391" s="34" t="s">
        <v>478</v>
      </c>
      <c r="E6391" s="30" t="s">
        <v>14073</v>
      </c>
      <c r="F6391" s="34" t="n">
        <f aca="false">IFERROR(VLOOKUP($A6391,'319'!$B:$H,7,0),0)</f>
        <v>0</v>
      </c>
      <c r="G6391" s="34" t="n">
        <f aca="false">SUMIFS('12.326ana'!$C:$C,'12.326ana'!$M:$M,redes!A6391)</f>
        <v>0</v>
      </c>
    </row>
    <row r="6392" customFormat="false" ht="14.4" hidden="true" customHeight="false" outlineLevel="0" collapsed="false">
      <c r="A6392" s="34" t="n">
        <v>1878530000108</v>
      </c>
      <c r="B6392" s="34" t="s">
        <v>14074</v>
      </c>
      <c r="C6392" s="34" t="s">
        <v>6278</v>
      </c>
      <c r="E6392" s="30" t="s">
        <v>10056</v>
      </c>
      <c r="F6392" s="34" t="n">
        <f aca="false">IFERROR(VLOOKUP($A6392,'319'!$B:$H,7,0),0)</f>
        <v>0</v>
      </c>
      <c r="G6392" s="34" t="n">
        <f aca="false">SUMIFS('12.326ana'!$C:$C,'12.326ana'!$M:$M,redes!A6392)</f>
        <v>0</v>
      </c>
    </row>
    <row r="6393" customFormat="false" ht="14.4" hidden="true" customHeight="false" outlineLevel="0" collapsed="false">
      <c r="A6393" s="34" t="n">
        <v>1879400000181</v>
      </c>
      <c r="B6393" s="34" t="s">
        <v>14075</v>
      </c>
      <c r="C6393" s="34" t="s">
        <v>1591</v>
      </c>
      <c r="E6393" s="30" t="s">
        <v>14076</v>
      </c>
      <c r="F6393" s="34" t="n">
        <f aca="false">IFERROR(VLOOKUP($A6393,'319'!$B:$H,7,0),0)</f>
        <v>0</v>
      </c>
      <c r="G6393" s="34" t="n">
        <f aca="false">SUMIFS('12.326ana'!$C:$C,'12.326ana'!$M:$M,redes!A6393)</f>
        <v>0</v>
      </c>
    </row>
    <row r="6394" customFormat="false" ht="14.4" hidden="true" customHeight="false" outlineLevel="0" collapsed="false">
      <c r="A6394" s="34" t="n">
        <v>1879401000126</v>
      </c>
      <c r="B6394" s="34" t="s">
        <v>14077</v>
      </c>
      <c r="C6394" s="34" t="s">
        <v>881</v>
      </c>
      <c r="E6394" s="30" t="s">
        <v>14078</v>
      </c>
      <c r="F6394" s="34" t="n">
        <f aca="false">IFERROR(VLOOKUP($A6394,'319'!$B:$H,7,0),0)</f>
        <v>0</v>
      </c>
      <c r="G6394" s="34" t="n">
        <f aca="false">SUMIFS('12.326ana'!$C:$C,'12.326ana'!$M:$M,redes!A6394)</f>
        <v>0</v>
      </c>
    </row>
    <row r="6395" customFormat="false" ht="14.4" hidden="true" customHeight="false" outlineLevel="0" collapsed="false">
      <c r="A6395" s="34" t="n">
        <v>1881059000107</v>
      </c>
      <c r="B6395" s="34" t="s">
        <v>14079</v>
      </c>
      <c r="C6395" s="34" t="s">
        <v>706</v>
      </c>
      <c r="E6395" s="30" t="s">
        <v>14080</v>
      </c>
      <c r="F6395" s="34" t="n">
        <f aca="false">IFERROR(VLOOKUP($A6395,'319'!$B:$H,7,0),0)</f>
        <v>0</v>
      </c>
      <c r="G6395" s="34" t="n">
        <f aca="false">SUMIFS('12.326ana'!$C:$C,'12.326ana'!$M:$M,redes!A6395)</f>
        <v>0</v>
      </c>
    </row>
    <row r="6396" customFormat="false" ht="14.4" hidden="true" customHeight="false" outlineLevel="0" collapsed="false">
      <c r="A6396" s="34" t="n">
        <v>1885682000120</v>
      </c>
      <c r="B6396" s="34" t="s">
        <v>14081</v>
      </c>
      <c r="C6396" s="34" t="s">
        <v>804</v>
      </c>
      <c r="E6396" s="30" t="s">
        <v>14082</v>
      </c>
      <c r="F6396" s="34" t="n">
        <f aca="false">IFERROR(VLOOKUP($A6396,'319'!$B:$H,7,0),0)</f>
        <v>0</v>
      </c>
      <c r="G6396" s="34" t="n">
        <f aca="false">SUMIFS('12.326ana'!$C:$C,'12.326ana'!$M:$M,redes!A6396)</f>
        <v>0</v>
      </c>
    </row>
    <row r="6397" customFormat="false" ht="14.4" hidden="true" customHeight="false" outlineLevel="0" collapsed="false">
      <c r="A6397" s="34" t="n">
        <v>1885696000143</v>
      </c>
      <c r="B6397" s="34" t="s">
        <v>14083</v>
      </c>
      <c r="C6397" s="34" t="s">
        <v>77</v>
      </c>
      <c r="E6397" s="30" t="s">
        <v>14084</v>
      </c>
      <c r="F6397" s="34" t="n">
        <f aca="false">IFERROR(VLOOKUP($A6397,'319'!$B:$H,7,0),0)</f>
        <v>0</v>
      </c>
      <c r="G6397" s="34" t="n">
        <f aca="false">SUMIFS('12.326ana'!$C:$C,'12.326ana'!$M:$M,redes!A6397)</f>
        <v>0</v>
      </c>
    </row>
    <row r="6398" customFormat="false" ht="14.4" hidden="true" customHeight="false" outlineLevel="0" collapsed="false">
      <c r="A6398" s="34" t="n">
        <v>1886628000107</v>
      </c>
      <c r="B6398" s="34" t="s">
        <v>14085</v>
      </c>
      <c r="C6398" s="34" t="s">
        <v>463</v>
      </c>
      <c r="D6398" s="34" t="s">
        <v>5602</v>
      </c>
      <c r="E6398" s="30" t="s">
        <v>7103</v>
      </c>
      <c r="F6398" s="34" t="n">
        <f aca="false">IFERROR(VLOOKUP($A6398,'319'!$B:$H,7,0),0)</f>
        <v>0</v>
      </c>
      <c r="G6398" s="34" t="n">
        <f aca="false">SUMIFS('12.326ana'!$C:$C,'12.326ana'!$M:$M,redes!A6398)</f>
        <v>0</v>
      </c>
    </row>
    <row r="6399" customFormat="false" ht="14.4" hidden="true" customHeight="false" outlineLevel="0" collapsed="false">
      <c r="A6399" s="34" t="n">
        <v>1886629000143</v>
      </c>
      <c r="B6399" s="34" t="s">
        <v>14086</v>
      </c>
      <c r="C6399" s="34" t="s">
        <v>197</v>
      </c>
      <c r="E6399" s="30" t="s">
        <v>9030</v>
      </c>
      <c r="F6399" s="34" t="n">
        <f aca="false">IFERROR(VLOOKUP($A6399,'319'!$B:$H,7,0),0)</f>
        <v>0</v>
      </c>
      <c r="G6399" s="34" t="n">
        <f aca="false">SUMIFS('12.326ana'!$C:$C,'12.326ana'!$M:$M,redes!A6399)</f>
        <v>0</v>
      </c>
    </row>
    <row r="6400" customFormat="false" ht="14.4" hidden="true" customHeight="false" outlineLevel="0" collapsed="false">
      <c r="A6400" s="34" t="n">
        <v>1888785000143</v>
      </c>
      <c r="B6400" s="34" t="s">
        <v>14087</v>
      </c>
      <c r="C6400" s="34" t="s">
        <v>357</v>
      </c>
      <c r="E6400" s="30" t="s">
        <v>14088</v>
      </c>
      <c r="F6400" s="34" t="n">
        <f aca="false">IFERROR(VLOOKUP($A6400,'319'!$B:$H,7,0),0)</f>
        <v>0</v>
      </c>
      <c r="G6400" s="34" t="n">
        <f aca="false">SUMIFS('12.326ana'!$C:$C,'12.326ana'!$M:$M,redes!A6400)</f>
        <v>0</v>
      </c>
    </row>
    <row r="6401" customFormat="false" ht="14.4" hidden="true" customHeight="false" outlineLevel="0" collapsed="false">
      <c r="A6401" s="34" t="n">
        <v>1888787000132</v>
      </c>
      <c r="B6401" s="34" t="s">
        <v>14089</v>
      </c>
      <c r="C6401" s="34" t="s">
        <v>77</v>
      </c>
      <c r="E6401" s="30" t="s">
        <v>14090</v>
      </c>
      <c r="F6401" s="34" t="n">
        <f aca="false">IFERROR(VLOOKUP($A6401,'319'!$B:$H,7,0),0)</f>
        <v>0</v>
      </c>
      <c r="G6401" s="34" t="n">
        <f aca="false">SUMIFS('12.326ana'!$C:$C,'12.326ana'!$M:$M,redes!A6401)</f>
        <v>0</v>
      </c>
    </row>
    <row r="6402" customFormat="false" ht="14.4" hidden="true" customHeight="false" outlineLevel="0" collapsed="false">
      <c r="A6402" s="34" t="n">
        <v>1889136000167</v>
      </c>
      <c r="B6402" s="34" t="s">
        <v>14091</v>
      </c>
      <c r="C6402" s="34" t="s">
        <v>77</v>
      </c>
      <c r="E6402" s="30" t="s">
        <v>14092</v>
      </c>
      <c r="F6402" s="34" t="n">
        <f aca="false">IFERROR(VLOOKUP($A6402,'319'!$B:$H,7,0),0)</f>
        <v>0</v>
      </c>
      <c r="G6402" s="34" t="n">
        <f aca="false">SUMIFS('12.326ana'!$C:$C,'12.326ana'!$M:$M,redes!A6402)</f>
        <v>0</v>
      </c>
    </row>
    <row r="6403" customFormat="false" ht="14.4" hidden="true" customHeight="false" outlineLevel="0" collapsed="false">
      <c r="A6403" s="34" t="n">
        <v>1895188000308</v>
      </c>
      <c r="B6403" s="34" t="s">
        <v>14093</v>
      </c>
      <c r="C6403" s="34" t="s">
        <v>14094</v>
      </c>
      <c r="E6403" s="30" t="s">
        <v>14095</v>
      </c>
      <c r="F6403" s="34" t="n">
        <f aca="false">IFERROR(VLOOKUP($A6403,'319'!$B:$H,7,0),0)</f>
        <v>0</v>
      </c>
      <c r="G6403" s="34" t="n">
        <f aca="false">SUMIFS('12.326ana'!$C:$C,'12.326ana'!$M:$M,redes!A6403)</f>
        <v>0</v>
      </c>
    </row>
    <row r="6404" customFormat="false" ht="14.4" hidden="true" customHeight="false" outlineLevel="0" collapsed="false">
      <c r="A6404" s="34" t="n">
        <v>1895188000812</v>
      </c>
      <c r="B6404" s="34" t="s">
        <v>14096</v>
      </c>
      <c r="C6404" s="34" t="s">
        <v>14094</v>
      </c>
      <c r="E6404" s="30" t="s">
        <v>14097</v>
      </c>
      <c r="F6404" s="34" t="n">
        <f aca="false">IFERROR(VLOOKUP($A6404,'319'!$B:$H,7,0),0)</f>
        <v>0</v>
      </c>
      <c r="G6404" s="34" t="n">
        <f aca="false">SUMIFS('12.326ana'!$C:$C,'12.326ana'!$M:$M,redes!A6404)</f>
        <v>0</v>
      </c>
    </row>
    <row r="6405" customFormat="false" ht="14.4" hidden="true" customHeight="false" outlineLevel="0" collapsed="false">
      <c r="A6405" s="34" t="n">
        <v>1896070000132</v>
      </c>
      <c r="B6405" s="34" t="s">
        <v>14098</v>
      </c>
      <c r="C6405" s="34" t="s">
        <v>14094</v>
      </c>
      <c r="E6405" s="30" t="s">
        <v>3066</v>
      </c>
      <c r="F6405" s="34" t="n">
        <f aca="false">IFERROR(VLOOKUP($A6405,'319'!$B:$H,7,0),0)</f>
        <v>0</v>
      </c>
      <c r="G6405" s="34" t="n">
        <f aca="false">SUMIFS('12.326ana'!$C:$C,'12.326ana'!$M:$M,redes!A6405)</f>
        <v>0</v>
      </c>
    </row>
    <row r="6406" customFormat="false" ht="14.4" hidden="true" customHeight="false" outlineLevel="0" collapsed="false">
      <c r="A6406" s="34" t="n">
        <v>1904535000150</v>
      </c>
      <c r="B6406" s="34" t="s">
        <v>14099</v>
      </c>
      <c r="C6406" s="34" t="s">
        <v>139</v>
      </c>
      <c r="E6406" s="30" t="s">
        <v>14100</v>
      </c>
      <c r="F6406" s="34" t="n">
        <f aca="false">IFERROR(VLOOKUP($A6406,'319'!$B:$H,7,0),0)</f>
        <v>0</v>
      </c>
      <c r="G6406" s="34" t="n">
        <f aca="false">SUMIFS('12.326ana'!$C:$C,'12.326ana'!$M:$M,redes!A6406)</f>
        <v>0</v>
      </c>
    </row>
    <row r="6407" customFormat="false" ht="14.4" hidden="true" customHeight="false" outlineLevel="0" collapsed="false">
      <c r="A6407" s="34" t="n">
        <v>1911537000176</v>
      </c>
      <c r="B6407" s="34" t="s">
        <v>6065</v>
      </c>
      <c r="C6407" s="34" t="s">
        <v>4156</v>
      </c>
      <c r="E6407" s="30" t="s">
        <v>14101</v>
      </c>
      <c r="F6407" s="34" t="n">
        <f aca="false">IFERROR(VLOOKUP($A6407,'319'!$B:$H,7,0),0)</f>
        <v>0</v>
      </c>
      <c r="G6407" s="34" t="n">
        <f aca="false">SUMIFS('12.326ana'!$C:$C,'12.326ana'!$M:$M,redes!A6407)</f>
        <v>0</v>
      </c>
    </row>
    <row r="6408" customFormat="false" ht="14.4" hidden="true" customHeight="false" outlineLevel="0" collapsed="false">
      <c r="A6408" s="34" t="n">
        <v>1914252000199</v>
      </c>
      <c r="B6408" s="34" t="s">
        <v>14102</v>
      </c>
      <c r="C6408" s="34" t="s">
        <v>631</v>
      </c>
      <c r="E6408" s="30" t="s">
        <v>14103</v>
      </c>
      <c r="F6408" s="34" t="n">
        <f aca="false">IFERROR(VLOOKUP($A6408,'319'!$B:$H,7,0),0)</f>
        <v>0</v>
      </c>
      <c r="G6408" s="34" t="n">
        <f aca="false">SUMIFS('12.326ana'!$C:$C,'12.326ana'!$M:$M,redes!A6408)</f>
        <v>0</v>
      </c>
    </row>
    <row r="6409" customFormat="false" ht="14.4" hidden="true" customHeight="false" outlineLevel="0" collapsed="false">
      <c r="A6409" s="34" t="n">
        <v>1914368000128</v>
      </c>
      <c r="B6409" s="34" t="s">
        <v>14104</v>
      </c>
      <c r="C6409" s="34" t="s">
        <v>4462</v>
      </c>
      <c r="E6409" s="30" t="s">
        <v>14105</v>
      </c>
      <c r="F6409" s="34" t="n">
        <f aca="false">IFERROR(VLOOKUP($A6409,'319'!$B:$H,7,0),0)</f>
        <v>0</v>
      </c>
      <c r="G6409" s="34" t="n">
        <f aca="false">SUMIFS('12.326ana'!$C:$C,'12.326ana'!$M:$M,redes!A6409)</f>
        <v>0</v>
      </c>
    </row>
    <row r="6410" customFormat="false" ht="14.4" hidden="true" customHeight="false" outlineLevel="0" collapsed="false">
      <c r="A6410" s="34" t="n">
        <v>1914374000185</v>
      </c>
      <c r="B6410" s="34" t="s">
        <v>1248</v>
      </c>
      <c r="C6410" s="34" t="s">
        <v>77</v>
      </c>
      <c r="E6410" s="30" t="s">
        <v>14106</v>
      </c>
      <c r="F6410" s="34" t="n">
        <f aca="false">IFERROR(VLOOKUP($A6410,'319'!$B:$H,7,0),0)</f>
        <v>290.16</v>
      </c>
      <c r="G6410" s="34" t="n">
        <f aca="false">SUMIFS('12.326ana'!$C:$C,'12.326ana'!$M:$M,redes!A6410)</f>
        <v>0</v>
      </c>
    </row>
    <row r="6411" customFormat="false" ht="14.4" hidden="true" customHeight="false" outlineLevel="0" collapsed="false">
      <c r="A6411" s="34" t="n">
        <v>1914733000102</v>
      </c>
      <c r="B6411" s="34" t="s">
        <v>14107</v>
      </c>
      <c r="C6411" s="34" t="s">
        <v>107</v>
      </c>
      <c r="E6411" s="30" t="s">
        <v>14108</v>
      </c>
      <c r="F6411" s="34" t="n">
        <f aca="false">IFERROR(VLOOKUP($A6411,'319'!$B:$H,7,0),0)</f>
        <v>0</v>
      </c>
      <c r="G6411" s="34" t="n">
        <f aca="false">SUMIFS('12.326ana'!$C:$C,'12.326ana'!$M:$M,redes!A6411)</f>
        <v>0</v>
      </c>
    </row>
    <row r="6412" customFormat="false" ht="14.4" hidden="true" customHeight="false" outlineLevel="0" collapsed="false">
      <c r="A6412" s="34" t="n">
        <v>1916184000105</v>
      </c>
      <c r="B6412" s="34" t="s">
        <v>14109</v>
      </c>
      <c r="C6412" s="34" t="s">
        <v>848</v>
      </c>
      <c r="E6412" s="30" t="s">
        <v>14110</v>
      </c>
      <c r="F6412" s="34" t="n">
        <f aca="false">IFERROR(VLOOKUP($A6412,'319'!$B:$H,7,0),0)</f>
        <v>0</v>
      </c>
      <c r="G6412" s="34" t="n">
        <f aca="false">SUMIFS('12.326ana'!$C:$C,'12.326ana'!$M:$M,redes!A6412)</f>
        <v>0</v>
      </c>
    </row>
    <row r="6413" customFormat="false" ht="14.4" hidden="true" customHeight="false" outlineLevel="0" collapsed="false">
      <c r="A6413" s="34" t="n">
        <v>1916187000130</v>
      </c>
      <c r="B6413" s="34" t="s">
        <v>14111</v>
      </c>
      <c r="C6413" s="34" t="s">
        <v>4139</v>
      </c>
      <c r="E6413" s="30" t="s">
        <v>14112</v>
      </c>
      <c r="F6413" s="34" t="n">
        <f aca="false">IFERROR(VLOOKUP($A6413,'319'!$B:$H,7,0),0)</f>
        <v>0</v>
      </c>
      <c r="G6413" s="34" t="n">
        <f aca="false">SUMIFS('12.326ana'!$C:$C,'12.326ana'!$M:$M,redes!A6413)</f>
        <v>0</v>
      </c>
    </row>
    <row r="6414" customFormat="false" ht="14.4" hidden="true" customHeight="false" outlineLevel="0" collapsed="false">
      <c r="A6414" s="34" t="n">
        <v>1917661000149</v>
      </c>
      <c r="B6414" s="34" t="s">
        <v>14113</v>
      </c>
      <c r="C6414" s="34" t="s">
        <v>77</v>
      </c>
      <c r="E6414" s="30" t="s">
        <v>14114</v>
      </c>
      <c r="F6414" s="34" t="n">
        <f aca="false">IFERROR(VLOOKUP($A6414,'319'!$B:$H,7,0),0)</f>
        <v>0</v>
      </c>
      <c r="G6414" s="34" t="n">
        <f aca="false">SUMIFS('12.326ana'!$C:$C,'12.326ana'!$M:$M,redes!A6414)</f>
        <v>0</v>
      </c>
    </row>
    <row r="6415" customFormat="false" ht="14.4" hidden="true" customHeight="false" outlineLevel="0" collapsed="false">
      <c r="A6415" s="34" t="n">
        <v>1920579000173</v>
      </c>
      <c r="B6415" s="34" t="s">
        <v>14115</v>
      </c>
      <c r="C6415" s="34" t="s">
        <v>77</v>
      </c>
      <c r="E6415" s="30" t="s">
        <v>14116</v>
      </c>
      <c r="F6415" s="34" t="n">
        <f aca="false">IFERROR(VLOOKUP($A6415,'319'!$B:$H,7,0),0)</f>
        <v>0</v>
      </c>
      <c r="G6415" s="34" t="n">
        <f aca="false">SUMIFS('12.326ana'!$C:$C,'12.326ana'!$M:$M,redes!A6415)</f>
        <v>0</v>
      </c>
    </row>
    <row r="6416" customFormat="false" ht="14.4" hidden="true" customHeight="false" outlineLevel="0" collapsed="false">
      <c r="A6416" s="34" t="n">
        <v>1920590000133</v>
      </c>
      <c r="B6416" s="34" t="s">
        <v>14117</v>
      </c>
      <c r="C6416" s="34" t="s">
        <v>336</v>
      </c>
      <c r="E6416" s="30" t="s">
        <v>14118</v>
      </c>
      <c r="F6416" s="34" t="n">
        <f aca="false">IFERROR(VLOOKUP($A6416,'319'!$B:$H,7,0),0)</f>
        <v>0</v>
      </c>
      <c r="G6416" s="34" t="n">
        <f aca="false">SUMIFS('12.326ana'!$C:$C,'12.326ana'!$M:$M,redes!A6416)</f>
        <v>0</v>
      </c>
    </row>
    <row r="6417" customFormat="false" ht="14.4" hidden="true" customHeight="false" outlineLevel="0" collapsed="false">
      <c r="A6417" s="34" t="n">
        <v>1924455000166</v>
      </c>
      <c r="B6417" s="34" t="s">
        <v>14119</v>
      </c>
      <c r="C6417" s="34" t="s">
        <v>77</v>
      </c>
      <c r="E6417" s="30" t="s">
        <v>14120</v>
      </c>
      <c r="F6417" s="34" t="n">
        <f aca="false">IFERROR(VLOOKUP($A6417,'319'!$B:$H,7,0),0)</f>
        <v>0</v>
      </c>
      <c r="G6417" s="34" t="n">
        <f aca="false">SUMIFS('12.326ana'!$C:$C,'12.326ana'!$M:$M,redes!A6417)</f>
        <v>0</v>
      </c>
    </row>
    <row r="6418" customFormat="false" ht="14.4" hidden="true" customHeight="false" outlineLevel="0" collapsed="false">
      <c r="A6418" s="34" t="n">
        <v>1924521000106</v>
      </c>
      <c r="B6418" s="34" t="s">
        <v>6857</v>
      </c>
      <c r="C6418" s="34" t="s">
        <v>309</v>
      </c>
      <c r="E6418" s="30" t="s">
        <v>14121</v>
      </c>
      <c r="F6418" s="34" t="n">
        <f aca="false">IFERROR(VLOOKUP($A6418,'319'!$B:$H,7,0),0)</f>
        <v>0</v>
      </c>
      <c r="G6418" s="34" t="n">
        <f aca="false">SUMIFS('12.326ana'!$C:$C,'12.326ana'!$M:$M,redes!A6418)</f>
        <v>0</v>
      </c>
    </row>
    <row r="6419" customFormat="false" ht="14.4" hidden="true" customHeight="false" outlineLevel="0" collapsed="false">
      <c r="A6419" s="34" t="n">
        <v>1925205000140</v>
      </c>
      <c r="B6419" s="34" t="s">
        <v>14122</v>
      </c>
      <c r="C6419" s="34" t="s">
        <v>107</v>
      </c>
      <c r="E6419" s="30" t="s">
        <v>14123</v>
      </c>
      <c r="F6419" s="34" t="n">
        <f aca="false">IFERROR(VLOOKUP($A6419,'319'!$B:$H,7,0),0)</f>
        <v>0</v>
      </c>
      <c r="G6419" s="34" t="n">
        <f aca="false">SUMIFS('12.326ana'!$C:$C,'12.326ana'!$M:$M,redes!A6419)</f>
        <v>0</v>
      </c>
    </row>
    <row r="6420" customFormat="false" ht="14.4" hidden="true" customHeight="false" outlineLevel="0" collapsed="false">
      <c r="A6420" s="34" t="n">
        <v>1926971000120</v>
      </c>
      <c r="B6420" s="34" t="s">
        <v>14124</v>
      </c>
      <c r="C6420" s="34" t="s">
        <v>299</v>
      </c>
      <c r="E6420" s="30" t="s">
        <v>13616</v>
      </c>
      <c r="F6420" s="34" t="n">
        <f aca="false">IFERROR(VLOOKUP($A6420,'319'!$B:$H,7,0),0)</f>
        <v>0</v>
      </c>
      <c r="G6420" s="34" t="n">
        <f aca="false">SUMIFS('12.326ana'!$C:$C,'12.326ana'!$M:$M,redes!A6420)</f>
        <v>0</v>
      </c>
    </row>
    <row r="6421" customFormat="false" ht="14.4" hidden="true" customHeight="false" outlineLevel="0" collapsed="false">
      <c r="A6421" s="34" t="n">
        <v>1929066000123</v>
      </c>
      <c r="B6421" s="34" t="s">
        <v>14125</v>
      </c>
      <c r="C6421" s="34" t="s">
        <v>309</v>
      </c>
      <c r="E6421" s="30" t="s">
        <v>14126</v>
      </c>
      <c r="F6421" s="34" t="n">
        <f aca="false">IFERROR(VLOOKUP($A6421,'319'!$B:$H,7,0),0)</f>
        <v>0</v>
      </c>
      <c r="G6421" s="34" t="n">
        <f aca="false">SUMIFS('12.326ana'!$C:$C,'12.326ana'!$M:$M,redes!A6421)</f>
        <v>0</v>
      </c>
    </row>
    <row r="6422" customFormat="false" ht="14.4" hidden="true" customHeight="false" outlineLevel="0" collapsed="false">
      <c r="A6422" s="34" t="n">
        <v>1929199000108</v>
      </c>
      <c r="B6422" s="34" t="s">
        <v>14127</v>
      </c>
      <c r="C6422" s="34" t="s">
        <v>107</v>
      </c>
      <c r="E6422" s="30" t="s">
        <v>3001</v>
      </c>
      <c r="F6422" s="34" t="n">
        <f aca="false">IFERROR(VLOOKUP($A6422,'319'!$B:$H,7,0),0)</f>
        <v>0</v>
      </c>
      <c r="G6422" s="34" t="n">
        <f aca="false">SUMIFS('12.326ana'!$C:$C,'12.326ana'!$M:$M,redes!A6422)</f>
        <v>0</v>
      </c>
    </row>
    <row r="6423" customFormat="false" ht="14.4" hidden="true" customHeight="false" outlineLevel="0" collapsed="false">
      <c r="A6423" s="34" t="n">
        <v>1929264000197</v>
      </c>
      <c r="B6423" s="34" t="s">
        <v>14128</v>
      </c>
      <c r="C6423" s="34" t="s">
        <v>89</v>
      </c>
      <c r="E6423" s="30" t="s">
        <v>14129</v>
      </c>
      <c r="F6423" s="34" t="n">
        <f aca="false">IFERROR(VLOOKUP($A6423,'319'!$B:$H,7,0),0)</f>
        <v>0</v>
      </c>
      <c r="G6423" s="34" t="n">
        <f aca="false">SUMIFS('12.326ana'!$C:$C,'12.326ana'!$M:$M,redes!A6423)</f>
        <v>0</v>
      </c>
    </row>
    <row r="6424" customFormat="false" ht="14.4" hidden="true" customHeight="false" outlineLevel="0" collapsed="false">
      <c r="A6424" s="34" t="n">
        <v>1929876000180</v>
      </c>
      <c r="B6424" s="34" t="s">
        <v>14130</v>
      </c>
      <c r="C6424" s="34" t="s">
        <v>77</v>
      </c>
      <c r="E6424" s="30" t="s">
        <v>14131</v>
      </c>
      <c r="F6424" s="34" t="n">
        <f aca="false">IFERROR(VLOOKUP($A6424,'319'!$B:$H,7,0),0)</f>
        <v>0</v>
      </c>
      <c r="G6424" s="34" t="n">
        <f aca="false">SUMIFS('12.326ana'!$C:$C,'12.326ana'!$M:$M,redes!A6424)</f>
        <v>0</v>
      </c>
    </row>
    <row r="6425" customFormat="false" ht="14.4" hidden="true" customHeight="false" outlineLevel="0" collapsed="false">
      <c r="A6425" s="34" t="n">
        <v>1930425000162</v>
      </c>
      <c r="B6425" s="34" t="s">
        <v>14132</v>
      </c>
      <c r="C6425" s="34" t="s">
        <v>77</v>
      </c>
      <c r="E6425" s="30" t="s">
        <v>14133</v>
      </c>
      <c r="F6425" s="34" t="n">
        <f aca="false">IFERROR(VLOOKUP($A6425,'319'!$B:$H,7,0),0)</f>
        <v>0</v>
      </c>
      <c r="G6425" s="34" t="n">
        <f aca="false">SUMIFS('12.326ana'!$C:$C,'12.326ana'!$M:$M,redes!A6425)</f>
        <v>0</v>
      </c>
    </row>
    <row r="6426" customFormat="false" ht="14.4" hidden="true" customHeight="false" outlineLevel="0" collapsed="false">
      <c r="A6426" s="34" t="n">
        <v>1930544000115</v>
      </c>
      <c r="B6426" s="34" t="s">
        <v>14134</v>
      </c>
      <c r="C6426" s="34" t="s">
        <v>77</v>
      </c>
      <c r="E6426" s="30" t="s">
        <v>14135</v>
      </c>
      <c r="F6426" s="34" t="n">
        <f aca="false">IFERROR(VLOOKUP($A6426,'319'!$B:$H,7,0),0)</f>
        <v>0</v>
      </c>
      <c r="G6426" s="34" t="n">
        <f aca="false">SUMIFS('12.326ana'!$C:$C,'12.326ana'!$M:$M,redes!A6426)</f>
        <v>0</v>
      </c>
    </row>
    <row r="6427" customFormat="false" ht="14.4" hidden="true" customHeight="false" outlineLevel="0" collapsed="false">
      <c r="A6427" s="34" t="n">
        <v>1932219000191</v>
      </c>
      <c r="B6427" s="34" t="s">
        <v>14136</v>
      </c>
      <c r="C6427" s="34" t="s">
        <v>631</v>
      </c>
      <c r="E6427" s="30" t="s">
        <v>14137</v>
      </c>
      <c r="F6427" s="34" t="n">
        <f aca="false">IFERROR(VLOOKUP($A6427,'319'!$B:$H,7,0),0)</f>
        <v>0</v>
      </c>
      <c r="G6427" s="34" t="n">
        <f aca="false">SUMIFS('12.326ana'!$C:$C,'12.326ana'!$M:$M,redes!A6427)</f>
        <v>0</v>
      </c>
    </row>
    <row r="6428" customFormat="false" ht="14.4" hidden="true" customHeight="false" outlineLevel="0" collapsed="false">
      <c r="A6428" s="34" t="n">
        <v>1932524000183</v>
      </c>
      <c r="B6428" s="34" t="s">
        <v>14138</v>
      </c>
      <c r="C6428" s="34" t="s">
        <v>77</v>
      </c>
      <c r="E6428" s="30" t="s">
        <v>14139</v>
      </c>
      <c r="F6428" s="34" t="n">
        <f aca="false">IFERROR(VLOOKUP($A6428,'319'!$B:$H,7,0),0)</f>
        <v>0</v>
      </c>
      <c r="G6428" s="34" t="n">
        <f aca="false">SUMIFS('12.326ana'!$C:$C,'12.326ana'!$M:$M,redes!A6428)</f>
        <v>0</v>
      </c>
    </row>
    <row r="6429" customFormat="false" ht="14.4" hidden="true" customHeight="false" outlineLevel="0" collapsed="false">
      <c r="A6429" s="34" t="n">
        <v>1932675000131</v>
      </c>
      <c r="B6429" s="34" t="s">
        <v>14140</v>
      </c>
      <c r="C6429" s="34" t="s">
        <v>2998</v>
      </c>
      <c r="E6429" s="30" t="s">
        <v>14140</v>
      </c>
      <c r="F6429" s="34" t="n">
        <f aca="false">IFERROR(VLOOKUP($A6429,'319'!$B:$H,7,0),0)</f>
        <v>0</v>
      </c>
      <c r="G6429" s="34" t="n">
        <f aca="false">SUMIFS('12.326ana'!$C:$C,'12.326ana'!$M:$M,redes!A6429)</f>
        <v>0</v>
      </c>
    </row>
    <row r="6430" customFormat="false" ht="14.4" hidden="true" customHeight="false" outlineLevel="0" collapsed="false">
      <c r="A6430" s="34" t="n">
        <v>1932683000188</v>
      </c>
      <c r="B6430" s="34" t="s">
        <v>14141</v>
      </c>
      <c r="C6430" s="34" t="s">
        <v>342</v>
      </c>
      <c r="E6430" s="30" t="s">
        <v>4942</v>
      </c>
      <c r="F6430" s="34" t="n">
        <f aca="false">IFERROR(VLOOKUP($A6430,'319'!$B:$H,7,0),0)</f>
        <v>0</v>
      </c>
      <c r="G6430" s="34" t="n">
        <f aca="false">SUMIFS('12.326ana'!$C:$C,'12.326ana'!$M:$M,redes!A6430)</f>
        <v>0</v>
      </c>
    </row>
    <row r="6431" customFormat="false" ht="14.4" hidden="true" customHeight="false" outlineLevel="0" collapsed="false">
      <c r="A6431" s="34" t="n">
        <v>1932722000147</v>
      </c>
      <c r="B6431" s="34" t="s">
        <v>14142</v>
      </c>
      <c r="C6431" s="34" t="s">
        <v>103</v>
      </c>
      <c r="E6431" s="30" t="s">
        <v>14143</v>
      </c>
      <c r="F6431" s="34" t="n">
        <f aca="false">IFERROR(VLOOKUP($A6431,'319'!$B:$H,7,0),0)</f>
        <v>0</v>
      </c>
      <c r="G6431" s="34" t="n">
        <f aca="false">SUMIFS('12.326ana'!$C:$C,'12.326ana'!$M:$M,redes!A6431)</f>
        <v>0</v>
      </c>
    </row>
    <row r="6432" customFormat="false" ht="14.4" hidden="true" customHeight="false" outlineLevel="0" collapsed="false">
      <c r="A6432" s="34" t="n">
        <v>1934017000189</v>
      </c>
      <c r="B6432" s="34" t="s">
        <v>14144</v>
      </c>
      <c r="C6432" s="34" t="s">
        <v>357</v>
      </c>
      <c r="E6432" s="30" t="s">
        <v>14145</v>
      </c>
      <c r="F6432" s="34" t="n">
        <f aca="false">IFERROR(VLOOKUP($A6432,'319'!$B:$H,7,0),0)</f>
        <v>0</v>
      </c>
      <c r="G6432" s="34" t="n">
        <f aca="false">SUMIFS('12.326ana'!$C:$C,'12.326ana'!$M:$M,redes!A6432)</f>
        <v>0</v>
      </c>
    </row>
    <row r="6433" customFormat="false" ht="14.4" hidden="true" customHeight="false" outlineLevel="0" collapsed="false">
      <c r="A6433" s="34" t="n">
        <v>1934039000149</v>
      </c>
      <c r="B6433" s="34" t="s">
        <v>14146</v>
      </c>
      <c r="C6433" s="34" t="s">
        <v>4829</v>
      </c>
      <c r="E6433" s="30" t="s">
        <v>14147</v>
      </c>
      <c r="F6433" s="34" t="n">
        <f aca="false">IFERROR(VLOOKUP($A6433,'319'!$B:$H,7,0),0)</f>
        <v>0</v>
      </c>
      <c r="G6433" s="34" t="n">
        <f aca="false">SUMIFS('12.326ana'!$C:$C,'12.326ana'!$M:$M,redes!A6433)</f>
        <v>0</v>
      </c>
    </row>
    <row r="6434" customFormat="false" ht="14.4" hidden="true" customHeight="false" outlineLevel="0" collapsed="false">
      <c r="A6434" s="34" t="n">
        <v>1934199000198</v>
      </c>
      <c r="B6434" s="34" t="s">
        <v>14148</v>
      </c>
      <c r="C6434" s="34" t="s">
        <v>139</v>
      </c>
      <c r="E6434" s="30" t="s">
        <v>14149</v>
      </c>
      <c r="F6434" s="34" t="n">
        <f aca="false">IFERROR(VLOOKUP($A6434,'319'!$B:$H,7,0),0)</f>
        <v>0</v>
      </c>
      <c r="G6434" s="34" t="n">
        <f aca="false">SUMIFS('12.326ana'!$C:$C,'12.326ana'!$M:$M,redes!A6434)</f>
        <v>0</v>
      </c>
    </row>
    <row r="6435" customFormat="false" ht="14.4" hidden="true" customHeight="false" outlineLevel="0" collapsed="false">
      <c r="A6435" s="34" t="n">
        <v>1935774000177</v>
      </c>
      <c r="B6435" s="34" t="s">
        <v>14150</v>
      </c>
      <c r="C6435" s="34" t="s">
        <v>357</v>
      </c>
      <c r="E6435" s="30" t="s">
        <v>14151</v>
      </c>
      <c r="F6435" s="34" t="n">
        <f aca="false">IFERROR(VLOOKUP($A6435,'319'!$B:$H,7,0),0)</f>
        <v>0</v>
      </c>
      <c r="G6435" s="34" t="n">
        <f aca="false">SUMIFS('12.326ana'!$C:$C,'12.326ana'!$M:$M,redes!A6435)</f>
        <v>0</v>
      </c>
    </row>
    <row r="6436" customFormat="false" ht="14.4" hidden="true" customHeight="false" outlineLevel="0" collapsed="false">
      <c r="A6436" s="34" t="n">
        <v>1937072000122</v>
      </c>
      <c r="B6436" s="34" t="s">
        <v>14152</v>
      </c>
      <c r="C6436" s="34" t="s">
        <v>77</v>
      </c>
      <c r="E6436" s="30" t="s">
        <v>14153</v>
      </c>
      <c r="F6436" s="34" t="n">
        <f aca="false">IFERROR(VLOOKUP($A6436,'319'!$B:$H,7,0),0)</f>
        <v>0</v>
      </c>
      <c r="G6436" s="34" t="n">
        <f aca="false">SUMIFS('12.326ana'!$C:$C,'12.326ana'!$M:$M,redes!A6436)</f>
        <v>0</v>
      </c>
    </row>
    <row r="6437" customFormat="false" ht="14.4" hidden="true" customHeight="false" outlineLevel="0" collapsed="false">
      <c r="A6437" s="34" t="n">
        <v>1937440000132</v>
      </c>
      <c r="B6437" s="34" t="s">
        <v>14154</v>
      </c>
      <c r="C6437" s="34" t="s">
        <v>14155</v>
      </c>
      <c r="E6437" s="30" t="s">
        <v>14156</v>
      </c>
      <c r="F6437" s="34" t="n">
        <f aca="false">IFERROR(VLOOKUP($A6437,'319'!$B:$H,7,0),0)</f>
        <v>0</v>
      </c>
      <c r="G6437" s="34" t="n">
        <f aca="false">SUMIFS('12.326ana'!$C:$C,'12.326ana'!$M:$M,redes!A6437)</f>
        <v>0</v>
      </c>
    </row>
    <row r="6438" customFormat="false" ht="14.4" hidden="true" customHeight="false" outlineLevel="0" collapsed="false">
      <c r="A6438" s="34" t="n">
        <v>1937663000108</v>
      </c>
      <c r="B6438" s="34" t="s">
        <v>14157</v>
      </c>
      <c r="C6438" s="34" t="s">
        <v>935</v>
      </c>
      <c r="E6438" s="30" t="s">
        <v>14158</v>
      </c>
      <c r="F6438" s="34" t="n">
        <f aca="false">IFERROR(VLOOKUP($A6438,'319'!$B:$H,7,0),0)</f>
        <v>0</v>
      </c>
      <c r="G6438" s="34" t="n">
        <f aca="false">SUMIFS('12.326ana'!$C:$C,'12.326ana'!$M:$M,redes!A6438)</f>
        <v>0</v>
      </c>
    </row>
    <row r="6439" customFormat="false" ht="14.4" hidden="true" customHeight="false" outlineLevel="0" collapsed="false">
      <c r="A6439" s="34" t="n">
        <v>1937663000280</v>
      </c>
      <c r="B6439" s="34" t="s">
        <v>14157</v>
      </c>
      <c r="C6439" s="34" t="s">
        <v>935</v>
      </c>
      <c r="E6439" s="30" t="s">
        <v>14159</v>
      </c>
      <c r="F6439" s="34" t="n">
        <f aca="false">IFERROR(VLOOKUP($A6439,'319'!$B:$H,7,0),0)</f>
        <v>0</v>
      </c>
      <c r="G6439" s="34" t="n">
        <f aca="false">SUMIFS('12.326ana'!$C:$C,'12.326ana'!$M:$M,redes!A6439)</f>
        <v>0</v>
      </c>
    </row>
    <row r="6440" customFormat="false" ht="14.4" hidden="true" customHeight="false" outlineLevel="0" collapsed="false">
      <c r="A6440" s="34" t="n">
        <v>1937705000100</v>
      </c>
      <c r="B6440" s="34" t="s">
        <v>14160</v>
      </c>
      <c r="C6440" s="34" t="s">
        <v>935</v>
      </c>
      <c r="E6440" s="30" t="s">
        <v>14161</v>
      </c>
      <c r="F6440" s="34" t="n">
        <f aca="false">IFERROR(VLOOKUP($A6440,'319'!$B:$H,7,0),0)</f>
        <v>0</v>
      </c>
      <c r="G6440" s="34" t="n">
        <f aca="false">SUMIFS('12.326ana'!$C:$C,'12.326ana'!$M:$M,redes!A6440)</f>
        <v>0</v>
      </c>
    </row>
    <row r="6441" customFormat="false" ht="14.4" hidden="true" customHeight="false" outlineLevel="0" collapsed="false">
      <c r="A6441" s="34" t="n">
        <v>1938109000137</v>
      </c>
      <c r="B6441" s="34" t="s">
        <v>14162</v>
      </c>
      <c r="C6441" s="34" t="s">
        <v>89</v>
      </c>
      <c r="E6441" s="30" t="s">
        <v>14163</v>
      </c>
      <c r="F6441" s="34" t="n">
        <f aca="false">IFERROR(VLOOKUP($A6441,'319'!$B:$H,7,0),0)</f>
        <v>0</v>
      </c>
      <c r="G6441" s="34" t="n">
        <f aca="false">SUMIFS('12.326ana'!$C:$C,'12.326ana'!$M:$M,redes!A6441)</f>
        <v>0</v>
      </c>
    </row>
    <row r="6442" customFormat="false" ht="14.4" hidden="true" customHeight="false" outlineLevel="0" collapsed="false">
      <c r="A6442" s="34" t="n">
        <v>1938125000120</v>
      </c>
      <c r="B6442" s="34" t="s">
        <v>14164</v>
      </c>
      <c r="C6442" s="34" t="s">
        <v>1591</v>
      </c>
      <c r="E6442" s="30" t="s">
        <v>14165</v>
      </c>
      <c r="F6442" s="34" t="n">
        <f aca="false">IFERROR(VLOOKUP($A6442,'319'!$B:$H,7,0),0)</f>
        <v>0</v>
      </c>
      <c r="G6442" s="34" t="n">
        <f aca="false">SUMIFS('12.326ana'!$C:$C,'12.326ana'!$M:$M,redes!A6442)</f>
        <v>0</v>
      </c>
    </row>
    <row r="6443" customFormat="false" ht="14.4" hidden="true" customHeight="false" outlineLevel="0" collapsed="false">
      <c r="A6443" s="34" t="n">
        <v>1938547000103</v>
      </c>
      <c r="B6443" s="34" t="s">
        <v>14166</v>
      </c>
      <c r="C6443" s="34" t="s">
        <v>77</v>
      </c>
      <c r="E6443" s="30" t="s">
        <v>4071</v>
      </c>
      <c r="F6443" s="34" t="n">
        <f aca="false">IFERROR(VLOOKUP($A6443,'319'!$B:$H,7,0),0)</f>
        <v>0</v>
      </c>
      <c r="G6443" s="34" t="n">
        <f aca="false">SUMIFS('12.326ana'!$C:$C,'12.326ana'!$M:$M,redes!A6443)</f>
        <v>0</v>
      </c>
    </row>
    <row r="6444" customFormat="false" ht="14.4" hidden="true" customHeight="false" outlineLevel="0" collapsed="false">
      <c r="A6444" s="34" t="n">
        <v>1938703000128</v>
      </c>
      <c r="B6444" s="34" t="s">
        <v>14167</v>
      </c>
      <c r="C6444" s="34" t="s">
        <v>77</v>
      </c>
      <c r="E6444" s="30"/>
      <c r="F6444" s="34" t="n">
        <f aca="false">IFERROR(VLOOKUP($A6444,'319'!$B:$H,7,0),0)</f>
        <v>0</v>
      </c>
      <c r="G6444" s="34" t="n">
        <f aca="false">SUMIFS('12.326ana'!$C:$C,'12.326ana'!$M:$M,redes!A6444)</f>
        <v>0</v>
      </c>
    </row>
    <row r="6445" customFormat="false" ht="14.4" hidden="true" customHeight="false" outlineLevel="0" collapsed="false">
      <c r="A6445" s="34" t="n">
        <v>1938844000140</v>
      </c>
      <c r="B6445" s="34" t="s">
        <v>14168</v>
      </c>
      <c r="C6445" s="34" t="s">
        <v>77</v>
      </c>
      <c r="E6445" s="30" t="s">
        <v>14169</v>
      </c>
      <c r="F6445" s="34" t="n">
        <f aca="false">IFERROR(VLOOKUP($A6445,'319'!$B:$H,7,0),0)</f>
        <v>0</v>
      </c>
      <c r="G6445" s="34" t="n">
        <f aca="false">SUMIFS('12.326ana'!$C:$C,'12.326ana'!$M:$M,redes!A6445)</f>
        <v>0</v>
      </c>
    </row>
    <row r="6446" customFormat="false" ht="14.4" hidden="true" customHeight="false" outlineLevel="0" collapsed="false">
      <c r="A6446" s="34" t="n">
        <v>1939420000109</v>
      </c>
      <c r="B6446" s="34" t="s">
        <v>6151</v>
      </c>
      <c r="C6446" s="34" t="s">
        <v>1272</v>
      </c>
      <c r="E6446" s="30" t="s">
        <v>14170</v>
      </c>
      <c r="F6446" s="34" t="n">
        <f aca="false">IFERROR(VLOOKUP($A6446,'319'!$B:$H,7,0),0)</f>
        <v>0</v>
      </c>
      <c r="G6446" s="34" t="n">
        <f aca="false">SUMIFS('12.326ana'!$C:$C,'12.326ana'!$M:$M,redes!A6446)</f>
        <v>0</v>
      </c>
    </row>
    <row r="6447" customFormat="false" ht="14.4" hidden="true" customHeight="false" outlineLevel="0" collapsed="false">
      <c r="A6447" s="34" t="n">
        <v>1939487000135</v>
      </c>
      <c r="B6447" s="34" t="s">
        <v>14171</v>
      </c>
      <c r="C6447" s="34" t="s">
        <v>89</v>
      </c>
      <c r="E6447" s="30" t="s">
        <v>14172</v>
      </c>
      <c r="F6447" s="34" t="n">
        <f aca="false">IFERROR(VLOOKUP($A6447,'319'!$B:$H,7,0),0)</f>
        <v>0</v>
      </c>
      <c r="G6447" s="34" t="n">
        <f aca="false">SUMIFS('12.326ana'!$C:$C,'12.326ana'!$M:$M,redes!A6447)</f>
        <v>0</v>
      </c>
    </row>
    <row r="6448" customFormat="false" ht="14.4" hidden="true" customHeight="false" outlineLevel="0" collapsed="false">
      <c r="A6448" s="34" t="n">
        <v>1939851000167</v>
      </c>
      <c r="B6448" s="34" t="s">
        <v>14173</v>
      </c>
      <c r="C6448" s="34" t="s">
        <v>197</v>
      </c>
      <c r="E6448" s="30" t="s">
        <v>14174</v>
      </c>
      <c r="F6448" s="34" t="n">
        <f aca="false">IFERROR(VLOOKUP($A6448,'319'!$B:$H,7,0),0)</f>
        <v>0</v>
      </c>
      <c r="G6448" s="34" t="n">
        <f aca="false">SUMIFS('12.326ana'!$C:$C,'12.326ana'!$M:$M,redes!A6448)</f>
        <v>0</v>
      </c>
    </row>
    <row r="6449" customFormat="false" ht="14.4" hidden="true" customHeight="false" outlineLevel="0" collapsed="false">
      <c r="A6449" s="34" t="n">
        <v>1940097000185</v>
      </c>
      <c r="B6449" s="34" t="s">
        <v>14175</v>
      </c>
      <c r="C6449" s="34" t="s">
        <v>342</v>
      </c>
      <c r="E6449" s="30" t="s">
        <v>14176</v>
      </c>
      <c r="F6449" s="34" t="n">
        <f aca="false">IFERROR(VLOOKUP($A6449,'319'!$B:$H,7,0),0)</f>
        <v>0</v>
      </c>
      <c r="G6449" s="34" t="n">
        <f aca="false">SUMIFS('12.326ana'!$C:$C,'12.326ana'!$M:$M,redes!A6449)</f>
        <v>0</v>
      </c>
    </row>
    <row r="6450" customFormat="false" ht="14.4" hidden="true" customHeight="false" outlineLevel="0" collapsed="false">
      <c r="A6450" s="34" t="n">
        <v>1940600000100</v>
      </c>
      <c r="B6450" s="34" t="s">
        <v>14177</v>
      </c>
      <c r="C6450" s="34" t="s">
        <v>1591</v>
      </c>
      <c r="E6450" s="30" t="s">
        <v>14178</v>
      </c>
      <c r="F6450" s="34" t="n">
        <f aca="false">IFERROR(VLOOKUP($A6450,'319'!$B:$H,7,0),0)</f>
        <v>0</v>
      </c>
      <c r="G6450" s="34" t="n">
        <f aca="false">SUMIFS('12.326ana'!$C:$C,'12.326ana'!$M:$M,redes!A6450)</f>
        <v>0</v>
      </c>
    </row>
    <row r="6451" customFormat="false" ht="14.4" hidden="true" customHeight="false" outlineLevel="0" collapsed="false">
      <c r="A6451" s="34" t="n">
        <v>1941715000101</v>
      </c>
      <c r="B6451" s="34" t="s">
        <v>14179</v>
      </c>
      <c r="C6451" s="34" t="s">
        <v>77</v>
      </c>
      <c r="E6451" s="30" t="s">
        <v>14180</v>
      </c>
      <c r="F6451" s="34" t="n">
        <f aca="false">IFERROR(VLOOKUP($A6451,'319'!$B:$H,7,0),0)</f>
        <v>0</v>
      </c>
      <c r="G6451" s="34" t="n">
        <f aca="false">SUMIFS('12.326ana'!$C:$C,'12.326ana'!$M:$M,redes!A6451)</f>
        <v>0</v>
      </c>
    </row>
    <row r="6452" customFormat="false" ht="14.4" hidden="true" customHeight="false" outlineLevel="0" collapsed="false">
      <c r="A6452" s="34" t="n">
        <v>1941947000160</v>
      </c>
      <c r="B6452" s="34" t="s">
        <v>14181</v>
      </c>
      <c r="C6452" s="34" t="s">
        <v>475</v>
      </c>
      <c r="E6452" s="30" t="s">
        <v>14182</v>
      </c>
      <c r="F6452" s="34" t="n">
        <f aca="false">IFERROR(VLOOKUP($A6452,'319'!$B:$H,7,0),0)</f>
        <v>0</v>
      </c>
      <c r="G6452" s="34" t="n">
        <f aca="false">SUMIFS('12.326ana'!$C:$C,'12.326ana'!$M:$M,redes!A6452)</f>
        <v>0</v>
      </c>
    </row>
    <row r="6453" customFormat="false" ht="14.4" hidden="true" customHeight="false" outlineLevel="0" collapsed="false">
      <c r="A6453" s="34" t="n">
        <v>1942254000191</v>
      </c>
      <c r="B6453" s="34" t="s">
        <v>14183</v>
      </c>
      <c r="C6453" s="34" t="s">
        <v>77</v>
      </c>
      <c r="E6453" s="30" t="s">
        <v>14184</v>
      </c>
      <c r="F6453" s="34" t="n">
        <f aca="false">IFERROR(VLOOKUP($A6453,'319'!$B:$H,7,0),0)</f>
        <v>0</v>
      </c>
      <c r="G6453" s="34" t="n">
        <f aca="false">SUMIFS('12.326ana'!$C:$C,'12.326ana'!$M:$M,redes!A6453)</f>
        <v>0</v>
      </c>
    </row>
    <row r="6454" customFormat="false" ht="14.4" hidden="true" customHeight="false" outlineLevel="0" collapsed="false">
      <c r="A6454" s="34" t="n">
        <v>1942838000167</v>
      </c>
      <c r="B6454" s="34" t="s">
        <v>14185</v>
      </c>
      <c r="C6454" s="34" t="s">
        <v>197</v>
      </c>
      <c r="E6454" s="30"/>
      <c r="F6454" s="34" t="n">
        <f aca="false">IFERROR(VLOOKUP($A6454,'319'!$B:$H,7,0),0)</f>
        <v>0</v>
      </c>
      <c r="G6454" s="34" t="n">
        <f aca="false">SUMIFS('12.326ana'!$C:$C,'12.326ana'!$M:$M,redes!A6454)</f>
        <v>0</v>
      </c>
    </row>
    <row r="6455" customFormat="false" ht="14.4" hidden="true" customHeight="false" outlineLevel="0" collapsed="false">
      <c r="A6455" s="34" t="n">
        <v>1943000000198</v>
      </c>
      <c r="B6455" s="34" t="s">
        <v>14186</v>
      </c>
      <c r="C6455" s="34" t="s">
        <v>842</v>
      </c>
      <c r="E6455" s="30" t="s">
        <v>14187</v>
      </c>
      <c r="F6455" s="34" t="n">
        <f aca="false">IFERROR(VLOOKUP($A6455,'319'!$B:$H,7,0),0)</f>
        <v>0</v>
      </c>
      <c r="G6455" s="34" t="n">
        <f aca="false">SUMIFS('12.326ana'!$C:$C,'12.326ana'!$M:$M,redes!A6455)</f>
        <v>0</v>
      </c>
    </row>
    <row r="6456" customFormat="false" ht="14.4" hidden="true" customHeight="false" outlineLevel="0" collapsed="false">
      <c r="A6456" s="34" t="n">
        <v>1943181000152</v>
      </c>
      <c r="B6456" s="34" t="s">
        <v>14188</v>
      </c>
      <c r="C6456" s="34" t="s">
        <v>107</v>
      </c>
      <c r="E6456" s="30" t="s">
        <v>8593</v>
      </c>
      <c r="F6456" s="34" t="n">
        <f aca="false">IFERROR(VLOOKUP($A6456,'319'!$B:$H,7,0),0)</f>
        <v>4378.86</v>
      </c>
      <c r="G6456" s="34" t="n">
        <f aca="false">SUMIFS('12.326ana'!$C:$C,'12.326ana'!$M:$M,redes!A6456)</f>
        <v>0</v>
      </c>
    </row>
    <row r="6457" customFormat="false" ht="14.4" hidden="true" customHeight="false" outlineLevel="0" collapsed="false">
      <c r="A6457" s="34" t="n">
        <v>1943265000196</v>
      </c>
      <c r="B6457" s="34" t="s">
        <v>14189</v>
      </c>
      <c r="C6457" s="34" t="s">
        <v>631</v>
      </c>
      <c r="E6457" s="30" t="s">
        <v>14190</v>
      </c>
      <c r="F6457" s="34" t="n">
        <f aca="false">IFERROR(VLOOKUP($A6457,'319'!$B:$H,7,0),0)</f>
        <v>0</v>
      </c>
      <c r="G6457" s="34" t="n">
        <f aca="false">SUMIFS('12.326ana'!$C:$C,'12.326ana'!$M:$M,redes!A6457)</f>
        <v>0</v>
      </c>
    </row>
    <row r="6458" customFormat="false" ht="14.4" hidden="true" customHeight="false" outlineLevel="0" collapsed="false">
      <c r="A6458" s="34" t="n">
        <v>1943927000128</v>
      </c>
      <c r="B6458" s="34" t="s">
        <v>14191</v>
      </c>
      <c r="C6458" s="34" t="s">
        <v>77</v>
      </c>
      <c r="E6458" s="30" t="s">
        <v>4567</v>
      </c>
      <c r="F6458" s="34" t="n">
        <f aca="false">IFERROR(VLOOKUP($A6458,'319'!$B:$H,7,0),0)</f>
        <v>0</v>
      </c>
      <c r="G6458" s="34" t="n">
        <f aca="false">SUMIFS('12.326ana'!$C:$C,'12.326ana'!$M:$M,redes!A6458)</f>
        <v>0</v>
      </c>
    </row>
    <row r="6459" customFormat="false" ht="14.4" hidden="true" customHeight="false" outlineLevel="0" collapsed="false">
      <c r="A6459" s="34" t="n">
        <v>1944172000186</v>
      </c>
      <c r="B6459" s="34" t="s">
        <v>14192</v>
      </c>
      <c r="C6459" s="34" t="s">
        <v>192</v>
      </c>
      <c r="E6459" s="30" t="s">
        <v>14193</v>
      </c>
      <c r="F6459" s="34" t="n">
        <f aca="false">IFERROR(VLOOKUP($A6459,'319'!$B:$H,7,0),0)</f>
        <v>0</v>
      </c>
      <c r="G6459" s="34" t="n">
        <f aca="false">SUMIFS('12.326ana'!$C:$C,'12.326ana'!$M:$M,redes!A6459)</f>
        <v>0</v>
      </c>
    </row>
    <row r="6460" customFormat="false" ht="14.4" hidden="true" customHeight="false" outlineLevel="0" collapsed="false">
      <c r="A6460" s="34" t="n">
        <v>1944610000106</v>
      </c>
      <c r="B6460" s="34" t="s">
        <v>14194</v>
      </c>
      <c r="C6460" s="34" t="s">
        <v>192</v>
      </c>
      <c r="E6460" s="30" t="s">
        <v>3112</v>
      </c>
      <c r="F6460" s="34" t="n">
        <f aca="false">IFERROR(VLOOKUP($A6460,'319'!$B:$H,7,0),0)</f>
        <v>0</v>
      </c>
      <c r="G6460" s="34" t="n">
        <f aca="false">SUMIFS('12.326ana'!$C:$C,'12.326ana'!$M:$M,redes!A6460)</f>
        <v>0</v>
      </c>
    </row>
    <row r="6461" customFormat="false" ht="14.4" hidden="true" customHeight="false" outlineLevel="0" collapsed="false">
      <c r="A6461" s="34" t="n">
        <v>1945104000131</v>
      </c>
      <c r="B6461" s="34" t="s">
        <v>14195</v>
      </c>
      <c r="C6461" s="34" t="s">
        <v>77</v>
      </c>
      <c r="E6461" s="30" t="s">
        <v>14196</v>
      </c>
      <c r="F6461" s="34" t="n">
        <f aca="false">IFERROR(VLOOKUP($A6461,'319'!$B:$H,7,0),0)</f>
        <v>0</v>
      </c>
      <c r="G6461" s="34" t="n">
        <f aca="false">SUMIFS('12.326ana'!$C:$C,'12.326ana'!$M:$M,redes!A6461)</f>
        <v>0</v>
      </c>
    </row>
    <row r="6462" customFormat="false" ht="14.4" hidden="true" customHeight="false" outlineLevel="0" collapsed="false">
      <c r="A6462" s="34" t="n">
        <v>1945450000110</v>
      </c>
      <c r="B6462" s="34" t="s">
        <v>14197</v>
      </c>
      <c r="C6462" s="34" t="s">
        <v>342</v>
      </c>
      <c r="E6462" s="30" t="s">
        <v>14198</v>
      </c>
      <c r="F6462" s="34" t="n">
        <f aca="false">IFERROR(VLOOKUP($A6462,'319'!$B:$H,7,0),0)</f>
        <v>0</v>
      </c>
      <c r="G6462" s="34" t="n">
        <f aca="false">SUMIFS('12.326ana'!$C:$C,'12.326ana'!$M:$M,redes!A6462)</f>
        <v>0</v>
      </c>
    </row>
    <row r="6463" customFormat="false" ht="14.4" hidden="true" customHeight="false" outlineLevel="0" collapsed="false">
      <c r="A6463" s="34" t="n">
        <v>1945765000167</v>
      </c>
      <c r="B6463" s="34" t="s">
        <v>14199</v>
      </c>
      <c r="C6463" s="34" t="s">
        <v>10103</v>
      </c>
      <c r="E6463" s="30" t="s">
        <v>14200</v>
      </c>
      <c r="F6463" s="34" t="n">
        <f aca="false">IFERROR(VLOOKUP($A6463,'319'!$B:$H,7,0),0)</f>
        <v>0</v>
      </c>
      <c r="G6463" s="34" t="n">
        <f aca="false">SUMIFS('12.326ana'!$C:$C,'12.326ana'!$M:$M,redes!A6463)</f>
        <v>0</v>
      </c>
    </row>
    <row r="6464" customFormat="false" ht="14.4" hidden="true" customHeight="false" outlineLevel="0" collapsed="false">
      <c r="A6464" s="34" t="n">
        <v>1946084000113</v>
      </c>
      <c r="B6464" s="34" t="s">
        <v>14201</v>
      </c>
      <c r="C6464" s="34" t="s">
        <v>842</v>
      </c>
      <c r="E6464" s="30" t="s">
        <v>14202</v>
      </c>
      <c r="F6464" s="34" t="n">
        <f aca="false">IFERROR(VLOOKUP($A6464,'319'!$B:$H,7,0),0)</f>
        <v>0</v>
      </c>
      <c r="G6464" s="34" t="n">
        <f aca="false">SUMIFS('12.326ana'!$C:$C,'12.326ana'!$M:$M,redes!A6464)</f>
        <v>0</v>
      </c>
    </row>
    <row r="6465" customFormat="false" ht="14.4" hidden="true" customHeight="false" outlineLevel="0" collapsed="false">
      <c r="A6465" s="34" t="n">
        <v>1946854000128</v>
      </c>
      <c r="B6465" s="34" t="s">
        <v>14203</v>
      </c>
      <c r="C6465" s="34" t="s">
        <v>89</v>
      </c>
      <c r="E6465" s="30" t="s">
        <v>4825</v>
      </c>
      <c r="F6465" s="34" t="n">
        <f aca="false">IFERROR(VLOOKUP($A6465,'319'!$B:$H,7,0),0)</f>
        <v>0</v>
      </c>
      <c r="G6465" s="34" t="n">
        <f aca="false">SUMIFS('12.326ana'!$C:$C,'12.326ana'!$M:$M,redes!A6465)</f>
        <v>0</v>
      </c>
    </row>
    <row r="6466" customFormat="false" ht="14.4" hidden="true" customHeight="false" outlineLevel="0" collapsed="false">
      <c r="A6466" s="34" t="n">
        <v>1949049000158</v>
      </c>
      <c r="B6466" s="34" t="s">
        <v>14204</v>
      </c>
      <c r="C6466" s="34" t="s">
        <v>2998</v>
      </c>
      <c r="E6466" s="30"/>
      <c r="F6466" s="34" t="n">
        <f aca="false">IFERROR(VLOOKUP($A6466,'319'!$B:$H,7,0),0)</f>
        <v>0</v>
      </c>
      <c r="G6466" s="34" t="n">
        <f aca="false">SUMIFS('12.326ana'!$C:$C,'12.326ana'!$M:$M,redes!A6466)</f>
        <v>0</v>
      </c>
    </row>
    <row r="6467" customFormat="false" ht="14.4" hidden="true" customHeight="false" outlineLevel="0" collapsed="false">
      <c r="A6467" s="34" t="n">
        <v>1949544000167</v>
      </c>
      <c r="B6467" s="34" t="s">
        <v>6950</v>
      </c>
      <c r="C6467" s="34" t="s">
        <v>77</v>
      </c>
      <c r="E6467" s="30" t="s">
        <v>14205</v>
      </c>
      <c r="F6467" s="34" t="n">
        <f aca="false">IFERROR(VLOOKUP($A6467,'319'!$B:$H,7,0),0)</f>
        <v>0</v>
      </c>
      <c r="G6467" s="34" t="n">
        <f aca="false">SUMIFS('12.326ana'!$C:$C,'12.326ana'!$M:$M,redes!A6467)</f>
        <v>0</v>
      </c>
    </row>
    <row r="6468" customFormat="false" ht="14.4" hidden="true" customHeight="false" outlineLevel="0" collapsed="false">
      <c r="A6468" s="34" t="n">
        <v>1950558000109</v>
      </c>
      <c r="B6468" s="34" t="s">
        <v>14206</v>
      </c>
      <c r="C6468" s="34" t="s">
        <v>721</v>
      </c>
      <c r="E6468" s="30" t="s">
        <v>14207</v>
      </c>
      <c r="F6468" s="34" t="n">
        <f aca="false">IFERROR(VLOOKUP($A6468,'319'!$B:$H,7,0),0)</f>
        <v>0</v>
      </c>
      <c r="G6468" s="34" t="n">
        <f aca="false">SUMIFS('12.326ana'!$C:$C,'12.326ana'!$M:$M,redes!A6468)</f>
        <v>0</v>
      </c>
    </row>
    <row r="6469" customFormat="false" ht="14.4" hidden="true" customHeight="false" outlineLevel="0" collapsed="false">
      <c r="A6469" s="34" t="n">
        <v>1951373000100</v>
      </c>
      <c r="B6469" s="34" t="s">
        <v>14208</v>
      </c>
      <c r="C6469" s="34" t="s">
        <v>594</v>
      </c>
      <c r="E6469" s="30" t="s">
        <v>14209</v>
      </c>
      <c r="F6469" s="34" t="n">
        <f aca="false">IFERROR(VLOOKUP($A6469,'319'!$B:$H,7,0),0)</f>
        <v>0</v>
      </c>
      <c r="G6469" s="34" t="n">
        <f aca="false">SUMIFS('12.326ana'!$C:$C,'12.326ana'!$M:$M,redes!A6469)</f>
        <v>0</v>
      </c>
    </row>
    <row r="6470" customFormat="false" ht="14.4" hidden="true" customHeight="false" outlineLevel="0" collapsed="false">
      <c r="A6470" s="34" t="n">
        <v>1952672000160</v>
      </c>
      <c r="B6470" s="34" t="s">
        <v>14210</v>
      </c>
      <c r="C6470" s="34" t="s">
        <v>197</v>
      </c>
      <c r="E6470" s="30" t="s">
        <v>14211</v>
      </c>
      <c r="F6470" s="34" t="n">
        <f aca="false">IFERROR(VLOOKUP($A6470,'319'!$B:$H,7,0),0)</f>
        <v>0</v>
      </c>
      <c r="G6470" s="34" t="n">
        <f aca="false">SUMIFS('12.326ana'!$C:$C,'12.326ana'!$M:$M,redes!A6470)</f>
        <v>0</v>
      </c>
    </row>
    <row r="6471" customFormat="false" ht="14.4" hidden="true" customHeight="false" outlineLevel="0" collapsed="false">
      <c r="A6471" s="34" t="n">
        <v>1953967000150</v>
      </c>
      <c r="B6471" s="34" t="s">
        <v>14212</v>
      </c>
      <c r="C6471" s="34" t="s">
        <v>107</v>
      </c>
      <c r="E6471" s="30" t="s">
        <v>14213</v>
      </c>
      <c r="F6471" s="34" t="n">
        <f aca="false">IFERROR(VLOOKUP($A6471,'319'!$B:$H,7,0),0)</f>
        <v>0</v>
      </c>
      <c r="G6471" s="34" t="n">
        <f aca="false">SUMIFS('12.326ana'!$C:$C,'12.326ana'!$M:$M,redes!A6471)</f>
        <v>0</v>
      </c>
    </row>
    <row r="6472" customFormat="false" ht="14.4" hidden="true" customHeight="false" outlineLevel="0" collapsed="false">
      <c r="A6472" s="34" t="n">
        <v>1954248000154</v>
      </c>
      <c r="B6472" s="34" t="s">
        <v>1057</v>
      </c>
      <c r="C6472" s="34" t="s">
        <v>77</v>
      </c>
      <c r="E6472" s="30" t="s">
        <v>5591</v>
      </c>
      <c r="F6472" s="34" t="n">
        <f aca="false">IFERROR(VLOOKUP($A6472,'319'!$B:$H,7,0),0)</f>
        <v>715.67</v>
      </c>
      <c r="G6472" s="34" t="n">
        <f aca="false">SUMIFS('12.326ana'!$C:$C,'12.326ana'!$M:$M,redes!A6472)</f>
        <v>0</v>
      </c>
    </row>
    <row r="6473" customFormat="false" ht="14.4" hidden="true" customHeight="false" outlineLevel="0" collapsed="false">
      <c r="A6473" s="34" t="n">
        <v>1955806000104</v>
      </c>
      <c r="B6473" s="34" t="s">
        <v>14214</v>
      </c>
      <c r="C6473" s="34" t="s">
        <v>107</v>
      </c>
      <c r="E6473" s="30" t="s">
        <v>14215</v>
      </c>
      <c r="F6473" s="34" t="n">
        <f aca="false">IFERROR(VLOOKUP($A6473,'319'!$B:$H,7,0),0)</f>
        <v>0</v>
      </c>
      <c r="G6473" s="34" t="n">
        <f aca="false">SUMIFS('12.326ana'!$C:$C,'12.326ana'!$M:$M,redes!A6473)</f>
        <v>0</v>
      </c>
    </row>
    <row r="6474" customFormat="false" ht="14.4" hidden="true" customHeight="false" outlineLevel="0" collapsed="false">
      <c r="A6474" s="34" t="n">
        <v>1955806000287</v>
      </c>
      <c r="B6474" s="34" t="s">
        <v>14214</v>
      </c>
      <c r="C6474" s="34" t="s">
        <v>107</v>
      </c>
      <c r="E6474" s="30" t="s">
        <v>14216</v>
      </c>
      <c r="F6474" s="34" t="n">
        <f aca="false">IFERROR(VLOOKUP($A6474,'319'!$B:$H,7,0),0)</f>
        <v>0</v>
      </c>
      <c r="G6474" s="34" t="n">
        <f aca="false">SUMIFS('12.326ana'!$C:$C,'12.326ana'!$M:$M,redes!A6474)</f>
        <v>0</v>
      </c>
    </row>
    <row r="6475" customFormat="false" ht="14.4" hidden="true" customHeight="false" outlineLevel="0" collapsed="false">
      <c r="A6475" s="34" t="n">
        <v>1956812000178</v>
      </c>
      <c r="B6475" s="34" t="s">
        <v>14217</v>
      </c>
      <c r="C6475" s="34" t="s">
        <v>77</v>
      </c>
      <c r="E6475" s="30" t="s">
        <v>9646</v>
      </c>
      <c r="F6475" s="34" t="n">
        <f aca="false">IFERROR(VLOOKUP($A6475,'319'!$B:$H,7,0),0)</f>
        <v>0</v>
      </c>
      <c r="G6475" s="34" t="n">
        <f aca="false">SUMIFS('12.326ana'!$C:$C,'12.326ana'!$M:$M,redes!A6475)</f>
        <v>0</v>
      </c>
    </row>
    <row r="6476" customFormat="false" ht="14.4" hidden="true" customHeight="false" outlineLevel="0" collapsed="false">
      <c r="A6476" s="34" t="n">
        <v>1956853000164</v>
      </c>
      <c r="B6476" s="34" t="s">
        <v>14218</v>
      </c>
      <c r="C6476" s="34" t="s">
        <v>192</v>
      </c>
      <c r="E6476" s="30" t="s">
        <v>14219</v>
      </c>
      <c r="F6476" s="34" t="n">
        <f aca="false">IFERROR(VLOOKUP($A6476,'319'!$B:$H,7,0),0)</f>
        <v>0</v>
      </c>
      <c r="G6476" s="34" t="n">
        <f aca="false">SUMIFS('12.326ana'!$C:$C,'12.326ana'!$M:$M,redes!A6476)</f>
        <v>0</v>
      </c>
    </row>
    <row r="6477" customFormat="false" ht="14.4" hidden="true" customHeight="false" outlineLevel="0" collapsed="false">
      <c r="A6477" s="35" t="n">
        <v>1957570000137</v>
      </c>
      <c r="B6477" s="34" t="s">
        <v>1782</v>
      </c>
      <c r="C6477" s="34" t="s">
        <v>377</v>
      </c>
      <c r="E6477" s="30" t="s">
        <v>14220</v>
      </c>
      <c r="F6477" s="34" t="n">
        <f aca="false">IFERROR(VLOOKUP($A6477,'319'!$B:$H,7,0),0)</f>
        <v>-105.66</v>
      </c>
      <c r="G6477" s="34" t="n">
        <f aca="false">SUMIFS('12.326ana'!$C:$C,'12.326ana'!$M:$M,redes!A6477)</f>
        <v>0</v>
      </c>
    </row>
    <row r="6478" customFormat="false" ht="14.4" hidden="true" customHeight="false" outlineLevel="0" collapsed="false">
      <c r="A6478" s="34" t="n">
        <v>1957713000100</v>
      </c>
      <c r="B6478" s="34" t="s">
        <v>14221</v>
      </c>
      <c r="C6478" s="34" t="s">
        <v>107</v>
      </c>
      <c r="E6478" s="30" t="s">
        <v>14222</v>
      </c>
      <c r="F6478" s="34" t="n">
        <f aca="false">IFERROR(VLOOKUP($A6478,'319'!$B:$H,7,0),0)</f>
        <v>0</v>
      </c>
      <c r="G6478" s="34" t="n">
        <f aca="false">SUMIFS('12.326ana'!$C:$C,'12.326ana'!$M:$M,redes!A6478)</f>
        <v>0</v>
      </c>
    </row>
    <row r="6479" customFormat="false" ht="14.4" hidden="true" customHeight="false" outlineLevel="0" collapsed="false">
      <c r="A6479" s="34" t="n">
        <v>1958008000128</v>
      </c>
      <c r="B6479" s="34" t="s">
        <v>14223</v>
      </c>
      <c r="C6479" s="34" t="s">
        <v>475</v>
      </c>
      <c r="E6479" s="30" t="s">
        <v>14224</v>
      </c>
      <c r="F6479" s="34" t="n">
        <f aca="false">IFERROR(VLOOKUP($A6479,'319'!$B:$H,7,0),0)</f>
        <v>0</v>
      </c>
      <c r="G6479" s="34" t="n">
        <f aca="false">SUMIFS('12.326ana'!$C:$C,'12.326ana'!$M:$M,redes!A6479)</f>
        <v>0</v>
      </c>
    </row>
    <row r="6480" customFormat="false" ht="14.4" hidden="true" customHeight="false" outlineLevel="0" collapsed="false">
      <c r="A6480" s="34" t="n">
        <v>1960186000193</v>
      </c>
      <c r="B6480" s="34" t="s">
        <v>14225</v>
      </c>
      <c r="C6480" s="34" t="s">
        <v>475</v>
      </c>
      <c r="E6480" s="30" t="s">
        <v>14226</v>
      </c>
      <c r="F6480" s="34" t="n">
        <f aca="false">IFERROR(VLOOKUP($A6480,'319'!$B:$H,7,0),0)</f>
        <v>0</v>
      </c>
      <c r="G6480" s="34" t="n">
        <f aca="false">SUMIFS('12.326ana'!$C:$C,'12.326ana'!$M:$M,redes!A6480)</f>
        <v>0</v>
      </c>
    </row>
    <row r="6481" customFormat="false" ht="14.4" hidden="true" customHeight="false" outlineLevel="0" collapsed="false">
      <c r="A6481" s="34" t="n">
        <v>1960517000195</v>
      </c>
      <c r="B6481" s="34" t="s">
        <v>14227</v>
      </c>
      <c r="C6481" s="34" t="s">
        <v>4261</v>
      </c>
      <c r="D6481" s="34" t="s">
        <v>33</v>
      </c>
      <c r="E6481" s="30" t="s">
        <v>14228</v>
      </c>
      <c r="F6481" s="34" t="n">
        <f aca="false">IFERROR(VLOOKUP($A6481,'319'!$B:$H,7,0),0)</f>
        <v>0</v>
      </c>
      <c r="G6481" s="34" t="n">
        <f aca="false">SUMIFS('12.326ana'!$C:$C,'12.326ana'!$M:$M,redes!A6481)</f>
        <v>0</v>
      </c>
    </row>
    <row r="6482" customFormat="false" ht="14.4" hidden="true" customHeight="false" outlineLevel="0" collapsed="false">
      <c r="A6482" s="34" t="n">
        <v>1961317000157</v>
      </c>
      <c r="B6482" s="34" t="s">
        <v>14229</v>
      </c>
      <c r="C6482" s="34" t="s">
        <v>1602</v>
      </c>
      <c r="E6482" s="30" t="s">
        <v>14230</v>
      </c>
      <c r="F6482" s="34" t="n">
        <f aca="false">IFERROR(VLOOKUP($A6482,'319'!$B:$H,7,0),0)</f>
        <v>0</v>
      </c>
      <c r="G6482" s="34" t="n">
        <f aca="false">SUMIFS('12.326ana'!$C:$C,'12.326ana'!$M:$M,redes!A6482)</f>
        <v>0</v>
      </c>
    </row>
    <row r="6483" customFormat="false" ht="14.4" hidden="true" customHeight="false" outlineLevel="0" collapsed="false">
      <c r="A6483" s="34" t="n">
        <v>1961473000118</v>
      </c>
      <c r="B6483" s="34" t="s">
        <v>14231</v>
      </c>
      <c r="C6483" s="34" t="s">
        <v>377</v>
      </c>
      <c r="D6483" s="34" t="s">
        <v>3324</v>
      </c>
      <c r="E6483" s="30" t="s">
        <v>14232</v>
      </c>
      <c r="F6483" s="34" t="n">
        <f aca="false">IFERROR(VLOOKUP($A6483,'319'!$B:$H,7,0),0)</f>
        <v>0</v>
      </c>
      <c r="G6483" s="34" t="n">
        <f aca="false">SUMIFS('12.326ana'!$C:$C,'12.326ana'!$M:$M,redes!A6483)</f>
        <v>0</v>
      </c>
    </row>
    <row r="6484" customFormat="false" ht="14.4" hidden="true" customHeight="false" outlineLevel="0" collapsed="false">
      <c r="A6484" s="34" t="n">
        <v>1961945000132</v>
      </c>
      <c r="B6484" s="34" t="s">
        <v>14233</v>
      </c>
      <c r="C6484" s="34" t="s">
        <v>464</v>
      </c>
      <c r="E6484" s="30" t="s">
        <v>14234</v>
      </c>
      <c r="F6484" s="34" t="n">
        <f aca="false">IFERROR(VLOOKUP($A6484,'319'!$B:$H,7,0),0)</f>
        <v>0</v>
      </c>
      <c r="G6484" s="34" t="n">
        <f aca="false">SUMIFS('12.326ana'!$C:$C,'12.326ana'!$M:$M,redes!A6484)</f>
        <v>0</v>
      </c>
    </row>
    <row r="6485" customFormat="false" ht="14.4" hidden="true" customHeight="false" outlineLevel="0" collapsed="false">
      <c r="A6485" s="34" t="n">
        <v>1961979000127</v>
      </c>
      <c r="B6485" s="34" t="s">
        <v>14235</v>
      </c>
      <c r="C6485" s="34" t="s">
        <v>117</v>
      </c>
      <c r="E6485" s="30" t="s">
        <v>14236</v>
      </c>
      <c r="F6485" s="34" t="n">
        <f aca="false">IFERROR(VLOOKUP($A6485,'319'!$B:$H,7,0),0)</f>
        <v>0</v>
      </c>
      <c r="G6485" s="34" t="n">
        <f aca="false">SUMIFS('12.326ana'!$C:$C,'12.326ana'!$M:$M,redes!A6485)</f>
        <v>0</v>
      </c>
    </row>
    <row r="6486" customFormat="false" ht="14.4" hidden="true" customHeight="false" outlineLevel="0" collapsed="false">
      <c r="A6486" s="34" t="n">
        <v>1963040000444</v>
      </c>
      <c r="B6486" s="34" t="s">
        <v>14237</v>
      </c>
      <c r="C6486" s="34" t="s">
        <v>89</v>
      </c>
      <c r="E6486" s="30" t="s">
        <v>14238</v>
      </c>
      <c r="F6486" s="34" t="n">
        <f aca="false">IFERROR(VLOOKUP($A6486,'319'!$B:$H,7,0),0)</f>
        <v>0</v>
      </c>
      <c r="G6486" s="34" t="n">
        <f aca="false">SUMIFS('12.326ana'!$C:$C,'12.326ana'!$M:$M,redes!A6486)</f>
        <v>0</v>
      </c>
    </row>
    <row r="6487" customFormat="false" ht="14.4" hidden="true" customHeight="false" outlineLevel="0" collapsed="false">
      <c r="A6487" s="34" t="n">
        <v>1963372000186</v>
      </c>
      <c r="B6487" s="34" t="s">
        <v>14239</v>
      </c>
      <c r="C6487" s="34" t="s">
        <v>342</v>
      </c>
      <c r="E6487" s="30" t="s">
        <v>14240</v>
      </c>
      <c r="F6487" s="34" t="n">
        <f aca="false">IFERROR(VLOOKUP($A6487,'319'!$B:$H,7,0),0)</f>
        <v>0</v>
      </c>
      <c r="G6487" s="34" t="n">
        <f aca="false">SUMIFS('12.326ana'!$C:$C,'12.326ana'!$M:$M,redes!A6487)</f>
        <v>0</v>
      </c>
    </row>
    <row r="6488" customFormat="false" ht="14.4" hidden="true" customHeight="false" outlineLevel="0" collapsed="false">
      <c r="A6488" s="34" t="n">
        <v>1964099000104</v>
      </c>
      <c r="B6488" s="34" t="s">
        <v>14241</v>
      </c>
      <c r="C6488" s="34" t="s">
        <v>1680</v>
      </c>
      <c r="E6488" s="30" t="s">
        <v>14242</v>
      </c>
      <c r="F6488" s="34" t="n">
        <f aca="false">IFERROR(VLOOKUP($A6488,'319'!$B:$H,7,0),0)</f>
        <v>0</v>
      </c>
      <c r="G6488" s="34" t="n">
        <f aca="false">SUMIFS('12.326ana'!$C:$C,'12.326ana'!$M:$M,redes!A6488)</f>
        <v>0</v>
      </c>
    </row>
    <row r="6489" customFormat="false" ht="14.4" hidden="true" customHeight="false" outlineLevel="0" collapsed="false">
      <c r="A6489" s="34" t="n">
        <v>1964109000101</v>
      </c>
      <c r="B6489" s="34" t="s">
        <v>14243</v>
      </c>
      <c r="C6489" s="34" t="s">
        <v>77</v>
      </c>
      <c r="E6489" s="30" t="s">
        <v>14244</v>
      </c>
      <c r="F6489" s="34" t="n">
        <f aca="false">IFERROR(VLOOKUP($A6489,'319'!$B:$H,7,0),0)</f>
        <v>0</v>
      </c>
      <c r="G6489" s="34" t="n">
        <f aca="false">SUMIFS('12.326ana'!$C:$C,'12.326ana'!$M:$M,redes!A6489)</f>
        <v>0</v>
      </c>
    </row>
    <row r="6490" customFormat="false" ht="14.4" hidden="true" customHeight="false" outlineLevel="0" collapsed="false">
      <c r="A6490" s="34" t="n">
        <v>1965089000193</v>
      </c>
      <c r="B6490" s="34" t="s">
        <v>14245</v>
      </c>
      <c r="C6490" s="34" t="s">
        <v>107</v>
      </c>
      <c r="E6490" s="30" t="s">
        <v>3206</v>
      </c>
      <c r="F6490" s="34" t="n">
        <f aca="false">IFERROR(VLOOKUP($A6490,'319'!$B:$H,7,0),0)</f>
        <v>0</v>
      </c>
      <c r="G6490" s="34" t="n">
        <f aca="false">SUMIFS('12.326ana'!$C:$C,'12.326ana'!$M:$M,redes!A6490)</f>
        <v>0</v>
      </c>
    </row>
    <row r="6491" customFormat="false" ht="14.4" hidden="true" customHeight="false" outlineLevel="0" collapsed="false">
      <c r="A6491" s="34" t="n">
        <v>1965094000104</v>
      </c>
      <c r="B6491" s="34" t="s">
        <v>14246</v>
      </c>
      <c r="C6491" s="34" t="s">
        <v>117</v>
      </c>
      <c r="E6491" s="30" t="s">
        <v>14247</v>
      </c>
      <c r="F6491" s="34" t="n">
        <f aca="false">IFERROR(VLOOKUP($A6491,'319'!$B:$H,7,0),0)</f>
        <v>0</v>
      </c>
      <c r="G6491" s="34" t="n">
        <f aca="false">SUMIFS('12.326ana'!$C:$C,'12.326ana'!$M:$M,redes!A6491)</f>
        <v>0</v>
      </c>
    </row>
    <row r="6492" customFormat="false" ht="14.4" hidden="true" customHeight="false" outlineLevel="0" collapsed="false">
      <c r="A6492" s="34" t="n">
        <v>1965830000116</v>
      </c>
      <c r="B6492" s="34" t="s">
        <v>14248</v>
      </c>
      <c r="C6492" s="34" t="s">
        <v>77</v>
      </c>
      <c r="D6492" s="34" t="s">
        <v>14249</v>
      </c>
      <c r="E6492" s="30" t="s">
        <v>14250</v>
      </c>
      <c r="F6492" s="34" t="n">
        <f aca="false">IFERROR(VLOOKUP($A6492,'319'!$B:$H,7,0),0)</f>
        <v>0</v>
      </c>
      <c r="G6492" s="34" t="n">
        <f aca="false">SUMIFS('12.326ana'!$C:$C,'12.326ana'!$M:$M,redes!A6492)</f>
        <v>0</v>
      </c>
    </row>
    <row r="6493" customFormat="false" ht="14.4" hidden="true" customHeight="false" outlineLevel="0" collapsed="false">
      <c r="A6493" s="34" t="n">
        <v>1965830000205</v>
      </c>
      <c r="B6493" s="34" t="s">
        <v>14248</v>
      </c>
      <c r="C6493" s="34" t="s">
        <v>77</v>
      </c>
      <c r="D6493" s="34" t="s">
        <v>14249</v>
      </c>
      <c r="E6493" s="30" t="s">
        <v>14250</v>
      </c>
      <c r="F6493" s="34" t="n">
        <f aca="false">IFERROR(VLOOKUP($A6493,'319'!$B:$H,7,0),0)</f>
        <v>0</v>
      </c>
      <c r="G6493" s="34" t="n">
        <f aca="false">SUMIFS('12.326ana'!$C:$C,'12.326ana'!$M:$M,redes!A6493)</f>
        <v>0</v>
      </c>
    </row>
    <row r="6494" customFormat="false" ht="14.4" hidden="true" customHeight="false" outlineLevel="0" collapsed="false">
      <c r="A6494" s="34" t="n">
        <v>1965830000388</v>
      </c>
      <c r="B6494" s="34" t="s">
        <v>14248</v>
      </c>
      <c r="C6494" s="34" t="s">
        <v>77</v>
      </c>
      <c r="E6494" s="30" t="s">
        <v>12434</v>
      </c>
      <c r="F6494" s="34" t="n">
        <f aca="false">IFERROR(VLOOKUP($A6494,'319'!$B:$H,7,0),0)</f>
        <v>0</v>
      </c>
      <c r="G6494" s="34" t="n">
        <f aca="false">SUMIFS('12.326ana'!$C:$C,'12.326ana'!$M:$M,redes!A6494)</f>
        <v>0</v>
      </c>
    </row>
    <row r="6495" customFormat="false" ht="14.4" hidden="true" customHeight="false" outlineLevel="0" collapsed="false">
      <c r="A6495" s="34" t="n">
        <v>1967025000121</v>
      </c>
      <c r="B6495" s="34" t="s">
        <v>14251</v>
      </c>
      <c r="C6495" s="34" t="s">
        <v>192</v>
      </c>
      <c r="D6495" s="34" t="s">
        <v>9598</v>
      </c>
      <c r="E6495" s="30" t="s">
        <v>14252</v>
      </c>
      <c r="F6495" s="34" t="n">
        <f aca="false">IFERROR(VLOOKUP($A6495,'319'!$B:$H,7,0),0)</f>
        <v>0</v>
      </c>
      <c r="G6495" s="34" t="n">
        <f aca="false">SUMIFS('12.326ana'!$C:$C,'12.326ana'!$M:$M,redes!A6495)</f>
        <v>0</v>
      </c>
    </row>
    <row r="6496" customFormat="false" ht="14.4" hidden="true" customHeight="false" outlineLevel="0" collapsed="false">
      <c r="A6496" s="34" t="n">
        <v>1967421000159</v>
      </c>
      <c r="B6496" s="34" t="s">
        <v>14253</v>
      </c>
      <c r="C6496" s="34" t="s">
        <v>107</v>
      </c>
      <c r="E6496" s="30"/>
      <c r="F6496" s="34" t="n">
        <f aca="false">IFERROR(VLOOKUP($A6496,'319'!$B:$H,7,0),0)</f>
        <v>0</v>
      </c>
      <c r="G6496" s="34" t="n">
        <f aca="false">SUMIFS('12.326ana'!$C:$C,'12.326ana'!$M:$M,redes!A6496)</f>
        <v>0</v>
      </c>
    </row>
    <row r="6497" customFormat="false" ht="14.4" hidden="true" customHeight="false" outlineLevel="0" collapsed="false">
      <c r="A6497" s="34" t="n">
        <v>1967421000230</v>
      </c>
      <c r="B6497" s="34" t="s">
        <v>14253</v>
      </c>
      <c r="C6497" s="34" t="s">
        <v>103</v>
      </c>
      <c r="E6497" s="30" t="s">
        <v>14254</v>
      </c>
      <c r="F6497" s="34" t="n">
        <f aca="false">IFERROR(VLOOKUP($A6497,'319'!$B:$H,7,0),0)</f>
        <v>0</v>
      </c>
      <c r="G6497" s="34" t="n">
        <f aca="false">SUMIFS('12.326ana'!$C:$C,'12.326ana'!$M:$M,redes!A6497)</f>
        <v>0</v>
      </c>
    </row>
    <row r="6498" customFormat="false" ht="14.4" hidden="true" customHeight="false" outlineLevel="0" collapsed="false">
      <c r="A6498" s="34" t="n">
        <v>1967650000173</v>
      </c>
      <c r="B6498" s="34" t="s">
        <v>14255</v>
      </c>
      <c r="C6498" s="34" t="s">
        <v>581</v>
      </c>
      <c r="E6498" s="30" t="s">
        <v>14256</v>
      </c>
      <c r="F6498" s="34" t="n">
        <f aca="false">IFERROR(VLOOKUP($A6498,'319'!$B:$H,7,0),0)</f>
        <v>0</v>
      </c>
      <c r="G6498" s="34" t="n">
        <f aca="false">SUMIFS('12.326ana'!$C:$C,'12.326ana'!$M:$M,redes!A6498)</f>
        <v>0</v>
      </c>
    </row>
    <row r="6499" customFormat="false" ht="14.4" hidden="true" customHeight="false" outlineLevel="0" collapsed="false">
      <c r="A6499" s="34" t="n">
        <v>1967843000124</v>
      </c>
      <c r="B6499" s="34" t="s">
        <v>14257</v>
      </c>
      <c r="C6499" s="34" t="s">
        <v>213</v>
      </c>
      <c r="E6499" s="30" t="s">
        <v>14258</v>
      </c>
      <c r="F6499" s="34" t="n">
        <f aca="false">IFERROR(VLOOKUP($A6499,'319'!$B:$H,7,0),0)</f>
        <v>0</v>
      </c>
      <c r="G6499" s="34" t="n">
        <f aca="false">SUMIFS('12.326ana'!$C:$C,'12.326ana'!$M:$M,redes!A6499)</f>
        <v>0</v>
      </c>
    </row>
    <row r="6500" customFormat="false" ht="14.4" hidden="true" customHeight="false" outlineLevel="0" collapsed="false">
      <c r="A6500" s="34" t="n">
        <v>1969294000127</v>
      </c>
      <c r="B6500" s="34" t="s">
        <v>14259</v>
      </c>
      <c r="C6500" s="34" t="s">
        <v>77</v>
      </c>
      <c r="E6500" s="30" t="s">
        <v>14260</v>
      </c>
      <c r="F6500" s="34" t="n">
        <f aca="false">IFERROR(VLOOKUP($A6500,'319'!$B:$H,7,0),0)</f>
        <v>0</v>
      </c>
      <c r="G6500" s="34" t="n">
        <f aca="false">SUMIFS('12.326ana'!$C:$C,'12.326ana'!$M:$M,redes!A6500)</f>
        <v>0</v>
      </c>
    </row>
    <row r="6501" customFormat="false" ht="14.4" hidden="true" customHeight="false" outlineLevel="0" collapsed="false">
      <c r="A6501" s="34" t="n">
        <v>1970045000151</v>
      </c>
      <c r="B6501" s="34" t="s">
        <v>14261</v>
      </c>
      <c r="C6501" s="34" t="s">
        <v>979</v>
      </c>
      <c r="E6501" s="30" t="s">
        <v>1838</v>
      </c>
      <c r="F6501" s="34" t="n">
        <f aca="false">IFERROR(VLOOKUP($A6501,'319'!$B:$H,7,0),0)</f>
        <v>0</v>
      </c>
      <c r="G6501" s="34" t="n">
        <f aca="false">SUMIFS('12.326ana'!$C:$C,'12.326ana'!$M:$M,redes!A6501)</f>
        <v>0</v>
      </c>
    </row>
    <row r="6502" customFormat="false" ht="14.4" hidden="true" customHeight="false" outlineLevel="0" collapsed="false">
      <c r="A6502" s="34" t="n">
        <v>1970766000161</v>
      </c>
      <c r="B6502" s="34" t="s">
        <v>14262</v>
      </c>
      <c r="C6502" s="34" t="s">
        <v>77</v>
      </c>
      <c r="D6502" s="34" t="s">
        <v>3324</v>
      </c>
      <c r="E6502" s="30" t="s">
        <v>7826</v>
      </c>
      <c r="F6502" s="34" t="n">
        <f aca="false">IFERROR(VLOOKUP($A6502,'319'!$B:$H,7,0),0)</f>
        <v>0</v>
      </c>
      <c r="G6502" s="34" t="n">
        <f aca="false">SUMIFS('12.326ana'!$C:$C,'12.326ana'!$M:$M,redes!A6502)</f>
        <v>0</v>
      </c>
    </row>
    <row r="6503" customFormat="false" ht="14.4" hidden="true" customHeight="false" outlineLevel="0" collapsed="false">
      <c r="A6503" s="34" t="n">
        <v>1970847000161</v>
      </c>
      <c r="B6503" s="34" t="s">
        <v>14263</v>
      </c>
      <c r="C6503" s="34" t="s">
        <v>598</v>
      </c>
      <c r="E6503" s="30" t="s">
        <v>14264</v>
      </c>
      <c r="F6503" s="34" t="n">
        <f aca="false">IFERROR(VLOOKUP($A6503,'319'!$B:$H,7,0),0)</f>
        <v>0</v>
      </c>
      <c r="G6503" s="34" t="n">
        <f aca="false">SUMIFS('12.326ana'!$C:$C,'12.326ana'!$M:$M,redes!A6503)</f>
        <v>0</v>
      </c>
    </row>
    <row r="6504" customFormat="false" ht="14.4" hidden="true" customHeight="false" outlineLevel="0" collapsed="false">
      <c r="A6504" s="34" t="n">
        <v>1972074000152</v>
      </c>
      <c r="B6504" s="34" t="s">
        <v>14265</v>
      </c>
      <c r="C6504" s="34" t="s">
        <v>117</v>
      </c>
      <c r="E6504" s="30" t="s">
        <v>14266</v>
      </c>
      <c r="F6504" s="34" t="n">
        <f aca="false">IFERROR(VLOOKUP($A6504,'319'!$B:$H,7,0),0)</f>
        <v>120.01</v>
      </c>
      <c r="G6504" s="34" t="n">
        <f aca="false">SUMIFS('12.326ana'!$C:$C,'12.326ana'!$M:$M,redes!A6504)</f>
        <v>0</v>
      </c>
    </row>
    <row r="6505" customFormat="false" ht="14.4" hidden="true" customHeight="false" outlineLevel="0" collapsed="false">
      <c r="A6505" s="34" t="n">
        <v>1972827000120</v>
      </c>
      <c r="B6505" s="34" t="s">
        <v>14267</v>
      </c>
      <c r="C6505" s="34" t="s">
        <v>89</v>
      </c>
      <c r="E6505" s="30" t="s">
        <v>14268</v>
      </c>
      <c r="F6505" s="34" t="n">
        <f aca="false">IFERROR(VLOOKUP($A6505,'319'!$B:$H,7,0),0)</f>
        <v>0</v>
      </c>
      <c r="G6505" s="34" t="n">
        <f aca="false">SUMIFS('12.326ana'!$C:$C,'12.326ana'!$M:$M,redes!A6505)</f>
        <v>0</v>
      </c>
    </row>
    <row r="6506" customFormat="false" ht="14.4" hidden="true" customHeight="false" outlineLevel="0" collapsed="false">
      <c r="A6506" s="34" t="n">
        <v>1973797000176</v>
      </c>
      <c r="B6506" s="34" t="s">
        <v>14269</v>
      </c>
      <c r="C6506" s="34" t="s">
        <v>77</v>
      </c>
      <c r="E6506" s="30" t="s">
        <v>14270</v>
      </c>
      <c r="F6506" s="34" t="n">
        <f aca="false">IFERROR(VLOOKUP($A6506,'319'!$B:$H,7,0),0)</f>
        <v>0</v>
      </c>
      <c r="G6506" s="34" t="n">
        <f aca="false">SUMIFS('12.326ana'!$C:$C,'12.326ana'!$M:$M,redes!A6506)</f>
        <v>0</v>
      </c>
    </row>
    <row r="6507" customFormat="false" ht="14.4" hidden="true" customHeight="false" outlineLevel="0" collapsed="false">
      <c r="A6507" s="34" t="n">
        <v>1979813000138</v>
      </c>
      <c r="B6507" s="34" t="s">
        <v>14271</v>
      </c>
      <c r="C6507" s="34" t="s">
        <v>77</v>
      </c>
      <c r="E6507" s="30" t="s">
        <v>14272</v>
      </c>
      <c r="F6507" s="34" t="n">
        <f aca="false">IFERROR(VLOOKUP($A6507,'319'!$B:$H,7,0),0)</f>
        <v>0</v>
      </c>
      <c r="G6507" s="34" t="n">
        <f aca="false">SUMIFS('12.326ana'!$C:$C,'12.326ana'!$M:$M,redes!A6507)</f>
        <v>0</v>
      </c>
    </row>
    <row r="6508" customFormat="false" ht="14.4" hidden="true" customHeight="false" outlineLevel="0" collapsed="false">
      <c r="A6508" s="34" t="n">
        <v>1981610000186</v>
      </c>
      <c r="B6508" s="34" t="s">
        <v>14273</v>
      </c>
      <c r="C6508" s="34" t="s">
        <v>351</v>
      </c>
      <c r="E6508" s="30" t="s">
        <v>6944</v>
      </c>
      <c r="F6508" s="34" t="n">
        <f aca="false">IFERROR(VLOOKUP($A6508,'319'!$B:$H,7,0),0)</f>
        <v>0</v>
      </c>
      <c r="G6508" s="34" t="n">
        <f aca="false">SUMIFS('12.326ana'!$C:$C,'12.326ana'!$M:$M,redes!A6508)</f>
        <v>0</v>
      </c>
    </row>
    <row r="6509" customFormat="false" ht="14.4" hidden="true" customHeight="false" outlineLevel="0" collapsed="false">
      <c r="A6509" s="34" t="n">
        <v>1986304000132</v>
      </c>
      <c r="B6509" s="34" t="s">
        <v>14274</v>
      </c>
      <c r="C6509" s="34" t="s">
        <v>77</v>
      </c>
      <c r="E6509" s="30" t="s">
        <v>14275</v>
      </c>
      <c r="F6509" s="34" t="n">
        <f aca="false">IFERROR(VLOOKUP($A6509,'319'!$B:$H,7,0),0)</f>
        <v>0</v>
      </c>
      <c r="G6509" s="34" t="n">
        <f aca="false">SUMIFS('12.326ana'!$C:$C,'12.326ana'!$M:$M,redes!A6509)</f>
        <v>0</v>
      </c>
    </row>
    <row r="6510" customFormat="false" ht="14.4" hidden="true" customHeight="false" outlineLevel="0" collapsed="false">
      <c r="A6510" s="34" t="n">
        <v>1986826000134</v>
      </c>
      <c r="B6510" s="34" t="s">
        <v>14276</v>
      </c>
      <c r="C6510" s="34" t="s">
        <v>77</v>
      </c>
      <c r="E6510" s="30" t="s">
        <v>3664</v>
      </c>
      <c r="F6510" s="34" t="n">
        <f aca="false">IFERROR(VLOOKUP($A6510,'319'!$B:$H,7,0),0)</f>
        <v>0</v>
      </c>
      <c r="G6510" s="34" t="n">
        <f aca="false">SUMIFS('12.326ana'!$C:$C,'12.326ana'!$M:$M,redes!A6510)</f>
        <v>0</v>
      </c>
    </row>
    <row r="6511" customFormat="false" ht="14.4" hidden="true" customHeight="false" outlineLevel="0" collapsed="false">
      <c r="A6511" s="34" t="n">
        <v>1988554000101</v>
      </c>
      <c r="B6511" s="34" t="s">
        <v>14277</v>
      </c>
      <c r="C6511" s="34" t="s">
        <v>77</v>
      </c>
      <c r="E6511" s="30" t="s">
        <v>14278</v>
      </c>
      <c r="F6511" s="34" t="n">
        <f aca="false">IFERROR(VLOOKUP($A6511,'319'!$B:$H,7,0),0)</f>
        <v>0</v>
      </c>
      <c r="G6511" s="34" t="n">
        <f aca="false">SUMIFS('12.326ana'!$C:$C,'12.326ana'!$M:$M,redes!A6511)</f>
        <v>0</v>
      </c>
    </row>
    <row r="6512" customFormat="false" ht="14.4" hidden="true" customHeight="false" outlineLevel="0" collapsed="false">
      <c r="A6512" s="34" t="n">
        <v>1989533000100</v>
      </c>
      <c r="B6512" s="34" t="s">
        <v>14279</v>
      </c>
      <c r="C6512" s="34" t="s">
        <v>103</v>
      </c>
      <c r="E6512" s="30" t="s">
        <v>10616</v>
      </c>
      <c r="F6512" s="34" t="n">
        <f aca="false">IFERROR(VLOOKUP($A6512,'319'!$B:$H,7,0),0)</f>
        <v>0</v>
      </c>
      <c r="G6512" s="34" t="n">
        <f aca="false">SUMIFS('12.326ana'!$C:$C,'12.326ana'!$M:$M,redes!A6512)</f>
        <v>0</v>
      </c>
    </row>
    <row r="6513" customFormat="false" ht="14.4" hidden="true" customHeight="false" outlineLevel="0" collapsed="false">
      <c r="A6513" s="34" t="n">
        <v>1990305000150</v>
      </c>
      <c r="B6513" s="34" t="s">
        <v>14280</v>
      </c>
      <c r="C6513" s="34" t="s">
        <v>107</v>
      </c>
      <c r="E6513" s="30" t="s">
        <v>14281</v>
      </c>
      <c r="F6513" s="34" t="n">
        <f aca="false">IFERROR(VLOOKUP($A6513,'319'!$B:$H,7,0),0)</f>
        <v>0</v>
      </c>
      <c r="G6513" s="34" t="n">
        <f aca="false">SUMIFS('12.326ana'!$C:$C,'12.326ana'!$M:$M,redes!A6513)</f>
        <v>0</v>
      </c>
    </row>
    <row r="6514" customFormat="false" ht="14.4" hidden="true" customHeight="false" outlineLevel="0" collapsed="false">
      <c r="A6514" s="34" t="n">
        <v>1991420000140</v>
      </c>
      <c r="B6514" s="34" t="s">
        <v>14282</v>
      </c>
      <c r="C6514" s="34" t="s">
        <v>139</v>
      </c>
      <c r="E6514" s="30" t="s">
        <v>14283</v>
      </c>
      <c r="F6514" s="34" t="n">
        <f aca="false">IFERROR(VLOOKUP($A6514,'319'!$B:$H,7,0),0)</f>
        <v>0</v>
      </c>
      <c r="G6514" s="34" t="n">
        <f aca="false">SUMIFS('12.326ana'!$C:$C,'12.326ana'!$M:$M,redes!A6514)</f>
        <v>0</v>
      </c>
    </row>
    <row r="6515" customFormat="false" ht="14.4" hidden="true" customHeight="false" outlineLevel="0" collapsed="false">
      <c r="A6515" s="34" t="n">
        <v>1995411000127</v>
      </c>
      <c r="B6515" s="34" t="s">
        <v>14284</v>
      </c>
      <c r="C6515" s="34" t="s">
        <v>842</v>
      </c>
      <c r="E6515" s="30" t="s">
        <v>14285</v>
      </c>
      <c r="F6515" s="34" t="n">
        <f aca="false">IFERROR(VLOOKUP($A6515,'319'!$B:$H,7,0),0)</f>
        <v>0</v>
      </c>
      <c r="G6515" s="34" t="n">
        <f aca="false">SUMIFS('12.326ana'!$C:$C,'12.326ana'!$M:$M,redes!A6515)</f>
        <v>0</v>
      </c>
    </row>
    <row r="6516" customFormat="false" ht="14.4" hidden="true" customHeight="false" outlineLevel="0" collapsed="false">
      <c r="A6516" s="34" t="n">
        <v>1996868000237</v>
      </c>
      <c r="B6516" s="34" t="s">
        <v>14286</v>
      </c>
      <c r="C6516" s="34" t="s">
        <v>77</v>
      </c>
      <c r="E6516" s="30" t="s">
        <v>14287</v>
      </c>
      <c r="F6516" s="34" t="n">
        <f aca="false">IFERROR(VLOOKUP($A6516,'319'!$B:$H,7,0),0)</f>
        <v>0</v>
      </c>
      <c r="G6516" s="34" t="n">
        <f aca="false">SUMIFS('12.326ana'!$C:$C,'12.326ana'!$M:$M,redes!A6516)</f>
        <v>0</v>
      </c>
    </row>
    <row r="6517" customFormat="false" ht="14.4" hidden="true" customHeight="false" outlineLevel="0" collapsed="false">
      <c r="A6517" s="34" t="n">
        <v>1997362000161</v>
      </c>
      <c r="B6517" s="34" t="s">
        <v>14288</v>
      </c>
      <c r="C6517" s="34" t="s">
        <v>77</v>
      </c>
      <c r="E6517" s="30" t="s">
        <v>14289</v>
      </c>
      <c r="F6517" s="34" t="n">
        <f aca="false">IFERROR(VLOOKUP($A6517,'319'!$B:$H,7,0),0)</f>
        <v>0</v>
      </c>
      <c r="G6517" s="34" t="n">
        <f aca="false">SUMIFS('12.326ana'!$C:$C,'12.326ana'!$M:$M,redes!A6517)</f>
        <v>0</v>
      </c>
    </row>
    <row r="6518" customFormat="false" ht="14.4" hidden="true" customHeight="false" outlineLevel="0" collapsed="false">
      <c r="A6518" s="34" t="n">
        <v>2000523000163</v>
      </c>
      <c r="B6518" s="34" t="s">
        <v>14290</v>
      </c>
      <c r="C6518" s="34" t="s">
        <v>77</v>
      </c>
      <c r="E6518" s="30" t="s">
        <v>14291</v>
      </c>
      <c r="F6518" s="34" t="n">
        <f aca="false">IFERROR(VLOOKUP($A6518,'319'!$B:$H,7,0),0)</f>
        <v>0</v>
      </c>
      <c r="G6518" s="34" t="n">
        <f aca="false">SUMIFS('12.326ana'!$C:$C,'12.326ana'!$M:$M,redes!A6518)</f>
        <v>0</v>
      </c>
    </row>
    <row r="6519" customFormat="false" ht="14.4" hidden="true" customHeight="false" outlineLevel="0" collapsed="false">
      <c r="A6519" s="34" t="n">
        <v>2000793000174</v>
      </c>
      <c r="B6519" s="34" t="s">
        <v>14292</v>
      </c>
      <c r="C6519" s="34" t="s">
        <v>463</v>
      </c>
      <c r="E6519" s="30" t="s">
        <v>14293</v>
      </c>
      <c r="F6519" s="34" t="n">
        <f aca="false">IFERROR(VLOOKUP($A6519,'319'!$B:$H,7,0),0)</f>
        <v>0</v>
      </c>
      <c r="G6519" s="34" t="n">
        <f aca="false">SUMIFS('12.326ana'!$C:$C,'12.326ana'!$M:$M,redes!A6519)</f>
        <v>0</v>
      </c>
    </row>
    <row r="6520" customFormat="false" ht="14.4" hidden="true" customHeight="false" outlineLevel="0" collapsed="false">
      <c r="A6520" s="34" t="n">
        <v>2001207000106</v>
      </c>
      <c r="B6520" s="34" t="s">
        <v>14294</v>
      </c>
      <c r="C6520" s="34" t="s">
        <v>473</v>
      </c>
      <c r="E6520" s="30" t="s">
        <v>14295</v>
      </c>
      <c r="F6520" s="34" t="n">
        <f aca="false">IFERROR(VLOOKUP($A6520,'319'!$B:$H,7,0),0)</f>
        <v>0</v>
      </c>
      <c r="G6520" s="34" t="n">
        <f aca="false">SUMIFS('12.326ana'!$C:$C,'12.326ana'!$M:$M,redes!A6520)</f>
        <v>0</v>
      </c>
    </row>
    <row r="6521" customFormat="false" ht="14.4" hidden="true" customHeight="false" outlineLevel="0" collapsed="false">
      <c r="A6521" s="34" t="n">
        <v>2001652000176</v>
      </c>
      <c r="B6521" s="34" t="s">
        <v>14296</v>
      </c>
      <c r="C6521" s="34" t="s">
        <v>77</v>
      </c>
      <c r="E6521" s="30" t="s">
        <v>14297</v>
      </c>
      <c r="F6521" s="34" t="n">
        <f aca="false">IFERROR(VLOOKUP($A6521,'319'!$B:$H,7,0),0)</f>
        <v>0</v>
      </c>
      <c r="G6521" s="34" t="n">
        <f aca="false">SUMIFS('12.326ana'!$C:$C,'12.326ana'!$M:$M,redes!A6521)</f>
        <v>0</v>
      </c>
    </row>
    <row r="6522" customFormat="false" ht="14.4" hidden="true" customHeight="false" outlineLevel="0" collapsed="false">
      <c r="A6522" s="34" t="n">
        <v>2003362000161</v>
      </c>
      <c r="B6522" s="34" t="s">
        <v>14298</v>
      </c>
      <c r="C6522" s="34" t="s">
        <v>737</v>
      </c>
      <c r="E6522" s="30" t="s">
        <v>8490</v>
      </c>
      <c r="F6522" s="34" t="n">
        <f aca="false">IFERROR(VLOOKUP($A6522,'319'!$B:$H,7,0),0)</f>
        <v>0</v>
      </c>
      <c r="G6522" s="34" t="n">
        <f aca="false">SUMIFS('12.326ana'!$C:$C,'12.326ana'!$M:$M,redes!A6522)</f>
        <v>0</v>
      </c>
    </row>
    <row r="6523" customFormat="false" ht="14.4" hidden="true" customHeight="false" outlineLevel="0" collapsed="false">
      <c r="A6523" s="34" t="n">
        <v>2003402000922</v>
      </c>
      <c r="B6523" s="34" t="s">
        <v>14299</v>
      </c>
      <c r="C6523" s="34" t="s">
        <v>77</v>
      </c>
      <c r="E6523" s="30" t="s">
        <v>14300</v>
      </c>
      <c r="F6523" s="34" t="n">
        <f aca="false">IFERROR(VLOOKUP($A6523,'319'!$B:$H,7,0),0)</f>
        <v>0</v>
      </c>
      <c r="G6523" s="34" t="n">
        <f aca="false">SUMIFS('12.326ana'!$C:$C,'12.326ana'!$M:$M,redes!A6523)</f>
        <v>0</v>
      </c>
    </row>
    <row r="6524" customFormat="false" ht="14.4" hidden="true" customHeight="false" outlineLevel="0" collapsed="false">
      <c r="A6524" s="34" t="n">
        <v>2007806000137</v>
      </c>
      <c r="B6524" s="34" t="s">
        <v>14301</v>
      </c>
      <c r="C6524" s="34" t="s">
        <v>342</v>
      </c>
      <c r="E6524" s="30" t="s">
        <v>14302</v>
      </c>
      <c r="F6524" s="34" t="n">
        <f aca="false">IFERROR(VLOOKUP($A6524,'319'!$B:$H,7,0),0)</f>
        <v>0</v>
      </c>
      <c r="G6524" s="34" t="n">
        <f aca="false">SUMIFS('12.326ana'!$C:$C,'12.326ana'!$M:$M,redes!A6524)</f>
        <v>0</v>
      </c>
    </row>
    <row r="6525" customFormat="false" ht="14.4" hidden="true" customHeight="false" outlineLevel="0" collapsed="false">
      <c r="A6525" s="34" t="n">
        <v>2008185000106</v>
      </c>
      <c r="B6525" s="34" t="s">
        <v>14303</v>
      </c>
      <c r="C6525" s="34" t="s">
        <v>464</v>
      </c>
      <c r="E6525" s="30" t="s">
        <v>14304</v>
      </c>
      <c r="F6525" s="34" t="n">
        <f aca="false">IFERROR(VLOOKUP($A6525,'319'!$B:$H,7,0),0)</f>
        <v>0</v>
      </c>
      <c r="G6525" s="34" t="n">
        <f aca="false">SUMIFS('12.326ana'!$C:$C,'12.326ana'!$M:$M,redes!A6525)</f>
        <v>0</v>
      </c>
    </row>
    <row r="6526" customFormat="false" ht="14.4" hidden="true" customHeight="false" outlineLevel="0" collapsed="false">
      <c r="A6526" s="34" t="n">
        <v>2011046000131</v>
      </c>
      <c r="B6526" s="34" t="s">
        <v>14305</v>
      </c>
      <c r="C6526" s="34" t="s">
        <v>954</v>
      </c>
      <c r="E6526" s="30" t="s">
        <v>11606</v>
      </c>
      <c r="F6526" s="34" t="n">
        <f aca="false">IFERROR(VLOOKUP($A6526,'319'!$B:$H,7,0),0)</f>
        <v>0</v>
      </c>
      <c r="G6526" s="34" t="n">
        <f aca="false">SUMIFS('12.326ana'!$C:$C,'12.326ana'!$M:$M,redes!A6526)</f>
        <v>0</v>
      </c>
    </row>
    <row r="6527" customFormat="false" ht="14.4" hidden="true" customHeight="false" outlineLevel="0" collapsed="false">
      <c r="A6527" s="34" t="n">
        <v>2011061000180</v>
      </c>
      <c r="B6527" s="34" t="s">
        <v>14306</v>
      </c>
      <c r="C6527" s="34" t="s">
        <v>4261</v>
      </c>
      <c r="E6527" s="30" t="s">
        <v>14307</v>
      </c>
      <c r="F6527" s="34" t="n">
        <f aca="false">IFERROR(VLOOKUP($A6527,'319'!$B:$H,7,0),0)</f>
        <v>0</v>
      </c>
      <c r="G6527" s="34" t="n">
        <f aca="false">SUMIFS('12.326ana'!$C:$C,'12.326ana'!$M:$M,redes!A6527)</f>
        <v>0</v>
      </c>
    </row>
    <row r="6528" customFormat="false" ht="14.4" hidden="true" customHeight="false" outlineLevel="0" collapsed="false">
      <c r="A6528" s="34" t="n">
        <v>2014856000141</v>
      </c>
      <c r="B6528" s="34" t="s">
        <v>14308</v>
      </c>
      <c r="C6528" s="34" t="s">
        <v>139</v>
      </c>
      <c r="E6528" s="30" t="s">
        <v>14309</v>
      </c>
      <c r="F6528" s="34" t="n">
        <f aca="false">IFERROR(VLOOKUP($A6528,'319'!$B:$H,7,0),0)</f>
        <v>0</v>
      </c>
      <c r="G6528" s="34" t="n">
        <f aca="false">SUMIFS('12.326ana'!$C:$C,'12.326ana'!$M:$M,redes!A6528)</f>
        <v>0</v>
      </c>
    </row>
    <row r="6529" customFormat="false" ht="14.4" hidden="true" customHeight="false" outlineLevel="0" collapsed="false">
      <c r="A6529" s="34" t="n">
        <v>2017720000195</v>
      </c>
      <c r="B6529" s="34" t="s">
        <v>14310</v>
      </c>
      <c r="C6529" s="34" t="s">
        <v>77</v>
      </c>
      <c r="E6529" s="30" t="s">
        <v>14311</v>
      </c>
      <c r="F6529" s="34" t="n">
        <f aca="false">IFERROR(VLOOKUP($A6529,'319'!$B:$H,7,0),0)</f>
        <v>0</v>
      </c>
      <c r="G6529" s="34" t="n">
        <f aca="false">SUMIFS('12.326ana'!$C:$C,'12.326ana'!$M:$M,redes!A6529)</f>
        <v>0</v>
      </c>
    </row>
    <row r="6530" customFormat="false" ht="14.4" hidden="true" customHeight="false" outlineLevel="0" collapsed="false">
      <c r="A6530" s="34" t="n">
        <v>2020691000110</v>
      </c>
      <c r="B6530" s="34" t="s">
        <v>14312</v>
      </c>
      <c r="C6530" s="34" t="s">
        <v>77</v>
      </c>
      <c r="E6530" s="30" t="s">
        <v>14313</v>
      </c>
      <c r="F6530" s="34" t="n">
        <f aca="false">IFERROR(VLOOKUP($A6530,'319'!$B:$H,7,0),0)</f>
        <v>0</v>
      </c>
      <c r="G6530" s="34" t="n">
        <f aca="false">SUMIFS('12.326ana'!$C:$C,'12.326ana'!$M:$M,redes!A6530)</f>
        <v>0</v>
      </c>
    </row>
    <row r="6531" customFormat="false" ht="14.4" hidden="true" customHeight="false" outlineLevel="0" collapsed="false">
      <c r="A6531" s="34" t="n">
        <v>2020980000110</v>
      </c>
      <c r="B6531" s="34" t="s">
        <v>14314</v>
      </c>
      <c r="C6531" s="34" t="s">
        <v>107</v>
      </c>
      <c r="E6531" s="30" t="s">
        <v>14315</v>
      </c>
      <c r="F6531" s="34" t="n">
        <f aca="false">IFERROR(VLOOKUP($A6531,'319'!$B:$H,7,0),0)</f>
        <v>0</v>
      </c>
      <c r="G6531" s="34" t="n">
        <f aca="false">SUMIFS('12.326ana'!$C:$C,'12.326ana'!$M:$M,redes!A6531)</f>
        <v>0</v>
      </c>
    </row>
    <row r="6532" customFormat="false" ht="14.4" hidden="true" customHeight="false" outlineLevel="0" collapsed="false">
      <c r="A6532" s="34" t="n">
        <v>2021715000156</v>
      </c>
      <c r="B6532" s="34" t="s">
        <v>14316</v>
      </c>
      <c r="C6532" s="34" t="s">
        <v>192</v>
      </c>
      <c r="E6532" s="30" t="s">
        <v>14317</v>
      </c>
      <c r="F6532" s="34" t="n">
        <f aca="false">IFERROR(VLOOKUP($A6532,'319'!$B:$H,7,0),0)</f>
        <v>0</v>
      </c>
      <c r="G6532" s="34" t="n">
        <f aca="false">SUMIFS('12.326ana'!$C:$C,'12.326ana'!$M:$M,redes!A6532)</f>
        <v>0</v>
      </c>
    </row>
    <row r="6533" customFormat="false" ht="14.4" hidden="true" customHeight="false" outlineLevel="0" collapsed="false">
      <c r="A6533" s="34" t="n">
        <v>2021988000109</v>
      </c>
      <c r="B6533" s="34" t="s">
        <v>14318</v>
      </c>
      <c r="C6533" s="34" t="s">
        <v>565</v>
      </c>
      <c r="E6533" s="30" t="s">
        <v>14319</v>
      </c>
      <c r="F6533" s="34" t="n">
        <f aca="false">IFERROR(VLOOKUP($A6533,'319'!$B:$H,7,0),0)</f>
        <v>0</v>
      </c>
      <c r="G6533" s="34" t="n">
        <f aca="false">SUMIFS('12.326ana'!$C:$C,'12.326ana'!$M:$M,redes!A6533)</f>
        <v>0</v>
      </c>
    </row>
    <row r="6534" customFormat="false" ht="14.4" hidden="true" customHeight="false" outlineLevel="0" collapsed="false">
      <c r="A6534" s="34" t="n">
        <v>2022807000150</v>
      </c>
      <c r="B6534" s="34" t="s">
        <v>14320</v>
      </c>
      <c r="C6534" s="34" t="s">
        <v>107</v>
      </c>
      <c r="E6534" s="30" t="s">
        <v>14321</v>
      </c>
      <c r="F6534" s="34" t="n">
        <f aca="false">IFERROR(VLOOKUP($A6534,'319'!$B:$H,7,0),0)</f>
        <v>0</v>
      </c>
      <c r="G6534" s="34" t="n">
        <f aca="false">SUMIFS('12.326ana'!$C:$C,'12.326ana'!$M:$M,redes!A6534)</f>
        <v>0</v>
      </c>
    </row>
    <row r="6535" customFormat="false" ht="14.4" hidden="true" customHeight="false" outlineLevel="0" collapsed="false">
      <c r="A6535" s="34" t="n">
        <v>2023597000115</v>
      </c>
      <c r="B6535" s="34" t="s">
        <v>14322</v>
      </c>
      <c r="C6535" s="34" t="s">
        <v>77</v>
      </c>
      <c r="E6535" s="30" t="s">
        <v>4081</v>
      </c>
      <c r="F6535" s="34" t="n">
        <f aca="false">IFERROR(VLOOKUP($A6535,'319'!$B:$H,7,0),0)</f>
        <v>0</v>
      </c>
      <c r="G6535" s="34" t="n">
        <f aca="false">SUMIFS('12.326ana'!$C:$C,'12.326ana'!$M:$M,redes!A6535)</f>
        <v>0</v>
      </c>
    </row>
    <row r="6536" customFormat="false" ht="14.4" hidden="true" customHeight="false" outlineLevel="0" collapsed="false">
      <c r="A6536" s="34" t="n">
        <v>2025301000103</v>
      </c>
      <c r="B6536" s="34" t="s">
        <v>14323</v>
      </c>
      <c r="C6536" s="34" t="s">
        <v>979</v>
      </c>
      <c r="E6536" s="30" t="s">
        <v>14324</v>
      </c>
      <c r="F6536" s="34" t="n">
        <f aca="false">IFERROR(VLOOKUP($A6536,'319'!$B:$H,7,0),0)</f>
        <v>0</v>
      </c>
      <c r="G6536" s="34" t="n">
        <f aca="false">SUMIFS('12.326ana'!$C:$C,'12.326ana'!$M:$M,redes!A6536)</f>
        <v>0</v>
      </c>
    </row>
    <row r="6537" customFormat="false" ht="14.4" hidden="true" customHeight="false" outlineLevel="0" collapsed="false">
      <c r="A6537" s="34" t="n">
        <v>2026542000169</v>
      </c>
      <c r="B6537" s="34" t="s">
        <v>14325</v>
      </c>
      <c r="C6537" s="34" t="s">
        <v>77</v>
      </c>
      <c r="E6537" s="30" t="s">
        <v>7021</v>
      </c>
      <c r="F6537" s="34" t="n">
        <f aca="false">IFERROR(VLOOKUP($A6537,'319'!$B:$H,7,0),0)</f>
        <v>0</v>
      </c>
      <c r="G6537" s="34" t="n">
        <f aca="false">SUMIFS('12.326ana'!$C:$C,'12.326ana'!$M:$M,redes!A6537)</f>
        <v>0</v>
      </c>
    </row>
    <row r="6538" customFormat="false" ht="14.4" hidden="true" customHeight="false" outlineLevel="0" collapsed="false">
      <c r="A6538" s="34" t="n">
        <v>2026543000103</v>
      </c>
      <c r="B6538" s="34" t="s">
        <v>14326</v>
      </c>
      <c r="C6538" s="34" t="s">
        <v>77</v>
      </c>
      <c r="E6538" s="30" t="s">
        <v>14327</v>
      </c>
      <c r="F6538" s="34" t="n">
        <f aca="false">IFERROR(VLOOKUP($A6538,'319'!$B:$H,7,0),0)</f>
        <v>0</v>
      </c>
      <c r="G6538" s="34" t="n">
        <f aca="false">SUMIFS('12.326ana'!$C:$C,'12.326ana'!$M:$M,redes!A6538)</f>
        <v>0</v>
      </c>
    </row>
    <row r="6539" customFormat="false" ht="14.4" hidden="true" customHeight="false" outlineLevel="0" collapsed="false">
      <c r="A6539" s="34" t="n">
        <v>2027340000131</v>
      </c>
      <c r="B6539" s="34" t="s">
        <v>14328</v>
      </c>
      <c r="C6539" s="34" t="s">
        <v>935</v>
      </c>
      <c r="E6539" s="30" t="s">
        <v>14329</v>
      </c>
      <c r="F6539" s="34" t="n">
        <f aca="false">IFERROR(VLOOKUP($A6539,'319'!$B:$H,7,0),0)</f>
        <v>0</v>
      </c>
      <c r="G6539" s="34" t="n">
        <f aca="false">SUMIFS('12.326ana'!$C:$C,'12.326ana'!$M:$M,redes!A6539)</f>
        <v>0</v>
      </c>
    </row>
    <row r="6540" customFormat="false" ht="14.4" hidden="true" customHeight="false" outlineLevel="0" collapsed="false">
      <c r="A6540" s="34" t="n">
        <v>2027555000152</v>
      </c>
      <c r="B6540" s="34" t="s">
        <v>14330</v>
      </c>
      <c r="C6540" s="34" t="s">
        <v>4139</v>
      </c>
      <c r="E6540" s="30" t="s">
        <v>14331</v>
      </c>
      <c r="F6540" s="34" t="n">
        <f aca="false">IFERROR(VLOOKUP($A6540,'319'!$B:$H,7,0),0)</f>
        <v>0</v>
      </c>
      <c r="G6540" s="34" t="n">
        <f aca="false">SUMIFS('12.326ana'!$C:$C,'12.326ana'!$M:$M,redes!A6540)</f>
        <v>0</v>
      </c>
    </row>
    <row r="6541" customFormat="false" ht="14.4" hidden="true" customHeight="false" outlineLevel="0" collapsed="false">
      <c r="A6541" s="34" t="n">
        <v>2029064000140</v>
      </c>
      <c r="B6541" s="34" t="s">
        <v>14332</v>
      </c>
      <c r="C6541" s="34" t="s">
        <v>478</v>
      </c>
      <c r="E6541" s="30" t="s">
        <v>14333</v>
      </c>
      <c r="F6541" s="34" t="n">
        <f aca="false">IFERROR(VLOOKUP($A6541,'319'!$B:$H,7,0),0)</f>
        <v>0</v>
      </c>
      <c r="G6541" s="34" t="n">
        <f aca="false">SUMIFS('12.326ana'!$C:$C,'12.326ana'!$M:$M,redes!A6541)</f>
        <v>0</v>
      </c>
    </row>
    <row r="6542" customFormat="false" ht="14.4" hidden="true" customHeight="false" outlineLevel="0" collapsed="false">
      <c r="A6542" s="34" t="n">
        <v>2029253000113</v>
      </c>
      <c r="B6542" s="34" t="s">
        <v>14334</v>
      </c>
      <c r="C6542" s="34" t="s">
        <v>77</v>
      </c>
      <c r="E6542" s="30" t="s">
        <v>14335</v>
      </c>
      <c r="F6542" s="34" t="n">
        <f aca="false">IFERROR(VLOOKUP($A6542,'319'!$B:$H,7,0),0)</f>
        <v>0</v>
      </c>
      <c r="G6542" s="34" t="n">
        <f aca="false">SUMIFS('12.326ana'!$C:$C,'12.326ana'!$M:$M,redes!A6542)</f>
        <v>0</v>
      </c>
    </row>
    <row r="6543" customFormat="false" ht="14.4" hidden="true" customHeight="false" outlineLevel="0" collapsed="false">
      <c r="A6543" s="34" t="n">
        <v>2029280000196</v>
      </c>
      <c r="B6543" s="34" t="s">
        <v>14336</v>
      </c>
      <c r="C6543" s="34" t="s">
        <v>357</v>
      </c>
      <c r="E6543" s="30" t="s">
        <v>14337</v>
      </c>
      <c r="F6543" s="34" t="n">
        <f aca="false">IFERROR(VLOOKUP($A6543,'319'!$B:$H,7,0),0)</f>
        <v>0</v>
      </c>
      <c r="G6543" s="34" t="n">
        <f aca="false">SUMIFS('12.326ana'!$C:$C,'12.326ana'!$M:$M,redes!A6543)</f>
        <v>0</v>
      </c>
    </row>
    <row r="6544" customFormat="false" ht="14.4" hidden="true" customHeight="false" outlineLevel="0" collapsed="false">
      <c r="A6544" s="34" t="n">
        <v>2029827000153</v>
      </c>
      <c r="B6544" s="34" t="s">
        <v>14338</v>
      </c>
      <c r="C6544" s="34" t="s">
        <v>309</v>
      </c>
      <c r="E6544" s="30" t="s">
        <v>14339</v>
      </c>
      <c r="F6544" s="34" t="n">
        <f aca="false">IFERROR(VLOOKUP($A6544,'319'!$B:$H,7,0),0)</f>
        <v>0</v>
      </c>
      <c r="G6544" s="34" t="n">
        <f aca="false">SUMIFS('12.326ana'!$C:$C,'12.326ana'!$M:$M,redes!A6544)</f>
        <v>0</v>
      </c>
    </row>
    <row r="6545" customFormat="false" ht="14.4" hidden="true" customHeight="false" outlineLevel="0" collapsed="false">
      <c r="A6545" s="34" t="n">
        <v>2031458000133</v>
      </c>
      <c r="B6545" s="34" t="s">
        <v>14340</v>
      </c>
      <c r="C6545" s="34" t="s">
        <v>77</v>
      </c>
      <c r="E6545" s="30" t="s">
        <v>14341</v>
      </c>
      <c r="F6545" s="34" t="n">
        <f aca="false">IFERROR(VLOOKUP($A6545,'319'!$B:$H,7,0),0)</f>
        <v>0</v>
      </c>
      <c r="G6545" s="34" t="n">
        <f aca="false">SUMIFS('12.326ana'!$C:$C,'12.326ana'!$M:$M,redes!A6545)</f>
        <v>0</v>
      </c>
    </row>
    <row r="6546" customFormat="false" ht="14.4" hidden="true" customHeight="false" outlineLevel="0" collapsed="false">
      <c r="A6546" s="34" t="n">
        <v>2031458000567</v>
      </c>
      <c r="B6546" s="34" t="s">
        <v>14340</v>
      </c>
      <c r="C6546" s="34" t="s">
        <v>77</v>
      </c>
      <c r="E6546" s="30" t="s">
        <v>14342</v>
      </c>
      <c r="F6546" s="34" t="n">
        <f aca="false">IFERROR(VLOOKUP($A6546,'319'!$B:$H,7,0),0)</f>
        <v>0</v>
      </c>
      <c r="G6546" s="34" t="n">
        <f aca="false">SUMIFS('12.326ana'!$C:$C,'12.326ana'!$M:$M,redes!A6546)</f>
        <v>0</v>
      </c>
    </row>
    <row r="6547" customFormat="false" ht="14.4" hidden="true" customHeight="false" outlineLevel="0" collapsed="false">
      <c r="A6547" s="34" t="n">
        <v>2031680000136</v>
      </c>
      <c r="B6547" s="34" t="s">
        <v>14343</v>
      </c>
      <c r="C6547" s="34" t="s">
        <v>77</v>
      </c>
      <c r="E6547" s="30" t="s">
        <v>14344</v>
      </c>
      <c r="F6547" s="34" t="n">
        <f aca="false">IFERROR(VLOOKUP($A6547,'319'!$B:$H,7,0),0)</f>
        <v>0</v>
      </c>
      <c r="G6547" s="34" t="n">
        <f aca="false">SUMIFS('12.326ana'!$C:$C,'12.326ana'!$M:$M,redes!A6547)</f>
        <v>0</v>
      </c>
    </row>
    <row r="6548" customFormat="false" ht="14.4" hidden="true" customHeight="false" outlineLevel="0" collapsed="false">
      <c r="A6548" s="34" t="n">
        <v>2032089000101</v>
      </c>
      <c r="B6548" s="34" t="s">
        <v>14345</v>
      </c>
      <c r="C6548" s="34" t="s">
        <v>139</v>
      </c>
      <c r="E6548" s="30" t="s">
        <v>14346</v>
      </c>
      <c r="F6548" s="34" t="n">
        <f aca="false">IFERROR(VLOOKUP($A6548,'319'!$B:$H,7,0),0)</f>
        <v>0</v>
      </c>
      <c r="G6548" s="34" t="n">
        <f aca="false">SUMIFS('12.326ana'!$C:$C,'12.326ana'!$M:$M,redes!A6548)</f>
        <v>0</v>
      </c>
    </row>
    <row r="6549" customFormat="false" ht="14.4" hidden="true" customHeight="false" outlineLevel="0" collapsed="false">
      <c r="A6549" s="34" t="n">
        <v>2032436000198</v>
      </c>
      <c r="B6549" s="34" t="s">
        <v>14347</v>
      </c>
      <c r="C6549" s="34" t="s">
        <v>77</v>
      </c>
      <c r="E6549" s="30" t="s">
        <v>14348</v>
      </c>
      <c r="F6549" s="34" t="n">
        <f aca="false">IFERROR(VLOOKUP($A6549,'319'!$B:$H,7,0),0)</f>
        <v>0</v>
      </c>
      <c r="G6549" s="34" t="n">
        <f aca="false">SUMIFS('12.326ana'!$C:$C,'12.326ana'!$M:$M,redes!A6549)</f>
        <v>0</v>
      </c>
    </row>
    <row r="6550" customFormat="false" ht="14.4" hidden="true" customHeight="false" outlineLevel="0" collapsed="false">
      <c r="A6550" s="34" t="n">
        <v>2033180000133</v>
      </c>
      <c r="B6550" s="34" t="s">
        <v>14349</v>
      </c>
      <c r="C6550" s="34" t="s">
        <v>1591</v>
      </c>
      <c r="E6550" s="30" t="s">
        <v>3078</v>
      </c>
      <c r="F6550" s="34" t="n">
        <f aca="false">IFERROR(VLOOKUP($A6550,'319'!$B:$H,7,0),0)</f>
        <v>0</v>
      </c>
      <c r="G6550" s="34" t="n">
        <f aca="false">SUMIFS('12.326ana'!$C:$C,'12.326ana'!$M:$M,redes!A6550)</f>
        <v>0</v>
      </c>
    </row>
    <row r="6551" customFormat="false" ht="14.4" hidden="true" customHeight="false" outlineLevel="0" collapsed="false">
      <c r="A6551" s="34" t="n">
        <v>2033462000130</v>
      </c>
      <c r="B6551" s="34" t="s">
        <v>14350</v>
      </c>
      <c r="C6551" s="34" t="s">
        <v>744</v>
      </c>
      <c r="E6551" s="30" t="s">
        <v>14351</v>
      </c>
      <c r="F6551" s="34" t="n">
        <f aca="false">IFERROR(VLOOKUP($A6551,'319'!$B:$H,7,0),0)</f>
        <v>0</v>
      </c>
      <c r="G6551" s="34" t="n">
        <f aca="false">SUMIFS('12.326ana'!$C:$C,'12.326ana'!$M:$M,redes!A6551)</f>
        <v>0</v>
      </c>
    </row>
    <row r="6552" customFormat="false" ht="14.4" hidden="true" customHeight="false" outlineLevel="0" collapsed="false">
      <c r="A6552" s="34" t="n">
        <v>2033660000102</v>
      </c>
      <c r="B6552" s="34" t="s">
        <v>14352</v>
      </c>
      <c r="C6552" s="34" t="s">
        <v>299</v>
      </c>
      <c r="E6552" s="30" t="s">
        <v>3790</v>
      </c>
      <c r="F6552" s="34" t="n">
        <f aca="false">IFERROR(VLOOKUP($A6552,'319'!$B:$H,7,0),0)</f>
        <v>0</v>
      </c>
      <c r="G6552" s="34" t="n">
        <f aca="false">SUMIFS('12.326ana'!$C:$C,'12.326ana'!$M:$M,redes!A6552)</f>
        <v>0</v>
      </c>
    </row>
    <row r="6553" customFormat="false" ht="14.4" hidden="true" customHeight="false" outlineLevel="0" collapsed="false">
      <c r="A6553" s="34" t="n">
        <v>2034230000105</v>
      </c>
      <c r="B6553" s="34" t="s">
        <v>14353</v>
      </c>
      <c r="C6553" s="34" t="s">
        <v>77</v>
      </c>
      <c r="E6553" s="30" t="s">
        <v>14354</v>
      </c>
      <c r="F6553" s="34" t="n">
        <f aca="false">IFERROR(VLOOKUP($A6553,'319'!$B:$H,7,0),0)</f>
        <v>0</v>
      </c>
      <c r="G6553" s="34" t="n">
        <f aca="false">SUMIFS('12.326ana'!$C:$C,'12.326ana'!$M:$M,redes!A6553)</f>
        <v>0</v>
      </c>
    </row>
    <row r="6554" customFormat="false" ht="14.4" hidden="true" customHeight="false" outlineLevel="0" collapsed="false">
      <c r="A6554" s="34" t="n">
        <v>2034502000169</v>
      </c>
      <c r="B6554" s="34" t="s">
        <v>14355</v>
      </c>
      <c r="C6554" s="34" t="s">
        <v>192</v>
      </c>
      <c r="E6554" s="30" t="s">
        <v>14356</v>
      </c>
      <c r="F6554" s="34" t="n">
        <f aca="false">IFERROR(VLOOKUP($A6554,'319'!$B:$H,7,0),0)</f>
        <v>0</v>
      </c>
      <c r="G6554" s="34" t="n">
        <f aca="false">SUMIFS('12.326ana'!$C:$C,'12.326ana'!$M:$M,redes!A6554)</f>
        <v>0</v>
      </c>
    </row>
    <row r="6555" customFormat="false" ht="14.4" hidden="true" customHeight="false" outlineLevel="0" collapsed="false">
      <c r="A6555" s="34" t="n">
        <v>2035046000171</v>
      </c>
      <c r="B6555" s="34" t="s">
        <v>14357</v>
      </c>
      <c r="C6555" s="34" t="s">
        <v>213</v>
      </c>
      <c r="E6555" s="30" t="s">
        <v>14358</v>
      </c>
      <c r="F6555" s="34" t="n">
        <f aca="false">IFERROR(VLOOKUP($A6555,'319'!$B:$H,7,0),0)</f>
        <v>0</v>
      </c>
      <c r="G6555" s="34" t="n">
        <f aca="false">SUMIFS('12.326ana'!$C:$C,'12.326ana'!$M:$M,redes!A6555)</f>
        <v>0</v>
      </c>
    </row>
    <row r="6556" customFormat="false" ht="14.4" hidden="true" customHeight="false" outlineLevel="0" collapsed="false">
      <c r="A6556" s="34" t="n">
        <v>2035533000134</v>
      </c>
      <c r="B6556" s="34" t="s">
        <v>14359</v>
      </c>
      <c r="C6556" s="34" t="s">
        <v>604</v>
      </c>
      <c r="E6556" s="30" t="s">
        <v>14360</v>
      </c>
      <c r="F6556" s="34" t="n">
        <f aca="false">IFERROR(VLOOKUP($A6556,'319'!$B:$H,7,0),0)</f>
        <v>0</v>
      </c>
      <c r="G6556" s="34" t="n">
        <f aca="false">SUMIFS('12.326ana'!$C:$C,'12.326ana'!$M:$M,redes!A6556)</f>
        <v>0</v>
      </c>
    </row>
    <row r="6557" customFormat="false" ht="14.4" hidden="true" customHeight="false" outlineLevel="0" collapsed="false">
      <c r="A6557" s="34" t="n">
        <v>2035608000187</v>
      </c>
      <c r="B6557" s="34" t="s">
        <v>14361</v>
      </c>
      <c r="C6557" s="34" t="s">
        <v>107</v>
      </c>
      <c r="E6557" s="30" t="s">
        <v>14362</v>
      </c>
      <c r="F6557" s="34" t="n">
        <f aca="false">IFERROR(VLOOKUP($A6557,'319'!$B:$H,7,0),0)</f>
        <v>0</v>
      </c>
      <c r="G6557" s="34" t="n">
        <f aca="false">SUMIFS('12.326ana'!$C:$C,'12.326ana'!$M:$M,redes!A6557)</f>
        <v>0</v>
      </c>
    </row>
    <row r="6558" customFormat="false" ht="14.4" hidden="true" customHeight="false" outlineLevel="0" collapsed="false">
      <c r="A6558" s="34" t="n">
        <v>2036879000157</v>
      </c>
      <c r="B6558" s="34" t="s">
        <v>14363</v>
      </c>
      <c r="C6558" s="34" t="s">
        <v>464</v>
      </c>
      <c r="E6558" s="30" t="s">
        <v>5494</v>
      </c>
      <c r="F6558" s="34" t="n">
        <f aca="false">IFERROR(VLOOKUP($A6558,'319'!$B:$H,7,0),0)</f>
        <v>0</v>
      </c>
      <c r="G6558" s="34" t="n">
        <f aca="false">SUMIFS('12.326ana'!$C:$C,'12.326ana'!$M:$M,redes!A6558)</f>
        <v>0</v>
      </c>
    </row>
    <row r="6559" customFormat="false" ht="14.4" hidden="true" customHeight="false" outlineLevel="0" collapsed="false">
      <c r="A6559" s="34" t="n">
        <v>2036923000129</v>
      </c>
      <c r="B6559" s="34" t="s">
        <v>14364</v>
      </c>
      <c r="C6559" s="34" t="s">
        <v>377</v>
      </c>
      <c r="E6559" s="30" t="s">
        <v>14365</v>
      </c>
      <c r="F6559" s="34" t="n">
        <f aca="false">IFERROR(VLOOKUP($A6559,'319'!$B:$H,7,0),0)</f>
        <v>0</v>
      </c>
      <c r="G6559" s="34" t="n">
        <f aca="false">SUMIFS('12.326ana'!$C:$C,'12.326ana'!$M:$M,redes!A6559)</f>
        <v>0</v>
      </c>
    </row>
    <row r="6560" customFormat="false" ht="14.4" hidden="true" customHeight="false" outlineLevel="0" collapsed="false">
      <c r="A6560" s="34" t="n">
        <v>2037489000100</v>
      </c>
      <c r="B6560" s="34" t="s">
        <v>14366</v>
      </c>
      <c r="C6560" s="34" t="s">
        <v>1054</v>
      </c>
      <c r="E6560" s="30" t="s">
        <v>14367</v>
      </c>
      <c r="F6560" s="34" t="n">
        <f aca="false">IFERROR(VLOOKUP($A6560,'319'!$B:$H,7,0),0)</f>
        <v>0</v>
      </c>
      <c r="G6560" s="34" t="n">
        <f aca="false">SUMIFS('12.326ana'!$C:$C,'12.326ana'!$M:$M,redes!A6560)</f>
        <v>0</v>
      </c>
    </row>
    <row r="6561" customFormat="false" ht="14.4" hidden="true" customHeight="false" outlineLevel="0" collapsed="false">
      <c r="A6561" s="34" t="n">
        <v>2037957000138</v>
      </c>
      <c r="B6561" s="34" t="s">
        <v>14368</v>
      </c>
      <c r="C6561" s="34" t="s">
        <v>377</v>
      </c>
      <c r="E6561" s="30" t="s">
        <v>14369</v>
      </c>
      <c r="F6561" s="34" t="n">
        <f aca="false">IFERROR(VLOOKUP($A6561,'319'!$B:$H,7,0),0)</f>
        <v>0</v>
      </c>
      <c r="G6561" s="34" t="n">
        <f aca="false">SUMIFS('12.326ana'!$C:$C,'12.326ana'!$M:$M,redes!A6561)</f>
        <v>0</v>
      </c>
    </row>
    <row r="6562" customFormat="false" ht="14.4" hidden="true" customHeight="false" outlineLevel="0" collapsed="false">
      <c r="A6562" s="34" t="n">
        <v>2039603000122</v>
      </c>
      <c r="B6562" s="34" t="s">
        <v>14370</v>
      </c>
      <c r="C6562" s="34" t="s">
        <v>77</v>
      </c>
      <c r="E6562" s="30" t="s">
        <v>14371</v>
      </c>
      <c r="F6562" s="34" t="n">
        <f aca="false">IFERROR(VLOOKUP($A6562,'319'!$B:$H,7,0),0)</f>
        <v>0</v>
      </c>
      <c r="G6562" s="34" t="n">
        <f aca="false">SUMIFS('12.326ana'!$C:$C,'12.326ana'!$M:$M,redes!A6562)</f>
        <v>0</v>
      </c>
    </row>
    <row r="6563" customFormat="false" ht="14.4" hidden="true" customHeight="false" outlineLevel="0" collapsed="false">
      <c r="A6563" s="34" t="n">
        <v>2039606000166</v>
      </c>
      <c r="B6563" s="34" t="s">
        <v>14372</v>
      </c>
      <c r="C6563" s="34" t="s">
        <v>77</v>
      </c>
      <c r="E6563" s="30" t="s">
        <v>14373</v>
      </c>
      <c r="F6563" s="34" t="n">
        <f aca="false">IFERROR(VLOOKUP($A6563,'319'!$B:$H,7,0),0)</f>
        <v>0</v>
      </c>
      <c r="G6563" s="34" t="n">
        <f aca="false">SUMIFS('12.326ana'!$C:$C,'12.326ana'!$M:$M,redes!A6563)</f>
        <v>0</v>
      </c>
    </row>
    <row r="6564" customFormat="false" ht="14.4" hidden="true" customHeight="false" outlineLevel="0" collapsed="false">
      <c r="A6564" s="34" t="n">
        <v>2039610000124</v>
      </c>
      <c r="B6564" s="34" t="s">
        <v>14374</v>
      </c>
      <c r="C6564" s="34" t="s">
        <v>77</v>
      </c>
      <c r="E6564" s="30" t="s">
        <v>14375</v>
      </c>
      <c r="F6564" s="34" t="n">
        <f aca="false">IFERROR(VLOOKUP($A6564,'319'!$B:$H,7,0),0)</f>
        <v>0</v>
      </c>
      <c r="G6564" s="34" t="n">
        <f aca="false">SUMIFS('12.326ana'!$C:$C,'12.326ana'!$M:$M,redes!A6564)</f>
        <v>0</v>
      </c>
    </row>
    <row r="6565" customFormat="false" ht="14.4" hidden="true" customHeight="false" outlineLevel="0" collapsed="false">
      <c r="A6565" s="34" t="n">
        <v>2044166000135</v>
      </c>
      <c r="B6565" s="34" t="s">
        <v>14376</v>
      </c>
      <c r="C6565" s="34" t="s">
        <v>77</v>
      </c>
      <c r="E6565" s="30" t="s">
        <v>5496</v>
      </c>
      <c r="F6565" s="34" t="n">
        <f aca="false">IFERROR(VLOOKUP($A6565,'319'!$B:$H,7,0),0)</f>
        <v>0</v>
      </c>
      <c r="G6565" s="34" t="n">
        <f aca="false">SUMIFS('12.326ana'!$C:$C,'12.326ana'!$M:$M,redes!A6565)</f>
        <v>0</v>
      </c>
    </row>
    <row r="6566" customFormat="false" ht="14.4" hidden="true" customHeight="false" outlineLevel="0" collapsed="false">
      <c r="A6566" s="34" t="n">
        <v>2044669000100</v>
      </c>
      <c r="B6566" s="34" t="s">
        <v>14377</v>
      </c>
      <c r="C6566" s="34" t="s">
        <v>14378</v>
      </c>
      <c r="E6566" s="30" t="s">
        <v>14379</v>
      </c>
      <c r="F6566" s="34" t="n">
        <f aca="false">IFERROR(VLOOKUP($A6566,'319'!$B:$H,7,0),0)</f>
        <v>0</v>
      </c>
      <c r="G6566" s="34" t="n">
        <f aca="false">SUMIFS('12.326ana'!$C:$C,'12.326ana'!$M:$M,redes!A6566)</f>
        <v>0</v>
      </c>
    </row>
    <row r="6567" customFormat="false" ht="14.4" hidden="true" customHeight="false" outlineLevel="0" collapsed="false">
      <c r="A6567" s="34" t="n">
        <v>2046673000108</v>
      </c>
      <c r="B6567" s="34" t="s">
        <v>14380</v>
      </c>
      <c r="C6567" s="34" t="s">
        <v>12327</v>
      </c>
      <c r="E6567" s="30" t="s">
        <v>14380</v>
      </c>
      <c r="F6567" s="34" t="n">
        <f aca="false">IFERROR(VLOOKUP($A6567,'319'!$B:$H,7,0),0)</f>
        <v>0</v>
      </c>
      <c r="G6567" s="34" t="n">
        <f aca="false">SUMIFS('12.326ana'!$C:$C,'12.326ana'!$M:$M,redes!A6567)</f>
        <v>0</v>
      </c>
    </row>
    <row r="6568" customFormat="false" ht="14.4" hidden="true" customHeight="false" outlineLevel="0" collapsed="false">
      <c r="A6568" s="34" t="n">
        <v>2046827000161</v>
      </c>
      <c r="B6568" s="34" t="s">
        <v>14381</v>
      </c>
      <c r="C6568" s="34" t="s">
        <v>377</v>
      </c>
      <c r="D6568" s="34" t="s">
        <v>4797</v>
      </c>
      <c r="E6568" s="30" t="s">
        <v>14382</v>
      </c>
      <c r="F6568" s="34" t="n">
        <f aca="false">IFERROR(VLOOKUP($A6568,'319'!$B:$H,7,0),0)</f>
        <v>0</v>
      </c>
      <c r="G6568" s="34" t="n">
        <f aca="false">SUMIFS('12.326ana'!$C:$C,'12.326ana'!$M:$M,redes!A6568)</f>
        <v>0</v>
      </c>
    </row>
    <row r="6569" customFormat="false" ht="14.4" hidden="true" customHeight="false" outlineLevel="0" collapsed="false">
      <c r="A6569" s="34" t="n">
        <v>2051911000173</v>
      </c>
      <c r="B6569" s="34" t="s">
        <v>14383</v>
      </c>
      <c r="C6569" s="34" t="s">
        <v>77</v>
      </c>
      <c r="D6569" s="34" t="s">
        <v>3324</v>
      </c>
      <c r="E6569" s="30" t="s">
        <v>14384</v>
      </c>
      <c r="F6569" s="34" t="n">
        <f aca="false">IFERROR(VLOOKUP($A6569,'319'!$B:$H,7,0),0)</f>
        <v>0</v>
      </c>
      <c r="G6569" s="34" t="n">
        <f aca="false">SUMIFS('12.326ana'!$C:$C,'12.326ana'!$M:$M,redes!A6569)</f>
        <v>0</v>
      </c>
    </row>
    <row r="6570" customFormat="false" ht="14.4" hidden="true" customHeight="false" outlineLevel="0" collapsed="false">
      <c r="A6570" s="34" t="n">
        <v>2052935000147</v>
      </c>
      <c r="B6570" s="34" t="s">
        <v>14385</v>
      </c>
      <c r="C6570" s="34" t="s">
        <v>14386</v>
      </c>
      <c r="E6570" s="30" t="s">
        <v>14387</v>
      </c>
      <c r="F6570" s="34" t="n">
        <f aca="false">IFERROR(VLOOKUP($A6570,'319'!$B:$H,7,0),0)</f>
        <v>0</v>
      </c>
      <c r="G6570" s="34" t="n">
        <f aca="false">SUMIFS('12.326ana'!$C:$C,'12.326ana'!$M:$M,redes!A6570)</f>
        <v>0</v>
      </c>
    </row>
    <row r="6571" customFormat="false" ht="14.4" hidden="true" customHeight="false" outlineLevel="0" collapsed="false">
      <c r="A6571" s="34" t="n">
        <v>2053216000140</v>
      </c>
      <c r="B6571" s="34" t="s">
        <v>14388</v>
      </c>
      <c r="C6571" s="34" t="s">
        <v>139</v>
      </c>
      <c r="E6571" s="30" t="s">
        <v>11498</v>
      </c>
      <c r="F6571" s="34" t="n">
        <f aca="false">IFERROR(VLOOKUP($A6571,'319'!$B:$H,7,0),0)</f>
        <v>0</v>
      </c>
      <c r="G6571" s="34" t="n">
        <f aca="false">SUMIFS('12.326ana'!$C:$C,'12.326ana'!$M:$M,redes!A6571)</f>
        <v>0</v>
      </c>
    </row>
    <row r="6572" customFormat="false" ht="14.4" hidden="true" customHeight="false" outlineLevel="0" collapsed="false">
      <c r="A6572" s="34" t="n">
        <v>2054870000179</v>
      </c>
      <c r="B6572" s="34" t="s">
        <v>14389</v>
      </c>
      <c r="C6572" s="34" t="s">
        <v>1591</v>
      </c>
      <c r="E6572" s="30" t="s">
        <v>14390</v>
      </c>
      <c r="F6572" s="34" t="n">
        <f aca="false">IFERROR(VLOOKUP($A6572,'319'!$B:$H,7,0),0)</f>
        <v>0</v>
      </c>
      <c r="G6572" s="34" t="n">
        <f aca="false">SUMIFS('12.326ana'!$C:$C,'12.326ana'!$M:$M,redes!A6572)</f>
        <v>0</v>
      </c>
    </row>
    <row r="6573" customFormat="false" ht="14.4" hidden="true" customHeight="false" outlineLevel="0" collapsed="false">
      <c r="A6573" s="34" t="n">
        <v>2055899000175</v>
      </c>
      <c r="B6573" s="34" t="s">
        <v>14391</v>
      </c>
      <c r="C6573" s="34" t="s">
        <v>89</v>
      </c>
      <c r="E6573" s="30" t="s">
        <v>14391</v>
      </c>
      <c r="F6573" s="34" t="n">
        <f aca="false">IFERROR(VLOOKUP($A6573,'319'!$B:$H,7,0),0)</f>
        <v>0</v>
      </c>
      <c r="G6573" s="34" t="n">
        <f aca="false">SUMIFS('12.326ana'!$C:$C,'12.326ana'!$M:$M,redes!A6573)</f>
        <v>0</v>
      </c>
    </row>
    <row r="6574" customFormat="false" ht="14.4" hidden="true" customHeight="false" outlineLevel="0" collapsed="false">
      <c r="A6574" s="34" t="n">
        <v>2059843000199</v>
      </c>
      <c r="B6574" s="34" t="s">
        <v>14392</v>
      </c>
      <c r="C6574" s="34" t="s">
        <v>631</v>
      </c>
      <c r="E6574" s="30" t="s">
        <v>14393</v>
      </c>
      <c r="F6574" s="34" t="n">
        <f aca="false">IFERROR(VLOOKUP($A6574,'319'!$B:$H,7,0),0)</f>
        <v>0</v>
      </c>
      <c r="G6574" s="34" t="n">
        <f aca="false">SUMIFS('12.326ana'!$C:$C,'12.326ana'!$M:$M,redes!A6574)</f>
        <v>0</v>
      </c>
    </row>
    <row r="6575" customFormat="false" ht="14.4" hidden="true" customHeight="false" outlineLevel="0" collapsed="false">
      <c r="A6575" s="34" t="n">
        <v>2062950000176</v>
      </c>
      <c r="B6575" s="34" t="s">
        <v>14394</v>
      </c>
      <c r="C6575" s="34" t="s">
        <v>127</v>
      </c>
      <c r="E6575" s="30" t="s">
        <v>7071</v>
      </c>
      <c r="F6575" s="34" t="n">
        <f aca="false">IFERROR(VLOOKUP($A6575,'319'!$B:$H,7,0),0)</f>
        <v>0</v>
      </c>
      <c r="G6575" s="34" t="n">
        <f aca="false">SUMIFS('12.326ana'!$C:$C,'12.326ana'!$M:$M,redes!A6575)</f>
        <v>0</v>
      </c>
    </row>
    <row r="6576" customFormat="false" ht="14.4" hidden="true" customHeight="false" outlineLevel="0" collapsed="false">
      <c r="A6576" s="34" t="n">
        <v>2065036000189</v>
      </c>
      <c r="B6576" s="34" t="s">
        <v>14395</v>
      </c>
      <c r="C6576" s="34" t="s">
        <v>107</v>
      </c>
      <c r="E6576" s="30" t="s">
        <v>14396</v>
      </c>
      <c r="F6576" s="34" t="n">
        <f aca="false">IFERROR(VLOOKUP($A6576,'319'!$B:$H,7,0),0)</f>
        <v>0</v>
      </c>
      <c r="G6576" s="34" t="n">
        <f aca="false">SUMIFS('12.326ana'!$C:$C,'12.326ana'!$M:$M,redes!A6576)</f>
        <v>0</v>
      </c>
    </row>
    <row r="6577" customFormat="false" ht="14.4" hidden="true" customHeight="false" outlineLevel="0" collapsed="false">
      <c r="A6577" s="34" t="n">
        <v>2067722000199</v>
      </c>
      <c r="B6577" s="34" t="s">
        <v>14397</v>
      </c>
      <c r="C6577" s="34" t="s">
        <v>103</v>
      </c>
      <c r="E6577" s="30" t="s">
        <v>4387</v>
      </c>
      <c r="F6577" s="34" t="n">
        <f aca="false">IFERROR(VLOOKUP($A6577,'319'!$B:$H,7,0),0)</f>
        <v>135.58</v>
      </c>
      <c r="G6577" s="34" t="n">
        <f aca="false">SUMIFS('12.326ana'!$C:$C,'12.326ana'!$M:$M,redes!A6577)</f>
        <v>0</v>
      </c>
    </row>
    <row r="6578" customFormat="false" ht="14.4" hidden="true" customHeight="false" outlineLevel="0" collapsed="false">
      <c r="A6578" s="34" t="n">
        <v>2068941000192</v>
      </c>
      <c r="B6578" s="34" t="s">
        <v>14398</v>
      </c>
      <c r="C6578" s="34" t="s">
        <v>342</v>
      </c>
      <c r="E6578" s="30" t="s">
        <v>14399</v>
      </c>
      <c r="F6578" s="34" t="n">
        <f aca="false">IFERROR(VLOOKUP($A6578,'319'!$B:$H,7,0),0)</f>
        <v>0</v>
      </c>
      <c r="G6578" s="34" t="n">
        <f aca="false">SUMIFS('12.326ana'!$C:$C,'12.326ana'!$M:$M,redes!A6578)</f>
        <v>0</v>
      </c>
    </row>
    <row r="6579" customFormat="false" ht="14.4" hidden="true" customHeight="false" outlineLevel="0" collapsed="false">
      <c r="A6579" s="34" t="n">
        <v>2068946000115</v>
      </c>
      <c r="B6579" s="34" t="s">
        <v>14400</v>
      </c>
      <c r="C6579" s="34" t="s">
        <v>1272</v>
      </c>
      <c r="E6579" s="30" t="s">
        <v>14401</v>
      </c>
      <c r="F6579" s="34" t="n">
        <f aca="false">IFERROR(VLOOKUP($A6579,'319'!$B:$H,7,0),0)</f>
        <v>0</v>
      </c>
      <c r="G6579" s="34" t="n">
        <f aca="false">SUMIFS('12.326ana'!$C:$C,'12.326ana'!$M:$M,redes!A6579)</f>
        <v>0</v>
      </c>
    </row>
    <row r="6580" customFormat="false" ht="14.4" hidden="true" customHeight="false" outlineLevel="0" collapsed="false">
      <c r="A6580" s="34" t="n">
        <v>2072198000144</v>
      </c>
      <c r="B6580" s="34" t="s">
        <v>14402</v>
      </c>
      <c r="C6580" s="34" t="s">
        <v>117</v>
      </c>
      <c r="E6580" s="30" t="s">
        <v>14403</v>
      </c>
      <c r="F6580" s="34" t="n">
        <f aca="false">IFERROR(VLOOKUP($A6580,'319'!$B:$H,7,0),0)</f>
        <v>0</v>
      </c>
      <c r="G6580" s="34" t="n">
        <f aca="false">SUMIFS('12.326ana'!$C:$C,'12.326ana'!$M:$M,redes!A6580)</f>
        <v>0</v>
      </c>
    </row>
    <row r="6581" customFormat="false" ht="14.4" hidden="true" customHeight="false" outlineLevel="0" collapsed="false">
      <c r="A6581" s="34" t="n">
        <v>2076534000127</v>
      </c>
      <c r="B6581" s="34" t="s">
        <v>14404</v>
      </c>
      <c r="C6581" s="34" t="s">
        <v>107</v>
      </c>
      <c r="E6581" s="30" t="s">
        <v>14405</v>
      </c>
      <c r="F6581" s="34" t="n">
        <f aca="false">IFERROR(VLOOKUP($A6581,'319'!$B:$H,7,0),0)</f>
        <v>0</v>
      </c>
      <c r="G6581" s="34" t="n">
        <f aca="false">SUMIFS('12.326ana'!$C:$C,'12.326ana'!$M:$M,redes!A6581)</f>
        <v>0</v>
      </c>
    </row>
    <row r="6582" customFormat="false" ht="14.4" hidden="true" customHeight="false" outlineLevel="0" collapsed="false">
      <c r="A6582" s="34" t="n">
        <v>2077150000129</v>
      </c>
      <c r="B6582" s="34" t="s">
        <v>14406</v>
      </c>
      <c r="C6582" s="34" t="s">
        <v>107</v>
      </c>
      <c r="E6582" s="30" t="s">
        <v>14407</v>
      </c>
      <c r="F6582" s="34" t="n">
        <f aca="false">IFERROR(VLOOKUP($A6582,'319'!$B:$H,7,0),0)</f>
        <v>0</v>
      </c>
      <c r="G6582" s="34" t="n">
        <f aca="false">SUMIFS('12.326ana'!$C:$C,'12.326ana'!$M:$M,redes!A6582)</f>
        <v>0</v>
      </c>
    </row>
    <row r="6583" customFormat="false" ht="14.4" hidden="true" customHeight="false" outlineLevel="0" collapsed="false">
      <c r="A6583" s="34" t="n">
        <v>2078352000195</v>
      </c>
      <c r="B6583" s="34" t="s">
        <v>14408</v>
      </c>
      <c r="C6583" s="34" t="s">
        <v>77</v>
      </c>
      <c r="D6583" s="34" t="s">
        <v>3324</v>
      </c>
      <c r="E6583" s="30" t="s">
        <v>14409</v>
      </c>
      <c r="F6583" s="34" t="n">
        <f aca="false">IFERROR(VLOOKUP($A6583,'319'!$B:$H,7,0),0)</f>
        <v>0</v>
      </c>
      <c r="G6583" s="34" t="n">
        <f aca="false">SUMIFS('12.326ana'!$C:$C,'12.326ana'!$M:$M,redes!A6583)</f>
        <v>0</v>
      </c>
    </row>
    <row r="6584" customFormat="false" ht="14.4" hidden="true" customHeight="false" outlineLevel="0" collapsed="false">
      <c r="A6584" s="34" t="n">
        <v>2081079000158</v>
      </c>
      <c r="B6584" s="34" t="s">
        <v>1803</v>
      </c>
      <c r="C6584" s="34" t="s">
        <v>77</v>
      </c>
      <c r="E6584" s="30" t="s">
        <v>14410</v>
      </c>
      <c r="F6584" s="34" t="n">
        <f aca="false">IFERROR(VLOOKUP($A6584,'319'!$B:$H,7,0),0)</f>
        <v>-190.12</v>
      </c>
      <c r="G6584" s="34" t="n">
        <f aca="false">SUMIFS('12.326ana'!$C:$C,'12.326ana'!$M:$M,redes!A6584)</f>
        <v>0</v>
      </c>
    </row>
    <row r="6585" customFormat="false" ht="14.4" hidden="true" customHeight="false" outlineLevel="0" collapsed="false">
      <c r="A6585" s="34" t="n">
        <v>2082849000187</v>
      </c>
      <c r="B6585" s="34" t="s">
        <v>14411</v>
      </c>
      <c r="C6585" s="34" t="s">
        <v>77</v>
      </c>
      <c r="E6585" s="30" t="s">
        <v>14412</v>
      </c>
      <c r="F6585" s="34" t="n">
        <f aca="false">IFERROR(VLOOKUP($A6585,'319'!$B:$H,7,0),0)</f>
        <v>0</v>
      </c>
      <c r="G6585" s="34" t="n">
        <f aca="false">SUMIFS('12.326ana'!$C:$C,'12.326ana'!$M:$M,redes!A6585)</f>
        <v>0</v>
      </c>
    </row>
    <row r="6586" customFormat="false" ht="14.4" hidden="true" customHeight="false" outlineLevel="0" collapsed="false">
      <c r="A6586" s="34" t="n">
        <v>2088887000147</v>
      </c>
      <c r="B6586" s="34" t="s">
        <v>14413</v>
      </c>
      <c r="C6586" s="34" t="s">
        <v>107</v>
      </c>
      <c r="E6586" s="30" t="s">
        <v>14414</v>
      </c>
      <c r="F6586" s="34" t="n">
        <f aca="false">IFERROR(VLOOKUP($A6586,'319'!$B:$H,7,0),0)</f>
        <v>0</v>
      </c>
      <c r="G6586" s="34" t="n">
        <f aca="false">SUMIFS('12.326ana'!$C:$C,'12.326ana'!$M:$M,redes!A6586)</f>
        <v>0</v>
      </c>
    </row>
    <row r="6587" customFormat="false" ht="14.4" hidden="true" customHeight="false" outlineLevel="0" collapsed="false">
      <c r="A6587" s="34" t="n">
        <v>2089535000106</v>
      </c>
      <c r="B6587" s="34" t="s">
        <v>14415</v>
      </c>
      <c r="C6587" s="34" t="s">
        <v>764</v>
      </c>
      <c r="E6587" s="30" t="s">
        <v>14416</v>
      </c>
      <c r="F6587" s="34" t="n">
        <f aca="false">IFERROR(VLOOKUP($A6587,'319'!$B:$H,7,0),0)</f>
        <v>0</v>
      </c>
      <c r="G6587" s="34" t="n">
        <f aca="false">SUMIFS('12.326ana'!$C:$C,'12.326ana'!$M:$M,redes!A6587)</f>
        <v>0</v>
      </c>
    </row>
    <row r="6588" customFormat="false" ht="14.4" hidden="true" customHeight="false" outlineLevel="0" collapsed="false">
      <c r="A6588" s="34" t="n">
        <v>2090003000199</v>
      </c>
      <c r="B6588" s="34" t="s">
        <v>14417</v>
      </c>
      <c r="C6588" s="34" t="s">
        <v>89</v>
      </c>
      <c r="E6588" s="30" t="s">
        <v>14418</v>
      </c>
      <c r="F6588" s="34" t="n">
        <f aca="false">IFERROR(VLOOKUP($A6588,'319'!$B:$H,7,0),0)</f>
        <v>0</v>
      </c>
      <c r="G6588" s="34" t="n">
        <f aca="false">SUMIFS('12.326ana'!$C:$C,'12.326ana'!$M:$M,redes!A6588)</f>
        <v>0</v>
      </c>
    </row>
    <row r="6589" customFormat="false" ht="14.4" hidden="true" customHeight="false" outlineLevel="0" collapsed="false">
      <c r="A6589" s="34" t="n">
        <v>2093242000100</v>
      </c>
      <c r="B6589" s="34" t="s">
        <v>14419</v>
      </c>
      <c r="C6589" s="34" t="s">
        <v>4139</v>
      </c>
      <c r="E6589" s="30" t="s">
        <v>14420</v>
      </c>
      <c r="F6589" s="34" t="n">
        <f aca="false">IFERROR(VLOOKUP($A6589,'319'!$B:$H,7,0),0)</f>
        <v>0</v>
      </c>
      <c r="G6589" s="34" t="n">
        <f aca="false">SUMIFS('12.326ana'!$C:$C,'12.326ana'!$M:$M,redes!A6589)</f>
        <v>0</v>
      </c>
    </row>
    <row r="6590" customFormat="false" ht="14.4" hidden="true" customHeight="false" outlineLevel="0" collapsed="false">
      <c r="A6590" s="34" t="n">
        <v>2098725000190</v>
      </c>
      <c r="B6590" s="34" t="s">
        <v>14421</v>
      </c>
      <c r="C6590" s="34" t="s">
        <v>357</v>
      </c>
      <c r="E6590" s="30" t="s">
        <v>14422</v>
      </c>
      <c r="F6590" s="34" t="n">
        <f aca="false">IFERROR(VLOOKUP($A6590,'319'!$B:$H,7,0),0)</f>
        <v>0</v>
      </c>
      <c r="G6590" s="34" t="n">
        <f aca="false">SUMIFS('12.326ana'!$C:$C,'12.326ana'!$M:$M,redes!A6590)</f>
        <v>0</v>
      </c>
    </row>
    <row r="6591" customFormat="false" ht="14.4" hidden="true" customHeight="false" outlineLevel="0" collapsed="false">
      <c r="A6591" s="34" t="n">
        <v>2099043000100</v>
      </c>
      <c r="B6591" s="34" t="s">
        <v>14423</v>
      </c>
      <c r="C6591" s="34" t="s">
        <v>77</v>
      </c>
      <c r="E6591" s="30" t="s">
        <v>14424</v>
      </c>
      <c r="F6591" s="34" t="n">
        <f aca="false">IFERROR(VLOOKUP($A6591,'319'!$B:$H,7,0),0)</f>
        <v>0</v>
      </c>
      <c r="G6591" s="34" t="n">
        <f aca="false">SUMIFS('12.326ana'!$C:$C,'12.326ana'!$M:$M,redes!A6591)</f>
        <v>0</v>
      </c>
    </row>
    <row r="6592" customFormat="false" ht="14.4" hidden="true" customHeight="false" outlineLevel="0" collapsed="false">
      <c r="A6592" s="34" t="n">
        <v>2101355000100</v>
      </c>
      <c r="B6592" s="34" t="s">
        <v>14425</v>
      </c>
      <c r="C6592" s="34" t="s">
        <v>299</v>
      </c>
      <c r="E6592" s="30" t="s">
        <v>14426</v>
      </c>
      <c r="F6592" s="34" t="n">
        <f aca="false">IFERROR(VLOOKUP($A6592,'319'!$B:$H,7,0),0)</f>
        <v>0</v>
      </c>
      <c r="G6592" s="34" t="n">
        <f aca="false">SUMIFS('12.326ana'!$C:$C,'12.326ana'!$M:$M,redes!A6592)</f>
        <v>0</v>
      </c>
    </row>
    <row r="6593" customFormat="false" ht="14.4" hidden="true" customHeight="false" outlineLevel="0" collapsed="false">
      <c r="A6593" s="34" t="n">
        <v>2101372000130</v>
      </c>
      <c r="B6593" s="34" t="s">
        <v>14427</v>
      </c>
      <c r="C6593" s="34" t="s">
        <v>77</v>
      </c>
      <c r="E6593" s="30" t="s">
        <v>14428</v>
      </c>
      <c r="F6593" s="34" t="n">
        <f aca="false">IFERROR(VLOOKUP($A6593,'319'!$B:$H,7,0),0)</f>
        <v>0</v>
      </c>
      <c r="G6593" s="34" t="n">
        <f aca="false">SUMIFS('12.326ana'!$C:$C,'12.326ana'!$M:$M,redes!A6593)</f>
        <v>0</v>
      </c>
    </row>
    <row r="6594" customFormat="false" ht="14.4" hidden="true" customHeight="false" outlineLevel="0" collapsed="false">
      <c r="A6594" s="34" t="n">
        <v>2104332000141</v>
      </c>
      <c r="B6594" s="34" t="s">
        <v>14429</v>
      </c>
      <c r="C6594" s="34" t="s">
        <v>77</v>
      </c>
      <c r="E6594" s="30" t="s">
        <v>14430</v>
      </c>
      <c r="F6594" s="34" t="n">
        <f aca="false">IFERROR(VLOOKUP($A6594,'319'!$B:$H,7,0),0)</f>
        <v>0</v>
      </c>
      <c r="G6594" s="34" t="n">
        <f aca="false">SUMIFS('12.326ana'!$C:$C,'12.326ana'!$M:$M,redes!A6594)</f>
        <v>0</v>
      </c>
    </row>
    <row r="6595" customFormat="false" ht="14.4" hidden="true" customHeight="false" outlineLevel="0" collapsed="false">
      <c r="A6595" s="34" t="n">
        <v>2107671000181</v>
      </c>
      <c r="B6595" s="34" t="s">
        <v>14431</v>
      </c>
      <c r="C6595" s="34" t="s">
        <v>77</v>
      </c>
      <c r="E6595" s="30"/>
      <c r="F6595" s="34" t="n">
        <f aca="false">IFERROR(VLOOKUP($A6595,'319'!$B:$H,7,0),0)</f>
        <v>0</v>
      </c>
      <c r="G6595" s="34" t="n">
        <f aca="false">SUMIFS('12.326ana'!$C:$C,'12.326ana'!$M:$M,redes!A6595)</f>
        <v>0</v>
      </c>
    </row>
    <row r="6596" customFormat="false" ht="14.4" hidden="true" customHeight="false" outlineLevel="0" collapsed="false">
      <c r="A6596" s="34" t="n">
        <v>2107673000170</v>
      </c>
      <c r="B6596" s="34" t="s">
        <v>14432</v>
      </c>
      <c r="C6596" s="34" t="s">
        <v>1680</v>
      </c>
      <c r="E6596" s="30" t="s">
        <v>14433</v>
      </c>
      <c r="F6596" s="34" t="n">
        <f aca="false">IFERROR(VLOOKUP($A6596,'319'!$B:$H,7,0),0)</f>
        <v>0</v>
      </c>
      <c r="G6596" s="34" t="n">
        <f aca="false">SUMIFS('12.326ana'!$C:$C,'12.326ana'!$M:$M,redes!A6596)</f>
        <v>0</v>
      </c>
    </row>
    <row r="6597" customFormat="false" ht="14.4" hidden="true" customHeight="false" outlineLevel="0" collapsed="false">
      <c r="A6597" s="34" t="n">
        <v>2110486000146</v>
      </c>
      <c r="B6597" s="34" t="s">
        <v>926</v>
      </c>
      <c r="C6597" s="34" t="s">
        <v>77</v>
      </c>
      <c r="E6597" s="30" t="s">
        <v>14434</v>
      </c>
      <c r="F6597" s="34" t="n">
        <f aca="false">IFERROR(VLOOKUP($A6597,'319'!$B:$H,7,0),0)</f>
        <v>0</v>
      </c>
      <c r="G6597" s="34" t="n">
        <f aca="false">SUMIFS('12.326ana'!$C:$C,'12.326ana'!$M:$M,redes!A6597)</f>
        <v>0</v>
      </c>
    </row>
    <row r="6598" customFormat="false" ht="14.4" hidden="true" customHeight="false" outlineLevel="0" collapsed="false">
      <c r="A6598" s="34" t="n">
        <v>2111223000151</v>
      </c>
      <c r="B6598" s="34" t="s">
        <v>14435</v>
      </c>
      <c r="C6598" s="34" t="s">
        <v>764</v>
      </c>
      <c r="E6598" s="30" t="s">
        <v>14436</v>
      </c>
      <c r="F6598" s="34" t="n">
        <f aca="false">IFERROR(VLOOKUP($A6598,'319'!$B:$H,7,0),0)</f>
        <v>0</v>
      </c>
      <c r="G6598" s="34" t="n">
        <f aca="false">SUMIFS('12.326ana'!$C:$C,'12.326ana'!$M:$M,redes!A6598)</f>
        <v>0</v>
      </c>
    </row>
    <row r="6599" customFormat="false" ht="14.4" hidden="true" customHeight="false" outlineLevel="0" collapsed="false">
      <c r="A6599" s="34" t="n">
        <v>2112438000197</v>
      </c>
      <c r="B6599" s="34" t="s">
        <v>14437</v>
      </c>
      <c r="C6599" s="34" t="s">
        <v>848</v>
      </c>
      <c r="E6599" s="30" t="s">
        <v>14438</v>
      </c>
      <c r="F6599" s="34" t="n">
        <f aca="false">IFERROR(VLOOKUP($A6599,'319'!$B:$H,7,0),0)</f>
        <v>0</v>
      </c>
      <c r="G6599" s="34" t="n">
        <f aca="false">SUMIFS('12.326ana'!$C:$C,'12.326ana'!$M:$M,redes!A6599)</f>
        <v>0</v>
      </c>
    </row>
    <row r="6600" customFormat="false" ht="14.4" hidden="true" customHeight="false" outlineLevel="0" collapsed="false">
      <c r="A6600" s="34" t="n">
        <v>2114008000104</v>
      </c>
      <c r="B6600" s="34" t="s">
        <v>14439</v>
      </c>
      <c r="C6600" s="34" t="s">
        <v>77</v>
      </c>
      <c r="E6600" s="30" t="s">
        <v>14440</v>
      </c>
      <c r="F6600" s="34" t="n">
        <f aca="false">IFERROR(VLOOKUP($A6600,'319'!$B:$H,7,0),0)</f>
        <v>0</v>
      </c>
      <c r="G6600" s="34" t="n">
        <f aca="false">SUMIFS('12.326ana'!$C:$C,'12.326ana'!$M:$M,redes!A6600)</f>
        <v>0</v>
      </c>
    </row>
    <row r="6601" customFormat="false" ht="14.4" hidden="true" customHeight="false" outlineLevel="0" collapsed="false">
      <c r="A6601" s="34" t="n">
        <v>2117609000170</v>
      </c>
      <c r="B6601" s="34" t="s">
        <v>14441</v>
      </c>
      <c r="C6601" s="34" t="s">
        <v>309</v>
      </c>
      <c r="E6601" s="30" t="s">
        <v>14442</v>
      </c>
      <c r="F6601" s="34" t="n">
        <f aca="false">IFERROR(VLOOKUP($A6601,'319'!$B:$H,7,0),0)</f>
        <v>0</v>
      </c>
      <c r="G6601" s="34" t="n">
        <f aca="false">SUMIFS('12.326ana'!$C:$C,'12.326ana'!$M:$M,redes!A6601)</f>
        <v>0</v>
      </c>
    </row>
    <row r="6602" customFormat="false" ht="14.4" hidden="true" customHeight="false" outlineLevel="0" collapsed="false">
      <c r="A6602" s="34" t="n">
        <v>2121522000177</v>
      </c>
      <c r="B6602" s="34" t="s">
        <v>14443</v>
      </c>
      <c r="C6602" s="34" t="s">
        <v>475</v>
      </c>
      <c r="E6602" s="30" t="s">
        <v>14444</v>
      </c>
      <c r="F6602" s="34" t="n">
        <f aca="false">IFERROR(VLOOKUP($A6602,'319'!$B:$H,7,0),0)</f>
        <v>0</v>
      </c>
      <c r="G6602" s="34" t="n">
        <f aca="false">SUMIFS('12.326ana'!$C:$C,'12.326ana'!$M:$M,redes!A6602)</f>
        <v>0</v>
      </c>
    </row>
    <row r="6603" customFormat="false" ht="14.4" hidden="true" customHeight="false" outlineLevel="0" collapsed="false">
      <c r="A6603" s="34" t="n">
        <v>2124475000115</v>
      </c>
      <c r="B6603" s="34" t="s">
        <v>14445</v>
      </c>
      <c r="C6603" s="34" t="s">
        <v>197</v>
      </c>
      <c r="D6603" s="34" t="s">
        <v>9598</v>
      </c>
      <c r="E6603" s="30" t="s">
        <v>5890</v>
      </c>
      <c r="F6603" s="34" t="n">
        <f aca="false">IFERROR(VLOOKUP($A6603,'319'!$B:$H,7,0),0)</f>
        <v>0</v>
      </c>
      <c r="G6603" s="34" t="n">
        <f aca="false">SUMIFS('12.326ana'!$C:$C,'12.326ana'!$M:$M,redes!A6603)</f>
        <v>0</v>
      </c>
    </row>
    <row r="6604" customFormat="false" ht="14.4" hidden="true" customHeight="false" outlineLevel="0" collapsed="false">
      <c r="A6604" s="34" t="n">
        <v>2125838000137</v>
      </c>
      <c r="B6604" s="34" t="s">
        <v>14446</v>
      </c>
      <c r="C6604" s="34" t="s">
        <v>77</v>
      </c>
      <c r="E6604" s="30" t="s">
        <v>11325</v>
      </c>
      <c r="F6604" s="34" t="n">
        <f aca="false">IFERROR(VLOOKUP($A6604,'319'!$B:$H,7,0),0)</f>
        <v>0</v>
      </c>
      <c r="G6604" s="34" t="n">
        <f aca="false">SUMIFS('12.326ana'!$C:$C,'12.326ana'!$M:$M,redes!A6604)</f>
        <v>0</v>
      </c>
    </row>
    <row r="6605" customFormat="false" ht="14.4" hidden="true" customHeight="false" outlineLevel="0" collapsed="false">
      <c r="A6605" s="34" t="n">
        <v>2128501000183</v>
      </c>
      <c r="B6605" s="34" t="s">
        <v>14447</v>
      </c>
      <c r="C6605" s="34" t="s">
        <v>77</v>
      </c>
      <c r="E6605" s="30" t="s">
        <v>14448</v>
      </c>
      <c r="F6605" s="34" t="n">
        <f aca="false">IFERROR(VLOOKUP($A6605,'319'!$B:$H,7,0),0)</f>
        <v>0</v>
      </c>
      <c r="G6605" s="34" t="n">
        <f aca="false">SUMIFS('12.326ana'!$C:$C,'12.326ana'!$M:$M,redes!A6605)</f>
        <v>0</v>
      </c>
    </row>
    <row r="6606" customFormat="false" ht="14.4" hidden="true" customHeight="false" outlineLevel="0" collapsed="false">
      <c r="A6606" s="34" t="n">
        <v>2135331000164</v>
      </c>
      <c r="B6606" s="34" t="s">
        <v>14449</v>
      </c>
      <c r="C6606" s="34" t="s">
        <v>4462</v>
      </c>
      <c r="E6606" s="30" t="s">
        <v>14450</v>
      </c>
      <c r="F6606" s="34" t="n">
        <f aca="false">IFERROR(VLOOKUP($A6606,'319'!$B:$H,7,0),0)</f>
        <v>0</v>
      </c>
      <c r="G6606" s="34" t="n">
        <f aca="false">SUMIFS('12.326ana'!$C:$C,'12.326ana'!$M:$M,redes!A6606)</f>
        <v>0</v>
      </c>
    </row>
    <row r="6607" customFormat="false" ht="14.4" hidden="true" customHeight="false" outlineLevel="0" collapsed="false">
      <c r="A6607" s="34" t="n">
        <v>2139652000218</v>
      </c>
      <c r="B6607" s="34" t="s">
        <v>14451</v>
      </c>
      <c r="C6607" s="34" t="s">
        <v>77</v>
      </c>
      <c r="E6607" s="30" t="s">
        <v>14452</v>
      </c>
      <c r="F6607" s="34" t="n">
        <f aca="false">IFERROR(VLOOKUP($A6607,'319'!$B:$H,7,0),0)</f>
        <v>0</v>
      </c>
      <c r="G6607" s="34" t="n">
        <f aca="false">SUMIFS('12.326ana'!$C:$C,'12.326ana'!$M:$M,redes!A6607)</f>
        <v>0</v>
      </c>
    </row>
    <row r="6608" customFormat="false" ht="14.4" hidden="true" customHeight="false" outlineLevel="0" collapsed="false">
      <c r="A6608" s="34" t="n">
        <v>2139652000307</v>
      </c>
      <c r="B6608" s="34" t="s">
        <v>14453</v>
      </c>
      <c r="C6608" s="34" t="s">
        <v>77</v>
      </c>
      <c r="E6608" s="30" t="s">
        <v>14454</v>
      </c>
      <c r="F6608" s="34" t="n">
        <f aca="false">IFERROR(VLOOKUP($A6608,'319'!$B:$H,7,0),0)</f>
        <v>0</v>
      </c>
      <c r="G6608" s="34" t="n">
        <f aca="false">SUMIFS('12.326ana'!$C:$C,'12.326ana'!$M:$M,redes!A6608)</f>
        <v>0</v>
      </c>
    </row>
    <row r="6609" customFormat="false" ht="14.4" hidden="true" customHeight="false" outlineLevel="0" collapsed="false">
      <c r="A6609" s="34" t="n">
        <v>2139652000480</v>
      </c>
      <c r="B6609" s="34" t="s">
        <v>14451</v>
      </c>
      <c r="C6609" s="34" t="s">
        <v>77</v>
      </c>
      <c r="E6609" s="30" t="s">
        <v>14455</v>
      </c>
      <c r="F6609" s="34" t="n">
        <f aca="false">IFERROR(VLOOKUP($A6609,'319'!$B:$H,7,0),0)</f>
        <v>0</v>
      </c>
      <c r="G6609" s="34" t="n">
        <f aca="false">SUMIFS('12.326ana'!$C:$C,'12.326ana'!$M:$M,redes!A6609)</f>
        <v>0</v>
      </c>
    </row>
    <row r="6610" customFormat="false" ht="14.4" hidden="true" customHeight="false" outlineLevel="0" collapsed="false">
      <c r="A6610" s="34" t="n">
        <v>2139661000128</v>
      </c>
      <c r="B6610" s="34" t="s">
        <v>1028</v>
      </c>
      <c r="C6610" s="34" t="s">
        <v>4462</v>
      </c>
      <c r="E6610" s="30" t="s">
        <v>14456</v>
      </c>
      <c r="F6610" s="34" t="n">
        <f aca="false">IFERROR(VLOOKUP($A6610,'319'!$B:$H,7,0),0)</f>
        <v>813.99</v>
      </c>
      <c r="G6610" s="34" t="n">
        <f aca="false">SUMIFS('12.326ana'!$C:$C,'12.326ana'!$M:$M,redes!A6610)</f>
        <v>0</v>
      </c>
    </row>
    <row r="6611" customFormat="false" ht="14.4" hidden="true" customHeight="false" outlineLevel="0" collapsed="false">
      <c r="A6611" s="34" t="n">
        <v>2141691000179</v>
      </c>
      <c r="B6611" s="34" t="s">
        <v>14457</v>
      </c>
      <c r="C6611" s="34" t="s">
        <v>77</v>
      </c>
      <c r="E6611" s="30" t="s">
        <v>4515</v>
      </c>
      <c r="F6611" s="34" t="n">
        <f aca="false">IFERROR(VLOOKUP($A6611,'319'!$B:$H,7,0),0)</f>
        <v>0</v>
      </c>
      <c r="G6611" s="34" t="n">
        <f aca="false">SUMIFS('12.326ana'!$C:$C,'12.326ana'!$M:$M,redes!A6611)</f>
        <v>0</v>
      </c>
    </row>
    <row r="6612" customFormat="false" ht="14.4" hidden="true" customHeight="false" outlineLevel="0" collapsed="false">
      <c r="A6612" s="34" t="n">
        <v>2141735000160</v>
      </c>
      <c r="B6612" s="34" t="s">
        <v>14458</v>
      </c>
      <c r="C6612" s="34" t="s">
        <v>77</v>
      </c>
      <c r="E6612" s="30" t="s">
        <v>14459</v>
      </c>
      <c r="F6612" s="34" t="n">
        <f aca="false">IFERROR(VLOOKUP($A6612,'319'!$B:$H,7,0),0)</f>
        <v>0</v>
      </c>
      <c r="G6612" s="34" t="n">
        <f aca="false">SUMIFS('12.326ana'!$C:$C,'12.326ana'!$M:$M,redes!A6612)</f>
        <v>0</v>
      </c>
    </row>
    <row r="6613" customFormat="false" ht="14.4" hidden="true" customHeight="false" outlineLevel="0" collapsed="false">
      <c r="A6613" s="34" t="n">
        <v>2141903000118</v>
      </c>
      <c r="B6613" s="34" t="s">
        <v>14460</v>
      </c>
      <c r="C6613" s="34" t="s">
        <v>139</v>
      </c>
      <c r="E6613" s="30" t="s">
        <v>14461</v>
      </c>
      <c r="F6613" s="34" t="n">
        <f aca="false">IFERROR(VLOOKUP($A6613,'319'!$B:$H,7,0),0)</f>
        <v>0</v>
      </c>
      <c r="G6613" s="34" t="n">
        <f aca="false">SUMIFS('12.326ana'!$C:$C,'12.326ana'!$M:$M,redes!A6613)</f>
        <v>0</v>
      </c>
    </row>
    <row r="6614" customFormat="false" ht="14.4" hidden="true" customHeight="false" outlineLevel="0" collapsed="false">
      <c r="A6614" s="34" t="n">
        <v>2144065000136</v>
      </c>
      <c r="B6614" s="34" t="s">
        <v>14462</v>
      </c>
      <c r="C6614" s="34" t="s">
        <v>103</v>
      </c>
      <c r="E6614" s="30" t="s">
        <v>14463</v>
      </c>
      <c r="F6614" s="34" t="n">
        <f aca="false">IFERROR(VLOOKUP($A6614,'319'!$B:$H,7,0),0)</f>
        <v>0</v>
      </c>
      <c r="G6614" s="34" t="n">
        <f aca="false">SUMIFS('12.326ana'!$C:$C,'12.326ana'!$M:$M,redes!A6614)</f>
        <v>0</v>
      </c>
    </row>
    <row r="6615" customFormat="false" ht="14.4" hidden="true" customHeight="false" outlineLevel="0" collapsed="false">
      <c r="A6615" s="34" t="n">
        <v>2144978000152</v>
      </c>
      <c r="B6615" s="34" t="s">
        <v>14464</v>
      </c>
      <c r="C6615" s="34" t="s">
        <v>77</v>
      </c>
      <c r="E6615" s="30" t="s">
        <v>14465</v>
      </c>
      <c r="F6615" s="34" t="n">
        <f aca="false">IFERROR(VLOOKUP($A6615,'319'!$B:$H,7,0),0)</f>
        <v>0</v>
      </c>
      <c r="G6615" s="34" t="n">
        <f aca="false">SUMIFS('12.326ana'!$C:$C,'12.326ana'!$M:$M,redes!A6615)</f>
        <v>0</v>
      </c>
    </row>
    <row r="6616" customFormat="false" ht="14.4" hidden="true" customHeight="false" outlineLevel="0" collapsed="false">
      <c r="A6616" s="34" t="n">
        <v>2146301000153</v>
      </c>
      <c r="B6616" s="34" t="s">
        <v>14466</v>
      </c>
      <c r="C6616" s="34" t="s">
        <v>598</v>
      </c>
      <c r="E6616" s="30" t="s">
        <v>14467</v>
      </c>
      <c r="F6616" s="34" t="n">
        <f aca="false">IFERROR(VLOOKUP($A6616,'319'!$B:$H,7,0),0)</f>
        <v>0</v>
      </c>
      <c r="G6616" s="34" t="n">
        <f aca="false">SUMIFS('12.326ana'!$C:$C,'12.326ana'!$M:$M,redes!A6616)</f>
        <v>0</v>
      </c>
    </row>
    <row r="6617" customFormat="false" ht="14.4" hidden="true" customHeight="false" outlineLevel="0" collapsed="false">
      <c r="A6617" s="34" t="n">
        <v>2150309000193</v>
      </c>
      <c r="B6617" s="34" t="s">
        <v>14468</v>
      </c>
      <c r="C6617" s="34" t="s">
        <v>475</v>
      </c>
      <c r="E6617" s="30" t="s">
        <v>14469</v>
      </c>
      <c r="F6617" s="34" t="n">
        <f aca="false">IFERROR(VLOOKUP($A6617,'319'!$B:$H,7,0),0)</f>
        <v>0</v>
      </c>
      <c r="G6617" s="34" t="n">
        <f aca="false">SUMIFS('12.326ana'!$C:$C,'12.326ana'!$M:$M,redes!A6617)</f>
        <v>0</v>
      </c>
    </row>
    <row r="6618" customFormat="false" ht="14.4" hidden="true" customHeight="false" outlineLevel="0" collapsed="false">
      <c r="A6618" s="34" t="n">
        <v>2152466000138</v>
      </c>
      <c r="B6618" s="34" t="s">
        <v>14470</v>
      </c>
      <c r="C6618" s="34" t="s">
        <v>77</v>
      </c>
      <c r="E6618" s="30" t="s">
        <v>14471</v>
      </c>
      <c r="F6618" s="34" t="n">
        <f aca="false">IFERROR(VLOOKUP($A6618,'319'!$B:$H,7,0),0)</f>
        <v>0</v>
      </c>
      <c r="G6618" s="34" t="n">
        <f aca="false">SUMIFS('12.326ana'!$C:$C,'12.326ana'!$M:$M,redes!A6618)</f>
        <v>0</v>
      </c>
    </row>
    <row r="6619" customFormat="false" ht="14.4" hidden="true" customHeight="false" outlineLevel="0" collapsed="false">
      <c r="A6619" s="34" t="n">
        <v>2159199000120</v>
      </c>
      <c r="B6619" s="34" t="s">
        <v>14472</v>
      </c>
      <c r="C6619" s="34" t="s">
        <v>77</v>
      </c>
      <c r="E6619" s="30" t="s">
        <v>14473</v>
      </c>
      <c r="F6619" s="34" t="n">
        <f aca="false">IFERROR(VLOOKUP($A6619,'319'!$B:$H,7,0),0)</f>
        <v>0</v>
      </c>
      <c r="G6619" s="34" t="n">
        <f aca="false">SUMIFS('12.326ana'!$C:$C,'12.326ana'!$M:$M,redes!A6619)</f>
        <v>0</v>
      </c>
    </row>
    <row r="6620" customFormat="false" ht="14.4" hidden="true" customHeight="false" outlineLevel="0" collapsed="false">
      <c r="A6620" s="34" t="n">
        <v>2159217000174</v>
      </c>
      <c r="B6620" s="34" t="s">
        <v>14474</v>
      </c>
      <c r="C6620" s="34" t="s">
        <v>77</v>
      </c>
      <c r="E6620" s="30" t="s">
        <v>14475</v>
      </c>
      <c r="F6620" s="34" t="n">
        <f aca="false">IFERROR(VLOOKUP($A6620,'319'!$B:$H,7,0),0)</f>
        <v>0</v>
      </c>
      <c r="G6620" s="34" t="n">
        <f aca="false">SUMIFS('12.326ana'!$C:$C,'12.326ana'!$M:$M,redes!A6620)</f>
        <v>0</v>
      </c>
    </row>
    <row r="6621" customFormat="false" ht="14.4" hidden="true" customHeight="false" outlineLevel="0" collapsed="false">
      <c r="A6621" s="34" t="n">
        <v>2159227000100</v>
      </c>
      <c r="B6621" s="34" t="s">
        <v>14476</v>
      </c>
      <c r="C6621" s="34" t="s">
        <v>357</v>
      </c>
      <c r="E6621" s="30" t="s">
        <v>14477</v>
      </c>
      <c r="F6621" s="34" t="n">
        <f aca="false">IFERROR(VLOOKUP($A6621,'319'!$B:$H,7,0),0)</f>
        <v>0</v>
      </c>
      <c r="G6621" s="34" t="n">
        <f aca="false">SUMIFS('12.326ana'!$C:$C,'12.326ana'!$M:$M,redes!A6621)</f>
        <v>0</v>
      </c>
    </row>
    <row r="6622" customFormat="false" ht="14.4" hidden="true" customHeight="false" outlineLevel="0" collapsed="false">
      <c r="A6622" s="34" t="n">
        <v>2161623000171</v>
      </c>
      <c r="B6622" s="34" t="s">
        <v>14478</v>
      </c>
      <c r="C6622" s="34" t="s">
        <v>207</v>
      </c>
      <c r="D6622" s="34" t="s">
        <v>14479</v>
      </c>
      <c r="E6622" s="30" t="s">
        <v>14480</v>
      </c>
      <c r="F6622" s="34" t="n">
        <f aca="false">IFERROR(VLOOKUP($A6622,'319'!$B:$H,7,0),0)</f>
        <v>0</v>
      </c>
      <c r="G6622" s="34" t="n">
        <f aca="false">SUMIFS('12.326ana'!$C:$C,'12.326ana'!$M:$M,redes!A6622)</f>
        <v>0</v>
      </c>
    </row>
    <row r="6623" customFormat="false" ht="14.4" hidden="true" customHeight="false" outlineLevel="0" collapsed="false">
      <c r="A6623" s="34" t="n">
        <v>2161630000173</v>
      </c>
      <c r="B6623" s="34" t="s">
        <v>14481</v>
      </c>
      <c r="C6623" s="34" t="s">
        <v>464</v>
      </c>
      <c r="E6623" s="30" t="s">
        <v>14482</v>
      </c>
      <c r="F6623" s="34" t="n">
        <f aca="false">IFERROR(VLOOKUP($A6623,'319'!$B:$H,7,0),0)</f>
        <v>0</v>
      </c>
      <c r="G6623" s="34" t="n">
        <f aca="false">SUMIFS('12.326ana'!$C:$C,'12.326ana'!$M:$M,redes!A6623)</f>
        <v>0</v>
      </c>
    </row>
    <row r="6624" customFormat="false" ht="14.4" hidden="true" customHeight="false" outlineLevel="0" collapsed="false">
      <c r="A6624" s="34" t="n">
        <v>2164322000100</v>
      </c>
      <c r="B6624" s="34" t="s">
        <v>14483</v>
      </c>
      <c r="C6624" s="34" t="s">
        <v>77</v>
      </c>
      <c r="E6624" s="30" t="s">
        <v>14484</v>
      </c>
      <c r="F6624" s="34" t="n">
        <f aca="false">IFERROR(VLOOKUP($A6624,'319'!$B:$H,7,0),0)</f>
        <v>0</v>
      </c>
      <c r="G6624" s="34" t="n">
        <f aca="false">SUMIFS('12.326ana'!$C:$C,'12.326ana'!$M:$M,redes!A6624)</f>
        <v>0</v>
      </c>
    </row>
    <row r="6625" customFormat="false" ht="14.4" hidden="true" customHeight="false" outlineLevel="0" collapsed="false">
      <c r="A6625" s="34" t="n">
        <v>2164329000113</v>
      </c>
      <c r="B6625" s="34" t="s">
        <v>14485</v>
      </c>
      <c r="C6625" s="34" t="s">
        <v>77</v>
      </c>
      <c r="E6625" s="30" t="s">
        <v>14486</v>
      </c>
      <c r="F6625" s="34" t="n">
        <f aca="false">IFERROR(VLOOKUP($A6625,'319'!$B:$H,7,0),0)</f>
        <v>0</v>
      </c>
      <c r="G6625" s="34" t="n">
        <f aca="false">SUMIFS('12.326ana'!$C:$C,'12.326ana'!$M:$M,redes!A6625)</f>
        <v>0</v>
      </c>
    </row>
    <row r="6626" customFormat="false" ht="14.4" hidden="true" customHeight="false" outlineLevel="0" collapsed="false">
      <c r="A6626" s="34" t="n">
        <v>2165028000104</v>
      </c>
      <c r="B6626" s="34" t="s">
        <v>14487</v>
      </c>
      <c r="C6626" s="34" t="s">
        <v>962</v>
      </c>
      <c r="E6626" s="30" t="s">
        <v>14487</v>
      </c>
      <c r="F6626" s="34" t="n">
        <f aca="false">IFERROR(VLOOKUP($A6626,'319'!$B:$H,7,0),0)</f>
        <v>0</v>
      </c>
      <c r="G6626" s="34" t="n">
        <f aca="false">SUMIFS('12.326ana'!$C:$C,'12.326ana'!$M:$M,redes!A6626)</f>
        <v>0</v>
      </c>
    </row>
    <row r="6627" customFormat="false" ht="14.4" hidden="true" customHeight="false" outlineLevel="0" collapsed="false">
      <c r="A6627" s="34" t="n">
        <v>2166511000103</v>
      </c>
      <c r="B6627" s="34" t="s">
        <v>14488</v>
      </c>
      <c r="C6627" s="34" t="s">
        <v>117</v>
      </c>
      <c r="D6627" s="34" t="s">
        <v>9598</v>
      </c>
      <c r="E6627" s="30" t="s">
        <v>14489</v>
      </c>
      <c r="F6627" s="34" t="n">
        <f aca="false">IFERROR(VLOOKUP($A6627,'319'!$B:$H,7,0),0)</f>
        <v>0</v>
      </c>
      <c r="G6627" s="34" t="n">
        <f aca="false">SUMIFS('12.326ana'!$C:$C,'12.326ana'!$M:$M,redes!A6627)</f>
        <v>0</v>
      </c>
    </row>
    <row r="6628" customFormat="false" ht="14.4" hidden="true" customHeight="false" outlineLevel="0" collapsed="false">
      <c r="A6628" s="34" t="n">
        <v>2167549000109</v>
      </c>
      <c r="B6628" s="34" t="s">
        <v>14490</v>
      </c>
      <c r="C6628" s="34" t="s">
        <v>713</v>
      </c>
      <c r="E6628" s="30" t="s">
        <v>13744</v>
      </c>
      <c r="F6628" s="34" t="n">
        <f aca="false">IFERROR(VLOOKUP($A6628,'319'!$B:$H,7,0),0)</f>
        <v>0</v>
      </c>
      <c r="G6628" s="34" t="n">
        <f aca="false">SUMIFS('12.326ana'!$C:$C,'12.326ana'!$M:$M,redes!A6628)</f>
        <v>0</v>
      </c>
    </row>
    <row r="6629" customFormat="false" ht="14.4" hidden="true" customHeight="false" outlineLevel="0" collapsed="false">
      <c r="A6629" s="34" t="n">
        <v>2168390000139</v>
      </c>
      <c r="B6629" s="34" t="s">
        <v>14491</v>
      </c>
      <c r="C6629" s="34" t="s">
        <v>77</v>
      </c>
      <c r="E6629" s="30" t="s">
        <v>14492</v>
      </c>
      <c r="F6629" s="34" t="n">
        <f aca="false">IFERROR(VLOOKUP($A6629,'319'!$B:$H,7,0),0)</f>
        <v>0</v>
      </c>
      <c r="G6629" s="34" t="n">
        <f aca="false">SUMIFS('12.326ana'!$C:$C,'12.326ana'!$M:$M,redes!A6629)</f>
        <v>0</v>
      </c>
    </row>
    <row r="6630" customFormat="false" ht="14.4" hidden="true" customHeight="false" outlineLevel="0" collapsed="false">
      <c r="A6630" s="34" t="n">
        <v>2168396000106</v>
      </c>
      <c r="B6630" s="34" t="s">
        <v>14493</v>
      </c>
      <c r="C6630" s="34" t="s">
        <v>562</v>
      </c>
      <c r="E6630" s="30" t="s">
        <v>14494</v>
      </c>
      <c r="F6630" s="34" t="n">
        <f aca="false">IFERROR(VLOOKUP($A6630,'319'!$B:$H,7,0),0)</f>
        <v>0</v>
      </c>
      <c r="G6630" s="34" t="n">
        <f aca="false">SUMIFS('12.326ana'!$C:$C,'12.326ana'!$M:$M,redes!A6630)</f>
        <v>0</v>
      </c>
    </row>
    <row r="6631" customFormat="false" ht="14.4" hidden="true" customHeight="false" outlineLevel="0" collapsed="false">
      <c r="A6631" s="34" t="n">
        <v>2170162000101</v>
      </c>
      <c r="B6631" s="34" t="s">
        <v>14495</v>
      </c>
      <c r="C6631" s="34" t="s">
        <v>192</v>
      </c>
      <c r="E6631" s="30" t="s">
        <v>14496</v>
      </c>
      <c r="F6631" s="34" t="n">
        <f aca="false">IFERROR(VLOOKUP($A6631,'319'!$B:$H,7,0),0)</f>
        <v>0</v>
      </c>
      <c r="G6631" s="34" t="n">
        <f aca="false">SUMIFS('12.326ana'!$C:$C,'12.326ana'!$M:$M,redes!A6631)</f>
        <v>0</v>
      </c>
    </row>
    <row r="6632" customFormat="false" ht="14.4" hidden="true" customHeight="false" outlineLevel="0" collapsed="false">
      <c r="A6632" s="34" t="n">
        <v>2170903000146</v>
      </c>
      <c r="B6632" s="34" t="s">
        <v>14497</v>
      </c>
      <c r="C6632" s="34" t="s">
        <v>464</v>
      </c>
      <c r="E6632" s="30" t="s">
        <v>14498</v>
      </c>
      <c r="F6632" s="34" t="n">
        <f aca="false">IFERROR(VLOOKUP($A6632,'319'!$B:$H,7,0),0)</f>
        <v>0</v>
      </c>
      <c r="G6632" s="34" t="n">
        <f aca="false">SUMIFS('12.326ana'!$C:$C,'12.326ana'!$M:$M,redes!A6632)</f>
        <v>0</v>
      </c>
    </row>
    <row r="6633" customFormat="false" ht="14.4" hidden="true" customHeight="false" outlineLevel="0" collapsed="false">
      <c r="A6633" s="34" t="n">
        <v>2172110000166</v>
      </c>
      <c r="B6633" s="34" t="s">
        <v>14499</v>
      </c>
      <c r="C6633" s="34" t="s">
        <v>107</v>
      </c>
      <c r="E6633" s="30" t="s">
        <v>14500</v>
      </c>
      <c r="F6633" s="34" t="n">
        <f aca="false">IFERROR(VLOOKUP($A6633,'319'!$B:$H,7,0),0)</f>
        <v>0</v>
      </c>
      <c r="G6633" s="34" t="n">
        <f aca="false">SUMIFS('12.326ana'!$C:$C,'12.326ana'!$M:$M,redes!A6633)</f>
        <v>0</v>
      </c>
    </row>
    <row r="6634" customFormat="false" ht="14.4" hidden="true" customHeight="false" outlineLevel="0" collapsed="false">
      <c r="A6634" s="34" t="n">
        <v>2172259000145</v>
      </c>
      <c r="B6634" s="34" t="s">
        <v>14501</v>
      </c>
      <c r="C6634" s="34" t="s">
        <v>77</v>
      </c>
      <c r="E6634" s="30" t="s">
        <v>14502</v>
      </c>
      <c r="F6634" s="34" t="n">
        <f aca="false">IFERROR(VLOOKUP($A6634,'319'!$B:$H,7,0),0)</f>
        <v>0</v>
      </c>
      <c r="G6634" s="34" t="n">
        <f aca="false">SUMIFS('12.326ana'!$C:$C,'12.326ana'!$M:$M,redes!A6634)</f>
        <v>0</v>
      </c>
    </row>
    <row r="6635" customFormat="false" ht="14.4" hidden="true" customHeight="false" outlineLevel="0" collapsed="false">
      <c r="A6635" s="34" t="n">
        <v>2181799000195</v>
      </c>
      <c r="B6635" s="34" t="s">
        <v>14503</v>
      </c>
      <c r="C6635" s="34" t="s">
        <v>604</v>
      </c>
      <c r="E6635" s="30" t="s">
        <v>14504</v>
      </c>
      <c r="F6635" s="34" t="n">
        <f aca="false">IFERROR(VLOOKUP($A6635,'319'!$B:$H,7,0),0)</f>
        <v>0</v>
      </c>
      <c r="G6635" s="34" t="n">
        <f aca="false">SUMIFS('12.326ana'!$C:$C,'12.326ana'!$M:$M,redes!A6635)</f>
        <v>0</v>
      </c>
    </row>
    <row r="6636" customFormat="false" ht="14.4" hidden="true" customHeight="false" outlineLevel="0" collapsed="false">
      <c r="A6636" s="34" t="n">
        <v>2182116000114</v>
      </c>
      <c r="B6636" s="34" t="s">
        <v>14505</v>
      </c>
      <c r="C6636" s="34" t="s">
        <v>117</v>
      </c>
      <c r="E6636" s="30" t="s">
        <v>14506</v>
      </c>
      <c r="F6636" s="34" t="n">
        <f aca="false">IFERROR(VLOOKUP($A6636,'319'!$B:$H,7,0),0)</f>
        <v>0</v>
      </c>
      <c r="G6636" s="34" t="n">
        <f aca="false">SUMIFS('12.326ana'!$C:$C,'12.326ana'!$M:$M,redes!A6636)</f>
        <v>0</v>
      </c>
    </row>
    <row r="6637" customFormat="false" ht="14.4" hidden="true" customHeight="false" outlineLevel="0" collapsed="false">
      <c r="A6637" s="34" t="n">
        <v>2183951000179</v>
      </c>
      <c r="B6637" s="34" t="s">
        <v>14507</v>
      </c>
      <c r="C6637" s="34" t="s">
        <v>89</v>
      </c>
      <c r="E6637" s="30" t="s">
        <v>14508</v>
      </c>
      <c r="F6637" s="34" t="n">
        <f aca="false">IFERROR(VLOOKUP($A6637,'319'!$B:$H,7,0),0)</f>
        <v>0</v>
      </c>
      <c r="G6637" s="34" t="n">
        <f aca="false">SUMIFS('12.326ana'!$C:$C,'12.326ana'!$M:$M,redes!A6637)</f>
        <v>0</v>
      </c>
    </row>
    <row r="6638" customFormat="false" ht="14.4" hidden="true" customHeight="false" outlineLevel="0" collapsed="false">
      <c r="A6638" s="34" t="n">
        <v>2186784000110</v>
      </c>
      <c r="B6638" s="34" t="s">
        <v>14509</v>
      </c>
      <c r="C6638" s="34" t="s">
        <v>77</v>
      </c>
      <c r="E6638" s="30" t="s">
        <v>14510</v>
      </c>
      <c r="F6638" s="34" t="n">
        <f aca="false">IFERROR(VLOOKUP($A6638,'319'!$B:$H,7,0),0)</f>
        <v>0</v>
      </c>
      <c r="G6638" s="34" t="n">
        <f aca="false">SUMIFS('12.326ana'!$C:$C,'12.326ana'!$M:$M,redes!A6638)</f>
        <v>0</v>
      </c>
    </row>
    <row r="6639" customFormat="false" ht="14.4" hidden="true" customHeight="false" outlineLevel="0" collapsed="false">
      <c r="A6639" s="34" t="n">
        <v>2187877000169</v>
      </c>
      <c r="B6639" s="34" t="s">
        <v>14511</v>
      </c>
      <c r="C6639" s="34" t="s">
        <v>565</v>
      </c>
      <c r="E6639" s="30" t="s">
        <v>14512</v>
      </c>
      <c r="F6639" s="34" t="n">
        <f aca="false">IFERROR(VLOOKUP($A6639,'319'!$B:$H,7,0),0)</f>
        <v>0</v>
      </c>
      <c r="G6639" s="34" t="n">
        <f aca="false">SUMIFS('12.326ana'!$C:$C,'12.326ana'!$M:$M,redes!A6639)</f>
        <v>0</v>
      </c>
    </row>
    <row r="6640" customFormat="false" ht="14.4" hidden="true" customHeight="false" outlineLevel="0" collapsed="false">
      <c r="A6640" s="34" t="n">
        <v>2188411000188</v>
      </c>
      <c r="B6640" s="34" t="s">
        <v>14513</v>
      </c>
      <c r="C6640" s="34" t="s">
        <v>77</v>
      </c>
      <c r="E6640" s="30" t="s">
        <v>14514</v>
      </c>
      <c r="F6640" s="34" t="n">
        <f aca="false">IFERROR(VLOOKUP($A6640,'319'!$B:$H,7,0),0)</f>
        <v>0</v>
      </c>
      <c r="G6640" s="34" t="n">
        <f aca="false">SUMIFS('12.326ana'!$C:$C,'12.326ana'!$M:$M,redes!A6640)</f>
        <v>0</v>
      </c>
    </row>
    <row r="6641" customFormat="false" ht="14.4" hidden="true" customHeight="false" outlineLevel="0" collapsed="false">
      <c r="A6641" s="34" t="n">
        <v>2191710000171</v>
      </c>
      <c r="B6641" s="34" t="s">
        <v>14515</v>
      </c>
      <c r="C6641" s="34" t="s">
        <v>139</v>
      </c>
      <c r="E6641" s="30" t="s">
        <v>8888</v>
      </c>
      <c r="F6641" s="34" t="n">
        <f aca="false">IFERROR(VLOOKUP($A6641,'319'!$B:$H,7,0),0)</f>
        <v>0</v>
      </c>
      <c r="G6641" s="34" t="n">
        <f aca="false">SUMIFS('12.326ana'!$C:$C,'12.326ana'!$M:$M,redes!A6641)</f>
        <v>0</v>
      </c>
    </row>
    <row r="6642" customFormat="false" ht="14.4" hidden="true" customHeight="false" outlineLevel="0" collapsed="false">
      <c r="A6642" s="34" t="n">
        <v>2197563000147</v>
      </c>
      <c r="B6642" s="34" t="s">
        <v>14516</v>
      </c>
      <c r="C6642" s="34" t="s">
        <v>139</v>
      </c>
      <c r="E6642" s="30" t="s">
        <v>14517</v>
      </c>
      <c r="F6642" s="34" t="n">
        <f aca="false">IFERROR(VLOOKUP($A6642,'319'!$B:$H,7,0),0)</f>
        <v>0</v>
      </c>
      <c r="G6642" s="34" t="n">
        <f aca="false">SUMIFS('12.326ana'!$C:$C,'12.326ana'!$M:$M,redes!A6642)</f>
        <v>0</v>
      </c>
    </row>
    <row r="6643" customFormat="false" ht="14.4" hidden="true" customHeight="false" outlineLevel="0" collapsed="false">
      <c r="A6643" s="34" t="n">
        <v>2198538000188</v>
      </c>
      <c r="B6643" s="34" t="s">
        <v>14518</v>
      </c>
      <c r="C6643" s="34" t="s">
        <v>89</v>
      </c>
      <c r="E6643" s="30" t="s">
        <v>14519</v>
      </c>
      <c r="F6643" s="34" t="n">
        <f aca="false">IFERROR(VLOOKUP($A6643,'319'!$B:$H,7,0),0)</f>
        <v>0</v>
      </c>
      <c r="G6643" s="34" t="n">
        <f aca="false">SUMIFS('12.326ana'!$C:$C,'12.326ana'!$M:$M,redes!A6643)</f>
        <v>0</v>
      </c>
    </row>
    <row r="6644" customFormat="false" ht="14.4" hidden="true" customHeight="false" outlineLevel="0" collapsed="false">
      <c r="A6644" s="34" t="n">
        <v>2198993000183</v>
      </c>
      <c r="B6644" s="34" t="s">
        <v>14520</v>
      </c>
      <c r="C6644" s="34" t="s">
        <v>77</v>
      </c>
      <c r="E6644" s="30" t="s">
        <v>14521</v>
      </c>
      <c r="F6644" s="34" t="n">
        <f aca="false">IFERROR(VLOOKUP($A6644,'319'!$B:$H,7,0),0)</f>
        <v>0</v>
      </c>
      <c r="G6644" s="34" t="n">
        <f aca="false">SUMIFS('12.326ana'!$C:$C,'12.326ana'!$M:$M,redes!A6644)</f>
        <v>0</v>
      </c>
    </row>
    <row r="6645" customFormat="false" ht="14.4" hidden="true" customHeight="false" outlineLevel="0" collapsed="false">
      <c r="A6645" s="34" t="n">
        <v>2199373000169</v>
      </c>
      <c r="B6645" s="34" t="s">
        <v>14522</v>
      </c>
      <c r="C6645" s="34" t="s">
        <v>103</v>
      </c>
      <c r="E6645" s="30" t="s">
        <v>14523</v>
      </c>
      <c r="F6645" s="34" t="n">
        <f aca="false">IFERROR(VLOOKUP($A6645,'319'!$B:$H,7,0),0)</f>
        <v>0</v>
      </c>
      <c r="G6645" s="34" t="n">
        <f aca="false">SUMIFS('12.326ana'!$C:$C,'12.326ana'!$M:$M,redes!A6645)</f>
        <v>0</v>
      </c>
    </row>
    <row r="6646" customFormat="false" ht="14.4" hidden="true" customHeight="false" outlineLevel="0" collapsed="false">
      <c r="A6646" s="34" t="n">
        <v>2201273000120</v>
      </c>
      <c r="B6646" s="34" t="s">
        <v>14524</v>
      </c>
      <c r="C6646" s="34" t="s">
        <v>764</v>
      </c>
      <c r="E6646" s="30" t="s">
        <v>4262</v>
      </c>
      <c r="F6646" s="34" t="n">
        <f aca="false">IFERROR(VLOOKUP($A6646,'319'!$B:$H,7,0),0)</f>
        <v>0</v>
      </c>
      <c r="G6646" s="34" t="n">
        <f aca="false">SUMIFS('12.326ana'!$C:$C,'12.326ana'!$M:$M,redes!A6646)</f>
        <v>0</v>
      </c>
    </row>
    <row r="6647" customFormat="false" ht="14.4" hidden="true" customHeight="false" outlineLevel="0" collapsed="false">
      <c r="A6647" s="34" t="n">
        <v>2201753000190</v>
      </c>
      <c r="B6647" s="34" t="s">
        <v>14525</v>
      </c>
      <c r="C6647" s="34" t="s">
        <v>351</v>
      </c>
      <c r="E6647" s="30" t="s">
        <v>8683</v>
      </c>
      <c r="F6647" s="34" t="n">
        <f aca="false">IFERROR(VLOOKUP($A6647,'319'!$B:$H,7,0),0)</f>
        <v>0</v>
      </c>
      <c r="G6647" s="34" t="n">
        <f aca="false">SUMIFS('12.326ana'!$C:$C,'12.326ana'!$M:$M,redes!A6647)</f>
        <v>0</v>
      </c>
    </row>
    <row r="6648" customFormat="false" ht="14.4" hidden="true" customHeight="false" outlineLevel="0" collapsed="false">
      <c r="A6648" s="34" t="n">
        <v>2202835000150</v>
      </c>
      <c r="B6648" s="34" t="s">
        <v>14526</v>
      </c>
      <c r="C6648" s="34" t="s">
        <v>1591</v>
      </c>
      <c r="E6648" s="30" t="s">
        <v>14527</v>
      </c>
      <c r="F6648" s="34" t="n">
        <f aca="false">IFERROR(VLOOKUP($A6648,'319'!$B:$H,7,0),0)</f>
        <v>0</v>
      </c>
      <c r="G6648" s="34" t="n">
        <f aca="false">SUMIFS('12.326ana'!$C:$C,'12.326ana'!$M:$M,redes!A6648)</f>
        <v>0</v>
      </c>
    </row>
    <row r="6649" customFormat="false" ht="14.4" hidden="true" customHeight="false" outlineLevel="0" collapsed="false">
      <c r="A6649" s="34" t="n">
        <v>2207768000166</v>
      </c>
      <c r="B6649" s="34" t="s">
        <v>14528</v>
      </c>
      <c r="C6649" s="34" t="s">
        <v>139</v>
      </c>
      <c r="E6649" s="30" t="s">
        <v>14529</v>
      </c>
      <c r="F6649" s="34" t="n">
        <f aca="false">IFERROR(VLOOKUP($A6649,'319'!$B:$H,7,0),0)</f>
        <v>0</v>
      </c>
      <c r="G6649" s="34" t="n">
        <f aca="false">SUMIFS('12.326ana'!$C:$C,'12.326ana'!$M:$M,redes!A6649)</f>
        <v>0</v>
      </c>
    </row>
    <row r="6650" customFormat="false" ht="14.4" hidden="true" customHeight="false" outlineLevel="0" collapsed="false">
      <c r="A6650" s="34" t="n">
        <v>2210825000166</v>
      </c>
      <c r="B6650" s="34" t="s">
        <v>14530</v>
      </c>
      <c r="C6650" s="34" t="s">
        <v>77</v>
      </c>
      <c r="E6650" s="30" t="s">
        <v>14531</v>
      </c>
      <c r="F6650" s="34" t="n">
        <f aca="false">IFERROR(VLOOKUP($A6650,'319'!$B:$H,7,0),0)</f>
        <v>0</v>
      </c>
      <c r="G6650" s="34" t="n">
        <f aca="false">SUMIFS('12.326ana'!$C:$C,'12.326ana'!$M:$M,redes!A6650)</f>
        <v>0</v>
      </c>
    </row>
    <row r="6651" customFormat="false" ht="14.4" hidden="true" customHeight="false" outlineLevel="0" collapsed="false">
      <c r="A6651" s="34" t="n">
        <v>2210826000100</v>
      </c>
      <c r="B6651" s="34" t="s">
        <v>14532</v>
      </c>
      <c r="C6651" s="34" t="s">
        <v>77</v>
      </c>
      <c r="E6651" s="30" t="s">
        <v>14533</v>
      </c>
      <c r="F6651" s="34" t="n">
        <f aca="false">IFERROR(VLOOKUP($A6651,'319'!$B:$H,7,0),0)</f>
        <v>0</v>
      </c>
      <c r="G6651" s="34" t="n">
        <f aca="false">SUMIFS('12.326ana'!$C:$C,'12.326ana'!$M:$M,redes!A6651)</f>
        <v>0</v>
      </c>
    </row>
    <row r="6652" customFormat="false" ht="14.4" hidden="true" customHeight="false" outlineLevel="0" collapsed="false">
      <c r="A6652" s="34" t="n">
        <v>2215824000104</v>
      </c>
      <c r="B6652" s="34" t="s">
        <v>14534</v>
      </c>
      <c r="C6652" s="34" t="s">
        <v>77</v>
      </c>
      <c r="E6652" s="30" t="s">
        <v>14535</v>
      </c>
      <c r="F6652" s="34" t="n">
        <f aca="false">IFERROR(VLOOKUP($A6652,'319'!$B:$H,7,0),0)</f>
        <v>0</v>
      </c>
      <c r="G6652" s="34" t="n">
        <f aca="false">SUMIFS('12.326ana'!$C:$C,'12.326ana'!$M:$M,redes!A6652)</f>
        <v>0</v>
      </c>
    </row>
    <row r="6653" customFormat="false" ht="14.4" hidden="true" customHeight="false" outlineLevel="0" collapsed="false">
      <c r="A6653" s="34" t="n">
        <v>2215828000192</v>
      </c>
      <c r="B6653" s="34" t="s">
        <v>14536</v>
      </c>
      <c r="C6653" s="34" t="s">
        <v>342</v>
      </c>
      <c r="E6653" s="30" t="s">
        <v>5613</v>
      </c>
      <c r="F6653" s="34" t="n">
        <f aca="false">IFERROR(VLOOKUP($A6653,'319'!$B:$H,7,0),0)</f>
        <v>0</v>
      </c>
      <c r="G6653" s="34" t="n">
        <f aca="false">SUMIFS('12.326ana'!$C:$C,'12.326ana'!$M:$M,redes!A6653)</f>
        <v>0</v>
      </c>
    </row>
    <row r="6654" customFormat="false" ht="14.4" hidden="true" customHeight="false" outlineLevel="0" collapsed="false">
      <c r="A6654" s="34" t="n">
        <v>2217857000193</v>
      </c>
      <c r="B6654" s="34" t="s">
        <v>14537</v>
      </c>
      <c r="C6654" s="34" t="s">
        <v>77</v>
      </c>
      <c r="E6654" s="30" t="s">
        <v>9181</v>
      </c>
      <c r="F6654" s="34" t="n">
        <f aca="false">IFERROR(VLOOKUP($A6654,'319'!$B:$H,7,0),0)</f>
        <v>0</v>
      </c>
      <c r="G6654" s="34" t="n">
        <f aca="false">SUMIFS('12.326ana'!$C:$C,'12.326ana'!$M:$M,redes!A6654)</f>
        <v>0</v>
      </c>
    </row>
    <row r="6655" customFormat="false" ht="14.4" hidden="true" customHeight="false" outlineLevel="0" collapsed="false">
      <c r="A6655" s="34" t="n">
        <v>2219062000114</v>
      </c>
      <c r="B6655" s="34" t="s">
        <v>14538</v>
      </c>
      <c r="C6655" s="34" t="s">
        <v>842</v>
      </c>
      <c r="E6655" s="30" t="s">
        <v>14539</v>
      </c>
      <c r="F6655" s="34" t="n">
        <f aca="false">IFERROR(VLOOKUP($A6655,'319'!$B:$H,7,0),0)</f>
        <v>0</v>
      </c>
      <c r="G6655" s="34" t="n">
        <f aca="false">SUMIFS('12.326ana'!$C:$C,'12.326ana'!$M:$M,redes!A6655)</f>
        <v>0</v>
      </c>
    </row>
    <row r="6656" customFormat="false" ht="14.4" hidden="true" customHeight="false" outlineLevel="0" collapsed="false">
      <c r="A6656" s="34" t="n">
        <v>2219663000127</v>
      </c>
      <c r="B6656" s="34" t="s">
        <v>14540</v>
      </c>
      <c r="C6656" s="34" t="s">
        <v>2998</v>
      </c>
      <c r="E6656" s="30" t="s">
        <v>14541</v>
      </c>
      <c r="F6656" s="34" t="n">
        <f aca="false">IFERROR(VLOOKUP($A6656,'319'!$B:$H,7,0),0)</f>
        <v>0</v>
      </c>
      <c r="G6656" s="34" t="n">
        <f aca="false">SUMIFS('12.326ana'!$C:$C,'12.326ana'!$M:$M,redes!A6656)</f>
        <v>0</v>
      </c>
    </row>
    <row r="6657" customFormat="false" ht="14.4" hidden="true" customHeight="false" outlineLevel="0" collapsed="false">
      <c r="A6657" s="34" t="n">
        <v>2220698000186</v>
      </c>
      <c r="B6657" s="34" t="s">
        <v>14542</v>
      </c>
      <c r="C6657" s="34" t="s">
        <v>77</v>
      </c>
      <c r="E6657" s="30" t="s">
        <v>14543</v>
      </c>
      <c r="F6657" s="34" t="n">
        <f aca="false">IFERROR(VLOOKUP($A6657,'319'!$B:$H,7,0),0)</f>
        <v>0</v>
      </c>
      <c r="G6657" s="34" t="n">
        <f aca="false">SUMIFS('12.326ana'!$C:$C,'12.326ana'!$M:$M,redes!A6657)</f>
        <v>0</v>
      </c>
    </row>
    <row r="6658" customFormat="false" ht="14.4" hidden="true" customHeight="false" outlineLevel="0" collapsed="false">
      <c r="A6658" s="34" t="n">
        <v>2220723000121</v>
      </c>
      <c r="B6658" s="34" t="s">
        <v>14544</v>
      </c>
      <c r="C6658" s="34" t="s">
        <v>77</v>
      </c>
      <c r="E6658" s="30" t="s">
        <v>14545</v>
      </c>
      <c r="F6658" s="34" t="n">
        <f aca="false">IFERROR(VLOOKUP($A6658,'319'!$B:$H,7,0),0)</f>
        <v>0</v>
      </c>
      <c r="G6658" s="34" t="n">
        <f aca="false">SUMIFS('12.326ana'!$C:$C,'12.326ana'!$M:$M,redes!A6658)</f>
        <v>0</v>
      </c>
    </row>
    <row r="6659" customFormat="false" ht="14.4" hidden="true" customHeight="false" outlineLevel="0" collapsed="false">
      <c r="A6659" s="34" t="n">
        <v>2221458000104</v>
      </c>
      <c r="B6659" s="34" t="s">
        <v>14546</v>
      </c>
      <c r="C6659" s="34" t="s">
        <v>77</v>
      </c>
      <c r="E6659" s="30" t="s">
        <v>14547</v>
      </c>
      <c r="F6659" s="34" t="n">
        <f aca="false">IFERROR(VLOOKUP($A6659,'319'!$B:$H,7,0),0)</f>
        <v>0</v>
      </c>
      <c r="G6659" s="34" t="n">
        <f aca="false">SUMIFS('12.326ana'!$C:$C,'12.326ana'!$M:$M,redes!A6659)</f>
        <v>0</v>
      </c>
    </row>
    <row r="6660" customFormat="false" ht="14.4" hidden="true" customHeight="false" outlineLevel="0" collapsed="false">
      <c r="A6660" s="34" t="n">
        <v>2222447000130</v>
      </c>
      <c r="B6660" s="34" t="s">
        <v>14548</v>
      </c>
      <c r="C6660" s="34" t="s">
        <v>77</v>
      </c>
      <c r="E6660" s="30" t="s">
        <v>14549</v>
      </c>
      <c r="F6660" s="34" t="n">
        <f aca="false">IFERROR(VLOOKUP($A6660,'319'!$B:$H,7,0),0)</f>
        <v>0</v>
      </c>
      <c r="G6660" s="34" t="n">
        <f aca="false">SUMIFS('12.326ana'!$C:$C,'12.326ana'!$M:$M,redes!A6660)</f>
        <v>0</v>
      </c>
    </row>
    <row r="6661" customFormat="false" ht="14.4" hidden="true" customHeight="false" outlineLevel="0" collapsed="false">
      <c r="A6661" s="34" t="n">
        <v>2222873000174</v>
      </c>
      <c r="B6661" s="34" t="s">
        <v>14550</v>
      </c>
      <c r="C6661" s="34" t="s">
        <v>598</v>
      </c>
      <c r="E6661" s="30" t="s">
        <v>14551</v>
      </c>
      <c r="F6661" s="34" t="n">
        <f aca="false">IFERROR(VLOOKUP($A6661,'319'!$B:$H,7,0),0)</f>
        <v>0</v>
      </c>
      <c r="G6661" s="34" t="n">
        <f aca="false">SUMIFS('12.326ana'!$C:$C,'12.326ana'!$M:$M,redes!A6661)</f>
        <v>0</v>
      </c>
    </row>
    <row r="6662" customFormat="false" ht="14.4" hidden="true" customHeight="false" outlineLevel="0" collapsed="false">
      <c r="A6662" s="34" t="n">
        <v>2224643000144</v>
      </c>
      <c r="B6662" s="34" t="s">
        <v>14552</v>
      </c>
      <c r="C6662" s="34" t="s">
        <v>77</v>
      </c>
      <c r="E6662" s="30" t="s">
        <v>14553</v>
      </c>
      <c r="F6662" s="34" t="n">
        <f aca="false">IFERROR(VLOOKUP($A6662,'319'!$B:$H,7,0),0)</f>
        <v>0</v>
      </c>
      <c r="G6662" s="34" t="n">
        <f aca="false">SUMIFS('12.326ana'!$C:$C,'12.326ana'!$M:$M,redes!A6662)</f>
        <v>0</v>
      </c>
    </row>
    <row r="6663" customFormat="false" ht="14.4" hidden="true" customHeight="false" outlineLevel="0" collapsed="false">
      <c r="A6663" s="34" t="n">
        <v>2226278000107</v>
      </c>
      <c r="B6663" s="34" t="s">
        <v>14554</v>
      </c>
      <c r="C6663" s="34" t="s">
        <v>77</v>
      </c>
      <c r="E6663" s="30" t="s">
        <v>14555</v>
      </c>
      <c r="F6663" s="34" t="n">
        <f aca="false">IFERROR(VLOOKUP($A6663,'319'!$B:$H,7,0),0)</f>
        <v>0</v>
      </c>
      <c r="G6663" s="34" t="n">
        <f aca="false">SUMIFS('12.326ana'!$C:$C,'12.326ana'!$M:$M,redes!A6663)</f>
        <v>0</v>
      </c>
    </row>
    <row r="6664" customFormat="false" ht="14.4" hidden="true" customHeight="false" outlineLevel="0" collapsed="false">
      <c r="A6664" s="34" t="n">
        <v>2229310000108</v>
      </c>
      <c r="B6664" s="34" t="s">
        <v>14556</v>
      </c>
      <c r="C6664" s="34" t="s">
        <v>478</v>
      </c>
      <c r="E6664" s="30" t="s">
        <v>14557</v>
      </c>
      <c r="F6664" s="34" t="n">
        <f aca="false">IFERROR(VLOOKUP($A6664,'319'!$B:$H,7,0),0)</f>
        <v>0</v>
      </c>
      <c r="G6664" s="34" t="n">
        <f aca="false">SUMIFS('12.326ana'!$C:$C,'12.326ana'!$M:$M,redes!A6664)</f>
        <v>0</v>
      </c>
    </row>
    <row r="6665" customFormat="false" ht="14.4" hidden="true" customHeight="false" outlineLevel="0" collapsed="false">
      <c r="A6665" s="34" t="n">
        <v>2231484000105</v>
      </c>
      <c r="B6665" s="34" t="s">
        <v>14558</v>
      </c>
      <c r="C6665" s="34" t="s">
        <v>328</v>
      </c>
      <c r="E6665" s="30" t="s">
        <v>14559</v>
      </c>
      <c r="F6665" s="34" t="n">
        <f aca="false">IFERROR(VLOOKUP($A6665,'319'!$B:$H,7,0),0)</f>
        <v>-3591.55</v>
      </c>
      <c r="G6665" s="34" t="n">
        <f aca="false">SUMIFS('12.326ana'!$C:$C,'12.326ana'!$M:$M,redes!A6665)</f>
        <v>0</v>
      </c>
    </row>
    <row r="6666" customFormat="false" ht="14.4" hidden="true" customHeight="false" outlineLevel="0" collapsed="false">
      <c r="A6666" s="34" t="n">
        <v>2236378000114</v>
      </c>
      <c r="B6666" s="34" t="s">
        <v>14560</v>
      </c>
      <c r="C6666" s="34" t="s">
        <v>107</v>
      </c>
      <c r="E6666" s="30" t="s">
        <v>14561</v>
      </c>
      <c r="F6666" s="34" t="n">
        <f aca="false">IFERROR(VLOOKUP($A6666,'319'!$B:$H,7,0),0)</f>
        <v>0</v>
      </c>
      <c r="G6666" s="34" t="n">
        <f aca="false">SUMIFS('12.326ana'!$C:$C,'12.326ana'!$M:$M,redes!A6666)</f>
        <v>0</v>
      </c>
    </row>
    <row r="6667" customFormat="false" ht="14.4" hidden="true" customHeight="false" outlineLevel="0" collapsed="false">
      <c r="A6667" s="34" t="n">
        <v>2239701000103</v>
      </c>
      <c r="B6667" s="34" t="s">
        <v>14562</v>
      </c>
      <c r="C6667" s="34" t="s">
        <v>405</v>
      </c>
      <c r="E6667" s="30" t="s">
        <v>14563</v>
      </c>
      <c r="F6667" s="34" t="n">
        <f aca="false">IFERROR(VLOOKUP($A6667,'319'!$B:$H,7,0),0)</f>
        <v>0</v>
      </c>
      <c r="G6667" s="34" t="n">
        <f aca="false">SUMIFS('12.326ana'!$C:$C,'12.326ana'!$M:$M,redes!A6667)</f>
        <v>0</v>
      </c>
    </row>
    <row r="6668" customFormat="false" ht="14.4" hidden="true" customHeight="false" outlineLevel="0" collapsed="false">
      <c r="A6668" s="34" t="n">
        <v>2240092000102</v>
      </c>
      <c r="B6668" s="34" t="s">
        <v>14564</v>
      </c>
      <c r="C6668" s="34" t="s">
        <v>309</v>
      </c>
      <c r="E6668" s="30" t="s">
        <v>8895</v>
      </c>
      <c r="F6668" s="34" t="n">
        <f aca="false">IFERROR(VLOOKUP($A6668,'319'!$B:$H,7,0),0)</f>
        <v>0</v>
      </c>
      <c r="G6668" s="34" t="n">
        <f aca="false">SUMIFS('12.326ana'!$C:$C,'12.326ana'!$M:$M,redes!A6668)</f>
        <v>0</v>
      </c>
    </row>
    <row r="6669" customFormat="false" ht="14.4" hidden="true" customHeight="false" outlineLevel="0" collapsed="false">
      <c r="A6669" s="34" t="n">
        <v>2241060000121</v>
      </c>
      <c r="B6669" s="34" t="s">
        <v>14565</v>
      </c>
      <c r="C6669" s="34" t="s">
        <v>127</v>
      </c>
      <c r="E6669" s="30" t="s">
        <v>10166</v>
      </c>
      <c r="F6669" s="34" t="n">
        <f aca="false">IFERROR(VLOOKUP($A6669,'319'!$B:$H,7,0),0)</f>
        <v>0</v>
      </c>
      <c r="G6669" s="34" t="n">
        <f aca="false">SUMIFS('12.326ana'!$C:$C,'12.326ana'!$M:$M,redes!A6669)</f>
        <v>0</v>
      </c>
    </row>
    <row r="6670" customFormat="false" ht="14.4" hidden="true" customHeight="false" outlineLevel="0" collapsed="false">
      <c r="A6670" s="34" t="n">
        <v>2241158000189</v>
      </c>
      <c r="B6670" s="34" t="s">
        <v>14566</v>
      </c>
      <c r="C6670" s="34" t="s">
        <v>299</v>
      </c>
      <c r="E6670" s="30" t="s">
        <v>14567</v>
      </c>
      <c r="F6670" s="34" t="n">
        <f aca="false">IFERROR(VLOOKUP($A6670,'319'!$B:$H,7,0),0)</f>
        <v>0</v>
      </c>
      <c r="G6670" s="34" t="n">
        <f aca="false">SUMIFS('12.326ana'!$C:$C,'12.326ana'!$M:$M,redes!A6670)</f>
        <v>0</v>
      </c>
    </row>
    <row r="6671" customFormat="false" ht="14.4" hidden="true" customHeight="false" outlineLevel="0" collapsed="false">
      <c r="A6671" s="34" t="n">
        <v>2243131000125</v>
      </c>
      <c r="B6671" s="34" t="s">
        <v>14568</v>
      </c>
      <c r="C6671" s="34" t="s">
        <v>1272</v>
      </c>
      <c r="E6671" s="30" t="s">
        <v>14569</v>
      </c>
      <c r="F6671" s="34" t="n">
        <f aca="false">IFERROR(VLOOKUP($A6671,'319'!$B:$H,7,0),0)</f>
        <v>0</v>
      </c>
      <c r="G6671" s="34" t="n">
        <f aca="false">SUMIFS('12.326ana'!$C:$C,'12.326ana'!$M:$M,redes!A6671)</f>
        <v>0</v>
      </c>
    </row>
    <row r="6672" customFormat="false" ht="14.4" hidden="true" customHeight="false" outlineLevel="0" collapsed="false">
      <c r="A6672" s="34" t="n">
        <v>2245483000110</v>
      </c>
      <c r="B6672" s="34" t="s">
        <v>14570</v>
      </c>
      <c r="C6672" s="34" t="s">
        <v>77</v>
      </c>
      <c r="E6672" s="30" t="s">
        <v>10175</v>
      </c>
      <c r="F6672" s="34" t="n">
        <f aca="false">IFERROR(VLOOKUP($A6672,'319'!$B:$H,7,0),0)</f>
        <v>0</v>
      </c>
      <c r="G6672" s="34" t="n">
        <f aca="false">SUMIFS('12.326ana'!$C:$C,'12.326ana'!$M:$M,redes!A6672)</f>
        <v>0</v>
      </c>
    </row>
    <row r="6673" customFormat="false" ht="14.4" hidden="true" customHeight="false" outlineLevel="0" collapsed="false">
      <c r="A6673" s="34" t="n">
        <v>2246837000140</v>
      </c>
      <c r="B6673" s="34" t="s">
        <v>14571</v>
      </c>
      <c r="C6673" s="34" t="s">
        <v>1591</v>
      </c>
      <c r="E6673" s="30" t="s">
        <v>2958</v>
      </c>
      <c r="F6673" s="34" t="n">
        <f aca="false">IFERROR(VLOOKUP($A6673,'319'!$B:$H,7,0),0)</f>
        <v>0</v>
      </c>
      <c r="G6673" s="34" t="n">
        <f aca="false">SUMIFS('12.326ana'!$C:$C,'12.326ana'!$M:$M,redes!A6673)</f>
        <v>0</v>
      </c>
    </row>
    <row r="6674" customFormat="false" ht="14.4" hidden="true" customHeight="false" outlineLevel="0" collapsed="false">
      <c r="A6674" s="34" t="n">
        <v>2247796000107</v>
      </c>
      <c r="B6674" s="34" t="s">
        <v>14572</v>
      </c>
      <c r="C6674" s="34" t="s">
        <v>77</v>
      </c>
      <c r="E6674" s="30" t="s">
        <v>14573</v>
      </c>
      <c r="F6674" s="34" t="n">
        <f aca="false">IFERROR(VLOOKUP($A6674,'319'!$B:$H,7,0),0)</f>
        <v>0</v>
      </c>
      <c r="G6674" s="34" t="n">
        <f aca="false">SUMIFS('12.326ana'!$C:$C,'12.326ana'!$M:$M,redes!A6674)</f>
        <v>0</v>
      </c>
    </row>
    <row r="6675" customFormat="false" ht="14.4" hidden="true" customHeight="false" outlineLevel="0" collapsed="false">
      <c r="A6675" s="34" t="n">
        <v>2248408000102</v>
      </c>
      <c r="B6675" s="34" t="s">
        <v>14574</v>
      </c>
      <c r="C6675" s="34" t="s">
        <v>448</v>
      </c>
      <c r="E6675" s="30" t="s">
        <v>14575</v>
      </c>
      <c r="F6675" s="34" t="n">
        <f aca="false">IFERROR(VLOOKUP($A6675,'319'!$B:$H,7,0),0)</f>
        <v>0</v>
      </c>
      <c r="G6675" s="34" t="n">
        <f aca="false">SUMIFS('12.326ana'!$C:$C,'12.326ana'!$M:$M,redes!A6675)</f>
        <v>0</v>
      </c>
    </row>
    <row r="6676" customFormat="false" ht="14.4" hidden="true" customHeight="false" outlineLevel="0" collapsed="false">
      <c r="A6676" s="34" t="n">
        <v>2250903000156</v>
      </c>
      <c r="B6676" s="34" t="s">
        <v>14576</v>
      </c>
      <c r="C6676" s="34" t="s">
        <v>299</v>
      </c>
      <c r="E6676" s="30" t="s">
        <v>3066</v>
      </c>
      <c r="F6676" s="34" t="n">
        <f aca="false">IFERROR(VLOOKUP($A6676,'319'!$B:$H,7,0),0)</f>
        <v>0</v>
      </c>
      <c r="G6676" s="34" t="n">
        <f aca="false">SUMIFS('12.326ana'!$C:$C,'12.326ana'!$M:$M,redes!A6676)</f>
        <v>0</v>
      </c>
    </row>
    <row r="6677" customFormat="false" ht="14.4" hidden="true" customHeight="false" outlineLevel="0" collapsed="false">
      <c r="A6677" s="34" t="n">
        <v>2251559000110</v>
      </c>
      <c r="B6677" s="34" t="s">
        <v>14577</v>
      </c>
      <c r="C6677" s="34" t="s">
        <v>77</v>
      </c>
      <c r="E6677" s="30" t="s">
        <v>14578</v>
      </c>
      <c r="F6677" s="34" t="n">
        <f aca="false">IFERROR(VLOOKUP($A6677,'319'!$B:$H,7,0),0)</f>
        <v>0</v>
      </c>
      <c r="G6677" s="34" t="n">
        <f aca="false">SUMIFS('12.326ana'!$C:$C,'12.326ana'!$M:$M,redes!A6677)</f>
        <v>0</v>
      </c>
    </row>
    <row r="6678" customFormat="false" ht="14.4" hidden="true" customHeight="false" outlineLevel="0" collapsed="false">
      <c r="A6678" s="34" t="n">
        <v>2253229000163</v>
      </c>
      <c r="B6678" s="34" t="s">
        <v>14579</v>
      </c>
      <c r="C6678" s="34" t="s">
        <v>77</v>
      </c>
      <c r="D6678" s="34" t="s">
        <v>3324</v>
      </c>
      <c r="E6678" s="30" t="s">
        <v>14580</v>
      </c>
      <c r="F6678" s="34" t="n">
        <f aca="false">IFERROR(VLOOKUP($A6678,'319'!$B:$H,7,0),0)</f>
        <v>0</v>
      </c>
      <c r="G6678" s="34" t="n">
        <f aca="false">SUMIFS('12.326ana'!$C:$C,'12.326ana'!$M:$M,redes!A6678)</f>
        <v>0</v>
      </c>
    </row>
    <row r="6679" customFormat="false" ht="14.4" hidden="true" customHeight="false" outlineLevel="0" collapsed="false">
      <c r="A6679" s="34" t="n">
        <v>2255020000139</v>
      </c>
      <c r="B6679" s="34" t="s">
        <v>14581</v>
      </c>
      <c r="C6679" s="34" t="s">
        <v>598</v>
      </c>
      <c r="E6679" s="30" t="s">
        <v>14582</v>
      </c>
      <c r="F6679" s="34" t="n">
        <f aca="false">IFERROR(VLOOKUP($A6679,'319'!$B:$H,7,0),0)</f>
        <v>156.89</v>
      </c>
      <c r="G6679" s="34" t="n">
        <f aca="false">SUMIFS('12.326ana'!$C:$C,'12.326ana'!$M:$M,redes!A6679)</f>
        <v>0</v>
      </c>
    </row>
    <row r="6680" customFormat="false" ht="14.4" hidden="true" customHeight="false" outlineLevel="0" collapsed="false">
      <c r="A6680" s="34" t="n">
        <v>2257007000119</v>
      </c>
      <c r="B6680" s="34" t="s">
        <v>14583</v>
      </c>
      <c r="C6680" s="34" t="s">
        <v>77</v>
      </c>
      <c r="E6680" s="30" t="s">
        <v>14584</v>
      </c>
      <c r="F6680" s="34" t="n">
        <f aca="false">IFERROR(VLOOKUP($A6680,'319'!$B:$H,7,0),0)</f>
        <v>0</v>
      </c>
      <c r="G6680" s="34" t="n">
        <f aca="false">SUMIFS('12.326ana'!$C:$C,'12.326ana'!$M:$M,redes!A6680)</f>
        <v>0</v>
      </c>
    </row>
    <row r="6681" customFormat="false" ht="14.4" hidden="true" customHeight="false" outlineLevel="0" collapsed="false">
      <c r="A6681" s="34" t="n">
        <v>2264616000103</v>
      </c>
      <c r="B6681" s="34" t="s">
        <v>14585</v>
      </c>
      <c r="C6681" s="34" t="s">
        <v>328</v>
      </c>
      <c r="E6681" s="30" t="s">
        <v>14586</v>
      </c>
      <c r="F6681" s="34" t="n">
        <f aca="false">IFERROR(VLOOKUP($A6681,'319'!$B:$H,7,0),0)</f>
        <v>0</v>
      </c>
      <c r="G6681" s="34" t="n">
        <f aca="false">SUMIFS('12.326ana'!$C:$C,'12.326ana'!$M:$M,redes!A6681)</f>
        <v>0</v>
      </c>
    </row>
    <row r="6682" customFormat="false" ht="14.4" hidden="true" customHeight="false" outlineLevel="0" collapsed="false">
      <c r="A6682" s="34" t="n">
        <v>2266647000195</v>
      </c>
      <c r="B6682" s="34" t="s">
        <v>14587</v>
      </c>
      <c r="C6682" s="34" t="s">
        <v>77</v>
      </c>
      <c r="E6682" s="30" t="s">
        <v>5527</v>
      </c>
      <c r="F6682" s="34" t="n">
        <f aca="false">IFERROR(VLOOKUP($A6682,'319'!$B:$H,7,0),0)</f>
        <v>0</v>
      </c>
      <c r="G6682" s="34" t="n">
        <f aca="false">SUMIFS('12.326ana'!$C:$C,'12.326ana'!$M:$M,redes!A6682)</f>
        <v>0</v>
      </c>
    </row>
    <row r="6683" customFormat="false" ht="14.4" hidden="true" customHeight="false" outlineLevel="0" collapsed="false">
      <c r="A6683" s="34" t="n">
        <v>2268903000183</v>
      </c>
      <c r="B6683" s="34" t="s">
        <v>14588</v>
      </c>
      <c r="C6683" s="34" t="s">
        <v>77</v>
      </c>
      <c r="E6683" s="30" t="s">
        <v>7443</v>
      </c>
      <c r="F6683" s="34" t="n">
        <f aca="false">IFERROR(VLOOKUP($A6683,'319'!$B:$H,7,0),0)</f>
        <v>0</v>
      </c>
      <c r="G6683" s="34" t="n">
        <f aca="false">SUMIFS('12.326ana'!$C:$C,'12.326ana'!$M:$M,redes!A6683)</f>
        <v>0</v>
      </c>
    </row>
    <row r="6684" customFormat="false" ht="14.4" hidden="true" customHeight="false" outlineLevel="0" collapsed="false">
      <c r="A6684" s="34" t="n">
        <v>2278044000103</v>
      </c>
      <c r="B6684" s="34" t="s">
        <v>14589</v>
      </c>
      <c r="C6684" s="34" t="s">
        <v>77</v>
      </c>
      <c r="E6684" s="30" t="s">
        <v>14590</v>
      </c>
      <c r="F6684" s="34" t="n">
        <f aca="false">IFERROR(VLOOKUP($A6684,'319'!$B:$H,7,0),0)</f>
        <v>0</v>
      </c>
      <c r="G6684" s="34" t="n">
        <f aca="false">SUMIFS('12.326ana'!$C:$C,'12.326ana'!$M:$M,redes!A6684)</f>
        <v>0</v>
      </c>
    </row>
    <row r="6685" customFormat="false" ht="14.4" hidden="true" customHeight="false" outlineLevel="0" collapsed="false">
      <c r="A6685" s="34" t="n">
        <v>2279324000136</v>
      </c>
      <c r="B6685" s="34" t="s">
        <v>14591</v>
      </c>
      <c r="C6685" s="34" t="s">
        <v>14592</v>
      </c>
      <c r="E6685" s="30" t="s">
        <v>14593</v>
      </c>
      <c r="F6685" s="34" t="n">
        <f aca="false">IFERROR(VLOOKUP($A6685,'319'!$B:$H,7,0),0)</f>
        <v>0</v>
      </c>
      <c r="G6685" s="34" t="n">
        <f aca="false">SUMIFS('12.326ana'!$C:$C,'12.326ana'!$M:$M,redes!A6685)</f>
        <v>0</v>
      </c>
    </row>
    <row r="6686" customFormat="false" ht="14.4" hidden="true" customHeight="false" outlineLevel="0" collapsed="false">
      <c r="A6686" s="34" t="n">
        <v>2279324000306</v>
      </c>
      <c r="B6686" s="34" t="s">
        <v>14594</v>
      </c>
      <c r="C6686" s="34" t="s">
        <v>12327</v>
      </c>
      <c r="E6686" s="30" t="s">
        <v>14595</v>
      </c>
      <c r="F6686" s="34" t="n">
        <f aca="false">IFERROR(VLOOKUP($A6686,'319'!$B:$H,7,0),0)</f>
        <v>0</v>
      </c>
      <c r="G6686" s="34" t="n">
        <f aca="false">SUMIFS('12.326ana'!$C:$C,'12.326ana'!$M:$M,redes!A6686)</f>
        <v>0</v>
      </c>
    </row>
    <row r="6687" customFormat="false" ht="14.4" hidden="true" customHeight="false" outlineLevel="0" collapsed="false">
      <c r="A6687" s="34" t="n">
        <v>2279324002007</v>
      </c>
      <c r="B6687" s="34" t="s">
        <v>14596</v>
      </c>
      <c r="C6687" s="34" t="s">
        <v>14592</v>
      </c>
      <c r="E6687" s="30" t="s">
        <v>14597</v>
      </c>
      <c r="F6687" s="34" t="n">
        <f aca="false">IFERROR(VLOOKUP($A6687,'319'!$B:$H,7,0),0)</f>
        <v>0</v>
      </c>
      <c r="G6687" s="34" t="n">
        <f aca="false">SUMIFS('12.326ana'!$C:$C,'12.326ana'!$M:$M,redes!A6687)</f>
        <v>0</v>
      </c>
    </row>
    <row r="6688" customFormat="false" ht="14.4" hidden="true" customHeight="false" outlineLevel="0" collapsed="false">
      <c r="A6688" s="34" t="n">
        <v>2281761000194</v>
      </c>
      <c r="B6688" s="34" t="s">
        <v>14598</v>
      </c>
      <c r="C6688" s="34" t="s">
        <v>77</v>
      </c>
      <c r="E6688" s="30" t="s">
        <v>14599</v>
      </c>
      <c r="F6688" s="34" t="n">
        <f aca="false">IFERROR(VLOOKUP($A6688,'319'!$B:$H,7,0),0)</f>
        <v>0</v>
      </c>
      <c r="G6688" s="34" t="n">
        <f aca="false">SUMIFS('12.326ana'!$C:$C,'12.326ana'!$M:$M,redes!A6688)</f>
        <v>0</v>
      </c>
    </row>
    <row r="6689" customFormat="false" ht="14.4" hidden="true" customHeight="false" outlineLevel="0" collapsed="false">
      <c r="A6689" s="34" t="n">
        <v>2283591000187</v>
      </c>
      <c r="B6689" s="34" t="s">
        <v>14600</v>
      </c>
      <c r="C6689" s="34" t="s">
        <v>328</v>
      </c>
      <c r="E6689" s="30" t="s">
        <v>14601</v>
      </c>
      <c r="F6689" s="34" t="n">
        <f aca="false">IFERROR(VLOOKUP($A6689,'319'!$B:$H,7,0),0)</f>
        <v>0</v>
      </c>
      <c r="G6689" s="34" t="n">
        <f aca="false">SUMIFS('12.326ana'!$C:$C,'12.326ana'!$M:$M,redes!A6689)</f>
        <v>0</v>
      </c>
    </row>
    <row r="6690" customFormat="false" ht="14.4" hidden="true" customHeight="false" outlineLevel="0" collapsed="false">
      <c r="A6690" s="34" t="n">
        <v>2283945000193</v>
      </c>
      <c r="B6690" s="34" t="s">
        <v>14602</v>
      </c>
      <c r="C6690" s="34" t="s">
        <v>4418</v>
      </c>
      <c r="E6690" s="30" t="s">
        <v>14603</v>
      </c>
      <c r="F6690" s="34" t="n">
        <f aca="false">IFERROR(VLOOKUP($A6690,'319'!$B:$H,7,0),0)</f>
        <v>0</v>
      </c>
      <c r="G6690" s="34" t="n">
        <f aca="false">SUMIFS('12.326ana'!$C:$C,'12.326ana'!$M:$M,redes!A6690)</f>
        <v>0</v>
      </c>
    </row>
    <row r="6691" customFormat="false" ht="14.4" hidden="true" customHeight="false" outlineLevel="0" collapsed="false">
      <c r="A6691" s="34" t="n">
        <v>2285341000186</v>
      </c>
      <c r="B6691" s="34" t="s">
        <v>14604</v>
      </c>
      <c r="C6691" s="34" t="s">
        <v>192</v>
      </c>
      <c r="E6691" s="30" t="s">
        <v>14605</v>
      </c>
      <c r="F6691" s="34" t="n">
        <f aca="false">IFERROR(VLOOKUP($A6691,'319'!$B:$H,7,0),0)</f>
        <v>0</v>
      </c>
      <c r="G6691" s="34" t="n">
        <f aca="false">SUMIFS('12.326ana'!$C:$C,'12.326ana'!$M:$M,redes!A6691)</f>
        <v>0</v>
      </c>
    </row>
    <row r="6692" customFormat="false" ht="14.4" hidden="true" customHeight="false" outlineLevel="0" collapsed="false">
      <c r="A6692" s="34" t="n">
        <v>2288094000171</v>
      </c>
      <c r="B6692" s="34" t="s">
        <v>14606</v>
      </c>
      <c r="C6692" s="34" t="s">
        <v>77</v>
      </c>
      <c r="D6692" s="34" t="s">
        <v>14607</v>
      </c>
      <c r="E6692" s="30" t="s">
        <v>14608</v>
      </c>
      <c r="F6692" s="34" t="n">
        <f aca="false">IFERROR(VLOOKUP($A6692,'319'!$B:$H,7,0),0)</f>
        <v>0</v>
      </c>
      <c r="G6692" s="34" t="n">
        <f aca="false">SUMIFS('12.326ana'!$C:$C,'12.326ana'!$M:$M,redes!A6692)</f>
        <v>0</v>
      </c>
    </row>
    <row r="6693" customFormat="false" ht="14.4" hidden="true" customHeight="false" outlineLevel="0" collapsed="false">
      <c r="A6693" s="34" t="n">
        <v>2291305000125</v>
      </c>
      <c r="B6693" s="34" t="s">
        <v>14609</v>
      </c>
      <c r="C6693" s="34" t="s">
        <v>77</v>
      </c>
      <c r="E6693" s="30" t="s">
        <v>14610</v>
      </c>
      <c r="F6693" s="34" t="n">
        <f aca="false">IFERROR(VLOOKUP($A6693,'319'!$B:$H,7,0),0)</f>
        <v>0</v>
      </c>
      <c r="G6693" s="34" t="n">
        <f aca="false">SUMIFS('12.326ana'!$C:$C,'12.326ana'!$M:$M,redes!A6693)</f>
        <v>0</v>
      </c>
    </row>
    <row r="6694" customFormat="false" ht="14.4" hidden="true" customHeight="false" outlineLevel="0" collapsed="false">
      <c r="A6694" s="34" t="n">
        <v>2291605000104</v>
      </c>
      <c r="B6694" s="34" t="s">
        <v>14611</v>
      </c>
      <c r="C6694" s="34" t="s">
        <v>107</v>
      </c>
      <c r="E6694" s="30" t="s">
        <v>6944</v>
      </c>
      <c r="F6694" s="34" t="n">
        <f aca="false">IFERROR(VLOOKUP($A6694,'319'!$B:$H,7,0),0)</f>
        <v>0</v>
      </c>
      <c r="G6694" s="34" t="n">
        <f aca="false">SUMIFS('12.326ana'!$C:$C,'12.326ana'!$M:$M,redes!A6694)</f>
        <v>0</v>
      </c>
    </row>
    <row r="6695" customFormat="false" ht="14.4" hidden="true" customHeight="false" outlineLevel="0" collapsed="false">
      <c r="A6695" s="34" t="n">
        <v>2291609000192</v>
      </c>
      <c r="B6695" s="34" t="s">
        <v>14612</v>
      </c>
      <c r="C6695" s="34" t="s">
        <v>107</v>
      </c>
      <c r="E6695" s="30" t="s">
        <v>14613</v>
      </c>
      <c r="F6695" s="34" t="n">
        <f aca="false">IFERROR(VLOOKUP($A6695,'319'!$B:$H,7,0),0)</f>
        <v>0</v>
      </c>
      <c r="G6695" s="34" t="n">
        <f aca="false">SUMIFS('12.326ana'!$C:$C,'12.326ana'!$M:$M,redes!A6695)</f>
        <v>0</v>
      </c>
    </row>
    <row r="6696" customFormat="false" ht="14.4" hidden="true" customHeight="false" outlineLevel="0" collapsed="false">
      <c r="A6696" s="34" t="n">
        <v>2296677000144</v>
      </c>
      <c r="B6696" s="34" t="s">
        <v>14614</v>
      </c>
      <c r="C6696" s="34" t="s">
        <v>103</v>
      </c>
      <c r="E6696" s="30" t="s">
        <v>14615</v>
      </c>
      <c r="F6696" s="34" t="n">
        <f aca="false">IFERROR(VLOOKUP($A6696,'319'!$B:$H,7,0),0)</f>
        <v>0</v>
      </c>
      <c r="G6696" s="34" t="n">
        <f aca="false">SUMIFS('12.326ana'!$C:$C,'12.326ana'!$M:$M,redes!A6696)</f>
        <v>0</v>
      </c>
    </row>
    <row r="6697" customFormat="false" ht="14.4" hidden="true" customHeight="false" outlineLevel="0" collapsed="false">
      <c r="A6697" s="34" t="n">
        <v>2298027000138</v>
      </c>
      <c r="B6697" s="34" t="s">
        <v>14616</v>
      </c>
      <c r="C6697" s="34" t="s">
        <v>127</v>
      </c>
      <c r="E6697" s="30" t="s">
        <v>14617</v>
      </c>
      <c r="F6697" s="34" t="n">
        <f aca="false">IFERROR(VLOOKUP($A6697,'319'!$B:$H,7,0),0)</f>
        <v>0</v>
      </c>
      <c r="G6697" s="34" t="n">
        <f aca="false">SUMIFS('12.326ana'!$C:$C,'12.326ana'!$M:$M,redes!A6697)</f>
        <v>0</v>
      </c>
    </row>
    <row r="6698" customFormat="false" ht="14.4" hidden="true" customHeight="false" outlineLevel="0" collapsed="false">
      <c r="A6698" s="34" t="n">
        <v>2298030000151</v>
      </c>
      <c r="B6698" s="34" t="s">
        <v>14618</v>
      </c>
      <c r="C6698" s="34" t="s">
        <v>77</v>
      </c>
      <c r="E6698" s="30" t="s">
        <v>14619</v>
      </c>
      <c r="F6698" s="34" t="n">
        <f aca="false">IFERROR(VLOOKUP($A6698,'319'!$B:$H,7,0),0)</f>
        <v>0</v>
      </c>
      <c r="G6698" s="34" t="n">
        <f aca="false">SUMIFS('12.326ana'!$C:$C,'12.326ana'!$M:$M,redes!A6698)</f>
        <v>0</v>
      </c>
    </row>
    <row r="6699" customFormat="false" ht="14.4" hidden="true" customHeight="false" outlineLevel="0" collapsed="false">
      <c r="A6699" s="34" t="n">
        <v>2300072000180</v>
      </c>
      <c r="B6699" s="34" t="s">
        <v>14620</v>
      </c>
      <c r="C6699" s="34" t="s">
        <v>77</v>
      </c>
      <c r="E6699" s="30" t="s">
        <v>14621</v>
      </c>
      <c r="F6699" s="34" t="n">
        <f aca="false">IFERROR(VLOOKUP($A6699,'319'!$B:$H,7,0),0)</f>
        <v>0</v>
      </c>
      <c r="G6699" s="34" t="n">
        <f aca="false">SUMIFS('12.326ana'!$C:$C,'12.326ana'!$M:$M,redes!A6699)</f>
        <v>0</v>
      </c>
    </row>
    <row r="6700" customFormat="false" ht="14.4" hidden="true" customHeight="false" outlineLevel="0" collapsed="false">
      <c r="A6700" s="34" t="n">
        <v>2302468000166</v>
      </c>
      <c r="B6700" s="34" t="s">
        <v>14622</v>
      </c>
      <c r="C6700" s="34" t="s">
        <v>594</v>
      </c>
      <c r="E6700" s="30" t="s">
        <v>14623</v>
      </c>
      <c r="F6700" s="34" t="n">
        <f aca="false">IFERROR(VLOOKUP($A6700,'319'!$B:$H,7,0),0)</f>
        <v>0</v>
      </c>
      <c r="G6700" s="34" t="n">
        <f aca="false">SUMIFS('12.326ana'!$C:$C,'12.326ana'!$M:$M,redes!A6700)</f>
        <v>0</v>
      </c>
    </row>
    <row r="6701" customFormat="false" ht="14.4" hidden="true" customHeight="false" outlineLevel="0" collapsed="false">
      <c r="A6701" s="34" t="n">
        <v>2303173000104</v>
      </c>
      <c r="B6701" s="34" t="s">
        <v>14624</v>
      </c>
      <c r="C6701" s="34" t="s">
        <v>463</v>
      </c>
      <c r="E6701" s="30" t="s">
        <v>14625</v>
      </c>
      <c r="F6701" s="34" t="n">
        <f aca="false">IFERROR(VLOOKUP($A6701,'319'!$B:$H,7,0),0)</f>
        <v>0</v>
      </c>
      <c r="G6701" s="34" t="n">
        <f aca="false">SUMIFS('12.326ana'!$C:$C,'12.326ana'!$M:$M,redes!A6701)</f>
        <v>0</v>
      </c>
    </row>
    <row r="6702" customFormat="false" ht="14.4" hidden="true" customHeight="false" outlineLevel="0" collapsed="false">
      <c r="A6702" s="34" t="n">
        <v>2304050000198</v>
      </c>
      <c r="B6702" s="34" t="s">
        <v>14626</v>
      </c>
      <c r="C6702" s="34" t="s">
        <v>77</v>
      </c>
      <c r="E6702" s="30" t="s">
        <v>14627</v>
      </c>
      <c r="F6702" s="34" t="n">
        <f aca="false">IFERROR(VLOOKUP($A6702,'319'!$B:$H,7,0),0)</f>
        <v>0</v>
      </c>
      <c r="G6702" s="34" t="n">
        <f aca="false">SUMIFS('12.326ana'!$C:$C,'12.326ana'!$M:$M,redes!A6702)</f>
        <v>0</v>
      </c>
    </row>
    <row r="6703" customFormat="false" ht="14.4" hidden="true" customHeight="false" outlineLevel="0" collapsed="false">
      <c r="A6703" s="34" t="n">
        <v>2304062000112</v>
      </c>
      <c r="B6703" s="34" t="s">
        <v>14628</v>
      </c>
      <c r="C6703" s="34" t="s">
        <v>77</v>
      </c>
      <c r="E6703" s="30" t="s">
        <v>14629</v>
      </c>
      <c r="F6703" s="34" t="n">
        <f aca="false">IFERROR(VLOOKUP($A6703,'319'!$B:$H,7,0),0)</f>
        <v>0</v>
      </c>
      <c r="G6703" s="34" t="n">
        <f aca="false">SUMIFS('12.326ana'!$C:$C,'12.326ana'!$M:$M,redes!A6703)</f>
        <v>0</v>
      </c>
    </row>
    <row r="6704" customFormat="false" ht="14.4" hidden="true" customHeight="false" outlineLevel="0" collapsed="false">
      <c r="A6704" s="34" t="n">
        <v>2307135000120</v>
      </c>
      <c r="B6704" s="34" t="s">
        <v>14630</v>
      </c>
      <c r="C6704" s="34" t="s">
        <v>1272</v>
      </c>
      <c r="E6704" s="30" t="s">
        <v>14631</v>
      </c>
      <c r="F6704" s="34" t="n">
        <f aca="false">IFERROR(VLOOKUP($A6704,'319'!$B:$H,7,0),0)</f>
        <v>0</v>
      </c>
      <c r="G6704" s="34" t="n">
        <f aca="false">SUMIFS('12.326ana'!$C:$C,'12.326ana'!$M:$M,redes!A6704)</f>
        <v>0</v>
      </c>
    </row>
    <row r="6705" customFormat="false" ht="14.4" hidden="true" customHeight="false" outlineLevel="0" collapsed="false">
      <c r="A6705" s="34" t="n">
        <v>2308098000174</v>
      </c>
      <c r="B6705" s="34" t="s">
        <v>14632</v>
      </c>
      <c r="C6705" s="34" t="s">
        <v>77</v>
      </c>
      <c r="E6705" s="30" t="s">
        <v>14633</v>
      </c>
      <c r="F6705" s="34" t="n">
        <f aca="false">IFERROR(VLOOKUP($A6705,'319'!$B:$H,7,0),0)</f>
        <v>0</v>
      </c>
      <c r="G6705" s="34" t="n">
        <f aca="false">SUMIFS('12.326ana'!$C:$C,'12.326ana'!$M:$M,redes!A6705)</f>
        <v>0</v>
      </c>
    </row>
    <row r="6706" customFormat="false" ht="14.4" hidden="true" customHeight="false" outlineLevel="0" collapsed="false">
      <c r="A6706" s="35" t="n">
        <v>2310540000105</v>
      </c>
      <c r="B6706" s="34" t="s">
        <v>521</v>
      </c>
      <c r="C6706" s="34" t="s">
        <v>473</v>
      </c>
      <c r="E6706" s="30" t="s">
        <v>14634</v>
      </c>
      <c r="F6706" s="34" t="n">
        <f aca="false">IFERROR(VLOOKUP($A6706,'319'!$B:$H,7,0),0)</f>
        <v>57189.2</v>
      </c>
      <c r="G6706" s="34" t="n">
        <f aca="false">SUMIFS('12.326ana'!$C:$C,'12.326ana'!$M:$M,redes!A6706)</f>
        <v>0</v>
      </c>
    </row>
    <row r="6707" customFormat="false" ht="14.4" hidden="true" customHeight="false" outlineLevel="0" collapsed="false">
      <c r="A6707" s="35" t="n">
        <v>2313735000109</v>
      </c>
      <c r="B6707" s="34" t="s">
        <v>14635</v>
      </c>
      <c r="C6707" s="34" t="s">
        <v>77</v>
      </c>
      <c r="E6707" s="30" t="s">
        <v>14636</v>
      </c>
      <c r="F6707" s="34" t="n">
        <f aca="false">IFERROR(VLOOKUP($A6707,'319'!$B:$H,7,0),0)</f>
        <v>0</v>
      </c>
      <c r="G6707" s="34" t="n">
        <f aca="false">SUMIFS('12.326ana'!$C:$C,'12.326ana'!$M:$M,redes!A6707)</f>
        <v>0</v>
      </c>
    </row>
    <row r="6708" customFormat="false" ht="14.4" hidden="true" customHeight="false" outlineLevel="0" collapsed="false">
      <c r="A6708" s="35" t="n">
        <v>2313736000145</v>
      </c>
      <c r="B6708" s="34" t="s">
        <v>14637</v>
      </c>
      <c r="C6708" s="34" t="s">
        <v>77</v>
      </c>
      <c r="E6708" s="30" t="s">
        <v>14638</v>
      </c>
      <c r="F6708" s="34" t="n">
        <f aca="false">IFERROR(VLOOKUP($A6708,'319'!$B:$H,7,0),0)</f>
        <v>0</v>
      </c>
      <c r="G6708" s="34" t="n">
        <f aca="false">SUMIFS('12.326ana'!$C:$C,'12.326ana'!$M:$M,redes!A6708)</f>
        <v>0</v>
      </c>
    </row>
    <row r="6709" customFormat="false" ht="14.4" hidden="true" customHeight="false" outlineLevel="0" collapsed="false">
      <c r="A6709" s="35" t="n">
        <v>2316920000149</v>
      </c>
      <c r="B6709" s="34" t="s">
        <v>14639</v>
      </c>
      <c r="C6709" s="34" t="s">
        <v>881</v>
      </c>
      <c r="E6709" s="30" t="s">
        <v>13754</v>
      </c>
      <c r="F6709" s="34" t="n">
        <f aca="false">IFERROR(VLOOKUP($A6709,'319'!$B:$H,7,0),0)</f>
        <v>0</v>
      </c>
      <c r="G6709" s="34" t="n">
        <f aca="false">SUMIFS('12.326ana'!$C:$C,'12.326ana'!$M:$M,redes!A6709)</f>
        <v>0</v>
      </c>
    </row>
    <row r="6710" customFormat="false" ht="14.4" hidden="true" customHeight="false" outlineLevel="0" collapsed="false">
      <c r="A6710" s="35" t="n">
        <v>2318826000129</v>
      </c>
      <c r="B6710" s="34" t="s">
        <v>471</v>
      </c>
      <c r="C6710" s="34" t="s">
        <v>475</v>
      </c>
      <c r="D6710" s="34" t="s">
        <v>19</v>
      </c>
      <c r="E6710" s="30" t="s">
        <v>2782</v>
      </c>
      <c r="F6710" s="34" t="n">
        <f aca="false">IFERROR(VLOOKUP($A6710,'319'!$B:$H,7,0),0)</f>
        <v>40129.08</v>
      </c>
      <c r="G6710" s="34" t="n">
        <f aca="false">SUMIFS('12.326ana'!$C:$C,'12.326ana'!$M:$M,redes!A6710)</f>
        <v>178.56</v>
      </c>
    </row>
    <row r="6711" customFormat="false" ht="14.4" hidden="true" customHeight="false" outlineLevel="0" collapsed="false">
      <c r="A6711" s="35" t="n">
        <v>2318826000200</v>
      </c>
      <c r="B6711" s="34" t="s">
        <v>471</v>
      </c>
      <c r="C6711" s="34" t="s">
        <v>139</v>
      </c>
      <c r="D6711" s="34" t="s">
        <v>19</v>
      </c>
      <c r="E6711" s="30" t="s">
        <v>2783</v>
      </c>
      <c r="F6711" s="34" t="n">
        <f aca="false">IFERROR(VLOOKUP($A6711,'319'!$B:$H,7,0),0)</f>
        <v>221339.41</v>
      </c>
      <c r="G6711" s="34" t="n">
        <f aca="false">SUMIFS('12.326ana'!$C:$C,'12.326ana'!$M:$M,redes!A6711)</f>
        <v>178.56</v>
      </c>
    </row>
    <row r="6712" customFormat="false" ht="14.4" hidden="true" customHeight="false" outlineLevel="0" collapsed="false">
      <c r="A6712" s="35" t="n">
        <v>2318826000390</v>
      </c>
      <c r="B6712" s="34" t="s">
        <v>471</v>
      </c>
      <c r="C6712" s="34" t="s">
        <v>336</v>
      </c>
      <c r="D6712" s="34" t="s">
        <v>19</v>
      </c>
      <c r="E6712" s="30" t="s">
        <v>2784</v>
      </c>
      <c r="F6712" s="34" t="n">
        <f aca="false">IFERROR(VLOOKUP($A6712,'319'!$B:$H,7,0),0)</f>
        <v>64515.33</v>
      </c>
      <c r="G6712" s="34" t="n">
        <f aca="false">SUMIFS('12.326ana'!$C:$C,'12.326ana'!$M:$M,redes!A6712)</f>
        <v>178.56</v>
      </c>
    </row>
    <row r="6713" customFormat="false" ht="14.4" hidden="true" customHeight="false" outlineLevel="0" collapsed="false">
      <c r="A6713" s="35" t="n">
        <v>2318826000471</v>
      </c>
      <c r="B6713" s="34" t="s">
        <v>471</v>
      </c>
      <c r="C6713" s="34" t="s">
        <v>77</v>
      </c>
      <c r="D6713" s="34" t="s">
        <v>19</v>
      </c>
      <c r="E6713" s="30" t="s">
        <v>14640</v>
      </c>
      <c r="F6713" s="34" t="n">
        <f aca="false">IFERROR(VLOOKUP($A6713,'319'!$B:$H,7,0),0)</f>
        <v>0</v>
      </c>
      <c r="G6713" s="34" t="n">
        <f aca="false">SUMIFS('12.326ana'!$C:$C,'12.326ana'!$M:$M,redes!A6713)</f>
        <v>0</v>
      </c>
    </row>
    <row r="6714" customFormat="false" ht="14.4" hidden="true" customHeight="false" outlineLevel="0" collapsed="false">
      <c r="A6714" s="35" t="n">
        <v>2318826000552</v>
      </c>
      <c r="B6714" s="34" t="s">
        <v>471</v>
      </c>
      <c r="C6714" s="34" t="s">
        <v>77</v>
      </c>
      <c r="D6714" s="34" t="s">
        <v>19</v>
      </c>
      <c r="E6714" s="30" t="s">
        <v>14641</v>
      </c>
      <c r="F6714" s="34" t="n">
        <f aca="false">IFERROR(VLOOKUP($A6714,'319'!$B:$H,7,0),0)</f>
        <v>0</v>
      </c>
      <c r="G6714" s="34" t="n">
        <f aca="false">SUMIFS('12.326ana'!$C:$C,'12.326ana'!$M:$M,redes!A6714)</f>
        <v>0</v>
      </c>
    </row>
    <row r="6715" customFormat="false" ht="14.4" hidden="true" customHeight="false" outlineLevel="0" collapsed="false">
      <c r="A6715" s="35" t="n">
        <v>2318826000633</v>
      </c>
      <c r="B6715" s="34" t="s">
        <v>471</v>
      </c>
      <c r="C6715" s="34" t="s">
        <v>475</v>
      </c>
      <c r="D6715" s="34" t="s">
        <v>19</v>
      </c>
      <c r="E6715" s="30" t="s">
        <v>2785</v>
      </c>
      <c r="F6715" s="34" t="n">
        <f aca="false">IFERROR(VLOOKUP($A6715,'319'!$B:$H,7,0),0)</f>
        <v>84468.68</v>
      </c>
      <c r="G6715" s="34" t="n">
        <f aca="false">SUMIFS('12.326ana'!$C:$C,'12.326ana'!$M:$M,redes!A6715)</f>
        <v>178.56</v>
      </c>
    </row>
    <row r="6716" customFormat="false" ht="14.4" hidden="true" customHeight="false" outlineLevel="0" collapsed="false">
      <c r="A6716" s="34" t="n">
        <v>2318826000714</v>
      </c>
      <c r="B6716" s="34" t="s">
        <v>471</v>
      </c>
      <c r="C6716" s="34" t="s">
        <v>213</v>
      </c>
      <c r="D6716" s="34" t="s">
        <v>19</v>
      </c>
      <c r="E6716" s="30" t="s">
        <v>2786</v>
      </c>
      <c r="F6716" s="34" t="n">
        <f aca="false">IFERROR(VLOOKUP($A6716,'319'!$B:$H,7,0),0)</f>
        <v>42022.57</v>
      </c>
      <c r="G6716" s="34" t="n">
        <f aca="false">SUMIFS('12.326ana'!$C:$C,'12.326ana'!$M:$M,redes!A6716)</f>
        <v>178.56</v>
      </c>
    </row>
    <row r="6717" customFormat="false" ht="14.4" hidden="true" customHeight="false" outlineLevel="0" collapsed="false">
      <c r="A6717" s="34" t="n">
        <v>2318826000986</v>
      </c>
      <c r="B6717" s="34" t="s">
        <v>471</v>
      </c>
      <c r="C6717" s="34" t="s">
        <v>473</v>
      </c>
      <c r="D6717" s="34" t="s">
        <v>19</v>
      </c>
      <c r="E6717" s="30" t="s">
        <v>2786</v>
      </c>
      <c r="F6717" s="34" t="n">
        <f aca="false">IFERROR(VLOOKUP($A6717,'319'!$B:$H,7,0),0)</f>
        <v>17444.01</v>
      </c>
      <c r="G6717" s="34" t="n">
        <f aca="false">SUMIFS('12.326ana'!$C:$C,'12.326ana'!$M:$M,redes!A6717)</f>
        <v>178.56</v>
      </c>
    </row>
    <row r="6718" customFormat="false" ht="14.4" hidden="true" customHeight="false" outlineLevel="0" collapsed="false">
      <c r="A6718" s="34" t="n">
        <v>2318826001010</v>
      </c>
      <c r="B6718" s="34" t="s">
        <v>471</v>
      </c>
      <c r="C6718" s="34" t="s">
        <v>473</v>
      </c>
      <c r="D6718" s="34" t="s">
        <v>19</v>
      </c>
      <c r="E6718" s="30" t="s">
        <v>2787</v>
      </c>
      <c r="F6718" s="34" t="n">
        <f aca="false">IFERROR(VLOOKUP($A6718,'319'!$B:$H,7,0),0)</f>
        <v>16844.9</v>
      </c>
      <c r="G6718" s="34" t="n">
        <f aca="false">SUMIFS('12.326ana'!$C:$C,'12.326ana'!$M:$M,redes!A6718)</f>
        <v>178.56</v>
      </c>
    </row>
    <row r="6719" customFormat="false" ht="14.4" hidden="true" customHeight="false" outlineLevel="0" collapsed="false">
      <c r="A6719" s="34" t="n">
        <v>2318826001109</v>
      </c>
      <c r="B6719" s="34" t="s">
        <v>471</v>
      </c>
      <c r="C6719" s="34" t="s">
        <v>139</v>
      </c>
      <c r="D6719" s="34" t="s">
        <v>19</v>
      </c>
      <c r="E6719" s="30" t="s">
        <v>2788</v>
      </c>
      <c r="F6719" s="34" t="n">
        <f aca="false">IFERROR(VLOOKUP($A6719,'319'!$B:$H,7,0),0)</f>
        <v>26441.07</v>
      </c>
      <c r="G6719" s="34" t="n">
        <f aca="false">SUMIFS('12.326ana'!$C:$C,'12.326ana'!$M:$M,redes!A6719)</f>
        <v>178.56</v>
      </c>
    </row>
    <row r="6720" customFormat="false" ht="14.4" hidden="true" customHeight="false" outlineLevel="0" collapsed="false">
      <c r="A6720" s="34" t="n">
        <v>2318826001281</v>
      </c>
      <c r="B6720" s="34" t="s">
        <v>471</v>
      </c>
      <c r="C6720" s="34" t="s">
        <v>213</v>
      </c>
      <c r="D6720" s="34" t="s">
        <v>19</v>
      </c>
      <c r="E6720" s="30" t="s">
        <v>2785</v>
      </c>
      <c r="F6720" s="34" t="n">
        <f aca="false">IFERROR(VLOOKUP($A6720,'319'!$B:$H,7,0),0)</f>
        <v>66399.07</v>
      </c>
      <c r="G6720" s="34" t="n">
        <f aca="false">SUMIFS('12.326ana'!$C:$C,'12.326ana'!$M:$M,redes!A6720)</f>
        <v>178.56</v>
      </c>
    </row>
    <row r="6721" customFormat="false" ht="14.4" hidden="true" customHeight="false" outlineLevel="0" collapsed="false">
      <c r="A6721" s="34" t="n">
        <v>2319187000116</v>
      </c>
      <c r="B6721" s="34" t="s">
        <v>14642</v>
      </c>
      <c r="C6721" s="34" t="s">
        <v>77</v>
      </c>
      <c r="E6721" s="30"/>
      <c r="F6721" s="34" t="n">
        <f aca="false">IFERROR(VLOOKUP($A6721,'319'!$B:$H,7,0),0)</f>
        <v>0</v>
      </c>
      <c r="G6721" s="34" t="n">
        <f aca="false">SUMIFS('12.326ana'!$C:$C,'12.326ana'!$M:$M,redes!A6721)</f>
        <v>0</v>
      </c>
    </row>
    <row r="6722" customFormat="false" ht="14.4" hidden="true" customHeight="false" outlineLevel="0" collapsed="false">
      <c r="A6722" s="34" t="n">
        <v>2320788000149</v>
      </c>
      <c r="B6722" s="34" t="s">
        <v>14643</v>
      </c>
      <c r="C6722" s="34" t="s">
        <v>127</v>
      </c>
      <c r="E6722" s="30" t="s">
        <v>14644</v>
      </c>
      <c r="F6722" s="34" t="n">
        <f aca="false">IFERROR(VLOOKUP($A6722,'319'!$B:$H,7,0),0)</f>
        <v>0</v>
      </c>
      <c r="G6722" s="34" t="n">
        <f aca="false">SUMIFS('12.326ana'!$C:$C,'12.326ana'!$M:$M,redes!A6722)</f>
        <v>0</v>
      </c>
    </row>
    <row r="6723" customFormat="false" ht="14.4" hidden="true" customHeight="false" outlineLevel="0" collapsed="false">
      <c r="A6723" s="34" t="n">
        <v>2320987000157</v>
      </c>
      <c r="B6723" s="34" t="s">
        <v>14645</v>
      </c>
      <c r="C6723" s="34" t="s">
        <v>107</v>
      </c>
      <c r="E6723" s="30" t="s">
        <v>14646</v>
      </c>
      <c r="F6723" s="34" t="n">
        <f aca="false">IFERROR(VLOOKUP($A6723,'319'!$B:$H,7,0),0)</f>
        <v>0</v>
      </c>
      <c r="G6723" s="34" t="n">
        <f aca="false">SUMIFS('12.326ana'!$C:$C,'12.326ana'!$M:$M,redes!A6723)</f>
        <v>0</v>
      </c>
    </row>
    <row r="6724" customFormat="false" ht="14.4" hidden="true" customHeight="false" outlineLevel="0" collapsed="false">
      <c r="A6724" s="34" t="n">
        <v>2322969000104</v>
      </c>
      <c r="B6724" s="34" t="s">
        <v>14647</v>
      </c>
      <c r="C6724" s="34" t="s">
        <v>77</v>
      </c>
      <c r="E6724" s="30" t="s">
        <v>14648</v>
      </c>
      <c r="F6724" s="34" t="n">
        <f aca="false">IFERROR(VLOOKUP($A6724,'319'!$B:$H,7,0),0)</f>
        <v>0</v>
      </c>
      <c r="G6724" s="34" t="n">
        <f aca="false">SUMIFS('12.326ana'!$C:$C,'12.326ana'!$M:$M,redes!A6724)</f>
        <v>0</v>
      </c>
    </row>
    <row r="6725" customFormat="false" ht="14.4" hidden="true" customHeight="false" outlineLevel="0" collapsed="false">
      <c r="A6725" s="34" t="n">
        <v>2325855000118</v>
      </c>
      <c r="B6725" s="34" t="s">
        <v>14649</v>
      </c>
      <c r="C6725" s="34" t="s">
        <v>464</v>
      </c>
      <c r="D6725" s="34" t="s">
        <v>9598</v>
      </c>
      <c r="E6725" s="30" t="s">
        <v>14650</v>
      </c>
      <c r="F6725" s="34" t="n">
        <f aca="false">IFERROR(VLOOKUP($A6725,'319'!$B:$H,7,0),0)</f>
        <v>0</v>
      </c>
      <c r="G6725" s="34" t="n">
        <f aca="false">SUMIFS('12.326ana'!$C:$C,'12.326ana'!$M:$M,redes!A6725)</f>
        <v>0</v>
      </c>
    </row>
    <row r="6726" customFormat="false" ht="14.4" hidden="true" customHeight="false" outlineLevel="0" collapsed="false">
      <c r="A6726" s="34" t="n">
        <v>2330925000126</v>
      </c>
      <c r="B6726" s="34" t="s">
        <v>14651</v>
      </c>
      <c r="C6726" s="34" t="s">
        <v>357</v>
      </c>
      <c r="E6726" s="30" t="s">
        <v>14652</v>
      </c>
      <c r="F6726" s="34" t="n">
        <f aca="false">IFERROR(VLOOKUP($A6726,'319'!$B:$H,7,0),0)</f>
        <v>0</v>
      </c>
      <c r="G6726" s="34" t="n">
        <f aca="false">SUMIFS('12.326ana'!$C:$C,'12.326ana'!$M:$M,redes!A6726)</f>
        <v>0</v>
      </c>
    </row>
    <row r="6727" customFormat="false" ht="14.4" hidden="true" customHeight="false" outlineLevel="0" collapsed="false">
      <c r="A6727" s="34" t="n">
        <v>2331794000100</v>
      </c>
      <c r="B6727" s="34" t="s">
        <v>14653</v>
      </c>
      <c r="C6727" s="34" t="s">
        <v>89</v>
      </c>
      <c r="E6727" s="30" t="s">
        <v>14654</v>
      </c>
      <c r="F6727" s="34" t="n">
        <f aca="false">IFERROR(VLOOKUP($A6727,'319'!$B:$H,7,0),0)</f>
        <v>0</v>
      </c>
      <c r="G6727" s="34" t="n">
        <f aca="false">SUMIFS('12.326ana'!$C:$C,'12.326ana'!$M:$M,redes!A6727)</f>
        <v>0</v>
      </c>
    </row>
    <row r="6728" customFormat="false" ht="14.4" hidden="true" customHeight="false" outlineLevel="0" collapsed="false">
      <c r="A6728" s="34" t="n">
        <v>2332631000133</v>
      </c>
      <c r="B6728" s="34" t="s">
        <v>14655</v>
      </c>
      <c r="C6728" s="34" t="s">
        <v>299</v>
      </c>
      <c r="E6728" s="30" t="s">
        <v>14656</v>
      </c>
      <c r="F6728" s="34" t="n">
        <f aca="false">IFERROR(VLOOKUP($A6728,'319'!$B:$H,7,0),0)</f>
        <v>0</v>
      </c>
      <c r="G6728" s="34" t="n">
        <f aca="false">SUMIFS('12.326ana'!$C:$C,'12.326ana'!$M:$M,redes!A6728)</f>
        <v>0</v>
      </c>
    </row>
    <row r="6729" customFormat="false" ht="14.4" hidden="true" customHeight="false" outlineLevel="0" collapsed="false">
      <c r="A6729" s="34" t="n">
        <v>2335003000101</v>
      </c>
      <c r="B6729" s="34" t="s">
        <v>14657</v>
      </c>
      <c r="C6729" s="34" t="s">
        <v>935</v>
      </c>
      <c r="E6729" s="30" t="s">
        <v>13304</v>
      </c>
      <c r="F6729" s="34" t="n">
        <f aca="false">IFERROR(VLOOKUP($A6729,'319'!$B:$H,7,0),0)</f>
        <v>0</v>
      </c>
      <c r="G6729" s="34" t="n">
        <f aca="false">SUMIFS('12.326ana'!$C:$C,'12.326ana'!$M:$M,redes!A6729)</f>
        <v>0</v>
      </c>
    </row>
    <row r="6730" customFormat="false" ht="14.4" hidden="true" customHeight="false" outlineLevel="0" collapsed="false">
      <c r="A6730" s="34" t="n">
        <v>2336248000234</v>
      </c>
      <c r="B6730" s="34" t="s">
        <v>14658</v>
      </c>
      <c r="C6730" s="34" t="s">
        <v>848</v>
      </c>
      <c r="D6730" s="34" t="s">
        <v>4797</v>
      </c>
      <c r="E6730" s="30" t="s">
        <v>14659</v>
      </c>
      <c r="F6730" s="34" t="n">
        <f aca="false">IFERROR(VLOOKUP($A6730,'319'!$B:$H,7,0),0)</f>
        <v>0</v>
      </c>
      <c r="G6730" s="34" t="n">
        <f aca="false">SUMIFS('12.326ana'!$C:$C,'12.326ana'!$M:$M,redes!A6730)</f>
        <v>0</v>
      </c>
    </row>
    <row r="6731" customFormat="false" ht="14.4" hidden="true" customHeight="false" outlineLevel="0" collapsed="false">
      <c r="A6731" s="34" t="n">
        <v>2336900000130</v>
      </c>
      <c r="B6731" s="34" t="s">
        <v>14660</v>
      </c>
      <c r="C6731" s="34" t="s">
        <v>77</v>
      </c>
      <c r="E6731" s="30" t="s">
        <v>14661</v>
      </c>
      <c r="F6731" s="34" t="n">
        <f aca="false">IFERROR(VLOOKUP($A6731,'319'!$B:$H,7,0),0)</f>
        <v>0</v>
      </c>
      <c r="G6731" s="34" t="n">
        <f aca="false">SUMIFS('12.326ana'!$C:$C,'12.326ana'!$M:$M,redes!A6731)</f>
        <v>0</v>
      </c>
    </row>
    <row r="6732" customFormat="false" ht="14.4" hidden="true" customHeight="false" outlineLevel="0" collapsed="false">
      <c r="A6732" s="34" t="n">
        <v>2338823000238</v>
      </c>
      <c r="B6732" s="34" t="s">
        <v>14662</v>
      </c>
      <c r="C6732" s="34" t="s">
        <v>14663</v>
      </c>
      <c r="E6732" s="30" t="s">
        <v>14664</v>
      </c>
      <c r="F6732" s="34" t="n">
        <f aca="false">IFERROR(VLOOKUP($A6732,'319'!$B:$H,7,0),0)</f>
        <v>0</v>
      </c>
      <c r="G6732" s="34" t="n">
        <f aca="false">SUMIFS('12.326ana'!$C:$C,'12.326ana'!$M:$M,redes!A6732)</f>
        <v>0</v>
      </c>
    </row>
    <row r="6733" customFormat="false" ht="14.4" hidden="true" customHeight="false" outlineLevel="0" collapsed="false">
      <c r="A6733" s="34" t="n">
        <v>2339291000172</v>
      </c>
      <c r="B6733" s="34" t="s">
        <v>14665</v>
      </c>
      <c r="C6733" s="34" t="s">
        <v>77</v>
      </c>
      <c r="E6733" s="30" t="s">
        <v>14666</v>
      </c>
      <c r="F6733" s="34" t="n">
        <f aca="false">IFERROR(VLOOKUP($A6733,'319'!$B:$H,7,0),0)</f>
        <v>0</v>
      </c>
      <c r="G6733" s="34" t="n">
        <f aca="false">SUMIFS('12.326ana'!$C:$C,'12.326ana'!$M:$M,redes!A6733)</f>
        <v>0</v>
      </c>
    </row>
    <row r="6734" customFormat="false" ht="14.4" hidden="true" customHeight="false" outlineLevel="0" collapsed="false">
      <c r="A6734" s="34" t="n">
        <v>2339292000117</v>
      </c>
      <c r="B6734" s="34" t="s">
        <v>14667</v>
      </c>
      <c r="C6734" s="34" t="s">
        <v>127</v>
      </c>
      <c r="D6734" s="34" t="s">
        <v>14668</v>
      </c>
      <c r="E6734" s="30" t="s">
        <v>13934</v>
      </c>
      <c r="F6734" s="34" t="n">
        <f aca="false">IFERROR(VLOOKUP($A6734,'319'!$B:$H,7,0),0)</f>
        <v>0</v>
      </c>
      <c r="G6734" s="34" t="n">
        <f aca="false">SUMIFS('12.326ana'!$C:$C,'12.326ana'!$M:$M,redes!A6734)</f>
        <v>0</v>
      </c>
    </row>
    <row r="6735" customFormat="false" ht="14.4" hidden="true" customHeight="false" outlineLevel="0" collapsed="false">
      <c r="A6735" s="34" t="n">
        <v>2343946000186</v>
      </c>
      <c r="B6735" s="34" t="s">
        <v>14669</v>
      </c>
      <c r="C6735" s="34" t="s">
        <v>77</v>
      </c>
      <c r="D6735" s="34" t="s">
        <v>14670</v>
      </c>
      <c r="E6735" s="30" t="s">
        <v>14671</v>
      </c>
      <c r="F6735" s="34" t="n">
        <f aca="false">IFERROR(VLOOKUP($A6735,'319'!$B:$H,7,0),0)</f>
        <v>0</v>
      </c>
      <c r="G6735" s="34" t="n">
        <f aca="false">SUMIFS('12.326ana'!$C:$C,'12.326ana'!$M:$M,redes!A6735)</f>
        <v>0</v>
      </c>
    </row>
    <row r="6736" customFormat="false" ht="14.4" hidden="true" customHeight="false" outlineLevel="0" collapsed="false">
      <c r="A6736" s="34" t="n">
        <v>2344465000195</v>
      </c>
      <c r="B6736" s="34" t="s">
        <v>14672</v>
      </c>
      <c r="C6736" s="34" t="s">
        <v>139</v>
      </c>
      <c r="D6736" s="34" t="s">
        <v>4797</v>
      </c>
      <c r="E6736" s="30" t="s">
        <v>14673</v>
      </c>
      <c r="F6736" s="34" t="n">
        <f aca="false">IFERROR(VLOOKUP($A6736,'319'!$B:$H,7,0),0)</f>
        <v>0</v>
      </c>
      <c r="G6736" s="34" t="n">
        <f aca="false">SUMIFS('12.326ana'!$C:$C,'12.326ana'!$M:$M,redes!A6736)</f>
        <v>0</v>
      </c>
    </row>
    <row r="6737" customFormat="false" ht="14.4" hidden="true" customHeight="false" outlineLevel="0" collapsed="false">
      <c r="A6737" s="34" t="n">
        <v>2348355000100</v>
      </c>
      <c r="B6737" s="34" t="s">
        <v>14674</v>
      </c>
      <c r="C6737" s="34" t="s">
        <v>3060</v>
      </c>
      <c r="E6737" s="30" t="s">
        <v>14675</v>
      </c>
      <c r="F6737" s="34" t="n">
        <f aca="false">IFERROR(VLOOKUP($A6737,'319'!$B:$H,7,0),0)</f>
        <v>0</v>
      </c>
      <c r="G6737" s="34" t="n">
        <f aca="false">SUMIFS('12.326ana'!$C:$C,'12.326ana'!$M:$M,redes!A6737)</f>
        <v>0</v>
      </c>
    </row>
    <row r="6738" customFormat="false" ht="14.4" hidden="true" customHeight="false" outlineLevel="0" collapsed="false">
      <c r="A6738" s="34" t="n">
        <v>2349229000161</v>
      </c>
      <c r="B6738" s="34" t="s">
        <v>14676</v>
      </c>
      <c r="C6738" s="34" t="s">
        <v>107</v>
      </c>
      <c r="D6738" s="34" t="s">
        <v>14677</v>
      </c>
      <c r="E6738" s="30" t="s">
        <v>14678</v>
      </c>
      <c r="F6738" s="34" t="n">
        <f aca="false">IFERROR(VLOOKUP($A6738,'319'!$B:$H,7,0),0)</f>
        <v>0</v>
      </c>
      <c r="G6738" s="34" t="n">
        <f aca="false">SUMIFS('12.326ana'!$C:$C,'12.326ana'!$M:$M,redes!A6738)</f>
        <v>0</v>
      </c>
    </row>
    <row r="6739" customFormat="false" ht="14.4" hidden="true" customHeight="false" outlineLevel="0" collapsed="false">
      <c r="A6739" s="34" t="n">
        <v>2349229000242</v>
      </c>
      <c r="B6739" s="34" t="s">
        <v>14676</v>
      </c>
      <c r="C6739" s="34" t="s">
        <v>107</v>
      </c>
      <c r="D6739" s="34" t="s">
        <v>14677</v>
      </c>
      <c r="E6739" s="30" t="s">
        <v>14679</v>
      </c>
      <c r="F6739" s="34" t="n">
        <f aca="false">IFERROR(VLOOKUP($A6739,'319'!$B:$H,7,0),0)</f>
        <v>0</v>
      </c>
      <c r="G6739" s="34" t="n">
        <f aca="false">SUMIFS('12.326ana'!$C:$C,'12.326ana'!$M:$M,redes!A6739)</f>
        <v>0</v>
      </c>
    </row>
    <row r="6740" customFormat="false" ht="14.4" hidden="true" customHeight="false" outlineLevel="0" collapsed="false">
      <c r="A6740" s="34" t="n">
        <v>2349229000323</v>
      </c>
      <c r="B6740" s="34" t="s">
        <v>14676</v>
      </c>
      <c r="C6740" s="34" t="s">
        <v>107</v>
      </c>
      <c r="D6740" s="34" t="s">
        <v>14677</v>
      </c>
      <c r="E6740" s="30" t="s">
        <v>14680</v>
      </c>
      <c r="F6740" s="34" t="n">
        <f aca="false">IFERROR(VLOOKUP($A6740,'319'!$B:$H,7,0),0)</f>
        <v>0</v>
      </c>
      <c r="G6740" s="34" t="n">
        <f aca="false">SUMIFS('12.326ana'!$C:$C,'12.326ana'!$M:$M,redes!A6740)</f>
        <v>0</v>
      </c>
    </row>
    <row r="6741" customFormat="false" ht="14.4" hidden="true" customHeight="false" outlineLevel="0" collapsed="false">
      <c r="A6741" s="34" t="n">
        <v>2349229000404</v>
      </c>
      <c r="B6741" s="34" t="s">
        <v>14676</v>
      </c>
      <c r="C6741" s="34" t="s">
        <v>107</v>
      </c>
      <c r="E6741" s="30" t="s">
        <v>14681</v>
      </c>
      <c r="F6741" s="34" t="n">
        <f aca="false">IFERROR(VLOOKUP($A6741,'319'!$B:$H,7,0),0)</f>
        <v>0</v>
      </c>
      <c r="G6741" s="34" t="n">
        <f aca="false">SUMIFS('12.326ana'!$C:$C,'12.326ana'!$M:$M,redes!A6741)</f>
        <v>0</v>
      </c>
    </row>
    <row r="6742" customFormat="false" ht="14.4" hidden="true" customHeight="false" outlineLevel="0" collapsed="false">
      <c r="A6742" s="34" t="n">
        <v>2349229000595</v>
      </c>
      <c r="B6742" s="34" t="s">
        <v>14676</v>
      </c>
      <c r="C6742" s="34" t="s">
        <v>107</v>
      </c>
      <c r="D6742" s="34" t="s">
        <v>14677</v>
      </c>
      <c r="E6742" s="30" t="s">
        <v>14682</v>
      </c>
      <c r="F6742" s="34" t="n">
        <f aca="false">IFERROR(VLOOKUP($A6742,'319'!$B:$H,7,0),0)</f>
        <v>0</v>
      </c>
      <c r="G6742" s="34" t="n">
        <f aca="false">SUMIFS('12.326ana'!$C:$C,'12.326ana'!$M:$M,redes!A6742)</f>
        <v>0</v>
      </c>
    </row>
    <row r="6743" customFormat="false" ht="14.4" hidden="true" customHeight="false" outlineLevel="0" collapsed="false">
      <c r="A6743" s="34" t="n">
        <v>2351817000130</v>
      </c>
      <c r="B6743" s="34" t="s">
        <v>14683</v>
      </c>
      <c r="C6743" s="34" t="s">
        <v>77</v>
      </c>
      <c r="E6743" s="30" t="s">
        <v>12149</v>
      </c>
      <c r="F6743" s="34" t="n">
        <f aca="false">IFERROR(VLOOKUP($A6743,'319'!$B:$H,7,0),0)</f>
        <v>0</v>
      </c>
      <c r="G6743" s="34" t="n">
        <f aca="false">SUMIFS('12.326ana'!$C:$C,'12.326ana'!$M:$M,redes!A6743)</f>
        <v>0</v>
      </c>
    </row>
    <row r="6744" customFormat="false" ht="14.4" hidden="true" customHeight="false" outlineLevel="0" collapsed="false">
      <c r="A6744" s="34" t="n">
        <v>2355145000130</v>
      </c>
      <c r="B6744" s="34" t="s">
        <v>14684</v>
      </c>
      <c r="C6744" s="34" t="s">
        <v>309</v>
      </c>
      <c r="E6744" s="30" t="s">
        <v>14685</v>
      </c>
      <c r="F6744" s="34" t="n">
        <f aca="false">IFERROR(VLOOKUP($A6744,'319'!$B:$H,7,0),0)</f>
        <v>0</v>
      </c>
      <c r="G6744" s="34" t="n">
        <f aca="false">SUMIFS('12.326ana'!$C:$C,'12.326ana'!$M:$M,redes!A6744)</f>
        <v>0</v>
      </c>
    </row>
    <row r="6745" customFormat="false" ht="14.4" hidden="true" customHeight="false" outlineLevel="0" collapsed="false">
      <c r="A6745" s="34" t="n">
        <v>2357009000180</v>
      </c>
      <c r="B6745" s="34" t="s">
        <v>14686</v>
      </c>
      <c r="C6745" s="34" t="s">
        <v>342</v>
      </c>
      <c r="E6745" s="30" t="s">
        <v>14687</v>
      </c>
      <c r="F6745" s="34" t="n">
        <f aca="false">IFERROR(VLOOKUP($A6745,'319'!$B:$H,7,0),0)</f>
        <v>0</v>
      </c>
      <c r="G6745" s="34" t="n">
        <f aca="false">SUMIFS('12.326ana'!$C:$C,'12.326ana'!$M:$M,redes!A6745)</f>
        <v>0</v>
      </c>
    </row>
    <row r="6746" customFormat="false" ht="14.4" hidden="true" customHeight="false" outlineLevel="0" collapsed="false">
      <c r="A6746" s="34" t="n">
        <v>2357991000190</v>
      </c>
      <c r="B6746" s="34" t="s">
        <v>14688</v>
      </c>
      <c r="C6746" s="34" t="s">
        <v>979</v>
      </c>
      <c r="E6746" s="30" t="s">
        <v>14689</v>
      </c>
      <c r="F6746" s="34" t="n">
        <f aca="false">IFERROR(VLOOKUP($A6746,'319'!$B:$H,7,0),0)</f>
        <v>0</v>
      </c>
      <c r="G6746" s="34" t="n">
        <f aca="false">SUMIFS('12.326ana'!$C:$C,'12.326ana'!$M:$M,redes!A6746)</f>
        <v>0</v>
      </c>
    </row>
    <row r="6747" customFormat="false" ht="14.4" hidden="true" customHeight="false" outlineLevel="0" collapsed="false">
      <c r="A6747" s="34" t="n">
        <v>2357997000167</v>
      </c>
      <c r="B6747" s="34" t="s">
        <v>14690</v>
      </c>
      <c r="C6747" s="34" t="s">
        <v>979</v>
      </c>
      <c r="E6747" s="30" t="s">
        <v>12517</v>
      </c>
      <c r="F6747" s="34" t="n">
        <f aca="false">IFERROR(VLOOKUP($A6747,'319'!$B:$H,7,0),0)</f>
        <v>0</v>
      </c>
      <c r="G6747" s="34" t="n">
        <f aca="false">SUMIFS('12.326ana'!$C:$C,'12.326ana'!$M:$M,redes!A6747)</f>
        <v>0</v>
      </c>
    </row>
    <row r="6748" customFormat="false" ht="14.4" hidden="true" customHeight="false" outlineLevel="0" collapsed="false">
      <c r="A6748" s="34" t="n">
        <v>2363567000158</v>
      </c>
      <c r="B6748" s="34" t="s">
        <v>14691</v>
      </c>
      <c r="C6748" s="34" t="s">
        <v>842</v>
      </c>
      <c r="E6748" s="30" t="s">
        <v>14692</v>
      </c>
      <c r="F6748" s="34" t="n">
        <f aca="false">IFERROR(VLOOKUP($A6748,'319'!$B:$H,7,0),0)</f>
        <v>0</v>
      </c>
      <c r="G6748" s="34" t="n">
        <f aca="false">SUMIFS('12.326ana'!$C:$C,'12.326ana'!$M:$M,redes!A6748)</f>
        <v>0</v>
      </c>
    </row>
    <row r="6749" customFormat="false" ht="14.4" hidden="true" customHeight="false" outlineLevel="0" collapsed="false">
      <c r="A6749" s="34" t="n">
        <v>2363853000113</v>
      </c>
      <c r="B6749" s="34" t="s">
        <v>14693</v>
      </c>
      <c r="C6749" s="34" t="s">
        <v>764</v>
      </c>
      <c r="E6749" s="30" t="s">
        <v>14694</v>
      </c>
      <c r="F6749" s="34" t="n">
        <f aca="false">IFERROR(VLOOKUP($A6749,'319'!$B:$H,7,0),0)</f>
        <v>0</v>
      </c>
      <c r="G6749" s="34" t="n">
        <f aca="false">SUMIFS('12.326ana'!$C:$C,'12.326ana'!$M:$M,redes!A6749)</f>
        <v>0</v>
      </c>
    </row>
    <row r="6750" customFormat="false" ht="14.4" hidden="true" customHeight="false" outlineLevel="0" collapsed="false">
      <c r="A6750" s="34" t="n">
        <v>2366154000127</v>
      </c>
      <c r="B6750" s="34" t="s">
        <v>14695</v>
      </c>
      <c r="C6750" s="34" t="s">
        <v>77</v>
      </c>
      <c r="E6750" s="30" t="s">
        <v>14696</v>
      </c>
      <c r="F6750" s="34" t="n">
        <f aca="false">IFERROR(VLOOKUP($A6750,'319'!$B:$H,7,0),0)</f>
        <v>0</v>
      </c>
      <c r="G6750" s="34" t="n">
        <f aca="false">SUMIFS('12.326ana'!$C:$C,'12.326ana'!$M:$M,redes!A6750)</f>
        <v>0</v>
      </c>
    </row>
    <row r="6751" customFormat="false" ht="14.4" hidden="true" customHeight="false" outlineLevel="0" collapsed="false">
      <c r="A6751" s="34" t="n">
        <v>2367470000113</v>
      </c>
      <c r="B6751" s="34" t="s">
        <v>14697</v>
      </c>
      <c r="C6751" s="34" t="s">
        <v>107</v>
      </c>
      <c r="E6751" s="30" t="s">
        <v>11517</v>
      </c>
      <c r="F6751" s="34" t="n">
        <f aca="false">IFERROR(VLOOKUP($A6751,'319'!$B:$H,7,0),0)</f>
        <v>0</v>
      </c>
      <c r="G6751" s="34" t="n">
        <f aca="false">SUMIFS('12.326ana'!$C:$C,'12.326ana'!$M:$M,redes!A6751)</f>
        <v>0</v>
      </c>
    </row>
    <row r="6752" customFormat="false" ht="14.4" hidden="true" customHeight="false" outlineLevel="0" collapsed="false">
      <c r="A6752" s="34" t="n">
        <v>2367629000108</v>
      </c>
      <c r="B6752" s="34" t="s">
        <v>14698</v>
      </c>
      <c r="C6752" s="34" t="s">
        <v>213</v>
      </c>
      <c r="E6752" s="30" t="s">
        <v>14699</v>
      </c>
      <c r="F6752" s="34" t="n">
        <f aca="false">IFERROR(VLOOKUP($A6752,'319'!$B:$H,7,0),0)</f>
        <v>0</v>
      </c>
      <c r="G6752" s="34" t="n">
        <f aca="false">SUMIFS('12.326ana'!$C:$C,'12.326ana'!$M:$M,redes!A6752)</f>
        <v>0</v>
      </c>
    </row>
    <row r="6753" customFormat="false" ht="14.4" hidden="true" customHeight="false" outlineLevel="0" collapsed="false">
      <c r="A6753" s="34" t="n">
        <v>2368481000118</v>
      </c>
      <c r="B6753" s="34" t="s">
        <v>14700</v>
      </c>
      <c r="C6753" s="34" t="s">
        <v>89</v>
      </c>
      <c r="E6753" s="30" t="s">
        <v>14701</v>
      </c>
      <c r="F6753" s="34" t="n">
        <f aca="false">IFERROR(VLOOKUP($A6753,'319'!$B:$H,7,0),0)</f>
        <v>0</v>
      </c>
      <c r="G6753" s="34" t="n">
        <f aca="false">SUMIFS('12.326ana'!$C:$C,'12.326ana'!$M:$M,redes!A6753)</f>
        <v>0</v>
      </c>
    </row>
    <row r="6754" customFormat="false" ht="14.4" hidden="true" customHeight="false" outlineLevel="0" collapsed="false">
      <c r="A6754" s="34" t="n">
        <v>2369450000181</v>
      </c>
      <c r="B6754" s="34" t="s">
        <v>14702</v>
      </c>
      <c r="C6754" s="34" t="s">
        <v>562</v>
      </c>
      <c r="E6754" s="30" t="s">
        <v>14703</v>
      </c>
      <c r="F6754" s="34" t="n">
        <f aca="false">IFERROR(VLOOKUP($A6754,'319'!$B:$H,7,0),0)</f>
        <v>0</v>
      </c>
      <c r="G6754" s="34" t="n">
        <f aca="false">SUMIFS('12.326ana'!$C:$C,'12.326ana'!$M:$M,redes!A6754)</f>
        <v>0</v>
      </c>
    </row>
    <row r="6755" customFormat="false" ht="14.4" hidden="true" customHeight="false" outlineLevel="0" collapsed="false">
      <c r="A6755" s="34" t="n">
        <v>2377358000163</v>
      </c>
      <c r="B6755" s="34" t="s">
        <v>14704</v>
      </c>
      <c r="C6755" s="34" t="s">
        <v>1272</v>
      </c>
      <c r="E6755" s="30" t="s">
        <v>14705</v>
      </c>
      <c r="F6755" s="34" t="n">
        <f aca="false">IFERROR(VLOOKUP($A6755,'319'!$B:$H,7,0),0)</f>
        <v>0</v>
      </c>
      <c r="G6755" s="34" t="n">
        <f aca="false">SUMIFS('12.326ana'!$C:$C,'12.326ana'!$M:$M,redes!A6755)</f>
        <v>0</v>
      </c>
    </row>
    <row r="6756" customFormat="false" ht="14.4" hidden="true" customHeight="false" outlineLevel="0" collapsed="false">
      <c r="A6756" s="34" t="n">
        <v>2378179000140</v>
      </c>
      <c r="B6756" s="34" t="s">
        <v>14706</v>
      </c>
      <c r="C6756" s="34" t="s">
        <v>139</v>
      </c>
      <c r="E6756" s="30" t="s">
        <v>14707</v>
      </c>
      <c r="F6756" s="34" t="n">
        <f aca="false">IFERROR(VLOOKUP($A6756,'319'!$B:$H,7,0),0)</f>
        <v>0</v>
      </c>
      <c r="G6756" s="34" t="n">
        <f aca="false">SUMIFS('12.326ana'!$C:$C,'12.326ana'!$M:$M,redes!A6756)</f>
        <v>0</v>
      </c>
    </row>
    <row r="6757" customFormat="false" ht="14.4" hidden="true" customHeight="false" outlineLevel="0" collapsed="false">
      <c r="A6757" s="34" t="n">
        <v>2380299000182</v>
      </c>
      <c r="B6757" s="34" t="s">
        <v>14708</v>
      </c>
      <c r="C6757" s="34" t="s">
        <v>463</v>
      </c>
      <c r="E6757" s="30" t="s">
        <v>14709</v>
      </c>
      <c r="F6757" s="34" t="n">
        <f aca="false">IFERROR(VLOOKUP($A6757,'319'!$B:$H,7,0),0)</f>
        <v>0</v>
      </c>
      <c r="G6757" s="34" t="n">
        <f aca="false">SUMIFS('12.326ana'!$C:$C,'12.326ana'!$M:$M,redes!A6757)</f>
        <v>0</v>
      </c>
    </row>
    <row r="6758" customFormat="false" ht="14.4" hidden="true" customHeight="false" outlineLevel="0" collapsed="false">
      <c r="A6758" s="34" t="n">
        <v>2381161000106</v>
      </c>
      <c r="B6758" s="34" t="s">
        <v>14710</v>
      </c>
      <c r="C6758" s="34" t="s">
        <v>139</v>
      </c>
      <c r="E6758" s="30" t="s">
        <v>4567</v>
      </c>
      <c r="F6758" s="34" t="n">
        <f aca="false">IFERROR(VLOOKUP($A6758,'319'!$B:$H,7,0),0)</f>
        <v>0</v>
      </c>
      <c r="G6758" s="34" t="n">
        <f aca="false">SUMIFS('12.326ana'!$C:$C,'12.326ana'!$M:$M,redes!A6758)</f>
        <v>0</v>
      </c>
    </row>
    <row r="6759" customFormat="false" ht="14.4" hidden="true" customHeight="false" outlineLevel="0" collapsed="false">
      <c r="A6759" s="34" t="n">
        <v>2382496000130</v>
      </c>
      <c r="B6759" s="34" t="s">
        <v>14711</v>
      </c>
      <c r="C6759" s="34" t="s">
        <v>809</v>
      </c>
      <c r="E6759" s="30" t="s">
        <v>14712</v>
      </c>
      <c r="F6759" s="34" t="n">
        <f aca="false">IFERROR(VLOOKUP($A6759,'319'!$B:$H,7,0),0)</f>
        <v>0</v>
      </c>
      <c r="G6759" s="34" t="n">
        <f aca="false">SUMIFS('12.326ana'!$C:$C,'12.326ana'!$M:$M,redes!A6759)</f>
        <v>0</v>
      </c>
    </row>
    <row r="6760" customFormat="false" ht="14.4" hidden="true" customHeight="false" outlineLevel="0" collapsed="false">
      <c r="A6760" s="34" t="n">
        <v>2388162000174</v>
      </c>
      <c r="B6760" s="34" t="s">
        <v>14713</v>
      </c>
      <c r="C6760" s="34" t="s">
        <v>309</v>
      </c>
      <c r="E6760" s="30" t="s">
        <v>14714</v>
      </c>
      <c r="F6760" s="34" t="n">
        <f aca="false">IFERROR(VLOOKUP($A6760,'319'!$B:$H,7,0),0)</f>
        <v>0</v>
      </c>
      <c r="G6760" s="34" t="n">
        <f aca="false">SUMIFS('12.326ana'!$C:$C,'12.326ana'!$M:$M,redes!A6760)</f>
        <v>0</v>
      </c>
    </row>
    <row r="6761" customFormat="false" ht="14.4" hidden="true" customHeight="false" outlineLevel="0" collapsed="false">
      <c r="A6761" s="34" t="n">
        <v>2388322000185</v>
      </c>
      <c r="B6761" s="34" t="s">
        <v>14715</v>
      </c>
      <c r="C6761" s="34" t="s">
        <v>89</v>
      </c>
      <c r="E6761" s="30" t="s">
        <v>14716</v>
      </c>
      <c r="F6761" s="34" t="n">
        <f aca="false">IFERROR(VLOOKUP($A6761,'319'!$B:$H,7,0),0)</f>
        <v>0</v>
      </c>
      <c r="G6761" s="34" t="n">
        <f aca="false">SUMIFS('12.326ana'!$C:$C,'12.326ana'!$M:$M,redes!A6761)</f>
        <v>0</v>
      </c>
    </row>
    <row r="6762" customFormat="false" ht="14.4" hidden="true" customHeight="false" outlineLevel="0" collapsed="false">
      <c r="A6762" s="34" t="n">
        <v>2389408000122</v>
      </c>
      <c r="B6762" s="34" t="s">
        <v>14717</v>
      </c>
      <c r="C6762" s="34" t="s">
        <v>107</v>
      </c>
      <c r="E6762" s="30" t="s">
        <v>14718</v>
      </c>
      <c r="F6762" s="34" t="n">
        <f aca="false">IFERROR(VLOOKUP($A6762,'319'!$B:$H,7,0),0)</f>
        <v>0</v>
      </c>
      <c r="G6762" s="34" t="n">
        <f aca="false">SUMIFS('12.326ana'!$C:$C,'12.326ana'!$M:$M,redes!A6762)</f>
        <v>0</v>
      </c>
    </row>
    <row r="6763" customFormat="false" ht="14.4" hidden="true" customHeight="false" outlineLevel="0" collapsed="false">
      <c r="A6763" s="34" t="n">
        <v>2394457000153</v>
      </c>
      <c r="B6763" s="34" t="s">
        <v>14719</v>
      </c>
      <c r="C6763" s="34" t="s">
        <v>77</v>
      </c>
      <c r="E6763" s="30" t="s">
        <v>3074</v>
      </c>
      <c r="F6763" s="34" t="n">
        <f aca="false">IFERROR(VLOOKUP($A6763,'319'!$B:$H,7,0),0)</f>
        <v>0</v>
      </c>
      <c r="G6763" s="34" t="n">
        <f aca="false">SUMIFS('12.326ana'!$C:$C,'12.326ana'!$M:$M,redes!A6763)</f>
        <v>0</v>
      </c>
    </row>
    <row r="6764" customFormat="false" ht="14.4" hidden="true" customHeight="false" outlineLevel="0" collapsed="false">
      <c r="A6764" s="34" t="n">
        <v>2394470000102</v>
      </c>
      <c r="B6764" s="34" t="s">
        <v>14720</v>
      </c>
      <c r="C6764" s="34" t="s">
        <v>351</v>
      </c>
      <c r="E6764" s="30" t="s">
        <v>14721</v>
      </c>
      <c r="F6764" s="34" t="n">
        <f aca="false">IFERROR(VLOOKUP($A6764,'319'!$B:$H,7,0),0)</f>
        <v>0</v>
      </c>
      <c r="G6764" s="34" t="n">
        <f aca="false">SUMIFS('12.326ana'!$C:$C,'12.326ana'!$M:$M,redes!A6764)</f>
        <v>0</v>
      </c>
    </row>
    <row r="6765" customFormat="false" ht="14.4" hidden="true" customHeight="false" outlineLevel="0" collapsed="false">
      <c r="A6765" s="34" t="n">
        <v>2394477000124</v>
      </c>
      <c r="B6765" s="34" t="s">
        <v>14722</v>
      </c>
      <c r="C6765" s="34" t="s">
        <v>77</v>
      </c>
      <c r="E6765" s="30" t="s">
        <v>14723</v>
      </c>
      <c r="F6765" s="34" t="n">
        <f aca="false">IFERROR(VLOOKUP($A6765,'319'!$B:$H,7,0),0)</f>
        <v>0</v>
      </c>
      <c r="G6765" s="34" t="n">
        <f aca="false">SUMIFS('12.326ana'!$C:$C,'12.326ana'!$M:$M,redes!A6765)</f>
        <v>0</v>
      </c>
    </row>
    <row r="6766" customFormat="false" ht="14.4" hidden="true" customHeight="false" outlineLevel="0" collapsed="false">
      <c r="A6766" s="34" t="n">
        <v>2398807000150</v>
      </c>
      <c r="B6766" s="34" t="s">
        <v>14724</v>
      </c>
      <c r="C6766" s="34" t="s">
        <v>881</v>
      </c>
      <c r="E6766" s="30" t="s">
        <v>13091</v>
      </c>
      <c r="F6766" s="34" t="n">
        <f aca="false">IFERROR(VLOOKUP($A6766,'319'!$B:$H,7,0),0)</f>
        <v>0</v>
      </c>
      <c r="G6766" s="34" t="n">
        <f aca="false">SUMIFS('12.326ana'!$C:$C,'12.326ana'!$M:$M,redes!A6766)</f>
        <v>0</v>
      </c>
    </row>
    <row r="6767" customFormat="false" ht="14.4" hidden="true" customHeight="false" outlineLevel="0" collapsed="false">
      <c r="A6767" s="34" t="n">
        <v>2398905000197</v>
      </c>
      <c r="B6767" s="34" t="s">
        <v>14725</v>
      </c>
      <c r="C6767" s="34" t="s">
        <v>77</v>
      </c>
      <c r="E6767" s="30" t="s">
        <v>3003</v>
      </c>
      <c r="F6767" s="34" t="n">
        <f aca="false">IFERROR(VLOOKUP($A6767,'319'!$B:$H,7,0),0)</f>
        <v>0</v>
      </c>
      <c r="G6767" s="34" t="n">
        <f aca="false">SUMIFS('12.326ana'!$C:$C,'12.326ana'!$M:$M,redes!A6767)</f>
        <v>0</v>
      </c>
    </row>
    <row r="6768" customFormat="false" ht="14.4" hidden="true" customHeight="false" outlineLevel="0" collapsed="false">
      <c r="A6768" s="34" t="n">
        <v>2399303000154</v>
      </c>
      <c r="B6768" s="34" t="s">
        <v>14726</v>
      </c>
      <c r="C6768" s="34" t="s">
        <v>478</v>
      </c>
      <c r="E6768" s="30" t="s">
        <v>14727</v>
      </c>
      <c r="F6768" s="34" t="n">
        <f aca="false">IFERROR(VLOOKUP($A6768,'319'!$B:$H,7,0),0)</f>
        <v>0</v>
      </c>
      <c r="G6768" s="34" t="n">
        <f aca="false">SUMIFS('12.326ana'!$C:$C,'12.326ana'!$M:$M,redes!A6768)</f>
        <v>0</v>
      </c>
    </row>
    <row r="6769" customFormat="false" ht="14.4" hidden="true" customHeight="false" outlineLevel="0" collapsed="false">
      <c r="A6769" s="34" t="n">
        <v>2399747000190</v>
      </c>
      <c r="B6769" s="34" t="s">
        <v>14728</v>
      </c>
      <c r="C6769" s="34" t="s">
        <v>598</v>
      </c>
      <c r="E6769" s="30" t="s">
        <v>14729</v>
      </c>
      <c r="F6769" s="34" t="n">
        <f aca="false">IFERROR(VLOOKUP($A6769,'319'!$B:$H,7,0),0)</f>
        <v>0</v>
      </c>
      <c r="G6769" s="34" t="n">
        <f aca="false">SUMIFS('12.326ana'!$C:$C,'12.326ana'!$M:$M,redes!A6769)</f>
        <v>0</v>
      </c>
    </row>
    <row r="6770" customFormat="false" ht="14.4" hidden="true" customHeight="false" outlineLevel="0" collapsed="false">
      <c r="A6770" s="34" t="n">
        <v>2399758000170</v>
      </c>
      <c r="B6770" s="34" t="s">
        <v>14730</v>
      </c>
      <c r="C6770" s="34" t="s">
        <v>565</v>
      </c>
      <c r="E6770" s="30" t="s">
        <v>14731</v>
      </c>
      <c r="F6770" s="34" t="n">
        <f aca="false">IFERROR(VLOOKUP($A6770,'319'!$B:$H,7,0),0)</f>
        <v>0</v>
      </c>
      <c r="G6770" s="34" t="n">
        <f aca="false">SUMIFS('12.326ana'!$C:$C,'12.326ana'!$M:$M,redes!A6770)</f>
        <v>0</v>
      </c>
    </row>
    <row r="6771" customFormat="false" ht="14.4" hidden="true" customHeight="false" outlineLevel="0" collapsed="false">
      <c r="A6771" s="34" t="n">
        <v>2401411000114</v>
      </c>
      <c r="B6771" s="34" t="s">
        <v>14732</v>
      </c>
      <c r="C6771" s="34" t="s">
        <v>77</v>
      </c>
      <c r="E6771" s="30" t="s">
        <v>14733</v>
      </c>
      <c r="F6771" s="34" t="n">
        <f aca="false">IFERROR(VLOOKUP($A6771,'319'!$B:$H,7,0),0)</f>
        <v>0</v>
      </c>
      <c r="G6771" s="34" t="n">
        <f aca="false">SUMIFS('12.326ana'!$C:$C,'12.326ana'!$M:$M,redes!A6771)</f>
        <v>0</v>
      </c>
    </row>
    <row r="6772" customFormat="false" ht="14.4" hidden="true" customHeight="false" outlineLevel="0" collapsed="false">
      <c r="A6772" s="34" t="n">
        <v>2401565000106</v>
      </c>
      <c r="B6772" s="34" t="s">
        <v>14734</v>
      </c>
      <c r="C6772" s="34" t="s">
        <v>4139</v>
      </c>
      <c r="E6772" s="30" t="s">
        <v>14735</v>
      </c>
      <c r="F6772" s="34" t="n">
        <f aca="false">IFERROR(VLOOKUP($A6772,'319'!$B:$H,7,0),0)</f>
        <v>0</v>
      </c>
      <c r="G6772" s="34" t="n">
        <f aca="false">SUMIFS('12.326ana'!$C:$C,'12.326ana'!$M:$M,redes!A6772)</f>
        <v>0</v>
      </c>
    </row>
    <row r="6773" customFormat="false" ht="14.4" hidden="true" customHeight="false" outlineLevel="0" collapsed="false">
      <c r="A6773" s="34" t="n">
        <v>2408923000102</v>
      </c>
      <c r="B6773" s="34" t="s">
        <v>14736</v>
      </c>
      <c r="C6773" s="34" t="s">
        <v>77</v>
      </c>
      <c r="E6773" s="30" t="s">
        <v>14737</v>
      </c>
      <c r="F6773" s="34" t="n">
        <f aca="false">IFERROR(VLOOKUP($A6773,'319'!$B:$H,7,0),0)</f>
        <v>0</v>
      </c>
      <c r="G6773" s="34" t="n">
        <f aca="false">SUMIFS('12.326ana'!$C:$C,'12.326ana'!$M:$M,redes!A6773)</f>
        <v>0</v>
      </c>
    </row>
    <row r="6774" customFormat="false" ht="14.4" hidden="true" customHeight="false" outlineLevel="0" collapsed="false">
      <c r="A6774" s="34" t="n">
        <v>2411934000141</v>
      </c>
      <c r="B6774" s="34" t="s">
        <v>14738</v>
      </c>
      <c r="C6774" s="34" t="s">
        <v>77</v>
      </c>
      <c r="E6774" s="30" t="s">
        <v>14739</v>
      </c>
      <c r="F6774" s="34" t="n">
        <f aca="false">IFERROR(VLOOKUP($A6774,'319'!$B:$H,7,0),0)</f>
        <v>0</v>
      </c>
      <c r="G6774" s="34" t="n">
        <f aca="false">SUMIFS('12.326ana'!$C:$C,'12.326ana'!$M:$M,redes!A6774)</f>
        <v>0</v>
      </c>
    </row>
    <row r="6775" customFormat="false" ht="14.4" hidden="true" customHeight="false" outlineLevel="0" collapsed="false">
      <c r="A6775" s="34" t="n">
        <v>2412784000190</v>
      </c>
      <c r="B6775" s="34" t="s">
        <v>14740</v>
      </c>
      <c r="C6775" s="34" t="s">
        <v>89</v>
      </c>
      <c r="E6775" s="30" t="s">
        <v>14741</v>
      </c>
      <c r="F6775" s="34" t="n">
        <f aca="false">IFERROR(VLOOKUP($A6775,'319'!$B:$H,7,0),0)</f>
        <v>0</v>
      </c>
      <c r="G6775" s="34" t="n">
        <f aca="false">SUMIFS('12.326ana'!$C:$C,'12.326ana'!$M:$M,redes!A6775)</f>
        <v>0</v>
      </c>
    </row>
    <row r="6776" customFormat="false" ht="14.4" hidden="true" customHeight="false" outlineLevel="0" collapsed="false">
      <c r="A6776" s="34" t="n">
        <v>2417015000185</v>
      </c>
      <c r="B6776" s="34" t="s">
        <v>14742</v>
      </c>
      <c r="C6776" s="34" t="s">
        <v>213</v>
      </c>
      <c r="E6776" s="30" t="s">
        <v>14743</v>
      </c>
      <c r="F6776" s="34" t="n">
        <f aca="false">IFERROR(VLOOKUP($A6776,'319'!$B:$H,7,0),0)</f>
        <v>0</v>
      </c>
      <c r="G6776" s="34" t="n">
        <f aca="false">SUMIFS('12.326ana'!$C:$C,'12.326ana'!$M:$M,redes!A6776)</f>
        <v>0</v>
      </c>
    </row>
    <row r="6777" customFormat="false" ht="14.4" hidden="true" customHeight="false" outlineLevel="0" collapsed="false">
      <c r="A6777" s="34" t="n">
        <v>2417564000150</v>
      </c>
      <c r="B6777" s="34" t="s">
        <v>14744</v>
      </c>
      <c r="C6777" s="34" t="s">
        <v>77</v>
      </c>
      <c r="E6777" s="30" t="s">
        <v>14745</v>
      </c>
      <c r="F6777" s="34" t="n">
        <f aca="false">IFERROR(VLOOKUP($A6777,'319'!$B:$H,7,0),0)</f>
        <v>0</v>
      </c>
      <c r="G6777" s="34" t="n">
        <f aca="false">SUMIFS('12.326ana'!$C:$C,'12.326ana'!$M:$M,redes!A6777)</f>
        <v>0</v>
      </c>
    </row>
    <row r="6778" customFormat="false" ht="14.4" hidden="true" customHeight="false" outlineLevel="0" collapsed="false">
      <c r="A6778" s="34" t="n">
        <v>2417564000230</v>
      </c>
      <c r="B6778" s="34" t="s">
        <v>14744</v>
      </c>
      <c r="C6778" s="34" t="s">
        <v>77</v>
      </c>
      <c r="E6778" s="30" t="s">
        <v>14745</v>
      </c>
      <c r="F6778" s="34" t="n">
        <f aca="false">IFERROR(VLOOKUP($A6778,'319'!$B:$H,7,0),0)</f>
        <v>0</v>
      </c>
      <c r="G6778" s="34" t="n">
        <f aca="false">SUMIFS('12.326ana'!$C:$C,'12.326ana'!$M:$M,redes!A6778)</f>
        <v>0</v>
      </c>
    </row>
    <row r="6779" customFormat="false" ht="14.4" hidden="true" customHeight="false" outlineLevel="0" collapsed="false">
      <c r="A6779" s="34" t="n">
        <v>2419759000139</v>
      </c>
      <c r="B6779" s="34" t="s">
        <v>14746</v>
      </c>
      <c r="C6779" s="34" t="s">
        <v>103</v>
      </c>
      <c r="E6779" s="30" t="s">
        <v>14747</v>
      </c>
      <c r="F6779" s="34" t="n">
        <f aca="false">IFERROR(VLOOKUP($A6779,'319'!$B:$H,7,0),0)</f>
        <v>0</v>
      </c>
      <c r="G6779" s="34" t="n">
        <f aca="false">SUMIFS('12.326ana'!$C:$C,'12.326ana'!$M:$M,redes!A6779)</f>
        <v>0</v>
      </c>
    </row>
    <row r="6780" customFormat="false" ht="14.4" hidden="true" customHeight="false" outlineLevel="0" collapsed="false">
      <c r="A6780" s="34" t="n">
        <v>2420463000138</v>
      </c>
      <c r="B6780" s="34" t="s">
        <v>14748</v>
      </c>
      <c r="C6780" s="34" t="s">
        <v>342</v>
      </c>
      <c r="E6780" s="30" t="s">
        <v>14749</v>
      </c>
      <c r="F6780" s="34" t="n">
        <f aca="false">IFERROR(VLOOKUP($A6780,'319'!$B:$H,7,0),0)</f>
        <v>0</v>
      </c>
      <c r="G6780" s="34" t="n">
        <f aca="false">SUMIFS('12.326ana'!$C:$C,'12.326ana'!$M:$M,redes!A6780)</f>
        <v>0</v>
      </c>
    </row>
    <row r="6781" customFormat="false" ht="14.4" hidden="true" customHeight="false" outlineLevel="0" collapsed="false">
      <c r="A6781" s="34" t="n">
        <v>2421306000147</v>
      </c>
      <c r="B6781" s="34" t="s">
        <v>14750</v>
      </c>
      <c r="C6781" s="34" t="s">
        <v>680</v>
      </c>
      <c r="E6781" s="30" t="s">
        <v>14751</v>
      </c>
      <c r="F6781" s="34" t="n">
        <f aca="false">IFERROR(VLOOKUP($A6781,'319'!$B:$H,7,0),0)</f>
        <v>0</v>
      </c>
      <c r="G6781" s="34" t="n">
        <f aca="false">SUMIFS('12.326ana'!$C:$C,'12.326ana'!$M:$M,redes!A6781)</f>
        <v>0</v>
      </c>
    </row>
    <row r="6782" customFormat="false" ht="14.4" hidden="true" customHeight="false" outlineLevel="0" collapsed="false">
      <c r="A6782" s="34" t="n">
        <v>2422850000103</v>
      </c>
      <c r="B6782" s="34" t="s">
        <v>14752</v>
      </c>
      <c r="C6782" s="34" t="s">
        <v>207</v>
      </c>
      <c r="E6782" s="30" t="s">
        <v>14753</v>
      </c>
      <c r="F6782" s="34" t="n">
        <f aca="false">IFERROR(VLOOKUP($A6782,'319'!$B:$H,7,0),0)</f>
        <v>0</v>
      </c>
      <c r="G6782" s="34" t="n">
        <f aca="false">SUMIFS('12.326ana'!$C:$C,'12.326ana'!$M:$M,redes!A6782)</f>
        <v>0</v>
      </c>
    </row>
    <row r="6783" customFormat="false" ht="14.4" hidden="true" customHeight="false" outlineLevel="0" collapsed="false">
      <c r="A6783" s="34" t="n">
        <v>2423376000134</v>
      </c>
      <c r="B6783" s="34" t="s">
        <v>14754</v>
      </c>
      <c r="C6783" s="34" t="s">
        <v>103</v>
      </c>
      <c r="E6783" s="30" t="s">
        <v>14755</v>
      </c>
      <c r="F6783" s="34" t="n">
        <f aca="false">IFERROR(VLOOKUP($A6783,'319'!$B:$H,7,0),0)</f>
        <v>0</v>
      </c>
      <c r="G6783" s="34" t="n">
        <f aca="false">SUMIFS('12.326ana'!$C:$C,'12.326ana'!$M:$M,redes!A6783)</f>
        <v>0</v>
      </c>
    </row>
    <row r="6784" customFormat="false" ht="14.4" hidden="true" customHeight="false" outlineLevel="0" collapsed="false">
      <c r="A6784" s="34" t="n">
        <v>2425859000178</v>
      </c>
      <c r="B6784" s="34" t="s">
        <v>14756</v>
      </c>
      <c r="C6784" s="34" t="s">
        <v>77</v>
      </c>
      <c r="D6784" s="34" t="s">
        <v>3324</v>
      </c>
      <c r="E6784" s="30" t="s">
        <v>3325</v>
      </c>
      <c r="F6784" s="34" t="n">
        <f aca="false">IFERROR(VLOOKUP($A6784,'319'!$B:$H,7,0),0)</f>
        <v>0</v>
      </c>
      <c r="G6784" s="34" t="n">
        <f aca="false">SUMIFS('12.326ana'!$C:$C,'12.326ana'!$M:$M,redes!A6784)</f>
        <v>0</v>
      </c>
    </row>
    <row r="6785" customFormat="false" ht="14.4" hidden="true" customHeight="false" outlineLevel="0" collapsed="false">
      <c r="A6785" s="34" t="n">
        <v>2427947000109</v>
      </c>
      <c r="B6785" s="34" t="s">
        <v>14757</v>
      </c>
      <c r="C6785" s="34" t="s">
        <v>77</v>
      </c>
      <c r="D6785" s="34" t="s">
        <v>3324</v>
      </c>
      <c r="E6785" s="30" t="s">
        <v>14758</v>
      </c>
      <c r="F6785" s="34" t="n">
        <f aca="false">IFERROR(VLOOKUP($A6785,'319'!$B:$H,7,0),0)</f>
        <v>0</v>
      </c>
      <c r="G6785" s="34" t="n">
        <f aca="false">SUMIFS('12.326ana'!$C:$C,'12.326ana'!$M:$M,redes!A6785)</f>
        <v>0</v>
      </c>
    </row>
    <row r="6786" customFormat="false" ht="14.4" hidden="true" customHeight="false" outlineLevel="0" collapsed="false">
      <c r="A6786" s="34" t="n">
        <v>2428624000130</v>
      </c>
      <c r="B6786" s="34" t="s">
        <v>14759</v>
      </c>
      <c r="C6786" s="34" t="s">
        <v>77</v>
      </c>
      <c r="E6786" s="30" t="s">
        <v>14760</v>
      </c>
      <c r="F6786" s="34" t="n">
        <f aca="false">IFERROR(VLOOKUP($A6786,'319'!$B:$H,7,0),0)</f>
        <v>0</v>
      </c>
      <c r="G6786" s="34" t="n">
        <f aca="false">SUMIFS('12.326ana'!$C:$C,'12.326ana'!$M:$M,redes!A6786)</f>
        <v>0</v>
      </c>
    </row>
    <row r="6787" customFormat="false" ht="14.4" hidden="true" customHeight="false" outlineLevel="0" collapsed="false">
      <c r="A6787" s="34" t="n">
        <v>2429772000179</v>
      </c>
      <c r="B6787" s="34" t="s">
        <v>14761</v>
      </c>
      <c r="C6787" s="34" t="s">
        <v>77</v>
      </c>
      <c r="E6787" s="30" t="s">
        <v>14762</v>
      </c>
      <c r="F6787" s="34" t="n">
        <f aca="false">IFERROR(VLOOKUP($A6787,'319'!$B:$H,7,0),0)</f>
        <v>0</v>
      </c>
      <c r="G6787" s="34" t="n">
        <f aca="false">SUMIFS('12.326ana'!$C:$C,'12.326ana'!$M:$M,redes!A6787)</f>
        <v>0</v>
      </c>
    </row>
    <row r="6788" customFormat="false" ht="14.4" hidden="true" customHeight="false" outlineLevel="0" collapsed="false">
      <c r="A6788" s="34" t="n">
        <v>2431212000159</v>
      </c>
      <c r="B6788" s="34" t="s">
        <v>14763</v>
      </c>
      <c r="C6788" s="34" t="s">
        <v>342</v>
      </c>
      <c r="E6788" s="30" t="s">
        <v>14764</v>
      </c>
      <c r="F6788" s="34" t="n">
        <f aca="false">IFERROR(VLOOKUP($A6788,'319'!$B:$H,7,0),0)</f>
        <v>0</v>
      </c>
      <c r="G6788" s="34" t="n">
        <f aca="false">SUMIFS('12.326ana'!$C:$C,'12.326ana'!$M:$M,redes!A6788)</f>
        <v>0</v>
      </c>
    </row>
    <row r="6789" customFormat="false" ht="14.4" hidden="true" customHeight="false" outlineLevel="0" collapsed="false">
      <c r="A6789" s="34" t="n">
        <v>2431714000180</v>
      </c>
      <c r="B6789" s="34" t="s">
        <v>14765</v>
      </c>
      <c r="C6789" s="34" t="s">
        <v>336</v>
      </c>
      <c r="E6789" s="30" t="s">
        <v>14766</v>
      </c>
      <c r="F6789" s="34" t="n">
        <f aca="false">IFERROR(VLOOKUP($A6789,'319'!$B:$H,7,0),0)</f>
        <v>0</v>
      </c>
      <c r="G6789" s="34" t="n">
        <f aca="false">SUMIFS('12.326ana'!$C:$C,'12.326ana'!$M:$M,redes!A6789)</f>
        <v>0</v>
      </c>
    </row>
    <row r="6790" customFormat="false" ht="14.4" hidden="true" customHeight="false" outlineLevel="0" collapsed="false">
      <c r="A6790" s="34" t="n">
        <v>2433305000112</v>
      </c>
      <c r="B6790" s="34" t="s">
        <v>14767</v>
      </c>
      <c r="C6790" s="34" t="s">
        <v>77</v>
      </c>
      <c r="E6790" s="30" t="s">
        <v>9706</v>
      </c>
      <c r="F6790" s="34" t="n">
        <f aca="false">IFERROR(VLOOKUP($A6790,'319'!$B:$H,7,0),0)</f>
        <v>0</v>
      </c>
      <c r="G6790" s="34" t="n">
        <f aca="false">SUMIFS('12.326ana'!$C:$C,'12.326ana'!$M:$M,redes!A6790)</f>
        <v>0</v>
      </c>
    </row>
    <row r="6791" customFormat="false" ht="14.4" hidden="true" customHeight="false" outlineLevel="0" collapsed="false">
      <c r="A6791" s="34" t="n">
        <v>2433323000102</v>
      </c>
      <c r="B6791" s="34" t="s">
        <v>14768</v>
      </c>
      <c r="C6791" s="34" t="s">
        <v>77</v>
      </c>
      <c r="E6791" s="30" t="s">
        <v>14769</v>
      </c>
      <c r="F6791" s="34" t="n">
        <f aca="false">IFERROR(VLOOKUP($A6791,'319'!$B:$H,7,0),0)</f>
        <v>0</v>
      </c>
      <c r="G6791" s="34" t="n">
        <f aca="false">SUMIFS('12.326ana'!$C:$C,'12.326ana'!$M:$M,redes!A6791)</f>
        <v>0</v>
      </c>
    </row>
    <row r="6792" customFormat="false" ht="14.4" hidden="true" customHeight="false" outlineLevel="0" collapsed="false">
      <c r="A6792" s="34" t="n">
        <v>2438579000102</v>
      </c>
      <c r="B6792" s="34" t="s">
        <v>14770</v>
      </c>
      <c r="C6792" s="34" t="s">
        <v>107</v>
      </c>
      <c r="E6792" s="30" t="s">
        <v>5840</v>
      </c>
      <c r="F6792" s="34" t="n">
        <f aca="false">IFERROR(VLOOKUP($A6792,'319'!$B:$H,7,0),0)</f>
        <v>0</v>
      </c>
      <c r="G6792" s="34" t="n">
        <f aca="false">SUMIFS('12.326ana'!$C:$C,'12.326ana'!$M:$M,redes!A6792)</f>
        <v>0</v>
      </c>
    </row>
    <row r="6793" customFormat="false" ht="14.4" hidden="true" customHeight="false" outlineLevel="0" collapsed="false">
      <c r="A6793" s="34" t="n">
        <v>2439457000122</v>
      </c>
      <c r="B6793" s="34" t="s">
        <v>14771</v>
      </c>
      <c r="C6793" s="34" t="s">
        <v>377</v>
      </c>
      <c r="E6793" s="30" t="s">
        <v>14772</v>
      </c>
      <c r="F6793" s="34" t="n">
        <f aca="false">IFERROR(VLOOKUP($A6793,'319'!$B:$H,7,0),0)</f>
        <v>0</v>
      </c>
      <c r="G6793" s="34" t="n">
        <f aca="false">SUMIFS('12.326ana'!$C:$C,'12.326ana'!$M:$M,redes!A6793)</f>
        <v>0</v>
      </c>
    </row>
    <row r="6794" customFormat="false" ht="14.4" hidden="true" customHeight="false" outlineLevel="0" collapsed="false">
      <c r="A6794" s="34" t="n">
        <v>2440704000100</v>
      </c>
      <c r="B6794" s="34" t="s">
        <v>14773</v>
      </c>
      <c r="C6794" s="34" t="s">
        <v>706</v>
      </c>
      <c r="E6794" s="30" t="s">
        <v>11884</v>
      </c>
      <c r="F6794" s="34" t="n">
        <f aca="false">IFERROR(VLOOKUP($A6794,'319'!$B:$H,7,0),0)</f>
        <v>0</v>
      </c>
      <c r="G6794" s="34" t="n">
        <f aca="false">SUMIFS('12.326ana'!$C:$C,'12.326ana'!$M:$M,redes!A6794)</f>
        <v>0</v>
      </c>
    </row>
    <row r="6795" customFormat="false" ht="14.4" hidden="true" customHeight="false" outlineLevel="0" collapsed="false">
      <c r="A6795" s="34" t="n">
        <v>2441488000118</v>
      </c>
      <c r="B6795" s="34" t="s">
        <v>14774</v>
      </c>
      <c r="C6795" s="34" t="s">
        <v>594</v>
      </c>
      <c r="E6795" s="30" t="s">
        <v>14775</v>
      </c>
      <c r="F6795" s="34" t="n">
        <f aca="false">IFERROR(VLOOKUP($A6795,'319'!$B:$H,7,0),0)</f>
        <v>0</v>
      </c>
      <c r="G6795" s="34" t="n">
        <f aca="false">SUMIFS('12.326ana'!$C:$C,'12.326ana'!$M:$M,redes!A6795)</f>
        <v>0</v>
      </c>
    </row>
    <row r="6796" customFormat="false" ht="14.4" hidden="true" customHeight="false" outlineLevel="0" collapsed="false">
      <c r="A6796" s="34" t="n">
        <v>2444131000193</v>
      </c>
      <c r="B6796" s="34" t="s">
        <v>14776</v>
      </c>
      <c r="C6796" s="34" t="s">
        <v>4156</v>
      </c>
      <c r="E6796" s="30" t="s">
        <v>14777</v>
      </c>
      <c r="F6796" s="34" t="n">
        <f aca="false">IFERROR(VLOOKUP($A6796,'319'!$B:$H,7,0),0)</f>
        <v>0</v>
      </c>
      <c r="G6796" s="34" t="n">
        <f aca="false">SUMIFS('12.326ana'!$C:$C,'12.326ana'!$M:$M,redes!A6796)</f>
        <v>0</v>
      </c>
    </row>
    <row r="6797" customFormat="false" ht="14.4" hidden="true" customHeight="false" outlineLevel="0" collapsed="false">
      <c r="A6797" s="34" t="n">
        <v>2445763000171</v>
      </c>
      <c r="B6797" s="34" t="s">
        <v>14778</v>
      </c>
      <c r="C6797" s="34" t="s">
        <v>77</v>
      </c>
      <c r="E6797" s="30" t="s">
        <v>14779</v>
      </c>
      <c r="F6797" s="34" t="n">
        <f aca="false">IFERROR(VLOOKUP($A6797,'319'!$B:$H,7,0),0)</f>
        <v>0</v>
      </c>
      <c r="G6797" s="34" t="n">
        <f aca="false">SUMIFS('12.326ana'!$C:$C,'12.326ana'!$M:$M,redes!A6797)</f>
        <v>0</v>
      </c>
    </row>
    <row r="6798" customFormat="false" ht="14.4" hidden="true" customHeight="false" outlineLevel="0" collapsed="false">
      <c r="A6798" s="34" t="n">
        <v>2446410000196</v>
      </c>
      <c r="B6798" s="34" t="s">
        <v>14780</v>
      </c>
      <c r="C6798" s="34" t="s">
        <v>77</v>
      </c>
      <c r="E6798" s="30" t="s">
        <v>14781</v>
      </c>
      <c r="F6798" s="34" t="n">
        <f aca="false">IFERROR(VLOOKUP($A6798,'319'!$B:$H,7,0),0)</f>
        <v>0</v>
      </c>
      <c r="G6798" s="34" t="n">
        <f aca="false">SUMIFS('12.326ana'!$C:$C,'12.326ana'!$M:$M,redes!A6798)</f>
        <v>0</v>
      </c>
    </row>
    <row r="6799" customFormat="false" ht="14.4" hidden="true" customHeight="false" outlineLevel="0" collapsed="false">
      <c r="A6799" s="34" t="n">
        <v>2448859000193</v>
      </c>
      <c r="B6799" s="34" t="s">
        <v>14782</v>
      </c>
      <c r="C6799" s="34" t="s">
        <v>464</v>
      </c>
      <c r="E6799" s="30" t="s">
        <v>14783</v>
      </c>
      <c r="F6799" s="34" t="n">
        <f aca="false">IFERROR(VLOOKUP($A6799,'319'!$B:$H,7,0),0)</f>
        <v>0</v>
      </c>
      <c r="G6799" s="34" t="n">
        <f aca="false">SUMIFS('12.326ana'!$C:$C,'12.326ana'!$M:$M,redes!A6799)</f>
        <v>0</v>
      </c>
    </row>
    <row r="6800" customFormat="false" ht="14.4" hidden="true" customHeight="false" outlineLevel="0" collapsed="false">
      <c r="A6800" s="34" t="n">
        <v>2449321000101</v>
      </c>
      <c r="B6800" s="34" t="s">
        <v>14784</v>
      </c>
      <c r="C6800" s="34" t="s">
        <v>342</v>
      </c>
      <c r="E6800" s="30" t="s">
        <v>14785</v>
      </c>
      <c r="F6800" s="34" t="n">
        <f aca="false">IFERROR(VLOOKUP($A6800,'319'!$B:$H,7,0),0)</f>
        <v>0</v>
      </c>
      <c r="G6800" s="34" t="n">
        <f aca="false">SUMIFS('12.326ana'!$C:$C,'12.326ana'!$M:$M,redes!A6800)</f>
        <v>0</v>
      </c>
    </row>
    <row r="6801" customFormat="false" ht="14.4" hidden="true" customHeight="false" outlineLevel="0" collapsed="false">
      <c r="A6801" s="34" t="n">
        <v>2450314000111</v>
      </c>
      <c r="B6801" s="34" t="s">
        <v>14786</v>
      </c>
      <c r="C6801" s="34" t="s">
        <v>103</v>
      </c>
      <c r="E6801" s="30" t="s">
        <v>14787</v>
      </c>
      <c r="F6801" s="34" t="n">
        <f aca="false">IFERROR(VLOOKUP($A6801,'319'!$B:$H,7,0),0)</f>
        <v>0</v>
      </c>
      <c r="G6801" s="34" t="n">
        <f aca="false">SUMIFS('12.326ana'!$C:$C,'12.326ana'!$M:$M,redes!A6801)</f>
        <v>0</v>
      </c>
    </row>
    <row r="6802" customFormat="false" ht="14.4" hidden="true" customHeight="false" outlineLevel="0" collapsed="false">
      <c r="A6802" s="34" t="n">
        <v>2452435000100</v>
      </c>
      <c r="B6802" s="34" t="s">
        <v>14788</v>
      </c>
      <c r="C6802" s="34" t="s">
        <v>351</v>
      </c>
      <c r="E6802" s="30" t="s">
        <v>7071</v>
      </c>
      <c r="F6802" s="34" t="n">
        <f aca="false">IFERROR(VLOOKUP($A6802,'319'!$B:$H,7,0),0)</f>
        <v>0</v>
      </c>
      <c r="G6802" s="34" t="n">
        <f aca="false">SUMIFS('12.326ana'!$C:$C,'12.326ana'!$M:$M,redes!A6802)</f>
        <v>0</v>
      </c>
    </row>
    <row r="6803" customFormat="false" ht="14.4" hidden="true" customHeight="false" outlineLevel="0" collapsed="false">
      <c r="A6803" s="34" t="n">
        <v>2453155000109</v>
      </c>
      <c r="B6803" s="34" t="s">
        <v>14789</v>
      </c>
      <c r="C6803" s="34" t="s">
        <v>357</v>
      </c>
      <c r="E6803" s="30" t="s">
        <v>14790</v>
      </c>
      <c r="F6803" s="34" t="n">
        <f aca="false">IFERROR(VLOOKUP($A6803,'319'!$B:$H,7,0),0)</f>
        <v>0</v>
      </c>
      <c r="G6803" s="34" t="n">
        <f aca="false">SUMIFS('12.326ana'!$C:$C,'12.326ana'!$M:$M,redes!A6803)</f>
        <v>0</v>
      </c>
    </row>
    <row r="6804" customFormat="false" ht="14.4" hidden="true" customHeight="false" outlineLevel="0" collapsed="false">
      <c r="A6804" s="34" t="n">
        <v>2458454000136</v>
      </c>
      <c r="B6804" s="34" t="s">
        <v>14791</v>
      </c>
      <c r="C6804" s="34" t="s">
        <v>463</v>
      </c>
      <c r="E6804" s="30" t="s">
        <v>14792</v>
      </c>
      <c r="F6804" s="34" t="n">
        <f aca="false">IFERROR(VLOOKUP($A6804,'319'!$B:$H,7,0),0)</f>
        <v>0</v>
      </c>
      <c r="G6804" s="34" t="n">
        <f aca="false">SUMIFS('12.326ana'!$C:$C,'12.326ana'!$M:$M,redes!A6804)</f>
        <v>0</v>
      </c>
    </row>
    <row r="6805" customFormat="false" ht="14.4" hidden="true" customHeight="false" outlineLevel="0" collapsed="false">
      <c r="A6805" s="34" t="n">
        <v>2458755000160</v>
      </c>
      <c r="B6805" s="34" t="s">
        <v>14793</v>
      </c>
      <c r="C6805" s="34" t="s">
        <v>994</v>
      </c>
      <c r="E6805" s="30" t="s">
        <v>4848</v>
      </c>
      <c r="F6805" s="34" t="n">
        <f aca="false">IFERROR(VLOOKUP($A6805,'319'!$B:$H,7,0),0)</f>
        <v>0</v>
      </c>
      <c r="G6805" s="34" t="n">
        <f aca="false">SUMIFS('12.326ana'!$C:$C,'12.326ana'!$M:$M,redes!A6805)</f>
        <v>0</v>
      </c>
    </row>
    <row r="6806" customFormat="false" ht="14.4" hidden="true" customHeight="false" outlineLevel="0" collapsed="false">
      <c r="A6806" s="34" t="n">
        <v>2460231000103</v>
      </c>
      <c r="B6806" s="34" t="s">
        <v>14794</v>
      </c>
      <c r="C6806" s="34" t="s">
        <v>604</v>
      </c>
      <c r="E6806" s="30" t="s">
        <v>14795</v>
      </c>
      <c r="F6806" s="34" t="n">
        <f aca="false">IFERROR(VLOOKUP($A6806,'319'!$B:$H,7,0),0)</f>
        <v>0</v>
      </c>
      <c r="G6806" s="34" t="n">
        <f aca="false">SUMIFS('12.326ana'!$C:$C,'12.326ana'!$M:$M,redes!A6806)</f>
        <v>0</v>
      </c>
    </row>
    <row r="6807" customFormat="false" ht="14.4" hidden="true" customHeight="false" outlineLevel="0" collapsed="false">
      <c r="A6807" s="34" t="n">
        <v>2462284000163</v>
      </c>
      <c r="B6807" s="34" t="s">
        <v>14796</v>
      </c>
      <c r="C6807" s="34" t="s">
        <v>1272</v>
      </c>
      <c r="E6807" s="30" t="s">
        <v>14797</v>
      </c>
      <c r="F6807" s="34" t="n">
        <f aca="false">IFERROR(VLOOKUP($A6807,'319'!$B:$H,7,0),0)</f>
        <v>0</v>
      </c>
      <c r="G6807" s="34" t="n">
        <f aca="false">SUMIFS('12.326ana'!$C:$C,'12.326ana'!$M:$M,redes!A6807)</f>
        <v>0</v>
      </c>
    </row>
    <row r="6808" customFormat="false" ht="14.4" hidden="true" customHeight="false" outlineLevel="0" collapsed="false">
      <c r="A6808" s="34" t="n">
        <v>2462665000142</v>
      </c>
      <c r="B6808" s="34" t="s">
        <v>14798</v>
      </c>
      <c r="C6808" s="34" t="s">
        <v>357</v>
      </c>
      <c r="E6808" s="30" t="s">
        <v>14799</v>
      </c>
      <c r="F6808" s="34" t="n">
        <f aca="false">IFERROR(VLOOKUP($A6808,'319'!$B:$H,7,0),0)</f>
        <v>0</v>
      </c>
      <c r="G6808" s="34" t="n">
        <f aca="false">SUMIFS('12.326ana'!$C:$C,'12.326ana'!$M:$M,redes!A6808)</f>
        <v>0</v>
      </c>
    </row>
    <row r="6809" customFormat="false" ht="14.4" hidden="true" customHeight="false" outlineLevel="0" collapsed="false">
      <c r="A6809" s="34" t="n">
        <v>2464765000108</v>
      </c>
      <c r="B6809" s="34" t="s">
        <v>14800</v>
      </c>
      <c r="C6809" s="34" t="s">
        <v>77</v>
      </c>
      <c r="E6809" s="30" t="s">
        <v>3664</v>
      </c>
      <c r="F6809" s="34" t="n">
        <f aca="false">IFERROR(VLOOKUP($A6809,'319'!$B:$H,7,0),0)</f>
        <v>0</v>
      </c>
      <c r="G6809" s="34" t="n">
        <f aca="false">SUMIFS('12.326ana'!$C:$C,'12.326ana'!$M:$M,redes!A6809)</f>
        <v>0</v>
      </c>
    </row>
    <row r="6810" customFormat="false" ht="14.4" hidden="true" customHeight="false" outlineLevel="0" collapsed="false">
      <c r="A6810" s="34" t="n">
        <v>2464773000154</v>
      </c>
      <c r="B6810" s="34" t="s">
        <v>14801</v>
      </c>
      <c r="C6810" s="34" t="s">
        <v>127</v>
      </c>
      <c r="E6810" s="30" t="s">
        <v>4276</v>
      </c>
      <c r="F6810" s="34" t="n">
        <f aca="false">IFERROR(VLOOKUP($A6810,'319'!$B:$H,7,0),0)</f>
        <v>0</v>
      </c>
      <c r="G6810" s="34" t="n">
        <f aca="false">SUMIFS('12.326ana'!$C:$C,'12.326ana'!$M:$M,redes!A6810)</f>
        <v>0</v>
      </c>
    </row>
    <row r="6811" customFormat="false" ht="14.4" hidden="true" customHeight="false" outlineLevel="0" collapsed="false">
      <c r="A6811" s="34" t="n">
        <v>2466813000105</v>
      </c>
      <c r="B6811" s="34" t="s">
        <v>14802</v>
      </c>
      <c r="C6811" s="34" t="s">
        <v>77</v>
      </c>
      <c r="E6811" s="30" t="s">
        <v>14803</v>
      </c>
      <c r="F6811" s="34" t="n">
        <f aca="false">IFERROR(VLOOKUP($A6811,'319'!$B:$H,7,0),0)</f>
        <v>0</v>
      </c>
      <c r="G6811" s="34" t="n">
        <f aca="false">SUMIFS('12.326ana'!$C:$C,'12.326ana'!$M:$M,redes!A6811)</f>
        <v>0</v>
      </c>
    </row>
    <row r="6812" customFormat="false" ht="14.4" hidden="true" customHeight="false" outlineLevel="0" collapsed="false">
      <c r="A6812" s="34" t="n">
        <v>2466858000171</v>
      </c>
      <c r="B6812" s="34" t="s">
        <v>14804</v>
      </c>
      <c r="C6812" s="34" t="s">
        <v>213</v>
      </c>
      <c r="D6812" s="34" t="s">
        <v>14805</v>
      </c>
      <c r="E6812" s="30" t="s">
        <v>14806</v>
      </c>
      <c r="F6812" s="34" t="n">
        <f aca="false">IFERROR(VLOOKUP($A6812,'319'!$B:$H,7,0),0)</f>
        <v>527.14</v>
      </c>
      <c r="G6812" s="34" t="n">
        <f aca="false">SUMIFS('12.326ana'!$C:$C,'12.326ana'!$M:$M,redes!A6812)</f>
        <v>0</v>
      </c>
    </row>
    <row r="6813" customFormat="false" ht="14.4" hidden="true" customHeight="false" outlineLevel="0" collapsed="false">
      <c r="A6813" s="34" t="n">
        <v>2466858000252</v>
      </c>
      <c r="B6813" s="34" t="s">
        <v>14804</v>
      </c>
      <c r="C6813" s="34" t="s">
        <v>213</v>
      </c>
      <c r="E6813" s="30" t="s">
        <v>14807</v>
      </c>
      <c r="F6813" s="34" t="n">
        <f aca="false">IFERROR(VLOOKUP($A6813,'319'!$B:$H,7,0),0)</f>
        <v>0</v>
      </c>
      <c r="G6813" s="34" t="n">
        <f aca="false">SUMIFS('12.326ana'!$C:$C,'12.326ana'!$M:$M,redes!A6813)</f>
        <v>0</v>
      </c>
    </row>
    <row r="6814" customFormat="false" ht="14.4" hidden="true" customHeight="false" outlineLevel="0" collapsed="false">
      <c r="A6814" s="34" t="n">
        <v>2466858000333</v>
      </c>
      <c r="B6814" s="34" t="s">
        <v>14804</v>
      </c>
      <c r="C6814" s="34" t="s">
        <v>12298</v>
      </c>
      <c r="D6814" s="34" t="s">
        <v>14805</v>
      </c>
      <c r="E6814" s="30" t="s">
        <v>14808</v>
      </c>
      <c r="F6814" s="34" t="n">
        <f aca="false">IFERROR(VLOOKUP($A6814,'319'!$B:$H,7,0),0)</f>
        <v>137.04</v>
      </c>
      <c r="G6814" s="34" t="n">
        <f aca="false">SUMIFS('12.326ana'!$C:$C,'12.326ana'!$M:$M,redes!A6814)</f>
        <v>0</v>
      </c>
    </row>
    <row r="6815" customFormat="false" ht="14.4" hidden="true" customHeight="false" outlineLevel="0" collapsed="false">
      <c r="A6815" s="34" t="n">
        <v>2467904000157</v>
      </c>
      <c r="B6815" s="34" t="s">
        <v>14809</v>
      </c>
      <c r="C6815" s="34" t="s">
        <v>12298</v>
      </c>
      <c r="E6815" s="30"/>
      <c r="F6815" s="34" t="n">
        <f aca="false">IFERROR(VLOOKUP($A6815,'319'!$B:$H,7,0),0)</f>
        <v>0</v>
      </c>
      <c r="G6815" s="34" t="n">
        <f aca="false">SUMIFS('12.326ana'!$C:$C,'12.326ana'!$M:$M,redes!A6815)</f>
        <v>0</v>
      </c>
    </row>
    <row r="6816" customFormat="false" ht="14.4" hidden="true" customHeight="false" outlineLevel="0" collapsed="false">
      <c r="A6816" s="34" t="n">
        <v>2470057000180</v>
      </c>
      <c r="B6816" s="34" t="s">
        <v>14810</v>
      </c>
      <c r="C6816" s="34" t="s">
        <v>139</v>
      </c>
      <c r="E6816" s="30" t="s">
        <v>14811</v>
      </c>
      <c r="F6816" s="34" t="n">
        <f aca="false">IFERROR(VLOOKUP($A6816,'319'!$B:$H,7,0),0)</f>
        <v>0</v>
      </c>
      <c r="G6816" s="34" t="n">
        <f aca="false">SUMIFS('12.326ana'!$C:$C,'12.326ana'!$M:$M,redes!A6816)</f>
        <v>0</v>
      </c>
    </row>
    <row r="6817" customFormat="false" ht="14.4" hidden="true" customHeight="false" outlineLevel="0" collapsed="false">
      <c r="A6817" s="34" t="n">
        <v>2472846000150</v>
      </c>
      <c r="B6817" s="34" t="s">
        <v>14812</v>
      </c>
      <c r="C6817" s="34" t="s">
        <v>77</v>
      </c>
      <c r="E6817" s="30" t="s">
        <v>4942</v>
      </c>
      <c r="F6817" s="34" t="n">
        <f aca="false">IFERROR(VLOOKUP($A6817,'319'!$B:$H,7,0),0)</f>
        <v>0</v>
      </c>
      <c r="G6817" s="34" t="n">
        <f aca="false">SUMIFS('12.326ana'!$C:$C,'12.326ana'!$M:$M,redes!A6817)</f>
        <v>0</v>
      </c>
    </row>
    <row r="6818" customFormat="false" ht="14.4" hidden="true" customHeight="false" outlineLevel="0" collapsed="false">
      <c r="A6818" s="34" t="n">
        <v>2473188000110</v>
      </c>
      <c r="B6818" s="34" t="s">
        <v>14813</v>
      </c>
      <c r="C6818" s="34" t="s">
        <v>475</v>
      </c>
      <c r="E6818" s="30" t="s">
        <v>4326</v>
      </c>
      <c r="F6818" s="34" t="n">
        <f aca="false">IFERROR(VLOOKUP($A6818,'319'!$B:$H,7,0),0)</f>
        <v>0</v>
      </c>
      <c r="G6818" s="34" t="n">
        <f aca="false">SUMIFS('12.326ana'!$C:$C,'12.326ana'!$M:$M,redes!A6818)</f>
        <v>0</v>
      </c>
    </row>
    <row r="6819" customFormat="false" ht="14.4" hidden="true" customHeight="false" outlineLevel="0" collapsed="false">
      <c r="A6819" s="34" t="n">
        <v>2481122000172</v>
      </c>
      <c r="B6819" s="34" t="s">
        <v>14814</v>
      </c>
      <c r="C6819" s="34" t="s">
        <v>309</v>
      </c>
      <c r="E6819" s="30" t="s">
        <v>8447</v>
      </c>
      <c r="F6819" s="34" t="n">
        <f aca="false">IFERROR(VLOOKUP($A6819,'319'!$B:$H,7,0),0)</f>
        <v>0</v>
      </c>
      <c r="G6819" s="34" t="n">
        <f aca="false">SUMIFS('12.326ana'!$C:$C,'12.326ana'!$M:$M,redes!A6819)</f>
        <v>0</v>
      </c>
    </row>
    <row r="6820" customFormat="false" ht="14.4" hidden="true" customHeight="false" outlineLevel="0" collapsed="false">
      <c r="A6820" s="34" t="n">
        <v>2484816000163</v>
      </c>
      <c r="B6820" s="34" t="s">
        <v>14815</v>
      </c>
      <c r="C6820" s="34" t="s">
        <v>842</v>
      </c>
      <c r="E6820" s="30"/>
      <c r="F6820" s="34" t="n">
        <f aca="false">IFERROR(VLOOKUP($A6820,'319'!$B:$H,7,0),0)</f>
        <v>1429.91</v>
      </c>
      <c r="G6820" s="34" t="n">
        <f aca="false">SUMIFS('12.326ana'!$C:$C,'12.326ana'!$M:$M,redes!A6820)</f>
        <v>0</v>
      </c>
    </row>
    <row r="6821" customFormat="false" ht="14.4" hidden="true" customHeight="false" outlineLevel="0" collapsed="false">
      <c r="A6821" s="34" t="n">
        <v>2488191000108</v>
      </c>
      <c r="B6821" s="34" t="s">
        <v>14816</v>
      </c>
      <c r="C6821" s="34" t="s">
        <v>967</v>
      </c>
      <c r="E6821" s="30" t="s">
        <v>14817</v>
      </c>
      <c r="F6821" s="34" t="n">
        <f aca="false">IFERROR(VLOOKUP($A6821,'319'!$B:$H,7,0),0)</f>
        <v>0</v>
      </c>
      <c r="G6821" s="34" t="n">
        <f aca="false">SUMIFS('12.326ana'!$C:$C,'12.326ana'!$M:$M,redes!A6821)</f>
        <v>0</v>
      </c>
    </row>
    <row r="6822" customFormat="false" ht="14.4" hidden="true" customHeight="false" outlineLevel="0" collapsed="false">
      <c r="A6822" s="34" t="n">
        <v>2488233000100</v>
      </c>
      <c r="B6822" s="34" t="s">
        <v>14818</v>
      </c>
      <c r="C6822" s="34" t="s">
        <v>473</v>
      </c>
      <c r="E6822" s="30" t="s">
        <v>14819</v>
      </c>
      <c r="F6822" s="34" t="n">
        <f aca="false">IFERROR(VLOOKUP($A6822,'319'!$B:$H,7,0),0)</f>
        <v>0</v>
      </c>
      <c r="G6822" s="34" t="n">
        <f aca="false">SUMIFS('12.326ana'!$C:$C,'12.326ana'!$M:$M,redes!A6822)</f>
        <v>0</v>
      </c>
    </row>
    <row r="6823" customFormat="false" ht="14.4" hidden="true" customHeight="false" outlineLevel="0" collapsed="false">
      <c r="A6823" s="34" t="n">
        <v>2488807000140</v>
      </c>
      <c r="B6823" s="34" t="s">
        <v>14820</v>
      </c>
      <c r="C6823" s="34" t="s">
        <v>107</v>
      </c>
      <c r="E6823" s="30" t="s">
        <v>14821</v>
      </c>
      <c r="F6823" s="34" t="n">
        <f aca="false">IFERROR(VLOOKUP($A6823,'319'!$B:$H,7,0),0)</f>
        <v>0</v>
      </c>
      <c r="G6823" s="34" t="n">
        <f aca="false">SUMIFS('12.326ana'!$C:$C,'12.326ana'!$M:$M,redes!A6823)</f>
        <v>0</v>
      </c>
    </row>
    <row r="6824" customFormat="false" ht="14.4" hidden="true" customHeight="false" outlineLevel="0" collapsed="false">
      <c r="A6824" s="34" t="n">
        <v>2490045000117</v>
      </c>
      <c r="B6824" s="34" t="s">
        <v>14822</v>
      </c>
      <c r="C6824" s="34" t="s">
        <v>994</v>
      </c>
      <c r="E6824" s="30" t="s">
        <v>14823</v>
      </c>
      <c r="F6824" s="34" t="n">
        <f aca="false">IFERROR(VLOOKUP($A6824,'319'!$B:$H,7,0),0)</f>
        <v>0</v>
      </c>
      <c r="G6824" s="34" t="n">
        <f aca="false">SUMIFS('12.326ana'!$C:$C,'12.326ana'!$M:$M,redes!A6824)</f>
        <v>0</v>
      </c>
    </row>
    <row r="6825" customFormat="false" ht="14.4" hidden="true" customHeight="false" outlineLevel="0" collapsed="false">
      <c r="A6825" s="34" t="n">
        <v>2490272000142</v>
      </c>
      <c r="B6825" s="34" t="s">
        <v>14824</v>
      </c>
      <c r="C6825" s="34" t="s">
        <v>77</v>
      </c>
      <c r="E6825" s="30" t="s">
        <v>14825</v>
      </c>
      <c r="F6825" s="34" t="n">
        <f aca="false">IFERROR(VLOOKUP($A6825,'319'!$B:$H,7,0),0)</f>
        <v>0</v>
      </c>
      <c r="G6825" s="34" t="n">
        <f aca="false">SUMIFS('12.326ana'!$C:$C,'12.326ana'!$M:$M,redes!A6825)</f>
        <v>0</v>
      </c>
    </row>
    <row r="6826" customFormat="false" ht="14.4" hidden="true" customHeight="false" outlineLevel="0" collapsed="false">
      <c r="A6826" s="34" t="n">
        <v>2499545000110</v>
      </c>
      <c r="B6826" s="34" t="s">
        <v>14826</v>
      </c>
      <c r="C6826" s="34" t="s">
        <v>107</v>
      </c>
      <c r="E6826" s="30" t="s">
        <v>14827</v>
      </c>
      <c r="F6826" s="34" t="n">
        <f aca="false">IFERROR(VLOOKUP($A6826,'319'!$B:$H,7,0),0)</f>
        <v>0</v>
      </c>
      <c r="G6826" s="34" t="n">
        <f aca="false">SUMIFS('12.326ana'!$C:$C,'12.326ana'!$M:$M,redes!A6826)</f>
        <v>0</v>
      </c>
    </row>
    <row r="6827" customFormat="false" ht="14.4" hidden="true" customHeight="false" outlineLevel="0" collapsed="false">
      <c r="A6827" s="34" t="n">
        <v>2503094000147</v>
      </c>
      <c r="B6827" s="34" t="s">
        <v>14828</v>
      </c>
      <c r="C6827" s="34" t="s">
        <v>1591</v>
      </c>
      <c r="E6827" s="30" t="s">
        <v>14829</v>
      </c>
      <c r="F6827" s="34" t="n">
        <f aca="false">IFERROR(VLOOKUP($A6827,'319'!$B:$H,7,0),0)</f>
        <v>0</v>
      </c>
      <c r="G6827" s="34" t="n">
        <f aca="false">SUMIFS('12.326ana'!$C:$C,'12.326ana'!$M:$M,redes!A6827)</f>
        <v>0</v>
      </c>
    </row>
    <row r="6828" customFormat="false" ht="14.4" hidden="true" customHeight="false" outlineLevel="0" collapsed="false">
      <c r="A6828" s="34" t="n">
        <v>2504196000187</v>
      </c>
      <c r="B6828" s="34" t="s">
        <v>14830</v>
      </c>
      <c r="C6828" s="34" t="s">
        <v>4156</v>
      </c>
      <c r="E6828" s="30" t="s">
        <v>14831</v>
      </c>
      <c r="F6828" s="34" t="n">
        <f aca="false">IFERROR(VLOOKUP($A6828,'319'!$B:$H,7,0),0)</f>
        <v>0</v>
      </c>
      <c r="G6828" s="34" t="n">
        <f aca="false">SUMIFS('12.326ana'!$C:$C,'12.326ana'!$M:$M,redes!A6828)</f>
        <v>0</v>
      </c>
    </row>
    <row r="6829" customFormat="false" ht="14.4" hidden="true" customHeight="false" outlineLevel="0" collapsed="false">
      <c r="A6829" s="34" t="n">
        <v>2506396000179</v>
      </c>
      <c r="B6829" s="34" t="s">
        <v>14832</v>
      </c>
      <c r="C6829" s="34" t="s">
        <v>3060</v>
      </c>
      <c r="E6829" s="30" t="s">
        <v>14833</v>
      </c>
      <c r="F6829" s="34" t="n">
        <f aca="false">IFERROR(VLOOKUP($A6829,'319'!$B:$H,7,0),0)</f>
        <v>0</v>
      </c>
      <c r="G6829" s="34" t="n">
        <f aca="false">SUMIFS('12.326ana'!$C:$C,'12.326ana'!$M:$M,redes!A6829)</f>
        <v>0</v>
      </c>
    </row>
    <row r="6830" customFormat="false" ht="14.4" hidden="true" customHeight="false" outlineLevel="0" collapsed="false">
      <c r="A6830" s="34" t="n">
        <v>2506408000165</v>
      </c>
      <c r="B6830" s="34" t="s">
        <v>14834</v>
      </c>
      <c r="C6830" s="34" t="s">
        <v>77</v>
      </c>
      <c r="D6830" s="34" t="s">
        <v>5602</v>
      </c>
      <c r="E6830" s="30" t="s">
        <v>14835</v>
      </c>
      <c r="F6830" s="34" t="n">
        <f aca="false">IFERROR(VLOOKUP($A6830,'319'!$B:$H,7,0),0)</f>
        <v>0</v>
      </c>
      <c r="G6830" s="34" t="n">
        <f aca="false">SUMIFS('12.326ana'!$C:$C,'12.326ana'!$M:$M,redes!A6830)</f>
        <v>0</v>
      </c>
    </row>
    <row r="6831" customFormat="false" ht="14.4" hidden="true" customHeight="false" outlineLevel="0" collapsed="false">
      <c r="A6831" s="34" t="n">
        <v>2506489000101</v>
      </c>
      <c r="B6831" s="34" t="s">
        <v>14836</v>
      </c>
      <c r="C6831" s="34" t="s">
        <v>336</v>
      </c>
      <c r="E6831" s="30" t="s">
        <v>14836</v>
      </c>
      <c r="F6831" s="34" t="n">
        <f aca="false">IFERROR(VLOOKUP($A6831,'319'!$B:$H,7,0),0)</f>
        <v>0</v>
      </c>
      <c r="G6831" s="34" t="n">
        <f aca="false">SUMIFS('12.326ana'!$C:$C,'12.326ana'!$M:$M,redes!A6831)</f>
        <v>0</v>
      </c>
    </row>
    <row r="6832" customFormat="false" ht="14.4" hidden="true" customHeight="false" outlineLevel="0" collapsed="false">
      <c r="A6832" s="34" t="n">
        <v>2506512000150</v>
      </c>
      <c r="B6832" s="34" t="s">
        <v>14837</v>
      </c>
      <c r="C6832" s="34" t="s">
        <v>3060</v>
      </c>
      <c r="E6832" s="30" t="s">
        <v>14838</v>
      </c>
      <c r="F6832" s="34" t="n">
        <f aca="false">IFERROR(VLOOKUP($A6832,'319'!$B:$H,7,0),0)</f>
        <v>0</v>
      </c>
      <c r="G6832" s="34" t="n">
        <f aca="false">SUMIFS('12.326ana'!$C:$C,'12.326ana'!$M:$M,redes!A6832)</f>
        <v>0</v>
      </c>
    </row>
    <row r="6833" customFormat="false" ht="14.4" hidden="true" customHeight="false" outlineLevel="0" collapsed="false">
      <c r="A6833" s="34" t="n">
        <v>2507856000183</v>
      </c>
      <c r="B6833" s="34" t="s">
        <v>14839</v>
      </c>
      <c r="C6833" s="34" t="s">
        <v>89</v>
      </c>
      <c r="E6833" s="30" t="s">
        <v>14840</v>
      </c>
      <c r="F6833" s="34" t="n">
        <f aca="false">IFERROR(VLOOKUP($A6833,'319'!$B:$H,7,0),0)</f>
        <v>0</v>
      </c>
      <c r="G6833" s="34" t="n">
        <f aca="false">SUMIFS('12.326ana'!$C:$C,'12.326ana'!$M:$M,redes!A6833)</f>
        <v>0</v>
      </c>
    </row>
    <row r="6834" customFormat="false" ht="14.4" hidden="true" customHeight="false" outlineLevel="0" collapsed="false">
      <c r="A6834" s="34" t="n">
        <v>2510215000188</v>
      </c>
      <c r="B6834" s="34" t="s">
        <v>14841</v>
      </c>
      <c r="C6834" s="34" t="s">
        <v>89</v>
      </c>
      <c r="E6834" s="30" t="s">
        <v>14842</v>
      </c>
      <c r="F6834" s="34" t="n">
        <f aca="false">IFERROR(VLOOKUP($A6834,'319'!$B:$H,7,0),0)</f>
        <v>0</v>
      </c>
      <c r="G6834" s="34" t="n">
        <f aca="false">SUMIFS('12.326ana'!$C:$C,'12.326ana'!$M:$M,redes!A6834)</f>
        <v>0</v>
      </c>
    </row>
    <row r="6835" customFormat="false" ht="14.4" hidden="true" customHeight="false" outlineLevel="0" collapsed="false">
      <c r="A6835" s="34" t="n">
        <v>2511083000109</v>
      </c>
      <c r="B6835" s="34" t="s">
        <v>14843</v>
      </c>
      <c r="C6835" s="34" t="s">
        <v>77</v>
      </c>
      <c r="E6835" s="30" t="s">
        <v>14844</v>
      </c>
      <c r="F6835" s="34" t="n">
        <f aca="false">IFERROR(VLOOKUP($A6835,'319'!$B:$H,7,0),0)</f>
        <v>0</v>
      </c>
      <c r="G6835" s="34" t="n">
        <f aca="false">SUMIFS('12.326ana'!$C:$C,'12.326ana'!$M:$M,redes!A6835)</f>
        <v>0</v>
      </c>
    </row>
    <row r="6836" customFormat="false" ht="14.4" hidden="true" customHeight="false" outlineLevel="0" collapsed="false">
      <c r="A6836" s="34" t="n">
        <v>2514840000106</v>
      </c>
      <c r="B6836" s="34" t="s">
        <v>14845</v>
      </c>
      <c r="C6836" s="34" t="s">
        <v>565</v>
      </c>
      <c r="E6836" s="30" t="s">
        <v>14846</v>
      </c>
      <c r="F6836" s="34" t="n">
        <f aca="false">IFERROR(VLOOKUP($A6836,'319'!$B:$H,7,0),0)</f>
        <v>0</v>
      </c>
      <c r="G6836" s="34" t="n">
        <f aca="false">SUMIFS('12.326ana'!$C:$C,'12.326ana'!$M:$M,redes!A6836)</f>
        <v>0</v>
      </c>
    </row>
    <row r="6837" customFormat="false" ht="14.4" hidden="true" customHeight="false" outlineLevel="0" collapsed="false">
      <c r="A6837" s="34" t="n">
        <v>2516558000150</v>
      </c>
      <c r="B6837" s="34" t="s">
        <v>14847</v>
      </c>
      <c r="C6837" s="34" t="s">
        <v>139</v>
      </c>
      <c r="E6837" s="30" t="s">
        <v>14848</v>
      </c>
      <c r="F6837" s="34" t="n">
        <f aca="false">IFERROR(VLOOKUP($A6837,'319'!$B:$H,7,0),0)</f>
        <v>0</v>
      </c>
      <c r="G6837" s="34" t="n">
        <f aca="false">SUMIFS('12.326ana'!$C:$C,'12.326ana'!$M:$M,redes!A6837)</f>
        <v>0</v>
      </c>
    </row>
    <row r="6838" customFormat="false" ht="14.4" hidden="true" customHeight="false" outlineLevel="0" collapsed="false">
      <c r="A6838" s="34" t="n">
        <v>2518176000165</v>
      </c>
      <c r="B6838" s="34" t="s">
        <v>14849</v>
      </c>
      <c r="C6838" s="34" t="s">
        <v>77</v>
      </c>
      <c r="E6838" s="30" t="s">
        <v>14850</v>
      </c>
      <c r="F6838" s="34" t="n">
        <f aca="false">IFERROR(VLOOKUP($A6838,'319'!$B:$H,7,0),0)</f>
        <v>0</v>
      </c>
      <c r="G6838" s="34" t="n">
        <f aca="false">SUMIFS('12.326ana'!$C:$C,'12.326ana'!$M:$M,redes!A6838)</f>
        <v>0</v>
      </c>
    </row>
    <row r="6839" customFormat="false" ht="14.4" hidden="true" customHeight="false" outlineLevel="0" collapsed="false">
      <c r="A6839" s="34" t="n">
        <v>2518343000178</v>
      </c>
      <c r="B6839" s="34" t="s">
        <v>14851</v>
      </c>
      <c r="C6839" s="34" t="s">
        <v>89</v>
      </c>
      <c r="E6839" s="30" t="s">
        <v>6700</v>
      </c>
      <c r="F6839" s="34" t="n">
        <f aca="false">IFERROR(VLOOKUP($A6839,'319'!$B:$H,7,0),0)</f>
        <v>0</v>
      </c>
      <c r="G6839" s="34" t="n">
        <f aca="false">SUMIFS('12.326ana'!$C:$C,'12.326ana'!$M:$M,redes!A6839)</f>
        <v>0</v>
      </c>
    </row>
    <row r="6840" customFormat="false" ht="14.4" hidden="true" customHeight="false" outlineLevel="0" collapsed="false">
      <c r="A6840" s="34" t="n">
        <v>2521020000133</v>
      </c>
      <c r="B6840" s="34" t="s">
        <v>14852</v>
      </c>
      <c r="C6840" s="34" t="s">
        <v>598</v>
      </c>
      <c r="E6840" s="30" t="s">
        <v>14853</v>
      </c>
      <c r="F6840" s="34" t="n">
        <f aca="false">IFERROR(VLOOKUP($A6840,'319'!$B:$H,7,0),0)</f>
        <v>0</v>
      </c>
      <c r="G6840" s="34" t="n">
        <f aca="false">SUMIFS('12.326ana'!$C:$C,'12.326ana'!$M:$M,redes!A6840)</f>
        <v>0</v>
      </c>
    </row>
    <row r="6841" customFormat="false" ht="14.4" hidden="true" customHeight="false" outlineLevel="0" collapsed="false">
      <c r="A6841" s="34" t="n">
        <v>2521579000163</v>
      </c>
      <c r="B6841" s="34" t="s">
        <v>14854</v>
      </c>
      <c r="C6841" s="34" t="s">
        <v>781</v>
      </c>
      <c r="E6841" s="30" t="s">
        <v>14855</v>
      </c>
      <c r="F6841" s="34" t="n">
        <f aca="false">IFERROR(VLOOKUP($A6841,'319'!$B:$H,7,0),0)</f>
        <v>0</v>
      </c>
      <c r="G6841" s="34" t="n">
        <f aca="false">SUMIFS('12.326ana'!$C:$C,'12.326ana'!$M:$M,redes!A6841)</f>
        <v>0</v>
      </c>
    </row>
    <row r="6842" customFormat="false" ht="14.4" hidden="true" customHeight="false" outlineLevel="0" collapsed="false">
      <c r="A6842" s="34" t="n">
        <v>2521580000198</v>
      </c>
      <c r="B6842" s="34" t="s">
        <v>14856</v>
      </c>
      <c r="C6842" s="34" t="s">
        <v>781</v>
      </c>
      <c r="E6842" s="30" t="s">
        <v>14857</v>
      </c>
      <c r="F6842" s="34" t="n">
        <f aca="false">IFERROR(VLOOKUP($A6842,'319'!$B:$H,7,0),0)</f>
        <v>0</v>
      </c>
      <c r="G6842" s="34" t="n">
        <f aca="false">SUMIFS('12.326ana'!$C:$C,'12.326ana'!$M:$M,redes!A6842)</f>
        <v>0</v>
      </c>
    </row>
    <row r="6843" customFormat="false" ht="14.4" hidden="true" customHeight="false" outlineLevel="0" collapsed="false">
      <c r="A6843" s="34" t="n">
        <v>2521583000121</v>
      </c>
      <c r="B6843" s="34" t="s">
        <v>14858</v>
      </c>
      <c r="C6843" s="34" t="s">
        <v>781</v>
      </c>
      <c r="E6843" s="30" t="s">
        <v>14859</v>
      </c>
      <c r="F6843" s="34" t="n">
        <f aca="false">IFERROR(VLOOKUP($A6843,'319'!$B:$H,7,0),0)</f>
        <v>0</v>
      </c>
      <c r="G6843" s="34" t="n">
        <f aca="false">SUMIFS('12.326ana'!$C:$C,'12.326ana'!$M:$M,redes!A6843)</f>
        <v>0</v>
      </c>
    </row>
    <row r="6844" customFormat="false" ht="14.4" hidden="true" customHeight="false" outlineLevel="0" collapsed="false">
      <c r="A6844" s="34" t="n">
        <v>2525958000121</v>
      </c>
      <c r="B6844" s="34" t="s">
        <v>14860</v>
      </c>
      <c r="C6844" s="34" t="s">
        <v>107</v>
      </c>
      <c r="E6844" s="30" t="s">
        <v>14861</v>
      </c>
      <c r="F6844" s="34" t="n">
        <f aca="false">IFERROR(VLOOKUP($A6844,'319'!$B:$H,7,0),0)</f>
        <v>0</v>
      </c>
      <c r="G6844" s="34" t="n">
        <f aca="false">SUMIFS('12.326ana'!$C:$C,'12.326ana'!$M:$M,redes!A6844)</f>
        <v>0</v>
      </c>
    </row>
    <row r="6845" customFormat="false" ht="14.4" hidden="true" customHeight="false" outlineLevel="0" collapsed="false">
      <c r="A6845" s="34" t="n">
        <v>2527619000184</v>
      </c>
      <c r="B6845" s="34" t="s">
        <v>14862</v>
      </c>
      <c r="C6845" s="34" t="s">
        <v>77</v>
      </c>
      <c r="E6845" s="30" t="s">
        <v>3781</v>
      </c>
      <c r="F6845" s="34" t="n">
        <f aca="false">IFERROR(VLOOKUP($A6845,'319'!$B:$H,7,0),0)</f>
        <v>0</v>
      </c>
      <c r="G6845" s="34" t="n">
        <f aca="false">SUMIFS('12.326ana'!$C:$C,'12.326ana'!$M:$M,redes!A6845)</f>
        <v>0</v>
      </c>
    </row>
    <row r="6846" customFormat="false" ht="14.4" hidden="true" customHeight="false" outlineLevel="0" collapsed="false">
      <c r="A6846" s="34" t="n">
        <v>2530233000121</v>
      </c>
      <c r="B6846" s="34" t="s">
        <v>14863</v>
      </c>
      <c r="C6846" s="34" t="s">
        <v>77</v>
      </c>
      <c r="E6846" s="30"/>
      <c r="F6846" s="34" t="n">
        <f aca="false">IFERROR(VLOOKUP($A6846,'319'!$B:$H,7,0),0)</f>
        <v>0</v>
      </c>
      <c r="G6846" s="34" t="n">
        <f aca="false">SUMIFS('12.326ana'!$C:$C,'12.326ana'!$M:$M,redes!A6846)</f>
        <v>0</v>
      </c>
    </row>
    <row r="6847" customFormat="false" ht="14.4" hidden="true" customHeight="false" outlineLevel="0" collapsed="false">
      <c r="A6847" s="34" t="n">
        <v>2531736000111</v>
      </c>
      <c r="B6847" s="34" t="s">
        <v>14864</v>
      </c>
      <c r="C6847" s="34" t="s">
        <v>77</v>
      </c>
      <c r="E6847" s="30" t="s">
        <v>14865</v>
      </c>
      <c r="F6847" s="34" t="n">
        <f aca="false">IFERROR(VLOOKUP($A6847,'319'!$B:$H,7,0),0)</f>
        <v>0</v>
      </c>
      <c r="G6847" s="34" t="n">
        <f aca="false">SUMIFS('12.326ana'!$C:$C,'12.326ana'!$M:$M,redes!A6847)</f>
        <v>0</v>
      </c>
    </row>
    <row r="6848" customFormat="false" ht="14.4" hidden="true" customHeight="false" outlineLevel="0" collapsed="false">
      <c r="A6848" s="34" t="n">
        <v>2532504000188</v>
      </c>
      <c r="B6848" s="34" t="s">
        <v>14866</v>
      </c>
      <c r="C6848" s="34" t="s">
        <v>342</v>
      </c>
      <c r="E6848" s="30" t="s">
        <v>14867</v>
      </c>
      <c r="F6848" s="34" t="n">
        <f aca="false">IFERROR(VLOOKUP($A6848,'319'!$B:$H,7,0),0)</f>
        <v>0</v>
      </c>
      <c r="G6848" s="34" t="n">
        <f aca="false">SUMIFS('12.326ana'!$C:$C,'12.326ana'!$M:$M,redes!A6848)</f>
        <v>0</v>
      </c>
    </row>
    <row r="6849" customFormat="false" ht="14.4" hidden="true" customHeight="false" outlineLevel="0" collapsed="false">
      <c r="A6849" s="34" t="n">
        <v>2533116000111</v>
      </c>
      <c r="B6849" s="34" t="s">
        <v>14868</v>
      </c>
      <c r="C6849" s="34" t="s">
        <v>77</v>
      </c>
      <c r="E6849" s="30" t="s">
        <v>14869</v>
      </c>
      <c r="F6849" s="34" t="n">
        <f aca="false">IFERROR(VLOOKUP($A6849,'319'!$B:$H,7,0),0)</f>
        <v>0</v>
      </c>
      <c r="G6849" s="34" t="n">
        <f aca="false">SUMIFS('12.326ana'!$C:$C,'12.326ana'!$M:$M,redes!A6849)</f>
        <v>0</v>
      </c>
    </row>
    <row r="6850" customFormat="false" ht="14.4" hidden="true" customHeight="false" outlineLevel="0" collapsed="false">
      <c r="A6850" s="34" t="n">
        <v>2534880000101</v>
      </c>
      <c r="B6850" s="34" t="s">
        <v>14870</v>
      </c>
      <c r="C6850" s="34" t="s">
        <v>631</v>
      </c>
      <c r="E6850" s="30" t="s">
        <v>14871</v>
      </c>
      <c r="F6850" s="34" t="n">
        <f aca="false">IFERROR(VLOOKUP($A6850,'319'!$B:$H,7,0),0)</f>
        <v>0</v>
      </c>
      <c r="G6850" s="34" t="n">
        <f aca="false">SUMIFS('12.326ana'!$C:$C,'12.326ana'!$M:$M,redes!A6850)</f>
        <v>0</v>
      </c>
    </row>
    <row r="6851" customFormat="false" ht="14.4" hidden="true" customHeight="false" outlineLevel="0" collapsed="false">
      <c r="A6851" s="34" t="n">
        <v>2535618000181</v>
      </c>
      <c r="B6851" s="34" t="s">
        <v>14872</v>
      </c>
      <c r="C6851" s="34" t="s">
        <v>77</v>
      </c>
      <c r="E6851" s="30" t="s">
        <v>14873</v>
      </c>
      <c r="F6851" s="34" t="n">
        <f aca="false">IFERROR(VLOOKUP($A6851,'319'!$B:$H,7,0),0)</f>
        <v>0</v>
      </c>
      <c r="G6851" s="34" t="n">
        <f aca="false">SUMIFS('12.326ana'!$C:$C,'12.326ana'!$M:$M,redes!A6851)</f>
        <v>0</v>
      </c>
    </row>
    <row r="6852" customFormat="false" ht="14.4" hidden="true" customHeight="false" outlineLevel="0" collapsed="false">
      <c r="A6852" s="34" t="n">
        <v>2539363000125</v>
      </c>
      <c r="B6852" s="34" t="s">
        <v>14874</v>
      </c>
      <c r="C6852" s="34" t="s">
        <v>77</v>
      </c>
      <c r="E6852" s="30" t="s">
        <v>14875</v>
      </c>
      <c r="F6852" s="34" t="n">
        <f aca="false">IFERROR(VLOOKUP($A6852,'319'!$B:$H,7,0),0)</f>
        <v>0</v>
      </c>
      <c r="G6852" s="34" t="n">
        <f aca="false">SUMIFS('12.326ana'!$C:$C,'12.326ana'!$M:$M,redes!A6852)</f>
        <v>0</v>
      </c>
    </row>
    <row r="6853" customFormat="false" ht="14.4" hidden="true" customHeight="false" outlineLevel="0" collapsed="false">
      <c r="A6853" s="34" t="n">
        <v>2539370000127</v>
      </c>
      <c r="B6853" s="34" t="s">
        <v>14876</v>
      </c>
      <c r="C6853" s="34" t="s">
        <v>351</v>
      </c>
      <c r="E6853" s="30" t="s">
        <v>14877</v>
      </c>
      <c r="F6853" s="34" t="n">
        <f aca="false">IFERROR(VLOOKUP($A6853,'319'!$B:$H,7,0),0)</f>
        <v>0</v>
      </c>
      <c r="G6853" s="34" t="n">
        <f aca="false">SUMIFS('12.326ana'!$C:$C,'12.326ana'!$M:$M,redes!A6853)</f>
        <v>0</v>
      </c>
    </row>
    <row r="6854" customFormat="false" ht="14.4" hidden="true" customHeight="false" outlineLevel="0" collapsed="false">
      <c r="A6854" s="34" t="n">
        <v>2542163000121</v>
      </c>
      <c r="B6854" s="34" t="s">
        <v>14878</v>
      </c>
      <c r="C6854" s="34" t="s">
        <v>77</v>
      </c>
      <c r="E6854" s="30" t="s">
        <v>14879</v>
      </c>
      <c r="F6854" s="34" t="n">
        <f aca="false">IFERROR(VLOOKUP($A6854,'319'!$B:$H,7,0),0)</f>
        <v>0</v>
      </c>
      <c r="G6854" s="34" t="n">
        <f aca="false">SUMIFS('12.326ana'!$C:$C,'12.326ana'!$M:$M,redes!A6854)</f>
        <v>0</v>
      </c>
    </row>
    <row r="6855" customFormat="false" ht="14.4" hidden="true" customHeight="false" outlineLevel="0" collapsed="false">
      <c r="A6855" s="34" t="n">
        <v>2544202000120</v>
      </c>
      <c r="B6855" s="34" t="s">
        <v>14880</v>
      </c>
      <c r="C6855" s="34" t="s">
        <v>3594</v>
      </c>
      <c r="E6855" s="30" t="s">
        <v>14881</v>
      </c>
      <c r="F6855" s="34" t="n">
        <f aca="false">IFERROR(VLOOKUP($A6855,'319'!$B:$H,7,0),0)</f>
        <v>0</v>
      </c>
      <c r="G6855" s="34" t="n">
        <f aca="false">SUMIFS('12.326ana'!$C:$C,'12.326ana'!$M:$M,redes!A6855)</f>
        <v>0</v>
      </c>
    </row>
    <row r="6856" customFormat="false" ht="14.4" hidden="true" customHeight="false" outlineLevel="0" collapsed="false">
      <c r="A6856" s="34" t="n">
        <v>2545928000187</v>
      </c>
      <c r="B6856" s="34" t="s">
        <v>14882</v>
      </c>
      <c r="C6856" s="34" t="s">
        <v>89</v>
      </c>
      <c r="E6856" s="30" t="s">
        <v>14883</v>
      </c>
      <c r="F6856" s="34" t="n">
        <f aca="false">IFERROR(VLOOKUP($A6856,'319'!$B:$H,7,0),0)</f>
        <v>0</v>
      </c>
      <c r="G6856" s="34" t="n">
        <f aca="false">SUMIFS('12.326ana'!$C:$C,'12.326ana'!$M:$M,redes!A6856)</f>
        <v>0</v>
      </c>
    </row>
    <row r="6857" customFormat="false" ht="14.4" hidden="true" customHeight="false" outlineLevel="0" collapsed="false">
      <c r="A6857" s="34" t="n">
        <v>2551024000164</v>
      </c>
      <c r="B6857" s="34" t="s">
        <v>14884</v>
      </c>
      <c r="C6857" s="34" t="s">
        <v>1591</v>
      </c>
      <c r="E6857" s="30" t="s">
        <v>14885</v>
      </c>
      <c r="F6857" s="34" t="n">
        <f aca="false">IFERROR(VLOOKUP($A6857,'319'!$B:$H,7,0),0)</f>
        <v>0</v>
      </c>
      <c r="G6857" s="34" t="n">
        <f aca="false">SUMIFS('12.326ana'!$C:$C,'12.326ana'!$M:$M,redes!A6857)</f>
        <v>0</v>
      </c>
    </row>
    <row r="6858" customFormat="false" ht="14.4" hidden="true" customHeight="false" outlineLevel="0" collapsed="false">
      <c r="A6858" s="34" t="n">
        <v>2551875000107</v>
      </c>
      <c r="B6858" s="34" t="s">
        <v>14886</v>
      </c>
      <c r="C6858" s="34" t="s">
        <v>328</v>
      </c>
      <c r="E6858" s="30" t="s">
        <v>5226</v>
      </c>
      <c r="F6858" s="34" t="n">
        <f aca="false">IFERROR(VLOOKUP($A6858,'319'!$B:$H,7,0),0)</f>
        <v>0</v>
      </c>
      <c r="G6858" s="34" t="n">
        <f aca="false">SUMIFS('12.326ana'!$C:$C,'12.326ana'!$M:$M,redes!A6858)</f>
        <v>0</v>
      </c>
    </row>
    <row r="6859" customFormat="false" ht="14.4" hidden="true" customHeight="false" outlineLevel="0" collapsed="false">
      <c r="A6859" s="34" t="n">
        <v>2553489000154</v>
      </c>
      <c r="B6859" s="34" t="s">
        <v>14887</v>
      </c>
      <c r="C6859" s="34" t="s">
        <v>1272</v>
      </c>
      <c r="E6859" s="30" t="s">
        <v>14888</v>
      </c>
      <c r="F6859" s="34" t="n">
        <f aca="false">IFERROR(VLOOKUP($A6859,'319'!$B:$H,7,0),0)</f>
        <v>0</v>
      </c>
      <c r="G6859" s="34" t="n">
        <f aca="false">SUMIFS('12.326ana'!$C:$C,'12.326ana'!$M:$M,redes!A6859)</f>
        <v>0</v>
      </c>
    </row>
    <row r="6860" customFormat="false" ht="14.4" hidden="true" customHeight="false" outlineLevel="0" collapsed="false">
      <c r="A6860" s="34" t="n">
        <v>2555150000197</v>
      </c>
      <c r="B6860" s="34" t="s">
        <v>14889</v>
      </c>
      <c r="C6860" s="34" t="s">
        <v>351</v>
      </c>
      <c r="E6860" s="30" t="s">
        <v>11517</v>
      </c>
      <c r="F6860" s="34" t="n">
        <f aca="false">IFERROR(VLOOKUP($A6860,'319'!$B:$H,7,0),0)</f>
        <v>0</v>
      </c>
      <c r="G6860" s="34" t="n">
        <f aca="false">SUMIFS('12.326ana'!$C:$C,'12.326ana'!$M:$M,redes!A6860)</f>
        <v>0</v>
      </c>
    </row>
    <row r="6861" customFormat="false" ht="14.4" hidden="true" customHeight="false" outlineLevel="0" collapsed="false">
      <c r="A6861" s="34" t="n">
        <v>2556521000155</v>
      </c>
      <c r="B6861" s="34" t="s">
        <v>14890</v>
      </c>
      <c r="C6861" s="34" t="s">
        <v>107</v>
      </c>
      <c r="E6861" s="30" t="s">
        <v>14891</v>
      </c>
      <c r="F6861" s="34" t="n">
        <f aca="false">IFERROR(VLOOKUP($A6861,'319'!$B:$H,7,0),0)</f>
        <v>0</v>
      </c>
      <c r="G6861" s="34" t="n">
        <f aca="false">SUMIFS('12.326ana'!$C:$C,'12.326ana'!$M:$M,redes!A6861)</f>
        <v>0</v>
      </c>
    </row>
    <row r="6862" customFormat="false" ht="14.4" hidden="true" customHeight="false" outlineLevel="0" collapsed="false">
      <c r="A6862" s="34" t="n">
        <v>2557392000110</v>
      </c>
      <c r="B6862" s="34" t="s">
        <v>14892</v>
      </c>
      <c r="C6862" s="34" t="s">
        <v>77</v>
      </c>
      <c r="E6862" s="30" t="s">
        <v>14893</v>
      </c>
      <c r="F6862" s="34" t="n">
        <f aca="false">IFERROR(VLOOKUP($A6862,'319'!$B:$H,7,0),0)</f>
        <v>0</v>
      </c>
      <c r="G6862" s="34" t="n">
        <f aca="false">SUMIFS('12.326ana'!$C:$C,'12.326ana'!$M:$M,redes!A6862)</f>
        <v>0</v>
      </c>
    </row>
    <row r="6863" customFormat="false" ht="14.4" hidden="true" customHeight="false" outlineLevel="0" collapsed="false">
      <c r="A6863" s="34" t="n">
        <v>2559650000105</v>
      </c>
      <c r="B6863" s="34" t="s">
        <v>14894</v>
      </c>
      <c r="C6863" s="34" t="s">
        <v>107</v>
      </c>
      <c r="E6863" s="30" t="s">
        <v>14895</v>
      </c>
      <c r="F6863" s="34" t="n">
        <f aca="false">IFERROR(VLOOKUP($A6863,'319'!$B:$H,7,0),0)</f>
        <v>0</v>
      </c>
      <c r="G6863" s="34" t="n">
        <f aca="false">SUMIFS('12.326ana'!$C:$C,'12.326ana'!$M:$M,redes!A6863)</f>
        <v>0</v>
      </c>
    </row>
    <row r="6864" customFormat="false" ht="14.4" hidden="true" customHeight="false" outlineLevel="0" collapsed="false">
      <c r="A6864" s="34" t="n">
        <v>2560327000143</v>
      </c>
      <c r="B6864" s="34" t="s">
        <v>14896</v>
      </c>
      <c r="C6864" s="34" t="s">
        <v>979</v>
      </c>
      <c r="E6864" s="30" t="s">
        <v>14897</v>
      </c>
      <c r="F6864" s="34" t="n">
        <f aca="false">IFERROR(VLOOKUP($A6864,'319'!$B:$H,7,0),0)</f>
        <v>0</v>
      </c>
      <c r="G6864" s="34" t="n">
        <f aca="false">SUMIFS('12.326ana'!$C:$C,'12.326ana'!$M:$M,redes!A6864)</f>
        <v>0</v>
      </c>
    </row>
    <row r="6865" customFormat="false" ht="14.4" hidden="true" customHeight="false" outlineLevel="0" collapsed="false">
      <c r="A6865" s="34" t="n">
        <v>2561254000104</v>
      </c>
      <c r="B6865" s="34" t="s">
        <v>6021</v>
      </c>
      <c r="C6865" s="34" t="s">
        <v>357</v>
      </c>
      <c r="E6865" s="30" t="s">
        <v>14898</v>
      </c>
      <c r="F6865" s="34" t="n">
        <f aca="false">IFERROR(VLOOKUP($A6865,'319'!$B:$H,7,0),0)</f>
        <v>0</v>
      </c>
      <c r="G6865" s="34" t="n">
        <f aca="false">SUMIFS('12.326ana'!$C:$C,'12.326ana'!$M:$M,redes!A6865)</f>
        <v>0</v>
      </c>
    </row>
    <row r="6866" customFormat="false" ht="14.4" hidden="true" customHeight="false" outlineLevel="0" collapsed="false">
      <c r="A6866" s="34" t="n">
        <v>2561727000173</v>
      </c>
      <c r="B6866" s="34" t="s">
        <v>14899</v>
      </c>
      <c r="C6866" s="34" t="s">
        <v>139</v>
      </c>
      <c r="E6866" s="30" t="s">
        <v>14900</v>
      </c>
      <c r="F6866" s="34" t="n">
        <f aca="false">IFERROR(VLOOKUP($A6866,'319'!$B:$H,7,0),0)</f>
        <v>0</v>
      </c>
      <c r="G6866" s="34" t="n">
        <f aca="false">SUMIFS('12.326ana'!$C:$C,'12.326ana'!$M:$M,redes!A6866)</f>
        <v>0</v>
      </c>
    </row>
    <row r="6867" customFormat="false" ht="14.4" hidden="true" customHeight="false" outlineLevel="0" collapsed="false">
      <c r="A6867" s="34" t="n">
        <v>2563560000180</v>
      </c>
      <c r="B6867" s="34" t="s">
        <v>14901</v>
      </c>
      <c r="C6867" s="34" t="s">
        <v>994</v>
      </c>
      <c r="E6867" s="30" t="s">
        <v>14902</v>
      </c>
      <c r="F6867" s="34" t="n">
        <f aca="false">IFERROR(VLOOKUP($A6867,'319'!$B:$H,7,0),0)</f>
        <v>0</v>
      </c>
      <c r="G6867" s="34" t="n">
        <f aca="false">SUMIFS('12.326ana'!$C:$C,'12.326ana'!$M:$M,redes!A6867)</f>
        <v>0</v>
      </c>
    </row>
    <row r="6868" customFormat="false" ht="14.4" hidden="true" customHeight="false" outlineLevel="0" collapsed="false">
      <c r="A6868" s="34" t="n">
        <v>2565437000106</v>
      </c>
      <c r="B6868" s="34" t="s">
        <v>14903</v>
      </c>
      <c r="C6868" s="34" t="s">
        <v>77</v>
      </c>
      <c r="E6868" s="30" t="s">
        <v>14904</v>
      </c>
      <c r="F6868" s="34" t="n">
        <f aca="false">IFERROR(VLOOKUP($A6868,'319'!$B:$H,7,0),0)</f>
        <v>0</v>
      </c>
      <c r="G6868" s="34" t="n">
        <f aca="false">SUMIFS('12.326ana'!$C:$C,'12.326ana'!$M:$M,redes!A6868)</f>
        <v>0</v>
      </c>
    </row>
    <row r="6869" customFormat="false" ht="14.4" hidden="true" customHeight="false" outlineLevel="0" collapsed="false">
      <c r="A6869" s="34" t="n">
        <v>2567590000164</v>
      </c>
      <c r="B6869" s="34" t="s">
        <v>14905</v>
      </c>
      <c r="C6869" s="34" t="s">
        <v>6278</v>
      </c>
      <c r="E6869" s="30" t="s">
        <v>14906</v>
      </c>
      <c r="F6869" s="34" t="n">
        <f aca="false">IFERROR(VLOOKUP($A6869,'319'!$B:$H,7,0),0)</f>
        <v>0</v>
      </c>
      <c r="G6869" s="34" t="n">
        <f aca="false">SUMIFS('12.326ana'!$C:$C,'12.326ana'!$M:$M,redes!A6869)</f>
        <v>0</v>
      </c>
    </row>
    <row r="6870" customFormat="false" ht="14.4" hidden="true" customHeight="false" outlineLevel="0" collapsed="false">
      <c r="A6870" s="34" t="n">
        <v>2568174000180</v>
      </c>
      <c r="B6870" s="34" t="s">
        <v>14907</v>
      </c>
      <c r="C6870" s="34" t="s">
        <v>107</v>
      </c>
      <c r="E6870" s="30" t="s">
        <v>4367</v>
      </c>
      <c r="F6870" s="34" t="n">
        <f aca="false">IFERROR(VLOOKUP($A6870,'319'!$B:$H,7,0),0)</f>
        <v>0</v>
      </c>
      <c r="G6870" s="34" t="n">
        <f aca="false">SUMIFS('12.326ana'!$C:$C,'12.326ana'!$M:$M,redes!A6870)</f>
        <v>0</v>
      </c>
    </row>
    <row r="6871" customFormat="false" ht="14.4" hidden="true" customHeight="false" outlineLevel="0" collapsed="false">
      <c r="A6871" s="34" t="n">
        <v>2568544000180</v>
      </c>
      <c r="B6871" s="34" t="s">
        <v>14908</v>
      </c>
      <c r="C6871" s="34" t="s">
        <v>336</v>
      </c>
      <c r="E6871" s="30" t="s">
        <v>14909</v>
      </c>
      <c r="F6871" s="34" t="n">
        <f aca="false">IFERROR(VLOOKUP($A6871,'319'!$B:$H,7,0),0)</f>
        <v>0</v>
      </c>
      <c r="G6871" s="34" t="n">
        <f aca="false">SUMIFS('12.326ana'!$C:$C,'12.326ana'!$M:$M,redes!A6871)</f>
        <v>0</v>
      </c>
    </row>
    <row r="6872" customFormat="false" ht="14.4" hidden="true" customHeight="false" outlineLevel="0" collapsed="false">
      <c r="A6872" s="34" t="n">
        <v>2568717000160</v>
      </c>
      <c r="B6872" s="34" t="s">
        <v>14910</v>
      </c>
      <c r="C6872" s="34" t="s">
        <v>139</v>
      </c>
      <c r="E6872" s="30" t="s">
        <v>14911</v>
      </c>
      <c r="F6872" s="34" t="n">
        <f aca="false">IFERROR(VLOOKUP($A6872,'319'!$B:$H,7,0),0)</f>
        <v>0</v>
      </c>
      <c r="G6872" s="34" t="n">
        <f aca="false">SUMIFS('12.326ana'!$C:$C,'12.326ana'!$M:$M,redes!A6872)</f>
        <v>0</v>
      </c>
    </row>
    <row r="6873" customFormat="false" ht="14.4" hidden="true" customHeight="false" outlineLevel="0" collapsed="false">
      <c r="A6873" s="34" t="n">
        <v>2570046000171</v>
      </c>
      <c r="B6873" s="34" t="s">
        <v>14912</v>
      </c>
      <c r="C6873" s="34" t="s">
        <v>631</v>
      </c>
      <c r="E6873" s="30" t="s">
        <v>14913</v>
      </c>
      <c r="F6873" s="34" t="n">
        <f aca="false">IFERROR(VLOOKUP($A6873,'319'!$B:$H,7,0),0)</f>
        <v>0</v>
      </c>
      <c r="G6873" s="34" t="n">
        <f aca="false">SUMIFS('12.326ana'!$C:$C,'12.326ana'!$M:$M,redes!A6873)</f>
        <v>0</v>
      </c>
    </row>
    <row r="6874" customFormat="false" ht="14.4" hidden="true" customHeight="false" outlineLevel="0" collapsed="false">
      <c r="A6874" s="34" t="n">
        <v>2570147000142</v>
      </c>
      <c r="B6874" s="34" t="s">
        <v>14914</v>
      </c>
      <c r="C6874" s="34" t="s">
        <v>77</v>
      </c>
      <c r="E6874" s="30" t="s">
        <v>14914</v>
      </c>
      <c r="F6874" s="34" t="n">
        <f aca="false">IFERROR(VLOOKUP($A6874,'319'!$B:$H,7,0),0)</f>
        <v>0</v>
      </c>
      <c r="G6874" s="34" t="n">
        <f aca="false">SUMIFS('12.326ana'!$C:$C,'12.326ana'!$M:$M,redes!A6874)</f>
        <v>0</v>
      </c>
    </row>
    <row r="6875" customFormat="false" ht="14.4" hidden="true" customHeight="false" outlineLevel="0" collapsed="false">
      <c r="A6875" s="34" t="n">
        <v>2578127000118</v>
      </c>
      <c r="B6875" s="34" t="s">
        <v>14915</v>
      </c>
      <c r="C6875" s="34" t="s">
        <v>475</v>
      </c>
      <c r="E6875" s="30" t="s">
        <v>4387</v>
      </c>
      <c r="F6875" s="34" t="n">
        <f aca="false">IFERROR(VLOOKUP($A6875,'319'!$B:$H,7,0),0)</f>
        <v>0</v>
      </c>
      <c r="G6875" s="34" t="n">
        <f aca="false">SUMIFS('12.326ana'!$C:$C,'12.326ana'!$M:$M,redes!A6875)</f>
        <v>0</v>
      </c>
    </row>
    <row r="6876" customFormat="false" ht="14.4" hidden="true" customHeight="false" outlineLevel="0" collapsed="false">
      <c r="A6876" s="34" t="n">
        <v>2579590000184</v>
      </c>
      <c r="B6876" s="34" t="s">
        <v>14916</v>
      </c>
      <c r="C6876" s="34" t="s">
        <v>154</v>
      </c>
      <c r="E6876" s="30" t="s">
        <v>14917</v>
      </c>
      <c r="F6876" s="34" t="n">
        <f aca="false">IFERROR(VLOOKUP($A6876,'319'!$B:$H,7,0),0)</f>
        <v>0</v>
      </c>
      <c r="G6876" s="34" t="n">
        <f aca="false">SUMIFS('12.326ana'!$C:$C,'12.326ana'!$M:$M,redes!A6876)</f>
        <v>0</v>
      </c>
    </row>
    <row r="6877" customFormat="false" ht="14.4" hidden="true" customHeight="false" outlineLevel="0" collapsed="false">
      <c r="A6877" s="34" t="n">
        <v>2580323000127</v>
      </c>
      <c r="B6877" s="34" t="s">
        <v>14918</v>
      </c>
      <c r="C6877" s="34" t="s">
        <v>328</v>
      </c>
      <c r="E6877" s="30" t="s">
        <v>14919</v>
      </c>
      <c r="F6877" s="34" t="n">
        <f aca="false">IFERROR(VLOOKUP($A6877,'319'!$B:$H,7,0),0)</f>
        <v>0</v>
      </c>
      <c r="G6877" s="34" t="n">
        <f aca="false">SUMIFS('12.326ana'!$C:$C,'12.326ana'!$M:$M,redes!A6877)</f>
        <v>0</v>
      </c>
    </row>
    <row r="6878" customFormat="false" ht="14.4" hidden="true" customHeight="false" outlineLevel="0" collapsed="false">
      <c r="A6878" s="34" t="n">
        <v>2580929000162</v>
      </c>
      <c r="B6878" s="34" t="s">
        <v>14920</v>
      </c>
      <c r="C6878" s="34" t="s">
        <v>464</v>
      </c>
      <c r="E6878" s="30" t="s">
        <v>14921</v>
      </c>
      <c r="F6878" s="34" t="n">
        <f aca="false">IFERROR(VLOOKUP($A6878,'319'!$B:$H,7,0),0)</f>
        <v>0</v>
      </c>
      <c r="G6878" s="34" t="n">
        <f aca="false">SUMIFS('12.326ana'!$C:$C,'12.326ana'!$M:$M,redes!A6878)</f>
        <v>0</v>
      </c>
    </row>
    <row r="6879" customFormat="false" ht="14.4" hidden="true" customHeight="false" outlineLevel="0" collapsed="false">
      <c r="A6879" s="34" t="n">
        <v>2582598000108</v>
      </c>
      <c r="B6879" s="34" t="s">
        <v>14922</v>
      </c>
      <c r="C6879" s="34" t="s">
        <v>213</v>
      </c>
      <c r="E6879" s="30" t="s">
        <v>14923</v>
      </c>
      <c r="F6879" s="34" t="n">
        <f aca="false">IFERROR(VLOOKUP($A6879,'319'!$B:$H,7,0),0)</f>
        <v>0</v>
      </c>
      <c r="G6879" s="34" t="n">
        <f aca="false">SUMIFS('12.326ana'!$C:$C,'12.326ana'!$M:$M,redes!A6879)</f>
        <v>0</v>
      </c>
    </row>
    <row r="6880" customFormat="false" ht="14.4" hidden="true" customHeight="false" outlineLevel="0" collapsed="false">
      <c r="A6880" s="34" t="n">
        <v>2582598000280</v>
      </c>
      <c r="B6880" s="34" t="s">
        <v>14922</v>
      </c>
      <c r="C6880" s="34" t="s">
        <v>213</v>
      </c>
      <c r="E6880" s="30" t="s">
        <v>14923</v>
      </c>
      <c r="F6880" s="34" t="n">
        <f aca="false">IFERROR(VLOOKUP($A6880,'319'!$B:$H,7,0),0)</f>
        <v>0</v>
      </c>
      <c r="G6880" s="34" t="n">
        <f aca="false">SUMIFS('12.326ana'!$C:$C,'12.326ana'!$M:$M,redes!A6880)</f>
        <v>0</v>
      </c>
    </row>
    <row r="6881" customFormat="false" ht="14.4" hidden="true" customHeight="false" outlineLevel="0" collapsed="false">
      <c r="A6881" s="34" t="n">
        <v>2586379000199</v>
      </c>
      <c r="B6881" s="34" t="s">
        <v>14924</v>
      </c>
      <c r="C6881" s="34" t="s">
        <v>1054</v>
      </c>
      <c r="E6881" s="30" t="s">
        <v>14925</v>
      </c>
      <c r="F6881" s="34" t="n">
        <f aca="false">IFERROR(VLOOKUP($A6881,'319'!$B:$H,7,0),0)</f>
        <v>0</v>
      </c>
      <c r="G6881" s="34" t="n">
        <f aca="false">SUMIFS('12.326ana'!$C:$C,'12.326ana'!$M:$M,redes!A6881)</f>
        <v>0</v>
      </c>
    </row>
    <row r="6882" customFormat="false" ht="14.4" hidden="true" customHeight="false" outlineLevel="0" collapsed="false">
      <c r="A6882" s="34" t="n">
        <v>2588052000156</v>
      </c>
      <c r="B6882" s="34" t="s">
        <v>14926</v>
      </c>
      <c r="C6882" s="34" t="s">
        <v>377</v>
      </c>
      <c r="E6882" s="30" t="s">
        <v>14927</v>
      </c>
      <c r="F6882" s="34" t="n">
        <f aca="false">IFERROR(VLOOKUP($A6882,'319'!$B:$H,7,0),0)</f>
        <v>0</v>
      </c>
      <c r="G6882" s="34" t="n">
        <f aca="false">SUMIFS('12.326ana'!$C:$C,'12.326ana'!$M:$M,redes!A6882)</f>
        <v>0</v>
      </c>
    </row>
    <row r="6883" customFormat="false" ht="14.4" hidden="true" customHeight="false" outlineLevel="0" collapsed="false">
      <c r="A6883" s="34" t="n">
        <v>2589623000177</v>
      </c>
      <c r="B6883" s="34" t="s">
        <v>14928</v>
      </c>
      <c r="C6883" s="34" t="s">
        <v>89</v>
      </c>
      <c r="E6883" s="30" t="s">
        <v>14929</v>
      </c>
      <c r="F6883" s="34" t="n">
        <f aca="false">IFERROR(VLOOKUP($A6883,'319'!$B:$H,7,0),0)</f>
        <v>0</v>
      </c>
      <c r="G6883" s="34" t="n">
        <f aca="false">SUMIFS('12.326ana'!$C:$C,'12.326ana'!$M:$M,redes!A6883)</f>
        <v>0</v>
      </c>
    </row>
    <row r="6884" customFormat="false" ht="14.4" hidden="true" customHeight="false" outlineLevel="0" collapsed="false">
      <c r="A6884" s="34" t="n">
        <v>2590069000148</v>
      </c>
      <c r="B6884" s="34" t="s">
        <v>14930</v>
      </c>
      <c r="C6884" s="34" t="s">
        <v>77</v>
      </c>
      <c r="E6884" s="30" t="s">
        <v>14931</v>
      </c>
      <c r="F6884" s="34" t="n">
        <f aca="false">IFERROR(VLOOKUP($A6884,'319'!$B:$H,7,0),0)</f>
        <v>0</v>
      </c>
      <c r="G6884" s="34" t="n">
        <f aca="false">SUMIFS('12.326ana'!$C:$C,'12.326ana'!$M:$M,redes!A6884)</f>
        <v>0</v>
      </c>
    </row>
    <row r="6885" customFormat="false" ht="14.4" hidden="true" customHeight="false" outlineLevel="0" collapsed="false">
      <c r="A6885" s="34" t="n">
        <v>2592872000111</v>
      </c>
      <c r="B6885" s="34" t="s">
        <v>14932</v>
      </c>
      <c r="C6885" s="34" t="s">
        <v>139</v>
      </c>
      <c r="E6885" s="30" t="s">
        <v>14933</v>
      </c>
      <c r="F6885" s="34" t="n">
        <f aca="false">IFERROR(VLOOKUP($A6885,'319'!$B:$H,7,0),0)</f>
        <v>0</v>
      </c>
      <c r="G6885" s="34" t="n">
        <f aca="false">SUMIFS('12.326ana'!$C:$C,'12.326ana'!$M:$M,redes!A6885)</f>
        <v>0</v>
      </c>
    </row>
    <row r="6886" customFormat="false" ht="14.4" hidden="true" customHeight="false" outlineLevel="0" collapsed="false">
      <c r="A6886" s="34" t="n">
        <v>2593121000110</v>
      </c>
      <c r="B6886" s="34" t="s">
        <v>14934</v>
      </c>
      <c r="C6886" s="34" t="s">
        <v>377</v>
      </c>
      <c r="E6886" s="30" t="s">
        <v>5019</v>
      </c>
      <c r="F6886" s="34" t="n">
        <f aca="false">IFERROR(VLOOKUP($A6886,'319'!$B:$H,7,0),0)</f>
        <v>0</v>
      </c>
      <c r="G6886" s="34" t="n">
        <f aca="false">SUMIFS('12.326ana'!$C:$C,'12.326ana'!$M:$M,redes!A6886)</f>
        <v>0</v>
      </c>
    </row>
    <row r="6887" customFormat="false" ht="14.4" hidden="true" customHeight="false" outlineLevel="0" collapsed="false">
      <c r="A6887" s="34" t="n">
        <v>2598987000113</v>
      </c>
      <c r="B6887" s="34" t="s">
        <v>14935</v>
      </c>
      <c r="C6887" s="34" t="s">
        <v>2998</v>
      </c>
      <c r="E6887" s="30" t="s">
        <v>14936</v>
      </c>
      <c r="F6887" s="34" t="n">
        <f aca="false">IFERROR(VLOOKUP($A6887,'319'!$B:$H,7,0),0)</f>
        <v>0</v>
      </c>
      <c r="G6887" s="34" t="n">
        <f aca="false">SUMIFS('12.326ana'!$C:$C,'12.326ana'!$M:$M,redes!A6887)</f>
        <v>0</v>
      </c>
    </row>
    <row r="6888" customFormat="false" ht="14.4" hidden="true" customHeight="false" outlineLevel="0" collapsed="false">
      <c r="A6888" s="34" t="n">
        <v>2600274000147</v>
      </c>
      <c r="B6888" s="34" t="s">
        <v>14937</v>
      </c>
      <c r="C6888" s="34" t="s">
        <v>207</v>
      </c>
      <c r="E6888" s="30" t="s">
        <v>14938</v>
      </c>
      <c r="F6888" s="34" t="n">
        <f aca="false">IFERROR(VLOOKUP($A6888,'319'!$B:$H,7,0),0)</f>
        <v>0</v>
      </c>
      <c r="G6888" s="34" t="n">
        <f aca="false">SUMIFS('12.326ana'!$C:$C,'12.326ana'!$M:$M,redes!A6888)</f>
        <v>0</v>
      </c>
    </row>
    <row r="6889" customFormat="false" ht="14.4" hidden="true" customHeight="false" outlineLevel="0" collapsed="false">
      <c r="A6889" s="34" t="n">
        <v>2600454000129</v>
      </c>
      <c r="B6889" s="34" t="s">
        <v>14939</v>
      </c>
      <c r="C6889" s="34" t="s">
        <v>464</v>
      </c>
      <c r="E6889" s="30" t="s">
        <v>14940</v>
      </c>
      <c r="F6889" s="34" t="n">
        <f aca="false">IFERROR(VLOOKUP($A6889,'319'!$B:$H,7,0),0)</f>
        <v>0</v>
      </c>
      <c r="G6889" s="34" t="n">
        <f aca="false">SUMIFS('12.326ana'!$C:$C,'12.326ana'!$M:$M,redes!A6889)</f>
        <v>0</v>
      </c>
    </row>
    <row r="6890" customFormat="false" ht="14.4" hidden="true" customHeight="false" outlineLevel="0" collapsed="false">
      <c r="A6890" s="34" t="n">
        <v>2602229000121</v>
      </c>
      <c r="B6890" s="34" t="s">
        <v>14941</v>
      </c>
      <c r="C6890" s="34" t="s">
        <v>1272</v>
      </c>
      <c r="E6890" s="30" t="s">
        <v>14942</v>
      </c>
      <c r="F6890" s="34" t="n">
        <f aca="false">IFERROR(VLOOKUP($A6890,'319'!$B:$H,7,0),0)</f>
        <v>0</v>
      </c>
      <c r="G6890" s="34" t="n">
        <f aca="false">SUMIFS('12.326ana'!$C:$C,'12.326ana'!$M:$M,redes!A6890)</f>
        <v>0</v>
      </c>
    </row>
    <row r="6891" customFormat="false" ht="14.4" hidden="true" customHeight="false" outlineLevel="0" collapsed="false">
      <c r="A6891" s="34" t="n">
        <v>2602428000130</v>
      </c>
      <c r="B6891" s="34" t="s">
        <v>14943</v>
      </c>
      <c r="C6891" s="34" t="s">
        <v>781</v>
      </c>
      <c r="E6891" s="30" t="s">
        <v>8059</v>
      </c>
      <c r="F6891" s="34" t="n">
        <f aca="false">IFERROR(VLOOKUP($A6891,'319'!$B:$H,7,0),0)</f>
        <v>0</v>
      </c>
      <c r="G6891" s="34" t="n">
        <f aca="false">SUMIFS('12.326ana'!$C:$C,'12.326ana'!$M:$M,redes!A6891)</f>
        <v>0</v>
      </c>
    </row>
    <row r="6892" customFormat="false" ht="14.4" hidden="true" customHeight="false" outlineLevel="0" collapsed="false">
      <c r="A6892" s="34" t="n">
        <v>2602430000109</v>
      </c>
      <c r="B6892" s="34" t="s">
        <v>14944</v>
      </c>
      <c r="C6892" s="34" t="s">
        <v>781</v>
      </c>
      <c r="E6892" s="30" t="s">
        <v>14945</v>
      </c>
      <c r="F6892" s="34" t="n">
        <f aca="false">IFERROR(VLOOKUP($A6892,'319'!$B:$H,7,0),0)</f>
        <v>0</v>
      </c>
      <c r="G6892" s="34" t="n">
        <f aca="false">SUMIFS('12.326ana'!$C:$C,'12.326ana'!$M:$M,redes!A6892)</f>
        <v>0</v>
      </c>
    </row>
    <row r="6893" customFormat="false" ht="14.4" hidden="true" customHeight="false" outlineLevel="0" collapsed="false">
      <c r="A6893" s="34" t="n">
        <v>2606538000170</v>
      </c>
      <c r="B6893" s="34" t="s">
        <v>14946</v>
      </c>
      <c r="C6893" s="34" t="s">
        <v>103</v>
      </c>
      <c r="E6893" s="30" t="s">
        <v>14947</v>
      </c>
      <c r="F6893" s="34" t="n">
        <f aca="false">IFERROR(VLOOKUP($A6893,'319'!$B:$H,7,0),0)</f>
        <v>0</v>
      </c>
      <c r="G6893" s="34" t="n">
        <f aca="false">SUMIFS('12.326ana'!$C:$C,'12.326ana'!$M:$M,redes!A6893)</f>
        <v>0</v>
      </c>
    </row>
    <row r="6894" customFormat="false" ht="14.4" hidden="true" customHeight="false" outlineLevel="0" collapsed="false">
      <c r="A6894" s="34" t="n">
        <v>2606998000106</v>
      </c>
      <c r="B6894" s="34" t="s">
        <v>14948</v>
      </c>
      <c r="C6894" s="34" t="s">
        <v>342</v>
      </c>
      <c r="E6894" s="30" t="s">
        <v>14949</v>
      </c>
      <c r="F6894" s="34" t="n">
        <f aca="false">IFERROR(VLOOKUP($A6894,'319'!$B:$H,7,0),0)</f>
        <v>0</v>
      </c>
      <c r="G6894" s="34" t="n">
        <f aca="false">SUMIFS('12.326ana'!$C:$C,'12.326ana'!$M:$M,redes!A6894)</f>
        <v>0</v>
      </c>
    </row>
    <row r="6895" customFormat="false" ht="14.4" hidden="true" customHeight="false" outlineLevel="0" collapsed="false">
      <c r="A6895" s="34" t="n">
        <v>2608429000191</v>
      </c>
      <c r="B6895" s="34" t="s">
        <v>14950</v>
      </c>
      <c r="C6895" s="34" t="s">
        <v>463</v>
      </c>
      <c r="E6895" s="30" t="s">
        <v>11115</v>
      </c>
      <c r="F6895" s="34" t="n">
        <f aca="false">IFERROR(VLOOKUP($A6895,'319'!$B:$H,7,0),0)</f>
        <v>0</v>
      </c>
      <c r="G6895" s="34" t="n">
        <f aca="false">SUMIFS('12.326ana'!$C:$C,'12.326ana'!$M:$M,redes!A6895)</f>
        <v>0</v>
      </c>
    </row>
    <row r="6896" customFormat="false" ht="14.4" hidden="true" customHeight="false" outlineLevel="0" collapsed="false">
      <c r="A6896" s="34" t="n">
        <v>2608642000101</v>
      </c>
      <c r="B6896" s="34" t="s">
        <v>14951</v>
      </c>
      <c r="C6896" s="34" t="s">
        <v>565</v>
      </c>
      <c r="E6896" s="30" t="s">
        <v>14952</v>
      </c>
      <c r="F6896" s="34" t="n">
        <f aca="false">IFERROR(VLOOKUP($A6896,'319'!$B:$H,7,0),0)</f>
        <v>0</v>
      </c>
      <c r="G6896" s="34" t="n">
        <f aca="false">SUMIFS('12.326ana'!$C:$C,'12.326ana'!$M:$M,redes!A6896)</f>
        <v>0</v>
      </c>
    </row>
    <row r="6897" customFormat="false" ht="14.4" hidden="true" customHeight="false" outlineLevel="0" collapsed="false">
      <c r="A6897" s="34" t="n">
        <v>2609251000101</v>
      </c>
      <c r="B6897" s="34" t="s">
        <v>14953</v>
      </c>
      <c r="C6897" s="34" t="s">
        <v>804</v>
      </c>
      <c r="E6897" s="30" t="s">
        <v>14954</v>
      </c>
      <c r="F6897" s="34" t="n">
        <f aca="false">IFERROR(VLOOKUP($A6897,'319'!$B:$H,7,0),0)</f>
        <v>0</v>
      </c>
      <c r="G6897" s="34" t="n">
        <f aca="false">SUMIFS('12.326ana'!$C:$C,'12.326ana'!$M:$M,redes!A6897)</f>
        <v>0</v>
      </c>
    </row>
    <row r="6898" customFormat="false" ht="14.4" hidden="true" customHeight="false" outlineLevel="0" collapsed="false">
      <c r="A6898" s="34" t="n">
        <v>2610462000156</v>
      </c>
      <c r="B6898" s="34" t="s">
        <v>14955</v>
      </c>
      <c r="C6898" s="34" t="s">
        <v>139</v>
      </c>
      <c r="E6898" s="30" t="s">
        <v>14956</v>
      </c>
      <c r="F6898" s="34" t="n">
        <f aca="false">IFERROR(VLOOKUP($A6898,'319'!$B:$H,7,0),0)</f>
        <v>0</v>
      </c>
      <c r="G6898" s="34" t="n">
        <f aca="false">SUMIFS('12.326ana'!$C:$C,'12.326ana'!$M:$M,redes!A6898)</f>
        <v>0</v>
      </c>
    </row>
    <row r="6899" customFormat="false" ht="14.4" hidden="true" customHeight="false" outlineLevel="0" collapsed="false">
      <c r="A6899" s="34" t="n">
        <v>2610755000133</v>
      </c>
      <c r="B6899" s="34" t="s">
        <v>14957</v>
      </c>
      <c r="C6899" s="34" t="s">
        <v>594</v>
      </c>
      <c r="E6899" s="30" t="s">
        <v>5070</v>
      </c>
      <c r="F6899" s="34" t="n">
        <f aca="false">IFERROR(VLOOKUP($A6899,'319'!$B:$H,7,0),0)</f>
        <v>0</v>
      </c>
      <c r="G6899" s="34" t="n">
        <f aca="false">SUMIFS('12.326ana'!$C:$C,'12.326ana'!$M:$M,redes!A6899)</f>
        <v>0</v>
      </c>
    </row>
    <row r="6900" customFormat="false" ht="14.4" hidden="true" customHeight="false" outlineLevel="0" collapsed="false">
      <c r="A6900" s="34" t="n">
        <v>2612773000154</v>
      </c>
      <c r="B6900" s="34" t="s">
        <v>14958</v>
      </c>
      <c r="C6900" s="34" t="s">
        <v>197</v>
      </c>
      <c r="E6900" s="30" t="s">
        <v>14959</v>
      </c>
      <c r="F6900" s="34" t="n">
        <f aca="false">IFERROR(VLOOKUP($A6900,'319'!$B:$H,7,0),0)</f>
        <v>0</v>
      </c>
      <c r="G6900" s="34" t="n">
        <f aca="false">SUMIFS('12.326ana'!$C:$C,'12.326ana'!$M:$M,redes!A6900)</f>
        <v>0</v>
      </c>
    </row>
    <row r="6901" customFormat="false" ht="14.4" hidden="true" customHeight="false" outlineLevel="0" collapsed="false">
      <c r="A6901" s="34" t="n">
        <v>2612774000107</v>
      </c>
      <c r="B6901" s="34" t="s">
        <v>14960</v>
      </c>
      <c r="C6901" s="34" t="s">
        <v>207</v>
      </c>
      <c r="E6901" s="30" t="s">
        <v>14961</v>
      </c>
      <c r="F6901" s="34" t="n">
        <f aca="false">IFERROR(VLOOKUP($A6901,'319'!$B:$H,7,0),0)</f>
        <v>0</v>
      </c>
      <c r="G6901" s="34" t="n">
        <f aca="false">SUMIFS('12.326ana'!$C:$C,'12.326ana'!$M:$M,redes!A6901)</f>
        <v>0</v>
      </c>
    </row>
    <row r="6902" customFormat="false" ht="14.4" hidden="true" customHeight="false" outlineLevel="0" collapsed="false">
      <c r="A6902" s="34" t="n">
        <v>2614256000114</v>
      </c>
      <c r="B6902" s="34" t="s">
        <v>14962</v>
      </c>
      <c r="C6902" s="34" t="s">
        <v>154</v>
      </c>
      <c r="E6902" s="30" t="s">
        <v>14963</v>
      </c>
      <c r="F6902" s="34" t="n">
        <f aca="false">IFERROR(VLOOKUP($A6902,'319'!$B:$H,7,0),0)</f>
        <v>0</v>
      </c>
      <c r="G6902" s="34" t="n">
        <f aca="false">SUMIFS('12.326ana'!$C:$C,'12.326ana'!$M:$M,redes!A6902)</f>
        <v>0</v>
      </c>
    </row>
    <row r="6903" customFormat="false" ht="14.4" hidden="true" customHeight="false" outlineLevel="0" collapsed="false">
      <c r="A6903" s="34" t="n">
        <v>2619554000105</v>
      </c>
      <c r="B6903" s="34" t="s">
        <v>14964</v>
      </c>
      <c r="C6903" s="34" t="s">
        <v>781</v>
      </c>
      <c r="E6903" s="30" t="s">
        <v>14965</v>
      </c>
      <c r="F6903" s="34" t="n">
        <f aca="false">IFERROR(VLOOKUP($A6903,'319'!$B:$H,7,0),0)</f>
        <v>0</v>
      </c>
      <c r="G6903" s="34" t="n">
        <f aca="false">SUMIFS('12.326ana'!$C:$C,'12.326ana'!$M:$M,redes!A6903)</f>
        <v>0</v>
      </c>
    </row>
    <row r="6904" customFormat="false" ht="14.4" hidden="true" customHeight="false" outlineLevel="0" collapsed="false">
      <c r="A6904" s="34" t="n">
        <v>2623805000117</v>
      </c>
      <c r="B6904" s="34" t="s">
        <v>14966</v>
      </c>
      <c r="C6904" s="34" t="s">
        <v>107</v>
      </c>
      <c r="E6904" s="30" t="s">
        <v>5558</v>
      </c>
      <c r="F6904" s="34" t="n">
        <f aca="false">IFERROR(VLOOKUP($A6904,'319'!$B:$H,7,0),0)</f>
        <v>0</v>
      </c>
      <c r="G6904" s="34" t="n">
        <f aca="false">SUMIFS('12.326ana'!$C:$C,'12.326ana'!$M:$M,redes!A6904)</f>
        <v>0</v>
      </c>
    </row>
    <row r="6905" customFormat="false" ht="14.4" hidden="true" customHeight="false" outlineLevel="0" collapsed="false">
      <c r="A6905" s="34" t="n">
        <v>2629027000173</v>
      </c>
      <c r="B6905" s="34" t="s">
        <v>14967</v>
      </c>
      <c r="C6905" s="34" t="s">
        <v>77</v>
      </c>
      <c r="E6905" s="30" t="s">
        <v>14968</v>
      </c>
      <c r="F6905" s="34" t="n">
        <f aca="false">IFERROR(VLOOKUP($A6905,'319'!$B:$H,7,0),0)</f>
        <v>0</v>
      </c>
      <c r="G6905" s="34" t="n">
        <f aca="false">SUMIFS('12.326ana'!$C:$C,'12.326ana'!$M:$M,redes!A6905)</f>
        <v>0</v>
      </c>
    </row>
    <row r="6906" customFormat="false" ht="14.4" hidden="true" customHeight="false" outlineLevel="0" collapsed="false">
      <c r="A6906" s="34" t="n">
        <v>2630308000146</v>
      </c>
      <c r="B6906" s="34" t="s">
        <v>14969</v>
      </c>
      <c r="C6906" s="34" t="s">
        <v>4139</v>
      </c>
      <c r="E6906" s="30" t="s">
        <v>14970</v>
      </c>
      <c r="F6906" s="34" t="n">
        <f aca="false">IFERROR(VLOOKUP($A6906,'319'!$B:$H,7,0),0)</f>
        <v>0</v>
      </c>
      <c r="G6906" s="34" t="n">
        <f aca="false">SUMIFS('12.326ana'!$C:$C,'12.326ana'!$M:$M,redes!A6906)</f>
        <v>0</v>
      </c>
    </row>
    <row r="6907" customFormat="false" ht="14.4" hidden="true" customHeight="false" outlineLevel="0" collapsed="false">
      <c r="A6907" s="34" t="n">
        <v>2630766000185</v>
      </c>
      <c r="B6907" s="34" t="s">
        <v>14971</v>
      </c>
      <c r="C6907" s="34" t="s">
        <v>89</v>
      </c>
      <c r="E6907" s="30" t="s">
        <v>14972</v>
      </c>
      <c r="F6907" s="34" t="n">
        <f aca="false">IFERROR(VLOOKUP($A6907,'319'!$B:$H,7,0),0)</f>
        <v>0</v>
      </c>
      <c r="G6907" s="34" t="n">
        <f aca="false">SUMIFS('12.326ana'!$C:$C,'12.326ana'!$M:$M,redes!A6907)</f>
        <v>0</v>
      </c>
    </row>
    <row r="6908" customFormat="false" ht="14.4" hidden="true" customHeight="false" outlineLevel="0" collapsed="false">
      <c r="A6908" s="34" t="n">
        <v>2631164000142</v>
      </c>
      <c r="B6908" s="34" t="s">
        <v>14973</v>
      </c>
      <c r="C6908" s="34" t="s">
        <v>77</v>
      </c>
      <c r="E6908" s="30" t="s">
        <v>14974</v>
      </c>
      <c r="F6908" s="34" t="n">
        <f aca="false">IFERROR(VLOOKUP($A6908,'319'!$B:$H,7,0),0)</f>
        <v>0</v>
      </c>
      <c r="G6908" s="34" t="n">
        <f aca="false">SUMIFS('12.326ana'!$C:$C,'12.326ana'!$M:$M,redes!A6908)</f>
        <v>0</v>
      </c>
    </row>
    <row r="6909" customFormat="false" ht="14.4" hidden="true" customHeight="false" outlineLevel="0" collapsed="false">
      <c r="A6909" s="34" t="n">
        <v>2632454000100</v>
      </c>
      <c r="B6909" s="34" t="s">
        <v>14975</v>
      </c>
      <c r="C6909" s="34" t="s">
        <v>103</v>
      </c>
      <c r="E6909" s="30"/>
      <c r="F6909" s="34" t="n">
        <f aca="false">IFERROR(VLOOKUP($A6909,'319'!$B:$H,7,0),0)</f>
        <v>0</v>
      </c>
      <c r="G6909" s="34" t="n">
        <f aca="false">SUMIFS('12.326ana'!$C:$C,'12.326ana'!$M:$M,redes!A6909)</f>
        <v>0</v>
      </c>
    </row>
    <row r="6910" customFormat="false" ht="14.4" hidden="true" customHeight="false" outlineLevel="0" collapsed="false">
      <c r="A6910" s="34" t="n">
        <v>2632844000180</v>
      </c>
      <c r="B6910" s="34" t="s">
        <v>14976</v>
      </c>
      <c r="C6910" s="34" t="s">
        <v>107</v>
      </c>
      <c r="D6910" s="34" t="s">
        <v>4797</v>
      </c>
      <c r="E6910" s="30" t="s">
        <v>14977</v>
      </c>
      <c r="F6910" s="34" t="n">
        <f aca="false">IFERROR(VLOOKUP($A6910,'319'!$B:$H,7,0),0)</f>
        <v>0</v>
      </c>
      <c r="G6910" s="34" t="n">
        <f aca="false">SUMIFS('12.326ana'!$C:$C,'12.326ana'!$M:$M,redes!A6910)</f>
        <v>0</v>
      </c>
    </row>
    <row r="6911" customFormat="false" ht="14.4" hidden="true" customHeight="false" outlineLevel="0" collapsed="false">
      <c r="A6911" s="34" t="n">
        <v>2633429000141</v>
      </c>
      <c r="B6911" s="34" t="s">
        <v>14978</v>
      </c>
      <c r="C6911" s="34" t="s">
        <v>107</v>
      </c>
      <c r="E6911" s="30" t="s">
        <v>10412</v>
      </c>
      <c r="F6911" s="34" t="n">
        <f aca="false">IFERROR(VLOOKUP($A6911,'319'!$B:$H,7,0),0)</f>
        <v>0</v>
      </c>
      <c r="G6911" s="34" t="n">
        <f aca="false">SUMIFS('12.326ana'!$C:$C,'12.326ana'!$M:$M,redes!A6911)</f>
        <v>0</v>
      </c>
    </row>
    <row r="6912" customFormat="false" ht="14.4" hidden="true" customHeight="false" outlineLevel="0" collapsed="false">
      <c r="A6912" s="34" t="n">
        <v>2636018000100</v>
      </c>
      <c r="B6912" s="34" t="s">
        <v>14979</v>
      </c>
      <c r="C6912" s="34" t="s">
        <v>342</v>
      </c>
      <c r="E6912" s="30" t="s">
        <v>14980</v>
      </c>
      <c r="F6912" s="34" t="n">
        <f aca="false">IFERROR(VLOOKUP($A6912,'319'!$B:$H,7,0),0)</f>
        <v>0</v>
      </c>
      <c r="G6912" s="34" t="n">
        <f aca="false">SUMIFS('12.326ana'!$C:$C,'12.326ana'!$M:$M,redes!A6912)</f>
        <v>0</v>
      </c>
    </row>
    <row r="6913" customFormat="false" ht="14.4" hidden="true" customHeight="false" outlineLevel="0" collapsed="false">
      <c r="A6913" s="34" t="n">
        <v>2636855000139</v>
      </c>
      <c r="B6913" s="34" t="s">
        <v>14981</v>
      </c>
      <c r="C6913" s="34" t="s">
        <v>89</v>
      </c>
      <c r="E6913" s="30" t="s">
        <v>14982</v>
      </c>
      <c r="F6913" s="34" t="n">
        <f aca="false">IFERROR(VLOOKUP($A6913,'319'!$B:$H,7,0),0)</f>
        <v>0</v>
      </c>
      <c r="G6913" s="34" t="n">
        <f aca="false">SUMIFS('12.326ana'!$C:$C,'12.326ana'!$M:$M,redes!A6913)</f>
        <v>0</v>
      </c>
    </row>
    <row r="6914" customFormat="false" ht="14.4" hidden="true" customHeight="false" outlineLevel="0" collapsed="false">
      <c r="A6914" s="34" t="n">
        <v>2638490000181</v>
      </c>
      <c r="B6914" s="34" t="s">
        <v>14983</v>
      </c>
      <c r="C6914" s="34" t="s">
        <v>77</v>
      </c>
      <c r="E6914" s="30" t="s">
        <v>8500</v>
      </c>
      <c r="F6914" s="34" t="n">
        <f aca="false">IFERROR(VLOOKUP($A6914,'319'!$B:$H,7,0),0)</f>
        <v>0</v>
      </c>
      <c r="G6914" s="34" t="n">
        <f aca="false">SUMIFS('12.326ana'!$C:$C,'12.326ana'!$M:$M,redes!A6914)</f>
        <v>0</v>
      </c>
    </row>
    <row r="6915" customFormat="false" ht="14.4" hidden="true" customHeight="false" outlineLevel="0" collapsed="false">
      <c r="A6915" s="34" t="n">
        <v>2639285000130</v>
      </c>
      <c r="B6915" s="34" t="s">
        <v>14984</v>
      </c>
      <c r="C6915" s="34" t="s">
        <v>77</v>
      </c>
      <c r="E6915" s="30" t="s">
        <v>14985</v>
      </c>
      <c r="F6915" s="34" t="n">
        <f aca="false">IFERROR(VLOOKUP($A6915,'319'!$B:$H,7,0),0)</f>
        <v>0</v>
      </c>
      <c r="G6915" s="34" t="n">
        <f aca="false">SUMIFS('12.326ana'!$C:$C,'12.326ana'!$M:$M,redes!A6915)</f>
        <v>0</v>
      </c>
    </row>
    <row r="6916" customFormat="false" ht="14.4" hidden="true" customHeight="false" outlineLevel="0" collapsed="false">
      <c r="A6916" s="34" t="n">
        <v>2642950000145</v>
      </c>
      <c r="B6916" s="34" t="s">
        <v>14986</v>
      </c>
      <c r="C6916" s="34" t="s">
        <v>77</v>
      </c>
      <c r="E6916" s="30" t="s">
        <v>14987</v>
      </c>
      <c r="F6916" s="34" t="n">
        <f aca="false">IFERROR(VLOOKUP($A6916,'319'!$B:$H,7,0),0)</f>
        <v>0</v>
      </c>
      <c r="G6916" s="34" t="n">
        <f aca="false">SUMIFS('12.326ana'!$C:$C,'12.326ana'!$M:$M,redes!A6916)</f>
        <v>0</v>
      </c>
    </row>
    <row r="6917" customFormat="false" ht="14.4" hidden="true" customHeight="false" outlineLevel="0" collapsed="false">
      <c r="A6917" s="34" t="n">
        <v>2643912000107</v>
      </c>
      <c r="B6917" s="34" t="s">
        <v>14988</v>
      </c>
      <c r="C6917" s="34" t="s">
        <v>464</v>
      </c>
      <c r="E6917" s="30" t="s">
        <v>14989</v>
      </c>
      <c r="F6917" s="34" t="n">
        <f aca="false">IFERROR(VLOOKUP($A6917,'319'!$B:$H,7,0),0)</f>
        <v>0</v>
      </c>
      <c r="G6917" s="34" t="n">
        <f aca="false">SUMIFS('12.326ana'!$C:$C,'12.326ana'!$M:$M,redes!A6917)</f>
        <v>0</v>
      </c>
    </row>
    <row r="6918" customFormat="false" ht="14.4" hidden="true" customHeight="false" outlineLevel="0" collapsed="false">
      <c r="A6918" s="34" t="n">
        <v>2644660000130</v>
      </c>
      <c r="B6918" s="34" t="s">
        <v>14990</v>
      </c>
      <c r="C6918" s="34" t="s">
        <v>107</v>
      </c>
      <c r="E6918" s="30" t="s">
        <v>14991</v>
      </c>
      <c r="F6918" s="34" t="n">
        <f aca="false">IFERROR(VLOOKUP($A6918,'319'!$B:$H,7,0),0)</f>
        <v>0</v>
      </c>
      <c r="G6918" s="34" t="n">
        <f aca="false">SUMIFS('12.326ana'!$C:$C,'12.326ana'!$M:$M,redes!A6918)</f>
        <v>0</v>
      </c>
    </row>
    <row r="6919" customFormat="false" ht="14.4" hidden="true" customHeight="false" outlineLevel="0" collapsed="false">
      <c r="A6919" s="34" t="n">
        <v>2645179000160</v>
      </c>
      <c r="B6919" s="34" t="s">
        <v>14992</v>
      </c>
      <c r="C6919" s="34" t="s">
        <v>1591</v>
      </c>
      <c r="E6919" s="30" t="s">
        <v>14993</v>
      </c>
      <c r="F6919" s="34" t="n">
        <f aca="false">IFERROR(VLOOKUP($A6919,'319'!$B:$H,7,0),0)</f>
        <v>0</v>
      </c>
      <c r="G6919" s="34" t="n">
        <f aca="false">SUMIFS('12.326ana'!$C:$C,'12.326ana'!$M:$M,redes!A6919)</f>
        <v>0</v>
      </c>
    </row>
    <row r="6920" customFormat="false" ht="14.4" hidden="true" customHeight="false" outlineLevel="0" collapsed="false">
      <c r="A6920" s="34" t="n">
        <v>2645978000136</v>
      </c>
      <c r="B6920" s="34" t="s">
        <v>14994</v>
      </c>
      <c r="C6920" s="34" t="s">
        <v>103</v>
      </c>
      <c r="E6920" s="30" t="s">
        <v>14995</v>
      </c>
      <c r="F6920" s="34" t="n">
        <f aca="false">IFERROR(VLOOKUP($A6920,'319'!$B:$H,7,0),0)</f>
        <v>0</v>
      </c>
      <c r="G6920" s="34" t="n">
        <f aca="false">SUMIFS('12.326ana'!$C:$C,'12.326ana'!$M:$M,redes!A6920)</f>
        <v>0</v>
      </c>
    </row>
    <row r="6921" customFormat="false" ht="14.4" hidden="true" customHeight="false" outlineLevel="0" collapsed="false">
      <c r="A6921" s="34" t="n">
        <v>2646896000106</v>
      </c>
      <c r="B6921" s="34" t="s">
        <v>14996</v>
      </c>
      <c r="C6921" s="34" t="s">
        <v>848</v>
      </c>
      <c r="E6921" s="30" t="s">
        <v>14997</v>
      </c>
      <c r="F6921" s="34" t="n">
        <f aca="false">IFERROR(VLOOKUP($A6921,'319'!$B:$H,7,0),0)</f>
        <v>0</v>
      </c>
      <c r="G6921" s="34" t="n">
        <f aca="false">SUMIFS('12.326ana'!$C:$C,'12.326ana'!$M:$M,redes!A6921)</f>
        <v>0</v>
      </c>
    </row>
    <row r="6922" customFormat="false" ht="14.4" hidden="true" customHeight="false" outlineLevel="0" collapsed="false">
      <c r="A6922" s="35" t="n">
        <v>2647341000189</v>
      </c>
      <c r="B6922" s="34" t="s">
        <v>14998</v>
      </c>
      <c r="C6922" s="34" t="s">
        <v>357</v>
      </c>
      <c r="E6922" s="30" t="s">
        <v>14999</v>
      </c>
      <c r="F6922" s="34" t="n">
        <f aca="false">IFERROR(VLOOKUP($A6922,'319'!$B:$H,7,0),0)</f>
        <v>0</v>
      </c>
      <c r="G6922" s="34" t="n">
        <f aca="false">SUMIFS('12.326ana'!$C:$C,'12.326ana'!$M:$M,redes!A6922)</f>
        <v>0</v>
      </c>
    </row>
    <row r="6923" customFormat="false" ht="14.4" hidden="true" customHeight="false" outlineLevel="0" collapsed="false">
      <c r="A6923" s="34" t="n">
        <v>2647342000123</v>
      </c>
      <c r="B6923" s="34" t="s">
        <v>15000</v>
      </c>
      <c r="C6923" s="34" t="s">
        <v>1680</v>
      </c>
      <c r="E6923" s="30" t="s">
        <v>15001</v>
      </c>
      <c r="F6923" s="34" t="n">
        <f aca="false">IFERROR(VLOOKUP($A6923,'319'!$B:$H,7,0),0)</f>
        <v>0</v>
      </c>
      <c r="G6923" s="34" t="n">
        <f aca="false">SUMIFS('12.326ana'!$C:$C,'12.326ana'!$M:$M,redes!A6923)</f>
        <v>0</v>
      </c>
    </row>
    <row r="6924" customFormat="false" ht="14.4" hidden="true" customHeight="false" outlineLevel="0" collapsed="false">
      <c r="A6924" s="34" t="n">
        <v>2647344000112</v>
      </c>
      <c r="B6924" s="34" t="s">
        <v>15002</v>
      </c>
      <c r="C6924" s="34" t="s">
        <v>77</v>
      </c>
      <c r="E6924" s="30" t="s">
        <v>15003</v>
      </c>
      <c r="F6924" s="34" t="n">
        <f aca="false">IFERROR(VLOOKUP($A6924,'319'!$B:$H,7,0),0)</f>
        <v>0</v>
      </c>
      <c r="G6924" s="34" t="n">
        <f aca="false">SUMIFS('12.326ana'!$C:$C,'12.326ana'!$M:$M,redes!A6924)</f>
        <v>0</v>
      </c>
    </row>
    <row r="6925" customFormat="false" ht="14.4" hidden="true" customHeight="false" outlineLevel="0" collapsed="false">
      <c r="A6925" s="34" t="n">
        <v>2649282000188</v>
      </c>
      <c r="B6925" s="34" t="s">
        <v>15004</v>
      </c>
      <c r="C6925" s="34" t="s">
        <v>351</v>
      </c>
      <c r="E6925" s="30" t="s">
        <v>15005</v>
      </c>
      <c r="F6925" s="34" t="n">
        <f aca="false">IFERROR(VLOOKUP($A6925,'319'!$B:$H,7,0),0)</f>
        <v>0</v>
      </c>
      <c r="G6925" s="34" t="n">
        <f aca="false">SUMIFS('12.326ana'!$C:$C,'12.326ana'!$M:$M,redes!A6925)</f>
        <v>0</v>
      </c>
    </row>
    <row r="6926" customFormat="false" ht="14.4" hidden="true" customHeight="false" outlineLevel="0" collapsed="false">
      <c r="A6926" s="34" t="n">
        <v>2649288000155</v>
      </c>
      <c r="B6926" s="34" t="s">
        <v>15006</v>
      </c>
      <c r="C6926" s="34" t="s">
        <v>77</v>
      </c>
      <c r="E6926" s="30" t="s">
        <v>15007</v>
      </c>
      <c r="F6926" s="34" t="n">
        <f aca="false">IFERROR(VLOOKUP($A6926,'319'!$B:$H,7,0),0)</f>
        <v>0</v>
      </c>
      <c r="G6926" s="34" t="n">
        <f aca="false">SUMIFS('12.326ana'!$C:$C,'12.326ana'!$M:$M,redes!A6926)</f>
        <v>0</v>
      </c>
    </row>
    <row r="6927" customFormat="false" ht="14.4" hidden="true" customHeight="false" outlineLevel="0" collapsed="false">
      <c r="A6927" s="34" t="n">
        <v>2655949000155</v>
      </c>
      <c r="B6927" s="34" t="s">
        <v>15008</v>
      </c>
      <c r="C6927" s="34" t="s">
        <v>77</v>
      </c>
      <c r="E6927" s="30" t="s">
        <v>15009</v>
      </c>
      <c r="F6927" s="34" t="n">
        <f aca="false">IFERROR(VLOOKUP($A6927,'319'!$B:$H,7,0),0)</f>
        <v>0</v>
      </c>
      <c r="G6927" s="34" t="n">
        <f aca="false">SUMIFS('12.326ana'!$C:$C,'12.326ana'!$M:$M,redes!A6927)</f>
        <v>0</v>
      </c>
    </row>
    <row r="6928" customFormat="false" ht="14.4" hidden="true" customHeight="false" outlineLevel="0" collapsed="false">
      <c r="A6928" s="34" t="n">
        <v>2665144000192</v>
      </c>
      <c r="B6928" s="34" t="s">
        <v>15010</v>
      </c>
      <c r="C6928" s="34" t="s">
        <v>77</v>
      </c>
      <c r="D6928" s="34" t="s">
        <v>23</v>
      </c>
      <c r="E6928" s="30" t="s">
        <v>5316</v>
      </c>
      <c r="F6928" s="34" t="n">
        <f aca="false">IFERROR(VLOOKUP($A6928,'319'!$B:$H,7,0),0)</f>
        <v>0</v>
      </c>
      <c r="G6928" s="34" t="n">
        <f aca="false">SUMIFS('12.326ana'!$C:$C,'12.326ana'!$M:$M,redes!A6928)</f>
        <v>0</v>
      </c>
    </row>
    <row r="6929" customFormat="false" ht="14.4" hidden="true" customHeight="false" outlineLevel="0" collapsed="false">
      <c r="A6929" s="34" t="n">
        <v>2665971000186</v>
      </c>
      <c r="B6929" s="34" t="s">
        <v>15011</v>
      </c>
      <c r="C6929" s="34" t="s">
        <v>77</v>
      </c>
      <c r="E6929" s="30" t="s">
        <v>15012</v>
      </c>
      <c r="F6929" s="34" t="n">
        <f aca="false">IFERROR(VLOOKUP($A6929,'319'!$B:$H,7,0),0)</f>
        <v>0</v>
      </c>
      <c r="G6929" s="34" t="n">
        <f aca="false">SUMIFS('12.326ana'!$C:$C,'12.326ana'!$M:$M,redes!A6929)</f>
        <v>0</v>
      </c>
    </row>
    <row r="6930" customFormat="false" ht="14.4" hidden="true" customHeight="false" outlineLevel="0" collapsed="false">
      <c r="A6930" s="34" t="n">
        <v>2666987000103</v>
      </c>
      <c r="B6930" s="34" t="s">
        <v>15013</v>
      </c>
      <c r="C6930" s="34" t="s">
        <v>77</v>
      </c>
      <c r="E6930" s="30" t="s">
        <v>15014</v>
      </c>
      <c r="F6930" s="34" t="n">
        <f aca="false">IFERROR(VLOOKUP($A6930,'319'!$B:$H,7,0),0)</f>
        <v>0</v>
      </c>
      <c r="G6930" s="34" t="n">
        <f aca="false">SUMIFS('12.326ana'!$C:$C,'12.326ana'!$M:$M,redes!A6930)</f>
        <v>0</v>
      </c>
    </row>
    <row r="6931" customFormat="false" ht="14.4" hidden="true" customHeight="false" outlineLevel="0" collapsed="false">
      <c r="A6931" s="34" t="n">
        <v>2667915000180</v>
      </c>
      <c r="B6931" s="34" t="s">
        <v>15015</v>
      </c>
      <c r="C6931" s="34" t="s">
        <v>107</v>
      </c>
      <c r="E6931" s="30" t="s">
        <v>15016</v>
      </c>
      <c r="F6931" s="34" t="n">
        <f aca="false">IFERROR(VLOOKUP($A6931,'319'!$B:$H,7,0),0)</f>
        <v>0</v>
      </c>
      <c r="G6931" s="34" t="n">
        <f aca="false">SUMIFS('12.326ana'!$C:$C,'12.326ana'!$M:$M,redes!A6931)</f>
        <v>0</v>
      </c>
    </row>
    <row r="6932" customFormat="false" ht="14.4" hidden="true" customHeight="false" outlineLevel="0" collapsed="false">
      <c r="A6932" s="34" t="n">
        <v>2667919000169</v>
      </c>
      <c r="B6932" s="34" t="s">
        <v>15017</v>
      </c>
      <c r="C6932" s="34" t="s">
        <v>107</v>
      </c>
      <c r="D6932" s="34" t="s">
        <v>4797</v>
      </c>
      <c r="E6932" s="30" t="s">
        <v>15018</v>
      </c>
      <c r="F6932" s="34" t="n">
        <f aca="false">IFERROR(VLOOKUP($A6932,'319'!$B:$H,7,0),0)</f>
        <v>0</v>
      </c>
      <c r="G6932" s="34" t="n">
        <f aca="false">SUMIFS('12.326ana'!$C:$C,'12.326ana'!$M:$M,redes!A6932)</f>
        <v>0</v>
      </c>
    </row>
    <row r="6933" customFormat="false" ht="14.4" hidden="true" customHeight="false" outlineLevel="0" collapsed="false">
      <c r="A6933" s="34" t="n">
        <v>2667923000127</v>
      </c>
      <c r="B6933" s="34" t="s">
        <v>15019</v>
      </c>
      <c r="C6933" s="34" t="s">
        <v>448</v>
      </c>
      <c r="E6933" s="30" t="s">
        <v>3794</v>
      </c>
      <c r="F6933" s="34" t="n">
        <f aca="false">IFERROR(VLOOKUP($A6933,'319'!$B:$H,7,0),0)</f>
        <v>0</v>
      </c>
      <c r="G6933" s="34" t="n">
        <f aca="false">SUMIFS('12.326ana'!$C:$C,'12.326ana'!$M:$M,redes!A6933)</f>
        <v>0</v>
      </c>
    </row>
    <row r="6934" customFormat="false" ht="14.4" hidden="true" customHeight="false" outlineLevel="0" collapsed="false">
      <c r="A6934" s="34" t="n">
        <v>2669519000192</v>
      </c>
      <c r="B6934" s="34" t="s">
        <v>15020</v>
      </c>
      <c r="C6934" s="34" t="s">
        <v>631</v>
      </c>
      <c r="E6934" s="30" t="s">
        <v>15021</v>
      </c>
      <c r="F6934" s="34" t="n">
        <f aca="false">IFERROR(VLOOKUP($A6934,'319'!$B:$H,7,0),0)</f>
        <v>0</v>
      </c>
      <c r="G6934" s="34" t="n">
        <f aca="false">SUMIFS('12.326ana'!$C:$C,'12.326ana'!$M:$M,redes!A6934)</f>
        <v>0</v>
      </c>
    </row>
    <row r="6935" customFormat="false" ht="14.4" hidden="true" customHeight="false" outlineLevel="0" collapsed="false">
      <c r="A6935" s="34" t="n">
        <v>2669862000137</v>
      </c>
      <c r="B6935" s="34" t="s">
        <v>15022</v>
      </c>
      <c r="C6935" s="34" t="s">
        <v>328</v>
      </c>
      <c r="E6935" s="30" t="s">
        <v>3337</v>
      </c>
      <c r="F6935" s="34" t="n">
        <f aca="false">IFERROR(VLOOKUP($A6935,'319'!$B:$H,7,0),0)</f>
        <v>0</v>
      </c>
      <c r="G6935" s="34" t="n">
        <f aca="false">SUMIFS('12.326ana'!$C:$C,'12.326ana'!$M:$M,redes!A6935)</f>
        <v>0</v>
      </c>
    </row>
    <row r="6936" customFormat="false" ht="14.4" hidden="true" customHeight="false" outlineLevel="0" collapsed="false">
      <c r="A6936" s="34" t="n">
        <v>2670178000175</v>
      </c>
      <c r="B6936" s="34" t="s">
        <v>15023</v>
      </c>
      <c r="C6936" s="34" t="s">
        <v>713</v>
      </c>
      <c r="E6936" s="30" t="s">
        <v>3001</v>
      </c>
      <c r="F6936" s="34" t="n">
        <f aca="false">IFERROR(VLOOKUP($A6936,'319'!$B:$H,7,0),0)</f>
        <v>0</v>
      </c>
      <c r="G6936" s="34" t="n">
        <f aca="false">SUMIFS('12.326ana'!$C:$C,'12.326ana'!$M:$M,redes!A6936)</f>
        <v>0</v>
      </c>
    </row>
    <row r="6937" customFormat="false" ht="14.4" hidden="true" customHeight="false" outlineLevel="0" collapsed="false">
      <c r="A6937" s="34" t="n">
        <v>2675851000160</v>
      </c>
      <c r="B6937" s="34" t="s">
        <v>15024</v>
      </c>
      <c r="C6937" s="34" t="s">
        <v>463</v>
      </c>
      <c r="E6937" s="30" t="s">
        <v>15025</v>
      </c>
      <c r="F6937" s="34" t="n">
        <f aca="false">IFERROR(VLOOKUP($A6937,'319'!$B:$H,7,0),0)</f>
        <v>0</v>
      </c>
      <c r="G6937" s="34" t="n">
        <f aca="false">SUMIFS('12.326ana'!$C:$C,'12.326ana'!$M:$M,redes!A6937)</f>
        <v>0</v>
      </c>
    </row>
    <row r="6938" customFormat="false" ht="14.4" hidden="true" customHeight="false" outlineLevel="0" collapsed="false">
      <c r="A6938" s="34" t="n">
        <v>2677138000155</v>
      </c>
      <c r="B6938" s="34" t="s">
        <v>8651</v>
      </c>
      <c r="C6938" s="34" t="s">
        <v>473</v>
      </c>
      <c r="E6938" s="30" t="s">
        <v>6533</v>
      </c>
      <c r="F6938" s="34" t="n">
        <f aca="false">IFERROR(VLOOKUP($A6938,'319'!$B:$H,7,0),0)</f>
        <v>0</v>
      </c>
      <c r="G6938" s="34" t="n">
        <f aca="false">SUMIFS('12.326ana'!$C:$C,'12.326ana'!$M:$M,redes!A6938)</f>
        <v>0</v>
      </c>
    </row>
    <row r="6939" customFormat="false" ht="14.4" hidden="true" customHeight="false" outlineLevel="0" collapsed="false">
      <c r="A6939" s="34" t="n">
        <v>2678145000171</v>
      </c>
      <c r="B6939" s="34" t="s">
        <v>15026</v>
      </c>
      <c r="C6939" s="34" t="s">
        <v>77</v>
      </c>
      <c r="E6939" s="30" t="s">
        <v>15027</v>
      </c>
      <c r="F6939" s="34" t="n">
        <f aca="false">IFERROR(VLOOKUP($A6939,'319'!$B:$H,7,0),0)</f>
        <v>0</v>
      </c>
      <c r="G6939" s="34" t="n">
        <f aca="false">SUMIFS('12.326ana'!$C:$C,'12.326ana'!$M:$M,redes!A6939)</f>
        <v>0</v>
      </c>
    </row>
    <row r="6940" customFormat="false" ht="14.4" hidden="true" customHeight="false" outlineLevel="0" collapsed="false">
      <c r="A6940" s="34" t="n">
        <v>2678692000157</v>
      </c>
      <c r="B6940" s="34" t="s">
        <v>15028</v>
      </c>
      <c r="C6940" s="34" t="s">
        <v>77</v>
      </c>
      <c r="E6940" s="30" t="s">
        <v>4655</v>
      </c>
      <c r="F6940" s="34" t="n">
        <f aca="false">IFERROR(VLOOKUP($A6940,'319'!$B:$H,7,0),0)</f>
        <v>0</v>
      </c>
      <c r="G6940" s="34" t="n">
        <f aca="false">SUMIFS('12.326ana'!$C:$C,'12.326ana'!$M:$M,redes!A6940)</f>
        <v>0</v>
      </c>
    </row>
    <row r="6941" customFormat="false" ht="14.4" hidden="true" customHeight="false" outlineLevel="0" collapsed="false">
      <c r="A6941" s="34" t="n">
        <v>2682223000101</v>
      </c>
      <c r="B6941" s="34" t="s">
        <v>15029</v>
      </c>
      <c r="C6941" s="34" t="s">
        <v>213</v>
      </c>
      <c r="E6941" s="30" t="s">
        <v>7604</v>
      </c>
      <c r="F6941" s="34" t="n">
        <f aca="false">IFERROR(VLOOKUP($A6941,'319'!$B:$H,7,0),0)</f>
        <v>0</v>
      </c>
      <c r="G6941" s="34" t="n">
        <f aca="false">SUMIFS('12.326ana'!$C:$C,'12.326ana'!$M:$M,redes!A6941)</f>
        <v>0</v>
      </c>
    </row>
    <row r="6942" customFormat="false" ht="14.4" hidden="true" customHeight="false" outlineLevel="0" collapsed="false">
      <c r="A6942" s="34" t="n">
        <v>2684995000182</v>
      </c>
      <c r="B6942" s="34" t="s">
        <v>15030</v>
      </c>
      <c r="C6942" s="34" t="s">
        <v>77</v>
      </c>
      <c r="E6942" s="30" t="s">
        <v>15031</v>
      </c>
      <c r="F6942" s="34" t="n">
        <f aca="false">IFERROR(VLOOKUP($A6942,'319'!$B:$H,7,0),0)</f>
        <v>0</v>
      </c>
      <c r="G6942" s="34" t="n">
        <f aca="false">SUMIFS('12.326ana'!$C:$C,'12.326ana'!$M:$M,redes!A6942)</f>
        <v>0</v>
      </c>
    </row>
    <row r="6943" customFormat="false" ht="14.4" hidden="true" customHeight="false" outlineLevel="0" collapsed="false">
      <c r="A6943" s="34" t="n">
        <v>2685427000104</v>
      </c>
      <c r="B6943" s="34" t="s">
        <v>15032</v>
      </c>
      <c r="C6943" s="34" t="s">
        <v>77</v>
      </c>
      <c r="E6943" s="30" t="s">
        <v>11103</v>
      </c>
      <c r="F6943" s="34" t="n">
        <f aca="false">IFERROR(VLOOKUP($A6943,'319'!$B:$H,7,0),0)</f>
        <v>0</v>
      </c>
      <c r="G6943" s="34" t="n">
        <f aca="false">SUMIFS('12.326ana'!$C:$C,'12.326ana'!$M:$M,redes!A6943)</f>
        <v>0</v>
      </c>
    </row>
    <row r="6944" customFormat="false" ht="14.4" hidden="true" customHeight="false" outlineLevel="0" collapsed="false">
      <c r="A6944" s="34" t="n">
        <v>2687593000131</v>
      </c>
      <c r="B6944" s="34" t="s">
        <v>15033</v>
      </c>
      <c r="C6944" s="34" t="s">
        <v>129</v>
      </c>
      <c r="E6944" s="30" t="s">
        <v>15034</v>
      </c>
      <c r="F6944" s="34" t="n">
        <f aca="false">IFERROR(VLOOKUP($A6944,'319'!$B:$H,7,0),0)</f>
        <v>0</v>
      </c>
      <c r="G6944" s="34" t="n">
        <f aca="false">SUMIFS('12.326ana'!$C:$C,'12.326ana'!$M:$M,redes!A6944)</f>
        <v>0</v>
      </c>
    </row>
    <row r="6945" customFormat="false" ht="14.4" hidden="true" customHeight="false" outlineLevel="0" collapsed="false">
      <c r="A6945" s="34" t="n">
        <v>2688112000102</v>
      </c>
      <c r="B6945" s="34" t="s">
        <v>15035</v>
      </c>
      <c r="C6945" s="34" t="s">
        <v>213</v>
      </c>
      <c r="E6945" s="30" t="s">
        <v>15036</v>
      </c>
      <c r="F6945" s="34" t="n">
        <f aca="false">IFERROR(VLOOKUP($A6945,'319'!$B:$H,7,0),0)</f>
        <v>0</v>
      </c>
      <c r="G6945" s="34" t="n">
        <f aca="false">SUMIFS('12.326ana'!$C:$C,'12.326ana'!$M:$M,redes!A6945)</f>
        <v>0</v>
      </c>
    </row>
    <row r="6946" customFormat="false" ht="14.4" hidden="true" customHeight="false" outlineLevel="0" collapsed="false">
      <c r="A6946" s="34" t="n">
        <v>2688451000199</v>
      </c>
      <c r="B6946" s="34" t="s">
        <v>15037</v>
      </c>
      <c r="C6946" s="34" t="s">
        <v>935</v>
      </c>
      <c r="E6946" s="30" t="s">
        <v>13722</v>
      </c>
      <c r="F6946" s="34" t="n">
        <f aca="false">IFERROR(VLOOKUP($A6946,'319'!$B:$H,7,0),0)</f>
        <v>0</v>
      </c>
      <c r="G6946" s="34" t="n">
        <f aca="false">SUMIFS('12.326ana'!$C:$C,'12.326ana'!$M:$M,redes!A6946)</f>
        <v>0</v>
      </c>
    </row>
    <row r="6947" customFormat="false" ht="14.4" hidden="true" customHeight="false" outlineLevel="0" collapsed="false">
      <c r="A6947" s="34" t="n">
        <v>2688973000190</v>
      </c>
      <c r="B6947" s="34" t="s">
        <v>15038</v>
      </c>
      <c r="C6947" s="34" t="s">
        <v>405</v>
      </c>
      <c r="E6947" s="30" t="s">
        <v>15039</v>
      </c>
      <c r="F6947" s="34" t="n">
        <f aca="false">IFERROR(VLOOKUP($A6947,'319'!$B:$H,7,0),0)</f>
        <v>0</v>
      </c>
      <c r="G6947" s="34" t="n">
        <f aca="false">SUMIFS('12.326ana'!$C:$C,'12.326ana'!$M:$M,redes!A6947)</f>
        <v>0</v>
      </c>
    </row>
    <row r="6948" customFormat="false" ht="14.4" hidden="true" customHeight="false" outlineLevel="0" collapsed="false">
      <c r="A6948" s="34" t="n">
        <v>2690638000127</v>
      </c>
      <c r="B6948" s="34" t="s">
        <v>15040</v>
      </c>
      <c r="C6948" s="34" t="s">
        <v>77</v>
      </c>
      <c r="E6948" s="30" t="s">
        <v>15041</v>
      </c>
      <c r="F6948" s="34" t="n">
        <f aca="false">IFERROR(VLOOKUP($A6948,'319'!$B:$H,7,0),0)</f>
        <v>0</v>
      </c>
      <c r="G6948" s="34" t="n">
        <f aca="false">SUMIFS('12.326ana'!$C:$C,'12.326ana'!$M:$M,redes!A6948)</f>
        <v>0</v>
      </c>
    </row>
    <row r="6949" customFormat="false" ht="14.4" hidden="true" customHeight="false" outlineLevel="0" collapsed="false">
      <c r="A6949" s="34" t="n">
        <v>2693248000100</v>
      </c>
      <c r="B6949" s="34" t="s">
        <v>15042</v>
      </c>
      <c r="C6949" s="34" t="s">
        <v>77</v>
      </c>
      <c r="E6949" s="30" t="s">
        <v>15043</v>
      </c>
      <c r="F6949" s="34" t="n">
        <f aca="false">IFERROR(VLOOKUP($A6949,'319'!$B:$H,7,0),0)</f>
        <v>0</v>
      </c>
      <c r="G6949" s="34" t="n">
        <f aca="false">SUMIFS('12.326ana'!$C:$C,'12.326ana'!$M:$M,redes!A6949)</f>
        <v>0</v>
      </c>
    </row>
    <row r="6950" customFormat="false" ht="14.4" hidden="true" customHeight="false" outlineLevel="0" collapsed="false">
      <c r="A6950" s="34" t="n">
        <v>2693310000164</v>
      </c>
      <c r="B6950" s="34" t="s">
        <v>15044</v>
      </c>
      <c r="C6950" s="34" t="s">
        <v>77</v>
      </c>
      <c r="E6950" s="30" t="s">
        <v>15045</v>
      </c>
      <c r="F6950" s="34" t="n">
        <f aca="false">IFERROR(VLOOKUP($A6950,'319'!$B:$H,7,0),0)</f>
        <v>0</v>
      </c>
      <c r="G6950" s="34" t="n">
        <f aca="false">SUMIFS('12.326ana'!$C:$C,'12.326ana'!$M:$M,redes!A6950)</f>
        <v>0</v>
      </c>
    </row>
    <row r="6951" customFormat="false" ht="14.4" hidden="true" customHeight="false" outlineLevel="0" collapsed="false">
      <c r="A6951" s="34" t="n">
        <v>2694004000142</v>
      </c>
      <c r="B6951" s="34" t="s">
        <v>15046</v>
      </c>
      <c r="C6951" s="34" t="s">
        <v>127</v>
      </c>
      <c r="E6951" s="30" t="s">
        <v>15047</v>
      </c>
      <c r="F6951" s="34" t="n">
        <f aca="false">IFERROR(VLOOKUP($A6951,'319'!$B:$H,7,0),0)</f>
        <v>0</v>
      </c>
      <c r="G6951" s="34" t="n">
        <f aca="false">SUMIFS('12.326ana'!$C:$C,'12.326ana'!$M:$M,redes!A6951)</f>
        <v>0</v>
      </c>
    </row>
    <row r="6952" customFormat="false" ht="14.4" hidden="true" customHeight="false" outlineLevel="0" collapsed="false">
      <c r="A6952" s="34" t="n">
        <v>2700462000147</v>
      </c>
      <c r="B6952" s="34" t="s">
        <v>15048</v>
      </c>
      <c r="C6952" s="34" t="s">
        <v>103</v>
      </c>
      <c r="E6952" s="30" t="s">
        <v>7189</v>
      </c>
      <c r="F6952" s="34" t="n">
        <f aca="false">IFERROR(VLOOKUP($A6952,'319'!$B:$H,7,0),0)</f>
        <v>0</v>
      </c>
      <c r="G6952" s="34" t="n">
        <f aca="false">SUMIFS('12.326ana'!$C:$C,'12.326ana'!$M:$M,redes!A6952)</f>
        <v>0</v>
      </c>
    </row>
    <row r="6953" customFormat="false" ht="14.4" hidden="true" customHeight="false" outlineLevel="0" collapsed="false">
      <c r="A6953" s="34" t="n">
        <v>2700983000102</v>
      </c>
      <c r="B6953" s="34" t="s">
        <v>15049</v>
      </c>
      <c r="C6953" s="34" t="s">
        <v>342</v>
      </c>
      <c r="E6953" s="30" t="s">
        <v>15050</v>
      </c>
      <c r="F6953" s="34" t="n">
        <f aca="false">IFERROR(VLOOKUP($A6953,'319'!$B:$H,7,0),0)</f>
        <v>0</v>
      </c>
      <c r="G6953" s="34" t="n">
        <f aca="false">SUMIFS('12.326ana'!$C:$C,'12.326ana'!$M:$M,redes!A6953)</f>
        <v>0</v>
      </c>
    </row>
    <row r="6954" customFormat="false" ht="14.4" hidden="true" customHeight="false" outlineLevel="0" collapsed="false">
      <c r="A6954" s="34" t="n">
        <v>2703352000139</v>
      </c>
      <c r="B6954" s="34" t="s">
        <v>15051</v>
      </c>
      <c r="C6954" s="34" t="s">
        <v>77</v>
      </c>
      <c r="E6954" s="30" t="s">
        <v>15052</v>
      </c>
      <c r="F6954" s="34" t="n">
        <f aca="false">IFERROR(VLOOKUP($A6954,'319'!$B:$H,7,0),0)</f>
        <v>0</v>
      </c>
      <c r="G6954" s="34" t="n">
        <f aca="false">SUMIFS('12.326ana'!$C:$C,'12.326ana'!$M:$M,redes!A6954)</f>
        <v>0</v>
      </c>
    </row>
    <row r="6955" customFormat="false" ht="14.4" hidden="true" customHeight="false" outlineLevel="0" collapsed="false">
      <c r="A6955" s="34" t="n">
        <v>2705066000102</v>
      </c>
      <c r="B6955" s="34" t="s">
        <v>15053</v>
      </c>
      <c r="C6955" s="34" t="s">
        <v>77</v>
      </c>
      <c r="E6955" s="30" t="s">
        <v>15054</v>
      </c>
      <c r="F6955" s="34" t="n">
        <f aca="false">IFERROR(VLOOKUP($A6955,'319'!$B:$H,7,0),0)</f>
        <v>0</v>
      </c>
      <c r="G6955" s="34" t="n">
        <f aca="false">SUMIFS('12.326ana'!$C:$C,'12.326ana'!$M:$M,redes!A6955)</f>
        <v>0</v>
      </c>
    </row>
    <row r="6956" customFormat="false" ht="14.4" hidden="true" customHeight="false" outlineLevel="0" collapsed="false">
      <c r="A6956" s="34" t="n">
        <v>2705534000149</v>
      </c>
      <c r="B6956" s="34" t="s">
        <v>15055</v>
      </c>
      <c r="C6956" s="34" t="s">
        <v>351</v>
      </c>
      <c r="E6956" s="30" t="s">
        <v>15056</v>
      </c>
      <c r="F6956" s="34" t="n">
        <f aca="false">IFERROR(VLOOKUP($A6956,'319'!$B:$H,7,0),0)</f>
        <v>0</v>
      </c>
      <c r="G6956" s="34" t="n">
        <f aca="false">SUMIFS('12.326ana'!$C:$C,'12.326ana'!$M:$M,redes!A6956)</f>
        <v>0</v>
      </c>
    </row>
    <row r="6957" customFormat="false" ht="14.4" hidden="true" customHeight="false" outlineLevel="0" collapsed="false">
      <c r="A6957" s="34" t="n">
        <v>2706880000141</v>
      </c>
      <c r="B6957" s="34" t="s">
        <v>15057</v>
      </c>
      <c r="C6957" s="34" t="s">
        <v>10103</v>
      </c>
      <c r="E6957" s="30" t="s">
        <v>15058</v>
      </c>
      <c r="F6957" s="34" t="n">
        <f aca="false">IFERROR(VLOOKUP($A6957,'319'!$B:$H,7,0),0)</f>
        <v>0</v>
      </c>
      <c r="G6957" s="34" t="n">
        <f aca="false">SUMIFS('12.326ana'!$C:$C,'12.326ana'!$M:$M,redes!A6957)</f>
        <v>0</v>
      </c>
    </row>
    <row r="6958" customFormat="false" ht="14.4" hidden="true" customHeight="false" outlineLevel="0" collapsed="false">
      <c r="A6958" s="34" t="n">
        <v>2706895000100</v>
      </c>
      <c r="B6958" s="34" t="s">
        <v>15059</v>
      </c>
      <c r="C6958" s="34" t="s">
        <v>103</v>
      </c>
      <c r="E6958" s="30" t="s">
        <v>15060</v>
      </c>
      <c r="F6958" s="34" t="n">
        <f aca="false">IFERROR(VLOOKUP($A6958,'319'!$B:$H,7,0),0)</f>
        <v>0</v>
      </c>
      <c r="G6958" s="34" t="n">
        <f aca="false">SUMIFS('12.326ana'!$C:$C,'12.326ana'!$M:$M,redes!A6958)</f>
        <v>0</v>
      </c>
    </row>
    <row r="6959" customFormat="false" ht="14.4" hidden="true" customHeight="false" outlineLevel="0" collapsed="false">
      <c r="A6959" s="34" t="n">
        <v>2708657000133</v>
      </c>
      <c r="B6959" s="34" t="s">
        <v>15061</v>
      </c>
      <c r="C6959" s="34" t="s">
        <v>604</v>
      </c>
      <c r="E6959" s="30" t="s">
        <v>15062</v>
      </c>
      <c r="F6959" s="34" t="n">
        <f aca="false">IFERROR(VLOOKUP($A6959,'319'!$B:$H,7,0),0)</f>
        <v>0</v>
      </c>
      <c r="G6959" s="34" t="n">
        <f aca="false">SUMIFS('12.326ana'!$C:$C,'12.326ana'!$M:$M,redes!A6959)</f>
        <v>0</v>
      </c>
    </row>
    <row r="6960" customFormat="false" ht="14.4" hidden="true" customHeight="false" outlineLevel="0" collapsed="false">
      <c r="A6960" s="34" t="n">
        <v>2709960000150</v>
      </c>
      <c r="B6960" s="34" t="s">
        <v>15063</v>
      </c>
      <c r="C6960" s="34" t="s">
        <v>351</v>
      </c>
      <c r="E6960" s="30" t="s">
        <v>15064</v>
      </c>
      <c r="F6960" s="34" t="n">
        <f aca="false">IFERROR(VLOOKUP($A6960,'319'!$B:$H,7,0),0)</f>
        <v>0</v>
      </c>
      <c r="G6960" s="34" t="n">
        <f aca="false">SUMIFS('12.326ana'!$C:$C,'12.326ana'!$M:$M,redes!A6960)</f>
        <v>0</v>
      </c>
    </row>
    <row r="6961" customFormat="false" ht="14.4" hidden="true" customHeight="false" outlineLevel="0" collapsed="false">
      <c r="A6961" s="34" t="n">
        <v>2712098000135</v>
      </c>
      <c r="B6961" s="34" t="s">
        <v>15065</v>
      </c>
      <c r="C6961" s="34" t="s">
        <v>117</v>
      </c>
      <c r="E6961" s="30" t="s">
        <v>15066</v>
      </c>
      <c r="F6961" s="34" t="n">
        <f aca="false">IFERROR(VLOOKUP($A6961,'319'!$B:$H,7,0),0)</f>
        <v>0</v>
      </c>
      <c r="G6961" s="34" t="n">
        <f aca="false">SUMIFS('12.326ana'!$C:$C,'12.326ana'!$M:$M,redes!A6961)</f>
        <v>0</v>
      </c>
    </row>
    <row r="6962" customFormat="false" ht="14.4" hidden="true" customHeight="false" outlineLevel="0" collapsed="false">
      <c r="A6962" s="34" t="n">
        <v>2715715000156</v>
      </c>
      <c r="B6962" s="34" t="s">
        <v>15067</v>
      </c>
      <c r="C6962" s="34" t="s">
        <v>598</v>
      </c>
      <c r="E6962" s="30" t="s">
        <v>15068</v>
      </c>
      <c r="F6962" s="34" t="n">
        <f aca="false">IFERROR(VLOOKUP($A6962,'319'!$B:$H,7,0),0)</f>
        <v>0</v>
      </c>
      <c r="G6962" s="34" t="n">
        <f aca="false">SUMIFS('12.326ana'!$C:$C,'12.326ana'!$M:$M,redes!A6962)</f>
        <v>0</v>
      </c>
    </row>
    <row r="6963" customFormat="false" ht="14.4" hidden="true" customHeight="false" outlineLevel="0" collapsed="false">
      <c r="A6963" s="34" t="n">
        <v>2715794000103</v>
      </c>
      <c r="B6963" s="34" t="s">
        <v>15069</v>
      </c>
      <c r="C6963" s="34" t="s">
        <v>89</v>
      </c>
      <c r="E6963" s="30" t="s">
        <v>3765</v>
      </c>
      <c r="F6963" s="34" t="n">
        <f aca="false">IFERROR(VLOOKUP($A6963,'319'!$B:$H,7,0),0)</f>
        <v>0</v>
      </c>
      <c r="G6963" s="34" t="n">
        <f aca="false">SUMIFS('12.326ana'!$C:$C,'12.326ana'!$M:$M,redes!A6963)</f>
        <v>0</v>
      </c>
    </row>
    <row r="6964" customFormat="false" ht="14.4" hidden="true" customHeight="false" outlineLevel="0" collapsed="false">
      <c r="A6964" s="34" t="n">
        <v>2718158000127</v>
      </c>
      <c r="B6964" s="34" t="s">
        <v>15070</v>
      </c>
      <c r="C6964" s="34" t="s">
        <v>357</v>
      </c>
      <c r="E6964" s="30" t="s">
        <v>15071</v>
      </c>
      <c r="F6964" s="34" t="n">
        <f aca="false">IFERROR(VLOOKUP($A6964,'319'!$B:$H,7,0),0)</f>
        <v>0</v>
      </c>
      <c r="G6964" s="34" t="n">
        <f aca="false">SUMIFS('12.326ana'!$C:$C,'12.326ana'!$M:$M,redes!A6964)</f>
        <v>0</v>
      </c>
    </row>
    <row r="6965" customFormat="false" ht="14.4" hidden="true" customHeight="false" outlineLevel="0" collapsed="false">
      <c r="A6965" s="34" t="n">
        <v>2718170000131</v>
      </c>
      <c r="B6965" s="34" t="s">
        <v>15072</v>
      </c>
      <c r="C6965" s="34" t="s">
        <v>357</v>
      </c>
      <c r="E6965" s="30" t="s">
        <v>15073</v>
      </c>
      <c r="F6965" s="34" t="n">
        <f aca="false">IFERROR(VLOOKUP($A6965,'319'!$B:$H,7,0),0)</f>
        <v>0</v>
      </c>
      <c r="G6965" s="34" t="n">
        <f aca="false">SUMIFS('12.326ana'!$C:$C,'12.326ana'!$M:$M,redes!A6965)</f>
        <v>0</v>
      </c>
    </row>
    <row r="6966" customFormat="false" ht="14.4" hidden="true" customHeight="false" outlineLevel="0" collapsed="false">
      <c r="A6966" s="34" t="n">
        <v>2721106000100</v>
      </c>
      <c r="B6966" s="34" t="s">
        <v>15074</v>
      </c>
      <c r="C6966" s="34" t="s">
        <v>77</v>
      </c>
      <c r="E6966" s="30" t="s">
        <v>15075</v>
      </c>
      <c r="F6966" s="34" t="n">
        <f aca="false">IFERROR(VLOOKUP($A6966,'319'!$B:$H,7,0),0)</f>
        <v>0</v>
      </c>
      <c r="G6966" s="34" t="n">
        <f aca="false">SUMIFS('12.326ana'!$C:$C,'12.326ana'!$M:$M,redes!A6966)</f>
        <v>0</v>
      </c>
    </row>
    <row r="6967" customFormat="false" ht="14.4" hidden="true" customHeight="false" outlineLevel="0" collapsed="false">
      <c r="A6967" s="34" t="n">
        <v>2721440000163</v>
      </c>
      <c r="B6967" s="34" t="s">
        <v>15076</v>
      </c>
      <c r="C6967" s="34" t="s">
        <v>357</v>
      </c>
      <c r="E6967" s="30" t="s">
        <v>15077</v>
      </c>
      <c r="F6967" s="34" t="n">
        <f aca="false">IFERROR(VLOOKUP($A6967,'319'!$B:$H,7,0),0)</f>
        <v>0</v>
      </c>
      <c r="G6967" s="34" t="n">
        <f aca="false">SUMIFS('12.326ana'!$C:$C,'12.326ana'!$M:$M,redes!A6967)</f>
        <v>0</v>
      </c>
    </row>
    <row r="6968" customFormat="false" ht="14.4" hidden="true" customHeight="false" outlineLevel="0" collapsed="false">
      <c r="A6968" s="34" t="n">
        <v>2721582000120</v>
      </c>
      <c r="B6968" s="34" t="s">
        <v>15078</v>
      </c>
      <c r="C6968" s="34" t="s">
        <v>604</v>
      </c>
      <c r="E6968" s="30" t="s">
        <v>15079</v>
      </c>
      <c r="F6968" s="34" t="n">
        <f aca="false">IFERROR(VLOOKUP($A6968,'319'!$B:$H,7,0),0)</f>
        <v>0</v>
      </c>
      <c r="G6968" s="34" t="n">
        <f aca="false">SUMIFS('12.326ana'!$C:$C,'12.326ana'!$M:$M,redes!A6968)</f>
        <v>0</v>
      </c>
    </row>
    <row r="6969" customFormat="false" ht="14.4" hidden="true" customHeight="false" outlineLevel="0" collapsed="false">
      <c r="A6969" s="34" t="n">
        <v>2723887000171</v>
      </c>
      <c r="B6969" s="34" t="s">
        <v>15080</v>
      </c>
      <c r="C6969" s="34" t="s">
        <v>117</v>
      </c>
      <c r="E6969" s="30" t="s">
        <v>15081</v>
      </c>
      <c r="F6969" s="34" t="n">
        <f aca="false">IFERROR(VLOOKUP($A6969,'319'!$B:$H,7,0),0)</f>
        <v>0</v>
      </c>
      <c r="G6969" s="34" t="n">
        <f aca="false">SUMIFS('12.326ana'!$C:$C,'12.326ana'!$M:$M,redes!A6969)</f>
        <v>0</v>
      </c>
    </row>
    <row r="6970" customFormat="false" ht="14.4" hidden="true" customHeight="false" outlineLevel="0" collapsed="false">
      <c r="A6970" s="34" t="n">
        <v>2729743000122</v>
      </c>
      <c r="B6970" s="34" t="s">
        <v>6242</v>
      </c>
      <c r="C6970" s="34" t="s">
        <v>107</v>
      </c>
      <c r="E6970" s="30" t="s">
        <v>4079</v>
      </c>
      <c r="F6970" s="34" t="n">
        <f aca="false">IFERROR(VLOOKUP($A6970,'319'!$B:$H,7,0),0)</f>
        <v>0</v>
      </c>
      <c r="G6970" s="34" t="n">
        <f aca="false">SUMIFS('12.326ana'!$C:$C,'12.326ana'!$M:$M,redes!A6970)</f>
        <v>0</v>
      </c>
    </row>
    <row r="6971" customFormat="false" ht="14.4" hidden="true" customHeight="false" outlineLevel="0" collapsed="false">
      <c r="A6971" s="34" t="n">
        <v>2729920000170</v>
      </c>
      <c r="B6971" s="34" t="s">
        <v>15082</v>
      </c>
      <c r="C6971" s="34" t="s">
        <v>604</v>
      </c>
      <c r="E6971" s="30" t="s">
        <v>15083</v>
      </c>
      <c r="F6971" s="34" t="n">
        <f aca="false">IFERROR(VLOOKUP($A6971,'319'!$B:$H,7,0),0)</f>
        <v>0</v>
      </c>
      <c r="G6971" s="34" t="n">
        <f aca="false">SUMIFS('12.326ana'!$C:$C,'12.326ana'!$M:$M,redes!A6971)</f>
        <v>0</v>
      </c>
    </row>
    <row r="6972" customFormat="false" ht="14.4" hidden="true" customHeight="false" outlineLevel="0" collapsed="false">
      <c r="A6972" s="34" t="n">
        <v>2730744000197</v>
      </c>
      <c r="B6972" s="34" t="s">
        <v>15084</v>
      </c>
      <c r="C6972" s="34" t="s">
        <v>139</v>
      </c>
      <c r="E6972" s="30" t="s">
        <v>15085</v>
      </c>
      <c r="F6972" s="34" t="n">
        <f aca="false">IFERROR(VLOOKUP($A6972,'319'!$B:$H,7,0),0)</f>
        <v>0</v>
      </c>
      <c r="G6972" s="34" t="n">
        <f aca="false">SUMIFS('12.326ana'!$C:$C,'12.326ana'!$M:$M,redes!A6972)</f>
        <v>0</v>
      </c>
    </row>
    <row r="6973" customFormat="false" ht="14.4" hidden="true" customHeight="false" outlineLevel="0" collapsed="false">
      <c r="A6973" s="34" t="n">
        <v>2730756000111</v>
      </c>
      <c r="B6973" s="34" t="s">
        <v>15086</v>
      </c>
      <c r="C6973" s="34" t="s">
        <v>77</v>
      </c>
      <c r="E6973" s="30" t="s">
        <v>15087</v>
      </c>
      <c r="F6973" s="34" t="n">
        <f aca="false">IFERROR(VLOOKUP($A6973,'319'!$B:$H,7,0),0)</f>
        <v>0</v>
      </c>
      <c r="G6973" s="34" t="n">
        <f aca="false">SUMIFS('12.326ana'!$C:$C,'12.326ana'!$M:$M,redes!A6973)</f>
        <v>0</v>
      </c>
    </row>
    <row r="6974" customFormat="false" ht="14.4" hidden="true" customHeight="false" outlineLevel="0" collapsed="false">
      <c r="A6974" s="34" t="n">
        <v>2731507000140</v>
      </c>
      <c r="B6974" s="34" t="s">
        <v>15088</v>
      </c>
      <c r="C6974" s="34" t="s">
        <v>77</v>
      </c>
      <c r="E6974" s="30" t="s">
        <v>3440</v>
      </c>
      <c r="F6974" s="34" t="n">
        <f aca="false">IFERROR(VLOOKUP($A6974,'319'!$B:$H,7,0),0)</f>
        <v>0</v>
      </c>
      <c r="G6974" s="34" t="n">
        <f aca="false">SUMIFS('12.326ana'!$C:$C,'12.326ana'!$M:$M,redes!A6974)</f>
        <v>0</v>
      </c>
    </row>
    <row r="6975" customFormat="false" ht="14.4" hidden="true" customHeight="false" outlineLevel="0" collapsed="false">
      <c r="A6975" s="34" t="n">
        <v>2731909000145</v>
      </c>
      <c r="B6975" s="34" t="s">
        <v>15089</v>
      </c>
      <c r="C6975" s="34" t="s">
        <v>1591</v>
      </c>
      <c r="E6975" s="30" t="s">
        <v>15090</v>
      </c>
      <c r="F6975" s="34" t="n">
        <f aca="false">IFERROR(VLOOKUP($A6975,'319'!$B:$H,7,0),0)</f>
        <v>0</v>
      </c>
      <c r="G6975" s="34" t="n">
        <f aca="false">SUMIFS('12.326ana'!$C:$C,'12.326ana'!$M:$M,redes!A6975)</f>
        <v>0</v>
      </c>
    </row>
    <row r="6976" customFormat="false" ht="14.4" hidden="true" customHeight="false" outlineLevel="0" collapsed="false">
      <c r="A6976" s="34" t="n">
        <v>2732733000146</v>
      </c>
      <c r="B6976" s="34" t="s">
        <v>15091</v>
      </c>
      <c r="C6976" s="34" t="s">
        <v>77</v>
      </c>
      <c r="E6976" s="30" t="s">
        <v>15092</v>
      </c>
      <c r="F6976" s="34" t="n">
        <f aca="false">IFERROR(VLOOKUP($A6976,'319'!$B:$H,7,0),0)</f>
        <v>0</v>
      </c>
      <c r="G6976" s="34" t="n">
        <f aca="false">SUMIFS('12.326ana'!$C:$C,'12.326ana'!$M:$M,redes!A6976)</f>
        <v>0</v>
      </c>
    </row>
    <row r="6977" customFormat="false" ht="14.4" hidden="true" customHeight="false" outlineLevel="0" collapsed="false">
      <c r="A6977" s="34" t="n">
        <v>2733174000199</v>
      </c>
      <c r="B6977" s="34" t="s">
        <v>15093</v>
      </c>
      <c r="C6977" s="34" t="s">
        <v>957</v>
      </c>
      <c r="E6977" s="30" t="s">
        <v>15094</v>
      </c>
      <c r="F6977" s="34" t="n">
        <f aca="false">IFERROR(VLOOKUP($A6977,'319'!$B:$H,7,0),0)</f>
        <v>0</v>
      </c>
      <c r="G6977" s="34" t="n">
        <f aca="false">SUMIFS('12.326ana'!$C:$C,'12.326ana'!$M:$M,redes!A6977)</f>
        <v>0</v>
      </c>
    </row>
    <row r="6978" customFormat="false" ht="14.4" hidden="true" customHeight="false" outlineLevel="0" collapsed="false">
      <c r="A6978" s="34" t="n">
        <v>2733913000142</v>
      </c>
      <c r="B6978" s="34" t="s">
        <v>15095</v>
      </c>
      <c r="C6978" s="34" t="s">
        <v>139</v>
      </c>
      <c r="E6978" s="30" t="s">
        <v>15096</v>
      </c>
      <c r="F6978" s="34" t="n">
        <f aca="false">IFERROR(VLOOKUP($A6978,'319'!$B:$H,7,0),0)</f>
        <v>0</v>
      </c>
      <c r="G6978" s="34" t="n">
        <f aca="false">SUMIFS('12.326ana'!$C:$C,'12.326ana'!$M:$M,redes!A6978)</f>
        <v>0</v>
      </c>
    </row>
    <row r="6979" customFormat="false" ht="14.4" hidden="true" customHeight="false" outlineLevel="0" collapsed="false">
      <c r="A6979" s="34" t="n">
        <v>2735611000103</v>
      </c>
      <c r="B6979" s="34" t="s">
        <v>15097</v>
      </c>
      <c r="C6979" s="34" t="s">
        <v>604</v>
      </c>
      <c r="E6979" s="30" t="s">
        <v>15098</v>
      </c>
      <c r="F6979" s="34" t="n">
        <f aca="false">IFERROR(VLOOKUP($A6979,'319'!$B:$H,7,0),0)</f>
        <v>0</v>
      </c>
      <c r="G6979" s="34" t="n">
        <f aca="false">SUMIFS('12.326ana'!$C:$C,'12.326ana'!$M:$M,redes!A6979)</f>
        <v>0</v>
      </c>
    </row>
    <row r="6980" customFormat="false" ht="14.4" hidden="true" customHeight="false" outlineLevel="0" collapsed="false">
      <c r="A6980" s="34" t="n">
        <v>2735783000187</v>
      </c>
      <c r="B6980" s="34" t="s">
        <v>15099</v>
      </c>
      <c r="C6980" s="34" t="s">
        <v>357</v>
      </c>
      <c r="E6980" s="30" t="s">
        <v>15100</v>
      </c>
      <c r="F6980" s="34" t="n">
        <f aca="false">IFERROR(VLOOKUP($A6980,'319'!$B:$H,7,0),0)</f>
        <v>0</v>
      </c>
      <c r="G6980" s="34" t="n">
        <f aca="false">SUMIFS('12.326ana'!$C:$C,'12.326ana'!$M:$M,redes!A6980)</f>
        <v>0</v>
      </c>
    </row>
    <row r="6981" customFormat="false" ht="14.4" hidden="true" customHeight="false" outlineLevel="0" collapsed="false">
      <c r="A6981" s="34" t="n">
        <v>2737933000191</v>
      </c>
      <c r="B6981" s="34" t="s">
        <v>15101</v>
      </c>
      <c r="C6981" s="34" t="s">
        <v>77</v>
      </c>
      <c r="E6981" s="30" t="s">
        <v>15102</v>
      </c>
      <c r="F6981" s="34" t="n">
        <f aca="false">IFERROR(VLOOKUP($A6981,'319'!$B:$H,7,0),0)</f>
        <v>0</v>
      </c>
      <c r="G6981" s="34" t="n">
        <f aca="false">SUMIFS('12.326ana'!$C:$C,'12.326ana'!$M:$M,redes!A6981)</f>
        <v>0</v>
      </c>
    </row>
    <row r="6982" customFormat="false" ht="14.4" hidden="true" customHeight="false" outlineLevel="0" collapsed="false">
      <c r="A6982" s="34" t="n">
        <v>2740170000138</v>
      </c>
      <c r="B6982" s="34" t="s">
        <v>15103</v>
      </c>
      <c r="C6982" s="34" t="s">
        <v>631</v>
      </c>
      <c r="E6982" s="30" t="s">
        <v>15104</v>
      </c>
      <c r="F6982" s="34" t="n">
        <f aca="false">IFERROR(VLOOKUP($A6982,'319'!$B:$H,7,0),0)</f>
        <v>0</v>
      </c>
      <c r="G6982" s="34" t="n">
        <f aca="false">SUMIFS('12.326ana'!$C:$C,'12.326ana'!$M:$M,redes!A6982)</f>
        <v>0</v>
      </c>
    </row>
    <row r="6983" customFormat="false" ht="14.4" hidden="true" customHeight="false" outlineLevel="0" collapsed="false">
      <c r="A6983" s="34" t="n">
        <v>2740409000170</v>
      </c>
      <c r="B6983" s="34" t="s">
        <v>15105</v>
      </c>
      <c r="C6983" s="34" t="s">
        <v>107</v>
      </c>
      <c r="E6983" s="30" t="s">
        <v>15106</v>
      </c>
      <c r="F6983" s="34" t="n">
        <f aca="false">IFERROR(VLOOKUP($A6983,'319'!$B:$H,7,0),0)</f>
        <v>0</v>
      </c>
      <c r="G6983" s="34" t="n">
        <f aca="false">SUMIFS('12.326ana'!$C:$C,'12.326ana'!$M:$M,redes!A6983)</f>
        <v>0</v>
      </c>
    </row>
    <row r="6984" customFormat="false" ht="14.4" hidden="true" customHeight="false" outlineLevel="0" collapsed="false">
      <c r="A6984" s="34" t="n">
        <v>2740794000155</v>
      </c>
      <c r="B6984" s="34" t="s">
        <v>15107</v>
      </c>
      <c r="C6984" s="34" t="s">
        <v>1054</v>
      </c>
      <c r="E6984" s="30" t="s">
        <v>15108</v>
      </c>
      <c r="F6984" s="34" t="n">
        <f aca="false">IFERROR(VLOOKUP($A6984,'319'!$B:$H,7,0),0)</f>
        <v>0</v>
      </c>
      <c r="G6984" s="34" t="n">
        <f aca="false">SUMIFS('12.326ana'!$C:$C,'12.326ana'!$M:$M,redes!A6984)</f>
        <v>0</v>
      </c>
    </row>
    <row r="6985" customFormat="false" ht="14.4" hidden="true" customHeight="false" outlineLevel="0" collapsed="false">
      <c r="A6985" s="34" t="n">
        <v>2741462000195</v>
      </c>
      <c r="B6985" s="34" t="s">
        <v>15109</v>
      </c>
      <c r="C6985" s="34" t="s">
        <v>77</v>
      </c>
      <c r="E6985" s="30" t="s">
        <v>11054</v>
      </c>
      <c r="F6985" s="34" t="n">
        <f aca="false">IFERROR(VLOOKUP($A6985,'319'!$B:$H,7,0),0)</f>
        <v>0</v>
      </c>
      <c r="G6985" s="34" t="n">
        <f aca="false">SUMIFS('12.326ana'!$C:$C,'12.326ana'!$M:$M,redes!A6985)</f>
        <v>0</v>
      </c>
    </row>
    <row r="6986" customFormat="false" ht="14.4" hidden="true" customHeight="false" outlineLevel="0" collapsed="false">
      <c r="A6986" s="34" t="n">
        <v>2742240000197</v>
      </c>
      <c r="B6986" s="34" t="s">
        <v>15110</v>
      </c>
      <c r="C6986" s="34" t="s">
        <v>77</v>
      </c>
      <c r="E6986" s="30" t="s">
        <v>15111</v>
      </c>
      <c r="F6986" s="34" t="n">
        <f aca="false">IFERROR(VLOOKUP($A6986,'319'!$B:$H,7,0),0)</f>
        <v>0</v>
      </c>
      <c r="G6986" s="34" t="n">
        <f aca="false">SUMIFS('12.326ana'!$C:$C,'12.326ana'!$M:$M,redes!A6986)</f>
        <v>0</v>
      </c>
    </row>
    <row r="6987" customFormat="false" ht="14.4" hidden="true" customHeight="false" outlineLevel="0" collapsed="false">
      <c r="A6987" s="34" t="n">
        <v>2743593000101</v>
      </c>
      <c r="B6987" s="34" t="s">
        <v>15112</v>
      </c>
      <c r="C6987" s="34" t="s">
        <v>464</v>
      </c>
      <c r="E6987" s="30" t="s">
        <v>15113</v>
      </c>
      <c r="F6987" s="34" t="n">
        <f aca="false">IFERROR(VLOOKUP($A6987,'319'!$B:$H,7,0),0)</f>
        <v>0</v>
      </c>
      <c r="G6987" s="34" t="n">
        <f aca="false">SUMIFS('12.326ana'!$C:$C,'12.326ana'!$M:$M,redes!A6987)</f>
        <v>0</v>
      </c>
    </row>
    <row r="6988" customFormat="false" ht="14.4" hidden="true" customHeight="false" outlineLevel="0" collapsed="false">
      <c r="A6988" s="34" t="n">
        <v>2743873000110</v>
      </c>
      <c r="B6988" s="34" t="s">
        <v>15114</v>
      </c>
      <c r="C6988" s="34" t="s">
        <v>77</v>
      </c>
      <c r="E6988" s="30" t="s">
        <v>15115</v>
      </c>
      <c r="F6988" s="34" t="n">
        <f aca="false">IFERROR(VLOOKUP($A6988,'319'!$B:$H,7,0),0)</f>
        <v>0</v>
      </c>
      <c r="G6988" s="34" t="n">
        <f aca="false">SUMIFS('12.326ana'!$C:$C,'12.326ana'!$M:$M,redes!A6988)</f>
        <v>0</v>
      </c>
    </row>
    <row r="6989" customFormat="false" ht="14.4" hidden="true" customHeight="false" outlineLevel="0" collapsed="false">
      <c r="A6989" s="34" t="n">
        <v>2744419000183</v>
      </c>
      <c r="B6989" s="34" t="s">
        <v>15116</v>
      </c>
      <c r="C6989" s="34" t="s">
        <v>377</v>
      </c>
      <c r="E6989" s="30" t="s">
        <v>15117</v>
      </c>
      <c r="F6989" s="34" t="n">
        <f aca="false">IFERROR(VLOOKUP($A6989,'319'!$B:$H,7,0),0)</f>
        <v>0</v>
      </c>
      <c r="G6989" s="34" t="n">
        <f aca="false">SUMIFS('12.326ana'!$C:$C,'12.326ana'!$M:$M,redes!A6989)</f>
        <v>0</v>
      </c>
    </row>
    <row r="6990" customFormat="false" ht="14.4" hidden="true" customHeight="false" outlineLevel="0" collapsed="false">
      <c r="A6990" s="34" t="n">
        <v>2744465000182</v>
      </c>
      <c r="B6990" s="34" t="s">
        <v>15118</v>
      </c>
      <c r="C6990" s="34" t="s">
        <v>77</v>
      </c>
      <c r="E6990" s="30" t="s">
        <v>15119</v>
      </c>
      <c r="F6990" s="34" t="n">
        <f aca="false">IFERROR(VLOOKUP($A6990,'319'!$B:$H,7,0),0)</f>
        <v>0</v>
      </c>
      <c r="G6990" s="34" t="n">
        <f aca="false">SUMIFS('12.326ana'!$C:$C,'12.326ana'!$M:$M,redes!A6990)</f>
        <v>0</v>
      </c>
    </row>
    <row r="6991" customFormat="false" ht="14.4" hidden="true" customHeight="false" outlineLevel="0" collapsed="false">
      <c r="A6991" s="34" t="n">
        <v>2745483000189</v>
      </c>
      <c r="B6991" s="34" t="s">
        <v>15120</v>
      </c>
      <c r="C6991" s="34" t="s">
        <v>89</v>
      </c>
      <c r="E6991" s="30" t="s">
        <v>15121</v>
      </c>
      <c r="F6991" s="34" t="n">
        <f aca="false">IFERROR(VLOOKUP($A6991,'319'!$B:$H,7,0),0)</f>
        <v>0</v>
      </c>
      <c r="G6991" s="34" t="n">
        <f aca="false">SUMIFS('12.326ana'!$C:$C,'12.326ana'!$M:$M,redes!A6991)</f>
        <v>0</v>
      </c>
    </row>
    <row r="6992" customFormat="false" ht="14.4" hidden="true" customHeight="false" outlineLevel="0" collapsed="false">
      <c r="A6992" s="34" t="n">
        <v>2747008000141</v>
      </c>
      <c r="B6992" s="34" t="s">
        <v>15122</v>
      </c>
      <c r="C6992" s="34" t="s">
        <v>129</v>
      </c>
      <c r="E6992" s="30" t="s">
        <v>15123</v>
      </c>
      <c r="F6992" s="34" t="n">
        <f aca="false">IFERROR(VLOOKUP($A6992,'319'!$B:$H,7,0),0)</f>
        <v>0</v>
      </c>
      <c r="G6992" s="34" t="n">
        <f aca="false">SUMIFS('12.326ana'!$C:$C,'12.326ana'!$M:$M,redes!A6992)</f>
        <v>0</v>
      </c>
    </row>
    <row r="6993" customFormat="false" ht="14.4" hidden="true" customHeight="false" outlineLevel="0" collapsed="false">
      <c r="A6993" s="34" t="n">
        <v>2747572000164</v>
      </c>
      <c r="B6993" s="34" t="s">
        <v>15124</v>
      </c>
      <c r="C6993" s="34" t="s">
        <v>77</v>
      </c>
      <c r="E6993" s="30" t="s">
        <v>15125</v>
      </c>
      <c r="F6993" s="34" t="n">
        <f aca="false">IFERROR(VLOOKUP($A6993,'319'!$B:$H,7,0),0)</f>
        <v>0</v>
      </c>
      <c r="G6993" s="34" t="n">
        <f aca="false">SUMIFS('12.326ana'!$C:$C,'12.326ana'!$M:$M,redes!A6993)</f>
        <v>0</v>
      </c>
    </row>
    <row r="6994" customFormat="false" ht="14.4" hidden="true" customHeight="false" outlineLevel="0" collapsed="false">
      <c r="A6994" s="34" t="n">
        <v>2747980000116</v>
      </c>
      <c r="B6994" s="34" t="s">
        <v>15126</v>
      </c>
      <c r="C6994" s="34" t="s">
        <v>89</v>
      </c>
      <c r="E6994" s="30" t="s">
        <v>15127</v>
      </c>
      <c r="F6994" s="34" t="n">
        <f aca="false">IFERROR(VLOOKUP($A6994,'319'!$B:$H,7,0),0)</f>
        <v>0</v>
      </c>
      <c r="G6994" s="34" t="n">
        <f aca="false">SUMIFS('12.326ana'!$C:$C,'12.326ana'!$M:$M,redes!A6994)</f>
        <v>0</v>
      </c>
    </row>
    <row r="6995" customFormat="false" ht="14.4" hidden="true" customHeight="false" outlineLevel="0" collapsed="false">
      <c r="A6995" s="34" t="n">
        <v>2748683000195</v>
      </c>
      <c r="B6995" s="34" t="s">
        <v>15128</v>
      </c>
      <c r="C6995" s="34" t="s">
        <v>336</v>
      </c>
      <c r="E6995" s="30" t="s">
        <v>15129</v>
      </c>
      <c r="F6995" s="34" t="n">
        <f aca="false">IFERROR(VLOOKUP($A6995,'319'!$B:$H,7,0),0)</f>
        <v>0</v>
      </c>
      <c r="G6995" s="34" t="n">
        <f aca="false">SUMIFS('12.326ana'!$C:$C,'12.326ana'!$M:$M,redes!A6995)</f>
        <v>0</v>
      </c>
    </row>
    <row r="6996" customFormat="false" ht="14.4" hidden="true" customHeight="false" outlineLevel="0" collapsed="false">
      <c r="A6996" s="34" t="n">
        <v>2748702000183</v>
      </c>
      <c r="B6996" s="34" t="s">
        <v>15130</v>
      </c>
      <c r="C6996" s="34" t="s">
        <v>299</v>
      </c>
      <c r="E6996" s="30" t="s">
        <v>11396</v>
      </c>
      <c r="F6996" s="34" t="n">
        <f aca="false">IFERROR(VLOOKUP($A6996,'319'!$B:$H,7,0),0)</f>
        <v>0</v>
      </c>
      <c r="G6996" s="34" t="n">
        <f aca="false">SUMIFS('12.326ana'!$C:$C,'12.326ana'!$M:$M,redes!A6996)</f>
        <v>0</v>
      </c>
    </row>
    <row r="6997" customFormat="false" ht="14.4" hidden="true" customHeight="false" outlineLevel="0" collapsed="false">
      <c r="A6997" s="34" t="n">
        <v>2748853000131</v>
      </c>
      <c r="B6997" s="34" t="s">
        <v>15131</v>
      </c>
      <c r="C6997" s="34" t="s">
        <v>994</v>
      </c>
      <c r="E6997" s="30" t="s">
        <v>15132</v>
      </c>
      <c r="F6997" s="34" t="n">
        <f aca="false">IFERROR(VLOOKUP($A6997,'319'!$B:$H,7,0),0)</f>
        <v>0</v>
      </c>
      <c r="G6997" s="34" t="n">
        <f aca="false">SUMIFS('12.326ana'!$C:$C,'12.326ana'!$M:$M,redes!A6997)</f>
        <v>0</v>
      </c>
    </row>
    <row r="6998" customFormat="false" ht="14.4" hidden="true" customHeight="false" outlineLevel="0" collapsed="false">
      <c r="A6998" s="34" t="n">
        <v>2748978000161</v>
      </c>
      <c r="B6998" s="34" t="s">
        <v>15133</v>
      </c>
      <c r="C6998" s="34" t="s">
        <v>77</v>
      </c>
      <c r="E6998" s="30" t="s">
        <v>15134</v>
      </c>
      <c r="F6998" s="34" t="n">
        <f aca="false">IFERROR(VLOOKUP($A6998,'319'!$B:$H,7,0),0)</f>
        <v>0</v>
      </c>
      <c r="G6998" s="34" t="n">
        <f aca="false">SUMIFS('12.326ana'!$C:$C,'12.326ana'!$M:$M,redes!A6998)</f>
        <v>0</v>
      </c>
    </row>
    <row r="6999" customFormat="false" ht="14.4" hidden="true" customHeight="false" outlineLevel="0" collapsed="false">
      <c r="A6999" s="34" t="n">
        <v>2749792000127</v>
      </c>
      <c r="B6999" s="34" t="s">
        <v>15135</v>
      </c>
      <c r="C6999" s="34" t="s">
        <v>562</v>
      </c>
      <c r="E6999" s="30" t="s">
        <v>15136</v>
      </c>
      <c r="F6999" s="34" t="n">
        <f aca="false">IFERROR(VLOOKUP($A6999,'319'!$B:$H,7,0),0)</f>
        <v>0</v>
      </c>
      <c r="G6999" s="34" t="n">
        <f aca="false">SUMIFS('12.326ana'!$C:$C,'12.326ana'!$M:$M,redes!A6999)</f>
        <v>0</v>
      </c>
    </row>
    <row r="7000" customFormat="false" ht="14.4" hidden="true" customHeight="false" outlineLevel="0" collapsed="false">
      <c r="A7000" s="34" t="n">
        <v>2750263000143</v>
      </c>
      <c r="B7000" s="34" t="s">
        <v>15137</v>
      </c>
      <c r="C7000" s="34" t="s">
        <v>463</v>
      </c>
      <c r="E7000" s="30" t="s">
        <v>15138</v>
      </c>
      <c r="F7000" s="34" t="n">
        <f aca="false">IFERROR(VLOOKUP($A7000,'319'!$B:$H,7,0),0)</f>
        <v>0</v>
      </c>
      <c r="G7000" s="34" t="n">
        <f aca="false">SUMIFS('12.326ana'!$C:$C,'12.326ana'!$M:$M,redes!A7000)</f>
        <v>0</v>
      </c>
    </row>
    <row r="7001" customFormat="false" ht="14.4" hidden="true" customHeight="false" outlineLevel="0" collapsed="false">
      <c r="A7001" s="34" t="n">
        <v>2751586000151</v>
      </c>
      <c r="B7001" s="34" t="s">
        <v>15139</v>
      </c>
      <c r="C7001" s="34" t="s">
        <v>631</v>
      </c>
      <c r="E7001" s="30" t="s">
        <v>15140</v>
      </c>
      <c r="F7001" s="34" t="n">
        <f aca="false">IFERROR(VLOOKUP($A7001,'319'!$B:$H,7,0),0)</f>
        <v>0</v>
      </c>
      <c r="G7001" s="34" t="n">
        <f aca="false">SUMIFS('12.326ana'!$C:$C,'12.326ana'!$M:$M,redes!A7001)</f>
        <v>0</v>
      </c>
    </row>
    <row r="7002" customFormat="false" ht="14.4" hidden="true" customHeight="false" outlineLevel="0" collapsed="false">
      <c r="A7002" s="34" t="n">
        <v>2752054000139</v>
      </c>
      <c r="B7002" s="34" t="s">
        <v>15141</v>
      </c>
      <c r="C7002" s="34" t="s">
        <v>139</v>
      </c>
      <c r="E7002" s="30" t="s">
        <v>15142</v>
      </c>
      <c r="F7002" s="34" t="n">
        <f aca="false">IFERROR(VLOOKUP($A7002,'319'!$B:$H,7,0),0)</f>
        <v>0</v>
      </c>
      <c r="G7002" s="34" t="n">
        <f aca="false">SUMIFS('12.326ana'!$C:$C,'12.326ana'!$M:$M,redes!A7002)</f>
        <v>0</v>
      </c>
    </row>
    <row r="7003" customFormat="false" ht="14.4" hidden="true" customHeight="false" outlineLevel="0" collapsed="false">
      <c r="A7003" s="34" t="n">
        <v>2752678000156</v>
      </c>
      <c r="B7003" s="34" t="s">
        <v>15143</v>
      </c>
      <c r="C7003" s="34" t="s">
        <v>781</v>
      </c>
      <c r="E7003" s="30" t="s">
        <v>3588</v>
      </c>
      <c r="F7003" s="34" t="n">
        <f aca="false">IFERROR(VLOOKUP($A7003,'319'!$B:$H,7,0),0)</f>
        <v>0</v>
      </c>
      <c r="G7003" s="34" t="n">
        <f aca="false">SUMIFS('12.326ana'!$C:$C,'12.326ana'!$M:$M,redes!A7003)</f>
        <v>0</v>
      </c>
    </row>
    <row r="7004" customFormat="false" ht="14.4" hidden="true" customHeight="false" outlineLevel="0" collapsed="false">
      <c r="A7004" s="34" t="n">
        <v>2752911000109</v>
      </c>
      <c r="B7004" s="34" t="s">
        <v>15144</v>
      </c>
      <c r="C7004" s="34" t="s">
        <v>463</v>
      </c>
      <c r="E7004" s="30" t="s">
        <v>15145</v>
      </c>
      <c r="F7004" s="34" t="n">
        <f aca="false">IFERROR(VLOOKUP($A7004,'319'!$B:$H,7,0),0)</f>
        <v>0</v>
      </c>
      <c r="G7004" s="34" t="n">
        <f aca="false">SUMIFS('12.326ana'!$C:$C,'12.326ana'!$M:$M,redes!A7004)</f>
        <v>0</v>
      </c>
    </row>
    <row r="7005" customFormat="false" ht="14.4" hidden="true" customHeight="false" outlineLevel="0" collapsed="false">
      <c r="A7005" s="34" t="n">
        <v>2753560000142</v>
      </c>
      <c r="B7005" s="34" t="s">
        <v>15146</v>
      </c>
      <c r="C7005" s="34" t="s">
        <v>77</v>
      </c>
      <c r="E7005" s="30" t="s">
        <v>15147</v>
      </c>
      <c r="F7005" s="34" t="n">
        <f aca="false">IFERROR(VLOOKUP($A7005,'319'!$B:$H,7,0),0)</f>
        <v>0</v>
      </c>
      <c r="G7005" s="34" t="n">
        <f aca="false">SUMIFS('12.326ana'!$C:$C,'12.326ana'!$M:$M,redes!A7005)</f>
        <v>0</v>
      </c>
    </row>
    <row r="7006" customFormat="false" ht="14.4" hidden="true" customHeight="false" outlineLevel="0" collapsed="false">
      <c r="A7006" s="34" t="n">
        <v>2753584000100</v>
      </c>
      <c r="B7006" s="34" t="s">
        <v>15148</v>
      </c>
      <c r="C7006" s="34" t="s">
        <v>713</v>
      </c>
      <c r="E7006" s="30" t="s">
        <v>11527</v>
      </c>
      <c r="F7006" s="34" t="n">
        <f aca="false">IFERROR(VLOOKUP($A7006,'319'!$B:$H,7,0),0)</f>
        <v>0</v>
      </c>
      <c r="G7006" s="34" t="n">
        <f aca="false">SUMIFS('12.326ana'!$C:$C,'12.326ana'!$M:$M,redes!A7006)</f>
        <v>0</v>
      </c>
    </row>
    <row r="7007" customFormat="false" ht="14.4" hidden="true" customHeight="false" outlineLevel="0" collapsed="false">
      <c r="A7007" s="34" t="n">
        <v>2753798000178</v>
      </c>
      <c r="B7007" s="34" t="s">
        <v>15149</v>
      </c>
      <c r="C7007" s="34" t="s">
        <v>357</v>
      </c>
      <c r="E7007" s="30" t="s">
        <v>15150</v>
      </c>
      <c r="F7007" s="34" t="n">
        <f aca="false">IFERROR(VLOOKUP($A7007,'319'!$B:$H,7,0),0)</f>
        <v>281.4</v>
      </c>
      <c r="G7007" s="34" t="n">
        <f aca="false">SUMIFS('12.326ana'!$C:$C,'12.326ana'!$M:$M,redes!A7007)</f>
        <v>0</v>
      </c>
    </row>
    <row r="7008" customFormat="false" ht="14.4" hidden="true" customHeight="false" outlineLevel="0" collapsed="false">
      <c r="A7008" s="34" t="n">
        <v>2754630000187</v>
      </c>
      <c r="B7008" s="34" t="s">
        <v>15151</v>
      </c>
      <c r="C7008" s="34" t="s">
        <v>2998</v>
      </c>
      <c r="E7008" s="30" t="s">
        <v>15152</v>
      </c>
      <c r="F7008" s="34" t="n">
        <f aca="false">IFERROR(VLOOKUP($A7008,'319'!$B:$H,7,0),0)</f>
        <v>0</v>
      </c>
      <c r="G7008" s="34" t="n">
        <f aca="false">SUMIFS('12.326ana'!$C:$C,'12.326ana'!$M:$M,redes!A7008)</f>
        <v>0</v>
      </c>
    </row>
    <row r="7009" customFormat="false" ht="14.4" hidden="true" customHeight="false" outlineLevel="0" collapsed="false">
      <c r="A7009" s="34" t="n">
        <v>2755185000170</v>
      </c>
      <c r="B7009" s="34" t="s">
        <v>15153</v>
      </c>
      <c r="C7009" s="34" t="s">
        <v>192</v>
      </c>
      <c r="E7009" s="30" t="s">
        <v>15154</v>
      </c>
      <c r="F7009" s="34" t="n">
        <f aca="false">IFERROR(VLOOKUP($A7009,'319'!$B:$H,7,0),0)</f>
        <v>0</v>
      </c>
      <c r="G7009" s="34" t="n">
        <f aca="false">SUMIFS('12.326ana'!$C:$C,'12.326ana'!$M:$M,redes!A7009)</f>
        <v>0</v>
      </c>
    </row>
    <row r="7010" customFormat="false" ht="14.4" hidden="true" customHeight="false" outlineLevel="0" collapsed="false">
      <c r="A7010" s="34" t="n">
        <v>2755293000142</v>
      </c>
      <c r="B7010" s="34" t="s">
        <v>15155</v>
      </c>
      <c r="C7010" s="34" t="s">
        <v>464</v>
      </c>
      <c r="E7010" s="30" t="s">
        <v>15156</v>
      </c>
      <c r="F7010" s="34" t="n">
        <f aca="false">IFERROR(VLOOKUP($A7010,'319'!$B:$H,7,0),0)</f>
        <v>0</v>
      </c>
      <c r="G7010" s="34" t="n">
        <f aca="false">SUMIFS('12.326ana'!$C:$C,'12.326ana'!$M:$M,redes!A7010)</f>
        <v>0</v>
      </c>
    </row>
    <row r="7011" customFormat="false" ht="14.4" hidden="true" customHeight="false" outlineLevel="0" collapsed="false">
      <c r="A7011" s="34" t="n">
        <v>2757878000100</v>
      </c>
      <c r="B7011" s="34" t="s">
        <v>15157</v>
      </c>
      <c r="C7011" s="34" t="s">
        <v>107</v>
      </c>
      <c r="E7011" s="30" t="s">
        <v>15158</v>
      </c>
      <c r="F7011" s="34" t="n">
        <f aca="false">IFERROR(VLOOKUP($A7011,'319'!$B:$H,7,0),0)</f>
        <v>0</v>
      </c>
      <c r="G7011" s="34" t="n">
        <f aca="false">SUMIFS('12.326ana'!$C:$C,'12.326ana'!$M:$M,redes!A7011)</f>
        <v>0</v>
      </c>
    </row>
    <row r="7012" customFormat="false" ht="14.4" hidden="true" customHeight="false" outlineLevel="0" collapsed="false">
      <c r="A7012" s="34" t="n">
        <v>2759314000106</v>
      </c>
      <c r="B7012" s="34" t="s">
        <v>15159</v>
      </c>
      <c r="C7012" s="34" t="s">
        <v>89</v>
      </c>
      <c r="E7012" s="30" t="s">
        <v>15160</v>
      </c>
      <c r="F7012" s="34" t="n">
        <f aca="false">IFERROR(VLOOKUP($A7012,'319'!$B:$H,7,0),0)</f>
        <v>0</v>
      </c>
      <c r="G7012" s="34" t="n">
        <f aca="false">SUMIFS('12.326ana'!$C:$C,'12.326ana'!$M:$M,redes!A7012)</f>
        <v>0</v>
      </c>
    </row>
    <row r="7013" customFormat="false" ht="14.4" hidden="true" customHeight="false" outlineLevel="0" collapsed="false">
      <c r="A7013" s="34" t="n">
        <v>2759329000166</v>
      </c>
      <c r="B7013" s="34" t="s">
        <v>15161</v>
      </c>
      <c r="C7013" s="34" t="s">
        <v>77</v>
      </c>
      <c r="E7013" s="30" t="s">
        <v>3003</v>
      </c>
      <c r="F7013" s="34" t="n">
        <f aca="false">IFERROR(VLOOKUP($A7013,'319'!$B:$H,7,0),0)</f>
        <v>0</v>
      </c>
      <c r="G7013" s="34" t="n">
        <f aca="false">SUMIFS('12.326ana'!$C:$C,'12.326ana'!$M:$M,redes!A7013)</f>
        <v>0</v>
      </c>
    </row>
    <row r="7014" customFormat="false" ht="14.4" hidden="true" customHeight="false" outlineLevel="0" collapsed="false">
      <c r="A7014" s="34" t="n">
        <v>2759357000183</v>
      </c>
      <c r="B7014" s="34" t="s">
        <v>15162</v>
      </c>
      <c r="C7014" s="34" t="s">
        <v>464</v>
      </c>
      <c r="E7014" s="30" t="s">
        <v>15163</v>
      </c>
      <c r="F7014" s="34" t="n">
        <f aca="false">IFERROR(VLOOKUP($A7014,'319'!$B:$H,7,0),0)</f>
        <v>0</v>
      </c>
      <c r="G7014" s="34" t="n">
        <f aca="false">SUMIFS('12.326ana'!$C:$C,'12.326ana'!$M:$M,redes!A7014)</f>
        <v>0</v>
      </c>
    </row>
    <row r="7015" customFormat="false" ht="14.4" hidden="true" customHeight="false" outlineLevel="0" collapsed="false">
      <c r="A7015" s="34" t="n">
        <v>2760668000162</v>
      </c>
      <c r="B7015" s="34" t="s">
        <v>15164</v>
      </c>
      <c r="C7015" s="34" t="s">
        <v>77</v>
      </c>
      <c r="E7015" s="30" t="s">
        <v>13962</v>
      </c>
      <c r="F7015" s="34" t="n">
        <f aca="false">IFERROR(VLOOKUP($A7015,'319'!$B:$H,7,0),0)</f>
        <v>0</v>
      </c>
      <c r="G7015" s="34" t="n">
        <f aca="false">SUMIFS('12.326ana'!$C:$C,'12.326ana'!$M:$M,redes!A7015)</f>
        <v>0</v>
      </c>
    </row>
    <row r="7016" customFormat="false" ht="14.4" hidden="true" customHeight="false" outlineLevel="0" collapsed="false">
      <c r="A7016" s="34" t="n">
        <v>2760668000243</v>
      </c>
      <c r="B7016" s="34" t="s">
        <v>15164</v>
      </c>
      <c r="C7016" s="34" t="s">
        <v>77</v>
      </c>
      <c r="E7016" s="30" t="s">
        <v>15165</v>
      </c>
      <c r="F7016" s="34" t="n">
        <f aca="false">IFERROR(VLOOKUP($A7016,'319'!$B:$H,7,0),0)</f>
        <v>0</v>
      </c>
      <c r="G7016" s="34" t="n">
        <f aca="false">SUMIFS('12.326ana'!$C:$C,'12.326ana'!$M:$M,redes!A7016)</f>
        <v>0</v>
      </c>
    </row>
    <row r="7017" customFormat="false" ht="14.4" hidden="true" customHeight="false" outlineLevel="0" collapsed="false">
      <c r="A7017" s="34" t="n">
        <v>2761380000102</v>
      </c>
      <c r="B7017" s="34" t="s">
        <v>15166</v>
      </c>
      <c r="C7017" s="34" t="s">
        <v>107</v>
      </c>
      <c r="E7017" s="30" t="s">
        <v>15167</v>
      </c>
      <c r="F7017" s="34" t="n">
        <f aca="false">IFERROR(VLOOKUP($A7017,'319'!$B:$H,7,0),0)</f>
        <v>0</v>
      </c>
      <c r="G7017" s="34" t="n">
        <f aca="false">SUMIFS('12.326ana'!$C:$C,'12.326ana'!$M:$M,redes!A7017)</f>
        <v>0</v>
      </c>
    </row>
    <row r="7018" customFormat="false" ht="14.4" hidden="true" customHeight="false" outlineLevel="0" collapsed="false">
      <c r="A7018" s="34" t="n">
        <v>2761380000293</v>
      </c>
      <c r="B7018" s="34" t="s">
        <v>15166</v>
      </c>
      <c r="C7018" s="34" t="s">
        <v>107</v>
      </c>
      <c r="E7018" s="30" t="s">
        <v>15168</v>
      </c>
      <c r="F7018" s="34" t="n">
        <f aca="false">IFERROR(VLOOKUP($A7018,'319'!$B:$H,7,0),0)</f>
        <v>0</v>
      </c>
      <c r="G7018" s="34" t="n">
        <f aca="false">SUMIFS('12.326ana'!$C:$C,'12.326ana'!$M:$M,redes!A7018)</f>
        <v>0</v>
      </c>
    </row>
    <row r="7019" customFormat="false" ht="14.4" hidden="true" customHeight="false" outlineLevel="0" collapsed="false">
      <c r="A7019" s="34" t="n">
        <v>2761380000374</v>
      </c>
      <c r="B7019" s="34" t="s">
        <v>15169</v>
      </c>
      <c r="C7019" s="34" t="s">
        <v>107</v>
      </c>
      <c r="E7019" s="30" t="s">
        <v>15170</v>
      </c>
      <c r="F7019" s="34" t="n">
        <f aca="false">IFERROR(VLOOKUP($A7019,'319'!$B:$H,7,0),0)</f>
        <v>0</v>
      </c>
      <c r="G7019" s="34" t="n">
        <f aca="false">SUMIFS('12.326ana'!$C:$C,'12.326ana'!$M:$M,redes!A7019)</f>
        <v>0</v>
      </c>
    </row>
    <row r="7020" customFormat="false" ht="14.4" hidden="true" customHeight="false" outlineLevel="0" collapsed="false">
      <c r="A7020" s="34" t="n">
        <v>2761963000133</v>
      </c>
      <c r="B7020" s="34" t="s">
        <v>15171</v>
      </c>
      <c r="C7020" s="34" t="s">
        <v>77</v>
      </c>
      <c r="E7020" s="30" t="s">
        <v>15172</v>
      </c>
      <c r="F7020" s="34" t="n">
        <f aca="false">IFERROR(VLOOKUP($A7020,'319'!$B:$H,7,0),0)</f>
        <v>0</v>
      </c>
      <c r="G7020" s="34" t="n">
        <f aca="false">SUMIFS('12.326ana'!$C:$C,'12.326ana'!$M:$M,redes!A7020)</f>
        <v>0</v>
      </c>
    </row>
    <row r="7021" customFormat="false" ht="14.4" hidden="true" customHeight="false" outlineLevel="0" collapsed="false">
      <c r="A7021" s="34" t="n">
        <v>2762378000158</v>
      </c>
      <c r="B7021" s="34" t="s">
        <v>15173</v>
      </c>
      <c r="C7021" s="34" t="s">
        <v>809</v>
      </c>
      <c r="E7021" s="30" t="s">
        <v>15174</v>
      </c>
      <c r="F7021" s="34" t="n">
        <f aca="false">IFERROR(VLOOKUP($A7021,'319'!$B:$H,7,0),0)</f>
        <v>0</v>
      </c>
      <c r="G7021" s="34" t="n">
        <f aca="false">SUMIFS('12.326ana'!$C:$C,'12.326ana'!$M:$M,redes!A7021)</f>
        <v>0</v>
      </c>
    </row>
    <row r="7022" customFormat="false" ht="14.4" hidden="true" customHeight="false" outlineLevel="0" collapsed="false">
      <c r="A7022" s="34" t="n">
        <v>2762379000100</v>
      </c>
      <c r="B7022" s="34" t="s">
        <v>15175</v>
      </c>
      <c r="C7022" s="34" t="s">
        <v>342</v>
      </c>
      <c r="E7022" s="30" t="s">
        <v>15176</v>
      </c>
      <c r="F7022" s="34" t="n">
        <f aca="false">IFERROR(VLOOKUP($A7022,'319'!$B:$H,7,0),0)</f>
        <v>0</v>
      </c>
      <c r="G7022" s="34" t="n">
        <f aca="false">SUMIFS('12.326ana'!$C:$C,'12.326ana'!$M:$M,redes!A7022)</f>
        <v>0</v>
      </c>
    </row>
    <row r="7023" customFormat="false" ht="14.4" hidden="true" customHeight="false" outlineLevel="0" collapsed="false">
      <c r="A7023" s="34" t="n">
        <v>2763175000186</v>
      </c>
      <c r="B7023" s="34" t="s">
        <v>15177</v>
      </c>
      <c r="C7023" s="34" t="s">
        <v>299</v>
      </c>
      <c r="E7023" s="30" t="s">
        <v>3520</v>
      </c>
      <c r="F7023" s="34" t="n">
        <f aca="false">IFERROR(VLOOKUP($A7023,'319'!$B:$H,7,0),0)</f>
        <v>0</v>
      </c>
      <c r="G7023" s="34" t="n">
        <f aca="false">SUMIFS('12.326ana'!$C:$C,'12.326ana'!$M:$M,redes!A7023)</f>
        <v>0</v>
      </c>
    </row>
    <row r="7024" customFormat="false" ht="14.4" hidden="true" customHeight="false" outlineLevel="0" collapsed="false">
      <c r="A7024" s="34" t="n">
        <v>2764768000167</v>
      </c>
      <c r="B7024" s="34" t="s">
        <v>15178</v>
      </c>
      <c r="C7024" s="34" t="s">
        <v>594</v>
      </c>
      <c r="E7024" s="30" t="s">
        <v>15179</v>
      </c>
      <c r="F7024" s="34" t="n">
        <f aca="false">IFERROR(VLOOKUP($A7024,'319'!$B:$H,7,0),0)</f>
        <v>0</v>
      </c>
      <c r="G7024" s="34" t="n">
        <f aca="false">SUMIFS('12.326ana'!$C:$C,'12.326ana'!$M:$M,redes!A7024)</f>
        <v>0</v>
      </c>
    </row>
    <row r="7025" customFormat="false" ht="14.4" hidden="true" customHeight="false" outlineLevel="0" collapsed="false">
      <c r="A7025" s="34" t="n">
        <v>2764956000195</v>
      </c>
      <c r="B7025" s="34" t="s">
        <v>15180</v>
      </c>
      <c r="C7025" s="34" t="s">
        <v>77</v>
      </c>
      <c r="E7025" s="30" t="s">
        <v>15181</v>
      </c>
      <c r="F7025" s="34" t="n">
        <f aca="false">IFERROR(VLOOKUP($A7025,'319'!$B:$H,7,0),0)</f>
        <v>0</v>
      </c>
      <c r="G7025" s="34" t="n">
        <f aca="false">SUMIFS('12.326ana'!$C:$C,'12.326ana'!$M:$M,redes!A7025)</f>
        <v>0</v>
      </c>
    </row>
    <row r="7026" customFormat="false" ht="14.4" hidden="true" customHeight="false" outlineLevel="0" collapsed="false">
      <c r="A7026" s="34" t="n">
        <v>2766474000174</v>
      </c>
      <c r="B7026" s="34" t="s">
        <v>15182</v>
      </c>
      <c r="C7026" s="34" t="s">
        <v>377</v>
      </c>
      <c r="E7026" s="30" t="s">
        <v>15183</v>
      </c>
      <c r="F7026" s="34" t="n">
        <f aca="false">IFERROR(VLOOKUP($A7026,'319'!$B:$H,7,0),0)</f>
        <v>0</v>
      </c>
      <c r="G7026" s="34" t="n">
        <f aca="false">SUMIFS('12.326ana'!$C:$C,'12.326ana'!$M:$M,redes!A7026)</f>
        <v>0</v>
      </c>
    </row>
    <row r="7027" customFormat="false" ht="14.4" hidden="true" customHeight="false" outlineLevel="0" collapsed="false">
      <c r="A7027" s="34" t="n">
        <v>2766915000138</v>
      </c>
      <c r="B7027" s="34" t="s">
        <v>1481</v>
      </c>
      <c r="C7027" s="34" t="s">
        <v>463</v>
      </c>
      <c r="E7027" s="30" t="s">
        <v>15184</v>
      </c>
      <c r="F7027" s="34" t="n">
        <f aca="false">IFERROR(VLOOKUP($A7027,'319'!$B:$H,7,0),0)</f>
        <v>159.82</v>
      </c>
      <c r="G7027" s="34" t="n">
        <f aca="false">SUMIFS('12.326ana'!$C:$C,'12.326ana'!$M:$M,redes!A7027)</f>
        <v>0</v>
      </c>
    </row>
    <row r="7028" customFormat="false" ht="14.4" hidden="true" customHeight="false" outlineLevel="0" collapsed="false">
      <c r="A7028" s="34" t="n">
        <v>2767545000153</v>
      </c>
      <c r="B7028" s="34" t="s">
        <v>15185</v>
      </c>
      <c r="C7028" s="34" t="s">
        <v>464</v>
      </c>
      <c r="E7028" s="30" t="s">
        <v>4373</v>
      </c>
      <c r="F7028" s="34" t="n">
        <f aca="false">IFERROR(VLOOKUP($A7028,'319'!$B:$H,7,0),0)</f>
        <v>0</v>
      </c>
      <c r="G7028" s="34" t="n">
        <f aca="false">SUMIFS('12.326ana'!$C:$C,'12.326ana'!$M:$M,redes!A7028)</f>
        <v>0</v>
      </c>
    </row>
    <row r="7029" customFormat="false" ht="14.4" hidden="true" customHeight="false" outlineLevel="0" collapsed="false">
      <c r="A7029" s="34" t="n">
        <v>2767685000121</v>
      </c>
      <c r="B7029" s="34" t="s">
        <v>15186</v>
      </c>
      <c r="C7029" s="34" t="s">
        <v>464</v>
      </c>
      <c r="E7029" s="30" t="s">
        <v>15187</v>
      </c>
      <c r="F7029" s="34" t="n">
        <f aca="false">IFERROR(VLOOKUP($A7029,'319'!$B:$H,7,0),0)</f>
        <v>0</v>
      </c>
      <c r="G7029" s="34" t="n">
        <f aca="false">SUMIFS('12.326ana'!$C:$C,'12.326ana'!$M:$M,redes!A7029)</f>
        <v>0</v>
      </c>
    </row>
    <row r="7030" customFormat="false" ht="14.4" hidden="true" customHeight="false" outlineLevel="0" collapsed="false">
      <c r="A7030" s="34" t="n">
        <v>2770297000108</v>
      </c>
      <c r="B7030" s="34" t="s">
        <v>15188</v>
      </c>
      <c r="C7030" s="34" t="s">
        <v>77</v>
      </c>
      <c r="E7030" s="30" t="s">
        <v>15189</v>
      </c>
      <c r="F7030" s="34" t="n">
        <f aca="false">IFERROR(VLOOKUP($A7030,'319'!$B:$H,7,0),0)</f>
        <v>0</v>
      </c>
      <c r="G7030" s="34" t="n">
        <f aca="false">SUMIFS('12.326ana'!$C:$C,'12.326ana'!$M:$M,redes!A7030)</f>
        <v>0</v>
      </c>
    </row>
    <row r="7031" customFormat="false" ht="14.4" hidden="true" customHeight="false" outlineLevel="0" collapsed="false">
      <c r="A7031" s="34" t="n">
        <v>2770297000280</v>
      </c>
      <c r="B7031" s="34" t="s">
        <v>15190</v>
      </c>
      <c r="C7031" s="34" t="s">
        <v>77</v>
      </c>
      <c r="E7031" s="30" t="s">
        <v>15189</v>
      </c>
      <c r="F7031" s="34" t="n">
        <f aca="false">IFERROR(VLOOKUP($A7031,'319'!$B:$H,7,0),0)</f>
        <v>0</v>
      </c>
      <c r="G7031" s="34" t="n">
        <f aca="false">SUMIFS('12.326ana'!$C:$C,'12.326ana'!$M:$M,redes!A7031)</f>
        <v>0</v>
      </c>
    </row>
    <row r="7032" customFormat="false" ht="14.4" hidden="true" customHeight="false" outlineLevel="0" collapsed="false">
      <c r="A7032" s="34" t="n">
        <v>2772557000176</v>
      </c>
      <c r="B7032" s="34" t="s">
        <v>15191</v>
      </c>
      <c r="C7032" s="34" t="s">
        <v>77</v>
      </c>
      <c r="E7032" s="30" t="s">
        <v>15192</v>
      </c>
      <c r="F7032" s="34" t="n">
        <f aca="false">IFERROR(VLOOKUP($A7032,'319'!$B:$H,7,0),0)</f>
        <v>0</v>
      </c>
      <c r="G7032" s="34" t="n">
        <f aca="false">SUMIFS('12.326ana'!$C:$C,'12.326ana'!$M:$M,redes!A7032)</f>
        <v>0</v>
      </c>
    </row>
    <row r="7033" customFormat="false" ht="14.4" hidden="true" customHeight="false" outlineLevel="0" collapsed="false">
      <c r="A7033" s="34" t="n">
        <v>2775157000114</v>
      </c>
      <c r="B7033" s="34" t="s">
        <v>15193</v>
      </c>
      <c r="C7033" s="34" t="s">
        <v>77</v>
      </c>
      <c r="E7033" s="30" t="s">
        <v>15194</v>
      </c>
      <c r="F7033" s="34" t="n">
        <f aca="false">IFERROR(VLOOKUP($A7033,'319'!$B:$H,7,0),0)</f>
        <v>0</v>
      </c>
      <c r="G7033" s="34" t="n">
        <f aca="false">SUMIFS('12.326ana'!$C:$C,'12.326ana'!$M:$M,redes!A7033)</f>
        <v>0</v>
      </c>
    </row>
    <row r="7034" customFormat="false" ht="14.4" hidden="true" customHeight="false" outlineLevel="0" collapsed="false">
      <c r="A7034" s="34" t="n">
        <v>2777929000157</v>
      </c>
      <c r="B7034" s="34" t="s">
        <v>15195</v>
      </c>
      <c r="C7034" s="34" t="s">
        <v>77</v>
      </c>
      <c r="E7034" s="30" t="s">
        <v>15196</v>
      </c>
      <c r="F7034" s="34" t="n">
        <f aca="false">IFERROR(VLOOKUP($A7034,'319'!$B:$H,7,0),0)</f>
        <v>0</v>
      </c>
      <c r="G7034" s="34" t="n">
        <f aca="false">SUMIFS('12.326ana'!$C:$C,'12.326ana'!$M:$M,redes!A7034)</f>
        <v>0</v>
      </c>
    </row>
    <row r="7035" customFormat="false" ht="14.4" hidden="true" customHeight="false" outlineLevel="0" collapsed="false">
      <c r="A7035" s="34" t="n">
        <v>2780366000156</v>
      </c>
      <c r="B7035" s="34" t="s">
        <v>15197</v>
      </c>
      <c r="C7035" s="34" t="s">
        <v>77</v>
      </c>
      <c r="E7035" s="30" t="s">
        <v>15198</v>
      </c>
      <c r="F7035" s="34" t="n">
        <f aca="false">IFERROR(VLOOKUP($A7035,'319'!$B:$H,7,0),0)</f>
        <v>0</v>
      </c>
      <c r="G7035" s="34" t="n">
        <f aca="false">SUMIFS('12.326ana'!$C:$C,'12.326ana'!$M:$M,redes!A7035)</f>
        <v>0</v>
      </c>
    </row>
    <row r="7036" customFormat="false" ht="14.4" hidden="true" customHeight="false" outlineLevel="0" collapsed="false">
      <c r="A7036" s="34" t="n">
        <v>2782810000172</v>
      </c>
      <c r="B7036" s="34" t="s">
        <v>15199</v>
      </c>
      <c r="C7036" s="34" t="s">
        <v>478</v>
      </c>
      <c r="E7036" s="30" t="s">
        <v>15200</v>
      </c>
      <c r="F7036" s="34" t="n">
        <f aca="false">IFERROR(VLOOKUP($A7036,'319'!$B:$H,7,0),0)</f>
        <v>0</v>
      </c>
      <c r="G7036" s="34" t="n">
        <f aca="false">SUMIFS('12.326ana'!$C:$C,'12.326ana'!$M:$M,redes!A7036)</f>
        <v>0</v>
      </c>
    </row>
    <row r="7037" customFormat="false" ht="14.4" hidden="true" customHeight="false" outlineLevel="0" collapsed="false">
      <c r="A7037" s="34" t="n">
        <v>2784690000142</v>
      </c>
      <c r="B7037" s="34" t="s">
        <v>15201</v>
      </c>
      <c r="C7037" s="34" t="s">
        <v>107</v>
      </c>
      <c r="E7037" s="30" t="s">
        <v>15202</v>
      </c>
      <c r="F7037" s="34" t="n">
        <f aca="false">IFERROR(VLOOKUP($A7037,'319'!$B:$H,7,0),0)</f>
        <v>0</v>
      </c>
      <c r="G7037" s="34" t="n">
        <f aca="false">SUMIFS('12.326ana'!$C:$C,'12.326ana'!$M:$M,redes!A7037)</f>
        <v>0</v>
      </c>
    </row>
    <row r="7038" customFormat="false" ht="14.4" hidden="true" customHeight="false" outlineLevel="0" collapsed="false">
      <c r="A7038" s="34" t="n">
        <v>2785005000100</v>
      </c>
      <c r="B7038" s="34" t="s">
        <v>15203</v>
      </c>
      <c r="C7038" s="34" t="s">
        <v>77</v>
      </c>
      <c r="E7038" s="30" t="s">
        <v>15204</v>
      </c>
      <c r="F7038" s="34" t="n">
        <f aca="false">IFERROR(VLOOKUP($A7038,'319'!$B:$H,7,0),0)</f>
        <v>0</v>
      </c>
      <c r="G7038" s="34" t="n">
        <f aca="false">SUMIFS('12.326ana'!$C:$C,'12.326ana'!$M:$M,redes!A7038)</f>
        <v>0</v>
      </c>
    </row>
    <row r="7039" customFormat="false" ht="14.4" hidden="true" customHeight="false" outlineLevel="0" collapsed="false">
      <c r="A7039" s="34" t="n">
        <v>2790281000159</v>
      </c>
      <c r="B7039" s="34" t="s">
        <v>15205</v>
      </c>
      <c r="C7039" s="34" t="s">
        <v>77</v>
      </c>
      <c r="E7039" s="30" t="s">
        <v>15206</v>
      </c>
      <c r="F7039" s="34" t="n">
        <f aca="false">IFERROR(VLOOKUP($A7039,'319'!$B:$H,7,0),0)</f>
        <v>0</v>
      </c>
      <c r="G7039" s="34" t="n">
        <f aca="false">SUMIFS('12.326ana'!$C:$C,'12.326ana'!$M:$M,redes!A7039)</f>
        <v>0</v>
      </c>
    </row>
    <row r="7040" customFormat="false" ht="14.4" hidden="true" customHeight="false" outlineLevel="0" collapsed="false">
      <c r="A7040" s="34" t="n">
        <v>2790575000180</v>
      </c>
      <c r="B7040" s="34" t="s">
        <v>15207</v>
      </c>
      <c r="C7040" s="34" t="s">
        <v>77</v>
      </c>
      <c r="E7040" s="30" t="s">
        <v>3959</v>
      </c>
      <c r="F7040" s="34" t="n">
        <f aca="false">IFERROR(VLOOKUP($A7040,'319'!$B:$H,7,0),0)</f>
        <v>0</v>
      </c>
      <c r="G7040" s="34" t="n">
        <f aca="false">SUMIFS('12.326ana'!$C:$C,'12.326ana'!$M:$M,redes!A7040)</f>
        <v>0</v>
      </c>
    </row>
    <row r="7041" customFormat="false" ht="14.4" hidden="true" customHeight="false" outlineLevel="0" collapsed="false">
      <c r="A7041" s="34" t="n">
        <v>2792793000154</v>
      </c>
      <c r="B7041" s="34" t="s">
        <v>15208</v>
      </c>
      <c r="C7041" s="34" t="s">
        <v>357</v>
      </c>
      <c r="E7041" s="30" t="s">
        <v>11054</v>
      </c>
      <c r="F7041" s="34" t="n">
        <f aca="false">IFERROR(VLOOKUP($A7041,'319'!$B:$H,7,0),0)</f>
        <v>0</v>
      </c>
      <c r="G7041" s="34" t="n">
        <f aca="false">SUMIFS('12.326ana'!$C:$C,'12.326ana'!$M:$M,redes!A7041)</f>
        <v>0</v>
      </c>
    </row>
    <row r="7042" customFormat="false" ht="14.4" hidden="true" customHeight="false" outlineLevel="0" collapsed="false">
      <c r="A7042" s="34" t="n">
        <v>2793186000370</v>
      </c>
      <c r="B7042" s="34" t="s">
        <v>15209</v>
      </c>
      <c r="C7042" s="34" t="s">
        <v>107</v>
      </c>
      <c r="D7042" s="34" t="s">
        <v>4797</v>
      </c>
      <c r="E7042" s="30" t="s">
        <v>15210</v>
      </c>
      <c r="F7042" s="34" t="n">
        <f aca="false">IFERROR(VLOOKUP($A7042,'319'!$B:$H,7,0),0)</f>
        <v>0</v>
      </c>
      <c r="G7042" s="34" t="n">
        <f aca="false">SUMIFS('12.326ana'!$C:$C,'12.326ana'!$M:$M,redes!A7042)</f>
        <v>0</v>
      </c>
    </row>
    <row r="7043" customFormat="false" ht="14.4" hidden="true" customHeight="false" outlineLevel="0" collapsed="false">
      <c r="A7043" s="34" t="n">
        <v>2795617000176</v>
      </c>
      <c r="B7043" s="34" t="s">
        <v>15211</v>
      </c>
      <c r="C7043" s="34" t="s">
        <v>351</v>
      </c>
      <c r="E7043" s="30" t="s">
        <v>15212</v>
      </c>
      <c r="F7043" s="34" t="n">
        <f aca="false">IFERROR(VLOOKUP($A7043,'319'!$B:$H,7,0),0)</f>
        <v>0</v>
      </c>
      <c r="G7043" s="34" t="n">
        <f aca="false">SUMIFS('12.326ana'!$C:$C,'12.326ana'!$M:$M,redes!A7043)</f>
        <v>0</v>
      </c>
    </row>
    <row r="7044" customFormat="false" ht="14.4" hidden="true" customHeight="false" outlineLevel="0" collapsed="false">
      <c r="A7044" s="34" t="n">
        <v>2795795000105</v>
      </c>
      <c r="B7044" s="34" t="s">
        <v>15213</v>
      </c>
      <c r="C7044" s="34" t="s">
        <v>77</v>
      </c>
      <c r="E7044" s="30" t="s">
        <v>15214</v>
      </c>
      <c r="F7044" s="34" t="n">
        <f aca="false">IFERROR(VLOOKUP($A7044,'319'!$B:$H,7,0),0)</f>
        <v>0</v>
      </c>
      <c r="G7044" s="34" t="n">
        <f aca="false">SUMIFS('12.326ana'!$C:$C,'12.326ana'!$M:$M,redes!A7044)</f>
        <v>0</v>
      </c>
    </row>
    <row r="7045" customFormat="false" ht="14.4" hidden="true" customHeight="false" outlineLevel="0" collapsed="false">
      <c r="A7045" s="34" t="n">
        <v>2797245000117</v>
      </c>
      <c r="B7045" s="34" t="s">
        <v>15215</v>
      </c>
      <c r="C7045" s="34" t="s">
        <v>357</v>
      </c>
      <c r="E7045" s="30" t="s">
        <v>13754</v>
      </c>
      <c r="F7045" s="34" t="n">
        <f aca="false">IFERROR(VLOOKUP($A7045,'319'!$B:$H,7,0),0)</f>
        <v>0</v>
      </c>
      <c r="G7045" s="34" t="n">
        <f aca="false">SUMIFS('12.326ana'!$C:$C,'12.326ana'!$M:$M,redes!A7045)</f>
        <v>0</v>
      </c>
    </row>
    <row r="7046" customFormat="false" ht="14.4" hidden="true" customHeight="false" outlineLevel="0" collapsed="false">
      <c r="A7046" s="34" t="n">
        <v>2797425000107</v>
      </c>
      <c r="B7046" s="34" t="s">
        <v>15216</v>
      </c>
      <c r="C7046" s="34" t="s">
        <v>107</v>
      </c>
      <c r="E7046" s="30" t="s">
        <v>5056</v>
      </c>
      <c r="F7046" s="34" t="n">
        <f aca="false">IFERROR(VLOOKUP($A7046,'319'!$B:$H,7,0),0)</f>
        <v>0</v>
      </c>
      <c r="G7046" s="34" t="n">
        <f aca="false">SUMIFS('12.326ana'!$C:$C,'12.326ana'!$M:$M,redes!A7046)</f>
        <v>0</v>
      </c>
    </row>
    <row r="7047" customFormat="false" ht="14.4" hidden="true" customHeight="false" outlineLevel="0" collapsed="false">
      <c r="A7047" s="34" t="n">
        <v>2798355000101</v>
      </c>
      <c r="B7047" s="34" t="s">
        <v>15217</v>
      </c>
      <c r="C7047" s="34" t="s">
        <v>77</v>
      </c>
      <c r="E7047" s="30" t="s">
        <v>15218</v>
      </c>
      <c r="F7047" s="34" t="n">
        <f aca="false">IFERROR(VLOOKUP($A7047,'319'!$B:$H,7,0),0)</f>
        <v>0</v>
      </c>
      <c r="G7047" s="34" t="n">
        <f aca="false">SUMIFS('12.326ana'!$C:$C,'12.326ana'!$M:$M,redes!A7047)</f>
        <v>0</v>
      </c>
    </row>
    <row r="7048" customFormat="false" ht="14.4" hidden="true" customHeight="false" outlineLevel="0" collapsed="false">
      <c r="A7048" s="34" t="n">
        <v>2798440000161</v>
      </c>
      <c r="B7048" s="34" t="s">
        <v>15219</v>
      </c>
      <c r="C7048" s="34" t="s">
        <v>77</v>
      </c>
      <c r="E7048" s="30" t="s">
        <v>15220</v>
      </c>
      <c r="F7048" s="34" t="n">
        <f aca="false">IFERROR(VLOOKUP($A7048,'319'!$B:$H,7,0),0)</f>
        <v>0</v>
      </c>
      <c r="G7048" s="34" t="n">
        <f aca="false">SUMIFS('12.326ana'!$C:$C,'12.326ana'!$M:$M,redes!A7048)</f>
        <v>0</v>
      </c>
    </row>
    <row r="7049" customFormat="false" ht="14.4" hidden="true" customHeight="false" outlineLevel="0" collapsed="false">
      <c r="A7049" s="34" t="n">
        <v>2799585000187</v>
      </c>
      <c r="B7049" s="34" t="s">
        <v>15221</v>
      </c>
      <c r="C7049" s="34" t="s">
        <v>127</v>
      </c>
      <c r="E7049" s="30" t="s">
        <v>15222</v>
      </c>
      <c r="F7049" s="34" t="n">
        <f aca="false">IFERROR(VLOOKUP($A7049,'319'!$B:$H,7,0),0)</f>
        <v>0</v>
      </c>
      <c r="G7049" s="34" t="n">
        <f aca="false">SUMIFS('12.326ana'!$C:$C,'12.326ana'!$M:$M,redes!A7049)</f>
        <v>0</v>
      </c>
    </row>
    <row r="7050" customFormat="false" ht="14.4" hidden="true" customHeight="false" outlineLevel="0" collapsed="false">
      <c r="A7050" s="35" t="n">
        <v>2799624000146</v>
      </c>
      <c r="B7050" s="34" t="s">
        <v>15223</v>
      </c>
      <c r="C7050" s="34" t="s">
        <v>77</v>
      </c>
      <c r="E7050" s="30" t="s">
        <v>15224</v>
      </c>
      <c r="F7050" s="34" t="n">
        <f aca="false">IFERROR(VLOOKUP($A7050,'319'!$B:$H,7,0),0)</f>
        <v>0</v>
      </c>
      <c r="G7050" s="34" t="n">
        <f aca="false">SUMIFS('12.326ana'!$C:$C,'12.326ana'!$M:$M,redes!A7050)</f>
        <v>0</v>
      </c>
    </row>
    <row r="7051" customFormat="false" ht="14.4" hidden="true" customHeight="false" outlineLevel="0" collapsed="false">
      <c r="A7051" s="34" t="n">
        <v>2801562000160</v>
      </c>
      <c r="B7051" s="34" t="s">
        <v>15225</v>
      </c>
      <c r="C7051" s="34" t="s">
        <v>737</v>
      </c>
      <c r="E7051" s="30" t="s">
        <v>6365</v>
      </c>
      <c r="F7051" s="34" t="n">
        <f aca="false">IFERROR(VLOOKUP($A7051,'319'!$B:$H,7,0),0)</f>
        <v>0</v>
      </c>
      <c r="G7051" s="34" t="n">
        <f aca="false">SUMIFS('12.326ana'!$C:$C,'12.326ana'!$M:$M,redes!A7051)</f>
        <v>0</v>
      </c>
    </row>
    <row r="7052" customFormat="false" ht="14.4" hidden="true" customHeight="false" outlineLevel="0" collapsed="false">
      <c r="A7052" s="34" t="n">
        <v>2803388000194</v>
      </c>
      <c r="B7052" s="34" t="s">
        <v>15226</v>
      </c>
      <c r="C7052" s="34" t="s">
        <v>604</v>
      </c>
      <c r="E7052" s="30" t="s">
        <v>8257</v>
      </c>
      <c r="F7052" s="34" t="n">
        <f aca="false">IFERROR(VLOOKUP($A7052,'319'!$B:$H,7,0),0)</f>
        <v>0</v>
      </c>
      <c r="G7052" s="34" t="n">
        <f aca="false">SUMIFS('12.326ana'!$C:$C,'12.326ana'!$M:$M,redes!A7052)</f>
        <v>0</v>
      </c>
    </row>
    <row r="7053" customFormat="false" ht="14.4" hidden="true" customHeight="false" outlineLevel="0" collapsed="false">
      <c r="A7053" s="34" t="n">
        <v>2805510000161</v>
      </c>
      <c r="B7053" s="34" t="s">
        <v>15227</v>
      </c>
      <c r="C7053" s="34" t="s">
        <v>77</v>
      </c>
      <c r="E7053" s="30" t="s">
        <v>15228</v>
      </c>
      <c r="F7053" s="34" t="n">
        <f aca="false">IFERROR(VLOOKUP($A7053,'319'!$B:$H,7,0),0)</f>
        <v>0</v>
      </c>
      <c r="G7053" s="34" t="n">
        <f aca="false">SUMIFS('12.326ana'!$C:$C,'12.326ana'!$M:$M,redes!A7053)</f>
        <v>0</v>
      </c>
    </row>
    <row r="7054" customFormat="false" ht="14.4" hidden="true" customHeight="false" outlineLevel="0" collapsed="false">
      <c r="A7054" s="34" t="n">
        <v>2805510000242</v>
      </c>
      <c r="B7054" s="34" t="s">
        <v>15227</v>
      </c>
      <c r="C7054" s="34" t="s">
        <v>77</v>
      </c>
      <c r="D7054" s="34" t="s">
        <v>3324</v>
      </c>
      <c r="E7054" s="30" t="s">
        <v>15229</v>
      </c>
      <c r="F7054" s="34" t="n">
        <f aca="false">IFERROR(VLOOKUP($A7054,'319'!$B:$H,7,0),0)</f>
        <v>0</v>
      </c>
      <c r="G7054" s="34" t="n">
        <f aca="false">SUMIFS('12.326ana'!$C:$C,'12.326ana'!$M:$M,redes!A7054)</f>
        <v>0</v>
      </c>
    </row>
    <row r="7055" customFormat="false" ht="14.4" hidden="true" customHeight="false" outlineLevel="0" collapsed="false">
      <c r="A7055" s="34" t="n">
        <v>2806199000175</v>
      </c>
      <c r="B7055" s="34" t="s">
        <v>15230</v>
      </c>
      <c r="C7055" s="34" t="s">
        <v>77</v>
      </c>
      <c r="E7055" s="30" t="s">
        <v>14835</v>
      </c>
      <c r="F7055" s="34" t="n">
        <f aca="false">IFERROR(VLOOKUP($A7055,'319'!$B:$H,7,0),0)</f>
        <v>0</v>
      </c>
      <c r="G7055" s="34" t="n">
        <f aca="false">SUMIFS('12.326ana'!$C:$C,'12.326ana'!$M:$M,redes!A7055)</f>
        <v>0</v>
      </c>
    </row>
    <row r="7056" customFormat="false" ht="14.4" hidden="true" customHeight="false" outlineLevel="0" collapsed="false">
      <c r="A7056" s="34" t="n">
        <v>2810242000176</v>
      </c>
      <c r="B7056" s="34" t="s">
        <v>15231</v>
      </c>
      <c r="C7056" s="34" t="s">
        <v>77</v>
      </c>
      <c r="D7056" s="34" t="s">
        <v>23</v>
      </c>
      <c r="E7056" s="30" t="s">
        <v>15232</v>
      </c>
      <c r="F7056" s="34" t="n">
        <f aca="false">IFERROR(VLOOKUP($A7056,'319'!$B:$H,7,0),0)</f>
        <v>0</v>
      </c>
      <c r="G7056" s="34" t="n">
        <f aca="false">SUMIFS('12.326ana'!$C:$C,'12.326ana'!$M:$M,redes!A7056)</f>
        <v>0</v>
      </c>
    </row>
    <row r="7057" customFormat="false" ht="14.4" hidden="true" customHeight="false" outlineLevel="0" collapsed="false">
      <c r="A7057" s="34" t="n">
        <v>2810669000174</v>
      </c>
      <c r="B7057" s="34" t="s">
        <v>15233</v>
      </c>
      <c r="C7057" s="34" t="s">
        <v>77</v>
      </c>
      <c r="E7057" s="30" t="s">
        <v>4655</v>
      </c>
      <c r="F7057" s="34" t="n">
        <f aca="false">IFERROR(VLOOKUP($A7057,'319'!$B:$H,7,0),0)</f>
        <v>0</v>
      </c>
      <c r="G7057" s="34" t="n">
        <f aca="false">SUMIFS('12.326ana'!$C:$C,'12.326ana'!$M:$M,redes!A7057)</f>
        <v>0</v>
      </c>
    </row>
    <row r="7058" customFormat="false" ht="14.4" hidden="true" customHeight="false" outlineLevel="0" collapsed="false">
      <c r="A7058" s="34" t="n">
        <v>2811868000105</v>
      </c>
      <c r="B7058" s="34" t="s">
        <v>15234</v>
      </c>
      <c r="C7058" s="34" t="s">
        <v>4418</v>
      </c>
      <c r="E7058" s="30" t="s">
        <v>15235</v>
      </c>
      <c r="F7058" s="34" t="n">
        <f aca="false">IFERROR(VLOOKUP($A7058,'319'!$B:$H,7,0),0)</f>
        <v>0</v>
      </c>
      <c r="G7058" s="34" t="n">
        <f aca="false">SUMIFS('12.326ana'!$C:$C,'12.326ana'!$M:$M,redes!A7058)</f>
        <v>0</v>
      </c>
    </row>
    <row r="7059" customFormat="false" ht="14.4" hidden="true" customHeight="false" outlineLevel="0" collapsed="false">
      <c r="A7059" s="34" t="n">
        <v>2813165000108</v>
      </c>
      <c r="B7059" s="34" t="s">
        <v>15236</v>
      </c>
      <c r="C7059" s="34" t="s">
        <v>377</v>
      </c>
      <c r="E7059" s="30" t="s">
        <v>15237</v>
      </c>
      <c r="F7059" s="34" t="n">
        <f aca="false">IFERROR(VLOOKUP($A7059,'319'!$B:$H,7,0),0)</f>
        <v>0</v>
      </c>
      <c r="G7059" s="34" t="n">
        <f aca="false">SUMIFS('12.326ana'!$C:$C,'12.326ana'!$M:$M,redes!A7059)</f>
        <v>0</v>
      </c>
    </row>
    <row r="7060" customFormat="false" ht="14.4" hidden="true" customHeight="false" outlineLevel="0" collapsed="false">
      <c r="A7060" s="34" t="n">
        <v>2813165000299</v>
      </c>
      <c r="B7060" s="34" t="s">
        <v>15236</v>
      </c>
      <c r="C7060" s="34" t="s">
        <v>89</v>
      </c>
      <c r="E7060" s="30" t="s">
        <v>15238</v>
      </c>
      <c r="F7060" s="34" t="n">
        <f aca="false">IFERROR(VLOOKUP($A7060,'319'!$B:$H,7,0),0)</f>
        <v>0</v>
      </c>
      <c r="G7060" s="34" t="n">
        <f aca="false">SUMIFS('12.326ana'!$C:$C,'12.326ana'!$M:$M,redes!A7060)</f>
        <v>0</v>
      </c>
    </row>
    <row r="7061" customFormat="false" ht="14.4" hidden="true" customHeight="false" outlineLevel="0" collapsed="false">
      <c r="A7061" s="34" t="n">
        <v>2814359000128</v>
      </c>
      <c r="B7061" s="34" t="s">
        <v>15239</v>
      </c>
      <c r="C7061" s="34" t="s">
        <v>77</v>
      </c>
      <c r="E7061" s="30" t="s">
        <v>15240</v>
      </c>
      <c r="F7061" s="34" t="n">
        <f aca="false">IFERROR(VLOOKUP($A7061,'319'!$B:$H,7,0),0)</f>
        <v>0</v>
      </c>
      <c r="G7061" s="34" t="n">
        <f aca="false">SUMIFS('12.326ana'!$C:$C,'12.326ana'!$M:$M,redes!A7061)</f>
        <v>0</v>
      </c>
    </row>
    <row r="7062" customFormat="false" ht="14.4" hidden="true" customHeight="false" outlineLevel="0" collapsed="false">
      <c r="A7062" s="34" t="n">
        <v>2815674000170</v>
      </c>
      <c r="B7062" s="34" t="s">
        <v>15241</v>
      </c>
      <c r="C7062" s="34" t="s">
        <v>139</v>
      </c>
      <c r="E7062" s="30" t="s">
        <v>4585</v>
      </c>
      <c r="F7062" s="34" t="n">
        <f aca="false">IFERROR(VLOOKUP($A7062,'319'!$B:$H,7,0),0)</f>
        <v>0</v>
      </c>
      <c r="G7062" s="34" t="n">
        <f aca="false">SUMIFS('12.326ana'!$C:$C,'12.326ana'!$M:$M,redes!A7062)</f>
        <v>0</v>
      </c>
    </row>
    <row r="7063" customFormat="false" ht="14.4" hidden="true" customHeight="false" outlineLevel="0" collapsed="false">
      <c r="A7063" s="34" t="n">
        <v>2816958000180</v>
      </c>
      <c r="B7063" s="34" t="s">
        <v>15242</v>
      </c>
      <c r="C7063" s="34" t="s">
        <v>77</v>
      </c>
      <c r="D7063" s="34" t="s">
        <v>5602</v>
      </c>
      <c r="E7063" s="30" t="s">
        <v>5804</v>
      </c>
      <c r="F7063" s="34" t="n">
        <f aca="false">IFERROR(VLOOKUP($A7063,'319'!$B:$H,7,0),0)</f>
        <v>0</v>
      </c>
      <c r="G7063" s="34" t="n">
        <f aca="false">SUMIFS('12.326ana'!$C:$C,'12.326ana'!$M:$M,redes!A7063)</f>
        <v>0</v>
      </c>
    </row>
    <row r="7064" customFormat="false" ht="14.4" hidden="true" customHeight="false" outlineLevel="0" collapsed="false">
      <c r="A7064" s="34" t="n">
        <v>2818932000171</v>
      </c>
      <c r="B7064" s="34" t="s">
        <v>15243</v>
      </c>
      <c r="C7064" s="34" t="s">
        <v>77</v>
      </c>
      <c r="E7064" s="30" t="s">
        <v>15244</v>
      </c>
      <c r="F7064" s="34" t="n">
        <f aca="false">IFERROR(VLOOKUP($A7064,'319'!$B:$H,7,0),0)</f>
        <v>0</v>
      </c>
      <c r="G7064" s="34" t="n">
        <f aca="false">SUMIFS('12.326ana'!$C:$C,'12.326ana'!$M:$M,redes!A7064)</f>
        <v>0</v>
      </c>
    </row>
    <row r="7065" customFormat="false" ht="14.4" hidden="true" customHeight="false" outlineLevel="0" collapsed="false">
      <c r="A7065" s="34" t="n">
        <v>2821685000162</v>
      </c>
      <c r="B7065" s="34" t="s">
        <v>15245</v>
      </c>
      <c r="C7065" s="34" t="s">
        <v>309</v>
      </c>
      <c r="E7065" s="30" t="s">
        <v>15246</v>
      </c>
      <c r="F7065" s="34" t="n">
        <f aca="false">IFERROR(VLOOKUP($A7065,'319'!$B:$H,7,0),0)</f>
        <v>0</v>
      </c>
      <c r="G7065" s="34" t="n">
        <f aca="false">SUMIFS('12.326ana'!$C:$C,'12.326ana'!$M:$M,redes!A7065)</f>
        <v>0</v>
      </c>
    </row>
    <row r="7066" customFormat="false" ht="14.4" hidden="true" customHeight="false" outlineLevel="0" collapsed="false">
      <c r="A7066" s="34" t="n">
        <v>2821776000106</v>
      </c>
      <c r="B7066" s="34" t="s">
        <v>15247</v>
      </c>
      <c r="C7066" s="34" t="s">
        <v>77</v>
      </c>
      <c r="E7066" s="30" t="s">
        <v>15248</v>
      </c>
      <c r="F7066" s="34" t="n">
        <f aca="false">IFERROR(VLOOKUP($A7066,'319'!$B:$H,7,0),0)</f>
        <v>0</v>
      </c>
      <c r="G7066" s="34" t="n">
        <f aca="false">SUMIFS('12.326ana'!$C:$C,'12.326ana'!$M:$M,redes!A7066)</f>
        <v>0</v>
      </c>
    </row>
    <row r="7067" customFormat="false" ht="14.4" hidden="true" customHeight="false" outlineLevel="0" collapsed="false">
      <c r="A7067" s="34" t="n">
        <v>2823892000156</v>
      </c>
      <c r="B7067" s="34" t="s">
        <v>15249</v>
      </c>
      <c r="C7067" s="34" t="s">
        <v>737</v>
      </c>
      <c r="E7067" s="30" t="s">
        <v>15250</v>
      </c>
      <c r="F7067" s="34" t="n">
        <f aca="false">IFERROR(VLOOKUP($A7067,'319'!$B:$H,7,0),0)</f>
        <v>0</v>
      </c>
      <c r="G7067" s="34" t="n">
        <f aca="false">SUMIFS('12.326ana'!$C:$C,'12.326ana'!$M:$M,redes!A7067)</f>
        <v>0</v>
      </c>
    </row>
    <row r="7068" customFormat="false" ht="14.4" hidden="true" customHeight="false" outlineLevel="0" collapsed="false">
      <c r="A7068" s="34" t="n">
        <v>2823903000106</v>
      </c>
      <c r="B7068" s="34" t="s">
        <v>15251</v>
      </c>
      <c r="C7068" s="34" t="s">
        <v>737</v>
      </c>
      <c r="E7068" s="30" t="s">
        <v>15252</v>
      </c>
      <c r="F7068" s="34" t="n">
        <f aca="false">IFERROR(VLOOKUP($A7068,'319'!$B:$H,7,0),0)</f>
        <v>0</v>
      </c>
      <c r="G7068" s="34" t="n">
        <f aca="false">SUMIFS('12.326ana'!$C:$C,'12.326ana'!$M:$M,redes!A7068)</f>
        <v>0</v>
      </c>
    </row>
    <row r="7069" customFormat="false" ht="14.4" hidden="true" customHeight="false" outlineLevel="0" collapsed="false">
      <c r="A7069" s="34" t="n">
        <v>2827240000190</v>
      </c>
      <c r="B7069" s="34" t="s">
        <v>15253</v>
      </c>
      <c r="C7069" s="34" t="s">
        <v>107</v>
      </c>
      <c r="E7069" s="30" t="s">
        <v>15254</v>
      </c>
      <c r="F7069" s="34" t="n">
        <f aca="false">IFERROR(VLOOKUP($A7069,'319'!$B:$H,7,0),0)</f>
        <v>0</v>
      </c>
      <c r="G7069" s="34" t="n">
        <f aca="false">SUMIFS('12.326ana'!$C:$C,'12.326ana'!$M:$M,redes!A7069)</f>
        <v>0</v>
      </c>
    </row>
    <row r="7070" customFormat="false" ht="14.4" hidden="true" customHeight="false" outlineLevel="0" collapsed="false">
      <c r="A7070" s="34" t="n">
        <v>2828469000149</v>
      </c>
      <c r="B7070" s="34" t="s">
        <v>15255</v>
      </c>
      <c r="C7070" s="34" t="s">
        <v>77</v>
      </c>
      <c r="E7070" s="30" t="s">
        <v>15256</v>
      </c>
      <c r="F7070" s="34" t="n">
        <f aca="false">IFERROR(VLOOKUP($A7070,'319'!$B:$H,7,0),0)</f>
        <v>0</v>
      </c>
      <c r="G7070" s="34" t="n">
        <f aca="false">SUMIFS('12.326ana'!$C:$C,'12.326ana'!$M:$M,redes!A7070)</f>
        <v>0</v>
      </c>
    </row>
    <row r="7071" customFormat="false" ht="14.4" hidden="true" customHeight="false" outlineLevel="0" collapsed="false">
      <c r="A7071" s="34" t="n">
        <v>2830608000179</v>
      </c>
      <c r="B7071" s="34" t="s">
        <v>15257</v>
      </c>
      <c r="C7071" s="34" t="s">
        <v>3594</v>
      </c>
      <c r="E7071" s="30" t="s">
        <v>15258</v>
      </c>
      <c r="F7071" s="34" t="n">
        <f aca="false">IFERROR(VLOOKUP($A7071,'319'!$B:$H,7,0),0)</f>
        <v>0</v>
      </c>
      <c r="G7071" s="34" t="n">
        <f aca="false">SUMIFS('12.326ana'!$C:$C,'12.326ana'!$M:$M,redes!A7071)</f>
        <v>0</v>
      </c>
    </row>
    <row r="7072" customFormat="false" ht="14.4" hidden="true" customHeight="false" outlineLevel="0" collapsed="false">
      <c r="A7072" s="34" t="n">
        <v>2831316000150</v>
      </c>
      <c r="B7072" s="34" t="s">
        <v>15259</v>
      </c>
      <c r="C7072" s="34" t="s">
        <v>107</v>
      </c>
      <c r="E7072" s="30" t="s">
        <v>8180</v>
      </c>
      <c r="F7072" s="34" t="n">
        <f aca="false">IFERROR(VLOOKUP($A7072,'319'!$B:$H,7,0),0)</f>
        <v>0</v>
      </c>
      <c r="G7072" s="34" t="n">
        <f aca="false">SUMIFS('12.326ana'!$C:$C,'12.326ana'!$M:$M,redes!A7072)</f>
        <v>0</v>
      </c>
    </row>
    <row r="7073" customFormat="false" ht="14.4" hidden="true" customHeight="false" outlineLevel="0" collapsed="false">
      <c r="A7073" s="34" t="n">
        <v>2831511000180</v>
      </c>
      <c r="B7073" s="34" t="s">
        <v>15260</v>
      </c>
      <c r="C7073" s="34" t="s">
        <v>139</v>
      </c>
      <c r="E7073" s="30" t="s">
        <v>15261</v>
      </c>
      <c r="F7073" s="34" t="n">
        <f aca="false">IFERROR(VLOOKUP($A7073,'319'!$B:$H,7,0),0)</f>
        <v>0</v>
      </c>
      <c r="G7073" s="34" t="n">
        <f aca="false">SUMIFS('12.326ana'!$C:$C,'12.326ana'!$M:$M,redes!A7073)</f>
        <v>0</v>
      </c>
    </row>
    <row r="7074" customFormat="false" ht="14.4" hidden="true" customHeight="false" outlineLevel="0" collapsed="false">
      <c r="A7074" s="34" t="n">
        <v>2834047000267</v>
      </c>
      <c r="B7074" s="34" t="s">
        <v>15262</v>
      </c>
      <c r="C7074" s="34" t="s">
        <v>598</v>
      </c>
      <c r="E7074" s="30" t="s">
        <v>15263</v>
      </c>
      <c r="F7074" s="34" t="n">
        <f aca="false">IFERROR(VLOOKUP($A7074,'319'!$B:$H,7,0),0)</f>
        <v>0</v>
      </c>
      <c r="G7074" s="34" t="n">
        <f aca="false">SUMIFS('12.326ana'!$C:$C,'12.326ana'!$M:$M,redes!A7074)</f>
        <v>0</v>
      </c>
    </row>
    <row r="7075" customFormat="false" ht="14.4" hidden="true" customHeight="false" outlineLevel="0" collapsed="false">
      <c r="A7075" s="34" t="n">
        <v>2834047001077</v>
      </c>
      <c r="B7075" s="34" t="s">
        <v>15264</v>
      </c>
      <c r="C7075" s="34" t="s">
        <v>562</v>
      </c>
      <c r="E7075" s="30" t="s">
        <v>15265</v>
      </c>
      <c r="F7075" s="34" t="n">
        <f aca="false">IFERROR(VLOOKUP($A7075,'319'!$B:$H,7,0),0)</f>
        <v>0</v>
      </c>
      <c r="G7075" s="34" t="n">
        <f aca="false">SUMIFS('12.326ana'!$C:$C,'12.326ana'!$M:$M,redes!A7075)</f>
        <v>0</v>
      </c>
    </row>
    <row r="7076" customFormat="false" ht="14.4" hidden="true" customHeight="false" outlineLevel="0" collapsed="false">
      <c r="A7076" s="34" t="n">
        <v>2834325000103</v>
      </c>
      <c r="B7076" s="34" t="s">
        <v>15266</v>
      </c>
      <c r="C7076" s="34" t="s">
        <v>117</v>
      </c>
      <c r="E7076" s="30" t="s">
        <v>15267</v>
      </c>
      <c r="F7076" s="34" t="n">
        <f aca="false">IFERROR(VLOOKUP($A7076,'319'!$B:$H,7,0),0)</f>
        <v>0</v>
      </c>
      <c r="G7076" s="34" t="n">
        <f aca="false">SUMIFS('12.326ana'!$C:$C,'12.326ana'!$M:$M,redes!A7076)</f>
        <v>0</v>
      </c>
    </row>
    <row r="7077" customFormat="false" ht="14.4" hidden="true" customHeight="false" outlineLevel="0" collapsed="false">
      <c r="A7077" s="34" t="n">
        <v>2835539000196</v>
      </c>
      <c r="B7077" s="34" t="s">
        <v>15268</v>
      </c>
      <c r="C7077" s="34" t="s">
        <v>473</v>
      </c>
      <c r="E7077" s="30" t="s">
        <v>4636</v>
      </c>
      <c r="F7077" s="34" t="n">
        <f aca="false">IFERROR(VLOOKUP($A7077,'319'!$B:$H,7,0),0)</f>
        <v>0</v>
      </c>
      <c r="G7077" s="34" t="n">
        <f aca="false">SUMIFS('12.326ana'!$C:$C,'12.326ana'!$M:$M,redes!A7077)</f>
        <v>0</v>
      </c>
    </row>
    <row r="7078" customFormat="false" ht="14.4" hidden="true" customHeight="false" outlineLevel="0" collapsed="false">
      <c r="A7078" s="34" t="n">
        <v>2837744000190</v>
      </c>
      <c r="B7078" s="34" t="s">
        <v>15269</v>
      </c>
      <c r="C7078" s="34" t="s">
        <v>2998</v>
      </c>
      <c r="E7078" s="30" t="s">
        <v>15270</v>
      </c>
      <c r="F7078" s="34" t="n">
        <f aca="false">IFERROR(VLOOKUP($A7078,'319'!$B:$H,7,0),0)</f>
        <v>0</v>
      </c>
      <c r="G7078" s="34" t="n">
        <f aca="false">SUMIFS('12.326ana'!$C:$C,'12.326ana'!$M:$M,redes!A7078)</f>
        <v>0</v>
      </c>
    </row>
    <row r="7079" customFormat="false" ht="14.4" hidden="true" customHeight="false" outlineLevel="0" collapsed="false">
      <c r="A7079" s="34" t="n">
        <v>2839925000156</v>
      </c>
      <c r="B7079" s="34" t="s">
        <v>7909</v>
      </c>
      <c r="C7079" s="34" t="s">
        <v>357</v>
      </c>
      <c r="E7079" s="30" t="s">
        <v>7910</v>
      </c>
      <c r="F7079" s="34" t="n">
        <f aca="false">IFERROR(VLOOKUP($A7079,'319'!$B:$H,7,0),0)</f>
        <v>0</v>
      </c>
      <c r="G7079" s="34" t="n">
        <f aca="false">SUMIFS('12.326ana'!$C:$C,'12.326ana'!$M:$M,redes!A7079)</f>
        <v>0</v>
      </c>
    </row>
    <row r="7080" customFormat="false" ht="14.4" hidden="true" customHeight="false" outlineLevel="0" collapsed="false">
      <c r="A7080" s="34" t="n">
        <v>2841406000122</v>
      </c>
      <c r="B7080" s="34" t="s">
        <v>15271</v>
      </c>
      <c r="C7080" s="34" t="s">
        <v>107</v>
      </c>
      <c r="E7080" s="30" t="s">
        <v>15272</v>
      </c>
      <c r="F7080" s="34" t="n">
        <f aca="false">IFERROR(VLOOKUP($A7080,'319'!$B:$H,7,0),0)</f>
        <v>0</v>
      </c>
      <c r="G7080" s="34" t="n">
        <f aca="false">SUMIFS('12.326ana'!$C:$C,'12.326ana'!$M:$M,redes!A7080)</f>
        <v>0</v>
      </c>
    </row>
    <row r="7081" customFormat="false" ht="14.4" hidden="true" customHeight="false" outlineLevel="0" collapsed="false">
      <c r="A7081" s="34" t="n">
        <v>2841661000175</v>
      </c>
      <c r="B7081" s="34" t="s">
        <v>15273</v>
      </c>
      <c r="C7081" s="34" t="s">
        <v>127</v>
      </c>
      <c r="E7081" s="30" t="s">
        <v>15274</v>
      </c>
      <c r="F7081" s="34" t="n">
        <f aca="false">IFERROR(VLOOKUP($A7081,'319'!$B:$H,7,0),0)</f>
        <v>0</v>
      </c>
      <c r="G7081" s="34" t="n">
        <f aca="false">SUMIFS('12.326ana'!$C:$C,'12.326ana'!$M:$M,redes!A7081)</f>
        <v>0</v>
      </c>
    </row>
    <row r="7082" customFormat="false" ht="14.4" hidden="true" customHeight="false" outlineLevel="0" collapsed="false">
      <c r="A7082" s="34" t="n">
        <v>2842324000100</v>
      </c>
      <c r="B7082" s="34" t="s">
        <v>15275</v>
      </c>
      <c r="C7082" s="34" t="s">
        <v>77</v>
      </c>
      <c r="E7082" s="30" t="s">
        <v>10144</v>
      </c>
      <c r="F7082" s="34" t="n">
        <f aca="false">IFERROR(VLOOKUP($A7082,'319'!$B:$H,7,0),0)</f>
        <v>0</v>
      </c>
      <c r="G7082" s="34" t="n">
        <f aca="false">SUMIFS('12.326ana'!$C:$C,'12.326ana'!$M:$M,redes!A7082)</f>
        <v>0</v>
      </c>
    </row>
    <row r="7083" customFormat="false" ht="14.4" hidden="true" customHeight="false" outlineLevel="0" collapsed="false">
      <c r="A7083" s="34" t="n">
        <v>2847388000196</v>
      </c>
      <c r="B7083" s="34" t="s">
        <v>15276</v>
      </c>
      <c r="C7083" s="34" t="s">
        <v>4156</v>
      </c>
      <c r="E7083" s="30" t="s">
        <v>15277</v>
      </c>
      <c r="F7083" s="34" t="n">
        <f aca="false">IFERROR(VLOOKUP($A7083,'319'!$B:$H,7,0),0)</f>
        <v>0</v>
      </c>
      <c r="G7083" s="34" t="n">
        <f aca="false">SUMIFS('12.326ana'!$C:$C,'12.326ana'!$M:$M,redes!A7083)</f>
        <v>0</v>
      </c>
    </row>
    <row r="7084" customFormat="false" ht="14.4" hidden="true" customHeight="false" outlineLevel="0" collapsed="false">
      <c r="A7084" s="34" t="n">
        <v>2847409000173</v>
      </c>
      <c r="B7084" s="34" t="s">
        <v>15278</v>
      </c>
      <c r="C7084" s="34" t="s">
        <v>77</v>
      </c>
      <c r="E7084" s="30" t="s">
        <v>15279</v>
      </c>
      <c r="F7084" s="34" t="n">
        <f aca="false">IFERROR(VLOOKUP($A7084,'319'!$B:$H,7,0),0)</f>
        <v>0</v>
      </c>
      <c r="G7084" s="34" t="n">
        <f aca="false">SUMIFS('12.326ana'!$C:$C,'12.326ana'!$M:$M,redes!A7084)</f>
        <v>0</v>
      </c>
    </row>
    <row r="7085" customFormat="false" ht="14.4" hidden="true" customHeight="false" outlineLevel="0" collapsed="false">
      <c r="A7085" s="34" t="n">
        <v>2850513000117</v>
      </c>
      <c r="B7085" s="34" t="s">
        <v>15280</v>
      </c>
      <c r="C7085" s="34" t="s">
        <v>77</v>
      </c>
      <c r="E7085" s="30" t="s">
        <v>15281</v>
      </c>
      <c r="F7085" s="34" t="n">
        <f aca="false">IFERROR(VLOOKUP($A7085,'319'!$B:$H,7,0),0)</f>
        <v>0</v>
      </c>
      <c r="G7085" s="34" t="n">
        <f aca="false">SUMIFS('12.326ana'!$C:$C,'12.326ana'!$M:$M,redes!A7085)</f>
        <v>0</v>
      </c>
    </row>
    <row r="7086" customFormat="false" ht="14.4" hidden="true" customHeight="false" outlineLevel="0" collapsed="false">
      <c r="A7086" s="34" t="n">
        <v>2850900000153</v>
      </c>
      <c r="B7086" s="34" t="s">
        <v>15282</v>
      </c>
      <c r="C7086" s="34" t="s">
        <v>77</v>
      </c>
      <c r="E7086" s="30" t="s">
        <v>15283</v>
      </c>
      <c r="F7086" s="34" t="n">
        <f aca="false">IFERROR(VLOOKUP($A7086,'319'!$B:$H,7,0),0)</f>
        <v>0</v>
      </c>
      <c r="G7086" s="34" t="n">
        <f aca="false">SUMIFS('12.326ana'!$C:$C,'12.326ana'!$M:$M,redes!A7086)</f>
        <v>0</v>
      </c>
    </row>
    <row r="7087" customFormat="false" ht="14.4" hidden="true" customHeight="false" outlineLevel="0" collapsed="false">
      <c r="A7087" s="34" t="n">
        <v>2859490000101</v>
      </c>
      <c r="B7087" s="34" t="s">
        <v>15284</v>
      </c>
      <c r="C7087" s="34" t="s">
        <v>631</v>
      </c>
      <c r="E7087" s="30" t="s">
        <v>15285</v>
      </c>
      <c r="F7087" s="34" t="n">
        <f aca="false">IFERROR(VLOOKUP($A7087,'319'!$B:$H,7,0),0)</f>
        <v>0</v>
      </c>
      <c r="G7087" s="34" t="n">
        <f aca="false">SUMIFS('12.326ana'!$C:$C,'12.326ana'!$M:$M,redes!A7087)</f>
        <v>0</v>
      </c>
    </row>
    <row r="7088" customFormat="false" ht="14.4" hidden="true" customHeight="false" outlineLevel="0" collapsed="false">
      <c r="A7088" s="34" t="n">
        <v>2859955000124</v>
      </c>
      <c r="B7088" s="34" t="s">
        <v>15286</v>
      </c>
      <c r="C7088" s="34" t="s">
        <v>107</v>
      </c>
      <c r="E7088" s="30" t="s">
        <v>2912</v>
      </c>
      <c r="F7088" s="34" t="n">
        <f aca="false">IFERROR(VLOOKUP($A7088,'319'!$B:$H,7,0),0)</f>
        <v>0</v>
      </c>
      <c r="G7088" s="34" t="n">
        <f aca="false">SUMIFS('12.326ana'!$C:$C,'12.326ana'!$M:$M,redes!A7088)</f>
        <v>0</v>
      </c>
    </row>
    <row r="7089" customFormat="false" ht="14.4" hidden="true" customHeight="false" outlineLevel="0" collapsed="false">
      <c r="A7089" s="34" t="n">
        <v>2860031000148</v>
      </c>
      <c r="B7089" s="34" t="s">
        <v>15287</v>
      </c>
      <c r="C7089" s="34" t="s">
        <v>107</v>
      </c>
      <c r="D7089" s="34" t="s">
        <v>4797</v>
      </c>
      <c r="E7089" s="30"/>
      <c r="F7089" s="34" t="n">
        <f aca="false">IFERROR(VLOOKUP($A7089,'319'!$B:$H,7,0),0)</f>
        <v>0</v>
      </c>
      <c r="G7089" s="34" t="n">
        <f aca="false">SUMIFS('12.326ana'!$C:$C,'12.326ana'!$M:$M,redes!A7089)</f>
        <v>0</v>
      </c>
    </row>
    <row r="7090" customFormat="false" ht="14.4" hidden="true" customHeight="false" outlineLevel="0" collapsed="false">
      <c r="A7090" s="34" t="n">
        <v>2863859000150</v>
      </c>
      <c r="B7090" s="34" t="s">
        <v>15288</v>
      </c>
      <c r="C7090" s="34" t="s">
        <v>342</v>
      </c>
      <c r="E7090" s="30" t="s">
        <v>15289</v>
      </c>
      <c r="F7090" s="34" t="n">
        <f aca="false">IFERROR(VLOOKUP($A7090,'319'!$B:$H,7,0),0)</f>
        <v>0</v>
      </c>
      <c r="G7090" s="34" t="n">
        <f aca="false">SUMIFS('12.326ana'!$C:$C,'12.326ana'!$M:$M,redes!A7090)</f>
        <v>0</v>
      </c>
    </row>
    <row r="7091" customFormat="false" ht="14.4" hidden="true" customHeight="false" outlineLevel="0" collapsed="false">
      <c r="A7091" s="34" t="n">
        <v>2868076000169</v>
      </c>
      <c r="B7091" s="34" t="s">
        <v>15290</v>
      </c>
      <c r="C7091" s="34" t="s">
        <v>342</v>
      </c>
      <c r="E7091" s="30" t="s">
        <v>15291</v>
      </c>
      <c r="F7091" s="34" t="n">
        <f aca="false">IFERROR(VLOOKUP($A7091,'319'!$B:$H,7,0),0)</f>
        <v>0</v>
      </c>
      <c r="G7091" s="34" t="n">
        <f aca="false">SUMIFS('12.326ana'!$C:$C,'12.326ana'!$M:$M,redes!A7091)</f>
        <v>0</v>
      </c>
    </row>
    <row r="7092" customFormat="false" ht="14.4" hidden="true" customHeight="false" outlineLevel="0" collapsed="false">
      <c r="A7092" s="34" t="n">
        <v>2870106000171</v>
      </c>
      <c r="B7092" s="34" t="s">
        <v>15292</v>
      </c>
      <c r="C7092" s="34" t="s">
        <v>309</v>
      </c>
      <c r="E7092" s="30" t="s">
        <v>15293</v>
      </c>
      <c r="F7092" s="34" t="n">
        <f aca="false">IFERROR(VLOOKUP($A7092,'319'!$B:$H,7,0),0)</f>
        <v>0</v>
      </c>
      <c r="G7092" s="34" t="n">
        <f aca="false">SUMIFS('12.326ana'!$C:$C,'12.326ana'!$M:$M,redes!A7092)</f>
        <v>0</v>
      </c>
    </row>
    <row r="7093" customFormat="false" ht="14.4" hidden="true" customHeight="false" outlineLevel="0" collapsed="false">
      <c r="A7093" s="34" t="n">
        <v>2870109000105</v>
      </c>
      <c r="B7093" s="34" t="s">
        <v>15294</v>
      </c>
      <c r="C7093" s="34" t="s">
        <v>107</v>
      </c>
      <c r="E7093" s="30" t="s">
        <v>15295</v>
      </c>
      <c r="F7093" s="34" t="n">
        <f aca="false">IFERROR(VLOOKUP($A7093,'319'!$B:$H,7,0),0)</f>
        <v>0</v>
      </c>
      <c r="G7093" s="34" t="n">
        <f aca="false">SUMIFS('12.326ana'!$C:$C,'12.326ana'!$M:$M,redes!A7093)</f>
        <v>0</v>
      </c>
    </row>
    <row r="7094" customFormat="false" ht="14.4" hidden="true" customHeight="false" outlineLevel="0" collapsed="false">
      <c r="A7094" s="34" t="n">
        <v>2871484000170</v>
      </c>
      <c r="B7094" s="34" t="s">
        <v>15296</v>
      </c>
      <c r="C7094" s="34" t="s">
        <v>737</v>
      </c>
      <c r="E7094" s="30" t="s">
        <v>15297</v>
      </c>
      <c r="F7094" s="34" t="n">
        <f aca="false">IFERROR(VLOOKUP($A7094,'319'!$B:$H,7,0),0)</f>
        <v>0</v>
      </c>
      <c r="G7094" s="34" t="n">
        <f aca="false">SUMIFS('12.326ana'!$C:$C,'12.326ana'!$M:$M,redes!A7094)</f>
        <v>0</v>
      </c>
    </row>
    <row r="7095" customFormat="false" ht="14.4" hidden="true" customHeight="false" outlineLevel="0" collapsed="false">
      <c r="A7095" s="34" t="n">
        <v>2873613000169</v>
      </c>
      <c r="B7095" s="34" t="s">
        <v>15298</v>
      </c>
      <c r="C7095" s="34" t="s">
        <v>77</v>
      </c>
      <c r="E7095" s="30" t="s">
        <v>15299</v>
      </c>
      <c r="F7095" s="34" t="n">
        <f aca="false">IFERROR(VLOOKUP($A7095,'319'!$B:$H,7,0),0)</f>
        <v>0</v>
      </c>
      <c r="G7095" s="34" t="n">
        <f aca="false">SUMIFS('12.326ana'!$C:$C,'12.326ana'!$M:$M,redes!A7095)</f>
        <v>0</v>
      </c>
    </row>
    <row r="7096" customFormat="false" ht="14.4" hidden="true" customHeight="false" outlineLevel="0" collapsed="false">
      <c r="A7096" s="34" t="n">
        <v>2874322000438</v>
      </c>
      <c r="B7096" s="34" t="s">
        <v>15300</v>
      </c>
      <c r="C7096" s="34" t="s">
        <v>15301</v>
      </c>
      <c r="E7096" s="30"/>
      <c r="F7096" s="34" t="n">
        <f aca="false">IFERROR(VLOOKUP($A7096,'319'!$B:$H,7,0),0)</f>
        <v>0</v>
      </c>
      <c r="G7096" s="34" t="n">
        <f aca="false">SUMIFS('12.326ana'!$C:$C,'12.326ana'!$M:$M,redes!A7096)</f>
        <v>0</v>
      </c>
    </row>
    <row r="7097" customFormat="false" ht="14.4" hidden="true" customHeight="false" outlineLevel="0" collapsed="false">
      <c r="A7097" s="34" t="n">
        <v>2880690000146</v>
      </c>
      <c r="B7097" s="34" t="s">
        <v>15302</v>
      </c>
      <c r="C7097" s="34" t="s">
        <v>3060</v>
      </c>
      <c r="E7097" s="30" t="s">
        <v>15303</v>
      </c>
      <c r="F7097" s="34" t="n">
        <f aca="false">IFERROR(VLOOKUP($A7097,'319'!$B:$H,7,0),0)</f>
        <v>0</v>
      </c>
      <c r="G7097" s="34" t="n">
        <f aca="false">SUMIFS('12.326ana'!$C:$C,'12.326ana'!$M:$M,redes!A7097)</f>
        <v>0</v>
      </c>
    </row>
    <row r="7098" customFormat="false" ht="14.4" hidden="true" customHeight="false" outlineLevel="0" collapsed="false">
      <c r="A7098" s="34" t="n">
        <v>2882451000125</v>
      </c>
      <c r="B7098" s="34" t="s">
        <v>15304</v>
      </c>
      <c r="C7098" s="34" t="s">
        <v>631</v>
      </c>
      <c r="E7098" s="30" t="s">
        <v>12390</v>
      </c>
      <c r="F7098" s="34" t="n">
        <f aca="false">IFERROR(VLOOKUP($A7098,'319'!$B:$H,7,0),0)</f>
        <v>0</v>
      </c>
      <c r="G7098" s="34" t="n">
        <f aca="false">SUMIFS('12.326ana'!$C:$C,'12.326ana'!$M:$M,redes!A7098)</f>
        <v>0</v>
      </c>
    </row>
    <row r="7099" customFormat="false" ht="14.4" hidden="true" customHeight="false" outlineLevel="0" collapsed="false">
      <c r="A7099" s="34" t="n">
        <v>2882618000158</v>
      </c>
      <c r="B7099" s="34" t="s">
        <v>15305</v>
      </c>
      <c r="C7099" s="34" t="s">
        <v>139</v>
      </c>
      <c r="E7099" s="30" t="s">
        <v>8451</v>
      </c>
      <c r="F7099" s="34" t="n">
        <f aca="false">IFERROR(VLOOKUP($A7099,'319'!$B:$H,7,0),0)</f>
        <v>0</v>
      </c>
      <c r="G7099" s="34" t="n">
        <f aca="false">SUMIFS('12.326ana'!$C:$C,'12.326ana'!$M:$M,redes!A7099)</f>
        <v>0</v>
      </c>
    </row>
    <row r="7100" customFormat="false" ht="14.4" hidden="true" customHeight="false" outlineLevel="0" collapsed="false">
      <c r="A7100" s="34" t="n">
        <v>2885808000129</v>
      </c>
      <c r="B7100" s="34" t="s">
        <v>15306</v>
      </c>
      <c r="C7100" s="34" t="s">
        <v>935</v>
      </c>
      <c r="E7100" s="30" t="s">
        <v>12885</v>
      </c>
      <c r="F7100" s="34" t="n">
        <f aca="false">IFERROR(VLOOKUP($A7100,'319'!$B:$H,7,0),0)</f>
        <v>0</v>
      </c>
      <c r="G7100" s="34" t="n">
        <f aca="false">SUMIFS('12.326ana'!$C:$C,'12.326ana'!$M:$M,redes!A7100)</f>
        <v>0</v>
      </c>
    </row>
    <row r="7101" customFormat="false" ht="14.4" hidden="true" customHeight="false" outlineLevel="0" collapsed="false">
      <c r="A7101" s="34" t="n">
        <v>2885808000200</v>
      </c>
      <c r="B7101" s="34" t="s">
        <v>15306</v>
      </c>
      <c r="C7101" s="34" t="s">
        <v>107</v>
      </c>
      <c r="E7101" s="30" t="s">
        <v>15307</v>
      </c>
      <c r="F7101" s="34" t="n">
        <f aca="false">IFERROR(VLOOKUP($A7101,'319'!$B:$H,7,0),0)</f>
        <v>0</v>
      </c>
      <c r="G7101" s="34" t="n">
        <f aca="false">SUMIFS('12.326ana'!$C:$C,'12.326ana'!$M:$M,redes!A7101)</f>
        <v>0</v>
      </c>
    </row>
    <row r="7102" customFormat="false" ht="14.4" hidden="true" customHeight="false" outlineLevel="0" collapsed="false">
      <c r="A7102" s="34" t="n">
        <v>2888623000178</v>
      </c>
      <c r="B7102" s="34" t="s">
        <v>15308</v>
      </c>
      <c r="C7102" s="34" t="s">
        <v>89</v>
      </c>
      <c r="E7102" s="30" t="s">
        <v>12996</v>
      </c>
      <c r="F7102" s="34" t="n">
        <f aca="false">IFERROR(VLOOKUP($A7102,'319'!$B:$H,7,0),0)</f>
        <v>0</v>
      </c>
      <c r="G7102" s="34" t="n">
        <f aca="false">SUMIFS('12.326ana'!$C:$C,'12.326ana'!$M:$M,redes!A7102)</f>
        <v>0</v>
      </c>
    </row>
    <row r="7103" customFormat="false" ht="14.4" hidden="true" customHeight="false" outlineLevel="0" collapsed="false">
      <c r="A7103" s="34" t="n">
        <v>2888648000171</v>
      </c>
      <c r="B7103" s="34" t="s">
        <v>15309</v>
      </c>
      <c r="C7103" s="34" t="s">
        <v>77</v>
      </c>
      <c r="E7103" s="30" t="s">
        <v>15310</v>
      </c>
      <c r="F7103" s="34" t="n">
        <f aca="false">IFERROR(VLOOKUP($A7103,'319'!$B:$H,7,0),0)</f>
        <v>0</v>
      </c>
      <c r="G7103" s="34" t="n">
        <f aca="false">SUMIFS('12.326ana'!$C:$C,'12.326ana'!$M:$M,redes!A7103)</f>
        <v>0</v>
      </c>
    </row>
    <row r="7104" customFormat="false" ht="14.4" hidden="true" customHeight="false" outlineLevel="0" collapsed="false">
      <c r="A7104" s="34" t="n">
        <v>2889043000103</v>
      </c>
      <c r="B7104" s="34" t="s">
        <v>15311</v>
      </c>
      <c r="C7104" s="34" t="s">
        <v>77</v>
      </c>
      <c r="E7104" s="30" t="s">
        <v>15312</v>
      </c>
      <c r="F7104" s="34" t="n">
        <f aca="false">IFERROR(VLOOKUP($A7104,'319'!$B:$H,7,0),0)</f>
        <v>0</v>
      </c>
      <c r="G7104" s="34" t="n">
        <f aca="false">SUMIFS('12.326ana'!$C:$C,'12.326ana'!$M:$M,redes!A7104)</f>
        <v>0</v>
      </c>
    </row>
    <row r="7105" customFormat="false" ht="14.4" hidden="true" customHeight="false" outlineLevel="0" collapsed="false">
      <c r="A7105" s="34" t="n">
        <v>2889589000156</v>
      </c>
      <c r="B7105" s="34" t="s">
        <v>15313</v>
      </c>
      <c r="C7105" s="34" t="s">
        <v>107</v>
      </c>
      <c r="E7105" s="30"/>
      <c r="F7105" s="34" t="n">
        <f aca="false">IFERROR(VLOOKUP($A7105,'319'!$B:$H,7,0),0)</f>
        <v>0</v>
      </c>
      <c r="G7105" s="34" t="n">
        <f aca="false">SUMIFS('12.326ana'!$C:$C,'12.326ana'!$M:$M,redes!A7105)</f>
        <v>0</v>
      </c>
    </row>
    <row r="7106" customFormat="false" ht="14.4" hidden="true" customHeight="false" outlineLevel="0" collapsed="false">
      <c r="A7106" s="34" t="n">
        <v>2889927000150</v>
      </c>
      <c r="B7106" s="34" t="s">
        <v>15314</v>
      </c>
      <c r="C7106" s="34" t="s">
        <v>342</v>
      </c>
      <c r="E7106" s="30" t="s">
        <v>15315</v>
      </c>
      <c r="F7106" s="34" t="n">
        <f aca="false">IFERROR(VLOOKUP($A7106,'319'!$B:$H,7,0),0)</f>
        <v>0</v>
      </c>
      <c r="G7106" s="34" t="n">
        <f aca="false">SUMIFS('12.326ana'!$C:$C,'12.326ana'!$M:$M,redes!A7106)</f>
        <v>0</v>
      </c>
    </row>
    <row r="7107" customFormat="false" ht="14.4" hidden="true" customHeight="false" outlineLevel="0" collapsed="false">
      <c r="A7107" s="34" t="n">
        <v>2891063000100</v>
      </c>
      <c r="B7107" s="34" t="s">
        <v>15316</v>
      </c>
      <c r="C7107" s="34" t="s">
        <v>77</v>
      </c>
      <c r="E7107" s="30" t="s">
        <v>15317</v>
      </c>
      <c r="F7107" s="34" t="n">
        <f aca="false">IFERROR(VLOOKUP($A7107,'319'!$B:$H,7,0),0)</f>
        <v>0</v>
      </c>
      <c r="G7107" s="34" t="n">
        <f aca="false">SUMIFS('12.326ana'!$C:$C,'12.326ana'!$M:$M,redes!A7107)</f>
        <v>0</v>
      </c>
    </row>
    <row r="7108" customFormat="false" ht="14.4" hidden="true" customHeight="false" outlineLevel="0" collapsed="false">
      <c r="A7108" s="34" t="n">
        <v>2891416000172</v>
      </c>
      <c r="B7108" s="34" t="s">
        <v>15318</v>
      </c>
      <c r="C7108" s="34" t="s">
        <v>77</v>
      </c>
      <c r="E7108" s="30" t="s">
        <v>5413</v>
      </c>
      <c r="F7108" s="34" t="n">
        <f aca="false">IFERROR(VLOOKUP($A7108,'319'!$B:$H,7,0),0)</f>
        <v>0</v>
      </c>
      <c r="G7108" s="34" t="n">
        <f aca="false">SUMIFS('12.326ana'!$C:$C,'12.326ana'!$M:$M,redes!A7108)</f>
        <v>0</v>
      </c>
    </row>
    <row r="7109" customFormat="false" ht="14.4" hidden="true" customHeight="false" outlineLevel="0" collapsed="false">
      <c r="A7109" s="34" t="n">
        <v>2892193000168</v>
      </c>
      <c r="B7109" s="34" t="s">
        <v>15319</v>
      </c>
      <c r="C7109" s="34" t="s">
        <v>464</v>
      </c>
      <c r="E7109" s="30" t="s">
        <v>15320</v>
      </c>
      <c r="F7109" s="34" t="n">
        <f aca="false">IFERROR(VLOOKUP($A7109,'319'!$B:$H,7,0),0)</f>
        <v>0</v>
      </c>
      <c r="G7109" s="34" t="n">
        <f aca="false">SUMIFS('12.326ana'!$C:$C,'12.326ana'!$M:$M,redes!A7109)</f>
        <v>0</v>
      </c>
    </row>
    <row r="7110" customFormat="false" ht="14.4" hidden="true" customHeight="false" outlineLevel="0" collapsed="false">
      <c r="A7110" s="34" t="n">
        <v>2892845000164</v>
      </c>
      <c r="B7110" s="34" t="s">
        <v>15321</v>
      </c>
      <c r="C7110" s="34" t="s">
        <v>107</v>
      </c>
      <c r="E7110" s="30" t="s">
        <v>15322</v>
      </c>
      <c r="F7110" s="34" t="n">
        <f aca="false">IFERROR(VLOOKUP($A7110,'319'!$B:$H,7,0),0)</f>
        <v>0</v>
      </c>
      <c r="G7110" s="34" t="n">
        <f aca="false">SUMIFS('12.326ana'!$C:$C,'12.326ana'!$M:$M,redes!A7110)</f>
        <v>0</v>
      </c>
    </row>
    <row r="7111" customFormat="false" ht="14.4" hidden="true" customHeight="false" outlineLevel="0" collapsed="false">
      <c r="A7111" s="34" t="n">
        <v>2893525000129</v>
      </c>
      <c r="B7111" s="34" t="s">
        <v>15323</v>
      </c>
      <c r="C7111" s="34" t="s">
        <v>77</v>
      </c>
      <c r="E7111" s="30" t="s">
        <v>15324</v>
      </c>
      <c r="F7111" s="34" t="n">
        <f aca="false">IFERROR(VLOOKUP($A7111,'319'!$B:$H,7,0),0)</f>
        <v>0</v>
      </c>
      <c r="G7111" s="34" t="n">
        <f aca="false">SUMIFS('12.326ana'!$C:$C,'12.326ana'!$M:$M,redes!A7111)</f>
        <v>0</v>
      </c>
    </row>
    <row r="7112" customFormat="false" ht="14.4" hidden="true" customHeight="false" outlineLevel="0" collapsed="false">
      <c r="A7112" s="34" t="n">
        <v>2894598000135</v>
      </c>
      <c r="B7112" s="34" t="s">
        <v>15325</v>
      </c>
      <c r="C7112" s="34" t="s">
        <v>604</v>
      </c>
      <c r="E7112" s="30" t="s">
        <v>15326</v>
      </c>
      <c r="F7112" s="34" t="n">
        <f aca="false">IFERROR(VLOOKUP($A7112,'319'!$B:$H,7,0),0)</f>
        <v>0</v>
      </c>
      <c r="G7112" s="34" t="n">
        <f aca="false">SUMIFS('12.326ana'!$C:$C,'12.326ana'!$M:$M,redes!A7112)</f>
        <v>0</v>
      </c>
    </row>
    <row r="7113" customFormat="false" ht="14.4" hidden="true" customHeight="false" outlineLevel="0" collapsed="false">
      <c r="A7113" s="34" t="n">
        <v>2898622000104</v>
      </c>
      <c r="B7113" s="34" t="s">
        <v>15327</v>
      </c>
      <c r="C7113" s="34" t="s">
        <v>77</v>
      </c>
      <c r="E7113" s="30" t="s">
        <v>15328</v>
      </c>
      <c r="F7113" s="34" t="n">
        <f aca="false">IFERROR(VLOOKUP($A7113,'319'!$B:$H,7,0),0)</f>
        <v>0</v>
      </c>
      <c r="G7113" s="34" t="n">
        <f aca="false">SUMIFS('12.326ana'!$C:$C,'12.326ana'!$M:$M,redes!A7113)</f>
        <v>0</v>
      </c>
    </row>
    <row r="7114" customFormat="false" ht="14.4" hidden="true" customHeight="false" outlineLevel="0" collapsed="false">
      <c r="A7114" s="34" t="n">
        <v>2898629000126</v>
      </c>
      <c r="B7114" s="34" t="s">
        <v>15329</v>
      </c>
      <c r="C7114" s="34" t="s">
        <v>77</v>
      </c>
      <c r="D7114" s="34" t="s">
        <v>14670</v>
      </c>
      <c r="E7114" s="30" t="s">
        <v>15330</v>
      </c>
      <c r="F7114" s="34" t="n">
        <f aca="false">IFERROR(VLOOKUP($A7114,'319'!$B:$H,7,0),0)</f>
        <v>0</v>
      </c>
      <c r="G7114" s="34" t="n">
        <f aca="false">SUMIFS('12.326ana'!$C:$C,'12.326ana'!$M:$M,redes!A7114)</f>
        <v>0</v>
      </c>
    </row>
    <row r="7115" customFormat="false" ht="14.4" hidden="true" customHeight="false" outlineLevel="0" collapsed="false">
      <c r="A7115" s="34" t="n">
        <v>2898640000196</v>
      </c>
      <c r="B7115" s="34" t="s">
        <v>15331</v>
      </c>
      <c r="C7115" s="34" t="s">
        <v>77</v>
      </c>
      <c r="E7115" s="30" t="s">
        <v>10749</v>
      </c>
      <c r="F7115" s="34" t="n">
        <f aca="false">IFERROR(VLOOKUP($A7115,'319'!$B:$H,7,0),0)</f>
        <v>0</v>
      </c>
      <c r="G7115" s="34" t="n">
        <f aca="false">SUMIFS('12.326ana'!$C:$C,'12.326ana'!$M:$M,redes!A7115)</f>
        <v>0</v>
      </c>
    </row>
    <row r="7116" customFormat="false" ht="14.4" hidden="true" customHeight="false" outlineLevel="0" collapsed="false">
      <c r="A7116" s="34" t="n">
        <v>2898656000107</v>
      </c>
      <c r="B7116" s="34" t="s">
        <v>15332</v>
      </c>
      <c r="C7116" s="34" t="s">
        <v>77</v>
      </c>
      <c r="E7116" s="30" t="s">
        <v>15333</v>
      </c>
      <c r="F7116" s="34" t="n">
        <f aca="false">IFERROR(VLOOKUP($A7116,'319'!$B:$H,7,0),0)</f>
        <v>0</v>
      </c>
      <c r="G7116" s="34" t="n">
        <f aca="false">SUMIFS('12.326ana'!$C:$C,'12.326ana'!$M:$M,redes!A7116)</f>
        <v>0</v>
      </c>
    </row>
    <row r="7117" customFormat="false" ht="14.4" hidden="true" customHeight="false" outlineLevel="0" collapsed="false">
      <c r="A7117" s="34" t="n">
        <v>2899031000151</v>
      </c>
      <c r="B7117" s="34" t="s">
        <v>4666</v>
      </c>
      <c r="C7117" s="34" t="s">
        <v>342</v>
      </c>
      <c r="E7117" s="30" t="s">
        <v>13544</v>
      </c>
      <c r="F7117" s="34" t="n">
        <f aca="false">IFERROR(VLOOKUP($A7117,'319'!$B:$H,7,0),0)</f>
        <v>0</v>
      </c>
      <c r="G7117" s="34" t="n">
        <f aca="false">SUMIFS('12.326ana'!$C:$C,'12.326ana'!$M:$M,redes!A7117)</f>
        <v>0</v>
      </c>
    </row>
    <row r="7118" customFormat="false" ht="14.4" hidden="true" customHeight="false" outlineLevel="0" collapsed="false">
      <c r="A7118" s="34" t="n">
        <v>2900480000172</v>
      </c>
      <c r="B7118" s="34" t="s">
        <v>15334</v>
      </c>
      <c r="C7118" s="34" t="s">
        <v>107</v>
      </c>
      <c r="E7118" s="30" t="s">
        <v>15335</v>
      </c>
      <c r="F7118" s="34" t="n">
        <f aca="false">IFERROR(VLOOKUP($A7118,'319'!$B:$H,7,0),0)</f>
        <v>0</v>
      </c>
      <c r="G7118" s="34" t="n">
        <f aca="false">SUMIFS('12.326ana'!$C:$C,'12.326ana'!$M:$M,redes!A7118)</f>
        <v>0</v>
      </c>
    </row>
    <row r="7119" customFormat="false" ht="14.4" hidden="true" customHeight="false" outlineLevel="0" collapsed="false">
      <c r="A7119" s="34" t="n">
        <v>2900540000157</v>
      </c>
      <c r="B7119" s="34" t="s">
        <v>15336</v>
      </c>
      <c r="C7119" s="34" t="s">
        <v>77</v>
      </c>
      <c r="E7119" s="30" t="s">
        <v>15337</v>
      </c>
      <c r="F7119" s="34" t="n">
        <f aca="false">IFERROR(VLOOKUP($A7119,'319'!$B:$H,7,0),0)</f>
        <v>0</v>
      </c>
      <c r="G7119" s="34" t="n">
        <f aca="false">SUMIFS('12.326ana'!$C:$C,'12.326ana'!$M:$M,redes!A7119)</f>
        <v>0</v>
      </c>
    </row>
    <row r="7120" customFormat="false" ht="14.4" hidden="true" customHeight="false" outlineLevel="0" collapsed="false">
      <c r="A7120" s="34" t="n">
        <v>2900924000170</v>
      </c>
      <c r="B7120" s="34" t="s">
        <v>15338</v>
      </c>
      <c r="C7120" s="34" t="s">
        <v>594</v>
      </c>
      <c r="E7120" s="30"/>
      <c r="F7120" s="34" t="n">
        <f aca="false">IFERROR(VLOOKUP($A7120,'319'!$B:$H,7,0),0)</f>
        <v>0</v>
      </c>
      <c r="G7120" s="34" t="n">
        <f aca="false">SUMIFS('12.326ana'!$C:$C,'12.326ana'!$M:$M,redes!A7120)</f>
        <v>0</v>
      </c>
    </row>
    <row r="7121" customFormat="false" ht="14.4" hidden="true" customHeight="false" outlineLevel="0" collapsed="false">
      <c r="A7121" s="34" t="n">
        <v>2904851000194</v>
      </c>
      <c r="B7121" s="34" t="s">
        <v>15339</v>
      </c>
      <c r="C7121" s="34" t="s">
        <v>77</v>
      </c>
      <c r="E7121" s="30" t="s">
        <v>15340</v>
      </c>
      <c r="F7121" s="34" t="n">
        <f aca="false">IFERROR(VLOOKUP($A7121,'319'!$B:$H,7,0),0)</f>
        <v>0</v>
      </c>
      <c r="G7121" s="34" t="n">
        <f aca="false">SUMIFS('12.326ana'!$C:$C,'12.326ana'!$M:$M,redes!A7121)</f>
        <v>0</v>
      </c>
    </row>
    <row r="7122" customFormat="false" ht="14.4" hidden="true" customHeight="false" outlineLevel="0" collapsed="false">
      <c r="A7122" s="34" t="n">
        <v>2905110018175</v>
      </c>
      <c r="B7122" s="34" t="s">
        <v>15341</v>
      </c>
      <c r="C7122" s="34" t="s">
        <v>139</v>
      </c>
      <c r="E7122" s="30"/>
      <c r="F7122" s="34" t="n">
        <f aca="false">IFERROR(VLOOKUP($A7122,'319'!$B:$H,7,0),0)</f>
        <v>0</v>
      </c>
      <c r="G7122" s="34" t="n">
        <f aca="false">SUMIFS('12.326ana'!$C:$C,'12.326ana'!$M:$M,redes!A7122)</f>
        <v>0</v>
      </c>
    </row>
    <row r="7123" customFormat="false" ht="14.4" hidden="true" customHeight="false" outlineLevel="0" collapsed="false">
      <c r="A7123" s="34" t="n">
        <v>2906744000103</v>
      </c>
      <c r="B7123" s="34" t="s">
        <v>15342</v>
      </c>
      <c r="C7123" s="34" t="s">
        <v>881</v>
      </c>
      <c r="E7123" s="30" t="s">
        <v>15343</v>
      </c>
      <c r="F7123" s="34" t="n">
        <f aca="false">IFERROR(VLOOKUP($A7123,'319'!$B:$H,7,0),0)</f>
        <v>0</v>
      </c>
      <c r="G7123" s="34" t="n">
        <f aca="false">SUMIFS('12.326ana'!$C:$C,'12.326ana'!$M:$M,redes!A7123)</f>
        <v>0</v>
      </c>
    </row>
    <row r="7124" customFormat="false" ht="14.4" hidden="true" customHeight="false" outlineLevel="0" collapsed="false">
      <c r="A7124" s="34" t="n">
        <v>2906744000286</v>
      </c>
      <c r="B7124" s="34" t="s">
        <v>15342</v>
      </c>
      <c r="C7124" s="34" t="s">
        <v>881</v>
      </c>
      <c r="E7124" s="30" t="s">
        <v>15342</v>
      </c>
      <c r="F7124" s="34" t="n">
        <f aca="false">IFERROR(VLOOKUP($A7124,'319'!$B:$H,7,0),0)</f>
        <v>0</v>
      </c>
      <c r="G7124" s="34" t="n">
        <f aca="false">SUMIFS('12.326ana'!$C:$C,'12.326ana'!$M:$M,redes!A7124)</f>
        <v>0</v>
      </c>
    </row>
    <row r="7125" customFormat="false" ht="14.4" hidden="true" customHeight="false" outlineLevel="0" collapsed="false">
      <c r="A7125" s="34" t="n">
        <v>2907435000140</v>
      </c>
      <c r="B7125" s="34" t="s">
        <v>15344</v>
      </c>
      <c r="C7125" s="34" t="s">
        <v>464</v>
      </c>
      <c r="D7125" s="34" t="s">
        <v>9598</v>
      </c>
      <c r="E7125" s="30" t="s">
        <v>15345</v>
      </c>
      <c r="F7125" s="34" t="n">
        <f aca="false">IFERROR(VLOOKUP($A7125,'319'!$B:$H,7,0),0)</f>
        <v>0</v>
      </c>
      <c r="G7125" s="34" t="n">
        <f aca="false">SUMIFS('12.326ana'!$C:$C,'12.326ana'!$M:$M,redes!A7125)</f>
        <v>0</v>
      </c>
    </row>
    <row r="7126" customFormat="false" ht="14.4" hidden="true" customHeight="false" outlineLevel="0" collapsed="false">
      <c r="A7126" s="34" t="n">
        <v>2907552000103</v>
      </c>
      <c r="B7126" s="34" t="s">
        <v>15346</v>
      </c>
      <c r="C7126" s="34" t="s">
        <v>107</v>
      </c>
      <c r="E7126" s="30" t="s">
        <v>15347</v>
      </c>
      <c r="F7126" s="34" t="n">
        <f aca="false">IFERROR(VLOOKUP($A7126,'319'!$B:$H,7,0),0)</f>
        <v>0</v>
      </c>
      <c r="G7126" s="34" t="n">
        <f aca="false">SUMIFS('12.326ana'!$C:$C,'12.326ana'!$M:$M,redes!A7126)</f>
        <v>0</v>
      </c>
    </row>
    <row r="7127" customFormat="false" ht="14.4" hidden="true" customHeight="false" outlineLevel="0" collapsed="false">
      <c r="A7127" s="34" t="n">
        <v>2909419000196</v>
      </c>
      <c r="B7127" s="34" t="s">
        <v>15348</v>
      </c>
      <c r="C7127" s="34" t="s">
        <v>377</v>
      </c>
      <c r="E7127" s="30" t="s">
        <v>15349</v>
      </c>
      <c r="F7127" s="34" t="n">
        <f aca="false">IFERROR(VLOOKUP($A7127,'319'!$B:$H,7,0),0)</f>
        <v>1751.41</v>
      </c>
      <c r="G7127" s="34" t="n">
        <f aca="false">SUMIFS('12.326ana'!$C:$C,'12.326ana'!$M:$M,redes!A7127)</f>
        <v>0</v>
      </c>
    </row>
    <row r="7128" customFormat="false" ht="14.4" hidden="true" customHeight="false" outlineLevel="0" collapsed="false">
      <c r="A7128" s="34" t="n">
        <v>2909555000186</v>
      </c>
      <c r="B7128" s="34" t="s">
        <v>15350</v>
      </c>
      <c r="C7128" s="34" t="s">
        <v>154</v>
      </c>
      <c r="E7128" s="30" t="s">
        <v>15351</v>
      </c>
      <c r="F7128" s="34" t="n">
        <f aca="false">IFERROR(VLOOKUP($A7128,'319'!$B:$H,7,0),0)</f>
        <v>0</v>
      </c>
      <c r="G7128" s="34" t="n">
        <f aca="false">SUMIFS('12.326ana'!$C:$C,'12.326ana'!$M:$M,redes!A7128)</f>
        <v>0</v>
      </c>
    </row>
    <row r="7129" customFormat="false" ht="14.4" hidden="true" customHeight="false" outlineLevel="0" collapsed="false">
      <c r="A7129" s="34" t="n">
        <v>2909594000183</v>
      </c>
      <c r="B7129" s="34" t="s">
        <v>15352</v>
      </c>
      <c r="C7129" s="34" t="s">
        <v>139</v>
      </c>
      <c r="E7129" s="30" t="s">
        <v>15353</v>
      </c>
      <c r="F7129" s="34" t="n">
        <f aca="false">IFERROR(VLOOKUP($A7129,'319'!$B:$H,7,0),0)</f>
        <v>0</v>
      </c>
      <c r="G7129" s="34" t="n">
        <f aca="false">SUMIFS('12.326ana'!$C:$C,'12.326ana'!$M:$M,redes!A7129)</f>
        <v>0</v>
      </c>
    </row>
    <row r="7130" customFormat="false" ht="14.4" hidden="true" customHeight="false" outlineLevel="0" collapsed="false">
      <c r="A7130" s="34" t="n">
        <v>2909598000161</v>
      </c>
      <c r="B7130" s="34" t="s">
        <v>15354</v>
      </c>
      <c r="C7130" s="34" t="s">
        <v>77</v>
      </c>
      <c r="E7130" s="30" t="s">
        <v>15001</v>
      </c>
      <c r="F7130" s="34" t="n">
        <f aca="false">IFERROR(VLOOKUP($A7130,'319'!$B:$H,7,0),0)</f>
        <v>0</v>
      </c>
      <c r="G7130" s="34" t="n">
        <f aca="false">SUMIFS('12.326ana'!$C:$C,'12.326ana'!$M:$M,redes!A7130)</f>
        <v>0</v>
      </c>
    </row>
    <row r="7131" customFormat="false" ht="14.4" hidden="true" customHeight="false" outlineLevel="0" collapsed="false">
      <c r="A7131" s="34" t="n">
        <v>2909609000103</v>
      </c>
      <c r="B7131" s="34" t="s">
        <v>15355</v>
      </c>
      <c r="C7131" s="34" t="s">
        <v>77</v>
      </c>
      <c r="E7131" s="30" t="s">
        <v>15356</v>
      </c>
      <c r="F7131" s="34" t="n">
        <f aca="false">IFERROR(VLOOKUP($A7131,'319'!$B:$H,7,0),0)</f>
        <v>0</v>
      </c>
      <c r="G7131" s="34" t="n">
        <f aca="false">SUMIFS('12.326ana'!$C:$C,'12.326ana'!$M:$M,redes!A7131)</f>
        <v>0</v>
      </c>
    </row>
    <row r="7132" customFormat="false" ht="14.4" hidden="true" customHeight="false" outlineLevel="0" collapsed="false">
      <c r="A7132" s="34" t="n">
        <v>2909625000104</v>
      </c>
      <c r="B7132" s="34" t="s">
        <v>15357</v>
      </c>
      <c r="C7132" s="34" t="s">
        <v>77</v>
      </c>
      <c r="E7132" s="30" t="s">
        <v>15358</v>
      </c>
      <c r="F7132" s="34" t="n">
        <f aca="false">IFERROR(VLOOKUP($A7132,'319'!$B:$H,7,0),0)</f>
        <v>0</v>
      </c>
      <c r="G7132" s="34" t="n">
        <f aca="false">SUMIFS('12.326ana'!$C:$C,'12.326ana'!$M:$M,redes!A7132)</f>
        <v>0</v>
      </c>
    </row>
    <row r="7133" customFormat="false" ht="14.4" hidden="true" customHeight="false" outlineLevel="0" collapsed="false">
      <c r="A7133" s="34" t="n">
        <v>2912029000175</v>
      </c>
      <c r="B7133" s="34" t="s">
        <v>15359</v>
      </c>
      <c r="C7133" s="34" t="s">
        <v>77</v>
      </c>
      <c r="E7133" s="30" t="s">
        <v>5949</v>
      </c>
      <c r="F7133" s="34" t="n">
        <f aca="false">IFERROR(VLOOKUP($A7133,'319'!$B:$H,7,0),0)</f>
        <v>0</v>
      </c>
      <c r="G7133" s="34" t="n">
        <f aca="false">SUMIFS('12.326ana'!$C:$C,'12.326ana'!$M:$M,redes!A7133)</f>
        <v>0</v>
      </c>
    </row>
    <row r="7134" customFormat="false" ht="14.4" hidden="true" customHeight="false" outlineLevel="0" collapsed="false">
      <c r="A7134" s="34" t="n">
        <v>2912199000150</v>
      </c>
      <c r="B7134" s="34" t="s">
        <v>15360</v>
      </c>
      <c r="C7134" s="34" t="s">
        <v>77</v>
      </c>
      <c r="E7134" s="30" t="s">
        <v>15361</v>
      </c>
      <c r="F7134" s="34" t="n">
        <f aca="false">IFERROR(VLOOKUP($A7134,'319'!$B:$H,7,0),0)</f>
        <v>0</v>
      </c>
      <c r="G7134" s="34" t="n">
        <f aca="false">SUMIFS('12.326ana'!$C:$C,'12.326ana'!$M:$M,redes!A7134)</f>
        <v>0</v>
      </c>
    </row>
    <row r="7135" customFormat="false" ht="14.4" hidden="true" customHeight="false" outlineLevel="0" collapsed="false">
      <c r="A7135" s="34" t="n">
        <v>2912199000230</v>
      </c>
      <c r="B7135" s="34" t="s">
        <v>15360</v>
      </c>
      <c r="C7135" s="34" t="s">
        <v>77</v>
      </c>
      <c r="E7135" s="30" t="s">
        <v>15362</v>
      </c>
      <c r="F7135" s="34" t="n">
        <f aca="false">IFERROR(VLOOKUP($A7135,'319'!$B:$H,7,0),0)</f>
        <v>0</v>
      </c>
      <c r="G7135" s="34" t="n">
        <f aca="false">SUMIFS('12.326ana'!$C:$C,'12.326ana'!$M:$M,redes!A7135)</f>
        <v>0</v>
      </c>
    </row>
    <row r="7136" customFormat="false" ht="14.4" hidden="true" customHeight="false" outlineLevel="0" collapsed="false">
      <c r="A7136" s="34" t="n">
        <v>2912199000311</v>
      </c>
      <c r="B7136" s="34" t="s">
        <v>15360</v>
      </c>
      <c r="C7136" s="34" t="s">
        <v>139</v>
      </c>
      <c r="E7136" s="30" t="s">
        <v>15360</v>
      </c>
      <c r="F7136" s="34" t="n">
        <f aca="false">IFERROR(VLOOKUP($A7136,'319'!$B:$H,7,0),0)</f>
        <v>0</v>
      </c>
      <c r="G7136" s="34" t="n">
        <f aca="false">SUMIFS('12.326ana'!$C:$C,'12.326ana'!$M:$M,redes!A7136)</f>
        <v>0</v>
      </c>
    </row>
    <row r="7137" customFormat="false" ht="14.4" hidden="true" customHeight="false" outlineLevel="0" collapsed="false">
      <c r="A7137" s="34" t="n">
        <v>2912199000400</v>
      </c>
      <c r="B7137" s="34" t="s">
        <v>15360</v>
      </c>
      <c r="C7137" s="34" t="s">
        <v>77</v>
      </c>
      <c r="E7137" s="30" t="s">
        <v>15361</v>
      </c>
      <c r="F7137" s="34" t="n">
        <f aca="false">IFERROR(VLOOKUP($A7137,'319'!$B:$H,7,0),0)</f>
        <v>0</v>
      </c>
      <c r="G7137" s="34" t="n">
        <f aca="false">SUMIFS('12.326ana'!$C:$C,'12.326ana'!$M:$M,redes!A7137)</f>
        <v>0</v>
      </c>
    </row>
    <row r="7138" customFormat="false" ht="14.4" hidden="true" customHeight="false" outlineLevel="0" collapsed="false">
      <c r="A7138" s="34" t="n">
        <v>2912199000583</v>
      </c>
      <c r="B7138" s="34" t="s">
        <v>15360</v>
      </c>
      <c r="C7138" s="34" t="s">
        <v>77</v>
      </c>
      <c r="E7138" s="30" t="s">
        <v>15361</v>
      </c>
      <c r="F7138" s="34" t="n">
        <f aca="false">IFERROR(VLOOKUP($A7138,'319'!$B:$H,7,0),0)</f>
        <v>0</v>
      </c>
      <c r="G7138" s="34" t="n">
        <f aca="false">SUMIFS('12.326ana'!$C:$C,'12.326ana'!$M:$M,redes!A7138)</f>
        <v>0</v>
      </c>
    </row>
    <row r="7139" customFormat="false" ht="14.4" hidden="true" customHeight="false" outlineLevel="0" collapsed="false">
      <c r="A7139" s="34" t="n">
        <v>2916265001212</v>
      </c>
      <c r="B7139" s="34" t="s">
        <v>15363</v>
      </c>
      <c r="C7139" s="34" t="s">
        <v>15364</v>
      </c>
      <c r="E7139" s="30" t="s">
        <v>15365</v>
      </c>
      <c r="F7139" s="34" t="n">
        <f aca="false">IFERROR(VLOOKUP($A7139,'319'!$B:$H,7,0),0)</f>
        <v>0</v>
      </c>
      <c r="G7139" s="34" t="n">
        <f aca="false">SUMIFS('12.326ana'!$C:$C,'12.326ana'!$M:$M,redes!A7139)</f>
        <v>0</v>
      </c>
    </row>
    <row r="7140" customFormat="false" ht="14.4" hidden="true" customHeight="false" outlineLevel="0" collapsed="false">
      <c r="A7140" s="34" t="n">
        <v>2916403000100</v>
      </c>
      <c r="B7140" s="34" t="s">
        <v>15366</v>
      </c>
      <c r="C7140" s="34" t="s">
        <v>77</v>
      </c>
      <c r="E7140" s="30" t="s">
        <v>11474</v>
      </c>
      <c r="F7140" s="34" t="n">
        <f aca="false">IFERROR(VLOOKUP($A7140,'319'!$B:$H,7,0),0)</f>
        <v>0</v>
      </c>
      <c r="G7140" s="34" t="n">
        <f aca="false">SUMIFS('12.326ana'!$C:$C,'12.326ana'!$M:$M,redes!A7140)</f>
        <v>0</v>
      </c>
    </row>
    <row r="7141" customFormat="false" ht="14.4" hidden="true" customHeight="false" outlineLevel="0" collapsed="false">
      <c r="A7141" s="34" t="n">
        <v>2917723000185</v>
      </c>
      <c r="B7141" s="34" t="s">
        <v>15367</v>
      </c>
      <c r="C7141" s="34" t="s">
        <v>464</v>
      </c>
      <c r="E7141" s="30" t="s">
        <v>15368</v>
      </c>
      <c r="F7141" s="34" t="n">
        <f aca="false">IFERROR(VLOOKUP($A7141,'319'!$B:$H,7,0),0)</f>
        <v>0</v>
      </c>
      <c r="G7141" s="34" t="n">
        <f aca="false">SUMIFS('12.326ana'!$C:$C,'12.326ana'!$M:$M,redes!A7141)</f>
        <v>0</v>
      </c>
    </row>
    <row r="7142" customFormat="false" ht="14.4" hidden="true" customHeight="false" outlineLevel="0" collapsed="false">
      <c r="A7142" s="34" t="n">
        <v>2923021000104</v>
      </c>
      <c r="B7142" s="34" t="s">
        <v>15369</v>
      </c>
      <c r="C7142" s="34" t="s">
        <v>77</v>
      </c>
      <c r="E7142" s="30" t="s">
        <v>15370</v>
      </c>
      <c r="F7142" s="34" t="n">
        <f aca="false">IFERROR(VLOOKUP($A7142,'319'!$B:$H,7,0),0)</f>
        <v>0</v>
      </c>
      <c r="G7142" s="34" t="n">
        <f aca="false">SUMIFS('12.326ana'!$C:$C,'12.326ana'!$M:$M,redes!A7142)</f>
        <v>0</v>
      </c>
    </row>
    <row r="7143" customFormat="false" ht="14.4" hidden="true" customHeight="false" outlineLevel="0" collapsed="false">
      <c r="A7143" s="34" t="n">
        <v>2923346000197</v>
      </c>
      <c r="B7143" s="34" t="s">
        <v>15371</v>
      </c>
      <c r="C7143" s="34" t="s">
        <v>342</v>
      </c>
      <c r="E7143" s="30" t="s">
        <v>15372</v>
      </c>
      <c r="F7143" s="34" t="n">
        <f aca="false">IFERROR(VLOOKUP($A7143,'319'!$B:$H,7,0),0)</f>
        <v>0</v>
      </c>
      <c r="G7143" s="34" t="n">
        <f aca="false">SUMIFS('12.326ana'!$C:$C,'12.326ana'!$M:$M,redes!A7143)</f>
        <v>0</v>
      </c>
    </row>
    <row r="7144" customFormat="false" ht="14.4" hidden="true" customHeight="false" outlineLevel="0" collapsed="false">
      <c r="A7144" s="34" t="n">
        <v>2925687000100</v>
      </c>
      <c r="B7144" s="34" t="s">
        <v>15373</v>
      </c>
      <c r="C7144" s="34" t="s">
        <v>464</v>
      </c>
      <c r="E7144" s="30" t="s">
        <v>15374</v>
      </c>
      <c r="F7144" s="34" t="n">
        <f aca="false">IFERROR(VLOOKUP($A7144,'319'!$B:$H,7,0),0)</f>
        <v>0</v>
      </c>
      <c r="G7144" s="34" t="n">
        <f aca="false">SUMIFS('12.326ana'!$C:$C,'12.326ana'!$M:$M,redes!A7144)</f>
        <v>0</v>
      </c>
    </row>
    <row r="7145" customFormat="false" ht="14.4" hidden="true" customHeight="false" outlineLevel="0" collapsed="false">
      <c r="A7145" s="34" t="n">
        <v>2925718000114</v>
      </c>
      <c r="B7145" s="34" t="s">
        <v>15375</v>
      </c>
      <c r="C7145" s="34" t="s">
        <v>107</v>
      </c>
      <c r="E7145" s="30" t="s">
        <v>15376</v>
      </c>
      <c r="F7145" s="34" t="n">
        <f aca="false">IFERROR(VLOOKUP($A7145,'319'!$B:$H,7,0),0)</f>
        <v>0</v>
      </c>
      <c r="G7145" s="34" t="n">
        <f aca="false">SUMIFS('12.326ana'!$C:$C,'12.326ana'!$M:$M,redes!A7145)</f>
        <v>0</v>
      </c>
    </row>
    <row r="7146" customFormat="false" ht="14.4" hidden="true" customHeight="false" outlineLevel="0" collapsed="false">
      <c r="A7146" s="34" t="n">
        <v>2927274000156</v>
      </c>
      <c r="B7146" s="34" t="s">
        <v>15377</v>
      </c>
      <c r="C7146" s="34" t="s">
        <v>77</v>
      </c>
      <c r="E7146" s="30" t="s">
        <v>14463</v>
      </c>
      <c r="F7146" s="34" t="n">
        <f aca="false">IFERROR(VLOOKUP($A7146,'319'!$B:$H,7,0),0)</f>
        <v>0</v>
      </c>
      <c r="G7146" s="34" t="n">
        <f aca="false">SUMIFS('12.326ana'!$C:$C,'12.326ana'!$M:$M,redes!A7146)</f>
        <v>0</v>
      </c>
    </row>
    <row r="7147" customFormat="false" ht="14.4" hidden="true" customHeight="false" outlineLevel="0" collapsed="false">
      <c r="A7147" s="34" t="n">
        <v>2927765000105</v>
      </c>
      <c r="B7147" s="34" t="s">
        <v>15378</v>
      </c>
      <c r="C7147" s="34" t="s">
        <v>464</v>
      </c>
      <c r="D7147" s="34" t="s">
        <v>5602</v>
      </c>
      <c r="E7147" s="30" t="s">
        <v>15379</v>
      </c>
      <c r="F7147" s="34" t="n">
        <f aca="false">IFERROR(VLOOKUP($A7147,'319'!$B:$H,7,0),0)</f>
        <v>0</v>
      </c>
      <c r="G7147" s="34" t="n">
        <f aca="false">SUMIFS('12.326ana'!$C:$C,'12.326ana'!$M:$M,redes!A7147)</f>
        <v>0</v>
      </c>
    </row>
    <row r="7148" customFormat="false" ht="14.4" hidden="true" customHeight="false" outlineLevel="0" collapsed="false">
      <c r="A7148" s="34" t="n">
        <v>2927844000108</v>
      </c>
      <c r="B7148" s="34" t="s">
        <v>15380</v>
      </c>
      <c r="C7148" s="34" t="s">
        <v>117</v>
      </c>
      <c r="E7148" s="30" t="s">
        <v>15381</v>
      </c>
      <c r="F7148" s="34" t="n">
        <f aca="false">IFERROR(VLOOKUP($A7148,'319'!$B:$H,7,0),0)</f>
        <v>0</v>
      </c>
      <c r="G7148" s="34" t="n">
        <f aca="false">SUMIFS('12.326ana'!$C:$C,'12.326ana'!$M:$M,redes!A7148)</f>
        <v>0</v>
      </c>
    </row>
    <row r="7149" customFormat="false" ht="14.4" hidden="true" customHeight="false" outlineLevel="0" collapsed="false">
      <c r="A7149" s="34" t="n">
        <v>2927910000140</v>
      </c>
      <c r="B7149" s="34" t="s">
        <v>15382</v>
      </c>
      <c r="C7149" s="34" t="s">
        <v>197</v>
      </c>
      <c r="E7149" s="30" t="s">
        <v>15383</v>
      </c>
      <c r="F7149" s="34" t="n">
        <f aca="false">IFERROR(VLOOKUP($A7149,'319'!$B:$H,7,0),0)</f>
        <v>0</v>
      </c>
      <c r="G7149" s="34" t="n">
        <f aca="false">SUMIFS('12.326ana'!$C:$C,'12.326ana'!$M:$M,redes!A7149)</f>
        <v>0</v>
      </c>
    </row>
    <row r="7150" customFormat="false" ht="14.4" hidden="true" customHeight="false" outlineLevel="0" collapsed="false">
      <c r="A7150" s="34" t="n">
        <v>2929978000168</v>
      </c>
      <c r="B7150" s="34" t="s">
        <v>15384</v>
      </c>
      <c r="C7150" s="34" t="s">
        <v>77</v>
      </c>
      <c r="E7150" s="30" t="s">
        <v>15385</v>
      </c>
      <c r="F7150" s="34" t="n">
        <f aca="false">IFERROR(VLOOKUP($A7150,'319'!$B:$H,7,0),0)</f>
        <v>0</v>
      </c>
      <c r="G7150" s="34" t="n">
        <f aca="false">SUMIFS('12.326ana'!$C:$C,'12.326ana'!$M:$M,redes!A7150)</f>
        <v>0</v>
      </c>
    </row>
    <row r="7151" customFormat="false" ht="14.4" hidden="true" customHeight="false" outlineLevel="0" collapsed="false">
      <c r="A7151" s="34" t="n">
        <v>2931101000101</v>
      </c>
      <c r="B7151" s="34" t="s">
        <v>15386</v>
      </c>
      <c r="C7151" s="34" t="s">
        <v>77</v>
      </c>
      <c r="E7151" s="30" t="s">
        <v>11699</v>
      </c>
      <c r="F7151" s="34" t="n">
        <f aca="false">IFERROR(VLOOKUP($A7151,'319'!$B:$H,7,0),0)</f>
        <v>0</v>
      </c>
      <c r="G7151" s="34" t="n">
        <f aca="false">SUMIFS('12.326ana'!$C:$C,'12.326ana'!$M:$M,redes!A7151)</f>
        <v>0</v>
      </c>
    </row>
    <row r="7152" customFormat="false" ht="14.4" hidden="true" customHeight="false" outlineLevel="0" collapsed="false">
      <c r="A7152" s="34" t="n">
        <v>2931500000172</v>
      </c>
      <c r="B7152" s="34" t="s">
        <v>15387</v>
      </c>
      <c r="C7152" s="34" t="s">
        <v>77</v>
      </c>
      <c r="E7152" s="30" t="s">
        <v>15388</v>
      </c>
      <c r="F7152" s="34" t="n">
        <f aca="false">IFERROR(VLOOKUP($A7152,'319'!$B:$H,7,0),0)</f>
        <v>0</v>
      </c>
      <c r="G7152" s="34" t="n">
        <f aca="false">SUMIFS('12.326ana'!$C:$C,'12.326ana'!$M:$M,redes!A7152)</f>
        <v>0</v>
      </c>
    </row>
    <row r="7153" customFormat="false" ht="14.4" hidden="true" customHeight="false" outlineLevel="0" collapsed="false">
      <c r="A7153" s="34" t="n">
        <v>2932074004260</v>
      </c>
      <c r="B7153" s="34" t="s">
        <v>15389</v>
      </c>
      <c r="C7153" s="34" t="s">
        <v>13835</v>
      </c>
      <c r="E7153" s="30" t="s">
        <v>15389</v>
      </c>
      <c r="F7153" s="34" t="n">
        <f aca="false">IFERROR(VLOOKUP($A7153,'319'!$B:$H,7,0),0)</f>
        <v>0</v>
      </c>
      <c r="G7153" s="34" t="n">
        <f aca="false">SUMIFS('12.326ana'!$C:$C,'12.326ana'!$M:$M,redes!A7153)</f>
        <v>0</v>
      </c>
    </row>
    <row r="7154" customFormat="false" ht="14.4" hidden="true" customHeight="false" outlineLevel="0" collapsed="false">
      <c r="A7154" s="34" t="n">
        <v>2932074004340</v>
      </c>
      <c r="B7154" s="34" t="s">
        <v>15389</v>
      </c>
      <c r="C7154" s="34" t="s">
        <v>15301</v>
      </c>
      <c r="E7154" s="30" t="s">
        <v>15390</v>
      </c>
      <c r="F7154" s="34" t="n">
        <f aca="false">IFERROR(VLOOKUP($A7154,'319'!$B:$H,7,0),0)</f>
        <v>0</v>
      </c>
      <c r="G7154" s="34" t="n">
        <f aca="false">SUMIFS('12.326ana'!$C:$C,'12.326ana'!$M:$M,redes!A7154)</f>
        <v>0</v>
      </c>
    </row>
    <row r="7155" customFormat="false" ht="14.4" hidden="true" customHeight="false" outlineLevel="0" collapsed="false">
      <c r="A7155" s="34" t="n">
        <v>2932639000130</v>
      </c>
      <c r="B7155" s="34" t="s">
        <v>15391</v>
      </c>
      <c r="C7155" s="34" t="s">
        <v>213</v>
      </c>
      <c r="E7155" s="30" t="s">
        <v>15392</v>
      </c>
      <c r="F7155" s="34" t="n">
        <f aca="false">IFERROR(VLOOKUP($A7155,'319'!$B:$H,7,0),0)</f>
        <v>0</v>
      </c>
      <c r="G7155" s="34" t="n">
        <f aca="false">SUMIFS('12.326ana'!$C:$C,'12.326ana'!$M:$M,redes!A7155)</f>
        <v>0</v>
      </c>
    </row>
    <row r="7156" customFormat="false" ht="14.4" hidden="true" customHeight="false" outlineLevel="0" collapsed="false">
      <c r="A7156" s="34" t="n">
        <v>2932750000127</v>
      </c>
      <c r="B7156" s="34" t="s">
        <v>15393</v>
      </c>
      <c r="C7156" s="34" t="s">
        <v>139</v>
      </c>
      <c r="E7156" s="30" t="s">
        <v>8293</v>
      </c>
      <c r="F7156" s="34" t="n">
        <f aca="false">IFERROR(VLOOKUP($A7156,'319'!$B:$H,7,0),0)</f>
        <v>0</v>
      </c>
      <c r="G7156" s="34" t="n">
        <f aca="false">SUMIFS('12.326ana'!$C:$C,'12.326ana'!$M:$M,redes!A7156)</f>
        <v>0</v>
      </c>
    </row>
    <row r="7157" customFormat="false" ht="14.4" hidden="true" customHeight="false" outlineLevel="0" collapsed="false">
      <c r="A7157" s="34" t="n">
        <v>2933555000111</v>
      </c>
      <c r="B7157" s="34" t="s">
        <v>15394</v>
      </c>
      <c r="C7157" s="34" t="s">
        <v>77</v>
      </c>
      <c r="E7157" s="30" t="s">
        <v>15395</v>
      </c>
      <c r="F7157" s="34" t="n">
        <f aca="false">IFERROR(VLOOKUP($A7157,'319'!$B:$H,7,0),0)</f>
        <v>0</v>
      </c>
      <c r="G7157" s="34" t="n">
        <f aca="false">SUMIFS('12.326ana'!$C:$C,'12.326ana'!$M:$M,redes!A7157)</f>
        <v>0</v>
      </c>
    </row>
    <row r="7158" customFormat="false" ht="14.4" hidden="true" customHeight="false" outlineLevel="0" collapsed="false">
      <c r="A7158" s="34" t="n">
        <v>2936173000141</v>
      </c>
      <c r="B7158" s="34" t="s">
        <v>15396</v>
      </c>
      <c r="C7158" s="34" t="s">
        <v>77</v>
      </c>
      <c r="E7158" s="30" t="s">
        <v>15397</v>
      </c>
      <c r="F7158" s="34" t="n">
        <f aca="false">IFERROR(VLOOKUP($A7158,'319'!$B:$H,7,0),0)</f>
        <v>0</v>
      </c>
      <c r="G7158" s="34" t="n">
        <f aca="false">SUMIFS('12.326ana'!$C:$C,'12.326ana'!$M:$M,redes!A7158)</f>
        <v>0</v>
      </c>
    </row>
    <row r="7159" customFormat="false" ht="14.4" hidden="true" customHeight="false" outlineLevel="0" collapsed="false">
      <c r="A7159" s="34" t="n">
        <v>2936848000152</v>
      </c>
      <c r="B7159" s="34" t="s">
        <v>15398</v>
      </c>
      <c r="C7159" s="34" t="s">
        <v>107</v>
      </c>
      <c r="E7159" s="30" t="s">
        <v>15399</v>
      </c>
      <c r="F7159" s="34" t="n">
        <f aca="false">IFERROR(VLOOKUP($A7159,'319'!$B:$H,7,0),0)</f>
        <v>0</v>
      </c>
      <c r="G7159" s="34" t="n">
        <f aca="false">SUMIFS('12.326ana'!$C:$C,'12.326ana'!$M:$M,redes!A7159)</f>
        <v>0</v>
      </c>
    </row>
    <row r="7160" customFormat="false" ht="14.4" hidden="true" customHeight="false" outlineLevel="0" collapsed="false">
      <c r="A7160" s="34" t="n">
        <v>2937805000191</v>
      </c>
      <c r="B7160" s="34" t="s">
        <v>15400</v>
      </c>
      <c r="C7160" s="34" t="s">
        <v>107</v>
      </c>
      <c r="E7160" s="30" t="s">
        <v>4262</v>
      </c>
      <c r="F7160" s="34" t="n">
        <f aca="false">IFERROR(VLOOKUP($A7160,'319'!$B:$H,7,0),0)</f>
        <v>0</v>
      </c>
      <c r="G7160" s="34" t="n">
        <f aca="false">SUMIFS('12.326ana'!$C:$C,'12.326ana'!$M:$M,redes!A7160)</f>
        <v>0</v>
      </c>
    </row>
    <row r="7161" customFormat="false" ht="14.4" hidden="true" customHeight="false" outlineLevel="0" collapsed="false">
      <c r="A7161" s="34" t="n">
        <v>2941082000102</v>
      </c>
      <c r="B7161" s="34" t="s">
        <v>15401</v>
      </c>
      <c r="C7161" s="34" t="s">
        <v>336</v>
      </c>
      <c r="E7161" s="30" t="s">
        <v>15402</v>
      </c>
      <c r="F7161" s="34" t="n">
        <f aca="false">IFERROR(VLOOKUP($A7161,'319'!$B:$H,7,0),0)</f>
        <v>0</v>
      </c>
      <c r="G7161" s="34" t="n">
        <f aca="false">SUMIFS('12.326ana'!$C:$C,'12.326ana'!$M:$M,redes!A7161)</f>
        <v>0</v>
      </c>
    </row>
    <row r="7162" customFormat="false" ht="14.4" hidden="true" customHeight="false" outlineLevel="0" collapsed="false">
      <c r="A7162" s="34" t="n">
        <v>2941426000175</v>
      </c>
      <c r="B7162" s="34" t="s">
        <v>15403</v>
      </c>
      <c r="C7162" s="34" t="s">
        <v>77</v>
      </c>
      <c r="E7162" s="30" t="s">
        <v>15404</v>
      </c>
      <c r="F7162" s="34" t="n">
        <f aca="false">IFERROR(VLOOKUP($A7162,'319'!$B:$H,7,0),0)</f>
        <v>0</v>
      </c>
      <c r="G7162" s="34" t="n">
        <f aca="false">SUMIFS('12.326ana'!$C:$C,'12.326ana'!$M:$M,redes!A7162)</f>
        <v>0</v>
      </c>
    </row>
    <row r="7163" customFormat="false" ht="14.4" hidden="true" customHeight="false" outlineLevel="0" collapsed="false">
      <c r="A7163" s="34" t="n">
        <v>2941492000145</v>
      </c>
      <c r="B7163" s="34" t="s">
        <v>15405</v>
      </c>
      <c r="C7163" s="34" t="s">
        <v>77</v>
      </c>
      <c r="E7163" s="30" t="s">
        <v>15406</v>
      </c>
      <c r="F7163" s="34" t="n">
        <f aca="false">IFERROR(VLOOKUP($A7163,'319'!$B:$H,7,0),0)</f>
        <v>0</v>
      </c>
      <c r="G7163" s="34" t="n">
        <f aca="false">SUMIFS('12.326ana'!$C:$C,'12.326ana'!$M:$M,redes!A7163)</f>
        <v>0</v>
      </c>
    </row>
    <row r="7164" customFormat="false" ht="14.4" hidden="true" customHeight="false" outlineLevel="0" collapsed="false">
      <c r="A7164" s="34" t="n">
        <v>2941676000105</v>
      </c>
      <c r="B7164" s="34" t="s">
        <v>15407</v>
      </c>
      <c r="C7164" s="34" t="s">
        <v>139</v>
      </c>
      <c r="E7164" s="30" t="s">
        <v>15408</v>
      </c>
      <c r="F7164" s="34" t="n">
        <f aca="false">IFERROR(VLOOKUP($A7164,'319'!$B:$H,7,0),0)</f>
        <v>0</v>
      </c>
      <c r="G7164" s="34" t="n">
        <f aca="false">SUMIFS('12.326ana'!$C:$C,'12.326ana'!$M:$M,redes!A7164)</f>
        <v>0</v>
      </c>
    </row>
    <row r="7165" customFormat="false" ht="14.4" hidden="true" customHeight="false" outlineLevel="0" collapsed="false">
      <c r="A7165" s="34" t="n">
        <v>2941801000187</v>
      </c>
      <c r="B7165" s="34" t="s">
        <v>15409</v>
      </c>
      <c r="C7165" s="34" t="s">
        <v>127</v>
      </c>
      <c r="E7165" s="30" t="s">
        <v>15410</v>
      </c>
      <c r="F7165" s="34" t="n">
        <f aca="false">IFERROR(VLOOKUP($A7165,'319'!$B:$H,7,0),0)</f>
        <v>0</v>
      </c>
      <c r="G7165" s="34" t="n">
        <f aca="false">SUMIFS('12.326ana'!$C:$C,'12.326ana'!$M:$M,redes!A7165)</f>
        <v>0</v>
      </c>
    </row>
    <row r="7166" customFormat="false" ht="14.4" hidden="true" customHeight="false" outlineLevel="0" collapsed="false">
      <c r="A7166" s="34" t="n">
        <v>2942725000124</v>
      </c>
      <c r="B7166" s="34" t="s">
        <v>15411</v>
      </c>
      <c r="C7166" s="34" t="s">
        <v>107</v>
      </c>
      <c r="E7166" s="30" t="s">
        <v>15412</v>
      </c>
      <c r="F7166" s="34" t="n">
        <f aca="false">IFERROR(VLOOKUP($A7166,'319'!$B:$H,7,0),0)</f>
        <v>0</v>
      </c>
      <c r="G7166" s="34" t="n">
        <f aca="false">SUMIFS('12.326ana'!$C:$C,'12.326ana'!$M:$M,redes!A7166)</f>
        <v>0</v>
      </c>
    </row>
    <row r="7167" customFormat="false" ht="14.4" hidden="true" customHeight="false" outlineLevel="0" collapsed="false">
      <c r="A7167" s="34" t="n">
        <v>2942823000161</v>
      </c>
      <c r="B7167" s="34" t="s">
        <v>15413</v>
      </c>
      <c r="C7167" s="34" t="s">
        <v>546</v>
      </c>
      <c r="E7167" s="30" t="s">
        <v>15414</v>
      </c>
      <c r="F7167" s="34" t="n">
        <f aca="false">IFERROR(VLOOKUP($A7167,'319'!$B:$H,7,0),0)</f>
        <v>0</v>
      </c>
      <c r="G7167" s="34" t="n">
        <f aca="false">SUMIFS('12.326ana'!$C:$C,'12.326ana'!$M:$M,redes!A7167)</f>
        <v>0</v>
      </c>
    </row>
    <row r="7168" customFormat="false" ht="14.4" hidden="true" customHeight="false" outlineLevel="0" collapsed="false">
      <c r="A7168" s="34" t="n">
        <v>2945222000102</v>
      </c>
      <c r="B7168" s="34" t="s">
        <v>15415</v>
      </c>
      <c r="C7168" s="34" t="s">
        <v>4156</v>
      </c>
      <c r="E7168" s="30" t="s">
        <v>15416</v>
      </c>
      <c r="F7168" s="34" t="n">
        <f aca="false">IFERROR(VLOOKUP($A7168,'319'!$B:$H,7,0),0)</f>
        <v>0</v>
      </c>
      <c r="G7168" s="34" t="n">
        <f aca="false">SUMIFS('12.326ana'!$C:$C,'12.326ana'!$M:$M,redes!A7168)</f>
        <v>0</v>
      </c>
    </row>
    <row r="7169" customFormat="false" ht="14.4" hidden="true" customHeight="false" outlineLevel="0" collapsed="false">
      <c r="A7169" s="34" t="n">
        <v>2946325000197</v>
      </c>
      <c r="B7169" s="34" t="s">
        <v>15417</v>
      </c>
      <c r="C7169" s="34" t="s">
        <v>197</v>
      </c>
      <c r="E7169" s="30" t="s">
        <v>7523</v>
      </c>
      <c r="F7169" s="34" t="n">
        <f aca="false">IFERROR(VLOOKUP($A7169,'319'!$B:$H,7,0),0)</f>
        <v>0</v>
      </c>
      <c r="G7169" s="34" t="n">
        <f aca="false">SUMIFS('12.326ana'!$C:$C,'12.326ana'!$M:$M,redes!A7169)</f>
        <v>0</v>
      </c>
    </row>
    <row r="7170" customFormat="false" ht="14.4" hidden="true" customHeight="false" outlineLevel="0" collapsed="false">
      <c r="A7170" s="34" t="n">
        <v>2946761000670</v>
      </c>
      <c r="B7170" s="34" t="s">
        <v>15418</v>
      </c>
      <c r="C7170" s="34" t="s">
        <v>14592</v>
      </c>
      <c r="E7170" s="30" t="s">
        <v>15419</v>
      </c>
      <c r="F7170" s="34" t="n">
        <f aca="false">IFERROR(VLOOKUP($A7170,'319'!$B:$H,7,0),0)</f>
        <v>0</v>
      </c>
      <c r="G7170" s="34" t="n">
        <f aca="false">SUMIFS('12.326ana'!$C:$C,'12.326ana'!$M:$M,redes!A7170)</f>
        <v>0</v>
      </c>
    </row>
    <row r="7171" customFormat="false" ht="14.4" hidden="true" customHeight="false" outlineLevel="0" collapsed="false">
      <c r="A7171" s="34" t="n">
        <v>2947326000156</v>
      </c>
      <c r="B7171" s="34" t="s">
        <v>15420</v>
      </c>
      <c r="C7171" s="34" t="s">
        <v>594</v>
      </c>
      <c r="E7171" s="30" t="s">
        <v>15421</v>
      </c>
      <c r="F7171" s="34" t="n">
        <f aca="false">IFERROR(VLOOKUP($A7171,'319'!$B:$H,7,0),0)</f>
        <v>40.36</v>
      </c>
      <c r="G7171" s="34" t="n">
        <f aca="false">SUMIFS('12.326ana'!$C:$C,'12.326ana'!$M:$M,redes!A7171)</f>
        <v>0</v>
      </c>
    </row>
    <row r="7172" customFormat="false" ht="14.4" hidden="true" customHeight="false" outlineLevel="0" collapsed="false">
      <c r="A7172" s="34" t="n">
        <v>2947844000170</v>
      </c>
      <c r="B7172" s="34" t="s">
        <v>15422</v>
      </c>
      <c r="C7172" s="34" t="s">
        <v>357</v>
      </c>
      <c r="E7172" s="30" t="s">
        <v>15423</v>
      </c>
      <c r="F7172" s="34" t="n">
        <f aca="false">IFERROR(VLOOKUP($A7172,'319'!$B:$H,7,0),0)</f>
        <v>0</v>
      </c>
      <c r="G7172" s="34" t="n">
        <f aca="false">SUMIFS('12.326ana'!$C:$C,'12.326ana'!$M:$M,redes!A7172)</f>
        <v>0</v>
      </c>
    </row>
    <row r="7173" customFormat="false" ht="14.4" hidden="true" customHeight="false" outlineLevel="0" collapsed="false">
      <c r="A7173" s="34" t="n">
        <v>2947844000331</v>
      </c>
      <c r="B7173" s="34" t="s">
        <v>15424</v>
      </c>
      <c r="C7173" s="34" t="s">
        <v>357</v>
      </c>
      <c r="E7173" s="30" t="s">
        <v>15425</v>
      </c>
      <c r="F7173" s="34" t="n">
        <f aca="false">IFERROR(VLOOKUP($A7173,'319'!$B:$H,7,0),0)</f>
        <v>0</v>
      </c>
      <c r="G7173" s="34" t="n">
        <f aca="false">SUMIFS('12.326ana'!$C:$C,'12.326ana'!$M:$M,redes!A7173)</f>
        <v>0</v>
      </c>
    </row>
    <row r="7174" customFormat="false" ht="14.4" hidden="true" customHeight="false" outlineLevel="0" collapsed="false">
      <c r="A7174" s="34" t="n">
        <v>2948073000135</v>
      </c>
      <c r="B7174" s="34" t="s">
        <v>15426</v>
      </c>
      <c r="C7174" s="34" t="s">
        <v>299</v>
      </c>
      <c r="E7174" s="30" t="s">
        <v>13700</v>
      </c>
      <c r="F7174" s="34" t="n">
        <f aca="false">IFERROR(VLOOKUP($A7174,'319'!$B:$H,7,0),0)</f>
        <v>0</v>
      </c>
      <c r="G7174" s="34" t="n">
        <f aca="false">SUMIFS('12.326ana'!$C:$C,'12.326ana'!$M:$M,redes!A7174)</f>
        <v>0</v>
      </c>
    </row>
    <row r="7175" customFormat="false" ht="14.4" hidden="true" customHeight="false" outlineLevel="0" collapsed="false">
      <c r="A7175" s="34" t="n">
        <v>2948400000159</v>
      </c>
      <c r="B7175" s="34" t="s">
        <v>15427</v>
      </c>
      <c r="C7175" s="34" t="s">
        <v>127</v>
      </c>
      <c r="E7175" s="30" t="s">
        <v>15428</v>
      </c>
      <c r="F7175" s="34" t="n">
        <f aca="false">IFERROR(VLOOKUP($A7175,'319'!$B:$H,7,0),0)</f>
        <v>0</v>
      </c>
      <c r="G7175" s="34" t="n">
        <f aca="false">SUMIFS('12.326ana'!$C:$C,'12.326ana'!$M:$M,redes!A7175)</f>
        <v>0</v>
      </c>
    </row>
    <row r="7176" customFormat="false" ht="14.4" hidden="true" customHeight="false" outlineLevel="0" collapsed="false">
      <c r="A7176" s="34" t="n">
        <v>2951775000178</v>
      </c>
      <c r="B7176" s="34" t="s">
        <v>15429</v>
      </c>
      <c r="C7176" s="34" t="s">
        <v>737</v>
      </c>
      <c r="E7176" s="30" t="s">
        <v>3162</v>
      </c>
      <c r="F7176" s="34" t="n">
        <f aca="false">IFERROR(VLOOKUP($A7176,'319'!$B:$H,7,0),0)</f>
        <v>0</v>
      </c>
      <c r="G7176" s="34" t="n">
        <f aca="false">SUMIFS('12.326ana'!$C:$C,'12.326ana'!$M:$M,redes!A7176)</f>
        <v>0</v>
      </c>
    </row>
    <row r="7177" customFormat="false" ht="14.4" hidden="true" customHeight="false" outlineLevel="0" collapsed="false">
      <c r="A7177" s="34" t="n">
        <v>2951807000135</v>
      </c>
      <c r="B7177" s="34" t="s">
        <v>15430</v>
      </c>
      <c r="C7177" s="34" t="s">
        <v>737</v>
      </c>
      <c r="E7177" s="30" t="s">
        <v>15431</v>
      </c>
      <c r="F7177" s="34" t="n">
        <f aca="false">IFERROR(VLOOKUP($A7177,'319'!$B:$H,7,0),0)</f>
        <v>0</v>
      </c>
      <c r="G7177" s="34" t="n">
        <f aca="false">SUMIFS('12.326ana'!$C:$C,'12.326ana'!$M:$M,redes!A7177)</f>
        <v>0</v>
      </c>
    </row>
    <row r="7178" customFormat="false" ht="14.4" hidden="true" customHeight="false" outlineLevel="0" collapsed="false">
      <c r="A7178" s="34" t="n">
        <v>2952364000105</v>
      </c>
      <c r="B7178" s="34" t="s">
        <v>15432</v>
      </c>
      <c r="C7178" s="34" t="s">
        <v>848</v>
      </c>
      <c r="D7178" s="34" t="s">
        <v>4797</v>
      </c>
      <c r="E7178" s="30" t="s">
        <v>15433</v>
      </c>
      <c r="F7178" s="34" t="n">
        <f aca="false">IFERROR(VLOOKUP($A7178,'319'!$B:$H,7,0),0)</f>
        <v>0</v>
      </c>
      <c r="G7178" s="34" t="n">
        <f aca="false">SUMIFS('12.326ana'!$C:$C,'12.326ana'!$M:$M,redes!A7178)</f>
        <v>0</v>
      </c>
    </row>
    <row r="7179" customFormat="false" ht="14.4" hidden="true" customHeight="false" outlineLevel="0" collapsed="false">
      <c r="A7179" s="34" t="n">
        <v>2952737000130</v>
      </c>
      <c r="B7179" s="34" t="s">
        <v>15434</v>
      </c>
      <c r="C7179" s="34" t="s">
        <v>139</v>
      </c>
      <c r="E7179" s="30" t="s">
        <v>6389</v>
      </c>
      <c r="F7179" s="34" t="n">
        <f aca="false">IFERROR(VLOOKUP($A7179,'319'!$B:$H,7,0),0)</f>
        <v>0</v>
      </c>
      <c r="G7179" s="34" t="n">
        <f aca="false">SUMIFS('12.326ana'!$C:$C,'12.326ana'!$M:$M,redes!A7179)</f>
        <v>0</v>
      </c>
    </row>
    <row r="7180" customFormat="false" ht="14.4" hidden="true" customHeight="false" outlineLevel="0" collapsed="false">
      <c r="A7180" s="34" t="n">
        <v>2953078000156</v>
      </c>
      <c r="B7180" s="34" t="s">
        <v>15435</v>
      </c>
      <c r="C7180" s="34" t="s">
        <v>357</v>
      </c>
      <c r="E7180" s="30" t="s">
        <v>15436</v>
      </c>
      <c r="F7180" s="34" t="n">
        <f aca="false">IFERROR(VLOOKUP($A7180,'319'!$B:$H,7,0),0)</f>
        <v>0</v>
      </c>
      <c r="G7180" s="34" t="n">
        <f aca="false">SUMIFS('12.326ana'!$C:$C,'12.326ana'!$M:$M,redes!A7180)</f>
        <v>0</v>
      </c>
    </row>
    <row r="7181" customFormat="false" ht="14.4" hidden="true" customHeight="false" outlineLevel="0" collapsed="false">
      <c r="A7181" s="34" t="n">
        <v>2953120000139</v>
      </c>
      <c r="B7181" s="34" t="s">
        <v>15437</v>
      </c>
      <c r="C7181" s="34" t="s">
        <v>357</v>
      </c>
      <c r="E7181" s="30" t="s">
        <v>8805</v>
      </c>
      <c r="F7181" s="34" t="n">
        <f aca="false">IFERROR(VLOOKUP($A7181,'319'!$B:$H,7,0),0)</f>
        <v>0</v>
      </c>
      <c r="G7181" s="34" t="n">
        <f aca="false">SUMIFS('12.326ana'!$C:$C,'12.326ana'!$M:$M,redes!A7181)</f>
        <v>0</v>
      </c>
    </row>
    <row r="7182" customFormat="false" ht="14.4" hidden="true" customHeight="false" outlineLevel="0" collapsed="false">
      <c r="A7182" s="34" t="n">
        <v>2953818000154</v>
      </c>
      <c r="B7182" s="34" t="s">
        <v>15438</v>
      </c>
      <c r="C7182" s="34" t="s">
        <v>77</v>
      </c>
      <c r="E7182" s="30" t="s">
        <v>15439</v>
      </c>
      <c r="F7182" s="34" t="n">
        <f aca="false">IFERROR(VLOOKUP($A7182,'319'!$B:$H,7,0),0)</f>
        <v>0</v>
      </c>
      <c r="G7182" s="34" t="n">
        <f aca="false">SUMIFS('12.326ana'!$C:$C,'12.326ana'!$M:$M,redes!A7182)</f>
        <v>0</v>
      </c>
    </row>
    <row r="7183" customFormat="false" ht="14.4" hidden="true" customHeight="false" outlineLevel="0" collapsed="false">
      <c r="A7183" s="34" t="n">
        <v>2954386000104</v>
      </c>
      <c r="B7183" s="34" t="s">
        <v>15440</v>
      </c>
      <c r="C7183" s="34" t="s">
        <v>139</v>
      </c>
      <c r="E7183" s="30" t="s">
        <v>15441</v>
      </c>
      <c r="F7183" s="34" t="n">
        <f aca="false">IFERROR(VLOOKUP($A7183,'319'!$B:$H,7,0),0)</f>
        <v>0</v>
      </c>
      <c r="G7183" s="34" t="n">
        <f aca="false">SUMIFS('12.326ana'!$C:$C,'12.326ana'!$M:$M,redes!A7183)</f>
        <v>0</v>
      </c>
    </row>
    <row r="7184" customFormat="false" ht="14.4" hidden="true" customHeight="false" outlineLevel="0" collapsed="false">
      <c r="A7184" s="34" t="n">
        <v>2954848000185</v>
      </c>
      <c r="B7184" s="34" t="s">
        <v>15442</v>
      </c>
      <c r="C7184" s="34" t="s">
        <v>77</v>
      </c>
      <c r="E7184" s="30" t="s">
        <v>15443</v>
      </c>
      <c r="F7184" s="34" t="n">
        <f aca="false">IFERROR(VLOOKUP($A7184,'319'!$B:$H,7,0),0)</f>
        <v>0</v>
      </c>
      <c r="G7184" s="34" t="n">
        <f aca="false">SUMIFS('12.326ana'!$C:$C,'12.326ana'!$M:$M,redes!A7184)</f>
        <v>0</v>
      </c>
    </row>
    <row r="7185" customFormat="false" ht="14.4" hidden="true" customHeight="false" outlineLevel="0" collapsed="false">
      <c r="A7185" s="34" t="n">
        <v>2954972000140</v>
      </c>
      <c r="B7185" s="34" t="s">
        <v>15444</v>
      </c>
      <c r="C7185" s="34" t="s">
        <v>77</v>
      </c>
      <c r="E7185" s="30" t="s">
        <v>15445</v>
      </c>
      <c r="F7185" s="34" t="n">
        <f aca="false">IFERROR(VLOOKUP($A7185,'319'!$B:$H,7,0),0)</f>
        <v>0</v>
      </c>
      <c r="G7185" s="34" t="n">
        <f aca="false">SUMIFS('12.326ana'!$C:$C,'12.326ana'!$M:$M,redes!A7185)</f>
        <v>0</v>
      </c>
    </row>
    <row r="7186" customFormat="false" ht="14.4" hidden="true" customHeight="false" outlineLevel="0" collapsed="false">
      <c r="A7186" s="34" t="n">
        <v>2956282000120</v>
      </c>
      <c r="B7186" s="34" t="s">
        <v>15446</v>
      </c>
      <c r="C7186" s="34" t="s">
        <v>979</v>
      </c>
      <c r="E7186" s="30" t="s">
        <v>15447</v>
      </c>
      <c r="F7186" s="34" t="n">
        <f aca="false">IFERROR(VLOOKUP($A7186,'319'!$B:$H,7,0),0)</f>
        <v>0</v>
      </c>
      <c r="G7186" s="34" t="n">
        <f aca="false">SUMIFS('12.326ana'!$C:$C,'12.326ana'!$M:$M,redes!A7186)</f>
        <v>0</v>
      </c>
    </row>
    <row r="7187" customFormat="false" ht="14.4" hidden="true" customHeight="false" outlineLevel="0" collapsed="false">
      <c r="A7187" s="34" t="n">
        <v>2956653000174</v>
      </c>
      <c r="B7187" s="34" t="s">
        <v>15448</v>
      </c>
      <c r="C7187" s="34" t="s">
        <v>207</v>
      </c>
      <c r="E7187" s="30" t="s">
        <v>15449</v>
      </c>
      <c r="F7187" s="34" t="n">
        <f aca="false">IFERROR(VLOOKUP($A7187,'319'!$B:$H,7,0),0)</f>
        <v>0</v>
      </c>
      <c r="G7187" s="34" t="n">
        <f aca="false">SUMIFS('12.326ana'!$C:$C,'12.326ana'!$M:$M,redes!A7187)</f>
        <v>0</v>
      </c>
    </row>
    <row r="7188" customFormat="false" ht="14.4" hidden="true" customHeight="false" outlineLevel="0" collapsed="false">
      <c r="A7188" s="34" t="n">
        <v>2957082000192</v>
      </c>
      <c r="B7188" s="34" t="s">
        <v>15450</v>
      </c>
      <c r="C7188" s="34" t="s">
        <v>1272</v>
      </c>
      <c r="E7188" s="30"/>
      <c r="F7188" s="34" t="n">
        <f aca="false">IFERROR(VLOOKUP($A7188,'319'!$B:$H,7,0),0)</f>
        <v>0</v>
      </c>
      <c r="G7188" s="34" t="n">
        <f aca="false">SUMIFS('12.326ana'!$C:$C,'12.326ana'!$M:$M,redes!A7188)</f>
        <v>0</v>
      </c>
    </row>
    <row r="7189" customFormat="false" ht="14.4" hidden="true" customHeight="false" outlineLevel="0" collapsed="false">
      <c r="A7189" s="34" t="n">
        <v>2957215000120</v>
      </c>
      <c r="B7189" s="34" t="s">
        <v>15451</v>
      </c>
      <c r="C7189" s="34" t="s">
        <v>804</v>
      </c>
      <c r="E7189" s="30" t="s">
        <v>3714</v>
      </c>
      <c r="F7189" s="34" t="n">
        <f aca="false">IFERROR(VLOOKUP($A7189,'319'!$B:$H,7,0),0)</f>
        <v>0</v>
      </c>
      <c r="G7189" s="34" t="n">
        <f aca="false">SUMIFS('12.326ana'!$C:$C,'12.326ana'!$M:$M,redes!A7189)</f>
        <v>0</v>
      </c>
    </row>
    <row r="7190" customFormat="false" ht="14.4" hidden="true" customHeight="false" outlineLevel="0" collapsed="false">
      <c r="A7190" s="34" t="n">
        <v>2958361000170</v>
      </c>
      <c r="B7190" s="34" t="s">
        <v>15452</v>
      </c>
      <c r="C7190" s="34" t="s">
        <v>77</v>
      </c>
      <c r="E7190" s="30" t="s">
        <v>15453</v>
      </c>
      <c r="F7190" s="34" t="n">
        <f aca="false">IFERROR(VLOOKUP($A7190,'319'!$B:$H,7,0),0)</f>
        <v>0</v>
      </c>
      <c r="G7190" s="34" t="n">
        <f aca="false">SUMIFS('12.326ana'!$C:$C,'12.326ana'!$M:$M,redes!A7190)</f>
        <v>0</v>
      </c>
    </row>
    <row r="7191" customFormat="false" ht="14.4" hidden="true" customHeight="false" outlineLevel="0" collapsed="false">
      <c r="A7191" s="34" t="n">
        <v>2958528000101</v>
      </c>
      <c r="B7191" s="34" t="s">
        <v>15454</v>
      </c>
      <c r="C7191" s="34" t="s">
        <v>935</v>
      </c>
      <c r="E7191" s="30" t="s">
        <v>15455</v>
      </c>
      <c r="F7191" s="34" t="n">
        <f aca="false">IFERROR(VLOOKUP($A7191,'319'!$B:$H,7,0),0)</f>
        <v>0</v>
      </c>
      <c r="G7191" s="34" t="n">
        <f aca="false">SUMIFS('12.326ana'!$C:$C,'12.326ana'!$M:$M,redes!A7191)</f>
        <v>0</v>
      </c>
    </row>
    <row r="7192" customFormat="false" ht="14.4" hidden="true" customHeight="false" outlineLevel="0" collapsed="false">
      <c r="A7192" s="34" t="n">
        <v>2958726000167</v>
      </c>
      <c r="B7192" s="34" t="s">
        <v>15456</v>
      </c>
      <c r="C7192" s="34" t="s">
        <v>1591</v>
      </c>
      <c r="E7192" s="30" t="s">
        <v>15457</v>
      </c>
      <c r="F7192" s="34" t="n">
        <f aca="false">IFERROR(VLOOKUP($A7192,'319'!$B:$H,7,0),0)</f>
        <v>0</v>
      </c>
      <c r="G7192" s="34" t="n">
        <f aca="false">SUMIFS('12.326ana'!$C:$C,'12.326ana'!$M:$M,redes!A7192)</f>
        <v>0</v>
      </c>
    </row>
    <row r="7193" customFormat="false" ht="14.4" hidden="true" customHeight="false" outlineLevel="0" collapsed="false">
      <c r="A7193" s="34" t="n">
        <v>2959278000116</v>
      </c>
      <c r="B7193" s="34" t="s">
        <v>15458</v>
      </c>
      <c r="C7193" s="34" t="s">
        <v>197</v>
      </c>
      <c r="E7193" s="30" t="s">
        <v>15459</v>
      </c>
      <c r="F7193" s="34" t="n">
        <f aca="false">IFERROR(VLOOKUP($A7193,'319'!$B:$H,7,0),0)</f>
        <v>0</v>
      </c>
      <c r="G7193" s="34" t="n">
        <f aca="false">SUMIFS('12.326ana'!$C:$C,'12.326ana'!$M:$M,redes!A7193)</f>
        <v>0</v>
      </c>
    </row>
    <row r="7194" customFormat="false" ht="14.4" hidden="true" customHeight="false" outlineLevel="0" collapsed="false">
      <c r="A7194" s="34" t="n">
        <v>2959906000163</v>
      </c>
      <c r="B7194" s="34" t="s">
        <v>15460</v>
      </c>
      <c r="C7194" s="34" t="s">
        <v>4139</v>
      </c>
      <c r="E7194" s="30" t="s">
        <v>15461</v>
      </c>
      <c r="F7194" s="34" t="n">
        <f aca="false">IFERROR(VLOOKUP($A7194,'319'!$B:$H,7,0),0)</f>
        <v>0</v>
      </c>
      <c r="G7194" s="34" t="n">
        <f aca="false">SUMIFS('12.326ana'!$C:$C,'12.326ana'!$M:$M,redes!A7194)</f>
        <v>0</v>
      </c>
    </row>
    <row r="7195" customFormat="false" ht="14.4" hidden="true" customHeight="false" outlineLevel="0" collapsed="false">
      <c r="A7195" s="34" t="n">
        <v>2960552000177</v>
      </c>
      <c r="B7195" s="34" t="s">
        <v>15462</v>
      </c>
      <c r="C7195" s="34" t="s">
        <v>117</v>
      </c>
      <c r="D7195" s="34" t="s">
        <v>3324</v>
      </c>
      <c r="E7195" s="30" t="s">
        <v>15463</v>
      </c>
      <c r="F7195" s="34" t="n">
        <f aca="false">IFERROR(VLOOKUP($A7195,'319'!$B:$H,7,0),0)</f>
        <v>0</v>
      </c>
      <c r="G7195" s="34" t="n">
        <f aca="false">SUMIFS('12.326ana'!$C:$C,'12.326ana'!$M:$M,redes!A7195)</f>
        <v>0</v>
      </c>
    </row>
    <row r="7196" customFormat="false" ht="14.4" hidden="true" customHeight="false" outlineLevel="0" collapsed="false">
      <c r="A7196" s="34" t="n">
        <v>2960556000155</v>
      </c>
      <c r="B7196" s="34" t="s">
        <v>15464</v>
      </c>
      <c r="C7196" s="34" t="s">
        <v>129</v>
      </c>
      <c r="E7196" s="30" t="s">
        <v>15465</v>
      </c>
      <c r="F7196" s="34" t="n">
        <f aca="false">IFERROR(VLOOKUP($A7196,'319'!$B:$H,7,0),0)</f>
        <v>0</v>
      </c>
      <c r="G7196" s="34" t="n">
        <f aca="false">SUMIFS('12.326ana'!$C:$C,'12.326ana'!$M:$M,redes!A7196)</f>
        <v>0</v>
      </c>
    </row>
    <row r="7197" customFormat="false" ht="14.4" hidden="true" customHeight="false" outlineLevel="0" collapsed="false">
      <c r="A7197" s="34" t="n">
        <v>2961931000181</v>
      </c>
      <c r="B7197" s="34" t="s">
        <v>15466</v>
      </c>
      <c r="C7197" s="34" t="s">
        <v>77</v>
      </c>
      <c r="D7197" s="34" t="s">
        <v>3324</v>
      </c>
      <c r="E7197" s="30" t="s">
        <v>15467</v>
      </c>
      <c r="F7197" s="34" t="n">
        <f aca="false">IFERROR(VLOOKUP($A7197,'319'!$B:$H,7,0),0)</f>
        <v>0</v>
      </c>
      <c r="G7197" s="34" t="n">
        <f aca="false">SUMIFS('12.326ana'!$C:$C,'12.326ana'!$M:$M,redes!A7197)</f>
        <v>0</v>
      </c>
    </row>
    <row r="7198" customFormat="false" ht="14.4" hidden="true" customHeight="false" outlineLevel="0" collapsed="false">
      <c r="A7198" s="34" t="n">
        <v>2962066000198</v>
      </c>
      <c r="B7198" s="34" t="s">
        <v>15468</v>
      </c>
      <c r="C7198" s="34" t="s">
        <v>117</v>
      </c>
      <c r="D7198" s="34" t="s">
        <v>4797</v>
      </c>
      <c r="E7198" s="30" t="s">
        <v>15469</v>
      </c>
      <c r="F7198" s="34" t="n">
        <f aca="false">IFERROR(VLOOKUP($A7198,'319'!$B:$H,7,0),0)</f>
        <v>0</v>
      </c>
      <c r="G7198" s="34" t="n">
        <f aca="false">SUMIFS('12.326ana'!$C:$C,'12.326ana'!$M:$M,redes!A7198)</f>
        <v>0</v>
      </c>
    </row>
    <row r="7199" customFormat="false" ht="14.4" hidden="true" customHeight="false" outlineLevel="0" collapsed="false">
      <c r="A7199" s="34" t="n">
        <v>2962082000180</v>
      </c>
      <c r="B7199" s="34" t="s">
        <v>15470</v>
      </c>
      <c r="C7199" s="34" t="s">
        <v>77</v>
      </c>
      <c r="E7199" s="30" t="s">
        <v>15471</v>
      </c>
      <c r="F7199" s="34" t="n">
        <f aca="false">IFERROR(VLOOKUP($A7199,'319'!$B:$H,7,0),0)</f>
        <v>0</v>
      </c>
      <c r="G7199" s="34" t="n">
        <f aca="false">SUMIFS('12.326ana'!$C:$C,'12.326ana'!$M:$M,redes!A7199)</f>
        <v>0</v>
      </c>
    </row>
    <row r="7200" customFormat="false" ht="14.4" hidden="true" customHeight="false" outlineLevel="0" collapsed="false">
      <c r="A7200" s="34" t="n">
        <v>2962133000174</v>
      </c>
      <c r="B7200" s="34" t="s">
        <v>15472</v>
      </c>
      <c r="C7200" s="34" t="s">
        <v>2998</v>
      </c>
      <c r="E7200" s="30" t="s">
        <v>15473</v>
      </c>
      <c r="F7200" s="34" t="n">
        <f aca="false">IFERROR(VLOOKUP($A7200,'319'!$B:$H,7,0),0)</f>
        <v>0</v>
      </c>
      <c r="G7200" s="34" t="n">
        <f aca="false">SUMIFS('12.326ana'!$C:$C,'12.326ana'!$M:$M,redes!A7200)</f>
        <v>0</v>
      </c>
    </row>
    <row r="7201" customFormat="false" ht="14.4" hidden="true" customHeight="false" outlineLevel="0" collapsed="false">
      <c r="A7201" s="34" t="n">
        <v>2963528000191</v>
      </c>
      <c r="B7201" s="34" t="s">
        <v>15474</v>
      </c>
      <c r="C7201" s="34" t="s">
        <v>351</v>
      </c>
      <c r="E7201" s="30" t="s">
        <v>15475</v>
      </c>
      <c r="F7201" s="34" t="n">
        <f aca="false">IFERROR(VLOOKUP($A7201,'319'!$B:$H,7,0),0)</f>
        <v>0</v>
      </c>
      <c r="G7201" s="34" t="n">
        <f aca="false">SUMIFS('12.326ana'!$C:$C,'12.326ana'!$M:$M,redes!A7201)</f>
        <v>0</v>
      </c>
    </row>
    <row r="7202" customFormat="false" ht="14.4" hidden="true" customHeight="false" outlineLevel="0" collapsed="false">
      <c r="A7202" s="34" t="n">
        <v>2963825000137</v>
      </c>
      <c r="B7202" s="34" t="s">
        <v>15476</v>
      </c>
      <c r="C7202" s="34" t="s">
        <v>139</v>
      </c>
      <c r="E7202" s="30" t="s">
        <v>15477</v>
      </c>
      <c r="F7202" s="34" t="n">
        <f aca="false">IFERROR(VLOOKUP($A7202,'319'!$B:$H,7,0),0)</f>
        <v>0</v>
      </c>
      <c r="G7202" s="34" t="n">
        <f aca="false">SUMIFS('12.326ana'!$C:$C,'12.326ana'!$M:$M,redes!A7202)</f>
        <v>0</v>
      </c>
    </row>
    <row r="7203" customFormat="false" ht="14.4" hidden="true" customHeight="false" outlineLevel="0" collapsed="false">
      <c r="A7203" s="34" t="n">
        <v>2964252000166</v>
      </c>
      <c r="B7203" s="34" t="s">
        <v>15478</v>
      </c>
      <c r="C7203" s="34" t="s">
        <v>594</v>
      </c>
      <c r="E7203" s="30" t="s">
        <v>15479</v>
      </c>
      <c r="F7203" s="34" t="n">
        <f aca="false">IFERROR(VLOOKUP($A7203,'319'!$B:$H,7,0),0)</f>
        <v>0</v>
      </c>
      <c r="G7203" s="34" t="n">
        <f aca="false">SUMIFS('12.326ana'!$C:$C,'12.326ana'!$M:$M,redes!A7203)</f>
        <v>0</v>
      </c>
    </row>
    <row r="7204" customFormat="false" ht="14.4" hidden="true" customHeight="false" outlineLevel="0" collapsed="false">
      <c r="A7204" s="34" t="n">
        <v>2965523000106</v>
      </c>
      <c r="B7204" s="34" t="s">
        <v>15480</v>
      </c>
      <c r="C7204" s="34" t="s">
        <v>139</v>
      </c>
      <c r="E7204" s="30" t="s">
        <v>15481</v>
      </c>
      <c r="F7204" s="34" t="n">
        <f aca="false">IFERROR(VLOOKUP($A7204,'319'!$B:$H,7,0),0)</f>
        <v>0</v>
      </c>
      <c r="G7204" s="34" t="n">
        <f aca="false">SUMIFS('12.326ana'!$C:$C,'12.326ana'!$M:$M,redes!A7204)</f>
        <v>0</v>
      </c>
    </row>
    <row r="7205" customFormat="false" ht="14.4" hidden="true" customHeight="false" outlineLevel="0" collapsed="false">
      <c r="A7205" s="34" t="n">
        <v>2965875000153</v>
      </c>
      <c r="B7205" s="34" t="s">
        <v>15482</v>
      </c>
      <c r="C7205" s="34" t="s">
        <v>127</v>
      </c>
      <c r="E7205" s="30" t="s">
        <v>15483</v>
      </c>
      <c r="F7205" s="34" t="n">
        <f aca="false">IFERROR(VLOOKUP($A7205,'319'!$B:$H,7,0),0)</f>
        <v>0</v>
      </c>
      <c r="G7205" s="34" t="n">
        <f aca="false">SUMIFS('12.326ana'!$C:$C,'12.326ana'!$M:$M,redes!A7205)</f>
        <v>0</v>
      </c>
    </row>
    <row r="7206" customFormat="false" ht="14.4" hidden="true" customHeight="false" outlineLevel="0" collapsed="false">
      <c r="A7206" s="34" t="n">
        <v>2966529000190</v>
      </c>
      <c r="B7206" s="34" t="s">
        <v>15484</v>
      </c>
      <c r="C7206" s="34" t="s">
        <v>77</v>
      </c>
      <c r="E7206" s="30" t="s">
        <v>15485</v>
      </c>
      <c r="F7206" s="34" t="n">
        <f aca="false">IFERROR(VLOOKUP($A7206,'319'!$B:$H,7,0),0)</f>
        <v>0</v>
      </c>
      <c r="G7206" s="34" t="n">
        <f aca="false">SUMIFS('12.326ana'!$C:$C,'12.326ana'!$M:$M,redes!A7206)</f>
        <v>0</v>
      </c>
    </row>
    <row r="7207" customFormat="false" ht="14.4" hidden="true" customHeight="false" outlineLevel="0" collapsed="false">
      <c r="A7207" s="34" t="n">
        <v>2967644000189</v>
      </c>
      <c r="B7207" s="34" t="s">
        <v>15486</v>
      </c>
      <c r="C7207" s="34" t="s">
        <v>154</v>
      </c>
      <c r="E7207" s="30" t="s">
        <v>15487</v>
      </c>
      <c r="F7207" s="34" t="n">
        <f aca="false">IFERROR(VLOOKUP($A7207,'319'!$B:$H,7,0),0)</f>
        <v>0</v>
      </c>
      <c r="G7207" s="34" t="n">
        <f aca="false">SUMIFS('12.326ana'!$C:$C,'12.326ana'!$M:$M,redes!A7207)</f>
        <v>0</v>
      </c>
    </row>
    <row r="7208" customFormat="false" ht="14.4" hidden="true" customHeight="false" outlineLevel="0" collapsed="false">
      <c r="A7208" s="34" t="n">
        <v>2968133000181</v>
      </c>
      <c r="B7208" s="34" t="s">
        <v>15488</v>
      </c>
      <c r="C7208" s="34" t="s">
        <v>127</v>
      </c>
      <c r="E7208" s="30" t="s">
        <v>15489</v>
      </c>
      <c r="F7208" s="34" t="n">
        <f aca="false">IFERROR(VLOOKUP($A7208,'319'!$B:$H,7,0),0)</f>
        <v>0</v>
      </c>
      <c r="G7208" s="34" t="n">
        <f aca="false">SUMIFS('12.326ana'!$C:$C,'12.326ana'!$M:$M,redes!A7208)</f>
        <v>0</v>
      </c>
    </row>
    <row r="7209" customFormat="false" ht="14.4" hidden="true" customHeight="false" outlineLevel="0" collapsed="false">
      <c r="A7209" s="34" t="n">
        <v>2968634000168</v>
      </c>
      <c r="B7209" s="34" t="s">
        <v>15490</v>
      </c>
      <c r="C7209" s="34" t="s">
        <v>336</v>
      </c>
      <c r="E7209" s="30" t="s">
        <v>15491</v>
      </c>
      <c r="F7209" s="34" t="n">
        <f aca="false">IFERROR(VLOOKUP($A7209,'319'!$B:$H,7,0),0)</f>
        <v>0</v>
      </c>
      <c r="G7209" s="34" t="n">
        <f aca="false">SUMIFS('12.326ana'!$C:$C,'12.326ana'!$M:$M,redes!A7209)</f>
        <v>0</v>
      </c>
    </row>
    <row r="7210" customFormat="false" ht="14.4" hidden="true" customHeight="false" outlineLevel="0" collapsed="false">
      <c r="A7210" s="34" t="n">
        <v>2969095000181</v>
      </c>
      <c r="B7210" s="34" t="s">
        <v>15492</v>
      </c>
      <c r="C7210" s="34" t="s">
        <v>737</v>
      </c>
      <c r="E7210" s="30" t="s">
        <v>15493</v>
      </c>
      <c r="F7210" s="34" t="n">
        <f aca="false">IFERROR(VLOOKUP($A7210,'319'!$B:$H,7,0),0)</f>
        <v>0</v>
      </c>
      <c r="G7210" s="34" t="n">
        <f aca="false">SUMIFS('12.326ana'!$C:$C,'12.326ana'!$M:$M,redes!A7210)</f>
        <v>0</v>
      </c>
    </row>
    <row r="7211" customFormat="false" ht="14.4" hidden="true" customHeight="false" outlineLevel="0" collapsed="false">
      <c r="A7211" s="34" t="n">
        <v>2969475000116</v>
      </c>
      <c r="B7211" s="34" t="s">
        <v>15494</v>
      </c>
      <c r="C7211" s="34" t="s">
        <v>77</v>
      </c>
      <c r="E7211" s="30" t="s">
        <v>15495</v>
      </c>
      <c r="F7211" s="34" t="n">
        <f aca="false">IFERROR(VLOOKUP($A7211,'319'!$B:$H,7,0),0)</f>
        <v>0</v>
      </c>
      <c r="G7211" s="34" t="n">
        <f aca="false">SUMIFS('12.326ana'!$C:$C,'12.326ana'!$M:$M,redes!A7211)</f>
        <v>0</v>
      </c>
    </row>
    <row r="7212" customFormat="false" ht="14.4" hidden="true" customHeight="false" outlineLevel="0" collapsed="false">
      <c r="A7212" s="34" t="n">
        <v>2969731000175</v>
      </c>
      <c r="B7212" s="34" t="s">
        <v>15496</v>
      </c>
      <c r="C7212" s="34" t="s">
        <v>77</v>
      </c>
      <c r="E7212" s="30"/>
      <c r="F7212" s="34" t="n">
        <f aca="false">IFERROR(VLOOKUP($A7212,'319'!$B:$H,7,0),0)</f>
        <v>0</v>
      </c>
      <c r="G7212" s="34" t="n">
        <f aca="false">SUMIFS('12.326ana'!$C:$C,'12.326ana'!$M:$M,redes!A7212)</f>
        <v>0</v>
      </c>
    </row>
    <row r="7213" customFormat="false" ht="14.4" hidden="true" customHeight="false" outlineLevel="0" collapsed="false">
      <c r="A7213" s="34" t="n">
        <v>2969905000108</v>
      </c>
      <c r="B7213" s="34" t="s">
        <v>15497</v>
      </c>
      <c r="C7213" s="34" t="s">
        <v>77</v>
      </c>
      <c r="E7213" s="30"/>
      <c r="F7213" s="34" t="n">
        <f aca="false">IFERROR(VLOOKUP($A7213,'319'!$B:$H,7,0),0)</f>
        <v>0</v>
      </c>
      <c r="G7213" s="34" t="n">
        <f aca="false">SUMIFS('12.326ana'!$C:$C,'12.326ana'!$M:$M,redes!A7213)</f>
        <v>0</v>
      </c>
    </row>
    <row r="7214" customFormat="false" ht="14.4" hidden="true" customHeight="false" outlineLevel="0" collapsed="false">
      <c r="A7214" s="34" t="n">
        <v>2970150000153</v>
      </c>
      <c r="B7214" s="34" t="s">
        <v>15498</v>
      </c>
      <c r="C7214" s="34" t="s">
        <v>89</v>
      </c>
      <c r="D7214" s="34" t="s">
        <v>5602</v>
      </c>
      <c r="E7214" s="30" t="s">
        <v>15499</v>
      </c>
      <c r="F7214" s="34" t="n">
        <f aca="false">IFERROR(VLOOKUP($A7214,'319'!$B:$H,7,0),0)</f>
        <v>0</v>
      </c>
      <c r="G7214" s="34" t="n">
        <f aca="false">SUMIFS('12.326ana'!$C:$C,'12.326ana'!$M:$M,redes!A7214)</f>
        <v>0</v>
      </c>
    </row>
    <row r="7215" customFormat="false" ht="14.4" hidden="true" customHeight="false" outlineLevel="0" collapsed="false">
      <c r="A7215" s="34" t="n">
        <v>2971398000139</v>
      </c>
      <c r="B7215" s="34" t="s">
        <v>15500</v>
      </c>
      <c r="C7215" s="34" t="s">
        <v>197</v>
      </c>
      <c r="E7215" s="30" t="s">
        <v>15501</v>
      </c>
      <c r="F7215" s="34" t="n">
        <f aca="false">IFERROR(VLOOKUP($A7215,'319'!$B:$H,7,0),0)</f>
        <v>0</v>
      </c>
      <c r="G7215" s="34" t="n">
        <f aca="false">SUMIFS('12.326ana'!$C:$C,'12.326ana'!$M:$M,redes!A7215)</f>
        <v>0</v>
      </c>
    </row>
    <row r="7216" customFormat="false" ht="14.4" hidden="true" customHeight="false" outlineLevel="0" collapsed="false">
      <c r="A7216" s="34" t="n">
        <v>2972297000182</v>
      </c>
      <c r="B7216" s="34" t="s">
        <v>15502</v>
      </c>
      <c r="C7216" s="34" t="s">
        <v>954</v>
      </c>
      <c r="E7216" s="30" t="s">
        <v>15503</v>
      </c>
      <c r="F7216" s="34" t="n">
        <f aca="false">IFERROR(VLOOKUP($A7216,'319'!$B:$H,7,0),0)</f>
        <v>0</v>
      </c>
      <c r="G7216" s="34" t="n">
        <f aca="false">SUMIFS('12.326ana'!$C:$C,'12.326ana'!$M:$M,redes!A7216)</f>
        <v>0</v>
      </c>
    </row>
    <row r="7217" customFormat="false" ht="14.4" hidden="true" customHeight="false" outlineLevel="0" collapsed="false">
      <c r="A7217" s="34" t="n">
        <v>2973411000199</v>
      </c>
      <c r="B7217" s="34" t="s">
        <v>6977</v>
      </c>
      <c r="C7217" s="34" t="s">
        <v>77</v>
      </c>
      <c r="E7217" s="30" t="s">
        <v>15504</v>
      </c>
      <c r="F7217" s="34" t="n">
        <f aca="false">IFERROR(VLOOKUP($A7217,'319'!$B:$H,7,0),0)</f>
        <v>0</v>
      </c>
      <c r="G7217" s="34" t="n">
        <f aca="false">SUMIFS('12.326ana'!$C:$C,'12.326ana'!$M:$M,redes!A7217)</f>
        <v>0</v>
      </c>
    </row>
    <row r="7218" customFormat="false" ht="14.4" hidden="true" customHeight="false" outlineLevel="0" collapsed="false">
      <c r="A7218" s="34" t="n">
        <v>2976995000156</v>
      </c>
      <c r="B7218" s="34" t="s">
        <v>15505</v>
      </c>
      <c r="C7218" s="34" t="s">
        <v>77</v>
      </c>
      <c r="E7218" s="30" t="s">
        <v>15506</v>
      </c>
      <c r="F7218" s="34" t="n">
        <f aca="false">IFERROR(VLOOKUP($A7218,'319'!$B:$H,7,0),0)</f>
        <v>0</v>
      </c>
      <c r="G7218" s="34" t="n">
        <f aca="false">SUMIFS('12.326ana'!$C:$C,'12.326ana'!$M:$M,redes!A7218)</f>
        <v>0</v>
      </c>
    </row>
    <row r="7219" customFormat="false" ht="14.4" hidden="true" customHeight="false" outlineLevel="0" collapsed="false">
      <c r="A7219" s="34" t="n">
        <v>2978152000199</v>
      </c>
      <c r="B7219" s="34" t="s">
        <v>15507</v>
      </c>
      <c r="C7219" s="34" t="s">
        <v>103</v>
      </c>
      <c r="E7219" s="30" t="s">
        <v>15508</v>
      </c>
      <c r="F7219" s="34" t="n">
        <f aca="false">IFERROR(VLOOKUP($A7219,'319'!$B:$H,7,0),0)</f>
        <v>0</v>
      </c>
      <c r="G7219" s="34" t="n">
        <f aca="false">SUMIFS('12.326ana'!$C:$C,'12.326ana'!$M:$M,redes!A7219)</f>
        <v>0</v>
      </c>
    </row>
    <row r="7220" customFormat="false" ht="14.4" hidden="true" customHeight="false" outlineLevel="0" collapsed="false">
      <c r="A7220" s="34" t="n">
        <v>2979124000196</v>
      </c>
      <c r="B7220" s="34" t="s">
        <v>15509</v>
      </c>
      <c r="C7220" s="34" t="s">
        <v>377</v>
      </c>
      <c r="E7220" s="30" t="s">
        <v>15510</v>
      </c>
      <c r="F7220" s="34" t="n">
        <f aca="false">IFERROR(VLOOKUP($A7220,'319'!$B:$H,7,0),0)</f>
        <v>0</v>
      </c>
      <c r="G7220" s="34" t="n">
        <f aca="false">SUMIFS('12.326ana'!$C:$C,'12.326ana'!$M:$M,redes!A7220)</f>
        <v>0</v>
      </c>
    </row>
    <row r="7221" customFormat="false" ht="14.4" hidden="true" customHeight="false" outlineLevel="0" collapsed="false">
      <c r="A7221" s="34" t="n">
        <v>2980132000152</v>
      </c>
      <c r="B7221" s="34" t="s">
        <v>15511</v>
      </c>
      <c r="C7221" s="34" t="s">
        <v>562</v>
      </c>
      <c r="E7221" s="30" t="s">
        <v>15512</v>
      </c>
      <c r="F7221" s="34" t="n">
        <f aca="false">IFERROR(VLOOKUP($A7221,'319'!$B:$H,7,0),0)</f>
        <v>0</v>
      </c>
      <c r="G7221" s="34" t="n">
        <f aca="false">SUMIFS('12.326ana'!$C:$C,'12.326ana'!$M:$M,redes!A7221)</f>
        <v>0</v>
      </c>
    </row>
    <row r="7222" customFormat="false" ht="14.4" hidden="true" customHeight="false" outlineLevel="0" collapsed="false">
      <c r="A7222" s="34" t="n">
        <v>2980227000176</v>
      </c>
      <c r="B7222" s="34" t="s">
        <v>15513</v>
      </c>
      <c r="C7222" s="34" t="s">
        <v>77</v>
      </c>
      <c r="E7222" s="30" t="s">
        <v>15514</v>
      </c>
      <c r="F7222" s="34" t="n">
        <f aca="false">IFERROR(VLOOKUP($A7222,'319'!$B:$H,7,0),0)</f>
        <v>0</v>
      </c>
      <c r="G7222" s="34" t="n">
        <f aca="false">SUMIFS('12.326ana'!$C:$C,'12.326ana'!$M:$M,redes!A7222)</f>
        <v>0</v>
      </c>
    </row>
    <row r="7223" customFormat="false" ht="14.4" hidden="true" customHeight="false" outlineLevel="0" collapsed="false">
      <c r="A7223" s="34" t="n">
        <v>2982639000145</v>
      </c>
      <c r="B7223" s="34" t="s">
        <v>15515</v>
      </c>
      <c r="C7223" s="34" t="s">
        <v>77</v>
      </c>
      <c r="E7223" s="30" t="s">
        <v>15516</v>
      </c>
      <c r="F7223" s="34" t="n">
        <f aca="false">IFERROR(VLOOKUP($A7223,'319'!$B:$H,7,0),0)</f>
        <v>0</v>
      </c>
      <c r="G7223" s="34" t="n">
        <f aca="false">SUMIFS('12.326ana'!$C:$C,'12.326ana'!$M:$M,redes!A7223)</f>
        <v>0</v>
      </c>
    </row>
    <row r="7224" customFormat="false" ht="14.4" hidden="true" customHeight="false" outlineLevel="0" collapsed="false">
      <c r="A7224" s="34" t="n">
        <v>2984892000138</v>
      </c>
      <c r="B7224" s="34" t="s">
        <v>15517</v>
      </c>
      <c r="C7224" s="34" t="s">
        <v>139</v>
      </c>
      <c r="E7224" s="30" t="s">
        <v>15210</v>
      </c>
      <c r="F7224" s="34" t="n">
        <f aca="false">IFERROR(VLOOKUP($A7224,'319'!$B:$H,7,0),0)</f>
        <v>0</v>
      </c>
      <c r="G7224" s="34" t="n">
        <f aca="false">SUMIFS('12.326ana'!$C:$C,'12.326ana'!$M:$M,redes!A7224)</f>
        <v>0</v>
      </c>
    </row>
    <row r="7225" customFormat="false" ht="14.4" hidden="true" customHeight="false" outlineLevel="0" collapsed="false">
      <c r="A7225" s="34" t="n">
        <v>2987168000168</v>
      </c>
      <c r="B7225" s="34" t="s">
        <v>15518</v>
      </c>
      <c r="C7225" s="34" t="s">
        <v>127</v>
      </c>
      <c r="E7225" s="30" t="s">
        <v>15519</v>
      </c>
      <c r="F7225" s="34" t="n">
        <f aca="false">IFERROR(VLOOKUP($A7225,'319'!$B:$H,7,0),0)</f>
        <v>0</v>
      </c>
      <c r="G7225" s="34" t="n">
        <f aca="false">SUMIFS('12.326ana'!$C:$C,'12.326ana'!$M:$M,redes!A7225)</f>
        <v>0</v>
      </c>
    </row>
    <row r="7226" customFormat="false" ht="14.4" hidden="true" customHeight="false" outlineLevel="0" collapsed="false">
      <c r="A7226" s="34" t="n">
        <v>2987336000115</v>
      </c>
      <c r="B7226" s="34" t="s">
        <v>15520</v>
      </c>
      <c r="C7226" s="34" t="s">
        <v>357</v>
      </c>
      <c r="E7226" s="30" t="s">
        <v>15521</v>
      </c>
      <c r="F7226" s="34" t="n">
        <f aca="false">IFERROR(VLOOKUP($A7226,'319'!$B:$H,7,0),0)</f>
        <v>0</v>
      </c>
      <c r="G7226" s="34" t="n">
        <f aca="false">SUMIFS('12.326ana'!$C:$C,'12.326ana'!$M:$M,redes!A7226)</f>
        <v>0</v>
      </c>
    </row>
    <row r="7227" customFormat="false" ht="14.4" hidden="true" customHeight="false" outlineLevel="0" collapsed="false">
      <c r="A7227" s="34" t="n">
        <v>2987556000149</v>
      </c>
      <c r="B7227" s="34" t="s">
        <v>15522</v>
      </c>
      <c r="C7227" s="34" t="s">
        <v>357</v>
      </c>
      <c r="E7227" s="30" t="s">
        <v>15523</v>
      </c>
      <c r="F7227" s="34" t="n">
        <f aca="false">IFERROR(VLOOKUP($A7227,'319'!$B:$H,7,0),0)</f>
        <v>0</v>
      </c>
      <c r="G7227" s="34" t="n">
        <f aca="false">SUMIFS('12.326ana'!$C:$C,'12.326ana'!$M:$M,redes!A7227)</f>
        <v>0</v>
      </c>
    </row>
    <row r="7228" customFormat="false" ht="14.4" hidden="true" customHeight="false" outlineLevel="0" collapsed="false">
      <c r="A7228" s="34" t="n">
        <v>2988031000128</v>
      </c>
      <c r="B7228" s="34" t="s">
        <v>15524</v>
      </c>
      <c r="C7228" s="34" t="s">
        <v>139</v>
      </c>
      <c r="E7228" s="30" t="s">
        <v>15525</v>
      </c>
      <c r="F7228" s="34" t="n">
        <f aca="false">IFERROR(VLOOKUP($A7228,'319'!$B:$H,7,0),0)</f>
        <v>0</v>
      </c>
      <c r="G7228" s="34" t="n">
        <f aca="false">SUMIFS('12.326ana'!$C:$C,'12.326ana'!$M:$M,redes!A7228)</f>
        <v>0</v>
      </c>
    </row>
    <row r="7229" customFormat="false" ht="14.4" hidden="true" customHeight="false" outlineLevel="0" collapsed="false">
      <c r="A7229" s="34" t="n">
        <v>2988481000110</v>
      </c>
      <c r="B7229" s="34" t="s">
        <v>15526</v>
      </c>
      <c r="C7229" s="34" t="s">
        <v>77</v>
      </c>
      <c r="D7229" s="34" t="s">
        <v>5602</v>
      </c>
      <c r="E7229" s="30" t="s">
        <v>15527</v>
      </c>
      <c r="F7229" s="34" t="n">
        <f aca="false">IFERROR(VLOOKUP($A7229,'319'!$B:$H,7,0),0)</f>
        <v>0</v>
      </c>
      <c r="G7229" s="34" t="n">
        <f aca="false">SUMIFS('12.326ana'!$C:$C,'12.326ana'!$M:$M,redes!A7229)</f>
        <v>0</v>
      </c>
    </row>
    <row r="7230" customFormat="false" ht="14.4" hidden="true" customHeight="false" outlineLevel="0" collapsed="false">
      <c r="A7230" s="34" t="n">
        <v>2988641000121</v>
      </c>
      <c r="B7230" s="34" t="s">
        <v>15528</v>
      </c>
      <c r="C7230" s="34" t="s">
        <v>77</v>
      </c>
      <c r="E7230" s="30" t="s">
        <v>15529</v>
      </c>
      <c r="F7230" s="34" t="n">
        <f aca="false">IFERROR(VLOOKUP($A7230,'319'!$B:$H,7,0),0)</f>
        <v>0</v>
      </c>
      <c r="G7230" s="34" t="n">
        <f aca="false">SUMIFS('12.326ana'!$C:$C,'12.326ana'!$M:$M,redes!A7230)</f>
        <v>0</v>
      </c>
    </row>
    <row r="7231" customFormat="false" ht="14.4" hidden="true" customHeight="false" outlineLevel="0" collapsed="false">
      <c r="A7231" s="34" t="n">
        <v>2989615000118</v>
      </c>
      <c r="B7231" s="34" t="s">
        <v>15530</v>
      </c>
      <c r="C7231" s="34" t="s">
        <v>1272</v>
      </c>
      <c r="E7231" s="30" t="s">
        <v>15531</v>
      </c>
      <c r="F7231" s="34" t="n">
        <f aca="false">IFERROR(VLOOKUP($A7231,'319'!$B:$H,7,0),0)</f>
        <v>0</v>
      </c>
      <c r="G7231" s="34" t="n">
        <f aca="false">SUMIFS('12.326ana'!$C:$C,'12.326ana'!$M:$M,redes!A7231)</f>
        <v>0</v>
      </c>
    </row>
    <row r="7232" customFormat="false" ht="14.4" hidden="true" customHeight="false" outlineLevel="0" collapsed="false">
      <c r="A7232" s="34" t="n">
        <v>2989619000104</v>
      </c>
      <c r="B7232" s="34" t="s">
        <v>15532</v>
      </c>
      <c r="C7232" s="34" t="s">
        <v>1272</v>
      </c>
      <c r="E7232" s="30" t="s">
        <v>4262</v>
      </c>
      <c r="F7232" s="34" t="n">
        <f aca="false">IFERROR(VLOOKUP($A7232,'319'!$B:$H,7,0),0)</f>
        <v>0</v>
      </c>
      <c r="G7232" s="34" t="n">
        <f aca="false">SUMIFS('12.326ana'!$C:$C,'12.326ana'!$M:$M,redes!A7232)</f>
        <v>0</v>
      </c>
    </row>
    <row r="7233" customFormat="false" ht="14.4" hidden="true" customHeight="false" outlineLevel="0" collapsed="false">
      <c r="A7233" s="34" t="n">
        <v>2990766000196</v>
      </c>
      <c r="B7233" s="34" t="s">
        <v>15533</v>
      </c>
      <c r="C7233" s="34" t="s">
        <v>77</v>
      </c>
      <c r="E7233" s="30" t="s">
        <v>11517</v>
      </c>
      <c r="F7233" s="34" t="n">
        <f aca="false">IFERROR(VLOOKUP($A7233,'319'!$B:$H,7,0),0)</f>
        <v>0</v>
      </c>
      <c r="G7233" s="34" t="n">
        <f aca="false">SUMIFS('12.326ana'!$C:$C,'12.326ana'!$M:$M,redes!A7233)</f>
        <v>0</v>
      </c>
    </row>
    <row r="7234" customFormat="false" ht="14.4" hidden="true" customHeight="false" outlineLevel="0" collapsed="false">
      <c r="A7234" s="34" t="n">
        <v>2990864000123</v>
      </c>
      <c r="B7234" s="34" t="s">
        <v>15534</v>
      </c>
      <c r="C7234" s="34" t="s">
        <v>77</v>
      </c>
      <c r="D7234" s="34" t="s">
        <v>5602</v>
      </c>
      <c r="E7234" s="30" t="s">
        <v>15535</v>
      </c>
      <c r="F7234" s="34" t="n">
        <f aca="false">IFERROR(VLOOKUP($A7234,'319'!$B:$H,7,0),0)</f>
        <v>0</v>
      </c>
      <c r="G7234" s="34" t="n">
        <f aca="false">SUMIFS('12.326ana'!$C:$C,'12.326ana'!$M:$M,redes!A7234)</f>
        <v>0</v>
      </c>
    </row>
    <row r="7235" customFormat="false" ht="14.4" hidden="true" customHeight="false" outlineLevel="0" collapsed="false">
      <c r="A7235" s="34" t="n">
        <v>2993730000166</v>
      </c>
      <c r="B7235" s="34" t="s">
        <v>15536</v>
      </c>
      <c r="C7235" s="34" t="s">
        <v>107</v>
      </c>
      <c r="E7235" s="30" t="s">
        <v>3194</v>
      </c>
      <c r="F7235" s="34" t="n">
        <f aca="false">IFERROR(VLOOKUP($A7235,'319'!$B:$H,7,0),0)</f>
        <v>0</v>
      </c>
      <c r="G7235" s="34" t="n">
        <f aca="false">SUMIFS('12.326ana'!$C:$C,'12.326ana'!$M:$M,redes!A7235)</f>
        <v>0</v>
      </c>
    </row>
    <row r="7236" customFormat="false" ht="14.4" hidden="true" customHeight="false" outlineLevel="0" collapsed="false">
      <c r="A7236" s="34" t="n">
        <v>2994340000100</v>
      </c>
      <c r="B7236" s="34" t="s">
        <v>15537</v>
      </c>
      <c r="C7236" s="34" t="s">
        <v>4139</v>
      </c>
      <c r="E7236" s="30" t="s">
        <v>15538</v>
      </c>
      <c r="F7236" s="34" t="n">
        <f aca="false">IFERROR(VLOOKUP($A7236,'319'!$B:$H,7,0),0)</f>
        <v>0</v>
      </c>
      <c r="G7236" s="34" t="n">
        <f aca="false">SUMIFS('12.326ana'!$C:$C,'12.326ana'!$M:$M,redes!A7236)</f>
        <v>0</v>
      </c>
    </row>
    <row r="7237" customFormat="false" ht="14.4" hidden="true" customHeight="false" outlineLevel="0" collapsed="false">
      <c r="A7237" s="34" t="n">
        <v>2994610000183</v>
      </c>
      <c r="B7237" s="34" t="s">
        <v>15539</v>
      </c>
      <c r="C7237" s="34" t="s">
        <v>129</v>
      </c>
      <c r="E7237" s="30" t="s">
        <v>15540</v>
      </c>
      <c r="F7237" s="34" t="n">
        <f aca="false">IFERROR(VLOOKUP($A7237,'319'!$B:$H,7,0),0)</f>
        <v>0</v>
      </c>
      <c r="G7237" s="34" t="n">
        <f aca="false">SUMIFS('12.326ana'!$C:$C,'12.326ana'!$M:$M,redes!A7237)</f>
        <v>0</v>
      </c>
    </row>
    <row r="7238" customFormat="false" ht="14.4" hidden="true" customHeight="false" outlineLevel="0" collapsed="false">
      <c r="A7238" s="34" t="n">
        <v>2994728000101</v>
      </c>
      <c r="B7238" s="34" t="s">
        <v>15541</v>
      </c>
      <c r="C7238" s="34" t="s">
        <v>77</v>
      </c>
      <c r="E7238" s="30" t="s">
        <v>15542</v>
      </c>
      <c r="F7238" s="34" t="n">
        <f aca="false">IFERROR(VLOOKUP($A7238,'319'!$B:$H,7,0),0)</f>
        <v>0</v>
      </c>
      <c r="G7238" s="34" t="n">
        <f aca="false">SUMIFS('12.326ana'!$C:$C,'12.326ana'!$M:$M,redes!A7238)</f>
        <v>0</v>
      </c>
    </row>
    <row r="7239" customFormat="false" ht="14.4" hidden="true" customHeight="false" outlineLevel="0" collapsed="false">
      <c r="A7239" s="34" t="n">
        <v>2998087000163</v>
      </c>
      <c r="B7239" s="34" t="s">
        <v>15543</v>
      </c>
      <c r="C7239" s="34" t="s">
        <v>1602</v>
      </c>
      <c r="E7239" s="30" t="s">
        <v>7500</v>
      </c>
      <c r="F7239" s="34" t="n">
        <f aca="false">IFERROR(VLOOKUP($A7239,'319'!$B:$H,7,0),0)</f>
        <v>0</v>
      </c>
      <c r="G7239" s="34" t="n">
        <f aca="false">SUMIFS('12.326ana'!$C:$C,'12.326ana'!$M:$M,redes!A7239)</f>
        <v>0</v>
      </c>
    </row>
    <row r="7240" customFormat="false" ht="14.4" hidden="true" customHeight="false" outlineLevel="0" collapsed="false">
      <c r="A7240" s="34" t="n">
        <v>3000420000166</v>
      </c>
      <c r="B7240" s="34" t="s">
        <v>15544</v>
      </c>
      <c r="C7240" s="34" t="s">
        <v>139</v>
      </c>
      <c r="E7240" s="30" t="s">
        <v>15545</v>
      </c>
      <c r="F7240" s="34" t="n">
        <f aca="false">IFERROR(VLOOKUP($A7240,'319'!$B:$H,7,0),0)</f>
        <v>0</v>
      </c>
      <c r="G7240" s="34" t="n">
        <f aca="false">SUMIFS('12.326ana'!$C:$C,'12.326ana'!$M:$M,redes!A7240)</f>
        <v>0</v>
      </c>
    </row>
    <row r="7241" customFormat="false" ht="14.4" hidden="true" customHeight="false" outlineLevel="0" collapsed="false">
      <c r="A7241" s="34" t="n">
        <v>3001569000160</v>
      </c>
      <c r="B7241" s="34" t="s">
        <v>15546</v>
      </c>
      <c r="C7241" s="34" t="s">
        <v>1272</v>
      </c>
      <c r="E7241" s="30" t="s">
        <v>15547</v>
      </c>
      <c r="F7241" s="34" t="n">
        <f aca="false">IFERROR(VLOOKUP($A7241,'319'!$B:$H,7,0),0)</f>
        <v>0</v>
      </c>
      <c r="G7241" s="34" t="n">
        <f aca="false">SUMIFS('12.326ana'!$C:$C,'12.326ana'!$M:$M,redes!A7241)</f>
        <v>0</v>
      </c>
    </row>
    <row r="7242" customFormat="false" ht="14.4" hidden="true" customHeight="false" outlineLevel="0" collapsed="false">
      <c r="A7242" s="34" t="n">
        <v>3003072000180</v>
      </c>
      <c r="B7242" s="34" t="s">
        <v>15548</v>
      </c>
      <c r="C7242" s="34" t="s">
        <v>77</v>
      </c>
      <c r="E7242" s="30" t="s">
        <v>15549</v>
      </c>
      <c r="F7242" s="34" t="n">
        <f aca="false">IFERROR(VLOOKUP($A7242,'319'!$B:$H,7,0),0)</f>
        <v>0</v>
      </c>
      <c r="G7242" s="34" t="n">
        <f aca="false">SUMIFS('12.326ana'!$C:$C,'12.326ana'!$M:$M,redes!A7242)</f>
        <v>0</v>
      </c>
    </row>
    <row r="7243" customFormat="false" ht="14.4" hidden="true" customHeight="false" outlineLevel="0" collapsed="false">
      <c r="A7243" s="34" t="n">
        <v>3006816000110</v>
      </c>
      <c r="B7243" s="34" t="s">
        <v>3832</v>
      </c>
      <c r="C7243" s="34" t="s">
        <v>77</v>
      </c>
      <c r="E7243" s="30" t="s">
        <v>3833</v>
      </c>
      <c r="F7243" s="34" t="n">
        <f aca="false">IFERROR(VLOOKUP($A7243,'319'!$B:$H,7,0),0)</f>
        <v>0</v>
      </c>
      <c r="G7243" s="34" t="n">
        <f aca="false">SUMIFS('12.326ana'!$C:$C,'12.326ana'!$M:$M,redes!A7243)</f>
        <v>0</v>
      </c>
    </row>
    <row r="7244" customFormat="false" ht="14.4" hidden="true" customHeight="false" outlineLevel="0" collapsed="false">
      <c r="A7244" s="34" t="n">
        <v>3006845000182</v>
      </c>
      <c r="B7244" s="34" t="s">
        <v>15550</v>
      </c>
      <c r="C7244" s="34" t="s">
        <v>77</v>
      </c>
      <c r="E7244" s="30" t="s">
        <v>14034</v>
      </c>
      <c r="F7244" s="34" t="n">
        <f aca="false">IFERROR(VLOOKUP($A7244,'319'!$B:$H,7,0),0)</f>
        <v>0</v>
      </c>
      <c r="G7244" s="34" t="n">
        <f aca="false">SUMIFS('12.326ana'!$C:$C,'12.326ana'!$M:$M,redes!A7244)</f>
        <v>0</v>
      </c>
    </row>
    <row r="7245" customFormat="false" ht="14.4" hidden="true" customHeight="false" outlineLevel="0" collapsed="false">
      <c r="A7245" s="34" t="n">
        <v>3009210000139</v>
      </c>
      <c r="B7245" s="34" t="s">
        <v>15551</v>
      </c>
      <c r="C7245" s="34" t="s">
        <v>129</v>
      </c>
      <c r="E7245" s="30" t="s">
        <v>15552</v>
      </c>
      <c r="F7245" s="34" t="n">
        <f aca="false">IFERROR(VLOOKUP($A7245,'319'!$B:$H,7,0),0)</f>
        <v>0</v>
      </c>
      <c r="G7245" s="34" t="n">
        <f aca="false">SUMIFS('12.326ana'!$C:$C,'12.326ana'!$M:$M,redes!A7245)</f>
        <v>0</v>
      </c>
    </row>
    <row r="7246" customFormat="false" ht="14.4" hidden="true" customHeight="false" outlineLevel="0" collapsed="false">
      <c r="A7246" s="34" t="n">
        <v>3011317000111</v>
      </c>
      <c r="B7246" s="34" t="s">
        <v>15553</v>
      </c>
      <c r="C7246" s="34" t="s">
        <v>77</v>
      </c>
      <c r="E7246" s="30" t="s">
        <v>14236</v>
      </c>
      <c r="F7246" s="34" t="n">
        <f aca="false">IFERROR(VLOOKUP($A7246,'319'!$B:$H,7,0),0)</f>
        <v>0</v>
      </c>
      <c r="G7246" s="34" t="n">
        <f aca="false">SUMIFS('12.326ana'!$C:$C,'12.326ana'!$M:$M,redes!A7246)</f>
        <v>0</v>
      </c>
    </row>
    <row r="7247" customFormat="false" ht="14.4" hidden="true" customHeight="false" outlineLevel="0" collapsed="false">
      <c r="A7247" s="34" t="n">
        <v>3011765000115</v>
      </c>
      <c r="B7247" s="34" t="s">
        <v>15554</v>
      </c>
      <c r="C7247" s="34" t="s">
        <v>77</v>
      </c>
      <c r="E7247" s="30" t="s">
        <v>15555</v>
      </c>
      <c r="F7247" s="34" t="n">
        <f aca="false">IFERROR(VLOOKUP($A7247,'319'!$B:$H,7,0),0)</f>
        <v>0</v>
      </c>
      <c r="G7247" s="34" t="n">
        <f aca="false">SUMIFS('12.326ana'!$C:$C,'12.326ana'!$M:$M,redes!A7247)</f>
        <v>0</v>
      </c>
    </row>
    <row r="7248" customFormat="false" ht="14.4" hidden="true" customHeight="false" outlineLevel="0" collapsed="false">
      <c r="A7248" s="34" t="n">
        <v>3012168000105</v>
      </c>
      <c r="B7248" s="34" t="s">
        <v>15556</v>
      </c>
      <c r="C7248" s="34" t="s">
        <v>473</v>
      </c>
      <c r="E7248" s="30" t="s">
        <v>15557</v>
      </c>
      <c r="F7248" s="34" t="n">
        <f aca="false">IFERROR(VLOOKUP($A7248,'319'!$B:$H,7,0),0)</f>
        <v>0</v>
      </c>
      <c r="G7248" s="34" t="n">
        <f aca="false">SUMIFS('12.326ana'!$C:$C,'12.326ana'!$M:$M,redes!A7248)</f>
        <v>0</v>
      </c>
    </row>
    <row r="7249" customFormat="false" ht="14.4" hidden="true" customHeight="false" outlineLevel="0" collapsed="false">
      <c r="A7249" s="34" t="n">
        <v>3012506000109</v>
      </c>
      <c r="B7249" s="34" t="s">
        <v>15558</v>
      </c>
      <c r="C7249" s="34" t="s">
        <v>357</v>
      </c>
      <c r="E7249" s="30" t="s">
        <v>9386</v>
      </c>
      <c r="F7249" s="34" t="n">
        <f aca="false">IFERROR(VLOOKUP($A7249,'319'!$B:$H,7,0),0)</f>
        <v>0</v>
      </c>
      <c r="G7249" s="34" t="n">
        <f aca="false">SUMIFS('12.326ana'!$C:$C,'12.326ana'!$M:$M,redes!A7249)</f>
        <v>0</v>
      </c>
    </row>
    <row r="7250" customFormat="false" ht="14.4" hidden="true" customHeight="false" outlineLevel="0" collapsed="false">
      <c r="A7250" s="34" t="n">
        <v>3012598000127</v>
      </c>
      <c r="B7250" s="34" t="s">
        <v>15559</v>
      </c>
      <c r="C7250" s="34" t="s">
        <v>77</v>
      </c>
      <c r="E7250" s="30" t="s">
        <v>4674</v>
      </c>
      <c r="F7250" s="34" t="n">
        <f aca="false">IFERROR(VLOOKUP($A7250,'319'!$B:$H,7,0),0)</f>
        <v>0</v>
      </c>
      <c r="G7250" s="34" t="n">
        <f aca="false">SUMIFS('12.326ana'!$C:$C,'12.326ana'!$M:$M,redes!A7250)</f>
        <v>0</v>
      </c>
    </row>
    <row r="7251" customFormat="false" ht="14.4" hidden="true" customHeight="false" outlineLevel="0" collapsed="false">
      <c r="A7251" s="34" t="n">
        <v>3012845000195</v>
      </c>
      <c r="B7251" s="34" t="s">
        <v>15560</v>
      </c>
      <c r="C7251" s="34" t="s">
        <v>89</v>
      </c>
      <c r="E7251" s="30" t="s">
        <v>15561</v>
      </c>
      <c r="F7251" s="34" t="n">
        <f aca="false">IFERROR(VLOOKUP($A7251,'319'!$B:$H,7,0),0)</f>
        <v>0</v>
      </c>
      <c r="G7251" s="34" t="n">
        <f aca="false">SUMIFS('12.326ana'!$C:$C,'12.326ana'!$M:$M,redes!A7251)</f>
        <v>0</v>
      </c>
    </row>
    <row r="7252" customFormat="false" ht="14.4" hidden="true" customHeight="false" outlineLevel="0" collapsed="false">
      <c r="A7252" s="34" t="n">
        <v>3013502000145</v>
      </c>
      <c r="B7252" s="34" t="s">
        <v>15562</v>
      </c>
      <c r="C7252" s="34" t="s">
        <v>139</v>
      </c>
      <c r="E7252" s="30" t="s">
        <v>15563</v>
      </c>
      <c r="F7252" s="34" t="n">
        <f aca="false">IFERROR(VLOOKUP($A7252,'319'!$B:$H,7,0),0)</f>
        <v>0</v>
      </c>
      <c r="G7252" s="34" t="n">
        <f aca="false">SUMIFS('12.326ana'!$C:$C,'12.326ana'!$M:$M,redes!A7252)</f>
        <v>0</v>
      </c>
    </row>
    <row r="7253" customFormat="false" ht="14.4" hidden="true" customHeight="false" outlineLevel="0" collapsed="false">
      <c r="A7253" s="34" t="n">
        <v>3013546000507</v>
      </c>
      <c r="B7253" s="34" t="s">
        <v>15564</v>
      </c>
      <c r="C7253" s="34" t="s">
        <v>103</v>
      </c>
      <c r="E7253" s="30" t="s">
        <v>15565</v>
      </c>
      <c r="F7253" s="34" t="n">
        <f aca="false">IFERROR(VLOOKUP($A7253,'319'!$B:$H,7,0),0)</f>
        <v>0</v>
      </c>
      <c r="G7253" s="34" t="n">
        <f aca="false">SUMIFS('12.326ana'!$C:$C,'12.326ana'!$M:$M,redes!A7253)</f>
        <v>0</v>
      </c>
    </row>
    <row r="7254" customFormat="false" ht="14.4" hidden="true" customHeight="false" outlineLevel="0" collapsed="false">
      <c r="A7254" s="34" t="n">
        <v>3013546000760</v>
      </c>
      <c r="B7254" s="34" t="s">
        <v>15564</v>
      </c>
      <c r="C7254" s="34" t="s">
        <v>107</v>
      </c>
      <c r="E7254" s="30" t="s">
        <v>15566</v>
      </c>
      <c r="F7254" s="34" t="n">
        <f aca="false">IFERROR(VLOOKUP($A7254,'319'!$B:$H,7,0),0)</f>
        <v>0</v>
      </c>
      <c r="G7254" s="34" t="n">
        <f aca="false">SUMIFS('12.326ana'!$C:$C,'12.326ana'!$M:$M,redes!A7254)</f>
        <v>0</v>
      </c>
    </row>
    <row r="7255" customFormat="false" ht="14.4" hidden="true" customHeight="false" outlineLevel="0" collapsed="false">
      <c r="A7255" s="34" t="n">
        <v>3015501000130</v>
      </c>
      <c r="B7255" s="34" t="s">
        <v>15567</v>
      </c>
      <c r="C7255" s="34" t="s">
        <v>77</v>
      </c>
      <c r="E7255" s="30" t="s">
        <v>6690</v>
      </c>
      <c r="F7255" s="34" t="n">
        <f aca="false">IFERROR(VLOOKUP($A7255,'319'!$B:$H,7,0),0)</f>
        <v>0</v>
      </c>
      <c r="G7255" s="34" t="n">
        <f aca="false">SUMIFS('12.326ana'!$C:$C,'12.326ana'!$M:$M,redes!A7255)</f>
        <v>0</v>
      </c>
    </row>
    <row r="7256" customFormat="false" ht="14.4" hidden="true" customHeight="false" outlineLevel="0" collapsed="false">
      <c r="A7256" s="34" t="n">
        <v>3017577000102</v>
      </c>
      <c r="B7256" s="34" t="s">
        <v>15568</v>
      </c>
      <c r="C7256" s="34" t="s">
        <v>77</v>
      </c>
      <c r="E7256" s="30" t="s">
        <v>15569</v>
      </c>
      <c r="F7256" s="34" t="n">
        <f aca="false">IFERROR(VLOOKUP($A7256,'319'!$B:$H,7,0),0)</f>
        <v>0</v>
      </c>
      <c r="G7256" s="34" t="n">
        <f aca="false">SUMIFS('12.326ana'!$C:$C,'12.326ana'!$M:$M,redes!A7256)</f>
        <v>0</v>
      </c>
    </row>
    <row r="7257" customFormat="false" ht="14.4" hidden="true" customHeight="false" outlineLevel="0" collapsed="false">
      <c r="A7257" s="34" t="n">
        <v>3018035000146</v>
      </c>
      <c r="B7257" s="34" t="s">
        <v>15570</v>
      </c>
      <c r="C7257" s="34" t="s">
        <v>77</v>
      </c>
      <c r="E7257" s="30" t="s">
        <v>3218</v>
      </c>
      <c r="F7257" s="34" t="n">
        <f aca="false">IFERROR(VLOOKUP($A7257,'319'!$B:$H,7,0),0)</f>
        <v>0</v>
      </c>
      <c r="G7257" s="34" t="n">
        <f aca="false">SUMIFS('12.326ana'!$C:$C,'12.326ana'!$M:$M,redes!A7257)</f>
        <v>0</v>
      </c>
    </row>
    <row r="7258" customFormat="false" ht="14.4" hidden="true" customHeight="false" outlineLevel="0" collapsed="false">
      <c r="A7258" s="34" t="n">
        <v>3018419000169</v>
      </c>
      <c r="B7258" s="34" t="s">
        <v>15571</v>
      </c>
      <c r="C7258" s="34" t="s">
        <v>77</v>
      </c>
      <c r="E7258" s="30" t="s">
        <v>15572</v>
      </c>
      <c r="F7258" s="34" t="n">
        <f aca="false">IFERROR(VLOOKUP($A7258,'319'!$B:$H,7,0),0)</f>
        <v>0</v>
      </c>
      <c r="G7258" s="34" t="n">
        <f aca="false">SUMIFS('12.326ana'!$C:$C,'12.326ana'!$M:$M,redes!A7258)</f>
        <v>0</v>
      </c>
    </row>
    <row r="7259" customFormat="false" ht="14.4" hidden="true" customHeight="false" outlineLevel="0" collapsed="false">
      <c r="A7259" s="34" t="n">
        <v>3019174000194</v>
      </c>
      <c r="B7259" s="34" t="s">
        <v>15573</v>
      </c>
      <c r="C7259" s="34" t="s">
        <v>764</v>
      </c>
      <c r="D7259" s="34" t="s">
        <v>5602</v>
      </c>
      <c r="E7259" s="30" t="s">
        <v>15574</v>
      </c>
      <c r="F7259" s="34" t="n">
        <f aca="false">IFERROR(VLOOKUP($A7259,'319'!$B:$H,7,0),0)</f>
        <v>0</v>
      </c>
      <c r="G7259" s="34" t="n">
        <f aca="false">SUMIFS('12.326ana'!$C:$C,'12.326ana'!$M:$M,redes!A7259)</f>
        <v>0</v>
      </c>
    </row>
    <row r="7260" customFormat="false" ht="14.4" hidden="true" customHeight="false" outlineLevel="0" collapsed="false">
      <c r="A7260" s="34" t="n">
        <v>3020219000140</v>
      </c>
      <c r="B7260" s="34" t="s">
        <v>15575</v>
      </c>
      <c r="C7260" s="34" t="s">
        <v>562</v>
      </c>
      <c r="E7260" s="30" t="s">
        <v>15576</v>
      </c>
      <c r="F7260" s="34" t="n">
        <f aca="false">IFERROR(VLOOKUP($A7260,'319'!$B:$H,7,0),0)</f>
        <v>0</v>
      </c>
      <c r="G7260" s="34" t="n">
        <f aca="false">SUMIFS('12.326ana'!$C:$C,'12.326ana'!$M:$M,redes!A7260)</f>
        <v>0</v>
      </c>
    </row>
    <row r="7261" customFormat="false" ht="14.4" hidden="true" customHeight="false" outlineLevel="0" collapsed="false">
      <c r="A7261" s="34" t="n">
        <v>3020527000176</v>
      </c>
      <c r="B7261" s="34" t="s">
        <v>15577</v>
      </c>
      <c r="C7261" s="34" t="s">
        <v>357</v>
      </c>
      <c r="E7261" s="30" t="s">
        <v>15578</v>
      </c>
      <c r="F7261" s="34" t="n">
        <f aca="false">IFERROR(VLOOKUP($A7261,'319'!$B:$H,7,0),0)</f>
        <v>0</v>
      </c>
      <c r="G7261" s="34" t="n">
        <f aca="false">SUMIFS('12.326ana'!$C:$C,'12.326ana'!$M:$M,redes!A7261)</f>
        <v>0</v>
      </c>
    </row>
    <row r="7262" customFormat="false" ht="14.4" hidden="true" customHeight="false" outlineLevel="0" collapsed="false">
      <c r="A7262" s="34" t="n">
        <v>3020879000121</v>
      </c>
      <c r="B7262" s="34" t="s">
        <v>15579</v>
      </c>
      <c r="C7262" s="34" t="s">
        <v>77</v>
      </c>
      <c r="E7262" s="30" t="s">
        <v>15580</v>
      </c>
      <c r="F7262" s="34" t="n">
        <f aca="false">IFERROR(VLOOKUP($A7262,'319'!$B:$H,7,0),0)</f>
        <v>0</v>
      </c>
      <c r="G7262" s="34" t="n">
        <f aca="false">SUMIFS('12.326ana'!$C:$C,'12.326ana'!$M:$M,redes!A7262)</f>
        <v>0</v>
      </c>
    </row>
    <row r="7263" customFormat="false" ht="14.4" hidden="true" customHeight="false" outlineLevel="0" collapsed="false">
      <c r="A7263" s="35" t="n">
        <v>3021039000183</v>
      </c>
      <c r="B7263" s="34" t="s">
        <v>15581</v>
      </c>
      <c r="C7263" s="34" t="s">
        <v>737</v>
      </c>
      <c r="E7263" s="30" t="s">
        <v>5917</v>
      </c>
      <c r="F7263" s="34" t="n">
        <f aca="false">IFERROR(VLOOKUP($A7263,'319'!$B:$H,7,0),0)</f>
        <v>0</v>
      </c>
      <c r="G7263" s="34" t="n">
        <f aca="false">SUMIFS('12.326ana'!$C:$C,'12.326ana'!$M:$M,redes!A7263)</f>
        <v>0</v>
      </c>
    </row>
    <row r="7264" customFormat="false" ht="14.4" hidden="true" customHeight="false" outlineLevel="0" collapsed="false">
      <c r="A7264" s="35" t="n">
        <v>3022726000113</v>
      </c>
      <c r="B7264" s="34" t="s">
        <v>15582</v>
      </c>
      <c r="C7264" s="34" t="s">
        <v>127</v>
      </c>
      <c r="E7264" s="30" t="s">
        <v>15583</v>
      </c>
      <c r="F7264" s="34" t="n">
        <f aca="false">IFERROR(VLOOKUP($A7264,'319'!$B:$H,7,0),0)</f>
        <v>0</v>
      </c>
      <c r="G7264" s="34" t="n">
        <f aca="false">SUMIFS('12.326ana'!$C:$C,'12.326ana'!$M:$M,redes!A7264)</f>
        <v>0</v>
      </c>
    </row>
    <row r="7265" customFormat="false" ht="14.4" hidden="true" customHeight="false" outlineLevel="0" collapsed="false">
      <c r="A7265" s="34" t="n">
        <v>3022742000106</v>
      </c>
      <c r="B7265" s="34" t="s">
        <v>15584</v>
      </c>
      <c r="C7265" s="34" t="s">
        <v>405</v>
      </c>
      <c r="E7265" s="30" t="s">
        <v>6896</v>
      </c>
      <c r="F7265" s="34" t="n">
        <f aca="false">IFERROR(VLOOKUP($A7265,'319'!$B:$H,7,0),0)</f>
        <v>0</v>
      </c>
      <c r="G7265" s="34" t="n">
        <f aca="false">SUMIFS('12.326ana'!$C:$C,'12.326ana'!$M:$M,redes!A7265)</f>
        <v>0</v>
      </c>
    </row>
    <row r="7266" customFormat="false" ht="14.4" hidden="true" customHeight="false" outlineLevel="0" collapsed="false">
      <c r="A7266" s="34" t="n">
        <v>3024279000131</v>
      </c>
      <c r="B7266" s="34" t="s">
        <v>15585</v>
      </c>
      <c r="C7266" s="34" t="s">
        <v>107</v>
      </c>
      <c r="E7266" s="30" t="s">
        <v>15586</v>
      </c>
      <c r="F7266" s="34" t="n">
        <f aca="false">IFERROR(VLOOKUP($A7266,'319'!$B:$H,7,0),0)</f>
        <v>0</v>
      </c>
      <c r="G7266" s="34" t="n">
        <f aca="false">SUMIFS('12.326ana'!$C:$C,'12.326ana'!$M:$M,redes!A7266)</f>
        <v>0</v>
      </c>
    </row>
    <row r="7267" customFormat="false" ht="14.4" hidden="true" customHeight="false" outlineLevel="0" collapsed="false">
      <c r="A7267" s="34" t="n">
        <v>3024295000124</v>
      </c>
      <c r="B7267" s="34" t="s">
        <v>15587</v>
      </c>
      <c r="C7267" s="34" t="s">
        <v>77</v>
      </c>
      <c r="E7267" s="30" t="s">
        <v>15588</v>
      </c>
      <c r="F7267" s="34" t="n">
        <f aca="false">IFERROR(VLOOKUP($A7267,'319'!$B:$H,7,0),0)</f>
        <v>0</v>
      </c>
      <c r="G7267" s="34" t="n">
        <f aca="false">SUMIFS('12.326ana'!$C:$C,'12.326ana'!$M:$M,redes!A7267)</f>
        <v>0</v>
      </c>
    </row>
    <row r="7268" customFormat="false" ht="14.4" hidden="true" customHeight="false" outlineLevel="0" collapsed="false">
      <c r="A7268" s="34" t="n">
        <v>3024296000179</v>
      </c>
      <c r="B7268" s="34" t="s">
        <v>15589</v>
      </c>
      <c r="C7268" s="34" t="s">
        <v>77</v>
      </c>
      <c r="E7268" s="30" t="s">
        <v>15590</v>
      </c>
      <c r="F7268" s="34" t="n">
        <f aca="false">IFERROR(VLOOKUP($A7268,'319'!$B:$H,7,0),0)</f>
        <v>0</v>
      </c>
      <c r="G7268" s="34" t="n">
        <f aca="false">SUMIFS('12.326ana'!$C:$C,'12.326ana'!$M:$M,redes!A7268)</f>
        <v>0</v>
      </c>
    </row>
    <row r="7269" customFormat="false" ht="14.4" hidden="true" customHeight="false" outlineLevel="0" collapsed="false">
      <c r="A7269" s="34" t="n">
        <v>3025302000102</v>
      </c>
      <c r="B7269" s="34" t="s">
        <v>15591</v>
      </c>
      <c r="C7269" s="34" t="s">
        <v>342</v>
      </c>
      <c r="E7269" s="30" t="s">
        <v>14442</v>
      </c>
      <c r="F7269" s="34" t="n">
        <f aca="false">IFERROR(VLOOKUP($A7269,'319'!$B:$H,7,0),0)</f>
        <v>0</v>
      </c>
      <c r="G7269" s="34" t="n">
        <f aca="false">SUMIFS('12.326ana'!$C:$C,'12.326ana'!$M:$M,redes!A7269)</f>
        <v>0</v>
      </c>
    </row>
    <row r="7270" customFormat="false" ht="14.4" hidden="true" customHeight="false" outlineLevel="0" collapsed="false">
      <c r="A7270" s="34" t="n">
        <v>3025400000140</v>
      </c>
      <c r="B7270" s="34" t="s">
        <v>15592</v>
      </c>
      <c r="C7270" s="34" t="s">
        <v>77</v>
      </c>
      <c r="E7270" s="30"/>
      <c r="F7270" s="34" t="n">
        <f aca="false">IFERROR(VLOOKUP($A7270,'319'!$B:$H,7,0),0)</f>
        <v>0</v>
      </c>
      <c r="G7270" s="34" t="n">
        <f aca="false">SUMIFS('12.326ana'!$C:$C,'12.326ana'!$M:$M,redes!A7270)</f>
        <v>0</v>
      </c>
    </row>
    <row r="7271" customFormat="false" ht="14.4" hidden="true" customHeight="false" outlineLevel="0" collapsed="false">
      <c r="A7271" s="34" t="n">
        <v>3025988000131</v>
      </c>
      <c r="B7271" s="34" t="s">
        <v>15593</v>
      </c>
      <c r="C7271" s="34" t="s">
        <v>77</v>
      </c>
      <c r="E7271" s="30" t="s">
        <v>15594</v>
      </c>
      <c r="F7271" s="34" t="n">
        <f aca="false">IFERROR(VLOOKUP($A7271,'319'!$B:$H,7,0),0)</f>
        <v>0</v>
      </c>
      <c r="G7271" s="34" t="n">
        <f aca="false">SUMIFS('12.326ana'!$C:$C,'12.326ana'!$M:$M,redes!A7271)</f>
        <v>0</v>
      </c>
    </row>
    <row r="7272" customFormat="false" ht="14.4" hidden="true" customHeight="false" outlineLevel="0" collapsed="false">
      <c r="A7272" s="34" t="n">
        <v>3025988000212</v>
      </c>
      <c r="B7272" s="34" t="s">
        <v>15595</v>
      </c>
      <c r="C7272" s="34" t="s">
        <v>107</v>
      </c>
      <c r="E7272" s="30" t="s">
        <v>9646</v>
      </c>
      <c r="F7272" s="34" t="n">
        <f aca="false">IFERROR(VLOOKUP($A7272,'319'!$B:$H,7,0),0)</f>
        <v>0</v>
      </c>
      <c r="G7272" s="34" t="n">
        <f aca="false">SUMIFS('12.326ana'!$C:$C,'12.326ana'!$M:$M,redes!A7272)</f>
        <v>0</v>
      </c>
    </row>
    <row r="7273" customFormat="false" ht="14.4" hidden="true" customHeight="false" outlineLevel="0" collapsed="false">
      <c r="A7273" s="34" t="n">
        <v>3027612000166</v>
      </c>
      <c r="B7273" s="34" t="s">
        <v>15596</v>
      </c>
      <c r="C7273" s="34" t="s">
        <v>77</v>
      </c>
      <c r="D7273" s="34" t="s">
        <v>33</v>
      </c>
      <c r="E7273" s="30" t="s">
        <v>13163</v>
      </c>
      <c r="F7273" s="34" t="n">
        <f aca="false">IFERROR(VLOOKUP($A7273,'319'!$B:$H,7,0),0)</f>
        <v>0</v>
      </c>
      <c r="G7273" s="34" t="n">
        <f aca="false">SUMIFS('12.326ana'!$C:$C,'12.326ana'!$M:$M,redes!A7273)</f>
        <v>0</v>
      </c>
    </row>
    <row r="7274" customFormat="false" ht="14.4" hidden="true" customHeight="false" outlineLevel="0" collapsed="false">
      <c r="A7274" s="34" t="n">
        <v>3027612000590</v>
      </c>
      <c r="B7274" s="34" t="s">
        <v>15596</v>
      </c>
      <c r="C7274" s="34" t="s">
        <v>77</v>
      </c>
      <c r="D7274" s="34" t="s">
        <v>33</v>
      </c>
      <c r="E7274" s="30" t="s">
        <v>13163</v>
      </c>
      <c r="F7274" s="34" t="n">
        <f aca="false">IFERROR(VLOOKUP($A7274,'319'!$B:$H,7,0),0)</f>
        <v>0</v>
      </c>
      <c r="G7274" s="34" t="n">
        <f aca="false">SUMIFS('12.326ana'!$C:$C,'12.326ana'!$M:$M,redes!A7274)</f>
        <v>0</v>
      </c>
    </row>
    <row r="7275" customFormat="false" ht="14.4" hidden="true" customHeight="false" outlineLevel="0" collapsed="false">
      <c r="A7275" s="34" t="n">
        <v>3027828000121</v>
      </c>
      <c r="B7275" s="34" t="s">
        <v>15597</v>
      </c>
      <c r="C7275" s="34" t="s">
        <v>77</v>
      </c>
      <c r="E7275" s="30" t="s">
        <v>15598</v>
      </c>
      <c r="F7275" s="34" t="n">
        <f aca="false">IFERROR(VLOOKUP($A7275,'319'!$B:$H,7,0),0)</f>
        <v>0</v>
      </c>
      <c r="G7275" s="34" t="n">
        <f aca="false">SUMIFS('12.326ana'!$C:$C,'12.326ana'!$M:$M,redes!A7275)</f>
        <v>0</v>
      </c>
    </row>
    <row r="7276" customFormat="false" ht="14.4" hidden="true" customHeight="false" outlineLevel="0" collapsed="false">
      <c r="A7276" s="34" t="n">
        <v>3027828000393</v>
      </c>
      <c r="B7276" s="34" t="s">
        <v>15597</v>
      </c>
      <c r="C7276" s="34" t="s">
        <v>77</v>
      </c>
      <c r="E7276" s="30" t="s">
        <v>15598</v>
      </c>
      <c r="F7276" s="34" t="n">
        <f aca="false">IFERROR(VLOOKUP($A7276,'319'!$B:$H,7,0),0)</f>
        <v>0</v>
      </c>
      <c r="G7276" s="34" t="n">
        <f aca="false">SUMIFS('12.326ana'!$C:$C,'12.326ana'!$M:$M,redes!A7276)</f>
        <v>0</v>
      </c>
    </row>
    <row r="7277" customFormat="false" ht="14.4" hidden="true" customHeight="false" outlineLevel="0" collapsed="false">
      <c r="A7277" s="34" t="n">
        <v>3027870000142</v>
      </c>
      <c r="B7277" s="34" t="s">
        <v>15599</v>
      </c>
      <c r="C7277" s="34" t="s">
        <v>1591</v>
      </c>
      <c r="E7277" s="30" t="s">
        <v>4445</v>
      </c>
      <c r="F7277" s="34" t="n">
        <f aca="false">IFERROR(VLOOKUP($A7277,'319'!$B:$H,7,0),0)</f>
        <v>0</v>
      </c>
      <c r="G7277" s="34" t="n">
        <f aca="false">SUMIFS('12.326ana'!$C:$C,'12.326ana'!$M:$M,redes!A7277)</f>
        <v>0</v>
      </c>
    </row>
    <row r="7278" customFormat="false" ht="14.4" hidden="true" customHeight="false" outlineLevel="0" collapsed="false">
      <c r="A7278" s="34" t="n">
        <v>3028078000102</v>
      </c>
      <c r="B7278" s="34" t="s">
        <v>15600</v>
      </c>
      <c r="C7278" s="34" t="s">
        <v>377</v>
      </c>
      <c r="E7278" s="30" t="s">
        <v>15601</v>
      </c>
      <c r="F7278" s="34" t="n">
        <f aca="false">IFERROR(VLOOKUP($A7278,'319'!$B:$H,7,0),0)</f>
        <v>0</v>
      </c>
      <c r="G7278" s="34" t="n">
        <f aca="false">SUMIFS('12.326ana'!$C:$C,'12.326ana'!$M:$M,redes!A7278)</f>
        <v>0</v>
      </c>
    </row>
    <row r="7279" customFormat="false" ht="14.4" hidden="true" customHeight="false" outlineLevel="0" collapsed="false">
      <c r="A7279" s="34" t="n">
        <v>3028414000117</v>
      </c>
      <c r="B7279" s="34" t="s">
        <v>15602</v>
      </c>
      <c r="C7279" s="34" t="s">
        <v>197</v>
      </c>
      <c r="E7279" s="30" t="s">
        <v>5967</v>
      </c>
      <c r="F7279" s="34" t="n">
        <f aca="false">IFERROR(VLOOKUP($A7279,'319'!$B:$H,7,0),0)</f>
        <v>0</v>
      </c>
      <c r="G7279" s="34" t="n">
        <f aca="false">SUMIFS('12.326ana'!$C:$C,'12.326ana'!$M:$M,redes!A7279)</f>
        <v>0</v>
      </c>
    </row>
    <row r="7280" customFormat="false" ht="14.4" hidden="true" customHeight="false" outlineLevel="0" collapsed="false">
      <c r="A7280" s="34" t="n">
        <v>3029170000197</v>
      </c>
      <c r="B7280" s="34" t="s">
        <v>15603</v>
      </c>
      <c r="C7280" s="34" t="s">
        <v>77</v>
      </c>
      <c r="E7280" s="30" t="s">
        <v>15604</v>
      </c>
      <c r="F7280" s="34" t="n">
        <f aca="false">IFERROR(VLOOKUP($A7280,'319'!$B:$H,7,0),0)</f>
        <v>0</v>
      </c>
      <c r="G7280" s="34" t="n">
        <f aca="false">SUMIFS('12.326ana'!$C:$C,'12.326ana'!$M:$M,redes!A7280)</f>
        <v>0</v>
      </c>
    </row>
    <row r="7281" customFormat="false" ht="14.4" hidden="true" customHeight="false" outlineLevel="0" collapsed="false">
      <c r="A7281" s="34" t="n">
        <v>3029557000143</v>
      </c>
      <c r="B7281" s="34" t="s">
        <v>15605</v>
      </c>
      <c r="C7281" s="34" t="s">
        <v>77</v>
      </c>
      <c r="E7281" s="30" t="s">
        <v>8673</v>
      </c>
      <c r="F7281" s="34" t="n">
        <f aca="false">IFERROR(VLOOKUP($A7281,'319'!$B:$H,7,0),0)</f>
        <v>0</v>
      </c>
      <c r="G7281" s="34" t="n">
        <f aca="false">SUMIFS('12.326ana'!$C:$C,'12.326ana'!$M:$M,redes!A7281)</f>
        <v>0</v>
      </c>
    </row>
    <row r="7282" customFormat="false" ht="14.4" hidden="true" customHeight="false" outlineLevel="0" collapsed="false">
      <c r="A7282" s="34" t="n">
        <v>3029716000100</v>
      </c>
      <c r="B7282" s="34" t="s">
        <v>15606</v>
      </c>
      <c r="C7282" s="34" t="s">
        <v>77</v>
      </c>
      <c r="D7282" s="34" t="s">
        <v>15607</v>
      </c>
      <c r="E7282" s="30" t="s">
        <v>15608</v>
      </c>
      <c r="F7282" s="34" t="n">
        <f aca="false">IFERROR(VLOOKUP($A7282,'319'!$B:$H,7,0),0)</f>
        <v>0</v>
      </c>
      <c r="G7282" s="34" t="n">
        <f aca="false">SUMIFS('12.326ana'!$C:$C,'12.326ana'!$M:$M,redes!A7282)</f>
        <v>0</v>
      </c>
    </row>
    <row r="7283" customFormat="false" ht="14.4" hidden="true" customHeight="false" outlineLevel="0" collapsed="false">
      <c r="A7283" s="34" t="n">
        <v>3029716000290</v>
      </c>
      <c r="B7283" s="34" t="s">
        <v>15606</v>
      </c>
      <c r="C7283" s="34" t="s">
        <v>77</v>
      </c>
      <c r="D7283" s="34" t="s">
        <v>15607</v>
      </c>
      <c r="E7283" s="30" t="s">
        <v>15609</v>
      </c>
      <c r="F7283" s="34" t="n">
        <f aca="false">IFERROR(VLOOKUP($A7283,'319'!$B:$H,7,0),0)</f>
        <v>0</v>
      </c>
      <c r="G7283" s="34" t="n">
        <f aca="false">SUMIFS('12.326ana'!$C:$C,'12.326ana'!$M:$M,redes!A7283)</f>
        <v>0</v>
      </c>
    </row>
    <row r="7284" customFormat="false" ht="14.4" hidden="true" customHeight="false" outlineLevel="0" collapsed="false">
      <c r="A7284" s="34" t="n">
        <v>3029856000188</v>
      </c>
      <c r="B7284" s="34" t="s">
        <v>15610</v>
      </c>
      <c r="C7284" s="34" t="s">
        <v>473</v>
      </c>
      <c r="E7284" s="30" t="s">
        <v>15611</v>
      </c>
      <c r="F7284" s="34" t="n">
        <f aca="false">IFERROR(VLOOKUP($A7284,'319'!$B:$H,7,0),0)</f>
        <v>0</v>
      </c>
      <c r="G7284" s="34" t="n">
        <f aca="false">SUMIFS('12.326ana'!$C:$C,'12.326ana'!$M:$M,redes!A7284)</f>
        <v>0</v>
      </c>
    </row>
    <row r="7285" customFormat="false" ht="14.4" hidden="true" customHeight="false" outlineLevel="0" collapsed="false">
      <c r="A7285" s="34" t="n">
        <v>3029857000122</v>
      </c>
      <c r="B7285" s="34" t="s">
        <v>15612</v>
      </c>
      <c r="C7285" s="34" t="s">
        <v>6278</v>
      </c>
      <c r="E7285" s="30" t="s">
        <v>15613</v>
      </c>
      <c r="F7285" s="34" t="n">
        <f aca="false">IFERROR(VLOOKUP($A7285,'319'!$B:$H,7,0),0)</f>
        <v>0</v>
      </c>
      <c r="G7285" s="34" t="n">
        <f aca="false">SUMIFS('12.326ana'!$C:$C,'12.326ana'!$M:$M,redes!A7285)</f>
        <v>0</v>
      </c>
    </row>
    <row r="7286" customFormat="false" ht="14.4" hidden="true" customHeight="false" outlineLevel="0" collapsed="false">
      <c r="A7286" s="34" t="n">
        <v>3029909000160</v>
      </c>
      <c r="B7286" s="34" t="s">
        <v>15614</v>
      </c>
      <c r="C7286" s="34" t="s">
        <v>77</v>
      </c>
      <c r="E7286" s="30" t="s">
        <v>15615</v>
      </c>
      <c r="F7286" s="34" t="n">
        <f aca="false">IFERROR(VLOOKUP($A7286,'319'!$B:$H,7,0),0)</f>
        <v>0</v>
      </c>
      <c r="G7286" s="34" t="n">
        <f aca="false">SUMIFS('12.326ana'!$C:$C,'12.326ana'!$M:$M,redes!A7286)</f>
        <v>0</v>
      </c>
    </row>
    <row r="7287" customFormat="false" ht="14.4" hidden="true" customHeight="false" outlineLevel="0" collapsed="false">
      <c r="A7287" s="34" t="n">
        <v>3030921000608</v>
      </c>
      <c r="B7287" s="34" t="s">
        <v>15616</v>
      </c>
      <c r="C7287" s="34" t="s">
        <v>139</v>
      </c>
      <c r="E7287" s="30"/>
      <c r="F7287" s="34" t="n">
        <f aca="false">IFERROR(VLOOKUP($A7287,'319'!$B:$H,7,0),0)</f>
        <v>0</v>
      </c>
      <c r="G7287" s="34" t="n">
        <f aca="false">SUMIFS('12.326ana'!$C:$C,'12.326ana'!$M:$M,redes!A7287)</f>
        <v>0</v>
      </c>
    </row>
    <row r="7288" customFormat="false" ht="14.4" hidden="true" customHeight="false" outlineLevel="0" collapsed="false">
      <c r="A7288" s="34" t="n">
        <v>3031340000178</v>
      </c>
      <c r="B7288" s="34" t="s">
        <v>15617</v>
      </c>
      <c r="C7288" s="34" t="s">
        <v>565</v>
      </c>
      <c r="E7288" s="30" t="s">
        <v>13633</v>
      </c>
      <c r="F7288" s="34" t="n">
        <f aca="false">IFERROR(VLOOKUP($A7288,'319'!$B:$H,7,0),0)</f>
        <v>0</v>
      </c>
      <c r="G7288" s="34" t="n">
        <f aca="false">SUMIFS('12.326ana'!$C:$C,'12.326ana'!$M:$M,redes!A7288)</f>
        <v>0</v>
      </c>
    </row>
    <row r="7289" customFormat="false" ht="14.4" hidden="true" customHeight="false" outlineLevel="0" collapsed="false">
      <c r="A7289" s="34" t="n">
        <v>3032315000109</v>
      </c>
      <c r="B7289" s="34" t="s">
        <v>15618</v>
      </c>
      <c r="C7289" s="34" t="s">
        <v>139</v>
      </c>
      <c r="E7289" s="30" t="s">
        <v>15619</v>
      </c>
      <c r="F7289" s="34" t="n">
        <f aca="false">IFERROR(VLOOKUP($A7289,'319'!$B:$H,7,0),0)</f>
        <v>0</v>
      </c>
      <c r="G7289" s="34" t="n">
        <f aca="false">SUMIFS('12.326ana'!$C:$C,'12.326ana'!$M:$M,redes!A7289)</f>
        <v>0</v>
      </c>
    </row>
    <row r="7290" customFormat="false" ht="14.4" hidden="true" customHeight="false" outlineLevel="0" collapsed="false">
      <c r="A7290" s="34" t="n">
        <v>3033130000119</v>
      </c>
      <c r="B7290" s="34" t="s">
        <v>15620</v>
      </c>
      <c r="C7290" s="34" t="s">
        <v>77</v>
      </c>
      <c r="E7290" s="30" t="s">
        <v>15621</v>
      </c>
      <c r="F7290" s="34" t="n">
        <f aca="false">IFERROR(VLOOKUP($A7290,'319'!$B:$H,7,0),0)</f>
        <v>0</v>
      </c>
      <c r="G7290" s="34" t="n">
        <f aca="false">SUMIFS('12.326ana'!$C:$C,'12.326ana'!$M:$M,redes!A7290)</f>
        <v>0</v>
      </c>
    </row>
    <row r="7291" customFormat="false" ht="14.4" hidden="true" customHeight="false" outlineLevel="0" collapsed="false">
      <c r="A7291" s="34" t="n">
        <v>3033156000167</v>
      </c>
      <c r="B7291" s="34" t="s">
        <v>15622</v>
      </c>
      <c r="C7291" s="34" t="s">
        <v>192</v>
      </c>
      <c r="E7291" s="30" t="s">
        <v>15623</v>
      </c>
      <c r="F7291" s="34" t="n">
        <f aca="false">IFERROR(VLOOKUP($A7291,'319'!$B:$H,7,0),0)</f>
        <v>0</v>
      </c>
      <c r="G7291" s="34" t="n">
        <f aca="false">SUMIFS('12.326ana'!$C:$C,'12.326ana'!$M:$M,redes!A7291)</f>
        <v>0</v>
      </c>
    </row>
    <row r="7292" customFormat="false" ht="14.4" hidden="true" customHeight="false" outlineLevel="0" collapsed="false">
      <c r="A7292" s="34" t="n">
        <v>3034485000122</v>
      </c>
      <c r="B7292" s="34" t="s">
        <v>15624</v>
      </c>
      <c r="C7292" s="34" t="s">
        <v>3594</v>
      </c>
      <c r="E7292" s="30" t="s">
        <v>15625</v>
      </c>
      <c r="F7292" s="34" t="n">
        <f aca="false">IFERROR(VLOOKUP($A7292,'319'!$B:$H,7,0),0)</f>
        <v>0</v>
      </c>
      <c r="G7292" s="34" t="n">
        <f aca="false">SUMIFS('12.326ana'!$C:$C,'12.326ana'!$M:$M,redes!A7292)</f>
        <v>0</v>
      </c>
    </row>
    <row r="7293" customFormat="false" ht="14.4" hidden="true" customHeight="false" outlineLevel="0" collapsed="false">
      <c r="A7293" s="34" t="n">
        <v>3034781000123</v>
      </c>
      <c r="B7293" s="34" t="s">
        <v>15626</v>
      </c>
      <c r="C7293" s="34" t="s">
        <v>342</v>
      </c>
      <c r="E7293" s="30" t="s">
        <v>15627</v>
      </c>
      <c r="F7293" s="34" t="n">
        <f aca="false">IFERROR(VLOOKUP($A7293,'319'!$B:$H,7,0),0)</f>
        <v>0</v>
      </c>
      <c r="G7293" s="34" t="n">
        <f aca="false">SUMIFS('12.326ana'!$C:$C,'12.326ana'!$M:$M,redes!A7293)</f>
        <v>0</v>
      </c>
    </row>
    <row r="7294" customFormat="false" ht="14.4" hidden="true" customHeight="false" outlineLevel="0" collapsed="false">
      <c r="A7294" s="34" t="n">
        <v>3036480000139</v>
      </c>
      <c r="B7294" s="34" t="s">
        <v>15628</v>
      </c>
      <c r="C7294" s="34" t="s">
        <v>192</v>
      </c>
      <c r="D7294" s="34" t="s">
        <v>9598</v>
      </c>
      <c r="E7294" s="30" t="s">
        <v>15629</v>
      </c>
      <c r="F7294" s="34" t="n">
        <f aca="false">IFERROR(VLOOKUP($A7294,'319'!$B:$H,7,0),0)</f>
        <v>0</v>
      </c>
      <c r="G7294" s="34" t="n">
        <f aca="false">SUMIFS('12.326ana'!$C:$C,'12.326ana'!$M:$M,redes!A7294)</f>
        <v>0</v>
      </c>
    </row>
    <row r="7295" customFormat="false" ht="14.4" hidden="true" customHeight="false" outlineLevel="0" collapsed="false">
      <c r="A7295" s="34" t="n">
        <v>3039815000172</v>
      </c>
      <c r="B7295" s="34" t="s">
        <v>15630</v>
      </c>
      <c r="C7295" s="34" t="s">
        <v>192</v>
      </c>
      <c r="E7295" s="30" t="s">
        <v>15631</v>
      </c>
      <c r="F7295" s="34" t="n">
        <f aca="false">IFERROR(VLOOKUP($A7295,'319'!$B:$H,7,0),0)</f>
        <v>0</v>
      </c>
      <c r="G7295" s="34" t="n">
        <f aca="false">SUMIFS('12.326ana'!$C:$C,'12.326ana'!$M:$M,redes!A7295)</f>
        <v>0</v>
      </c>
    </row>
    <row r="7296" customFormat="false" ht="14.4" hidden="true" customHeight="false" outlineLevel="0" collapsed="false">
      <c r="A7296" s="34" t="n">
        <v>3042621000126</v>
      </c>
      <c r="B7296" s="34" t="s">
        <v>15632</v>
      </c>
      <c r="C7296" s="34" t="s">
        <v>154</v>
      </c>
      <c r="E7296" s="30" t="s">
        <v>15633</v>
      </c>
      <c r="F7296" s="34" t="n">
        <f aca="false">IFERROR(VLOOKUP($A7296,'319'!$B:$H,7,0),0)</f>
        <v>0</v>
      </c>
      <c r="G7296" s="34" t="n">
        <f aca="false">SUMIFS('12.326ana'!$C:$C,'12.326ana'!$M:$M,redes!A7296)</f>
        <v>0</v>
      </c>
    </row>
    <row r="7297" customFormat="false" ht="14.4" hidden="true" customHeight="false" outlineLevel="0" collapsed="false">
      <c r="A7297" s="34" t="n">
        <v>3042740000189</v>
      </c>
      <c r="B7297" s="34" t="s">
        <v>15634</v>
      </c>
      <c r="C7297" s="34" t="s">
        <v>213</v>
      </c>
      <c r="E7297" s="30" t="s">
        <v>15635</v>
      </c>
      <c r="F7297" s="34" t="n">
        <f aca="false">IFERROR(VLOOKUP($A7297,'319'!$B:$H,7,0),0)</f>
        <v>0</v>
      </c>
      <c r="G7297" s="34" t="n">
        <f aca="false">SUMIFS('12.326ana'!$C:$C,'12.326ana'!$M:$M,redes!A7297)</f>
        <v>0</v>
      </c>
    </row>
    <row r="7298" customFormat="false" ht="14.4" hidden="true" customHeight="false" outlineLevel="0" collapsed="false">
      <c r="A7298" s="34" t="n">
        <v>3047609000104</v>
      </c>
      <c r="B7298" s="34" t="s">
        <v>1134</v>
      </c>
      <c r="C7298" s="34" t="s">
        <v>1341</v>
      </c>
      <c r="E7298" s="30" t="s">
        <v>15636</v>
      </c>
      <c r="F7298" s="34" t="n">
        <f aca="false">IFERROR(VLOOKUP($A7298,'319'!$B:$H,7,0),0)</f>
        <v>525.66</v>
      </c>
      <c r="G7298" s="34" t="n">
        <f aca="false">SUMIFS('12.326ana'!$C:$C,'12.326ana'!$M:$M,redes!A7298)</f>
        <v>0</v>
      </c>
    </row>
    <row r="7299" customFormat="false" ht="14.4" hidden="true" customHeight="false" outlineLevel="0" collapsed="false">
      <c r="A7299" s="34" t="n">
        <v>3048287000118</v>
      </c>
      <c r="B7299" s="34" t="s">
        <v>15637</v>
      </c>
      <c r="C7299" s="34" t="s">
        <v>139</v>
      </c>
      <c r="E7299" s="30" t="s">
        <v>15638</v>
      </c>
      <c r="F7299" s="34" t="n">
        <f aca="false">IFERROR(VLOOKUP($A7299,'319'!$B:$H,7,0),0)</f>
        <v>0</v>
      </c>
      <c r="G7299" s="34" t="n">
        <f aca="false">SUMIFS('12.326ana'!$C:$C,'12.326ana'!$M:$M,redes!A7299)</f>
        <v>0</v>
      </c>
    </row>
    <row r="7300" customFormat="false" ht="14.4" hidden="true" customHeight="false" outlineLevel="0" collapsed="false">
      <c r="A7300" s="34" t="n">
        <v>3049269000150</v>
      </c>
      <c r="B7300" s="34" t="s">
        <v>15639</v>
      </c>
      <c r="C7300" s="34" t="s">
        <v>139</v>
      </c>
      <c r="E7300" s="30" t="s">
        <v>15640</v>
      </c>
      <c r="F7300" s="34" t="n">
        <f aca="false">IFERROR(VLOOKUP($A7300,'319'!$B:$H,7,0),0)</f>
        <v>0</v>
      </c>
      <c r="G7300" s="34" t="n">
        <f aca="false">SUMIFS('12.326ana'!$C:$C,'12.326ana'!$M:$M,redes!A7300)</f>
        <v>0</v>
      </c>
    </row>
    <row r="7301" customFormat="false" ht="14.4" hidden="true" customHeight="false" outlineLevel="0" collapsed="false">
      <c r="A7301" s="34" t="n">
        <v>3050730000195</v>
      </c>
      <c r="B7301" s="34" t="s">
        <v>15641</v>
      </c>
      <c r="C7301" s="34" t="s">
        <v>994</v>
      </c>
      <c r="E7301" s="30" t="s">
        <v>15642</v>
      </c>
      <c r="F7301" s="34" t="n">
        <f aca="false">IFERROR(VLOOKUP($A7301,'319'!$B:$H,7,0),0)</f>
        <v>0</v>
      </c>
      <c r="G7301" s="34" t="n">
        <f aca="false">SUMIFS('12.326ana'!$C:$C,'12.326ana'!$M:$M,redes!A7301)</f>
        <v>0</v>
      </c>
    </row>
    <row r="7302" customFormat="false" ht="14.4" hidden="true" customHeight="false" outlineLevel="0" collapsed="false">
      <c r="A7302" s="34" t="n">
        <v>3051989000150</v>
      </c>
      <c r="B7302" s="34" t="s">
        <v>15643</v>
      </c>
      <c r="C7302" s="34" t="s">
        <v>107</v>
      </c>
      <c r="E7302" s="30" t="s">
        <v>15644</v>
      </c>
      <c r="F7302" s="34" t="n">
        <f aca="false">IFERROR(VLOOKUP($A7302,'319'!$B:$H,7,0),0)</f>
        <v>0</v>
      </c>
      <c r="G7302" s="34" t="n">
        <f aca="false">SUMIFS('12.326ana'!$C:$C,'12.326ana'!$M:$M,redes!A7302)</f>
        <v>0</v>
      </c>
    </row>
    <row r="7303" customFormat="false" ht="14.4" hidden="true" customHeight="false" outlineLevel="0" collapsed="false">
      <c r="A7303" s="34" t="n">
        <v>3053628000143</v>
      </c>
      <c r="B7303" s="34" t="s">
        <v>15645</v>
      </c>
      <c r="C7303" s="34" t="s">
        <v>565</v>
      </c>
      <c r="E7303" s="30" t="s">
        <v>15646</v>
      </c>
      <c r="F7303" s="34" t="n">
        <f aca="false">IFERROR(VLOOKUP($A7303,'319'!$B:$H,7,0),0)</f>
        <v>0</v>
      </c>
      <c r="G7303" s="34" t="n">
        <f aca="false">SUMIFS('12.326ana'!$C:$C,'12.326ana'!$M:$M,redes!A7303)</f>
        <v>0</v>
      </c>
    </row>
    <row r="7304" customFormat="false" ht="14.4" hidden="true" customHeight="false" outlineLevel="0" collapsed="false">
      <c r="A7304" s="34" t="n">
        <v>3055869000121</v>
      </c>
      <c r="B7304" s="34" t="s">
        <v>15647</v>
      </c>
      <c r="C7304" s="34" t="s">
        <v>357</v>
      </c>
      <c r="E7304" s="30" t="s">
        <v>15648</v>
      </c>
      <c r="F7304" s="34" t="n">
        <f aca="false">IFERROR(VLOOKUP($A7304,'319'!$B:$H,7,0),0)</f>
        <v>0</v>
      </c>
      <c r="G7304" s="34" t="n">
        <f aca="false">SUMIFS('12.326ana'!$C:$C,'12.326ana'!$M:$M,redes!A7304)</f>
        <v>0</v>
      </c>
    </row>
    <row r="7305" customFormat="false" ht="14.4" hidden="true" customHeight="false" outlineLevel="0" collapsed="false">
      <c r="A7305" s="34" t="n">
        <v>3056030000108</v>
      </c>
      <c r="B7305" s="34" t="s">
        <v>15649</v>
      </c>
      <c r="C7305" s="34" t="s">
        <v>77</v>
      </c>
      <c r="E7305" s="30" t="s">
        <v>15650</v>
      </c>
      <c r="F7305" s="34" t="n">
        <f aca="false">IFERROR(VLOOKUP($A7305,'319'!$B:$H,7,0),0)</f>
        <v>0</v>
      </c>
      <c r="G7305" s="34" t="n">
        <f aca="false">SUMIFS('12.326ana'!$C:$C,'12.326ana'!$M:$M,redes!A7305)</f>
        <v>0</v>
      </c>
    </row>
    <row r="7306" customFormat="false" ht="14.4" hidden="true" customHeight="false" outlineLevel="0" collapsed="false">
      <c r="A7306" s="34" t="n">
        <v>3056367000115</v>
      </c>
      <c r="B7306" s="34" t="s">
        <v>15651</v>
      </c>
      <c r="C7306" s="34" t="s">
        <v>139</v>
      </c>
      <c r="E7306" s="30" t="s">
        <v>15652</v>
      </c>
      <c r="F7306" s="34" t="n">
        <f aca="false">IFERROR(VLOOKUP($A7306,'319'!$B:$H,7,0),0)</f>
        <v>0</v>
      </c>
      <c r="G7306" s="34" t="n">
        <f aca="false">SUMIFS('12.326ana'!$C:$C,'12.326ana'!$M:$M,redes!A7306)</f>
        <v>0</v>
      </c>
    </row>
    <row r="7307" customFormat="false" ht="14.4" hidden="true" customHeight="false" outlineLevel="0" collapsed="false">
      <c r="A7307" s="34" t="n">
        <v>3057338000178</v>
      </c>
      <c r="B7307" s="34" t="s">
        <v>15653</v>
      </c>
      <c r="C7307" s="34" t="s">
        <v>192</v>
      </c>
      <c r="D7307" s="34" t="s">
        <v>9598</v>
      </c>
      <c r="E7307" s="30" t="s">
        <v>15654</v>
      </c>
      <c r="F7307" s="34" t="n">
        <f aca="false">IFERROR(VLOOKUP($A7307,'319'!$B:$H,7,0),0)</f>
        <v>0</v>
      </c>
      <c r="G7307" s="34" t="n">
        <f aca="false">SUMIFS('12.326ana'!$C:$C,'12.326ana'!$M:$M,redes!A7307)</f>
        <v>0</v>
      </c>
    </row>
    <row r="7308" customFormat="false" ht="14.4" hidden="true" customHeight="false" outlineLevel="0" collapsed="false">
      <c r="A7308" s="34" t="n">
        <v>3058447000100</v>
      </c>
      <c r="B7308" s="34" t="s">
        <v>15655</v>
      </c>
      <c r="C7308" s="34" t="s">
        <v>781</v>
      </c>
      <c r="E7308" s="30" t="s">
        <v>15656</v>
      </c>
      <c r="F7308" s="34" t="n">
        <f aca="false">IFERROR(VLOOKUP($A7308,'319'!$B:$H,7,0),0)</f>
        <v>0</v>
      </c>
      <c r="G7308" s="34" t="n">
        <f aca="false">SUMIFS('12.326ana'!$C:$C,'12.326ana'!$M:$M,redes!A7308)</f>
        <v>0</v>
      </c>
    </row>
    <row r="7309" customFormat="false" ht="14.4" hidden="true" customHeight="false" outlineLevel="0" collapsed="false">
      <c r="A7309" s="34" t="n">
        <v>3058658000142</v>
      </c>
      <c r="B7309" s="34" t="s">
        <v>15657</v>
      </c>
      <c r="C7309" s="34" t="s">
        <v>192</v>
      </c>
      <c r="E7309" s="30" t="s">
        <v>15658</v>
      </c>
      <c r="F7309" s="34" t="n">
        <f aca="false">IFERROR(VLOOKUP($A7309,'319'!$B:$H,7,0),0)</f>
        <v>0</v>
      </c>
      <c r="G7309" s="34" t="n">
        <f aca="false">SUMIFS('12.326ana'!$C:$C,'12.326ana'!$M:$M,redes!A7309)</f>
        <v>0</v>
      </c>
    </row>
    <row r="7310" customFormat="false" ht="14.4" hidden="true" customHeight="false" outlineLevel="0" collapsed="false">
      <c r="A7310" s="34" t="n">
        <v>3058815000110</v>
      </c>
      <c r="B7310" s="34" t="s">
        <v>15659</v>
      </c>
      <c r="C7310" s="34" t="s">
        <v>192</v>
      </c>
      <c r="E7310" s="30" t="s">
        <v>15660</v>
      </c>
      <c r="F7310" s="34" t="n">
        <f aca="false">IFERROR(VLOOKUP($A7310,'319'!$B:$H,7,0),0)</f>
        <v>0</v>
      </c>
      <c r="G7310" s="34" t="n">
        <f aca="false">SUMIFS('12.326ana'!$C:$C,'12.326ana'!$M:$M,redes!A7310)</f>
        <v>0</v>
      </c>
    </row>
    <row r="7311" customFormat="false" ht="14.4" hidden="true" customHeight="false" outlineLevel="0" collapsed="false">
      <c r="A7311" s="34" t="n">
        <v>3059123000196</v>
      </c>
      <c r="B7311" s="34" t="s">
        <v>15661</v>
      </c>
      <c r="C7311" s="34" t="s">
        <v>77</v>
      </c>
      <c r="E7311" s="30" t="s">
        <v>15662</v>
      </c>
      <c r="F7311" s="34" t="n">
        <f aca="false">IFERROR(VLOOKUP($A7311,'319'!$B:$H,7,0),0)</f>
        <v>0</v>
      </c>
      <c r="G7311" s="34" t="n">
        <f aca="false">SUMIFS('12.326ana'!$C:$C,'12.326ana'!$M:$M,redes!A7311)</f>
        <v>0</v>
      </c>
    </row>
    <row r="7312" customFormat="false" ht="14.4" hidden="true" customHeight="false" outlineLevel="0" collapsed="false">
      <c r="A7312" s="34" t="n">
        <v>3060455000190</v>
      </c>
      <c r="B7312" s="34" t="s">
        <v>15663</v>
      </c>
      <c r="C7312" s="34" t="s">
        <v>464</v>
      </c>
      <c r="E7312" s="30" t="s">
        <v>15664</v>
      </c>
      <c r="F7312" s="34" t="n">
        <f aca="false">IFERROR(VLOOKUP($A7312,'319'!$B:$H,7,0),0)</f>
        <v>0</v>
      </c>
      <c r="G7312" s="34" t="n">
        <f aca="false">SUMIFS('12.326ana'!$C:$C,'12.326ana'!$M:$M,redes!A7312)</f>
        <v>0</v>
      </c>
    </row>
    <row r="7313" customFormat="false" ht="14.4" hidden="true" customHeight="false" outlineLevel="0" collapsed="false">
      <c r="A7313" s="34" t="n">
        <v>3062520000117</v>
      </c>
      <c r="B7313" s="34" t="s">
        <v>15665</v>
      </c>
      <c r="C7313" s="34" t="s">
        <v>475</v>
      </c>
      <c r="E7313" s="30" t="s">
        <v>9102</v>
      </c>
      <c r="F7313" s="34" t="n">
        <f aca="false">IFERROR(VLOOKUP($A7313,'319'!$B:$H,7,0),0)</f>
        <v>0</v>
      </c>
      <c r="G7313" s="34" t="n">
        <f aca="false">SUMIFS('12.326ana'!$C:$C,'12.326ana'!$M:$M,redes!A7313)</f>
        <v>0</v>
      </c>
    </row>
    <row r="7314" customFormat="false" ht="14.4" hidden="true" customHeight="false" outlineLevel="0" collapsed="false">
      <c r="A7314" s="34" t="n">
        <v>3063395000160</v>
      </c>
      <c r="B7314" s="34" t="s">
        <v>15666</v>
      </c>
      <c r="C7314" s="34" t="s">
        <v>77</v>
      </c>
      <c r="E7314" s="30" t="s">
        <v>5715</v>
      </c>
      <c r="F7314" s="34" t="n">
        <f aca="false">IFERROR(VLOOKUP($A7314,'319'!$B:$H,7,0),0)</f>
        <v>0</v>
      </c>
      <c r="G7314" s="34" t="n">
        <f aca="false">SUMIFS('12.326ana'!$C:$C,'12.326ana'!$M:$M,redes!A7314)</f>
        <v>0</v>
      </c>
    </row>
    <row r="7315" customFormat="false" ht="14.4" hidden="true" customHeight="false" outlineLevel="0" collapsed="false">
      <c r="A7315" s="34" t="n">
        <v>3063669000110</v>
      </c>
      <c r="B7315" s="34" t="s">
        <v>15667</v>
      </c>
      <c r="C7315" s="34" t="s">
        <v>351</v>
      </c>
      <c r="E7315" s="30" t="s">
        <v>11054</v>
      </c>
      <c r="F7315" s="34" t="n">
        <f aca="false">IFERROR(VLOOKUP($A7315,'319'!$B:$H,7,0),0)</f>
        <v>0</v>
      </c>
      <c r="G7315" s="34" t="n">
        <f aca="false">SUMIFS('12.326ana'!$C:$C,'12.326ana'!$M:$M,redes!A7315)</f>
        <v>0</v>
      </c>
    </row>
    <row r="7316" customFormat="false" ht="14.4" hidden="true" customHeight="false" outlineLevel="0" collapsed="false">
      <c r="A7316" s="34" t="n">
        <v>3064095000103</v>
      </c>
      <c r="B7316" s="34" t="s">
        <v>15668</v>
      </c>
      <c r="C7316" s="34" t="s">
        <v>357</v>
      </c>
      <c r="E7316" s="30" t="s">
        <v>8700</v>
      </c>
      <c r="F7316" s="34" t="n">
        <f aca="false">IFERROR(VLOOKUP($A7316,'319'!$B:$H,7,0),0)</f>
        <v>0</v>
      </c>
      <c r="G7316" s="34" t="n">
        <f aca="false">SUMIFS('12.326ana'!$C:$C,'12.326ana'!$M:$M,redes!A7316)</f>
        <v>0</v>
      </c>
    </row>
    <row r="7317" customFormat="false" ht="14.4" hidden="true" customHeight="false" outlineLevel="0" collapsed="false">
      <c r="A7317" s="34" t="n">
        <v>3064177000140</v>
      </c>
      <c r="B7317" s="34" t="s">
        <v>15669</v>
      </c>
      <c r="C7317" s="34" t="s">
        <v>107</v>
      </c>
      <c r="E7317" s="30" t="s">
        <v>15670</v>
      </c>
      <c r="F7317" s="34" t="n">
        <f aca="false">IFERROR(VLOOKUP($A7317,'319'!$B:$H,7,0),0)</f>
        <v>0</v>
      </c>
      <c r="G7317" s="34" t="n">
        <f aca="false">SUMIFS('12.326ana'!$C:$C,'12.326ana'!$M:$M,redes!A7317)</f>
        <v>0</v>
      </c>
    </row>
    <row r="7318" customFormat="false" ht="14.4" hidden="true" customHeight="false" outlineLevel="0" collapsed="false">
      <c r="A7318" s="34" t="n">
        <v>3064701000182</v>
      </c>
      <c r="B7318" s="34" t="s">
        <v>15671</v>
      </c>
      <c r="C7318" s="34" t="s">
        <v>77</v>
      </c>
      <c r="D7318" s="34" t="s">
        <v>15672</v>
      </c>
      <c r="E7318" s="30" t="s">
        <v>15673</v>
      </c>
      <c r="F7318" s="34" t="n">
        <f aca="false">IFERROR(VLOOKUP($A7318,'319'!$B:$H,7,0),0)</f>
        <v>0</v>
      </c>
      <c r="G7318" s="34" t="n">
        <f aca="false">SUMIFS('12.326ana'!$C:$C,'12.326ana'!$M:$M,redes!A7318)</f>
        <v>0</v>
      </c>
    </row>
    <row r="7319" customFormat="false" ht="14.4" hidden="true" customHeight="false" outlineLevel="0" collapsed="false">
      <c r="A7319" s="34" t="n">
        <v>3064701000263</v>
      </c>
      <c r="B7319" s="34" t="s">
        <v>15674</v>
      </c>
      <c r="C7319" s="34" t="s">
        <v>77</v>
      </c>
      <c r="D7319" s="34" t="s">
        <v>15672</v>
      </c>
      <c r="E7319" s="30" t="s">
        <v>15675</v>
      </c>
      <c r="F7319" s="34" t="n">
        <f aca="false">IFERROR(VLOOKUP($A7319,'319'!$B:$H,7,0),0)</f>
        <v>0</v>
      </c>
      <c r="G7319" s="34" t="n">
        <f aca="false">SUMIFS('12.326ana'!$C:$C,'12.326ana'!$M:$M,redes!A7319)</f>
        <v>0</v>
      </c>
    </row>
    <row r="7320" customFormat="false" ht="14.4" hidden="true" customHeight="false" outlineLevel="0" collapsed="false">
      <c r="A7320" s="34" t="n">
        <v>3064701000344</v>
      </c>
      <c r="B7320" s="34" t="s">
        <v>15671</v>
      </c>
      <c r="C7320" s="34" t="s">
        <v>77</v>
      </c>
      <c r="D7320" s="34" t="s">
        <v>15672</v>
      </c>
      <c r="E7320" s="30" t="s">
        <v>15676</v>
      </c>
      <c r="F7320" s="34" t="n">
        <f aca="false">IFERROR(VLOOKUP($A7320,'319'!$B:$H,7,0),0)</f>
        <v>0</v>
      </c>
      <c r="G7320" s="34" t="n">
        <f aca="false">SUMIFS('12.326ana'!$C:$C,'12.326ana'!$M:$M,redes!A7320)</f>
        <v>0</v>
      </c>
    </row>
    <row r="7321" customFormat="false" ht="14.4" hidden="true" customHeight="false" outlineLevel="0" collapsed="false">
      <c r="A7321" s="34" t="n">
        <v>3064701000425</v>
      </c>
      <c r="B7321" s="34" t="s">
        <v>15671</v>
      </c>
      <c r="C7321" s="34" t="s">
        <v>77</v>
      </c>
      <c r="D7321" s="34" t="s">
        <v>15672</v>
      </c>
      <c r="E7321" s="30" t="s">
        <v>15676</v>
      </c>
      <c r="F7321" s="34" t="n">
        <f aca="false">IFERROR(VLOOKUP($A7321,'319'!$B:$H,7,0),0)</f>
        <v>0</v>
      </c>
      <c r="G7321" s="34" t="n">
        <f aca="false">SUMIFS('12.326ana'!$C:$C,'12.326ana'!$M:$M,redes!A7321)</f>
        <v>0</v>
      </c>
    </row>
    <row r="7322" customFormat="false" ht="14.4" hidden="true" customHeight="false" outlineLevel="0" collapsed="false">
      <c r="A7322" s="34" t="n">
        <v>3064701000506</v>
      </c>
      <c r="B7322" s="34" t="s">
        <v>15671</v>
      </c>
      <c r="C7322" s="34" t="s">
        <v>77</v>
      </c>
      <c r="D7322" s="34" t="s">
        <v>15672</v>
      </c>
      <c r="E7322" s="30" t="s">
        <v>15676</v>
      </c>
      <c r="F7322" s="34" t="n">
        <f aca="false">IFERROR(VLOOKUP($A7322,'319'!$B:$H,7,0),0)</f>
        <v>0</v>
      </c>
      <c r="G7322" s="34" t="n">
        <f aca="false">SUMIFS('12.326ana'!$C:$C,'12.326ana'!$M:$M,redes!A7322)</f>
        <v>0</v>
      </c>
    </row>
    <row r="7323" customFormat="false" ht="14.4" hidden="true" customHeight="false" outlineLevel="0" collapsed="false">
      <c r="A7323" s="34" t="n">
        <v>3064701000697</v>
      </c>
      <c r="B7323" s="34" t="s">
        <v>15671</v>
      </c>
      <c r="C7323" s="34" t="s">
        <v>77</v>
      </c>
      <c r="E7323" s="30" t="s">
        <v>15676</v>
      </c>
      <c r="F7323" s="34" t="n">
        <f aca="false">IFERROR(VLOOKUP($A7323,'319'!$B:$H,7,0),0)</f>
        <v>0</v>
      </c>
      <c r="G7323" s="34" t="n">
        <f aca="false">SUMIFS('12.326ana'!$C:$C,'12.326ana'!$M:$M,redes!A7323)</f>
        <v>0</v>
      </c>
    </row>
    <row r="7324" customFormat="false" ht="14.4" hidden="true" customHeight="false" outlineLevel="0" collapsed="false">
      <c r="A7324" s="34" t="n">
        <v>3064701000778</v>
      </c>
      <c r="B7324" s="34" t="s">
        <v>15671</v>
      </c>
      <c r="C7324" s="34" t="s">
        <v>77</v>
      </c>
      <c r="D7324" s="34" t="s">
        <v>15672</v>
      </c>
      <c r="E7324" s="30" t="s">
        <v>15675</v>
      </c>
      <c r="F7324" s="34" t="n">
        <f aca="false">IFERROR(VLOOKUP($A7324,'319'!$B:$H,7,0),0)</f>
        <v>0</v>
      </c>
      <c r="G7324" s="34" t="n">
        <f aca="false">SUMIFS('12.326ana'!$C:$C,'12.326ana'!$M:$M,redes!A7324)</f>
        <v>0</v>
      </c>
    </row>
    <row r="7325" customFormat="false" ht="14.4" hidden="true" customHeight="false" outlineLevel="0" collapsed="false">
      <c r="A7325" s="34" t="n">
        <v>3064701000859</v>
      </c>
      <c r="B7325" s="34" t="s">
        <v>15671</v>
      </c>
      <c r="C7325" s="34" t="s">
        <v>77</v>
      </c>
      <c r="D7325" s="34" t="s">
        <v>15672</v>
      </c>
      <c r="E7325" s="30" t="s">
        <v>15673</v>
      </c>
      <c r="F7325" s="34" t="n">
        <f aca="false">IFERROR(VLOOKUP($A7325,'319'!$B:$H,7,0),0)</f>
        <v>0</v>
      </c>
      <c r="G7325" s="34" t="n">
        <f aca="false">SUMIFS('12.326ana'!$C:$C,'12.326ana'!$M:$M,redes!A7325)</f>
        <v>0</v>
      </c>
    </row>
    <row r="7326" customFormat="false" ht="14.4" hidden="true" customHeight="false" outlineLevel="0" collapsed="false">
      <c r="A7326" s="34" t="n">
        <v>3064701001073</v>
      </c>
      <c r="B7326" s="34" t="s">
        <v>15671</v>
      </c>
      <c r="C7326" s="34" t="s">
        <v>77</v>
      </c>
      <c r="D7326" s="34" t="s">
        <v>15672</v>
      </c>
      <c r="E7326" s="30" t="s">
        <v>15677</v>
      </c>
      <c r="F7326" s="34" t="n">
        <f aca="false">IFERROR(VLOOKUP($A7326,'319'!$B:$H,7,0),0)</f>
        <v>0</v>
      </c>
      <c r="G7326" s="34" t="n">
        <f aca="false">SUMIFS('12.326ana'!$C:$C,'12.326ana'!$M:$M,redes!A7326)</f>
        <v>0</v>
      </c>
    </row>
    <row r="7327" customFormat="false" ht="14.4" hidden="true" customHeight="false" outlineLevel="0" collapsed="false">
      <c r="A7327" s="34" t="n">
        <v>3064996000197</v>
      </c>
      <c r="B7327" s="34" t="s">
        <v>15678</v>
      </c>
      <c r="C7327" s="34" t="s">
        <v>336</v>
      </c>
      <c r="E7327" s="30" t="s">
        <v>15679</v>
      </c>
      <c r="F7327" s="34" t="n">
        <f aca="false">IFERROR(VLOOKUP($A7327,'319'!$B:$H,7,0),0)</f>
        <v>0</v>
      </c>
      <c r="G7327" s="34" t="n">
        <f aca="false">SUMIFS('12.326ana'!$C:$C,'12.326ana'!$M:$M,redes!A7327)</f>
        <v>0</v>
      </c>
    </row>
    <row r="7328" customFormat="false" ht="14.4" hidden="true" customHeight="false" outlineLevel="0" collapsed="false">
      <c r="A7328" s="34" t="n">
        <v>3065011000148</v>
      </c>
      <c r="B7328" s="34" t="s">
        <v>15680</v>
      </c>
      <c r="C7328" s="34" t="s">
        <v>103</v>
      </c>
      <c r="E7328" s="30" t="s">
        <v>15681</v>
      </c>
      <c r="F7328" s="34" t="n">
        <f aca="false">IFERROR(VLOOKUP($A7328,'319'!$B:$H,7,0),0)</f>
        <v>0</v>
      </c>
      <c r="G7328" s="34" t="n">
        <f aca="false">SUMIFS('12.326ana'!$C:$C,'12.326ana'!$M:$M,redes!A7328)</f>
        <v>0</v>
      </c>
    </row>
    <row r="7329" customFormat="false" ht="14.4" hidden="true" customHeight="false" outlineLevel="0" collapsed="false">
      <c r="A7329" s="34" t="n">
        <v>3067759000180</v>
      </c>
      <c r="B7329" s="34" t="s">
        <v>15682</v>
      </c>
      <c r="C7329" s="34" t="s">
        <v>1054</v>
      </c>
      <c r="E7329" s="30" t="s">
        <v>15683</v>
      </c>
      <c r="F7329" s="34" t="n">
        <f aca="false">IFERROR(VLOOKUP($A7329,'319'!$B:$H,7,0),0)</f>
        <v>0</v>
      </c>
      <c r="G7329" s="34" t="n">
        <f aca="false">SUMIFS('12.326ana'!$C:$C,'12.326ana'!$M:$M,redes!A7329)</f>
        <v>0</v>
      </c>
    </row>
    <row r="7330" customFormat="false" ht="14.4" hidden="true" customHeight="false" outlineLevel="0" collapsed="false">
      <c r="A7330" s="34" t="n">
        <v>3067759000260</v>
      </c>
      <c r="B7330" s="34" t="s">
        <v>15682</v>
      </c>
      <c r="C7330" s="34" t="s">
        <v>77</v>
      </c>
      <c r="E7330" s="30" t="s">
        <v>15683</v>
      </c>
      <c r="F7330" s="34" t="n">
        <f aca="false">IFERROR(VLOOKUP($A7330,'319'!$B:$H,7,0),0)</f>
        <v>0</v>
      </c>
      <c r="G7330" s="34" t="n">
        <f aca="false">SUMIFS('12.326ana'!$C:$C,'12.326ana'!$M:$M,redes!A7330)</f>
        <v>0</v>
      </c>
    </row>
    <row r="7331" customFormat="false" ht="14.4" hidden="true" customHeight="false" outlineLevel="0" collapsed="false">
      <c r="A7331" s="34" t="n">
        <v>3067759000341</v>
      </c>
      <c r="B7331" s="34" t="s">
        <v>15684</v>
      </c>
      <c r="C7331" s="34" t="s">
        <v>377</v>
      </c>
      <c r="E7331" s="30" t="s">
        <v>15685</v>
      </c>
      <c r="F7331" s="34" t="n">
        <f aca="false">IFERROR(VLOOKUP($A7331,'319'!$B:$H,7,0),0)</f>
        <v>0</v>
      </c>
      <c r="G7331" s="34" t="n">
        <f aca="false">SUMIFS('12.326ana'!$C:$C,'12.326ana'!$M:$M,redes!A7331)</f>
        <v>0</v>
      </c>
    </row>
    <row r="7332" customFormat="false" ht="14.4" hidden="true" customHeight="false" outlineLevel="0" collapsed="false">
      <c r="A7332" s="34" t="n">
        <v>3067759000422</v>
      </c>
      <c r="B7332" s="34" t="s">
        <v>15682</v>
      </c>
      <c r="C7332" s="34" t="s">
        <v>405</v>
      </c>
      <c r="E7332" s="30" t="s">
        <v>15683</v>
      </c>
      <c r="F7332" s="34" t="n">
        <f aca="false">IFERROR(VLOOKUP($A7332,'319'!$B:$H,7,0),0)</f>
        <v>0</v>
      </c>
      <c r="G7332" s="34" t="n">
        <f aca="false">SUMIFS('12.326ana'!$C:$C,'12.326ana'!$M:$M,redes!A7332)</f>
        <v>0</v>
      </c>
    </row>
    <row r="7333" customFormat="false" ht="14.4" hidden="true" customHeight="false" outlineLevel="0" collapsed="false">
      <c r="A7333" s="34" t="n">
        <v>3067759000503</v>
      </c>
      <c r="B7333" s="34" t="s">
        <v>15682</v>
      </c>
      <c r="C7333" s="34" t="s">
        <v>357</v>
      </c>
      <c r="E7333" s="30" t="s">
        <v>15683</v>
      </c>
      <c r="F7333" s="34" t="n">
        <f aca="false">IFERROR(VLOOKUP($A7333,'319'!$B:$H,7,0),0)</f>
        <v>0</v>
      </c>
      <c r="G7333" s="34" t="n">
        <f aca="false">SUMIFS('12.326ana'!$C:$C,'12.326ana'!$M:$M,redes!A7333)</f>
        <v>0</v>
      </c>
    </row>
    <row r="7334" customFormat="false" ht="14.4" hidden="true" customHeight="false" outlineLevel="0" collapsed="false">
      <c r="A7334" s="34" t="n">
        <v>3068538000126</v>
      </c>
      <c r="B7334" s="34" t="s">
        <v>15686</v>
      </c>
      <c r="C7334" s="34" t="s">
        <v>107</v>
      </c>
      <c r="E7334" s="30" t="s">
        <v>15687</v>
      </c>
      <c r="F7334" s="34" t="n">
        <f aca="false">IFERROR(VLOOKUP($A7334,'319'!$B:$H,7,0),0)</f>
        <v>0</v>
      </c>
      <c r="G7334" s="34" t="n">
        <f aca="false">SUMIFS('12.326ana'!$C:$C,'12.326ana'!$M:$M,redes!A7334)</f>
        <v>0</v>
      </c>
    </row>
    <row r="7335" customFormat="false" ht="14.4" hidden="true" customHeight="false" outlineLevel="0" collapsed="false">
      <c r="A7335" s="34" t="n">
        <v>3068605000102</v>
      </c>
      <c r="B7335" s="34" t="s">
        <v>15688</v>
      </c>
      <c r="C7335" s="34" t="s">
        <v>107</v>
      </c>
      <c r="E7335" s="30" t="s">
        <v>5190</v>
      </c>
      <c r="F7335" s="34" t="n">
        <f aca="false">IFERROR(VLOOKUP($A7335,'319'!$B:$H,7,0),0)</f>
        <v>0</v>
      </c>
      <c r="G7335" s="34" t="n">
        <f aca="false">SUMIFS('12.326ana'!$C:$C,'12.326ana'!$M:$M,redes!A7335)</f>
        <v>0</v>
      </c>
    </row>
    <row r="7336" customFormat="false" ht="14.4" hidden="true" customHeight="false" outlineLevel="0" collapsed="false">
      <c r="A7336" s="34" t="n">
        <v>3069045000100</v>
      </c>
      <c r="B7336" s="34" t="s">
        <v>15689</v>
      </c>
      <c r="C7336" s="34" t="s">
        <v>546</v>
      </c>
      <c r="E7336" s="30" t="s">
        <v>5436</v>
      </c>
      <c r="F7336" s="34" t="n">
        <f aca="false">IFERROR(VLOOKUP($A7336,'319'!$B:$H,7,0),0)</f>
        <v>0</v>
      </c>
      <c r="G7336" s="34" t="n">
        <f aca="false">SUMIFS('12.326ana'!$C:$C,'12.326ana'!$M:$M,redes!A7336)</f>
        <v>0</v>
      </c>
    </row>
    <row r="7337" customFormat="false" ht="14.4" hidden="true" customHeight="false" outlineLevel="0" collapsed="false">
      <c r="A7337" s="34" t="n">
        <v>3069051000168</v>
      </c>
      <c r="B7337" s="34" t="s">
        <v>15690</v>
      </c>
      <c r="C7337" s="34" t="s">
        <v>1341</v>
      </c>
      <c r="E7337" s="30" t="s">
        <v>15691</v>
      </c>
      <c r="F7337" s="34" t="n">
        <f aca="false">IFERROR(VLOOKUP($A7337,'319'!$B:$H,7,0),0)</f>
        <v>0</v>
      </c>
      <c r="G7337" s="34" t="n">
        <f aca="false">SUMIFS('12.326ana'!$C:$C,'12.326ana'!$M:$M,redes!A7337)</f>
        <v>0</v>
      </c>
    </row>
    <row r="7338" customFormat="false" ht="14.4" hidden="true" customHeight="false" outlineLevel="0" collapsed="false">
      <c r="A7338" s="34" t="n">
        <v>3070587000101</v>
      </c>
      <c r="B7338" s="34" t="s">
        <v>15692</v>
      </c>
      <c r="C7338" s="34" t="s">
        <v>77</v>
      </c>
      <c r="E7338" s="30" t="s">
        <v>15693</v>
      </c>
      <c r="F7338" s="34" t="n">
        <f aca="false">IFERROR(VLOOKUP($A7338,'319'!$B:$H,7,0),0)</f>
        <v>0</v>
      </c>
      <c r="G7338" s="34" t="n">
        <f aca="false">SUMIFS('12.326ana'!$C:$C,'12.326ana'!$M:$M,redes!A7338)</f>
        <v>0</v>
      </c>
    </row>
    <row r="7339" customFormat="false" ht="14.4" hidden="true" customHeight="false" outlineLevel="0" collapsed="false">
      <c r="A7339" s="34" t="n">
        <v>3074139000178</v>
      </c>
      <c r="B7339" s="34" t="s">
        <v>15694</v>
      </c>
      <c r="C7339" s="34" t="s">
        <v>107</v>
      </c>
      <c r="E7339" s="30" t="s">
        <v>15695</v>
      </c>
      <c r="F7339" s="34" t="n">
        <f aca="false">IFERROR(VLOOKUP($A7339,'319'!$B:$H,7,0),0)</f>
        <v>0</v>
      </c>
      <c r="G7339" s="34" t="n">
        <f aca="false">SUMIFS('12.326ana'!$C:$C,'12.326ana'!$M:$M,redes!A7339)</f>
        <v>0</v>
      </c>
    </row>
    <row r="7340" customFormat="false" ht="14.4" hidden="true" customHeight="false" outlineLevel="0" collapsed="false">
      <c r="A7340" s="34" t="n">
        <v>3076240000168</v>
      </c>
      <c r="B7340" s="34" t="s">
        <v>15696</v>
      </c>
      <c r="C7340" s="34" t="s">
        <v>77</v>
      </c>
      <c r="E7340" s="30" t="s">
        <v>15697</v>
      </c>
      <c r="F7340" s="34" t="n">
        <f aca="false">IFERROR(VLOOKUP($A7340,'319'!$B:$H,7,0),0)</f>
        <v>0</v>
      </c>
      <c r="G7340" s="34" t="n">
        <f aca="false">SUMIFS('12.326ana'!$C:$C,'12.326ana'!$M:$M,redes!A7340)</f>
        <v>0</v>
      </c>
    </row>
    <row r="7341" customFormat="false" ht="14.4" hidden="true" customHeight="false" outlineLevel="0" collapsed="false">
      <c r="A7341" s="34" t="n">
        <v>3076598000190</v>
      </c>
      <c r="B7341" s="34" t="s">
        <v>15698</v>
      </c>
      <c r="C7341" s="34" t="s">
        <v>213</v>
      </c>
      <c r="E7341" s="30" t="s">
        <v>15699</v>
      </c>
      <c r="F7341" s="34" t="n">
        <f aca="false">IFERROR(VLOOKUP($A7341,'319'!$B:$H,7,0),0)</f>
        <v>0</v>
      </c>
      <c r="G7341" s="34" t="n">
        <f aca="false">SUMIFS('12.326ana'!$C:$C,'12.326ana'!$M:$M,redes!A7341)</f>
        <v>0</v>
      </c>
    </row>
    <row r="7342" customFormat="false" ht="14.4" hidden="true" customHeight="false" outlineLevel="0" collapsed="false">
      <c r="A7342" s="34" t="n">
        <v>3078668000140</v>
      </c>
      <c r="B7342" s="34" t="s">
        <v>15700</v>
      </c>
      <c r="C7342" s="34" t="s">
        <v>77</v>
      </c>
      <c r="E7342" s="30" t="s">
        <v>11731</v>
      </c>
      <c r="F7342" s="34" t="n">
        <f aca="false">IFERROR(VLOOKUP($A7342,'319'!$B:$H,7,0),0)</f>
        <v>0</v>
      </c>
      <c r="G7342" s="34" t="n">
        <f aca="false">SUMIFS('12.326ana'!$C:$C,'12.326ana'!$M:$M,redes!A7342)</f>
        <v>0</v>
      </c>
    </row>
    <row r="7343" customFormat="false" ht="14.4" hidden="true" customHeight="false" outlineLevel="0" collapsed="false">
      <c r="A7343" s="34" t="n">
        <v>3080848000166</v>
      </c>
      <c r="B7343" s="34" t="s">
        <v>15701</v>
      </c>
      <c r="C7343" s="34" t="s">
        <v>1272</v>
      </c>
      <c r="E7343" s="30" t="s">
        <v>9166</v>
      </c>
      <c r="F7343" s="34" t="n">
        <f aca="false">IFERROR(VLOOKUP($A7343,'319'!$B:$H,7,0),0)</f>
        <v>0</v>
      </c>
      <c r="G7343" s="34" t="n">
        <f aca="false">SUMIFS('12.326ana'!$C:$C,'12.326ana'!$M:$M,redes!A7343)</f>
        <v>0</v>
      </c>
    </row>
    <row r="7344" customFormat="false" ht="14.4" hidden="true" customHeight="false" outlineLevel="0" collapsed="false">
      <c r="A7344" s="34" t="n">
        <v>3083304000158</v>
      </c>
      <c r="B7344" s="34" t="s">
        <v>15702</v>
      </c>
      <c r="C7344" s="34" t="s">
        <v>77</v>
      </c>
      <c r="E7344" s="30"/>
      <c r="F7344" s="34" t="n">
        <f aca="false">IFERROR(VLOOKUP($A7344,'319'!$B:$H,7,0),0)</f>
        <v>0</v>
      </c>
      <c r="G7344" s="34" t="n">
        <f aca="false">SUMIFS('12.326ana'!$C:$C,'12.326ana'!$M:$M,redes!A7344)</f>
        <v>0</v>
      </c>
    </row>
    <row r="7345" customFormat="false" ht="14.4" hidden="true" customHeight="false" outlineLevel="0" collapsed="false">
      <c r="A7345" s="34" t="n">
        <v>3083790000104</v>
      </c>
      <c r="B7345" s="34" t="s">
        <v>15703</v>
      </c>
      <c r="C7345" s="34" t="s">
        <v>213</v>
      </c>
      <c r="E7345" s="30" t="s">
        <v>15704</v>
      </c>
      <c r="F7345" s="34" t="n">
        <f aca="false">IFERROR(VLOOKUP($A7345,'319'!$B:$H,7,0),0)</f>
        <v>0</v>
      </c>
      <c r="G7345" s="34" t="n">
        <f aca="false">SUMIFS('12.326ana'!$C:$C,'12.326ana'!$M:$M,redes!A7345)</f>
        <v>0</v>
      </c>
    </row>
    <row r="7346" customFormat="false" ht="14.4" hidden="true" customHeight="false" outlineLevel="0" collapsed="false">
      <c r="A7346" s="34" t="n">
        <v>3083790000295</v>
      </c>
      <c r="B7346" s="34" t="s">
        <v>15703</v>
      </c>
      <c r="C7346" s="34" t="s">
        <v>213</v>
      </c>
      <c r="E7346" s="30" t="s">
        <v>15705</v>
      </c>
      <c r="F7346" s="34" t="n">
        <f aca="false">IFERROR(VLOOKUP($A7346,'319'!$B:$H,7,0),0)</f>
        <v>0</v>
      </c>
      <c r="G7346" s="34" t="n">
        <f aca="false">SUMIFS('12.326ana'!$C:$C,'12.326ana'!$M:$M,redes!A7346)</f>
        <v>0</v>
      </c>
    </row>
    <row r="7347" customFormat="false" ht="14.4" hidden="true" customHeight="false" outlineLevel="0" collapsed="false">
      <c r="A7347" s="34" t="n">
        <v>3084756000154</v>
      </c>
      <c r="B7347" s="34" t="s">
        <v>15706</v>
      </c>
      <c r="C7347" s="34" t="s">
        <v>107</v>
      </c>
      <c r="E7347" s="30" t="s">
        <v>15707</v>
      </c>
      <c r="F7347" s="34" t="n">
        <f aca="false">IFERROR(VLOOKUP($A7347,'319'!$B:$H,7,0),0)</f>
        <v>0</v>
      </c>
      <c r="G7347" s="34" t="n">
        <f aca="false">SUMIFS('12.326ana'!$C:$C,'12.326ana'!$M:$M,redes!A7347)</f>
        <v>0</v>
      </c>
    </row>
    <row r="7348" customFormat="false" ht="14.4" hidden="true" customHeight="false" outlineLevel="0" collapsed="false">
      <c r="A7348" s="34" t="n">
        <v>3086640000154</v>
      </c>
      <c r="B7348" s="34" t="s">
        <v>15708</v>
      </c>
      <c r="C7348" s="34" t="s">
        <v>77</v>
      </c>
      <c r="E7348" s="30" t="s">
        <v>5917</v>
      </c>
      <c r="F7348" s="34" t="n">
        <f aca="false">IFERROR(VLOOKUP($A7348,'319'!$B:$H,7,0),0)</f>
        <v>0</v>
      </c>
      <c r="G7348" s="34" t="n">
        <f aca="false">SUMIFS('12.326ana'!$C:$C,'12.326ana'!$M:$M,redes!A7348)</f>
        <v>0</v>
      </c>
    </row>
    <row r="7349" customFormat="false" ht="14.4" hidden="true" customHeight="false" outlineLevel="0" collapsed="false">
      <c r="A7349" s="34" t="n">
        <v>3087016000171</v>
      </c>
      <c r="B7349" s="34" t="s">
        <v>15709</v>
      </c>
      <c r="C7349" s="34" t="s">
        <v>89</v>
      </c>
      <c r="E7349" s="30" t="s">
        <v>15710</v>
      </c>
      <c r="F7349" s="34" t="n">
        <f aca="false">IFERROR(VLOOKUP($A7349,'319'!$B:$H,7,0),0)</f>
        <v>0</v>
      </c>
      <c r="G7349" s="34" t="n">
        <f aca="false">SUMIFS('12.326ana'!$C:$C,'12.326ana'!$M:$M,redes!A7349)</f>
        <v>0</v>
      </c>
    </row>
    <row r="7350" customFormat="false" ht="14.4" hidden="true" customHeight="false" outlineLevel="0" collapsed="false">
      <c r="A7350" s="34" t="n">
        <v>3090541000146</v>
      </c>
      <c r="B7350" s="34" t="s">
        <v>15711</v>
      </c>
      <c r="C7350" s="34" t="s">
        <v>77</v>
      </c>
      <c r="E7350" s="30" t="s">
        <v>15712</v>
      </c>
      <c r="F7350" s="34" t="n">
        <f aca="false">IFERROR(VLOOKUP($A7350,'319'!$B:$H,7,0),0)</f>
        <v>0</v>
      </c>
      <c r="G7350" s="34" t="n">
        <f aca="false">SUMIFS('12.326ana'!$C:$C,'12.326ana'!$M:$M,redes!A7350)</f>
        <v>0</v>
      </c>
    </row>
    <row r="7351" customFormat="false" ht="14.4" hidden="true" customHeight="false" outlineLevel="0" collapsed="false">
      <c r="A7351" s="34" t="n">
        <v>3090605000109</v>
      </c>
      <c r="B7351" s="34" t="s">
        <v>15713</v>
      </c>
      <c r="C7351" s="34" t="s">
        <v>77</v>
      </c>
      <c r="E7351" s="30" t="s">
        <v>4010</v>
      </c>
      <c r="F7351" s="34" t="n">
        <f aca="false">IFERROR(VLOOKUP($A7351,'319'!$B:$H,7,0),0)</f>
        <v>0</v>
      </c>
      <c r="G7351" s="34" t="n">
        <f aca="false">SUMIFS('12.326ana'!$C:$C,'12.326ana'!$M:$M,redes!A7351)</f>
        <v>0</v>
      </c>
    </row>
    <row r="7352" customFormat="false" ht="14.4" hidden="true" customHeight="false" outlineLevel="0" collapsed="false">
      <c r="A7352" s="34" t="n">
        <v>3092048000165</v>
      </c>
      <c r="B7352" s="34" t="s">
        <v>15714</v>
      </c>
      <c r="C7352" s="34" t="s">
        <v>77</v>
      </c>
      <c r="E7352" s="30" t="s">
        <v>15715</v>
      </c>
      <c r="F7352" s="34" t="n">
        <f aca="false">IFERROR(VLOOKUP($A7352,'319'!$B:$H,7,0),0)</f>
        <v>0</v>
      </c>
      <c r="G7352" s="34" t="n">
        <f aca="false">SUMIFS('12.326ana'!$C:$C,'12.326ana'!$M:$M,redes!A7352)</f>
        <v>0</v>
      </c>
    </row>
    <row r="7353" customFormat="false" ht="14.4" hidden="true" customHeight="false" outlineLevel="0" collapsed="false">
      <c r="A7353" s="34" t="n">
        <v>3092056000101</v>
      </c>
      <c r="B7353" s="34" t="s">
        <v>15716</v>
      </c>
      <c r="C7353" s="34" t="s">
        <v>77</v>
      </c>
      <c r="E7353" s="30" t="s">
        <v>15717</v>
      </c>
      <c r="F7353" s="34" t="n">
        <f aca="false">IFERROR(VLOOKUP($A7353,'319'!$B:$H,7,0),0)</f>
        <v>0</v>
      </c>
      <c r="G7353" s="34" t="n">
        <f aca="false">SUMIFS('12.326ana'!$C:$C,'12.326ana'!$M:$M,redes!A7353)</f>
        <v>0</v>
      </c>
    </row>
    <row r="7354" customFormat="false" ht="14.4" hidden="true" customHeight="false" outlineLevel="0" collapsed="false">
      <c r="A7354" s="34" t="n">
        <v>3094798000176</v>
      </c>
      <c r="B7354" s="34" t="s">
        <v>15718</v>
      </c>
      <c r="C7354" s="34" t="s">
        <v>357</v>
      </c>
      <c r="E7354" s="30" t="s">
        <v>15719</v>
      </c>
      <c r="F7354" s="34" t="n">
        <f aca="false">IFERROR(VLOOKUP($A7354,'319'!$B:$H,7,0),0)</f>
        <v>0</v>
      </c>
      <c r="G7354" s="34" t="n">
        <f aca="false">SUMIFS('12.326ana'!$C:$C,'12.326ana'!$M:$M,redes!A7354)</f>
        <v>0</v>
      </c>
    </row>
    <row r="7355" customFormat="false" ht="14.4" hidden="true" customHeight="false" outlineLevel="0" collapsed="false">
      <c r="A7355" s="34" t="n">
        <v>3095267000289</v>
      </c>
      <c r="B7355" s="34" t="s">
        <v>15720</v>
      </c>
      <c r="C7355" s="34" t="s">
        <v>107</v>
      </c>
      <c r="E7355" s="30" t="s">
        <v>15721</v>
      </c>
      <c r="F7355" s="34" t="n">
        <f aca="false">IFERROR(VLOOKUP($A7355,'319'!$B:$H,7,0),0)</f>
        <v>0</v>
      </c>
      <c r="G7355" s="34" t="n">
        <f aca="false">SUMIFS('12.326ana'!$C:$C,'12.326ana'!$M:$M,redes!A7355)</f>
        <v>0</v>
      </c>
    </row>
    <row r="7356" customFormat="false" ht="14.4" hidden="true" customHeight="false" outlineLevel="0" collapsed="false">
      <c r="A7356" s="34" t="n">
        <v>3095393000152</v>
      </c>
      <c r="B7356" s="34" t="s">
        <v>15722</v>
      </c>
      <c r="C7356" s="34" t="s">
        <v>77</v>
      </c>
      <c r="E7356" s="30" t="s">
        <v>3206</v>
      </c>
      <c r="F7356" s="34" t="n">
        <f aca="false">IFERROR(VLOOKUP($A7356,'319'!$B:$H,7,0),0)</f>
        <v>0</v>
      </c>
      <c r="G7356" s="34" t="n">
        <f aca="false">SUMIFS('12.326ana'!$C:$C,'12.326ana'!$M:$M,redes!A7356)</f>
        <v>0</v>
      </c>
    </row>
    <row r="7357" customFormat="false" ht="14.4" hidden="true" customHeight="false" outlineLevel="0" collapsed="false">
      <c r="A7357" s="34" t="n">
        <v>3096172000107</v>
      </c>
      <c r="B7357" s="34" t="s">
        <v>15723</v>
      </c>
      <c r="C7357" s="34" t="s">
        <v>107</v>
      </c>
      <c r="E7357" s="30" t="s">
        <v>15724</v>
      </c>
      <c r="F7357" s="34" t="n">
        <f aca="false">IFERROR(VLOOKUP($A7357,'319'!$B:$H,7,0),0)</f>
        <v>0</v>
      </c>
      <c r="G7357" s="34" t="n">
        <f aca="false">SUMIFS('12.326ana'!$C:$C,'12.326ana'!$M:$M,redes!A7357)</f>
        <v>0</v>
      </c>
    </row>
    <row r="7358" customFormat="false" ht="14.4" hidden="true" customHeight="false" outlineLevel="0" collapsed="false">
      <c r="A7358" s="34" t="n">
        <v>3098730000165</v>
      </c>
      <c r="B7358" s="34" t="s">
        <v>15725</v>
      </c>
      <c r="C7358" s="34" t="s">
        <v>448</v>
      </c>
      <c r="E7358" s="30"/>
      <c r="F7358" s="34" t="n">
        <f aca="false">IFERROR(VLOOKUP($A7358,'319'!$B:$H,7,0),0)</f>
        <v>0</v>
      </c>
      <c r="G7358" s="34" t="n">
        <f aca="false">SUMIFS('12.326ana'!$C:$C,'12.326ana'!$M:$M,redes!A7358)</f>
        <v>0</v>
      </c>
    </row>
    <row r="7359" customFormat="false" ht="14.4" hidden="true" customHeight="false" outlineLevel="0" collapsed="false">
      <c r="A7359" s="34" t="n">
        <v>3100275000195</v>
      </c>
      <c r="B7359" s="34" t="s">
        <v>15726</v>
      </c>
      <c r="C7359" s="34" t="s">
        <v>351</v>
      </c>
      <c r="E7359" s="30" t="s">
        <v>5850</v>
      </c>
      <c r="F7359" s="34" t="n">
        <f aca="false">IFERROR(VLOOKUP($A7359,'319'!$B:$H,7,0),0)</f>
        <v>0</v>
      </c>
      <c r="G7359" s="34" t="n">
        <f aca="false">SUMIFS('12.326ana'!$C:$C,'12.326ana'!$M:$M,redes!A7359)</f>
        <v>0</v>
      </c>
    </row>
    <row r="7360" customFormat="false" ht="14.4" hidden="true" customHeight="false" outlineLevel="0" collapsed="false">
      <c r="A7360" s="34" t="n">
        <v>3100309000141</v>
      </c>
      <c r="B7360" s="34" t="s">
        <v>15727</v>
      </c>
      <c r="C7360" s="34" t="s">
        <v>89</v>
      </c>
      <c r="E7360" s="30" t="s">
        <v>15728</v>
      </c>
      <c r="F7360" s="34" t="n">
        <f aca="false">IFERROR(VLOOKUP($A7360,'319'!$B:$H,7,0),0)</f>
        <v>0</v>
      </c>
      <c r="G7360" s="34" t="n">
        <f aca="false">SUMIFS('12.326ana'!$C:$C,'12.326ana'!$M:$M,redes!A7360)</f>
        <v>0</v>
      </c>
    </row>
    <row r="7361" customFormat="false" ht="14.4" hidden="true" customHeight="false" outlineLevel="0" collapsed="false">
      <c r="A7361" s="34" t="n">
        <v>3100793000109</v>
      </c>
      <c r="B7361" s="34" t="s">
        <v>15729</v>
      </c>
      <c r="C7361" s="34" t="s">
        <v>77</v>
      </c>
      <c r="E7361" s="30" t="s">
        <v>15730</v>
      </c>
      <c r="F7361" s="34" t="n">
        <f aca="false">IFERROR(VLOOKUP($A7361,'319'!$B:$H,7,0),0)</f>
        <v>0</v>
      </c>
      <c r="G7361" s="34" t="n">
        <f aca="false">SUMIFS('12.326ana'!$C:$C,'12.326ana'!$M:$M,redes!A7361)</f>
        <v>0</v>
      </c>
    </row>
    <row r="7362" customFormat="false" ht="14.4" hidden="true" customHeight="false" outlineLevel="0" collapsed="false">
      <c r="A7362" s="34" t="n">
        <v>3100940000140</v>
      </c>
      <c r="B7362" s="34" t="s">
        <v>15731</v>
      </c>
      <c r="C7362" s="34" t="s">
        <v>7250</v>
      </c>
      <c r="E7362" s="30" t="s">
        <v>15732</v>
      </c>
      <c r="F7362" s="34" t="n">
        <f aca="false">IFERROR(VLOOKUP($A7362,'319'!$B:$H,7,0),0)</f>
        <v>0</v>
      </c>
      <c r="G7362" s="34" t="n">
        <f aca="false">SUMIFS('12.326ana'!$C:$C,'12.326ana'!$M:$M,redes!A7362)</f>
        <v>0</v>
      </c>
    </row>
    <row r="7363" customFormat="false" ht="14.4" hidden="true" customHeight="false" outlineLevel="0" collapsed="false">
      <c r="A7363" s="34" t="n">
        <v>3103884000106</v>
      </c>
      <c r="B7363" s="34" t="s">
        <v>15733</v>
      </c>
      <c r="C7363" s="34" t="s">
        <v>89</v>
      </c>
      <c r="E7363" s="30" t="s">
        <v>15734</v>
      </c>
      <c r="F7363" s="34" t="n">
        <f aca="false">IFERROR(VLOOKUP($A7363,'319'!$B:$H,7,0),0)</f>
        <v>0</v>
      </c>
      <c r="G7363" s="34" t="n">
        <f aca="false">SUMIFS('12.326ana'!$C:$C,'12.326ana'!$M:$M,redes!A7363)</f>
        <v>0</v>
      </c>
    </row>
    <row r="7364" customFormat="false" ht="14.4" hidden="true" customHeight="false" outlineLevel="0" collapsed="false">
      <c r="A7364" s="34" t="n">
        <v>3104287000198</v>
      </c>
      <c r="B7364" s="34" t="s">
        <v>15735</v>
      </c>
      <c r="C7364" s="34" t="s">
        <v>77</v>
      </c>
      <c r="E7364" s="30" t="s">
        <v>15736</v>
      </c>
      <c r="F7364" s="34" t="n">
        <f aca="false">IFERROR(VLOOKUP($A7364,'319'!$B:$H,7,0),0)</f>
        <v>0</v>
      </c>
      <c r="G7364" s="34" t="n">
        <f aca="false">SUMIFS('12.326ana'!$C:$C,'12.326ana'!$M:$M,redes!A7364)</f>
        <v>0</v>
      </c>
    </row>
    <row r="7365" customFormat="false" ht="14.4" hidden="true" customHeight="false" outlineLevel="0" collapsed="false">
      <c r="A7365" s="34" t="n">
        <v>3104301000153</v>
      </c>
      <c r="B7365" s="34" t="s">
        <v>15737</v>
      </c>
      <c r="C7365" s="34" t="s">
        <v>139</v>
      </c>
      <c r="E7365" s="30" t="s">
        <v>15738</v>
      </c>
      <c r="F7365" s="34" t="n">
        <f aca="false">IFERROR(VLOOKUP($A7365,'319'!$B:$H,7,0),0)</f>
        <v>0</v>
      </c>
      <c r="G7365" s="34" t="n">
        <f aca="false">SUMIFS('12.326ana'!$C:$C,'12.326ana'!$M:$M,redes!A7365)</f>
        <v>0</v>
      </c>
    </row>
    <row r="7366" customFormat="false" ht="14.4" hidden="true" customHeight="false" outlineLevel="0" collapsed="false">
      <c r="A7366" s="34" t="n">
        <v>3104423000140</v>
      </c>
      <c r="B7366" s="34" t="s">
        <v>15739</v>
      </c>
      <c r="C7366" s="34" t="s">
        <v>464</v>
      </c>
      <c r="E7366" s="30" t="s">
        <v>15740</v>
      </c>
      <c r="F7366" s="34" t="n">
        <f aca="false">IFERROR(VLOOKUP($A7366,'319'!$B:$H,7,0),0)</f>
        <v>0</v>
      </c>
      <c r="G7366" s="34" t="n">
        <f aca="false">SUMIFS('12.326ana'!$C:$C,'12.326ana'!$M:$M,redes!A7366)</f>
        <v>0</v>
      </c>
    </row>
    <row r="7367" customFormat="false" ht="14.4" hidden="true" customHeight="false" outlineLevel="0" collapsed="false">
      <c r="A7367" s="34" t="n">
        <v>3104460000158</v>
      </c>
      <c r="B7367" s="34" t="s">
        <v>15741</v>
      </c>
      <c r="C7367" s="34" t="s">
        <v>89</v>
      </c>
      <c r="E7367" s="30" t="s">
        <v>3112</v>
      </c>
      <c r="F7367" s="34" t="n">
        <f aca="false">IFERROR(VLOOKUP($A7367,'319'!$B:$H,7,0),0)</f>
        <v>0</v>
      </c>
      <c r="G7367" s="34" t="n">
        <f aca="false">SUMIFS('12.326ana'!$C:$C,'12.326ana'!$M:$M,redes!A7367)</f>
        <v>0</v>
      </c>
    </row>
    <row r="7368" customFormat="false" ht="14.4" hidden="true" customHeight="false" outlineLevel="0" collapsed="false">
      <c r="A7368" s="34" t="n">
        <v>3104841000137</v>
      </c>
      <c r="B7368" s="34" t="s">
        <v>15742</v>
      </c>
      <c r="C7368" s="34" t="s">
        <v>4418</v>
      </c>
      <c r="E7368" s="30" t="s">
        <v>15743</v>
      </c>
      <c r="F7368" s="34" t="n">
        <f aca="false">IFERROR(VLOOKUP($A7368,'319'!$B:$H,7,0),0)</f>
        <v>0</v>
      </c>
      <c r="G7368" s="34" t="n">
        <f aca="false">SUMIFS('12.326ana'!$C:$C,'12.326ana'!$M:$M,redes!A7368)</f>
        <v>0</v>
      </c>
    </row>
    <row r="7369" customFormat="false" ht="14.4" hidden="true" customHeight="false" outlineLevel="0" collapsed="false">
      <c r="A7369" s="34" t="n">
        <v>3106518000100</v>
      </c>
      <c r="B7369" s="34" t="s">
        <v>15744</v>
      </c>
      <c r="C7369" s="34" t="s">
        <v>77</v>
      </c>
      <c r="E7369" s="30" t="s">
        <v>15745</v>
      </c>
      <c r="F7369" s="34" t="n">
        <f aca="false">IFERROR(VLOOKUP($A7369,'319'!$B:$H,7,0),0)</f>
        <v>0</v>
      </c>
      <c r="G7369" s="34" t="n">
        <f aca="false">SUMIFS('12.326ana'!$C:$C,'12.326ana'!$M:$M,redes!A7369)</f>
        <v>0</v>
      </c>
    </row>
    <row r="7370" customFormat="false" ht="14.4" hidden="true" customHeight="false" outlineLevel="0" collapsed="false">
      <c r="A7370" s="34" t="n">
        <v>3106804000168</v>
      </c>
      <c r="B7370" s="34" t="s">
        <v>15746</v>
      </c>
      <c r="C7370" s="34" t="s">
        <v>89</v>
      </c>
      <c r="E7370" s="30" t="s">
        <v>15747</v>
      </c>
      <c r="F7370" s="34" t="n">
        <f aca="false">IFERROR(VLOOKUP($A7370,'319'!$B:$H,7,0),0)</f>
        <v>0</v>
      </c>
      <c r="G7370" s="34" t="n">
        <f aca="false">SUMIFS('12.326ana'!$C:$C,'12.326ana'!$M:$M,redes!A7370)</f>
        <v>0</v>
      </c>
    </row>
    <row r="7371" customFormat="false" ht="14.4" hidden="true" customHeight="false" outlineLevel="0" collapsed="false">
      <c r="A7371" s="34" t="n">
        <v>3107594000122</v>
      </c>
      <c r="B7371" s="34" t="s">
        <v>15748</v>
      </c>
      <c r="C7371" s="34" t="s">
        <v>342</v>
      </c>
      <c r="E7371" s="30" t="s">
        <v>15749</v>
      </c>
      <c r="F7371" s="34" t="n">
        <f aca="false">IFERROR(VLOOKUP($A7371,'319'!$B:$H,7,0),0)</f>
        <v>0</v>
      </c>
      <c r="G7371" s="34" t="n">
        <f aca="false">SUMIFS('12.326ana'!$C:$C,'12.326ana'!$M:$M,redes!A7371)</f>
        <v>0</v>
      </c>
    </row>
    <row r="7372" customFormat="false" ht="14.4" hidden="true" customHeight="false" outlineLevel="0" collapsed="false">
      <c r="A7372" s="34" t="n">
        <v>3110295000147</v>
      </c>
      <c r="B7372" s="34" t="s">
        <v>15750</v>
      </c>
      <c r="C7372" s="34" t="s">
        <v>994</v>
      </c>
      <c r="E7372" s="30" t="s">
        <v>15751</v>
      </c>
      <c r="F7372" s="34" t="n">
        <f aca="false">IFERROR(VLOOKUP($A7372,'319'!$B:$H,7,0),0)</f>
        <v>0</v>
      </c>
      <c r="G7372" s="34" t="n">
        <f aca="false">SUMIFS('12.326ana'!$C:$C,'12.326ana'!$M:$M,redes!A7372)</f>
        <v>0</v>
      </c>
    </row>
    <row r="7373" customFormat="false" ht="14.4" hidden="true" customHeight="false" outlineLevel="0" collapsed="false">
      <c r="A7373" s="34" t="n">
        <v>3112296000120</v>
      </c>
      <c r="B7373" s="34" t="s">
        <v>15752</v>
      </c>
      <c r="C7373" s="34" t="s">
        <v>357</v>
      </c>
      <c r="E7373" s="30" t="s">
        <v>4369</v>
      </c>
      <c r="F7373" s="34" t="n">
        <f aca="false">IFERROR(VLOOKUP($A7373,'319'!$B:$H,7,0),0)</f>
        <v>0</v>
      </c>
      <c r="G7373" s="34" t="n">
        <f aca="false">SUMIFS('12.326ana'!$C:$C,'12.326ana'!$M:$M,redes!A7373)</f>
        <v>0</v>
      </c>
    </row>
    <row r="7374" customFormat="false" ht="14.4" hidden="true" customHeight="false" outlineLevel="0" collapsed="false">
      <c r="A7374" s="34" t="n">
        <v>3112629000111</v>
      </c>
      <c r="B7374" s="34" t="s">
        <v>1779</v>
      </c>
      <c r="C7374" s="34" t="s">
        <v>737</v>
      </c>
      <c r="E7374" s="30" t="s">
        <v>15753</v>
      </c>
      <c r="F7374" s="34" t="n">
        <f aca="false">IFERROR(VLOOKUP($A7374,'319'!$B:$H,7,0),0)</f>
        <v>-103.78</v>
      </c>
      <c r="G7374" s="34" t="n">
        <f aca="false">SUMIFS('12.326ana'!$C:$C,'12.326ana'!$M:$M,redes!A7374)</f>
        <v>0</v>
      </c>
    </row>
    <row r="7375" customFormat="false" ht="14.4" hidden="true" customHeight="false" outlineLevel="0" collapsed="false">
      <c r="A7375" s="34" t="n">
        <v>3113229000120</v>
      </c>
      <c r="B7375" s="34" t="s">
        <v>15754</v>
      </c>
      <c r="C7375" s="34" t="s">
        <v>848</v>
      </c>
      <c r="E7375" s="30" t="s">
        <v>15755</v>
      </c>
      <c r="F7375" s="34" t="n">
        <f aca="false">IFERROR(VLOOKUP($A7375,'319'!$B:$H,7,0),0)</f>
        <v>0</v>
      </c>
      <c r="G7375" s="34" t="n">
        <f aca="false">SUMIFS('12.326ana'!$C:$C,'12.326ana'!$M:$M,redes!A7375)</f>
        <v>0</v>
      </c>
    </row>
    <row r="7376" customFormat="false" ht="14.4" hidden="true" customHeight="false" outlineLevel="0" collapsed="false">
      <c r="A7376" s="34" t="n">
        <v>3116570000130</v>
      </c>
      <c r="B7376" s="34" t="s">
        <v>6991</v>
      </c>
      <c r="C7376" s="34" t="s">
        <v>737</v>
      </c>
      <c r="E7376" s="30" t="s">
        <v>4453</v>
      </c>
      <c r="F7376" s="34" t="n">
        <f aca="false">IFERROR(VLOOKUP($A7376,'319'!$B:$H,7,0),0)</f>
        <v>0</v>
      </c>
      <c r="G7376" s="34" t="n">
        <f aca="false">SUMIFS('12.326ana'!$C:$C,'12.326ana'!$M:$M,redes!A7376)</f>
        <v>0</v>
      </c>
    </row>
    <row r="7377" customFormat="false" ht="14.4" hidden="true" customHeight="false" outlineLevel="0" collapsed="false">
      <c r="A7377" s="34" t="n">
        <v>3117136000255</v>
      </c>
      <c r="B7377" s="34" t="s">
        <v>15756</v>
      </c>
      <c r="C7377" s="34" t="s">
        <v>463</v>
      </c>
      <c r="E7377" s="30" t="s">
        <v>15757</v>
      </c>
      <c r="F7377" s="34" t="n">
        <f aca="false">IFERROR(VLOOKUP($A7377,'319'!$B:$H,7,0),0)</f>
        <v>0</v>
      </c>
      <c r="G7377" s="34" t="n">
        <f aca="false">SUMIFS('12.326ana'!$C:$C,'12.326ana'!$M:$M,redes!A7377)</f>
        <v>0</v>
      </c>
    </row>
    <row r="7378" customFormat="false" ht="14.4" hidden="true" customHeight="false" outlineLevel="0" collapsed="false">
      <c r="A7378" s="34" t="n">
        <v>3118384000130</v>
      </c>
      <c r="B7378" s="34" t="s">
        <v>763</v>
      </c>
      <c r="C7378" s="34" t="s">
        <v>764</v>
      </c>
      <c r="E7378" s="30" t="s">
        <v>15758</v>
      </c>
      <c r="F7378" s="34" t="n">
        <f aca="false">IFERROR(VLOOKUP($A7378,'319'!$B:$H,7,0),0)</f>
        <v>3804.4</v>
      </c>
      <c r="G7378" s="34" t="n">
        <f aca="false">SUMIFS('12.326ana'!$C:$C,'12.326ana'!$M:$M,redes!A7378)</f>
        <v>0</v>
      </c>
    </row>
    <row r="7379" customFormat="false" ht="14.4" hidden="true" customHeight="false" outlineLevel="0" collapsed="false">
      <c r="A7379" s="34" t="n">
        <v>3119609000172</v>
      </c>
      <c r="B7379" s="34" t="s">
        <v>15759</v>
      </c>
      <c r="C7379" s="34" t="s">
        <v>77</v>
      </c>
      <c r="E7379" s="30" t="s">
        <v>15760</v>
      </c>
      <c r="F7379" s="34" t="n">
        <f aca="false">IFERROR(VLOOKUP($A7379,'319'!$B:$H,7,0),0)</f>
        <v>0</v>
      </c>
      <c r="G7379" s="34" t="n">
        <f aca="false">SUMIFS('12.326ana'!$C:$C,'12.326ana'!$M:$M,redes!A7379)</f>
        <v>0</v>
      </c>
    </row>
    <row r="7380" customFormat="false" ht="14.4" hidden="true" customHeight="false" outlineLevel="0" collapsed="false">
      <c r="A7380" s="34" t="n">
        <v>3120425000122</v>
      </c>
      <c r="B7380" s="34" t="s">
        <v>15761</v>
      </c>
      <c r="C7380" s="34" t="s">
        <v>77</v>
      </c>
      <c r="E7380" s="30" t="s">
        <v>6946</v>
      </c>
      <c r="F7380" s="34" t="n">
        <f aca="false">IFERROR(VLOOKUP($A7380,'319'!$B:$H,7,0),0)</f>
        <v>0</v>
      </c>
      <c r="G7380" s="34" t="n">
        <f aca="false">SUMIFS('12.326ana'!$C:$C,'12.326ana'!$M:$M,redes!A7380)</f>
        <v>0</v>
      </c>
    </row>
    <row r="7381" customFormat="false" ht="14.4" hidden="true" customHeight="false" outlineLevel="0" collapsed="false">
      <c r="A7381" s="34" t="n">
        <v>3122280000107</v>
      </c>
      <c r="B7381" s="34" t="s">
        <v>15762</v>
      </c>
      <c r="C7381" s="34" t="s">
        <v>77</v>
      </c>
      <c r="E7381" s="30" t="s">
        <v>15763</v>
      </c>
      <c r="F7381" s="34" t="n">
        <f aca="false">IFERROR(VLOOKUP($A7381,'319'!$B:$H,7,0),0)</f>
        <v>0</v>
      </c>
      <c r="G7381" s="34" t="n">
        <f aca="false">SUMIFS('12.326ana'!$C:$C,'12.326ana'!$M:$M,redes!A7381)</f>
        <v>0</v>
      </c>
    </row>
    <row r="7382" customFormat="false" ht="14.4" hidden="true" customHeight="false" outlineLevel="0" collapsed="false">
      <c r="A7382" s="34" t="n">
        <v>3123684000107</v>
      </c>
      <c r="B7382" s="34" t="s">
        <v>15764</v>
      </c>
      <c r="C7382" s="34" t="s">
        <v>77</v>
      </c>
      <c r="E7382" s="30" t="s">
        <v>15765</v>
      </c>
      <c r="F7382" s="34" t="n">
        <f aca="false">IFERROR(VLOOKUP($A7382,'319'!$B:$H,7,0),0)</f>
        <v>0</v>
      </c>
      <c r="G7382" s="34" t="n">
        <f aca="false">SUMIFS('12.326ana'!$C:$C,'12.326ana'!$M:$M,redes!A7382)</f>
        <v>0</v>
      </c>
    </row>
    <row r="7383" customFormat="false" ht="14.4" hidden="true" customHeight="false" outlineLevel="0" collapsed="false">
      <c r="A7383" s="34" t="n">
        <v>3126017000188</v>
      </c>
      <c r="B7383" s="34" t="s">
        <v>15766</v>
      </c>
      <c r="C7383" s="34" t="s">
        <v>107</v>
      </c>
      <c r="E7383" s="30" t="s">
        <v>15767</v>
      </c>
      <c r="F7383" s="34" t="n">
        <f aca="false">IFERROR(VLOOKUP($A7383,'319'!$B:$H,7,0),0)</f>
        <v>0</v>
      </c>
      <c r="G7383" s="34" t="n">
        <f aca="false">SUMIFS('12.326ana'!$C:$C,'12.326ana'!$M:$M,redes!A7383)</f>
        <v>0</v>
      </c>
    </row>
    <row r="7384" customFormat="false" ht="14.4" hidden="true" customHeight="false" outlineLevel="0" collapsed="false">
      <c r="A7384" s="34" t="n">
        <v>3126352000186</v>
      </c>
      <c r="B7384" s="34" t="s">
        <v>15768</v>
      </c>
      <c r="C7384" s="34" t="s">
        <v>89</v>
      </c>
      <c r="E7384" s="30" t="s">
        <v>15769</v>
      </c>
      <c r="F7384" s="34" t="n">
        <f aca="false">IFERROR(VLOOKUP($A7384,'319'!$B:$H,7,0),0)</f>
        <v>0</v>
      </c>
      <c r="G7384" s="34" t="n">
        <f aca="false">SUMIFS('12.326ana'!$C:$C,'12.326ana'!$M:$M,redes!A7384)</f>
        <v>0</v>
      </c>
    </row>
    <row r="7385" customFormat="false" ht="14.4" hidden="true" customHeight="false" outlineLevel="0" collapsed="false">
      <c r="A7385" s="34" t="n">
        <v>3126830000158</v>
      </c>
      <c r="B7385" s="34" t="s">
        <v>15770</v>
      </c>
      <c r="C7385" s="34" t="s">
        <v>77</v>
      </c>
      <c r="E7385" s="30" t="s">
        <v>15771</v>
      </c>
      <c r="F7385" s="34" t="n">
        <f aca="false">IFERROR(VLOOKUP($A7385,'319'!$B:$H,7,0),0)</f>
        <v>0</v>
      </c>
      <c r="G7385" s="34" t="n">
        <f aca="false">SUMIFS('12.326ana'!$C:$C,'12.326ana'!$M:$M,redes!A7385)</f>
        <v>0</v>
      </c>
    </row>
    <row r="7386" customFormat="false" ht="14.4" hidden="true" customHeight="false" outlineLevel="0" collapsed="false">
      <c r="A7386" s="34" t="n">
        <v>3127117000129</v>
      </c>
      <c r="B7386" s="34" t="s">
        <v>15772</v>
      </c>
      <c r="C7386" s="34" t="s">
        <v>848</v>
      </c>
      <c r="E7386" s="30" t="s">
        <v>15773</v>
      </c>
      <c r="F7386" s="34" t="n">
        <f aca="false">IFERROR(VLOOKUP($A7386,'319'!$B:$H,7,0),0)</f>
        <v>0</v>
      </c>
      <c r="G7386" s="34" t="n">
        <f aca="false">SUMIFS('12.326ana'!$C:$C,'12.326ana'!$M:$M,redes!A7386)</f>
        <v>0</v>
      </c>
    </row>
    <row r="7387" customFormat="false" ht="14.4" hidden="true" customHeight="false" outlineLevel="0" collapsed="false">
      <c r="A7387" s="34" t="n">
        <v>3127236000181</v>
      </c>
      <c r="B7387" s="34" t="s">
        <v>15774</v>
      </c>
      <c r="C7387" s="34" t="s">
        <v>309</v>
      </c>
      <c r="E7387" s="30" t="s">
        <v>9284</v>
      </c>
      <c r="F7387" s="34" t="n">
        <f aca="false">IFERROR(VLOOKUP($A7387,'319'!$B:$H,7,0),0)</f>
        <v>0</v>
      </c>
      <c r="G7387" s="34" t="n">
        <f aca="false">SUMIFS('12.326ana'!$C:$C,'12.326ana'!$M:$M,redes!A7387)</f>
        <v>0</v>
      </c>
    </row>
    <row r="7388" customFormat="false" ht="14.4" hidden="true" customHeight="false" outlineLevel="0" collapsed="false">
      <c r="A7388" s="34" t="n">
        <v>3127237000126</v>
      </c>
      <c r="B7388" s="34" t="s">
        <v>15775</v>
      </c>
      <c r="C7388" s="34" t="s">
        <v>107</v>
      </c>
      <c r="E7388" s="30" t="s">
        <v>15776</v>
      </c>
      <c r="F7388" s="34" t="n">
        <f aca="false">IFERROR(VLOOKUP($A7388,'319'!$B:$H,7,0),0)</f>
        <v>0</v>
      </c>
      <c r="G7388" s="34" t="n">
        <f aca="false">SUMIFS('12.326ana'!$C:$C,'12.326ana'!$M:$M,redes!A7388)</f>
        <v>0</v>
      </c>
    </row>
    <row r="7389" customFormat="false" ht="14.4" hidden="true" customHeight="false" outlineLevel="0" collapsed="false">
      <c r="A7389" s="34" t="n">
        <v>3127306000100</v>
      </c>
      <c r="B7389" s="34" t="s">
        <v>15777</v>
      </c>
      <c r="C7389" s="34" t="s">
        <v>77</v>
      </c>
      <c r="E7389" s="30" t="s">
        <v>15778</v>
      </c>
      <c r="F7389" s="34" t="n">
        <f aca="false">IFERROR(VLOOKUP($A7389,'319'!$B:$H,7,0),0)</f>
        <v>976.69</v>
      </c>
      <c r="G7389" s="34" t="n">
        <f aca="false">SUMIFS('12.326ana'!$C:$C,'12.326ana'!$M:$M,redes!A7389)</f>
        <v>0</v>
      </c>
    </row>
    <row r="7390" customFormat="false" ht="14.4" hidden="true" customHeight="false" outlineLevel="0" collapsed="false">
      <c r="A7390" s="34" t="n">
        <v>3127339000141</v>
      </c>
      <c r="B7390" s="34" t="s">
        <v>15779</v>
      </c>
      <c r="C7390" s="34" t="s">
        <v>77</v>
      </c>
      <c r="E7390" s="30" t="s">
        <v>15779</v>
      </c>
      <c r="F7390" s="34" t="n">
        <f aca="false">IFERROR(VLOOKUP($A7390,'319'!$B:$H,7,0),0)</f>
        <v>0</v>
      </c>
      <c r="G7390" s="34" t="n">
        <f aca="false">SUMIFS('12.326ana'!$C:$C,'12.326ana'!$M:$M,redes!A7390)</f>
        <v>0</v>
      </c>
    </row>
    <row r="7391" customFormat="false" ht="14.4" hidden="true" customHeight="false" outlineLevel="0" collapsed="false">
      <c r="A7391" s="34" t="n">
        <v>3129887000100</v>
      </c>
      <c r="B7391" s="34" t="s">
        <v>15780</v>
      </c>
      <c r="C7391" s="34" t="s">
        <v>77</v>
      </c>
      <c r="E7391" s="30" t="s">
        <v>15781</v>
      </c>
      <c r="F7391" s="34" t="n">
        <f aca="false">IFERROR(VLOOKUP($A7391,'319'!$B:$H,7,0),0)</f>
        <v>0</v>
      </c>
      <c r="G7391" s="34" t="n">
        <f aca="false">SUMIFS('12.326ana'!$C:$C,'12.326ana'!$M:$M,redes!A7391)</f>
        <v>0</v>
      </c>
    </row>
    <row r="7392" customFormat="false" ht="14.4" hidden="true" customHeight="false" outlineLevel="0" collapsed="false">
      <c r="A7392" s="34" t="n">
        <v>3130356000138</v>
      </c>
      <c r="B7392" s="34" t="s">
        <v>15782</v>
      </c>
      <c r="C7392" s="34" t="s">
        <v>107</v>
      </c>
      <c r="E7392" s="30" t="s">
        <v>15783</v>
      </c>
      <c r="F7392" s="34" t="n">
        <f aca="false">IFERROR(VLOOKUP($A7392,'319'!$B:$H,7,0),0)</f>
        <v>0</v>
      </c>
      <c r="G7392" s="34" t="n">
        <f aca="false">SUMIFS('12.326ana'!$C:$C,'12.326ana'!$M:$M,redes!A7392)</f>
        <v>0</v>
      </c>
    </row>
    <row r="7393" customFormat="false" ht="14.4" hidden="true" customHeight="false" outlineLevel="0" collapsed="false">
      <c r="A7393" s="34" t="n">
        <v>3130369000107</v>
      </c>
      <c r="B7393" s="34" t="s">
        <v>15784</v>
      </c>
      <c r="C7393" s="34" t="s">
        <v>77</v>
      </c>
      <c r="E7393" s="30" t="s">
        <v>12387</v>
      </c>
      <c r="F7393" s="34" t="n">
        <f aca="false">IFERROR(VLOOKUP($A7393,'319'!$B:$H,7,0),0)</f>
        <v>0</v>
      </c>
      <c r="G7393" s="34" t="n">
        <f aca="false">SUMIFS('12.326ana'!$C:$C,'12.326ana'!$M:$M,redes!A7393)</f>
        <v>0</v>
      </c>
    </row>
    <row r="7394" customFormat="false" ht="14.4" hidden="true" customHeight="false" outlineLevel="0" collapsed="false">
      <c r="A7394" s="34" t="n">
        <v>3132236000170</v>
      </c>
      <c r="B7394" s="34" t="s">
        <v>15785</v>
      </c>
      <c r="C7394" s="34" t="s">
        <v>478</v>
      </c>
      <c r="E7394" s="30" t="s">
        <v>15786</v>
      </c>
      <c r="F7394" s="34" t="n">
        <f aca="false">IFERROR(VLOOKUP($A7394,'319'!$B:$H,7,0),0)</f>
        <v>0</v>
      </c>
      <c r="G7394" s="34" t="n">
        <f aca="false">SUMIFS('12.326ana'!$C:$C,'12.326ana'!$M:$M,redes!A7394)</f>
        <v>0</v>
      </c>
    </row>
    <row r="7395" customFormat="false" ht="14.4" hidden="true" customHeight="false" outlineLevel="0" collapsed="false">
      <c r="A7395" s="34" t="n">
        <v>3132374000159</v>
      </c>
      <c r="B7395" s="34" t="s">
        <v>15787</v>
      </c>
      <c r="C7395" s="34" t="s">
        <v>77</v>
      </c>
      <c r="E7395" s="30" t="s">
        <v>15788</v>
      </c>
      <c r="F7395" s="34" t="n">
        <f aca="false">IFERROR(VLOOKUP($A7395,'319'!$B:$H,7,0),0)</f>
        <v>0</v>
      </c>
      <c r="G7395" s="34" t="n">
        <f aca="false">SUMIFS('12.326ana'!$C:$C,'12.326ana'!$M:$M,redes!A7395)</f>
        <v>0</v>
      </c>
    </row>
    <row r="7396" customFormat="false" ht="14.4" hidden="true" customHeight="false" outlineLevel="0" collapsed="false">
      <c r="A7396" s="34" t="n">
        <v>3135332000171</v>
      </c>
      <c r="B7396" s="34" t="s">
        <v>15789</v>
      </c>
      <c r="C7396" s="34" t="s">
        <v>2998</v>
      </c>
      <c r="E7396" s="30" t="s">
        <v>15790</v>
      </c>
      <c r="F7396" s="34" t="n">
        <f aca="false">IFERROR(VLOOKUP($A7396,'319'!$B:$H,7,0),0)</f>
        <v>0</v>
      </c>
      <c r="G7396" s="34" t="n">
        <f aca="false">SUMIFS('12.326ana'!$C:$C,'12.326ana'!$M:$M,redes!A7396)</f>
        <v>0</v>
      </c>
    </row>
    <row r="7397" customFormat="false" ht="14.4" hidden="true" customHeight="false" outlineLevel="0" collapsed="false">
      <c r="A7397" s="34" t="n">
        <v>3137910000109</v>
      </c>
      <c r="B7397" s="34" t="s">
        <v>15791</v>
      </c>
      <c r="C7397" s="34" t="s">
        <v>107</v>
      </c>
      <c r="E7397" s="30" t="s">
        <v>10052</v>
      </c>
      <c r="F7397" s="34" t="n">
        <f aca="false">IFERROR(VLOOKUP($A7397,'319'!$B:$H,7,0),0)</f>
        <v>0</v>
      </c>
      <c r="G7397" s="34" t="n">
        <f aca="false">SUMIFS('12.326ana'!$C:$C,'12.326ana'!$M:$M,redes!A7397)</f>
        <v>0</v>
      </c>
    </row>
    <row r="7398" customFormat="false" ht="14.4" hidden="true" customHeight="false" outlineLevel="0" collapsed="false">
      <c r="A7398" s="34" t="n">
        <v>3138566000172</v>
      </c>
      <c r="B7398" s="34" t="s">
        <v>15792</v>
      </c>
      <c r="C7398" s="34" t="s">
        <v>77</v>
      </c>
      <c r="E7398" s="30" t="s">
        <v>7403</v>
      </c>
      <c r="F7398" s="34" t="n">
        <f aca="false">IFERROR(VLOOKUP($A7398,'319'!$B:$H,7,0),0)</f>
        <v>0</v>
      </c>
      <c r="G7398" s="34" t="n">
        <f aca="false">SUMIFS('12.326ana'!$C:$C,'12.326ana'!$M:$M,redes!A7398)</f>
        <v>0</v>
      </c>
    </row>
    <row r="7399" customFormat="false" ht="14.4" hidden="true" customHeight="false" outlineLevel="0" collapsed="false">
      <c r="A7399" s="34" t="n">
        <v>3138670000167</v>
      </c>
      <c r="B7399" s="34" t="s">
        <v>15793</v>
      </c>
      <c r="C7399" s="34" t="s">
        <v>77</v>
      </c>
      <c r="E7399" s="30" t="s">
        <v>15794</v>
      </c>
      <c r="F7399" s="34" t="n">
        <f aca="false">IFERROR(VLOOKUP($A7399,'319'!$B:$H,7,0),0)</f>
        <v>0</v>
      </c>
      <c r="G7399" s="34" t="n">
        <f aca="false">SUMIFS('12.326ana'!$C:$C,'12.326ana'!$M:$M,redes!A7399)</f>
        <v>0</v>
      </c>
    </row>
    <row r="7400" customFormat="false" ht="14.4" hidden="true" customHeight="false" outlineLevel="0" collapsed="false">
      <c r="A7400" s="34" t="n">
        <v>3139010000109</v>
      </c>
      <c r="B7400" s="34" t="s">
        <v>15795</v>
      </c>
      <c r="C7400" s="34" t="s">
        <v>77</v>
      </c>
      <c r="E7400" s="30" t="s">
        <v>15796</v>
      </c>
      <c r="F7400" s="34" t="n">
        <f aca="false">IFERROR(VLOOKUP($A7400,'319'!$B:$H,7,0),0)</f>
        <v>0</v>
      </c>
      <c r="G7400" s="34" t="n">
        <f aca="false">SUMIFS('12.326ana'!$C:$C,'12.326ana'!$M:$M,redes!A7400)</f>
        <v>0</v>
      </c>
    </row>
    <row r="7401" customFormat="false" ht="14.4" hidden="true" customHeight="false" outlineLevel="0" collapsed="false">
      <c r="A7401" s="34" t="n">
        <v>3146088000142</v>
      </c>
      <c r="B7401" s="34" t="s">
        <v>9387</v>
      </c>
      <c r="C7401" s="34" t="s">
        <v>77</v>
      </c>
      <c r="E7401" s="30" t="s">
        <v>12654</v>
      </c>
      <c r="F7401" s="34" t="n">
        <f aca="false">IFERROR(VLOOKUP($A7401,'319'!$B:$H,7,0),0)</f>
        <v>0</v>
      </c>
      <c r="G7401" s="34" t="n">
        <f aca="false">SUMIFS('12.326ana'!$C:$C,'12.326ana'!$M:$M,redes!A7401)</f>
        <v>0</v>
      </c>
    </row>
    <row r="7402" customFormat="false" ht="14.4" hidden="true" customHeight="false" outlineLevel="0" collapsed="false">
      <c r="A7402" s="34" t="n">
        <v>3146409000109</v>
      </c>
      <c r="B7402" s="34" t="s">
        <v>15797</v>
      </c>
      <c r="C7402" s="34" t="s">
        <v>309</v>
      </c>
      <c r="E7402" s="30" t="s">
        <v>15798</v>
      </c>
      <c r="F7402" s="34" t="n">
        <f aca="false">IFERROR(VLOOKUP($A7402,'319'!$B:$H,7,0),0)</f>
        <v>0</v>
      </c>
      <c r="G7402" s="34" t="n">
        <f aca="false">SUMIFS('12.326ana'!$C:$C,'12.326ana'!$M:$M,redes!A7402)</f>
        <v>0</v>
      </c>
    </row>
    <row r="7403" customFormat="false" ht="14.4" hidden="true" customHeight="false" outlineLevel="0" collapsed="false">
      <c r="A7403" s="34" t="n">
        <v>3146561000191</v>
      </c>
      <c r="B7403" s="34" t="s">
        <v>15799</v>
      </c>
      <c r="C7403" s="34" t="s">
        <v>77</v>
      </c>
      <c r="E7403" s="30" t="s">
        <v>15800</v>
      </c>
      <c r="F7403" s="34" t="n">
        <f aca="false">IFERROR(VLOOKUP($A7403,'319'!$B:$H,7,0),0)</f>
        <v>27.96</v>
      </c>
      <c r="G7403" s="34" t="n">
        <f aca="false">SUMIFS('12.326ana'!$C:$C,'12.326ana'!$M:$M,redes!A7403)</f>
        <v>0</v>
      </c>
    </row>
    <row r="7404" customFormat="false" ht="14.4" hidden="true" customHeight="false" outlineLevel="0" collapsed="false">
      <c r="A7404" s="34" t="n">
        <v>3148499000177</v>
      </c>
      <c r="B7404" s="34" t="s">
        <v>15801</v>
      </c>
      <c r="C7404" s="34" t="s">
        <v>77</v>
      </c>
      <c r="E7404" s="30" t="s">
        <v>5268</v>
      </c>
      <c r="F7404" s="34" t="n">
        <f aca="false">IFERROR(VLOOKUP($A7404,'319'!$B:$H,7,0),0)</f>
        <v>0</v>
      </c>
      <c r="G7404" s="34" t="n">
        <f aca="false">SUMIFS('12.326ana'!$C:$C,'12.326ana'!$M:$M,redes!A7404)</f>
        <v>0</v>
      </c>
    </row>
    <row r="7405" customFormat="false" ht="14.4" hidden="true" customHeight="false" outlineLevel="0" collapsed="false">
      <c r="A7405" s="34" t="n">
        <v>3149303000169</v>
      </c>
      <c r="B7405" s="34" t="s">
        <v>15802</v>
      </c>
      <c r="C7405" s="34" t="s">
        <v>77</v>
      </c>
      <c r="E7405" s="30" t="s">
        <v>15803</v>
      </c>
      <c r="F7405" s="34" t="n">
        <f aca="false">IFERROR(VLOOKUP($A7405,'319'!$B:$H,7,0),0)</f>
        <v>0</v>
      </c>
      <c r="G7405" s="34" t="n">
        <f aca="false">SUMIFS('12.326ana'!$C:$C,'12.326ana'!$M:$M,redes!A7405)</f>
        <v>0</v>
      </c>
    </row>
    <row r="7406" customFormat="false" ht="14.4" hidden="true" customHeight="false" outlineLevel="0" collapsed="false">
      <c r="A7406" s="34" t="n">
        <v>3149834000151</v>
      </c>
      <c r="B7406" s="34" t="s">
        <v>1121</v>
      </c>
      <c r="C7406" s="34" t="s">
        <v>103</v>
      </c>
      <c r="E7406" s="30" t="s">
        <v>1121</v>
      </c>
      <c r="F7406" s="34" t="n">
        <f aca="false">IFERROR(VLOOKUP($A7406,'319'!$B:$H,7,0),0)</f>
        <v>547.29</v>
      </c>
      <c r="G7406" s="34" t="n">
        <f aca="false">SUMIFS('12.326ana'!$C:$C,'12.326ana'!$M:$M,redes!A7406)</f>
        <v>0</v>
      </c>
    </row>
    <row r="7407" customFormat="false" ht="14.4" hidden="true" customHeight="false" outlineLevel="0" collapsed="false">
      <c r="A7407" s="34" t="n">
        <v>3150059000154</v>
      </c>
      <c r="B7407" s="34" t="s">
        <v>15804</v>
      </c>
      <c r="C7407" s="34" t="s">
        <v>336</v>
      </c>
      <c r="E7407" s="30" t="s">
        <v>15805</v>
      </c>
      <c r="F7407" s="34" t="n">
        <f aca="false">IFERROR(VLOOKUP($A7407,'319'!$B:$H,7,0),0)</f>
        <v>0</v>
      </c>
      <c r="G7407" s="34" t="n">
        <f aca="false">SUMIFS('12.326ana'!$C:$C,'12.326ana'!$M:$M,redes!A7407)</f>
        <v>0</v>
      </c>
    </row>
    <row r="7408" customFormat="false" ht="14.4" hidden="true" customHeight="false" outlineLevel="0" collapsed="false">
      <c r="A7408" s="34" t="n">
        <v>3151149000160</v>
      </c>
      <c r="B7408" s="34" t="s">
        <v>15806</v>
      </c>
      <c r="C7408" s="34" t="s">
        <v>107</v>
      </c>
      <c r="E7408" s="30" t="s">
        <v>9749</v>
      </c>
      <c r="F7408" s="34" t="n">
        <f aca="false">IFERROR(VLOOKUP($A7408,'319'!$B:$H,7,0),0)</f>
        <v>0</v>
      </c>
      <c r="G7408" s="34" t="n">
        <f aca="false">SUMIFS('12.326ana'!$C:$C,'12.326ana'!$M:$M,redes!A7408)</f>
        <v>0</v>
      </c>
    </row>
    <row r="7409" customFormat="false" ht="14.4" hidden="true" customHeight="false" outlineLevel="0" collapsed="false">
      <c r="A7409" s="34" t="n">
        <v>3151479000155</v>
      </c>
      <c r="B7409" s="34" t="s">
        <v>15807</v>
      </c>
      <c r="C7409" s="34" t="s">
        <v>107</v>
      </c>
      <c r="E7409" s="30" t="s">
        <v>15808</v>
      </c>
      <c r="F7409" s="34" t="n">
        <f aca="false">IFERROR(VLOOKUP($A7409,'319'!$B:$H,7,0),0)</f>
        <v>0</v>
      </c>
      <c r="G7409" s="34" t="n">
        <f aca="false">SUMIFS('12.326ana'!$C:$C,'12.326ana'!$M:$M,redes!A7409)</f>
        <v>0</v>
      </c>
    </row>
    <row r="7410" customFormat="false" ht="14.4" hidden="true" customHeight="false" outlineLevel="0" collapsed="false">
      <c r="A7410" s="34" t="n">
        <v>3151578000137</v>
      </c>
      <c r="B7410" s="34" t="s">
        <v>15809</v>
      </c>
      <c r="C7410" s="34" t="s">
        <v>107</v>
      </c>
      <c r="E7410" s="30" t="s">
        <v>15810</v>
      </c>
      <c r="F7410" s="34" t="n">
        <f aca="false">IFERROR(VLOOKUP($A7410,'319'!$B:$H,7,0),0)</f>
        <v>0</v>
      </c>
      <c r="G7410" s="34" t="n">
        <f aca="false">SUMIFS('12.326ana'!$C:$C,'12.326ana'!$M:$M,redes!A7410)</f>
        <v>0</v>
      </c>
    </row>
    <row r="7411" customFormat="false" ht="14.4" hidden="true" customHeight="false" outlineLevel="0" collapsed="false">
      <c r="A7411" s="34" t="n">
        <v>3151923000132</v>
      </c>
      <c r="B7411" s="34" t="s">
        <v>15811</v>
      </c>
      <c r="C7411" s="34" t="s">
        <v>342</v>
      </c>
      <c r="E7411" s="30" t="s">
        <v>15812</v>
      </c>
      <c r="F7411" s="34" t="n">
        <f aca="false">IFERROR(VLOOKUP($A7411,'319'!$B:$H,7,0),0)</f>
        <v>0</v>
      </c>
      <c r="G7411" s="34" t="n">
        <f aca="false">SUMIFS('12.326ana'!$C:$C,'12.326ana'!$M:$M,redes!A7411)</f>
        <v>0</v>
      </c>
    </row>
    <row r="7412" customFormat="false" ht="14.4" hidden="true" customHeight="false" outlineLevel="0" collapsed="false">
      <c r="A7412" s="34" t="n">
        <v>3154127000153</v>
      </c>
      <c r="B7412" s="34" t="s">
        <v>15813</v>
      </c>
      <c r="C7412" s="34" t="s">
        <v>309</v>
      </c>
      <c r="E7412" s="30" t="s">
        <v>15814</v>
      </c>
      <c r="F7412" s="34" t="n">
        <f aca="false">IFERROR(VLOOKUP($A7412,'319'!$B:$H,7,0),0)</f>
        <v>0</v>
      </c>
      <c r="G7412" s="34" t="n">
        <f aca="false">SUMIFS('12.326ana'!$C:$C,'12.326ana'!$M:$M,redes!A7412)</f>
        <v>0</v>
      </c>
    </row>
    <row r="7413" customFormat="false" ht="14.4" hidden="true" customHeight="false" outlineLevel="0" collapsed="false">
      <c r="A7413" s="34" t="n">
        <v>3154481000188</v>
      </c>
      <c r="B7413" s="34" t="s">
        <v>15815</v>
      </c>
      <c r="C7413" s="34" t="s">
        <v>107</v>
      </c>
      <c r="E7413" s="30" t="s">
        <v>15816</v>
      </c>
      <c r="F7413" s="34" t="n">
        <f aca="false">IFERROR(VLOOKUP($A7413,'319'!$B:$H,7,0),0)</f>
        <v>0</v>
      </c>
      <c r="G7413" s="34" t="n">
        <f aca="false">SUMIFS('12.326ana'!$C:$C,'12.326ana'!$M:$M,redes!A7413)</f>
        <v>0</v>
      </c>
    </row>
    <row r="7414" customFormat="false" ht="14.4" hidden="true" customHeight="false" outlineLevel="0" collapsed="false">
      <c r="A7414" s="34" t="n">
        <v>3154500000176</v>
      </c>
      <c r="B7414" s="34" t="s">
        <v>15817</v>
      </c>
      <c r="C7414" s="34" t="s">
        <v>1680</v>
      </c>
      <c r="E7414" s="30" t="s">
        <v>15818</v>
      </c>
      <c r="F7414" s="34" t="n">
        <f aca="false">IFERROR(VLOOKUP($A7414,'319'!$B:$H,7,0),0)</f>
        <v>0</v>
      </c>
      <c r="G7414" s="34" t="n">
        <f aca="false">SUMIFS('12.326ana'!$C:$C,'12.326ana'!$M:$M,redes!A7414)</f>
        <v>0</v>
      </c>
    </row>
    <row r="7415" customFormat="false" ht="14.4" hidden="true" customHeight="false" outlineLevel="0" collapsed="false">
      <c r="A7415" s="34" t="n">
        <v>3154550000153</v>
      </c>
      <c r="B7415" s="34" t="s">
        <v>15819</v>
      </c>
      <c r="C7415" s="34" t="s">
        <v>89</v>
      </c>
      <c r="E7415" s="30" t="s">
        <v>15820</v>
      </c>
      <c r="F7415" s="34" t="n">
        <f aca="false">IFERROR(VLOOKUP($A7415,'319'!$B:$H,7,0),0)</f>
        <v>0</v>
      </c>
      <c r="G7415" s="34" t="n">
        <f aca="false">SUMIFS('12.326ana'!$C:$C,'12.326ana'!$M:$M,redes!A7415)</f>
        <v>0</v>
      </c>
    </row>
    <row r="7416" customFormat="false" ht="14.4" hidden="true" customHeight="false" outlineLevel="0" collapsed="false">
      <c r="A7416" s="34" t="n">
        <v>3155636000109</v>
      </c>
      <c r="B7416" s="34" t="s">
        <v>15821</v>
      </c>
      <c r="C7416" s="34" t="s">
        <v>139</v>
      </c>
      <c r="E7416" s="30" t="s">
        <v>15822</v>
      </c>
      <c r="F7416" s="34" t="n">
        <f aca="false">IFERROR(VLOOKUP($A7416,'319'!$B:$H,7,0),0)</f>
        <v>0</v>
      </c>
      <c r="G7416" s="34" t="n">
        <f aca="false">SUMIFS('12.326ana'!$C:$C,'12.326ana'!$M:$M,redes!A7416)</f>
        <v>0</v>
      </c>
    </row>
    <row r="7417" customFormat="false" ht="14.4" hidden="true" customHeight="false" outlineLevel="0" collapsed="false">
      <c r="A7417" s="34" t="n">
        <v>3155926000144</v>
      </c>
      <c r="B7417" s="34" t="s">
        <v>15823</v>
      </c>
      <c r="C7417" s="34" t="s">
        <v>107</v>
      </c>
      <c r="E7417" s="30" t="s">
        <v>15824</v>
      </c>
      <c r="F7417" s="34" t="n">
        <f aca="false">IFERROR(VLOOKUP($A7417,'319'!$B:$H,7,0),0)</f>
        <v>0</v>
      </c>
      <c r="G7417" s="34" t="n">
        <f aca="false">SUMIFS('12.326ana'!$C:$C,'12.326ana'!$M:$M,redes!A7417)</f>
        <v>0</v>
      </c>
    </row>
    <row r="7418" customFormat="false" ht="14.4" hidden="true" customHeight="false" outlineLevel="0" collapsed="false">
      <c r="A7418" s="34" t="n">
        <v>3157672000101</v>
      </c>
      <c r="B7418" s="34" t="s">
        <v>15825</v>
      </c>
      <c r="C7418" s="34" t="s">
        <v>342</v>
      </c>
      <c r="E7418" s="30" t="s">
        <v>3391</v>
      </c>
      <c r="F7418" s="34" t="n">
        <f aca="false">IFERROR(VLOOKUP($A7418,'319'!$B:$H,7,0),0)</f>
        <v>0</v>
      </c>
      <c r="G7418" s="34" t="n">
        <f aca="false">SUMIFS('12.326ana'!$C:$C,'12.326ana'!$M:$M,redes!A7418)</f>
        <v>0</v>
      </c>
    </row>
    <row r="7419" customFormat="false" ht="14.4" hidden="true" customHeight="false" outlineLevel="0" collapsed="false">
      <c r="A7419" s="34" t="n">
        <v>3161740000106</v>
      </c>
      <c r="B7419" s="34" t="s">
        <v>15826</v>
      </c>
      <c r="C7419" s="34" t="s">
        <v>881</v>
      </c>
      <c r="E7419" s="30" t="s">
        <v>12450</v>
      </c>
      <c r="F7419" s="34" t="n">
        <f aca="false">IFERROR(VLOOKUP($A7419,'319'!$B:$H,7,0),0)</f>
        <v>0</v>
      </c>
      <c r="G7419" s="34" t="n">
        <f aca="false">SUMIFS('12.326ana'!$C:$C,'12.326ana'!$M:$M,redes!A7419)</f>
        <v>0</v>
      </c>
    </row>
    <row r="7420" customFormat="false" ht="14.4" hidden="true" customHeight="false" outlineLevel="0" collapsed="false">
      <c r="A7420" s="34" t="n">
        <v>3165139000183</v>
      </c>
      <c r="B7420" s="34" t="s">
        <v>15827</v>
      </c>
      <c r="C7420" s="34" t="s">
        <v>357</v>
      </c>
      <c r="E7420" s="30" t="s">
        <v>15828</v>
      </c>
      <c r="F7420" s="34" t="n">
        <f aca="false">IFERROR(VLOOKUP($A7420,'319'!$B:$H,7,0),0)</f>
        <v>0</v>
      </c>
      <c r="G7420" s="34" t="n">
        <f aca="false">SUMIFS('12.326ana'!$C:$C,'12.326ana'!$M:$M,redes!A7420)</f>
        <v>0</v>
      </c>
    </row>
    <row r="7421" customFormat="false" ht="14.4" hidden="true" customHeight="false" outlineLevel="0" collapsed="false">
      <c r="A7421" s="34" t="n">
        <v>3165474000181</v>
      </c>
      <c r="B7421" s="34" t="s">
        <v>15829</v>
      </c>
      <c r="C7421" s="34" t="s">
        <v>77</v>
      </c>
      <c r="E7421" s="30" t="s">
        <v>15830</v>
      </c>
      <c r="F7421" s="34" t="n">
        <f aca="false">IFERROR(VLOOKUP($A7421,'319'!$B:$H,7,0),0)</f>
        <v>0</v>
      </c>
      <c r="G7421" s="34" t="n">
        <f aca="false">SUMIFS('12.326ana'!$C:$C,'12.326ana'!$M:$M,redes!A7421)</f>
        <v>0</v>
      </c>
    </row>
    <row r="7422" customFormat="false" ht="14.4" hidden="true" customHeight="false" outlineLevel="0" collapsed="false">
      <c r="A7422" s="34" t="n">
        <v>3169015000176</v>
      </c>
      <c r="B7422" s="34" t="s">
        <v>15831</v>
      </c>
      <c r="C7422" s="34" t="s">
        <v>107</v>
      </c>
      <c r="E7422" s="30" t="s">
        <v>15832</v>
      </c>
      <c r="F7422" s="34" t="n">
        <f aca="false">IFERROR(VLOOKUP($A7422,'319'!$B:$H,7,0),0)</f>
        <v>0</v>
      </c>
      <c r="G7422" s="34" t="n">
        <f aca="false">SUMIFS('12.326ana'!$C:$C,'12.326ana'!$M:$M,redes!A7422)</f>
        <v>0</v>
      </c>
    </row>
    <row r="7423" customFormat="false" ht="14.4" hidden="true" customHeight="false" outlineLevel="0" collapsed="false">
      <c r="A7423" s="34" t="n">
        <v>3169651000106</v>
      </c>
      <c r="B7423" s="34" t="s">
        <v>15833</v>
      </c>
      <c r="C7423" s="34" t="s">
        <v>357</v>
      </c>
      <c r="E7423" s="30" t="s">
        <v>15834</v>
      </c>
      <c r="F7423" s="34" t="n">
        <f aca="false">IFERROR(VLOOKUP($A7423,'319'!$B:$H,7,0),0)</f>
        <v>0</v>
      </c>
      <c r="G7423" s="34" t="n">
        <f aca="false">SUMIFS('12.326ana'!$C:$C,'12.326ana'!$M:$M,redes!A7423)</f>
        <v>0</v>
      </c>
    </row>
    <row r="7424" customFormat="false" ht="14.4" hidden="true" customHeight="false" outlineLevel="0" collapsed="false">
      <c r="A7424" s="34" t="n">
        <v>3171256000150</v>
      </c>
      <c r="B7424" s="34" t="s">
        <v>15835</v>
      </c>
      <c r="C7424" s="34" t="s">
        <v>107</v>
      </c>
      <c r="E7424" s="30" t="s">
        <v>15836</v>
      </c>
      <c r="F7424" s="34" t="n">
        <f aca="false">IFERROR(VLOOKUP($A7424,'319'!$B:$H,7,0),0)</f>
        <v>0</v>
      </c>
      <c r="G7424" s="34" t="n">
        <f aca="false">SUMIFS('12.326ana'!$C:$C,'12.326ana'!$M:$M,redes!A7424)</f>
        <v>0</v>
      </c>
    </row>
    <row r="7425" customFormat="false" ht="14.4" hidden="true" customHeight="false" outlineLevel="0" collapsed="false">
      <c r="A7425" s="34" t="n">
        <v>3171332000127</v>
      </c>
      <c r="B7425" s="34" t="s">
        <v>15837</v>
      </c>
      <c r="C7425" s="34" t="s">
        <v>336</v>
      </c>
      <c r="E7425" s="30" t="s">
        <v>15838</v>
      </c>
      <c r="F7425" s="34" t="n">
        <f aca="false">IFERROR(VLOOKUP($A7425,'319'!$B:$H,7,0),0)</f>
        <v>0</v>
      </c>
      <c r="G7425" s="34" t="n">
        <f aca="false">SUMIFS('12.326ana'!$C:$C,'12.326ana'!$M:$M,redes!A7425)</f>
        <v>0</v>
      </c>
    </row>
    <row r="7426" customFormat="false" ht="14.4" hidden="true" customHeight="false" outlineLevel="0" collapsed="false">
      <c r="A7426" s="34" t="n">
        <v>3172526000147</v>
      </c>
      <c r="B7426" s="34" t="s">
        <v>15839</v>
      </c>
      <c r="C7426" s="34" t="s">
        <v>604</v>
      </c>
      <c r="E7426" s="30" t="s">
        <v>15840</v>
      </c>
      <c r="F7426" s="34" t="n">
        <f aca="false">IFERROR(VLOOKUP($A7426,'319'!$B:$H,7,0),0)</f>
        <v>0</v>
      </c>
      <c r="G7426" s="34" t="n">
        <f aca="false">SUMIFS('12.326ana'!$C:$C,'12.326ana'!$M:$M,redes!A7426)</f>
        <v>0</v>
      </c>
    </row>
    <row r="7427" customFormat="false" ht="14.4" hidden="true" customHeight="false" outlineLevel="0" collapsed="false">
      <c r="A7427" s="34" t="n">
        <v>3173259000122</v>
      </c>
      <c r="B7427" s="34" t="s">
        <v>15841</v>
      </c>
      <c r="C7427" s="34" t="s">
        <v>342</v>
      </c>
      <c r="E7427" s="30" t="s">
        <v>15842</v>
      </c>
      <c r="F7427" s="34" t="n">
        <f aca="false">IFERROR(VLOOKUP($A7427,'319'!$B:$H,7,0),0)</f>
        <v>0</v>
      </c>
      <c r="G7427" s="34" t="n">
        <f aca="false">SUMIFS('12.326ana'!$C:$C,'12.326ana'!$M:$M,redes!A7427)</f>
        <v>0</v>
      </c>
    </row>
    <row r="7428" customFormat="false" ht="14.4" hidden="true" customHeight="false" outlineLevel="0" collapsed="false">
      <c r="A7428" s="34" t="n">
        <v>3174482000194</v>
      </c>
      <c r="B7428" s="34" t="s">
        <v>15843</v>
      </c>
      <c r="C7428" s="34" t="s">
        <v>342</v>
      </c>
      <c r="E7428" s="30" t="s">
        <v>15844</v>
      </c>
      <c r="F7428" s="34" t="n">
        <f aca="false">IFERROR(VLOOKUP($A7428,'319'!$B:$H,7,0),0)</f>
        <v>0</v>
      </c>
      <c r="G7428" s="34" t="n">
        <f aca="false">SUMIFS('12.326ana'!$C:$C,'12.326ana'!$M:$M,redes!A7428)</f>
        <v>0</v>
      </c>
    </row>
    <row r="7429" customFormat="false" ht="14.4" hidden="true" customHeight="false" outlineLevel="0" collapsed="false">
      <c r="A7429" s="34" t="n">
        <v>3174664000165</v>
      </c>
      <c r="B7429" s="34" t="s">
        <v>15845</v>
      </c>
      <c r="C7429" s="34" t="s">
        <v>1341</v>
      </c>
      <c r="E7429" s="30" t="s">
        <v>15846</v>
      </c>
      <c r="F7429" s="34" t="n">
        <f aca="false">IFERROR(VLOOKUP($A7429,'319'!$B:$H,7,0),0)</f>
        <v>0</v>
      </c>
      <c r="G7429" s="34" t="n">
        <f aca="false">SUMIFS('12.326ana'!$C:$C,'12.326ana'!$M:$M,redes!A7429)</f>
        <v>0</v>
      </c>
    </row>
    <row r="7430" customFormat="false" ht="14.4" hidden="true" customHeight="false" outlineLevel="0" collapsed="false">
      <c r="A7430" s="35" t="n">
        <v>3174811000105</v>
      </c>
      <c r="B7430" s="34" t="s">
        <v>15847</v>
      </c>
      <c r="C7430" s="34" t="s">
        <v>77</v>
      </c>
      <c r="E7430" s="30" t="s">
        <v>15848</v>
      </c>
      <c r="F7430" s="34" t="n">
        <f aca="false">IFERROR(VLOOKUP($A7430,'319'!$B:$H,7,0),0)</f>
        <v>0</v>
      </c>
      <c r="G7430" s="34" t="n">
        <f aca="false">SUMIFS('12.326ana'!$C:$C,'12.326ana'!$M:$M,redes!A7430)</f>
        <v>0</v>
      </c>
    </row>
    <row r="7431" customFormat="false" ht="14.4" hidden="true" customHeight="false" outlineLevel="0" collapsed="false">
      <c r="A7431" s="34" t="n">
        <v>3176032000807</v>
      </c>
      <c r="B7431" s="34" t="s">
        <v>15849</v>
      </c>
      <c r="C7431" s="34" t="s">
        <v>15850</v>
      </c>
      <c r="E7431" s="30" t="s">
        <v>15849</v>
      </c>
      <c r="F7431" s="34" t="n">
        <f aca="false">IFERROR(VLOOKUP($A7431,'319'!$B:$H,7,0),0)</f>
        <v>0</v>
      </c>
      <c r="G7431" s="34" t="n">
        <f aca="false">SUMIFS('12.326ana'!$C:$C,'12.326ana'!$M:$M,redes!A7431)</f>
        <v>0</v>
      </c>
    </row>
    <row r="7432" customFormat="false" ht="14.4" hidden="true" customHeight="false" outlineLevel="0" collapsed="false">
      <c r="A7432" s="34" t="n">
        <v>3176032001617</v>
      </c>
      <c r="B7432" s="34" t="s">
        <v>15851</v>
      </c>
      <c r="C7432" s="34" t="s">
        <v>77</v>
      </c>
      <c r="E7432" s="30" t="s">
        <v>15851</v>
      </c>
      <c r="F7432" s="34" t="n">
        <f aca="false">IFERROR(VLOOKUP($A7432,'319'!$B:$H,7,0),0)</f>
        <v>0</v>
      </c>
      <c r="G7432" s="34" t="n">
        <f aca="false">SUMIFS('12.326ana'!$C:$C,'12.326ana'!$M:$M,redes!A7432)</f>
        <v>0</v>
      </c>
    </row>
    <row r="7433" customFormat="false" ht="14.4" hidden="true" customHeight="false" outlineLevel="0" collapsed="false">
      <c r="A7433" s="34" t="n">
        <v>3182359000204</v>
      </c>
      <c r="B7433" s="34" t="s">
        <v>15852</v>
      </c>
      <c r="C7433" s="34" t="s">
        <v>598</v>
      </c>
      <c r="E7433" s="30" t="s">
        <v>15853</v>
      </c>
      <c r="F7433" s="34" t="n">
        <f aca="false">IFERROR(VLOOKUP($A7433,'319'!$B:$H,7,0),0)</f>
        <v>0</v>
      </c>
      <c r="G7433" s="34" t="n">
        <f aca="false">SUMIFS('12.326ana'!$C:$C,'12.326ana'!$M:$M,redes!A7433)</f>
        <v>0</v>
      </c>
    </row>
    <row r="7434" customFormat="false" ht="14.4" hidden="true" customHeight="false" outlineLevel="0" collapsed="false">
      <c r="A7434" s="34" t="n">
        <v>3184232000135</v>
      </c>
      <c r="B7434" s="34" t="s">
        <v>15854</v>
      </c>
      <c r="C7434" s="34" t="s">
        <v>129</v>
      </c>
      <c r="E7434" s="30" t="s">
        <v>15855</v>
      </c>
      <c r="F7434" s="34" t="n">
        <f aca="false">IFERROR(VLOOKUP($A7434,'319'!$B:$H,7,0),0)</f>
        <v>0</v>
      </c>
      <c r="G7434" s="34" t="n">
        <f aca="false">SUMIFS('12.326ana'!$C:$C,'12.326ana'!$M:$M,redes!A7434)</f>
        <v>0</v>
      </c>
    </row>
    <row r="7435" customFormat="false" ht="14.4" hidden="true" customHeight="false" outlineLevel="0" collapsed="false">
      <c r="A7435" s="34" t="n">
        <v>3186441000118</v>
      </c>
      <c r="B7435" s="34" t="s">
        <v>15856</v>
      </c>
      <c r="C7435" s="34" t="s">
        <v>107</v>
      </c>
      <c r="E7435" s="30" t="s">
        <v>15857</v>
      </c>
      <c r="F7435" s="34" t="n">
        <f aca="false">IFERROR(VLOOKUP($A7435,'319'!$B:$H,7,0),0)</f>
        <v>0</v>
      </c>
      <c r="G7435" s="34" t="n">
        <f aca="false">SUMIFS('12.326ana'!$C:$C,'12.326ana'!$M:$M,redes!A7435)</f>
        <v>0</v>
      </c>
    </row>
    <row r="7436" customFormat="false" ht="14.4" hidden="true" customHeight="false" outlineLevel="0" collapsed="false">
      <c r="A7436" s="34" t="n">
        <v>3188454000126</v>
      </c>
      <c r="B7436" s="34" t="s">
        <v>15858</v>
      </c>
      <c r="C7436" s="34" t="s">
        <v>2998</v>
      </c>
      <c r="E7436" s="30" t="s">
        <v>15859</v>
      </c>
      <c r="F7436" s="34" t="n">
        <f aca="false">IFERROR(VLOOKUP($A7436,'319'!$B:$H,7,0),0)</f>
        <v>0</v>
      </c>
      <c r="G7436" s="34" t="n">
        <f aca="false">SUMIFS('12.326ana'!$C:$C,'12.326ana'!$M:$M,redes!A7436)</f>
        <v>0</v>
      </c>
    </row>
    <row r="7437" customFormat="false" ht="14.4" hidden="true" customHeight="false" outlineLevel="0" collapsed="false">
      <c r="A7437" s="34" t="n">
        <v>3189296000129</v>
      </c>
      <c r="B7437" s="34" t="s">
        <v>15860</v>
      </c>
      <c r="C7437" s="34" t="s">
        <v>77</v>
      </c>
      <c r="E7437" s="30" t="s">
        <v>3112</v>
      </c>
      <c r="F7437" s="34" t="n">
        <f aca="false">IFERROR(VLOOKUP($A7437,'319'!$B:$H,7,0),0)</f>
        <v>0</v>
      </c>
      <c r="G7437" s="34" t="n">
        <f aca="false">SUMIFS('12.326ana'!$C:$C,'12.326ana'!$M:$M,redes!A7437)</f>
        <v>0</v>
      </c>
    </row>
    <row r="7438" customFormat="false" ht="14.4" hidden="true" customHeight="false" outlineLevel="0" collapsed="false">
      <c r="A7438" s="34" t="n">
        <v>3189717000111</v>
      </c>
      <c r="B7438" s="34" t="s">
        <v>15861</v>
      </c>
      <c r="C7438" s="34" t="s">
        <v>139</v>
      </c>
      <c r="E7438" s="30" t="s">
        <v>15862</v>
      </c>
      <c r="F7438" s="34" t="n">
        <f aca="false">IFERROR(VLOOKUP($A7438,'319'!$B:$H,7,0),0)</f>
        <v>0</v>
      </c>
      <c r="G7438" s="34" t="n">
        <f aca="false">SUMIFS('12.326ana'!$C:$C,'12.326ana'!$M:$M,redes!A7438)</f>
        <v>0</v>
      </c>
    </row>
    <row r="7439" customFormat="false" ht="14.4" hidden="true" customHeight="false" outlineLevel="0" collapsed="false">
      <c r="A7439" s="34" t="n">
        <v>3190028000127</v>
      </c>
      <c r="B7439" s="34" t="s">
        <v>14071</v>
      </c>
      <c r="C7439" s="34" t="s">
        <v>107</v>
      </c>
      <c r="E7439" s="30" t="s">
        <v>5620</v>
      </c>
      <c r="F7439" s="34" t="n">
        <f aca="false">IFERROR(VLOOKUP($A7439,'319'!$B:$H,7,0),0)</f>
        <v>0</v>
      </c>
      <c r="G7439" s="34" t="n">
        <f aca="false">SUMIFS('12.326ana'!$C:$C,'12.326ana'!$M:$M,redes!A7439)</f>
        <v>0</v>
      </c>
    </row>
    <row r="7440" customFormat="false" ht="14.4" hidden="true" customHeight="false" outlineLevel="0" collapsed="false">
      <c r="A7440" s="34" t="n">
        <v>3193010000189</v>
      </c>
      <c r="B7440" s="34" t="s">
        <v>15863</v>
      </c>
      <c r="C7440" s="34" t="s">
        <v>1272</v>
      </c>
      <c r="E7440" s="30" t="s">
        <v>5230</v>
      </c>
      <c r="F7440" s="34" t="n">
        <f aca="false">IFERROR(VLOOKUP($A7440,'319'!$B:$H,7,0),0)</f>
        <v>0</v>
      </c>
      <c r="G7440" s="34" t="n">
        <f aca="false">SUMIFS('12.326ana'!$C:$C,'12.326ana'!$M:$M,redes!A7440)</f>
        <v>0</v>
      </c>
    </row>
    <row r="7441" customFormat="false" ht="14.4" hidden="true" customHeight="false" outlineLevel="0" collapsed="false">
      <c r="A7441" s="34" t="n">
        <v>3193668000190</v>
      </c>
      <c r="B7441" s="34" t="s">
        <v>15864</v>
      </c>
      <c r="C7441" s="34" t="s">
        <v>77</v>
      </c>
      <c r="E7441" s="30" t="s">
        <v>15865</v>
      </c>
      <c r="F7441" s="34" t="n">
        <f aca="false">IFERROR(VLOOKUP($A7441,'319'!$B:$H,7,0),0)</f>
        <v>0</v>
      </c>
      <c r="G7441" s="34" t="n">
        <f aca="false">SUMIFS('12.326ana'!$C:$C,'12.326ana'!$M:$M,redes!A7441)</f>
        <v>0</v>
      </c>
    </row>
    <row r="7442" customFormat="false" ht="14.4" hidden="true" customHeight="false" outlineLevel="0" collapsed="false">
      <c r="A7442" s="34" t="n">
        <v>3195564000115</v>
      </c>
      <c r="B7442" s="34" t="s">
        <v>15866</v>
      </c>
      <c r="C7442" s="34" t="s">
        <v>377</v>
      </c>
      <c r="E7442" s="30" t="s">
        <v>15867</v>
      </c>
      <c r="F7442" s="34" t="n">
        <f aca="false">IFERROR(VLOOKUP($A7442,'319'!$B:$H,7,0),0)</f>
        <v>0</v>
      </c>
      <c r="G7442" s="34" t="n">
        <f aca="false">SUMIFS('12.326ana'!$C:$C,'12.326ana'!$M:$M,redes!A7442)</f>
        <v>0</v>
      </c>
    </row>
    <row r="7443" customFormat="false" ht="14.4" hidden="true" customHeight="false" outlineLevel="0" collapsed="false">
      <c r="A7443" s="34" t="n">
        <v>3199014000174</v>
      </c>
      <c r="B7443" s="34" t="s">
        <v>15868</v>
      </c>
      <c r="C7443" s="34" t="s">
        <v>473</v>
      </c>
      <c r="E7443" s="30" t="s">
        <v>13527</v>
      </c>
      <c r="F7443" s="34" t="n">
        <f aca="false">IFERROR(VLOOKUP($A7443,'319'!$B:$H,7,0),0)</f>
        <v>0</v>
      </c>
      <c r="G7443" s="34" t="n">
        <f aca="false">SUMIFS('12.326ana'!$C:$C,'12.326ana'!$M:$M,redes!A7443)</f>
        <v>0</v>
      </c>
    </row>
    <row r="7444" customFormat="false" ht="14.4" hidden="true" customHeight="false" outlineLevel="0" collapsed="false">
      <c r="A7444" s="34" t="n">
        <v>3199016000163</v>
      </c>
      <c r="B7444" s="34" t="s">
        <v>15869</v>
      </c>
      <c r="C7444" s="34" t="s">
        <v>706</v>
      </c>
      <c r="E7444" s="30" t="s">
        <v>8377</v>
      </c>
      <c r="F7444" s="34" t="n">
        <f aca="false">IFERROR(VLOOKUP($A7444,'319'!$B:$H,7,0),0)</f>
        <v>0</v>
      </c>
      <c r="G7444" s="34" t="n">
        <f aca="false">SUMIFS('12.326ana'!$C:$C,'12.326ana'!$M:$M,redes!A7444)</f>
        <v>0</v>
      </c>
    </row>
    <row r="7445" customFormat="false" ht="14.4" hidden="true" customHeight="false" outlineLevel="0" collapsed="false">
      <c r="A7445" s="34" t="n">
        <v>3200866000134</v>
      </c>
      <c r="B7445" s="34" t="s">
        <v>15870</v>
      </c>
      <c r="C7445" s="34" t="s">
        <v>77</v>
      </c>
      <c r="D7445" s="34" t="s">
        <v>23</v>
      </c>
      <c r="E7445" s="30" t="s">
        <v>15871</v>
      </c>
      <c r="F7445" s="34" t="n">
        <f aca="false">IFERROR(VLOOKUP($A7445,'319'!$B:$H,7,0),0)</f>
        <v>0</v>
      </c>
      <c r="G7445" s="34" t="n">
        <f aca="false">SUMIFS('12.326ana'!$C:$C,'12.326ana'!$M:$M,redes!A7445)</f>
        <v>0</v>
      </c>
    </row>
    <row r="7446" customFormat="false" ht="14.4" hidden="true" customHeight="false" outlineLevel="0" collapsed="false">
      <c r="A7446" s="34" t="n">
        <v>3201345000100</v>
      </c>
      <c r="B7446" s="34" t="s">
        <v>15872</v>
      </c>
      <c r="C7446" s="34" t="s">
        <v>1591</v>
      </c>
      <c r="E7446" s="30" t="s">
        <v>15873</v>
      </c>
      <c r="F7446" s="34" t="n">
        <f aca="false">IFERROR(VLOOKUP($A7446,'319'!$B:$H,7,0),0)</f>
        <v>0</v>
      </c>
      <c r="G7446" s="34" t="n">
        <f aca="false">SUMIFS('12.326ana'!$C:$C,'12.326ana'!$M:$M,redes!A7446)</f>
        <v>0</v>
      </c>
    </row>
    <row r="7447" customFormat="false" ht="14.4" hidden="true" customHeight="false" outlineLevel="0" collapsed="false">
      <c r="A7447" s="34" t="n">
        <v>3201528000117</v>
      </c>
      <c r="B7447" s="34" t="s">
        <v>15874</v>
      </c>
      <c r="C7447" s="34" t="s">
        <v>77</v>
      </c>
      <c r="E7447" s="30" t="s">
        <v>15875</v>
      </c>
      <c r="F7447" s="34" t="n">
        <f aca="false">IFERROR(VLOOKUP($A7447,'319'!$B:$H,7,0),0)</f>
        <v>0</v>
      </c>
      <c r="G7447" s="34" t="n">
        <f aca="false">SUMIFS('12.326ana'!$C:$C,'12.326ana'!$M:$M,redes!A7447)</f>
        <v>0</v>
      </c>
    </row>
    <row r="7448" customFormat="false" ht="14.4" hidden="true" customHeight="false" outlineLevel="0" collapsed="false">
      <c r="A7448" s="34" t="n">
        <v>3202173000180</v>
      </c>
      <c r="B7448" s="34" t="s">
        <v>15876</v>
      </c>
      <c r="C7448" s="34" t="s">
        <v>737</v>
      </c>
      <c r="E7448" s="30" t="s">
        <v>5436</v>
      </c>
      <c r="F7448" s="34" t="n">
        <f aca="false">IFERROR(VLOOKUP($A7448,'319'!$B:$H,7,0),0)</f>
        <v>0</v>
      </c>
      <c r="G7448" s="34" t="n">
        <f aca="false">SUMIFS('12.326ana'!$C:$C,'12.326ana'!$M:$M,redes!A7448)</f>
        <v>0</v>
      </c>
    </row>
    <row r="7449" customFormat="false" ht="14.4" hidden="true" customHeight="false" outlineLevel="0" collapsed="false">
      <c r="A7449" s="34" t="n">
        <v>3204939000166</v>
      </c>
      <c r="B7449" s="34" t="s">
        <v>15877</v>
      </c>
      <c r="C7449" s="34" t="s">
        <v>77</v>
      </c>
      <c r="E7449" s="30" t="s">
        <v>15878</v>
      </c>
      <c r="F7449" s="34" t="n">
        <f aca="false">IFERROR(VLOOKUP($A7449,'319'!$B:$H,7,0),0)</f>
        <v>0</v>
      </c>
      <c r="G7449" s="34" t="n">
        <f aca="false">SUMIFS('12.326ana'!$C:$C,'12.326ana'!$M:$M,redes!A7449)</f>
        <v>0</v>
      </c>
    </row>
    <row r="7450" customFormat="false" ht="14.4" hidden="true" customHeight="false" outlineLevel="0" collapsed="false">
      <c r="A7450" s="34" t="n">
        <v>3205013000195</v>
      </c>
      <c r="B7450" s="34" t="s">
        <v>15879</v>
      </c>
      <c r="C7450" s="34" t="s">
        <v>103</v>
      </c>
      <c r="E7450" s="30" t="s">
        <v>15880</v>
      </c>
      <c r="F7450" s="34" t="n">
        <f aca="false">IFERROR(VLOOKUP($A7450,'319'!$B:$H,7,0),0)</f>
        <v>0</v>
      </c>
      <c r="G7450" s="34" t="n">
        <f aca="false">SUMIFS('12.326ana'!$C:$C,'12.326ana'!$M:$M,redes!A7450)</f>
        <v>0</v>
      </c>
    </row>
    <row r="7451" customFormat="false" ht="14.4" hidden="true" customHeight="false" outlineLevel="0" collapsed="false">
      <c r="A7451" s="34" t="n">
        <v>3207467000103</v>
      </c>
      <c r="B7451" s="34" t="s">
        <v>15881</v>
      </c>
      <c r="C7451" s="34" t="s">
        <v>77</v>
      </c>
      <c r="E7451" s="30" t="s">
        <v>4387</v>
      </c>
      <c r="F7451" s="34" t="n">
        <f aca="false">IFERROR(VLOOKUP($A7451,'319'!$B:$H,7,0),0)</f>
        <v>0</v>
      </c>
      <c r="G7451" s="34" t="n">
        <f aca="false">SUMIFS('12.326ana'!$C:$C,'12.326ana'!$M:$M,redes!A7451)</f>
        <v>0</v>
      </c>
    </row>
    <row r="7452" customFormat="false" ht="14.4" hidden="true" customHeight="false" outlineLevel="0" collapsed="false">
      <c r="A7452" s="34" t="n">
        <v>3209143000104</v>
      </c>
      <c r="B7452" s="34" t="s">
        <v>15882</v>
      </c>
      <c r="C7452" s="34" t="s">
        <v>77</v>
      </c>
      <c r="E7452" s="30" t="s">
        <v>15883</v>
      </c>
      <c r="F7452" s="34" t="n">
        <f aca="false">IFERROR(VLOOKUP($A7452,'319'!$B:$H,7,0),0)</f>
        <v>0</v>
      </c>
      <c r="G7452" s="34" t="n">
        <f aca="false">SUMIFS('12.326ana'!$C:$C,'12.326ana'!$M:$M,redes!A7452)</f>
        <v>0</v>
      </c>
    </row>
    <row r="7453" customFormat="false" ht="14.4" hidden="true" customHeight="false" outlineLevel="0" collapsed="false">
      <c r="A7453" s="34" t="n">
        <v>3209900000131</v>
      </c>
      <c r="B7453" s="34" t="s">
        <v>15884</v>
      </c>
      <c r="C7453" s="34" t="s">
        <v>129</v>
      </c>
      <c r="E7453" s="30" t="s">
        <v>15885</v>
      </c>
      <c r="F7453" s="34" t="n">
        <f aca="false">IFERROR(VLOOKUP($A7453,'319'!$B:$H,7,0),0)</f>
        <v>0</v>
      </c>
      <c r="G7453" s="34" t="n">
        <f aca="false">SUMIFS('12.326ana'!$C:$C,'12.326ana'!$M:$M,redes!A7453)</f>
        <v>0</v>
      </c>
    </row>
    <row r="7454" customFormat="false" ht="14.4" hidden="true" customHeight="false" outlineLevel="0" collapsed="false">
      <c r="A7454" s="34" t="n">
        <v>3210088000164</v>
      </c>
      <c r="B7454" s="34" t="s">
        <v>15886</v>
      </c>
      <c r="C7454" s="34" t="s">
        <v>463</v>
      </c>
      <c r="E7454" s="30" t="s">
        <v>15887</v>
      </c>
      <c r="F7454" s="34" t="n">
        <f aca="false">IFERROR(VLOOKUP($A7454,'319'!$B:$H,7,0),0)</f>
        <v>0</v>
      </c>
      <c r="G7454" s="34" t="n">
        <f aca="false">SUMIFS('12.326ana'!$C:$C,'12.326ana'!$M:$M,redes!A7454)</f>
        <v>0</v>
      </c>
    </row>
    <row r="7455" customFormat="false" ht="14.4" hidden="true" customHeight="false" outlineLevel="0" collapsed="false">
      <c r="A7455" s="34" t="n">
        <v>3210891000107</v>
      </c>
      <c r="B7455" s="34" t="s">
        <v>15888</v>
      </c>
      <c r="C7455" s="34" t="s">
        <v>1591</v>
      </c>
      <c r="E7455" s="30" t="s">
        <v>15889</v>
      </c>
      <c r="F7455" s="34" t="n">
        <f aca="false">IFERROR(VLOOKUP($A7455,'319'!$B:$H,7,0),0)</f>
        <v>0</v>
      </c>
      <c r="G7455" s="34" t="n">
        <f aca="false">SUMIFS('12.326ana'!$C:$C,'12.326ana'!$M:$M,redes!A7455)</f>
        <v>0</v>
      </c>
    </row>
    <row r="7456" customFormat="false" ht="14.4" hidden="true" customHeight="false" outlineLevel="0" collapsed="false">
      <c r="A7456" s="34" t="n">
        <v>3217776000156</v>
      </c>
      <c r="B7456" s="34" t="s">
        <v>15890</v>
      </c>
      <c r="C7456" s="34" t="s">
        <v>464</v>
      </c>
      <c r="E7456" s="30" t="s">
        <v>15891</v>
      </c>
      <c r="F7456" s="34" t="n">
        <f aca="false">IFERROR(VLOOKUP($A7456,'319'!$B:$H,7,0),0)</f>
        <v>0</v>
      </c>
      <c r="G7456" s="34" t="n">
        <f aca="false">SUMIFS('12.326ana'!$C:$C,'12.326ana'!$M:$M,redes!A7456)</f>
        <v>0</v>
      </c>
    </row>
    <row r="7457" customFormat="false" ht="14.4" hidden="true" customHeight="false" outlineLevel="0" collapsed="false">
      <c r="A7457" s="34" t="n">
        <v>3217947000147</v>
      </c>
      <c r="B7457" s="34" t="s">
        <v>15892</v>
      </c>
      <c r="C7457" s="34" t="s">
        <v>405</v>
      </c>
      <c r="E7457" s="30" t="s">
        <v>15893</v>
      </c>
      <c r="F7457" s="34" t="n">
        <f aca="false">IFERROR(VLOOKUP($A7457,'319'!$B:$H,7,0),0)</f>
        <v>0</v>
      </c>
      <c r="G7457" s="34" t="n">
        <f aca="false">SUMIFS('12.326ana'!$C:$C,'12.326ana'!$M:$M,redes!A7457)</f>
        <v>0</v>
      </c>
    </row>
    <row r="7458" customFormat="false" ht="14.4" hidden="true" customHeight="false" outlineLevel="0" collapsed="false">
      <c r="A7458" s="34" t="n">
        <v>3219333000102</v>
      </c>
      <c r="B7458" s="34" t="s">
        <v>15894</v>
      </c>
      <c r="C7458" s="34" t="s">
        <v>842</v>
      </c>
      <c r="E7458" s="30" t="s">
        <v>15895</v>
      </c>
      <c r="F7458" s="34" t="n">
        <f aca="false">IFERROR(VLOOKUP($A7458,'319'!$B:$H,7,0),0)</f>
        <v>0</v>
      </c>
      <c r="G7458" s="34" t="n">
        <f aca="false">SUMIFS('12.326ana'!$C:$C,'12.326ana'!$M:$M,redes!A7458)</f>
        <v>0</v>
      </c>
    </row>
    <row r="7459" customFormat="false" ht="14.4" hidden="true" customHeight="false" outlineLevel="0" collapsed="false">
      <c r="A7459" s="34" t="n">
        <v>3219696000130</v>
      </c>
      <c r="B7459" s="34" t="s">
        <v>15896</v>
      </c>
      <c r="C7459" s="34" t="s">
        <v>77</v>
      </c>
      <c r="E7459" s="30" t="s">
        <v>15897</v>
      </c>
      <c r="F7459" s="34" t="n">
        <f aca="false">IFERROR(VLOOKUP($A7459,'319'!$B:$H,7,0),0)</f>
        <v>0</v>
      </c>
      <c r="G7459" s="34" t="n">
        <f aca="false">SUMIFS('12.326ana'!$C:$C,'12.326ana'!$M:$M,redes!A7459)</f>
        <v>0</v>
      </c>
    </row>
    <row r="7460" customFormat="false" ht="14.4" hidden="true" customHeight="false" outlineLevel="0" collapsed="false">
      <c r="A7460" s="34" t="n">
        <v>3220738000152</v>
      </c>
      <c r="B7460" s="34" t="s">
        <v>15898</v>
      </c>
      <c r="C7460" s="34" t="s">
        <v>77</v>
      </c>
      <c r="E7460" s="30" t="s">
        <v>15899</v>
      </c>
      <c r="F7460" s="34" t="n">
        <f aca="false">IFERROR(VLOOKUP($A7460,'319'!$B:$H,7,0),0)</f>
        <v>0</v>
      </c>
      <c r="G7460" s="34" t="n">
        <f aca="false">SUMIFS('12.326ana'!$C:$C,'12.326ana'!$M:$M,redes!A7460)</f>
        <v>0</v>
      </c>
    </row>
    <row r="7461" customFormat="false" ht="14.4" hidden="true" customHeight="false" outlineLevel="0" collapsed="false">
      <c r="A7461" s="34" t="n">
        <v>3220803000140</v>
      </c>
      <c r="B7461" s="34" t="s">
        <v>15900</v>
      </c>
      <c r="C7461" s="34" t="s">
        <v>77</v>
      </c>
      <c r="E7461" s="30" t="s">
        <v>15901</v>
      </c>
      <c r="F7461" s="34" t="n">
        <f aca="false">IFERROR(VLOOKUP($A7461,'319'!$B:$H,7,0),0)</f>
        <v>0</v>
      </c>
      <c r="G7461" s="34" t="n">
        <f aca="false">SUMIFS('12.326ana'!$C:$C,'12.326ana'!$M:$M,redes!A7461)</f>
        <v>0</v>
      </c>
    </row>
    <row r="7462" customFormat="false" ht="14.4" hidden="true" customHeight="false" outlineLevel="0" collapsed="false">
      <c r="A7462" s="34" t="n">
        <v>3221755000104</v>
      </c>
      <c r="B7462" s="34" t="s">
        <v>15902</v>
      </c>
      <c r="C7462" s="34" t="s">
        <v>107</v>
      </c>
      <c r="E7462" s="30" t="s">
        <v>15903</v>
      </c>
      <c r="F7462" s="34" t="n">
        <f aca="false">IFERROR(VLOOKUP($A7462,'319'!$B:$H,7,0),0)</f>
        <v>0</v>
      </c>
      <c r="G7462" s="34" t="n">
        <f aca="false">SUMIFS('12.326ana'!$C:$C,'12.326ana'!$M:$M,redes!A7462)</f>
        <v>0</v>
      </c>
    </row>
    <row r="7463" customFormat="false" ht="14.4" hidden="true" customHeight="false" outlineLevel="0" collapsed="false">
      <c r="A7463" s="34" t="n">
        <v>3221778000119</v>
      </c>
      <c r="B7463" s="34" t="s">
        <v>15904</v>
      </c>
      <c r="C7463" s="34" t="s">
        <v>107</v>
      </c>
      <c r="E7463" s="30" t="s">
        <v>15905</v>
      </c>
      <c r="F7463" s="34" t="n">
        <f aca="false">IFERROR(VLOOKUP($A7463,'319'!$B:$H,7,0),0)</f>
        <v>0</v>
      </c>
      <c r="G7463" s="34" t="n">
        <f aca="false">SUMIFS('12.326ana'!$C:$C,'12.326ana'!$M:$M,redes!A7463)</f>
        <v>0</v>
      </c>
    </row>
    <row r="7464" customFormat="false" ht="14.4" hidden="true" customHeight="false" outlineLevel="0" collapsed="false">
      <c r="A7464" s="34" t="n">
        <v>3221788000154</v>
      </c>
      <c r="B7464" s="34" t="s">
        <v>15906</v>
      </c>
      <c r="C7464" s="34" t="s">
        <v>129</v>
      </c>
      <c r="E7464" s="30" t="s">
        <v>15907</v>
      </c>
      <c r="F7464" s="34" t="n">
        <f aca="false">IFERROR(VLOOKUP($A7464,'319'!$B:$H,7,0),0)</f>
        <v>0</v>
      </c>
      <c r="G7464" s="34" t="n">
        <f aca="false">SUMIFS('12.326ana'!$C:$C,'12.326ana'!$M:$M,redes!A7464)</f>
        <v>0</v>
      </c>
    </row>
    <row r="7465" customFormat="false" ht="14.4" hidden="true" customHeight="false" outlineLevel="0" collapsed="false">
      <c r="A7465" s="34" t="n">
        <v>3221868000100</v>
      </c>
      <c r="B7465" s="34" t="s">
        <v>15908</v>
      </c>
      <c r="C7465" s="34" t="s">
        <v>77</v>
      </c>
      <c r="E7465" s="30" t="s">
        <v>15909</v>
      </c>
      <c r="F7465" s="34" t="n">
        <f aca="false">IFERROR(VLOOKUP($A7465,'319'!$B:$H,7,0),0)</f>
        <v>0</v>
      </c>
      <c r="G7465" s="34" t="n">
        <f aca="false">SUMIFS('12.326ana'!$C:$C,'12.326ana'!$M:$M,redes!A7465)</f>
        <v>0</v>
      </c>
    </row>
    <row r="7466" customFormat="false" ht="14.4" hidden="true" customHeight="false" outlineLevel="0" collapsed="false">
      <c r="A7466" s="34" t="n">
        <v>3221931000108</v>
      </c>
      <c r="B7466" s="34" t="s">
        <v>15910</v>
      </c>
      <c r="C7466" s="34" t="s">
        <v>107</v>
      </c>
      <c r="E7466" s="30" t="s">
        <v>15911</v>
      </c>
      <c r="F7466" s="34" t="n">
        <f aca="false">IFERROR(VLOOKUP($A7466,'319'!$B:$H,7,0),0)</f>
        <v>0</v>
      </c>
      <c r="G7466" s="34" t="n">
        <f aca="false">SUMIFS('12.326ana'!$C:$C,'12.326ana'!$M:$M,redes!A7466)</f>
        <v>0</v>
      </c>
    </row>
    <row r="7467" customFormat="false" ht="14.4" hidden="true" customHeight="false" outlineLevel="0" collapsed="false">
      <c r="A7467" s="34" t="n">
        <v>3222370000161</v>
      </c>
      <c r="B7467" s="34" t="s">
        <v>15912</v>
      </c>
      <c r="C7467" s="34" t="s">
        <v>594</v>
      </c>
      <c r="E7467" s="30" t="s">
        <v>15913</v>
      </c>
      <c r="F7467" s="34" t="n">
        <f aca="false">IFERROR(VLOOKUP($A7467,'319'!$B:$H,7,0),0)</f>
        <v>0</v>
      </c>
      <c r="G7467" s="34" t="n">
        <f aca="false">SUMIFS('12.326ana'!$C:$C,'12.326ana'!$M:$M,redes!A7467)</f>
        <v>0</v>
      </c>
    </row>
    <row r="7468" customFormat="false" ht="14.4" hidden="true" customHeight="false" outlineLevel="0" collapsed="false">
      <c r="A7468" s="34" t="n">
        <v>3222703000152</v>
      </c>
      <c r="B7468" s="34" t="s">
        <v>15914</v>
      </c>
      <c r="C7468" s="34" t="s">
        <v>77</v>
      </c>
      <c r="E7468" s="30" t="s">
        <v>15915</v>
      </c>
      <c r="F7468" s="34" t="n">
        <f aca="false">IFERROR(VLOOKUP($A7468,'319'!$B:$H,7,0),0)</f>
        <v>0</v>
      </c>
      <c r="G7468" s="34" t="n">
        <f aca="false">SUMIFS('12.326ana'!$C:$C,'12.326ana'!$M:$M,redes!A7468)</f>
        <v>0</v>
      </c>
    </row>
    <row r="7469" customFormat="false" ht="14.4" hidden="true" customHeight="false" outlineLevel="0" collapsed="false">
      <c r="A7469" s="34" t="n">
        <v>3225633000196</v>
      </c>
      <c r="B7469" s="34" t="s">
        <v>15916</v>
      </c>
      <c r="C7469" s="34" t="s">
        <v>604</v>
      </c>
      <c r="E7469" s="30" t="s">
        <v>15917</v>
      </c>
      <c r="F7469" s="34" t="n">
        <f aca="false">IFERROR(VLOOKUP($A7469,'319'!$B:$H,7,0),0)</f>
        <v>0</v>
      </c>
      <c r="G7469" s="34" t="n">
        <f aca="false">SUMIFS('12.326ana'!$C:$C,'12.326ana'!$M:$M,redes!A7469)</f>
        <v>0</v>
      </c>
    </row>
    <row r="7470" customFormat="false" ht="14.4" hidden="true" customHeight="false" outlineLevel="0" collapsed="false">
      <c r="A7470" s="34" t="n">
        <v>3226149000181</v>
      </c>
      <c r="B7470" s="34" t="s">
        <v>15918</v>
      </c>
      <c r="C7470" s="34" t="s">
        <v>77</v>
      </c>
      <c r="E7470" s="30" t="s">
        <v>15919</v>
      </c>
      <c r="F7470" s="34" t="n">
        <f aca="false">IFERROR(VLOOKUP($A7470,'319'!$B:$H,7,0),0)</f>
        <v>0</v>
      </c>
      <c r="G7470" s="34" t="n">
        <f aca="false">SUMIFS('12.326ana'!$C:$C,'12.326ana'!$M:$M,redes!A7470)</f>
        <v>0</v>
      </c>
    </row>
    <row r="7471" customFormat="false" ht="14.4" hidden="true" customHeight="false" outlineLevel="0" collapsed="false">
      <c r="A7471" s="34" t="n">
        <v>3226149001404</v>
      </c>
      <c r="B7471" s="34" t="s">
        <v>15920</v>
      </c>
      <c r="C7471" s="34" t="s">
        <v>77</v>
      </c>
      <c r="E7471" s="30" t="s">
        <v>15921</v>
      </c>
      <c r="F7471" s="34" t="n">
        <f aca="false">IFERROR(VLOOKUP($A7471,'319'!$B:$H,7,0),0)</f>
        <v>0</v>
      </c>
      <c r="G7471" s="34" t="n">
        <f aca="false">SUMIFS('12.326ana'!$C:$C,'12.326ana'!$M:$M,redes!A7471)</f>
        <v>0</v>
      </c>
    </row>
    <row r="7472" customFormat="false" ht="14.4" hidden="true" customHeight="false" outlineLevel="0" collapsed="false">
      <c r="A7472" s="34" t="n">
        <v>3226149001587</v>
      </c>
      <c r="B7472" s="34" t="s">
        <v>15918</v>
      </c>
      <c r="C7472" s="34" t="s">
        <v>77</v>
      </c>
      <c r="E7472" s="30" t="s">
        <v>15922</v>
      </c>
      <c r="F7472" s="34" t="n">
        <f aca="false">IFERROR(VLOOKUP($A7472,'319'!$B:$H,7,0),0)</f>
        <v>0</v>
      </c>
      <c r="G7472" s="34" t="n">
        <f aca="false">SUMIFS('12.326ana'!$C:$C,'12.326ana'!$M:$M,redes!A7472)</f>
        <v>0</v>
      </c>
    </row>
    <row r="7473" customFormat="false" ht="14.4" hidden="true" customHeight="false" outlineLevel="0" collapsed="false">
      <c r="A7473" s="34" t="n">
        <v>3226271000239</v>
      </c>
      <c r="B7473" s="34" t="s">
        <v>15923</v>
      </c>
      <c r="C7473" s="34" t="s">
        <v>77</v>
      </c>
      <c r="E7473" s="30" t="s">
        <v>4223</v>
      </c>
      <c r="F7473" s="34" t="n">
        <f aca="false">IFERROR(VLOOKUP($A7473,'319'!$B:$H,7,0),0)</f>
        <v>0</v>
      </c>
      <c r="G7473" s="34" t="n">
        <f aca="false">SUMIFS('12.326ana'!$C:$C,'12.326ana'!$M:$M,redes!A7473)</f>
        <v>0</v>
      </c>
    </row>
    <row r="7474" customFormat="false" ht="14.4" hidden="true" customHeight="false" outlineLevel="0" collapsed="false">
      <c r="A7474" s="34" t="n">
        <v>3226735000126</v>
      </c>
      <c r="B7474" s="34" t="s">
        <v>15924</v>
      </c>
      <c r="C7474" s="34" t="s">
        <v>77</v>
      </c>
      <c r="E7474" s="30" t="s">
        <v>15925</v>
      </c>
      <c r="F7474" s="34" t="n">
        <f aca="false">IFERROR(VLOOKUP($A7474,'319'!$B:$H,7,0),0)</f>
        <v>0</v>
      </c>
      <c r="G7474" s="34" t="n">
        <f aca="false">SUMIFS('12.326ana'!$C:$C,'12.326ana'!$M:$M,redes!A7474)</f>
        <v>0</v>
      </c>
    </row>
    <row r="7475" customFormat="false" ht="14.4" hidden="true" customHeight="false" outlineLevel="0" collapsed="false">
      <c r="A7475" s="34" t="n">
        <v>3227468000101</v>
      </c>
      <c r="B7475" s="34" t="s">
        <v>15926</v>
      </c>
      <c r="C7475" s="34" t="s">
        <v>351</v>
      </c>
      <c r="E7475" s="30" t="s">
        <v>6294</v>
      </c>
      <c r="F7475" s="34" t="n">
        <f aca="false">IFERROR(VLOOKUP($A7475,'319'!$B:$H,7,0),0)</f>
        <v>0</v>
      </c>
      <c r="G7475" s="34" t="n">
        <f aca="false">SUMIFS('12.326ana'!$C:$C,'12.326ana'!$M:$M,redes!A7475)</f>
        <v>0</v>
      </c>
    </row>
    <row r="7476" customFormat="false" ht="14.4" hidden="true" customHeight="false" outlineLevel="0" collapsed="false">
      <c r="A7476" s="34" t="n">
        <v>3228111000148</v>
      </c>
      <c r="B7476" s="34" t="s">
        <v>15927</v>
      </c>
      <c r="C7476" s="34" t="s">
        <v>77</v>
      </c>
      <c r="E7476" s="30" t="s">
        <v>15928</v>
      </c>
      <c r="F7476" s="34" t="n">
        <f aca="false">IFERROR(VLOOKUP($A7476,'319'!$B:$H,7,0),0)</f>
        <v>0</v>
      </c>
      <c r="G7476" s="34" t="n">
        <f aca="false">SUMIFS('12.326ana'!$C:$C,'12.326ana'!$M:$M,redes!A7476)</f>
        <v>0</v>
      </c>
    </row>
    <row r="7477" customFormat="false" ht="14.4" hidden="true" customHeight="false" outlineLevel="0" collapsed="false">
      <c r="A7477" s="34" t="n">
        <v>3228923000193</v>
      </c>
      <c r="B7477" s="34" t="s">
        <v>15929</v>
      </c>
      <c r="C7477" s="34" t="s">
        <v>842</v>
      </c>
      <c r="E7477" s="30" t="s">
        <v>15930</v>
      </c>
      <c r="F7477" s="34" t="n">
        <f aca="false">IFERROR(VLOOKUP($A7477,'319'!$B:$H,7,0),0)</f>
        <v>0</v>
      </c>
      <c r="G7477" s="34" t="n">
        <f aca="false">SUMIFS('12.326ana'!$C:$C,'12.326ana'!$M:$M,redes!A7477)</f>
        <v>0</v>
      </c>
    </row>
    <row r="7478" customFormat="false" ht="14.4" hidden="true" customHeight="false" outlineLevel="0" collapsed="false">
      <c r="A7478" s="34" t="n">
        <v>3229000000156</v>
      </c>
      <c r="B7478" s="34" t="s">
        <v>15931</v>
      </c>
      <c r="C7478" s="34" t="s">
        <v>107</v>
      </c>
      <c r="E7478" s="30" t="s">
        <v>15932</v>
      </c>
      <c r="F7478" s="34" t="n">
        <f aca="false">IFERROR(VLOOKUP($A7478,'319'!$B:$H,7,0),0)</f>
        <v>0</v>
      </c>
      <c r="G7478" s="34" t="n">
        <f aca="false">SUMIFS('12.326ana'!$C:$C,'12.326ana'!$M:$M,redes!A7478)</f>
        <v>0</v>
      </c>
    </row>
    <row r="7479" customFormat="false" ht="14.4" hidden="true" customHeight="false" outlineLevel="0" collapsed="false">
      <c r="A7479" s="34" t="n">
        <v>3232675000154</v>
      </c>
      <c r="B7479" s="34" t="s">
        <v>15933</v>
      </c>
      <c r="C7479" s="34" t="s">
        <v>77</v>
      </c>
      <c r="E7479" s="30"/>
      <c r="F7479" s="34" t="n">
        <f aca="false">IFERROR(VLOOKUP($A7479,'319'!$B:$H,7,0),0)</f>
        <v>0</v>
      </c>
      <c r="G7479" s="34" t="n">
        <f aca="false">SUMIFS('12.326ana'!$C:$C,'12.326ana'!$M:$M,redes!A7479)</f>
        <v>0</v>
      </c>
    </row>
    <row r="7480" customFormat="false" ht="14.4" hidden="true" customHeight="false" outlineLevel="0" collapsed="false">
      <c r="A7480" s="34" t="n">
        <v>3232732000103</v>
      </c>
      <c r="B7480" s="34" t="s">
        <v>15934</v>
      </c>
      <c r="C7480" s="34" t="s">
        <v>77</v>
      </c>
      <c r="E7480" s="30" t="s">
        <v>15935</v>
      </c>
      <c r="F7480" s="34" t="n">
        <f aca="false">IFERROR(VLOOKUP($A7480,'319'!$B:$H,7,0),0)</f>
        <v>0</v>
      </c>
      <c r="G7480" s="34" t="n">
        <f aca="false">SUMIFS('12.326ana'!$C:$C,'12.326ana'!$M:$M,redes!A7480)</f>
        <v>0</v>
      </c>
    </row>
    <row r="7481" customFormat="false" ht="14.4" hidden="true" customHeight="false" outlineLevel="0" collapsed="false">
      <c r="A7481" s="34" t="n">
        <v>3234054000100</v>
      </c>
      <c r="B7481" s="34" t="s">
        <v>15936</v>
      </c>
      <c r="C7481" s="34" t="s">
        <v>565</v>
      </c>
      <c r="E7481" s="30" t="s">
        <v>8730</v>
      </c>
      <c r="F7481" s="34" t="n">
        <f aca="false">IFERROR(VLOOKUP($A7481,'319'!$B:$H,7,0),0)</f>
        <v>0</v>
      </c>
      <c r="G7481" s="34" t="n">
        <f aca="false">SUMIFS('12.326ana'!$C:$C,'12.326ana'!$M:$M,redes!A7481)</f>
        <v>0</v>
      </c>
    </row>
    <row r="7482" customFormat="false" ht="14.4" hidden="true" customHeight="false" outlineLevel="0" collapsed="false">
      <c r="A7482" s="34" t="n">
        <v>3234212000121</v>
      </c>
      <c r="B7482" s="34" t="s">
        <v>15937</v>
      </c>
      <c r="C7482" s="34" t="s">
        <v>604</v>
      </c>
      <c r="E7482" s="30" t="s">
        <v>5735</v>
      </c>
      <c r="F7482" s="34" t="n">
        <f aca="false">IFERROR(VLOOKUP($A7482,'319'!$B:$H,7,0),0)</f>
        <v>0</v>
      </c>
      <c r="G7482" s="34" t="n">
        <f aca="false">SUMIFS('12.326ana'!$C:$C,'12.326ana'!$M:$M,redes!A7482)</f>
        <v>0</v>
      </c>
    </row>
    <row r="7483" customFormat="false" ht="14.4" hidden="true" customHeight="false" outlineLevel="0" collapsed="false">
      <c r="A7483" s="34" t="n">
        <v>3234801000100</v>
      </c>
      <c r="B7483" s="34" t="s">
        <v>15938</v>
      </c>
      <c r="C7483" s="34" t="s">
        <v>77</v>
      </c>
      <c r="E7483" s="30" t="s">
        <v>15939</v>
      </c>
      <c r="F7483" s="34" t="n">
        <f aca="false">IFERROR(VLOOKUP($A7483,'319'!$B:$H,7,0),0)</f>
        <v>0</v>
      </c>
      <c r="G7483" s="34" t="n">
        <f aca="false">SUMIFS('12.326ana'!$C:$C,'12.326ana'!$M:$M,redes!A7483)</f>
        <v>0</v>
      </c>
    </row>
    <row r="7484" customFormat="false" ht="14.4" hidden="true" customHeight="false" outlineLevel="0" collapsed="false">
      <c r="A7484" s="34" t="n">
        <v>3235881000118</v>
      </c>
      <c r="B7484" s="34" t="s">
        <v>15940</v>
      </c>
      <c r="C7484" s="34" t="s">
        <v>342</v>
      </c>
      <c r="E7484" s="30" t="s">
        <v>15941</v>
      </c>
      <c r="F7484" s="34" t="n">
        <f aca="false">IFERROR(VLOOKUP($A7484,'319'!$B:$H,7,0),0)</f>
        <v>0</v>
      </c>
      <c r="G7484" s="34" t="n">
        <f aca="false">SUMIFS('12.326ana'!$C:$C,'12.326ana'!$M:$M,redes!A7484)</f>
        <v>0</v>
      </c>
    </row>
    <row r="7485" customFormat="false" ht="14.4" hidden="true" customHeight="false" outlineLevel="0" collapsed="false">
      <c r="A7485" s="34" t="n">
        <v>3236079000142</v>
      </c>
      <c r="B7485" s="34" t="s">
        <v>15942</v>
      </c>
      <c r="C7485" s="34" t="s">
        <v>77</v>
      </c>
      <c r="E7485" s="30" t="s">
        <v>15943</v>
      </c>
      <c r="F7485" s="34" t="n">
        <f aca="false">IFERROR(VLOOKUP($A7485,'319'!$B:$H,7,0),0)</f>
        <v>0</v>
      </c>
      <c r="G7485" s="34" t="n">
        <f aca="false">SUMIFS('12.326ana'!$C:$C,'12.326ana'!$M:$M,redes!A7485)</f>
        <v>0</v>
      </c>
    </row>
    <row r="7486" customFormat="false" ht="14.4" hidden="true" customHeight="false" outlineLevel="0" collapsed="false">
      <c r="A7486" s="34" t="n">
        <v>3236126000158</v>
      </c>
      <c r="B7486" s="34" t="s">
        <v>15944</v>
      </c>
      <c r="C7486" s="34" t="s">
        <v>77</v>
      </c>
      <c r="E7486" s="30" t="s">
        <v>15945</v>
      </c>
      <c r="F7486" s="34" t="n">
        <f aca="false">IFERROR(VLOOKUP($A7486,'319'!$B:$H,7,0),0)</f>
        <v>0</v>
      </c>
      <c r="G7486" s="34" t="n">
        <f aca="false">SUMIFS('12.326ana'!$C:$C,'12.326ana'!$M:$M,redes!A7486)</f>
        <v>0</v>
      </c>
    </row>
    <row r="7487" customFormat="false" ht="14.4" hidden="true" customHeight="false" outlineLevel="0" collapsed="false">
      <c r="A7487" s="34" t="n">
        <v>3236321000188</v>
      </c>
      <c r="B7487" s="34" t="s">
        <v>15946</v>
      </c>
      <c r="C7487" s="34" t="s">
        <v>77</v>
      </c>
      <c r="E7487" s="30" t="s">
        <v>15947</v>
      </c>
      <c r="F7487" s="34" t="n">
        <f aca="false">IFERROR(VLOOKUP($A7487,'319'!$B:$H,7,0),0)</f>
        <v>0</v>
      </c>
      <c r="G7487" s="34" t="n">
        <f aca="false">SUMIFS('12.326ana'!$C:$C,'12.326ana'!$M:$M,redes!A7487)</f>
        <v>0</v>
      </c>
    </row>
    <row r="7488" customFormat="false" ht="14.4" hidden="true" customHeight="false" outlineLevel="0" collapsed="false">
      <c r="A7488" s="34" t="n">
        <v>3237765000138</v>
      </c>
      <c r="B7488" s="34" t="s">
        <v>15948</v>
      </c>
      <c r="C7488" s="34" t="s">
        <v>77</v>
      </c>
      <c r="E7488" s="30" t="s">
        <v>15949</v>
      </c>
      <c r="F7488" s="34" t="n">
        <f aca="false">IFERROR(VLOOKUP($A7488,'319'!$B:$H,7,0),0)</f>
        <v>0</v>
      </c>
      <c r="G7488" s="34" t="n">
        <f aca="false">SUMIFS('12.326ana'!$C:$C,'12.326ana'!$M:$M,redes!A7488)</f>
        <v>0</v>
      </c>
    </row>
    <row r="7489" customFormat="false" ht="14.4" hidden="true" customHeight="false" outlineLevel="0" collapsed="false">
      <c r="A7489" s="34" t="n">
        <v>3238833000183</v>
      </c>
      <c r="B7489" s="34" t="s">
        <v>15950</v>
      </c>
      <c r="C7489" s="34" t="s">
        <v>631</v>
      </c>
      <c r="E7489" s="30" t="s">
        <v>15951</v>
      </c>
      <c r="F7489" s="34" t="n">
        <f aca="false">IFERROR(VLOOKUP($A7489,'319'!$B:$H,7,0),0)</f>
        <v>0</v>
      </c>
      <c r="G7489" s="34" t="n">
        <f aca="false">SUMIFS('12.326ana'!$C:$C,'12.326ana'!$M:$M,redes!A7489)</f>
        <v>0</v>
      </c>
    </row>
    <row r="7490" customFormat="false" ht="14.4" hidden="true" customHeight="false" outlineLevel="0" collapsed="false">
      <c r="A7490" s="34" t="n">
        <v>3239639000112</v>
      </c>
      <c r="B7490" s="34" t="s">
        <v>15952</v>
      </c>
      <c r="C7490" s="34" t="s">
        <v>954</v>
      </c>
      <c r="E7490" s="30"/>
      <c r="F7490" s="34" t="n">
        <f aca="false">IFERROR(VLOOKUP($A7490,'319'!$B:$H,7,0),0)</f>
        <v>0</v>
      </c>
      <c r="G7490" s="34" t="n">
        <f aca="false">SUMIFS('12.326ana'!$C:$C,'12.326ana'!$M:$M,redes!A7490)</f>
        <v>0</v>
      </c>
    </row>
    <row r="7491" customFormat="false" ht="14.4" hidden="true" customHeight="false" outlineLevel="0" collapsed="false">
      <c r="A7491" s="34" t="n">
        <v>3240019000101</v>
      </c>
      <c r="B7491" s="34" t="s">
        <v>15953</v>
      </c>
      <c r="C7491" s="34" t="s">
        <v>77</v>
      </c>
      <c r="E7491" s="30" t="s">
        <v>15954</v>
      </c>
      <c r="F7491" s="34" t="n">
        <f aca="false">IFERROR(VLOOKUP($A7491,'319'!$B:$H,7,0),0)</f>
        <v>0</v>
      </c>
      <c r="G7491" s="34" t="n">
        <f aca="false">SUMIFS('12.326ana'!$C:$C,'12.326ana'!$M:$M,redes!A7491)</f>
        <v>0</v>
      </c>
    </row>
    <row r="7492" customFormat="false" ht="14.4" hidden="true" customHeight="false" outlineLevel="0" collapsed="false">
      <c r="A7492" s="34" t="n">
        <v>3241239000141</v>
      </c>
      <c r="B7492" s="34" t="s">
        <v>15955</v>
      </c>
      <c r="C7492" s="34" t="s">
        <v>77</v>
      </c>
      <c r="E7492" s="30" t="s">
        <v>15956</v>
      </c>
      <c r="F7492" s="34" t="n">
        <f aca="false">IFERROR(VLOOKUP($A7492,'319'!$B:$H,7,0),0)</f>
        <v>0</v>
      </c>
      <c r="G7492" s="34" t="n">
        <f aca="false">SUMIFS('12.326ana'!$C:$C,'12.326ana'!$M:$M,redes!A7492)</f>
        <v>0</v>
      </c>
    </row>
    <row r="7493" customFormat="false" ht="14.4" hidden="true" customHeight="false" outlineLevel="0" collapsed="false">
      <c r="A7493" s="34" t="n">
        <v>3242431000152</v>
      </c>
      <c r="B7493" s="34" t="s">
        <v>15957</v>
      </c>
      <c r="C7493" s="34" t="s">
        <v>604</v>
      </c>
      <c r="E7493" s="30" t="s">
        <v>15958</v>
      </c>
      <c r="F7493" s="34" t="n">
        <f aca="false">IFERROR(VLOOKUP($A7493,'319'!$B:$H,7,0),0)</f>
        <v>0</v>
      </c>
      <c r="G7493" s="34" t="n">
        <f aca="false">SUMIFS('12.326ana'!$C:$C,'12.326ana'!$M:$M,redes!A7493)</f>
        <v>0</v>
      </c>
    </row>
    <row r="7494" customFormat="false" ht="14.4" hidden="true" customHeight="false" outlineLevel="0" collapsed="false">
      <c r="A7494" s="34" t="n">
        <v>3244057000124</v>
      </c>
      <c r="B7494" s="34" t="s">
        <v>15959</v>
      </c>
      <c r="C7494" s="34" t="s">
        <v>77</v>
      </c>
      <c r="E7494" s="30" t="s">
        <v>15960</v>
      </c>
      <c r="F7494" s="34" t="n">
        <f aca="false">IFERROR(VLOOKUP($A7494,'319'!$B:$H,7,0),0)</f>
        <v>0</v>
      </c>
      <c r="G7494" s="34" t="n">
        <f aca="false">SUMIFS('12.326ana'!$C:$C,'12.326ana'!$M:$M,redes!A7494)</f>
        <v>0</v>
      </c>
    </row>
    <row r="7495" customFormat="false" ht="14.4" hidden="true" customHeight="false" outlineLevel="0" collapsed="false">
      <c r="A7495" s="34" t="n">
        <v>3244399000144</v>
      </c>
      <c r="B7495" s="34" t="s">
        <v>15961</v>
      </c>
      <c r="C7495" s="34" t="s">
        <v>77</v>
      </c>
      <c r="E7495" s="30" t="s">
        <v>15962</v>
      </c>
      <c r="F7495" s="34" t="n">
        <f aca="false">IFERROR(VLOOKUP($A7495,'319'!$B:$H,7,0),0)</f>
        <v>0</v>
      </c>
      <c r="G7495" s="34" t="n">
        <f aca="false">SUMIFS('12.326ana'!$C:$C,'12.326ana'!$M:$M,redes!A7495)</f>
        <v>0</v>
      </c>
    </row>
    <row r="7496" customFormat="false" ht="14.4" hidden="true" customHeight="false" outlineLevel="0" collapsed="false">
      <c r="A7496" s="34" t="n">
        <v>3244509000178</v>
      </c>
      <c r="B7496" s="34" t="s">
        <v>15963</v>
      </c>
      <c r="C7496" s="34" t="s">
        <v>139</v>
      </c>
      <c r="E7496" s="30" t="s">
        <v>15964</v>
      </c>
      <c r="F7496" s="34" t="n">
        <f aca="false">IFERROR(VLOOKUP($A7496,'319'!$B:$H,7,0),0)</f>
        <v>0</v>
      </c>
      <c r="G7496" s="34" t="n">
        <f aca="false">SUMIFS('12.326ana'!$C:$C,'12.326ana'!$M:$M,redes!A7496)</f>
        <v>0</v>
      </c>
    </row>
    <row r="7497" customFormat="false" ht="14.4" hidden="true" customHeight="false" outlineLevel="0" collapsed="false">
      <c r="A7497" s="34" t="n">
        <v>3244547000120</v>
      </c>
      <c r="B7497" s="34" t="s">
        <v>15965</v>
      </c>
      <c r="C7497" s="34" t="s">
        <v>77</v>
      </c>
      <c r="E7497" s="30" t="s">
        <v>5210</v>
      </c>
      <c r="F7497" s="34" t="n">
        <f aca="false">IFERROR(VLOOKUP($A7497,'319'!$B:$H,7,0),0)</f>
        <v>0</v>
      </c>
      <c r="G7497" s="34" t="n">
        <f aca="false">SUMIFS('12.326ana'!$C:$C,'12.326ana'!$M:$M,redes!A7497)</f>
        <v>0</v>
      </c>
    </row>
    <row r="7498" customFormat="false" ht="14.4" hidden="true" customHeight="false" outlineLevel="0" collapsed="false">
      <c r="A7498" s="34" t="n">
        <v>3244574000101</v>
      </c>
      <c r="B7498" s="34" t="s">
        <v>15966</v>
      </c>
      <c r="C7498" s="34" t="s">
        <v>213</v>
      </c>
      <c r="E7498" s="30" t="s">
        <v>15967</v>
      </c>
      <c r="F7498" s="34" t="n">
        <f aca="false">IFERROR(VLOOKUP($A7498,'319'!$B:$H,7,0),0)</f>
        <v>0</v>
      </c>
      <c r="G7498" s="34" t="n">
        <f aca="false">SUMIFS('12.326ana'!$C:$C,'12.326ana'!$M:$M,redes!A7498)</f>
        <v>0</v>
      </c>
    </row>
    <row r="7499" customFormat="false" ht="14.4" hidden="true" customHeight="false" outlineLevel="0" collapsed="false">
      <c r="A7499" s="34" t="n">
        <v>3244784000191</v>
      </c>
      <c r="B7499" s="34" t="s">
        <v>15968</v>
      </c>
      <c r="C7499" s="34" t="s">
        <v>77</v>
      </c>
      <c r="E7499" s="30" t="s">
        <v>15969</v>
      </c>
      <c r="F7499" s="34" t="n">
        <f aca="false">IFERROR(VLOOKUP($A7499,'319'!$B:$H,7,0),0)</f>
        <v>0</v>
      </c>
      <c r="G7499" s="34" t="n">
        <f aca="false">SUMIFS('12.326ana'!$C:$C,'12.326ana'!$M:$M,redes!A7499)</f>
        <v>0</v>
      </c>
    </row>
    <row r="7500" customFormat="false" ht="14.4" hidden="true" customHeight="false" outlineLevel="0" collapsed="false">
      <c r="A7500" s="34" t="n">
        <v>3245068000129</v>
      </c>
      <c r="B7500" s="34" t="s">
        <v>15970</v>
      </c>
      <c r="C7500" s="34" t="s">
        <v>377</v>
      </c>
      <c r="E7500" s="30" t="s">
        <v>15971</v>
      </c>
      <c r="F7500" s="34" t="n">
        <f aca="false">IFERROR(VLOOKUP($A7500,'319'!$B:$H,7,0),0)</f>
        <v>0</v>
      </c>
      <c r="G7500" s="34" t="n">
        <f aca="false">SUMIFS('12.326ana'!$C:$C,'12.326ana'!$M:$M,redes!A7500)</f>
        <v>0</v>
      </c>
    </row>
    <row r="7501" customFormat="false" ht="14.4" hidden="true" customHeight="false" outlineLevel="0" collapsed="false">
      <c r="A7501" s="34" t="n">
        <v>3245069000173</v>
      </c>
      <c r="B7501" s="34" t="s">
        <v>15972</v>
      </c>
      <c r="C7501" s="34" t="s">
        <v>881</v>
      </c>
      <c r="E7501" s="30" t="s">
        <v>15973</v>
      </c>
      <c r="F7501" s="34" t="n">
        <f aca="false">IFERROR(VLOOKUP($A7501,'319'!$B:$H,7,0),0)</f>
        <v>0</v>
      </c>
      <c r="G7501" s="34" t="n">
        <f aca="false">SUMIFS('12.326ana'!$C:$C,'12.326ana'!$M:$M,redes!A7501)</f>
        <v>0</v>
      </c>
    </row>
    <row r="7502" customFormat="false" ht="14.4" hidden="true" customHeight="false" outlineLevel="0" collapsed="false">
      <c r="A7502" s="34" t="n">
        <v>3247224000190</v>
      </c>
      <c r="B7502" s="34" t="s">
        <v>15974</v>
      </c>
      <c r="C7502" s="34" t="s">
        <v>631</v>
      </c>
      <c r="D7502" s="34" t="s">
        <v>4797</v>
      </c>
      <c r="E7502" s="30" t="s">
        <v>15975</v>
      </c>
      <c r="F7502" s="34" t="n">
        <f aca="false">IFERROR(VLOOKUP($A7502,'319'!$B:$H,7,0),0)</f>
        <v>0</v>
      </c>
      <c r="G7502" s="34" t="n">
        <f aca="false">SUMIFS('12.326ana'!$C:$C,'12.326ana'!$M:$M,redes!A7502)</f>
        <v>0</v>
      </c>
    </row>
    <row r="7503" customFormat="false" ht="14.4" hidden="true" customHeight="false" outlineLevel="0" collapsed="false">
      <c r="A7503" s="34" t="n">
        <v>3247481000122</v>
      </c>
      <c r="B7503" s="34" t="s">
        <v>15976</v>
      </c>
      <c r="C7503" s="34" t="s">
        <v>604</v>
      </c>
      <c r="E7503" s="30" t="s">
        <v>15977</v>
      </c>
      <c r="F7503" s="34" t="n">
        <f aca="false">IFERROR(VLOOKUP($A7503,'319'!$B:$H,7,0),0)</f>
        <v>0</v>
      </c>
      <c r="G7503" s="34" t="n">
        <f aca="false">SUMIFS('12.326ana'!$C:$C,'12.326ana'!$M:$M,redes!A7503)</f>
        <v>0</v>
      </c>
    </row>
    <row r="7504" customFormat="false" ht="14.4" hidden="true" customHeight="false" outlineLevel="0" collapsed="false">
      <c r="A7504" s="34" t="n">
        <v>3248072000140</v>
      </c>
      <c r="B7504" s="34" t="s">
        <v>15978</v>
      </c>
      <c r="C7504" s="34" t="s">
        <v>77</v>
      </c>
      <c r="E7504" s="30" t="s">
        <v>15979</v>
      </c>
      <c r="F7504" s="34" t="n">
        <f aca="false">IFERROR(VLOOKUP($A7504,'319'!$B:$H,7,0),0)</f>
        <v>0</v>
      </c>
      <c r="G7504" s="34" t="n">
        <f aca="false">SUMIFS('12.326ana'!$C:$C,'12.326ana'!$M:$M,redes!A7504)</f>
        <v>0</v>
      </c>
    </row>
    <row r="7505" customFormat="false" ht="14.4" hidden="true" customHeight="false" outlineLevel="0" collapsed="false">
      <c r="A7505" s="34" t="n">
        <v>3248091000177</v>
      </c>
      <c r="B7505" s="34" t="s">
        <v>15980</v>
      </c>
      <c r="C7505" s="34" t="s">
        <v>77</v>
      </c>
      <c r="E7505" s="30" t="s">
        <v>15981</v>
      </c>
      <c r="F7505" s="34" t="n">
        <f aca="false">IFERROR(VLOOKUP($A7505,'319'!$B:$H,7,0),0)</f>
        <v>0</v>
      </c>
      <c r="G7505" s="34" t="n">
        <f aca="false">SUMIFS('12.326ana'!$C:$C,'12.326ana'!$M:$M,redes!A7505)</f>
        <v>0</v>
      </c>
    </row>
    <row r="7506" customFormat="false" ht="14.4" hidden="true" customHeight="false" outlineLevel="0" collapsed="false">
      <c r="A7506" s="34" t="n">
        <v>3248153000140</v>
      </c>
      <c r="B7506" s="34" t="s">
        <v>15982</v>
      </c>
      <c r="C7506" s="34" t="s">
        <v>562</v>
      </c>
      <c r="E7506" s="30" t="s">
        <v>15983</v>
      </c>
      <c r="F7506" s="34" t="n">
        <f aca="false">IFERROR(VLOOKUP($A7506,'319'!$B:$H,7,0),0)</f>
        <v>0</v>
      </c>
      <c r="G7506" s="34" t="n">
        <f aca="false">SUMIFS('12.326ana'!$C:$C,'12.326ana'!$M:$M,redes!A7506)</f>
        <v>0</v>
      </c>
    </row>
    <row r="7507" customFormat="false" ht="14.4" hidden="true" customHeight="false" outlineLevel="0" collapsed="false">
      <c r="A7507" s="34" t="n">
        <v>3250098000123</v>
      </c>
      <c r="B7507" s="34" t="s">
        <v>15984</v>
      </c>
      <c r="C7507" s="34" t="s">
        <v>107</v>
      </c>
      <c r="E7507" s="30" t="s">
        <v>15985</v>
      </c>
      <c r="F7507" s="34" t="n">
        <f aca="false">IFERROR(VLOOKUP($A7507,'319'!$B:$H,7,0),0)</f>
        <v>0</v>
      </c>
      <c r="G7507" s="34" t="n">
        <f aca="false">SUMIFS('12.326ana'!$C:$C,'12.326ana'!$M:$M,redes!A7507)</f>
        <v>0</v>
      </c>
    </row>
    <row r="7508" customFormat="false" ht="14.4" hidden="true" customHeight="false" outlineLevel="0" collapsed="false">
      <c r="A7508" s="34" t="n">
        <v>3250528000107</v>
      </c>
      <c r="B7508" s="34" t="s">
        <v>15986</v>
      </c>
      <c r="C7508" s="34" t="s">
        <v>117</v>
      </c>
      <c r="E7508" s="30" t="s">
        <v>2912</v>
      </c>
      <c r="F7508" s="34" t="n">
        <f aca="false">IFERROR(VLOOKUP($A7508,'319'!$B:$H,7,0),0)</f>
        <v>0</v>
      </c>
      <c r="G7508" s="34" t="n">
        <f aca="false">SUMIFS('12.326ana'!$C:$C,'12.326ana'!$M:$M,redes!A7508)</f>
        <v>0</v>
      </c>
    </row>
    <row r="7509" customFormat="false" ht="14.4" hidden="true" customHeight="false" outlineLevel="0" collapsed="false">
      <c r="A7509" s="34" t="n">
        <v>3251652000197</v>
      </c>
      <c r="B7509" s="34" t="s">
        <v>15987</v>
      </c>
      <c r="C7509" s="34" t="s">
        <v>598</v>
      </c>
      <c r="E7509" s="30" t="s">
        <v>15988</v>
      </c>
      <c r="F7509" s="34" t="n">
        <f aca="false">IFERROR(VLOOKUP($A7509,'319'!$B:$H,7,0),0)</f>
        <v>0</v>
      </c>
      <c r="G7509" s="34" t="n">
        <f aca="false">SUMIFS('12.326ana'!$C:$C,'12.326ana'!$M:$M,redes!A7509)</f>
        <v>0</v>
      </c>
    </row>
    <row r="7510" customFormat="false" ht="14.4" hidden="true" customHeight="false" outlineLevel="0" collapsed="false">
      <c r="A7510" s="34" t="n">
        <v>3253077000161</v>
      </c>
      <c r="B7510" s="34" t="s">
        <v>15989</v>
      </c>
      <c r="C7510" s="34" t="s">
        <v>598</v>
      </c>
      <c r="E7510" s="30" t="s">
        <v>15990</v>
      </c>
      <c r="F7510" s="34" t="n">
        <f aca="false">IFERROR(VLOOKUP($A7510,'319'!$B:$H,7,0),0)</f>
        <v>0</v>
      </c>
      <c r="G7510" s="34" t="n">
        <f aca="false">SUMIFS('12.326ana'!$C:$C,'12.326ana'!$M:$M,redes!A7510)</f>
        <v>0</v>
      </c>
    </row>
    <row r="7511" customFormat="false" ht="14.4" hidden="true" customHeight="false" outlineLevel="0" collapsed="false">
      <c r="A7511" s="34" t="n">
        <v>3253472000144</v>
      </c>
      <c r="B7511" s="34" t="s">
        <v>847</v>
      </c>
      <c r="C7511" s="34" t="s">
        <v>848</v>
      </c>
      <c r="E7511" s="30" t="s">
        <v>6310</v>
      </c>
      <c r="F7511" s="34" t="n">
        <f aca="false">IFERROR(VLOOKUP($A7511,'319'!$B:$H,7,0),0)</f>
        <v>2037.45</v>
      </c>
      <c r="G7511" s="34" t="n">
        <f aca="false">SUMIFS('12.326ana'!$C:$C,'12.326ana'!$M:$M,redes!A7511)</f>
        <v>0</v>
      </c>
    </row>
    <row r="7512" customFormat="false" ht="14.4" hidden="true" customHeight="false" outlineLevel="0" collapsed="false">
      <c r="A7512" s="34" t="n">
        <v>3253472000225</v>
      </c>
      <c r="B7512" s="34" t="s">
        <v>15991</v>
      </c>
      <c r="C7512" s="34" t="s">
        <v>848</v>
      </c>
      <c r="E7512" s="30" t="s">
        <v>14285</v>
      </c>
      <c r="F7512" s="34" t="n">
        <f aca="false">IFERROR(VLOOKUP($A7512,'319'!$B:$H,7,0),0)</f>
        <v>0</v>
      </c>
      <c r="G7512" s="34" t="n">
        <f aca="false">SUMIFS('12.326ana'!$C:$C,'12.326ana'!$M:$M,redes!A7512)</f>
        <v>0</v>
      </c>
    </row>
    <row r="7513" customFormat="false" ht="14.4" hidden="true" customHeight="false" outlineLevel="0" collapsed="false">
      <c r="A7513" s="34" t="n">
        <v>3254201000294</v>
      </c>
      <c r="B7513" s="34" t="s">
        <v>15992</v>
      </c>
      <c r="C7513" s="34" t="s">
        <v>4418</v>
      </c>
      <c r="E7513" s="30" t="s">
        <v>15993</v>
      </c>
      <c r="F7513" s="34" t="n">
        <f aca="false">IFERROR(VLOOKUP($A7513,'319'!$B:$H,7,0),0)</f>
        <v>0</v>
      </c>
      <c r="G7513" s="34" t="n">
        <f aca="false">SUMIFS('12.326ana'!$C:$C,'12.326ana'!$M:$M,redes!A7513)</f>
        <v>0</v>
      </c>
    </row>
    <row r="7514" customFormat="false" ht="14.4" hidden="true" customHeight="false" outlineLevel="0" collapsed="false">
      <c r="A7514" s="34" t="n">
        <v>3255734000100</v>
      </c>
      <c r="B7514" s="34" t="s">
        <v>15994</v>
      </c>
      <c r="C7514" s="34" t="s">
        <v>77</v>
      </c>
      <c r="E7514" s="30" t="s">
        <v>15995</v>
      </c>
      <c r="F7514" s="34" t="n">
        <f aca="false">IFERROR(VLOOKUP($A7514,'319'!$B:$H,7,0),0)</f>
        <v>0</v>
      </c>
      <c r="G7514" s="34" t="n">
        <f aca="false">SUMIFS('12.326ana'!$C:$C,'12.326ana'!$M:$M,redes!A7514)</f>
        <v>0</v>
      </c>
    </row>
    <row r="7515" customFormat="false" ht="14.4" hidden="true" customHeight="false" outlineLevel="0" collapsed="false">
      <c r="A7515" s="34" t="n">
        <v>3257078000184</v>
      </c>
      <c r="B7515" s="34" t="s">
        <v>15996</v>
      </c>
      <c r="C7515" s="34" t="s">
        <v>77</v>
      </c>
      <c r="E7515" s="30" t="s">
        <v>15997</v>
      </c>
      <c r="F7515" s="34" t="n">
        <f aca="false">IFERROR(VLOOKUP($A7515,'319'!$B:$H,7,0),0)</f>
        <v>0</v>
      </c>
      <c r="G7515" s="34" t="n">
        <f aca="false">SUMIFS('12.326ana'!$C:$C,'12.326ana'!$M:$M,redes!A7515)</f>
        <v>0</v>
      </c>
    </row>
    <row r="7516" customFormat="false" ht="14.4" hidden="true" customHeight="false" outlineLevel="0" collapsed="false">
      <c r="A7516" s="34" t="n">
        <v>3259088000159</v>
      </c>
      <c r="B7516" s="34" t="s">
        <v>15998</v>
      </c>
      <c r="C7516" s="34" t="s">
        <v>737</v>
      </c>
      <c r="E7516" s="30" t="s">
        <v>13304</v>
      </c>
      <c r="F7516" s="34" t="n">
        <f aca="false">IFERROR(VLOOKUP($A7516,'319'!$B:$H,7,0),0)</f>
        <v>0</v>
      </c>
      <c r="G7516" s="34" t="n">
        <f aca="false">SUMIFS('12.326ana'!$C:$C,'12.326ana'!$M:$M,redes!A7516)</f>
        <v>0</v>
      </c>
    </row>
    <row r="7517" customFormat="false" ht="14.4" hidden="true" customHeight="false" outlineLevel="0" collapsed="false">
      <c r="A7517" s="34" t="n">
        <v>3260304000186</v>
      </c>
      <c r="B7517" s="34" t="s">
        <v>15999</v>
      </c>
      <c r="C7517" s="34" t="s">
        <v>77</v>
      </c>
      <c r="E7517" s="30" t="s">
        <v>16000</v>
      </c>
      <c r="F7517" s="34" t="n">
        <f aca="false">IFERROR(VLOOKUP($A7517,'319'!$B:$H,7,0),0)</f>
        <v>0</v>
      </c>
      <c r="G7517" s="34" t="n">
        <f aca="false">SUMIFS('12.326ana'!$C:$C,'12.326ana'!$M:$M,redes!A7517)</f>
        <v>0</v>
      </c>
    </row>
    <row r="7518" customFormat="false" ht="14.4" hidden="true" customHeight="false" outlineLevel="0" collapsed="false">
      <c r="A7518" s="34" t="n">
        <v>3261158000103</v>
      </c>
      <c r="B7518" s="34" t="s">
        <v>16001</v>
      </c>
      <c r="C7518" s="34" t="s">
        <v>77</v>
      </c>
      <c r="E7518" s="30" t="s">
        <v>16002</v>
      </c>
      <c r="F7518" s="34" t="n">
        <f aca="false">IFERROR(VLOOKUP($A7518,'319'!$B:$H,7,0),0)</f>
        <v>0</v>
      </c>
      <c r="G7518" s="34" t="n">
        <f aca="false">SUMIFS('12.326ana'!$C:$C,'12.326ana'!$M:$M,redes!A7518)</f>
        <v>0</v>
      </c>
    </row>
    <row r="7519" customFormat="false" ht="14.4" hidden="true" customHeight="false" outlineLevel="0" collapsed="false">
      <c r="A7519" s="34" t="n">
        <v>3261495000109</v>
      </c>
      <c r="B7519" s="34" t="s">
        <v>16003</v>
      </c>
      <c r="C7519" s="34" t="s">
        <v>473</v>
      </c>
      <c r="E7519" s="30" t="s">
        <v>14324</v>
      </c>
      <c r="F7519" s="34" t="n">
        <f aca="false">IFERROR(VLOOKUP($A7519,'319'!$B:$H,7,0),0)</f>
        <v>0</v>
      </c>
      <c r="G7519" s="34" t="n">
        <f aca="false">SUMIFS('12.326ana'!$C:$C,'12.326ana'!$M:$M,redes!A7519)</f>
        <v>0</v>
      </c>
    </row>
    <row r="7520" customFormat="false" ht="14.4" hidden="true" customHeight="false" outlineLevel="0" collapsed="false">
      <c r="A7520" s="34" t="n">
        <v>3264039000104</v>
      </c>
      <c r="B7520" s="34" t="s">
        <v>16004</v>
      </c>
      <c r="C7520" s="34" t="s">
        <v>107</v>
      </c>
      <c r="E7520" s="30" t="s">
        <v>16005</v>
      </c>
      <c r="F7520" s="34" t="n">
        <f aca="false">IFERROR(VLOOKUP($A7520,'319'!$B:$H,7,0),0)</f>
        <v>0</v>
      </c>
      <c r="G7520" s="34" t="n">
        <f aca="false">SUMIFS('12.326ana'!$C:$C,'12.326ana'!$M:$M,redes!A7520)</f>
        <v>0</v>
      </c>
    </row>
    <row r="7521" customFormat="false" ht="14.4" hidden="true" customHeight="false" outlineLevel="0" collapsed="false">
      <c r="A7521" s="34" t="n">
        <v>3264385000192</v>
      </c>
      <c r="B7521" s="34" t="s">
        <v>16006</v>
      </c>
      <c r="C7521" s="34" t="s">
        <v>139</v>
      </c>
      <c r="E7521" s="30" t="s">
        <v>16007</v>
      </c>
      <c r="F7521" s="34" t="n">
        <f aca="false">IFERROR(VLOOKUP($A7521,'319'!$B:$H,7,0),0)</f>
        <v>0</v>
      </c>
      <c r="G7521" s="34" t="n">
        <f aca="false">SUMIFS('12.326ana'!$C:$C,'12.326ana'!$M:$M,redes!A7521)</f>
        <v>0</v>
      </c>
    </row>
    <row r="7522" customFormat="false" ht="14.4" hidden="true" customHeight="false" outlineLevel="0" collapsed="false">
      <c r="A7522" s="34" t="n">
        <v>3264791000155</v>
      </c>
      <c r="B7522" s="34" t="s">
        <v>16008</v>
      </c>
      <c r="C7522" s="34" t="s">
        <v>89</v>
      </c>
      <c r="E7522" s="30" t="s">
        <v>16009</v>
      </c>
      <c r="F7522" s="34" t="n">
        <f aca="false">IFERROR(VLOOKUP($A7522,'319'!$B:$H,7,0),0)</f>
        <v>0</v>
      </c>
      <c r="G7522" s="34" t="n">
        <f aca="false">SUMIFS('12.326ana'!$C:$C,'12.326ana'!$M:$M,redes!A7522)</f>
        <v>0</v>
      </c>
    </row>
    <row r="7523" customFormat="false" ht="14.4" hidden="true" customHeight="false" outlineLevel="0" collapsed="false">
      <c r="A7523" s="34" t="n">
        <v>3265485000133</v>
      </c>
      <c r="B7523" s="34" t="s">
        <v>16010</v>
      </c>
      <c r="C7523" s="34" t="s">
        <v>77</v>
      </c>
      <c r="E7523" s="30" t="s">
        <v>16011</v>
      </c>
      <c r="F7523" s="34" t="n">
        <f aca="false">IFERROR(VLOOKUP($A7523,'319'!$B:$H,7,0),0)</f>
        <v>0</v>
      </c>
      <c r="G7523" s="34" t="n">
        <f aca="false">SUMIFS('12.326ana'!$C:$C,'12.326ana'!$M:$M,redes!A7523)</f>
        <v>0</v>
      </c>
    </row>
    <row r="7524" customFormat="false" ht="14.4" hidden="true" customHeight="false" outlineLevel="0" collapsed="false">
      <c r="A7524" s="34" t="n">
        <v>3265571000146</v>
      </c>
      <c r="B7524" s="34" t="s">
        <v>16012</v>
      </c>
      <c r="C7524" s="34" t="s">
        <v>77</v>
      </c>
      <c r="E7524" s="30"/>
      <c r="F7524" s="34" t="n">
        <f aca="false">IFERROR(VLOOKUP($A7524,'319'!$B:$H,7,0),0)</f>
        <v>0</v>
      </c>
      <c r="G7524" s="34" t="n">
        <f aca="false">SUMIFS('12.326ana'!$C:$C,'12.326ana'!$M:$M,redes!A7524)</f>
        <v>0</v>
      </c>
    </row>
    <row r="7525" customFormat="false" ht="14.4" hidden="true" customHeight="false" outlineLevel="0" collapsed="false">
      <c r="A7525" s="34" t="n">
        <v>3265752000172</v>
      </c>
      <c r="B7525" s="34" t="s">
        <v>16013</v>
      </c>
      <c r="C7525" s="34" t="s">
        <v>107</v>
      </c>
      <c r="E7525" s="30" t="s">
        <v>8871</v>
      </c>
      <c r="F7525" s="34" t="n">
        <f aca="false">IFERROR(VLOOKUP($A7525,'319'!$B:$H,7,0),0)</f>
        <v>0</v>
      </c>
      <c r="G7525" s="34" t="n">
        <f aca="false">SUMIFS('12.326ana'!$C:$C,'12.326ana'!$M:$M,redes!A7525)</f>
        <v>0</v>
      </c>
    </row>
    <row r="7526" customFormat="false" ht="14.4" hidden="true" customHeight="false" outlineLevel="0" collapsed="false">
      <c r="A7526" s="34" t="n">
        <v>3266158000104</v>
      </c>
      <c r="B7526" s="34" t="s">
        <v>16014</v>
      </c>
      <c r="C7526" s="34" t="s">
        <v>77</v>
      </c>
      <c r="E7526" s="30" t="s">
        <v>3347</v>
      </c>
      <c r="F7526" s="34" t="n">
        <f aca="false">IFERROR(VLOOKUP($A7526,'319'!$B:$H,7,0),0)</f>
        <v>0</v>
      </c>
      <c r="G7526" s="34" t="n">
        <f aca="false">SUMIFS('12.326ana'!$C:$C,'12.326ana'!$M:$M,redes!A7526)</f>
        <v>0</v>
      </c>
    </row>
    <row r="7527" customFormat="false" ht="14.4" hidden="true" customHeight="false" outlineLevel="0" collapsed="false">
      <c r="A7527" s="34" t="n">
        <v>3267119000113</v>
      </c>
      <c r="B7527" s="34" t="s">
        <v>16015</v>
      </c>
      <c r="C7527" s="34" t="s">
        <v>77</v>
      </c>
      <c r="E7527" s="30" t="s">
        <v>16016</v>
      </c>
      <c r="F7527" s="34" t="n">
        <f aca="false">IFERROR(VLOOKUP($A7527,'319'!$B:$H,7,0),0)</f>
        <v>0</v>
      </c>
      <c r="G7527" s="34" t="n">
        <f aca="false">SUMIFS('12.326ana'!$C:$C,'12.326ana'!$M:$M,redes!A7527)</f>
        <v>0</v>
      </c>
    </row>
    <row r="7528" customFormat="false" ht="14.4" hidden="true" customHeight="false" outlineLevel="0" collapsed="false">
      <c r="A7528" s="34" t="n">
        <v>3267494000163</v>
      </c>
      <c r="B7528" s="34" t="s">
        <v>16017</v>
      </c>
      <c r="C7528" s="34" t="s">
        <v>103</v>
      </c>
      <c r="E7528" s="30" t="s">
        <v>16018</v>
      </c>
      <c r="F7528" s="34" t="n">
        <f aca="false">IFERROR(VLOOKUP($A7528,'319'!$B:$H,7,0),0)</f>
        <v>0</v>
      </c>
      <c r="G7528" s="34" t="n">
        <f aca="false">SUMIFS('12.326ana'!$C:$C,'12.326ana'!$M:$M,redes!A7528)</f>
        <v>0</v>
      </c>
    </row>
    <row r="7529" customFormat="false" ht="14.4" hidden="true" customHeight="false" outlineLevel="0" collapsed="false">
      <c r="A7529" s="34" t="n">
        <v>3267692000127</v>
      </c>
      <c r="B7529" s="34" t="s">
        <v>16019</v>
      </c>
      <c r="C7529" s="34" t="s">
        <v>77</v>
      </c>
      <c r="E7529" s="30" t="s">
        <v>16020</v>
      </c>
      <c r="F7529" s="34" t="n">
        <f aca="false">IFERROR(VLOOKUP($A7529,'319'!$B:$H,7,0),0)</f>
        <v>0</v>
      </c>
      <c r="G7529" s="34" t="n">
        <f aca="false">SUMIFS('12.326ana'!$C:$C,'12.326ana'!$M:$M,redes!A7529)</f>
        <v>0</v>
      </c>
    </row>
    <row r="7530" customFormat="false" ht="14.4" hidden="true" customHeight="false" outlineLevel="0" collapsed="false">
      <c r="A7530" s="34" t="n">
        <v>3267981000126</v>
      </c>
      <c r="B7530" s="34" t="s">
        <v>16021</v>
      </c>
      <c r="C7530" s="34" t="s">
        <v>77</v>
      </c>
      <c r="E7530" s="30" t="s">
        <v>16022</v>
      </c>
      <c r="F7530" s="34" t="n">
        <f aca="false">IFERROR(VLOOKUP($A7530,'319'!$B:$H,7,0),0)</f>
        <v>0</v>
      </c>
      <c r="G7530" s="34" t="n">
        <f aca="false">SUMIFS('12.326ana'!$C:$C,'12.326ana'!$M:$M,redes!A7530)</f>
        <v>0</v>
      </c>
    </row>
    <row r="7531" customFormat="false" ht="14.4" hidden="true" customHeight="false" outlineLevel="0" collapsed="false">
      <c r="A7531" s="34" t="n">
        <v>3268711000130</v>
      </c>
      <c r="B7531" s="34" t="s">
        <v>16023</v>
      </c>
      <c r="C7531" s="34" t="s">
        <v>77</v>
      </c>
      <c r="E7531" s="30" t="s">
        <v>16024</v>
      </c>
      <c r="F7531" s="34" t="n">
        <f aca="false">IFERROR(VLOOKUP($A7531,'319'!$B:$H,7,0),0)</f>
        <v>0</v>
      </c>
      <c r="G7531" s="34" t="n">
        <f aca="false">SUMIFS('12.326ana'!$C:$C,'12.326ana'!$M:$M,redes!A7531)</f>
        <v>0</v>
      </c>
    </row>
    <row r="7532" customFormat="false" ht="14.4" hidden="true" customHeight="false" outlineLevel="0" collapsed="false">
      <c r="A7532" s="34" t="n">
        <v>3270436000199</v>
      </c>
      <c r="B7532" s="34" t="s">
        <v>16025</v>
      </c>
      <c r="C7532" s="34" t="s">
        <v>77</v>
      </c>
      <c r="E7532" s="30" t="s">
        <v>16026</v>
      </c>
      <c r="F7532" s="34" t="n">
        <f aca="false">IFERROR(VLOOKUP($A7532,'319'!$B:$H,7,0),0)</f>
        <v>0</v>
      </c>
      <c r="G7532" s="34" t="n">
        <f aca="false">SUMIFS('12.326ana'!$C:$C,'12.326ana'!$M:$M,redes!A7532)</f>
        <v>0</v>
      </c>
    </row>
    <row r="7533" customFormat="false" ht="14.4" hidden="true" customHeight="false" outlineLevel="0" collapsed="false">
      <c r="A7533" s="34" t="n">
        <v>3270998000132</v>
      </c>
      <c r="B7533" s="34" t="s">
        <v>16027</v>
      </c>
      <c r="C7533" s="34" t="s">
        <v>77</v>
      </c>
      <c r="D7533" s="34" t="s">
        <v>3324</v>
      </c>
      <c r="E7533" s="30" t="s">
        <v>16028</v>
      </c>
      <c r="F7533" s="34" t="n">
        <f aca="false">IFERROR(VLOOKUP($A7533,'319'!$B:$H,7,0),0)</f>
        <v>0</v>
      </c>
      <c r="G7533" s="34" t="n">
        <f aca="false">SUMIFS('12.326ana'!$C:$C,'12.326ana'!$M:$M,redes!A7533)</f>
        <v>0</v>
      </c>
    </row>
    <row r="7534" customFormat="false" ht="14.4" hidden="true" customHeight="false" outlineLevel="0" collapsed="false">
      <c r="A7534" s="34" t="n">
        <v>3271435000169</v>
      </c>
      <c r="B7534" s="34" t="s">
        <v>16029</v>
      </c>
      <c r="C7534" s="34" t="s">
        <v>197</v>
      </c>
      <c r="E7534" s="30" t="s">
        <v>16030</v>
      </c>
      <c r="F7534" s="34" t="n">
        <f aca="false">IFERROR(VLOOKUP($A7534,'319'!$B:$H,7,0),0)</f>
        <v>0</v>
      </c>
      <c r="G7534" s="34" t="n">
        <f aca="false">SUMIFS('12.326ana'!$C:$C,'12.326ana'!$M:$M,redes!A7534)</f>
        <v>0</v>
      </c>
    </row>
    <row r="7535" customFormat="false" ht="14.4" hidden="true" customHeight="false" outlineLevel="0" collapsed="false">
      <c r="A7535" s="34" t="n">
        <v>3271580000140</v>
      </c>
      <c r="B7535" s="34" t="s">
        <v>16031</v>
      </c>
      <c r="C7535" s="34" t="s">
        <v>207</v>
      </c>
      <c r="E7535" s="30" t="s">
        <v>16032</v>
      </c>
      <c r="F7535" s="34" t="n">
        <f aca="false">IFERROR(VLOOKUP($A7535,'319'!$B:$H,7,0),0)</f>
        <v>0</v>
      </c>
      <c r="G7535" s="34" t="n">
        <f aca="false">SUMIFS('12.326ana'!$C:$C,'12.326ana'!$M:$M,redes!A7535)</f>
        <v>0</v>
      </c>
    </row>
    <row r="7536" customFormat="false" ht="14.4" hidden="true" customHeight="false" outlineLevel="0" collapsed="false">
      <c r="A7536" s="34" t="n">
        <v>3271717000166</v>
      </c>
      <c r="B7536" s="34" t="s">
        <v>16033</v>
      </c>
      <c r="C7536" s="34" t="s">
        <v>129</v>
      </c>
      <c r="E7536" s="30" t="s">
        <v>16034</v>
      </c>
      <c r="F7536" s="34" t="n">
        <f aca="false">IFERROR(VLOOKUP($A7536,'319'!$B:$H,7,0),0)</f>
        <v>0</v>
      </c>
      <c r="G7536" s="34" t="n">
        <f aca="false">SUMIFS('12.326ana'!$C:$C,'12.326ana'!$M:$M,redes!A7536)</f>
        <v>0</v>
      </c>
    </row>
    <row r="7537" customFormat="false" ht="14.4" hidden="true" customHeight="false" outlineLevel="0" collapsed="false">
      <c r="A7537" s="34" t="n">
        <v>3272027000121</v>
      </c>
      <c r="B7537" s="34" t="s">
        <v>16035</v>
      </c>
      <c r="C7537" s="34" t="s">
        <v>77</v>
      </c>
      <c r="E7537" s="30" t="s">
        <v>16036</v>
      </c>
      <c r="F7537" s="34" t="n">
        <f aca="false">IFERROR(VLOOKUP($A7537,'319'!$B:$H,7,0),0)</f>
        <v>0</v>
      </c>
      <c r="G7537" s="34" t="n">
        <f aca="false">SUMIFS('12.326ana'!$C:$C,'12.326ana'!$M:$M,redes!A7537)</f>
        <v>0</v>
      </c>
    </row>
    <row r="7538" customFormat="false" ht="14.4" hidden="true" customHeight="false" outlineLevel="0" collapsed="false">
      <c r="A7538" s="34" t="n">
        <v>3272275000172</v>
      </c>
      <c r="B7538" s="34" t="s">
        <v>16037</v>
      </c>
      <c r="C7538" s="34" t="s">
        <v>77</v>
      </c>
      <c r="E7538" s="30" t="s">
        <v>16038</v>
      </c>
      <c r="F7538" s="34" t="n">
        <f aca="false">IFERROR(VLOOKUP($A7538,'319'!$B:$H,7,0),0)</f>
        <v>0</v>
      </c>
      <c r="G7538" s="34" t="n">
        <f aca="false">SUMIFS('12.326ana'!$C:$C,'12.326ana'!$M:$M,redes!A7538)</f>
        <v>0</v>
      </c>
    </row>
    <row r="7539" customFormat="false" ht="14.4" hidden="true" customHeight="false" outlineLevel="0" collapsed="false">
      <c r="A7539" s="34" t="n">
        <v>3272556000800</v>
      </c>
      <c r="B7539" s="34" t="s">
        <v>16039</v>
      </c>
      <c r="C7539" s="34" t="s">
        <v>77</v>
      </c>
      <c r="E7539" s="30" t="s">
        <v>16040</v>
      </c>
      <c r="F7539" s="34" t="n">
        <f aca="false">IFERROR(VLOOKUP($A7539,'319'!$B:$H,7,0),0)</f>
        <v>0</v>
      </c>
      <c r="G7539" s="34" t="n">
        <f aca="false">SUMIFS('12.326ana'!$C:$C,'12.326ana'!$M:$M,redes!A7539)</f>
        <v>0</v>
      </c>
    </row>
    <row r="7540" customFormat="false" ht="14.4" hidden="true" customHeight="false" outlineLevel="0" collapsed="false">
      <c r="A7540" s="34" t="n">
        <v>3272556002098</v>
      </c>
      <c r="B7540" s="34" t="s">
        <v>16041</v>
      </c>
      <c r="C7540" s="34" t="s">
        <v>77</v>
      </c>
      <c r="E7540" s="30"/>
      <c r="F7540" s="34" t="n">
        <f aca="false">IFERROR(VLOOKUP($A7540,'319'!$B:$H,7,0),0)</f>
        <v>0</v>
      </c>
      <c r="G7540" s="34" t="n">
        <f aca="false">SUMIFS('12.326ana'!$C:$C,'12.326ana'!$M:$M,redes!A7540)</f>
        <v>0</v>
      </c>
    </row>
    <row r="7541" customFormat="false" ht="14.4" hidden="true" customHeight="false" outlineLevel="0" collapsed="false">
      <c r="A7541" s="34" t="n">
        <v>3272689000100</v>
      </c>
      <c r="B7541" s="34" t="s">
        <v>16042</v>
      </c>
      <c r="C7541" s="34" t="s">
        <v>77</v>
      </c>
      <c r="E7541" s="30" t="s">
        <v>16043</v>
      </c>
      <c r="F7541" s="34" t="n">
        <f aca="false">IFERROR(VLOOKUP($A7541,'319'!$B:$H,7,0),0)</f>
        <v>0</v>
      </c>
      <c r="G7541" s="34" t="n">
        <f aca="false">SUMIFS('12.326ana'!$C:$C,'12.326ana'!$M:$M,redes!A7541)</f>
        <v>0</v>
      </c>
    </row>
    <row r="7542" customFormat="false" ht="14.4" hidden="true" customHeight="false" outlineLevel="0" collapsed="false">
      <c r="A7542" s="34" t="n">
        <v>3273885000190</v>
      </c>
      <c r="B7542" s="34" t="s">
        <v>16044</v>
      </c>
      <c r="C7542" s="34" t="s">
        <v>77</v>
      </c>
      <c r="E7542" s="30" t="s">
        <v>16045</v>
      </c>
      <c r="F7542" s="34" t="n">
        <f aca="false">IFERROR(VLOOKUP($A7542,'319'!$B:$H,7,0),0)</f>
        <v>0</v>
      </c>
      <c r="G7542" s="34" t="n">
        <f aca="false">SUMIFS('12.326ana'!$C:$C,'12.326ana'!$M:$M,redes!A7542)</f>
        <v>0</v>
      </c>
    </row>
    <row r="7543" customFormat="false" ht="14.4" hidden="true" customHeight="false" outlineLevel="0" collapsed="false">
      <c r="A7543" s="34" t="n">
        <v>3275015000150</v>
      </c>
      <c r="B7543" s="34" t="s">
        <v>16046</v>
      </c>
      <c r="C7543" s="34" t="s">
        <v>77</v>
      </c>
      <c r="D7543" s="34" t="s">
        <v>16047</v>
      </c>
      <c r="E7543" s="30" t="s">
        <v>16048</v>
      </c>
      <c r="F7543" s="34" t="n">
        <f aca="false">IFERROR(VLOOKUP($A7543,'319'!$B:$H,7,0),0)</f>
        <v>0</v>
      </c>
      <c r="G7543" s="34" t="n">
        <f aca="false">SUMIFS('12.326ana'!$C:$C,'12.326ana'!$M:$M,redes!A7543)</f>
        <v>0</v>
      </c>
    </row>
    <row r="7544" customFormat="false" ht="14.4" hidden="true" customHeight="false" outlineLevel="0" collapsed="false">
      <c r="A7544" s="34" t="n">
        <v>3275015000231</v>
      </c>
      <c r="B7544" s="34" t="s">
        <v>16049</v>
      </c>
      <c r="C7544" s="34" t="s">
        <v>77</v>
      </c>
      <c r="D7544" s="34" t="s">
        <v>16047</v>
      </c>
      <c r="E7544" s="30" t="s">
        <v>16050</v>
      </c>
      <c r="F7544" s="34" t="n">
        <f aca="false">IFERROR(VLOOKUP($A7544,'319'!$B:$H,7,0),0)</f>
        <v>0</v>
      </c>
      <c r="G7544" s="34" t="n">
        <f aca="false">SUMIFS('12.326ana'!$C:$C,'12.326ana'!$M:$M,redes!A7544)</f>
        <v>0</v>
      </c>
    </row>
    <row r="7545" customFormat="false" ht="14.4" hidden="true" customHeight="false" outlineLevel="0" collapsed="false">
      <c r="A7545" s="34" t="n">
        <v>3275015000312</v>
      </c>
      <c r="B7545" s="34" t="s">
        <v>16051</v>
      </c>
      <c r="C7545" s="34" t="s">
        <v>77</v>
      </c>
      <c r="D7545" s="34" t="s">
        <v>16047</v>
      </c>
      <c r="E7545" s="30" t="s">
        <v>16050</v>
      </c>
      <c r="F7545" s="34" t="n">
        <f aca="false">IFERROR(VLOOKUP($A7545,'319'!$B:$H,7,0),0)</f>
        <v>0</v>
      </c>
      <c r="G7545" s="34" t="n">
        <f aca="false">SUMIFS('12.326ana'!$C:$C,'12.326ana'!$M:$M,redes!A7545)</f>
        <v>0</v>
      </c>
    </row>
    <row r="7546" customFormat="false" ht="14.4" hidden="true" customHeight="false" outlineLevel="0" collapsed="false">
      <c r="A7546" s="34" t="n">
        <v>3275015000401</v>
      </c>
      <c r="B7546" s="34" t="s">
        <v>16052</v>
      </c>
      <c r="C7546" s="34" t="s">
        <v>77</v>
      </c>
      <c r="D7546" s="34" t="s">
        <v>16047</v>
      </c>
      <c r="E7546" s="30" t="s">
        <v>16050</v>
      </c>
      <c r="F7546" s="34" t="n">
        <f aca="false">IFERROR(VLOOKUP($A7546,'319'!$B:$H,7,0),0)</f>
        <v>0</v>
      </c>
      <c r="G7546" s="34" t="n">
        <f aca="false">SUMIFS('12.326ana'!$C:$C,'12.326ana'!$M:$M,redes!A7546)</f>
        <v>0</v>
      </c>
    </row>
    <row r="7547" customFormat="false" ht="14.4" hidden="true" customHeight="false" outlineLevel="0" collapsed="false">
      <c r="A7547" s="34" t="n">
        <v>3275031000143</v>
      </c>
      <c r="B7547" s="34" t="s">
        <v>16053</v>
      </c>
      <c r="C7547" s="34" t="s">
        <v>1591</v>
      </c>
      <c r="E7547" s="30" t="s">
        <v>8059</v>
      </c>
      <c r="F7547" s="34" t="n">
        <f aca="false">IFERROR(VLOOKUP($A7547,'319'!$B:$H,7,0),0)</f>
        <v>0</v>
      </c>
      <c r="G7547" s="34" t="n">
        <f aca="false">SUMIFS('12.326ana'!$C:$C,'12.326ana'!$M:$M,redes!A7547)</f>
        <v>0</v>
      </c>
    </row>
    <row r="7548" customFormat="false" ht="14.4" hidden="true" customHeight="false" outlineLevel="0" collapsed="false">
      <c r="A7548" s="34" t="n">
        <v>3275716000190</v>
      </c>
      <c r="B7548" s="34" t="s">
        <v>16054</v>
      </c>
      <c r="C7548" s="34" t="s">
        <v>77</v>
      </c>
      <c r="E7548" s="30" t="s">
        <v>16055</v>
      </c>
      <c r="F7548" s="34" t="n">
        <f aca="false">IFERROR(VLOOKUP($A7548,'319'!$B:$H,7,0),0)</f>
        <v>0</v>
      </c>
      <c r="G7548" s="34" t="n">
        <f aca="false">SUMIFS('12.326ana'!$C:$C,'12.326ana'!$M:$M,redes!A7548)</f>
        <v>0</v>
      </c>
    </row>
    <row r="7549" customFormat="false" ht="14.4" hidden="true" customHeight="false" outlineLevel="0" collapsed="false">
      <c r="A7549" s="34" t="n">
        <v>3276201000104</v>
      </c>
      <c r="B7549" s="34" t="s">
        <v>16056</v>
      </c>
      <c r="C7549" s="34" t="s">
        <v>77</v>
      </c>
      <c r="E7549" s="30" t="s">
        <v>16057</v>
      </c>
      <c r="F7549" s="34" t="n">
        <f aca="false">IFERROR(VLOOKUP($A7549,'319'!$B:$H,7,0),0)</f>
        <v>0</v>
      </c>
      <c r="G7549" s="34" t="n">
        <f aca="false">SUMIFS('12.326ana'!$C:$C,'12.326ana'!$M:$M,redes!A7549)</f>
        <v>0</v>
      </c>
    </row>
    <row r="7550" customFormat="false" ht="14.4" hidden="true" customHeight="false" outlineLevel="0" collapsed="false">
      <c r="A7550" s="34" t="n">
        <v>3276524000106</v>
      </c>
      <c r="B7550" s="34" t="s">
        <v>16058</v>
      </c>
      <c r="C7550" s="34" t="s">
        <v>77</v>
      </c>
      <c r="E7550" s="30" t="s">
        <v>16059</v>
      </c>
      <c r="F7550" s="34" t="n">
        <f aca="false">IFERROR(VLOOKUP($A7550,'319'!$B:$H,7,0),0)</f>
        <v>0</v>
      </c>
      <c r="G7550" s="34" t="n">
        <f aca="false">SUMIFS('12.326ana'!$C:$C,'12.326ana'!$M:$M,redes!A7550)</f>
        <v>0</v>
      </c>
    </row>
    <row r="7551" customFormat="false" ht="14.4" hidden="true" customHeight="false" outlineLevel="0" collapsed="false">
      <c r="A7551" s="34" t="n">
        <v>3276809000139</v>
      </c>
      <c r="B7551" s="34" t="s">
        <v>16060</v>
      </c>
      <c r="C7551" s="34" t="s">
        <v>604</v>
      </c>
      <c r="E7551" s="30" t="s">
        <v>16061</v>
      </c>
      <c r="F7551" s="34" t="n">
        <f aca="false">IFERROR(VLOOKUP($A7551,'319'!$B:$H,7,0),0)</f>
        <v>0</v>
      </c>
      <c r="G7551" s="34" t="n">
        <f aca="false">SUMIFS('12.326ana'!$C:$C,'12.326ana'!$M:$M,redes!A7551)</f>
        <v>0</v>
      </c>
    </row>
    <row r="7552" customFormat="false" ht="14.4" hidden="true" customHeight="false" outlineLevel="0" collapsed="false">
      <c r="A7552" s="34" t="n">
        <v>3276854000193</v>
      </c>
      <c r="B7552" s="34" t="s">
        <v>16062</v>
      </c>
      <c r="C7552" s="34" t="s">
        <v>77</v>
      </c>
      <c r="E7552" s="30" t="s">
        <v>16063</v>
      </c>
      <c r="F7552" s="34" t="n">
        <f aca="false">IFERROR(VLOOKUP($A7552,'319'!$B:$H,7,0),0)</f>
        <v>0</v>
      </c>
      <c r="G7552" s="34" t="n">
        <f aca="false">SUMIFS('12.326ana'!$C:$C,'12.326ana'!$M:$M,redes!A7552)</f>
        <v>0</v>
      </c>
    </row>
    <row r="7553" customFormat="false" ht="14.4" hidden="true" customHeight="false" outlineLevel="0" collapsed="false">
      <c r="A7553" s="34" t="n">
        <v>3277200000184</v>
      </c>
      <c r="B7553" s="34" t="s">
        <v>16064</v>
      </c>
      <c r="C7553" s="34" t="s">
        <v>463</v>
      </c>
      <c r="E7553" s="30" t="s">
        <v>16065</v>
      </c>
      <c r="F7553" s="34" t="n">
        <f aca="false">IFERROR(VLOOKUP($A7553,'319'!$B:$H,7,0),0)</f>
        <v>0</v>
      </c>
      <c r="G7553" s="34" t="n">
        <f aca="false">SUMIFS('12.326ana'!$C:$C,'12.326ana'!$M:$M,redes!A7553)</f>
        <v>0</v>
      </c>
    </row>
    <row r="7554" customFormat="false" ht="14.4" hidden="true" customHeight="false" outlineLevel="0" collapsed="false">
      <c r="A7554" s="34" t="n">
        <v>3280577000192</v>
      </c>
      <c r="B7554" s="34" t="s">
        <v>16066</v>
      </c>
      <c r="C7554" s="34" t="s">
        <v>309</v>
      </c>
      <c r="E7554" s="30" t="s">
        <v>16067</v>
      </c>
      <c r="F7554" s="34" t="n">
        <f aca="false">IFERROR(VLOOKUP($A7554,'319'!$B:$H,7,0),0)</f>
        <v>0</v>
      </c>
      <c r="G7554" s="34" t="n">
        <f aca="false">SUMIFS('12.326ana'!$C:$C,'12.326ana'!$M:$M,redes!A7554)</f>
        <v>0</v>
      </c>
    </row>
    <row r="7555" customFormat="false" ht="14.4" hidden="true" customHeight="false" outlineLevel="0" collapsed="false">
      <c r="A7555" s="34" t="n">
        <v>3280896000106</v>
      </c>
      <c r="B7555" s="34" t="s">
        <v>16068</v>
      </c>
      <c r="C7555" s="34" t="s">
        <v>127</v>
      </c>
      <c r="E7555" s="30" t="s">
        <v>16069</v>
      </c>
      <c r="F7555" s="34" t="n">
        <f aca="false">IFERROR(VLOOKUP($A7555,'319'!$B:$H,7,0),0)</f>
        <v>0</v>
      </c>
      <c r="G7555" s="34" t="n">
        <f aca="false">SUMIFS('12.326ana'!$C:$C,'12.326ana'!$M:$M,redes!A7555)</f>
        <v>0</v>
      </c>
    </row>
    <row r="7556" customFormat="false" ht="14.4" hidden="true" customHeight="false" outlineLevel="0" collapsed="false">
      <c r="A7556" s="34" t="n">
        <v>3289710000171</v>
      </c>
      <c r="B7556" s="34" t="s">
        <v>16070</v>
      </c>
      <c r="C7556" s="34" t="s">
        <v>77</v>
      </c>
      <c r="E7556" s="30" t="s">
        <v>16071</v>
      </c>
      <c r="F7556" s="34" t="n">
        <f aca="false">IFERROR(VLOOKUP($A7556,'319'!$B:$H,7,0),0)</f>
        <v>0</v>
      </c>
      <c r="G7556" s="34" t="n">
        <f aca="false">SUMIFS('12.326ana'!$C:$C,'12.326ana'!$M:$M,redes!A7556)</f>
        <v>0</v>
      </c>
    </row>
    <row r="7557" customFormat="false" ht="14.4" hidden="true" customHeight="false" outlineLevel="0" collapsed="false">
      <c r="A7557" s="34" t="n">
        <v>3292725000199</v>
      </c>
      <c r="B7557" s="34" t="s">
        <v>16072</v>
      </c>
      <c r="C7557" s="34" t="s">
        <v>77</v>
      </c>
      <c r="E7557" s="30" t="s">
        <v>16073</v>
      </c>
      <c r="F7557" s="34" t="n">
        <f aca="false">IFERROR(VLOOKUP($A7557,'319'!$B:$H,7,0),0)</f>
        <v>0</v>
      </c>
      <c r="G7557" s="34" t="n">
        <f aca="false">SUMIFS('12.326ana'!$C:$C,'12.326ana'!$M:$M,redes!A7557)</f>
        <v>0</v>
      </c>
    </row>
    <row r="7558" customFormat="false" ht="14.4" hidden="true" customHeight="false" outlineLevel="0" collapsed="false">
      <c r="A7558" s="34" t="n">
        <v>3295385000150</v>
      </c>
      <c r="B7558" s="34" t="s">
        <v>16074</v>
      </c>
      <c r="C7558" s="34" t="s">
        <v>107</v>
      </c>
      <c r="E7558" s="30" t="s">
        <v>16075</v>
      </c>
      <c r="F7558" s="34" t="n">
        <f aca="false">IFERROR(VLOOKUP($A7558,'319'!$B:$H,7,0),0)</f>
        <v>0</v>
      </c>
      <c r="G7558" s="34" t="n">
        <f aca="false">SUMIFS('12.326ana'!$C:$C,'12.326ana'!$M:$M,redes!A7558)</f>
        <v>0</v>
      </c>
    </row>
    <row r="7559" customFormat="false" ht="14.4" hidden="true" customHeight="false" outlineLevel="0" collapsed="false">
      <c r="A7559" s="34" t="n">
        <v>3297281000184</v>
      </c>
      <c r="B7559" s="34" t="s">
        <v>16076</v>
      </c>
      <c r="C7559" s="34" t="s">
        <v>562</v>
      </c>
      <c r="E7559" s="30" t="s">
        <v>16077</v>
      </c>
      <c r="F7559" s="34" t="n">
        <f aca="false">IFERROR(VLOOKUP($A7559,'319'!$B:$H,7,0),0)</f>
        <v>0</v>
      </c>
      <c r="G7559" s="34" t="n">
        <f aca="false">SUMIFS('12.326ana'!$C:$C,'12.326ana'!$M:$M,redes!A7559)</f>
        <v>0</v>
      </c>
    </row>
    <row r="7560" customFormat="false" ht="14.4" hidden="true" customHeight="false" outlineLevel="0" collapsed="false">
      <c r="A7560" s="34" t="n">
        <v>3298657000175</v>
      </c>
      <c r="B7560" s="34" t="s">
        <v>16078</v>
      </c>
      <c r="C7560" s="34" t="s">
        <v>546</v>
      </c>
      <c r="E7560" s="30" t="s">
        <v>16079</v>
      </c>
      <c r="F7560" s="34" t="n">
        <f aca="false">IFERROR(VLOOKUP($A7560,'319'!$B:$H,7,0),0)</f>
        <v>0</v>
      </c>
      <c r="G7560" s="34" t="n">
        <f aca="false">SUMIFS('12.326ana'!$C:$C,'12.326ana'!$M:$M,redes!A7560)</f>
        <v>0</v>
      </c>
    </row>
    <row r="7561" customFormat="false" ht="14.4" hidden="true" customHeight="false" outlineLevel="0" collapsed="false">
      <c r="A7561" s="34" t="n">
        <v>3300098000190</v>
      </c>
      <c r="B7561" s="34" t="s">
        <v>16080</v>
      </c>
      <c r="C7561" s="34" t="s">
        <v>117</v>
      </c>
      <c r="E7561" s="30" t="s">
        <v>16081</v>
      </c>
      <c r="F7561" s="34" t="n">
        <f aca="false">IFERROR(VLOOKUP($A7561,'319'!$B:$H,7,0),0)</f>
        <v>0</v>
      </c>
      <c r="G7561" s="34" t="n">
        <f aca="false">SUMIFS('12.326ana'!$C:$C,'12.326ana'!$M:$M,redes!A7561)</f>
        <v>0</v>
      </c>
    </row>
    <row r="7562" customFormat="false" ht="14.4" hidden="true" customHeight="false" outlineLevel="0" collapsed="false">
      <c r="A7562" s="34" t="n">
        <v>3300964000143</v>
      </c>
      <c r="B7562" s="34" t="s">
        <v>16082</v>
      </c>
      <c r="C7562" s="34" t="s">
        <v>2998</v>
      </c>
      <c r="E7562" s="30" t="s">
        <v>16082</v>
      </c>
      <c r="F7562" s="34" t="n">
        <f aca="false">IFERROR(VLOOKUP($A7562,'319'!$B:$H,7,0),0)</f>
        <v>0</v>
      </c>
      <c r="G7562" s="34" t="n">
        <f aca="false">SUMIFS('12.326ana'!$C:$C,'12.326ana'!$M:$M,redes!A7562)</f>
        <v>0</v>
      </c>
    </row>
    <row r="7563" customFormat="false" ht="14.4" hidden="true" customHeight="false" outlineLevel="0" collapsed="false">
      <c r="A7563" s="34" t="n">
        <v>3303285000209</v>
      </c>
      <c r="B7563" s="34" t="s">
        <v>16083</v>
      </c>
      <c r="C7563" s="34" t="s">
        <v>16084</v>
      </c>
      <c r="E7563" s="30" t="s">
        <v>16085</v>
      </c>
      <c r="F7563" s="34" t="n">
        <f aca="false">IFERROR(VLOOKUP($A7563,'319'!$B:$H,7,0),0)</f>
        <v>0</v>
      </c>
      <c r="G7563" s="34" t="n">
        <f aca="false">SUMIFS('12.326ana'!$C:$C,'12.326ana'!$M:$M,redes!A7563)</f>
        <v>0</v>
      </c>
    </row>
    <row r="7564" customFormat="false" ht="14.4" hidden="true" customHeight="false" outlineLevel="0" collapsed="false">
      <c r="A7564" s="34" t="n">
        <v>3304119000227</v>
      </c>
      <c r="B7564" s="34" t="s">
        <v>16086</v>
      </c>
      <c r="C7564" s="34" t="s">
        <v>77</v>
      </c>
      <c r="E7564" s="30" t="s">
        <v>16087</v>
      </c>
      <c r="F7564" s="34" t="n">
        <f aca="false">IFERROR(VLOOKUP($A7564,'319'!$B:$H,7,0),0)</f>
        <v>0</v>
      </c>
      <c r="G7564" s="34" t="n">
        <f aca="false">SUMIFS('12.326ana'!$C:$C,'12.326ana'!$M:$M,redes!A7564)</f>
        <v>0</v>
      </c>
    </row>
    <row r="7565" customFormat="false" ht="14.4" hidden="true" customHeight="false" outlineLevel="0" collapsed="false">
      <c r="A7565" s="34" t="n">
        <v>3304306000120</v>
      </c>
      <c r="B7565" s="34" t="s">
        <v>16088</v>
      </c>
      <c r="C7565" s="34" t="s">
        <v>103</v>
      </c>
      <c r="E7565" s="30" t="s">
        <v>16089</v>
      </c>
      <c r="F7565" s="34" t="n">
        <f aca="false">IFERROR(VLOOKUP($A7565,'319'!$B:$H,7,0),0)</f>
        <v>0</v>
      </c>
      <c r="G7565" s="34" t="n">
        <f aca="false">SUMIFS('12.326ana'!$C:$C,'12.326ana'!$M:$M,redes!A7565)</f>
        <v>0</v>
      </c>
    </row>
    <row r="7566" customFormat="false" ht="14.4" hidden="true" customHeight="false" outlineLevel="0" collapsed="false">
      <c r="A7566" s="34" t="n">
        <v>3304315000110</v>
      </c>
      <c r="B7566" s="34" t="s">
        <v>16090</v>
      </c>
      <c r="C7566" s="34" t="s">
        <v>103</v>
      </c>
      <c r="E7566" s="30" t="s">
        <v>15025</v>
      </c>
      <c r="F7566" s="34" t="n">
        <f aca="false">IFERROR(VLOOKUP($A7566,'319'!$B:$H,7,0),0)</f>
        <v>0</v>
      </c>
      <c r="G7566" s="34" t="n">
        <f aca="false">SUMIFS('12.326ana'!$C:$C,'12.326ana'!$M:$M,redes!A7566)</f>
        <v>0</v>
      </c>
    </row>
    <row r="7567" customFormat="false" ht="14.4" hidden="true" customHeight="false" outlineLevel="0" collapsed="false">
      <c r="A7567" s="34" t="n">
        <v>3306939000177</v>
      </c>
      <c r="B7567" s="34" t="s">
        <v>16091</v>
      </c>
      <c r="C7567" s="34" t="s">
        <v>107</v>
      </c>
      <c r="E7567" s="30" t="s">
        <v>16092</v>
      </c>
      <c r="F7567" s="34" t="n">
        <f aca="false">IFERROR(VLOOKUP($A7567,'319'!$B:$H,7,0),0)</f>
        <v>0</v>
      </c>
      <c r="G7567" s="34" t="n">
        <f aca="false">SUMIFS('12.326ana'!$C:$C,'12.326ana'!$M:$M,redes!A7567)</f>
        <v>0</v>
      </c>
    </row>
    <row r="7568" customFormat="false" ht="14.4" hidden="true" customHeight="false" outlineLevel="0" collapsed="false">
      <c r="A7568" s="34" t="n">
        <v>3307039000144</v>
      </c>
      <c r="B7568" s="34" t="s">
        <v>16093</v>
      </c>
      <c r="C7568" s="34" t="s">
        <v>107</v>
      </c>
      <c r="D7568" s="34" t="s">
        <v>4797</v>
      </c>
      <c r="E7568" s="30" t="s">
        <v>5324</v>
      </c>
      <c r="F7568" s="34" t="n">
        <f aca="false">IFERROR(VLOOKUP($A7568,'319'!$B:$H,7,0),0)</f>
        <v>0</v>
      </c>
      <c r="G7568" s="34" t="n">
        <f aca="false">SUMIFS('12.326ana'!$C:$C,'12.326ana'!$M:$M,redes!A7568)</f>
        <v>0</v>
      </c>
    </row>
    <row r="7569" customFormat="false" ht="14.4" hidden="true" customHeight="false" outlineLevel="0" collapsed="false">
      <c r="A7569" s="34" t="n">
        <v>3311475000197</v>
      </c>
      <c r="B7569" s="34" t="s">
        <v>16094</v>
      </c>
      <c r="C7569" s="34" t="s">
        <v>77</v>
      </c>
      <c r="E7569" s="30" t="s">
        <v>8730</v>
      </c>
      <c r="F7569" s="34" t="n">
        <f aca="false">IFERROR(VLOOKUP($A7569,'319'!$B:$H,7,0),0)</f>
        <v>0</v>
      </c>
      <c r="G7569" s="34" t="n">
        <f aca="false">SUMIFS('12.326ana'!$C:$C,'12.326ana'!$M:$M,redes!A7569)</f>
        <v>0</v>
      </c>
    </row>
    <row r="7570" customFormat="false" ht="14.4" hidden="true" customHeight="false" outlineLevel="0" collapsed="false">
      <c r="A7570" s="34" t="n">
        <v>3312270000126</v>
      </c>
      <c r="B7570" s="34" t="s">
        <v>16095</v>
      </c>
      <c r="C7570" s="34" t="s">
        <v>464</v>
      </c>
      <c r="E7570" s="30" t="s">
        <v>16096</v>
      </c>
      <c r="F7570" s="34" t="n">
        <f aca="false">IFERROR(VLOOKUP($A7570,'319'!$B:$H,7,0),0)</f>
        <v>0</v>
      </c>
      <c r="G7570" s="34" t="n">
        <f aca="false">SUMIFS('12.326ana'!$C:$C,'12.326ana'!$M:$M,redes!A7570)</f>
        <v>0</v>
      </c>
    </row>
    <row r="7571" customFormat="false" ht="14.4" hidden="true" customHeight="false" outlineLevel="0" collapsed="false">
      <c r="A7571" s="34" t="n">
        <v>3313613000177</v>
      </c>
      <c r="B7571" s="34" t="s">
        <v>16097</v>
      </c>
      <c r="C7571" s="34" t="s">
        <v>4462</v>
      </c>
      <c r="E7571" s="30" t="s">
        <v>12943</v>
      </c>
      <c r="F7571" s="34" t="n">
        <f aca="false">IFERROR(VLOOKUP($A7571,'319'!$B:$H,7,0),0)</f>
        <v>0</v>
      </c>
      <c r="G7571" s="34" t="n">
        <f aca="false">SUMIFS('12.326ana'!$C:$C,'12.326ana'!$M:$M,redes!A7571)</f>
        <v>0</v>
      </c>
    </row>
    <row r="7572" customFormat="false" ht="14.4" hidden="true" customHeight="false" outlineLevel="0" collapsed="false">
      <c r="A7572" s="34" t="n">
        <v>3314517000143</v>
      </c>
      <c r="B7572" s="34" t="s">
        <v>16098</v>
      </c>
      <c r="C7572" s="34" t="s">
        <v>77</v>
      </c>
      <c r="E7572" s="30" t="s">
        <v>16099</v>
      </c>
      <c r="F7572" s="34" t="n">
        <f aca="false">IFERROR(VLOOKUP($A7572,'319'!$B:$H,7,0),0)</f>
        <v>0</v>
      </c>
      <c r="G7572" s="34" t="n">
        <f aca="false">SUMIFS('12.326ana'!$C:$C,'12.326ana'!$M:$M,redes!A7572)</f>
        <v>0</v>
      </c>
    </row>
    <row r="7573" customFormat="false" ht="14.4" hidden="true" customHeight="false" outlineLevel="0" collapsed="false">
      <c r="A7573" s="34" t="n">
        <v>3314924000150</v>
      </c>
      <c r="B7573" s="34" t="s">
        <v>16100</v>
      </c>
      <c r="C7573" s="34" t="s">
        <v>139</v>
      </c>
      <c r="D7573" s="34" t="s">
        <v>4797</v>
      </c>
      <c r="E7573" s="30" t="s">
        <v>16101</v>
      </c>
      <c r="F7573" s="34" t="n">
        <f aca="false">IFERROR(VLOOKUP($A7573,'319'!$B:$H,7,0),0)</f>
        <v>0</v>
      </c>
      <c r="G7573" s="34" t="n">
        <f aca="false">SUMIFS('12.326ana'!$C:$C,'12.326ana'!$M:$M,redes!A7573)</f>
        <v>0</v>
      </c>
    </row>
    <row r="7574" customFormat="false" ht="14.4" hidden="true" customHeight="false" outlineLevel="0" collapsed="false">
      <c r="A7574" s="34" t="n">
        <v>3315074000105</v>
      </c>
      <c r="B7574" s="34" t="s">
        <v>16102</v>
      </c>
      <c r="C7574" s="34" t="s">
        <v>77</v>
      </c>
      <c r="E7574" s="30"/>
      <c r="F7574" s="34" t="n">
        <f aca="false">IFERROR(VLOOKUP($A7574,'319'!$B:$H,7,0),0)</f>
        <v>0</v>
      </c>
      <c r="G7574" s="34" t="n">
        <f aca="false">SUMIFS('12.326ana'!$C:$C,'12.326ana'!$M:$M,redes!A7574)</f>
        <v>0</v>
      </c>
    </row>
    <row r="7575" customFormat="false" ht="14.4" hidden="true" customHeight="false" outlineLevel="0" collapsed="false">
      <c r="A7575" s="34" t="n">
        <v>3315116000108</v>
      </c>
      <c r="B7575" s="34" t="s">
        <v>16103</v>
      </c>
      <c r="C7575" s="34" t="s">
        <v>77</v>
      </c>
      <c r="E7575" s="30" t="s">
        <v>16104</v>
      </c>
      <c r="F7575" s="34" t="n">
        <f aca="false">IFERROR(VLOOKUP($A7575,'319'!$B:$H,7,0),0)</f>
        <v>0</v>
      </c>
      <c r="G7575" s="34" t="n">
        <f aca="false">SUMIFS('12.326ana'!$C:$C,'12.326ana'!$M:$M,redes!A7575)</f>
        <v>0</v>
      </c>
    </row>
    <row r="7576" customFormat="false" ht="14.4" hidden="true" customHeight="false" outlineLevel="0" collapsed="false">
      <c r="A7576" s="34" t="n">
        <v>3315217000189</v>
      </c>
      <c r="B7576" s="34" t="s">
        <v>16105</v>
      </c>
      <c r="C7576" s="34" t="s">
        <v>781</v>
      </c>
      <c r="E7576" s="30" t="s">
        <v>16106</v>
      </c>
      <c r="F7576" s="34" t="n">
        <f aca="false">IFERROR(VLOOKUP($A7576,'319'!$B:$H,7,0),0)</f>
        <v>0</v>
      </c>
      <c r="G7576" s="34" t="n">
        <f aca="false">SUMIFS('12.326ana'!$C:$C,'12.326ana'!$M:$M,redes!A7576)</f>
        <v>0</v>
      </c>
    </row>
    <row r="7577" customFormat="false" ht="14.4" hidden="true" customHeight="false" outlineLevel="0" collapsed="false">
      <c r="A7577" s="34" t="n">
        <v>3315327000140</v>
      </c>
      <c r="B7577" s="34" t="s">
        <v>16107</v>
      </c>
      <c r="C7577" s="34" t="s">
        <v>77</v>
      </c>
      <c r="E7577" s="30" t="s">
        <v>16108</v>
      </c>
      <c r="F7577" s="34" t="n">
        <f aca="false">IFERROR(VLOOKUP($A7577,'319'!$B:$H,7,0),0)</f>
        <v>0</v>
      </c>
      <c r="G7577" s="34" t="n">
        <f aca="false">SUMIFS('12.326ana'!$C:$C,'12.326ana'!$M:$M,redes!A7577)</f>
        <v>0</v>
      </c>
    </row>
    <row r="7578" customFormat="false" ht="14.4" hidden="true" customHeight="false" outlineLevel="0" collapsed="false">
      <c r="A7578" s="34" t="n">
        <v>3315918000118</v>
      </c>
      <c r="B7578" s="34" t="s">
        <v>16109</v>
      </c>
      <c r="C7578" s="34" t="s">
        <v>77</v>
      </c>
      <c r="E7578" s="30" t="s">
        <v>16110</v>
      </c>
      <c r="F7578" s="34" t="n">
        <f aca="false">IFERROR(VLOOKUP($A7578,'319'!$B:$H,7,0),0)</f>
        <v>0</v>
      </c>
      <c r="G7578" s="34" t="n">
        <f aca="false">SUMIFS('12.326ana'!$C:$C,'12.326ana'!$M:$M,redes!A7578)</f>
        <v>0</v>
      </c>
    </row>
    <row r="7579" customFormat="false" ht="14.4" hidden="true" customHeight="false" outlineLevel="0" collapsed="false">
      <c r="A7579" s="34" t="n">
        <v>3315918000541</v>
      </c>
      <c r="B7579" s="34" t="s">
        <v>16111</v>
      </c>
      <c r="C7579" s="34" t="s">
        <v>77</v>
      </c>
      <c r="E7579" s="30" t="s">
        <v>16112</v>
      </c>
      <c r="F7579" s="34" t="n">
        <f aca="false">IFERROR(VLOOKUP($A7579,'319'!$B:$H,7,0),0)</f>
        <v>0</v>
      </c>
      <c r="G7579" s="34" t="n">
        <f aca="false">SUMIFS('12.326ana'!$C:$C,'12.326ana'!$M:$M,redes!A7579)</f>
        <v>0</v>
      </c>
    </row>
    <row r="7580" customFormat="false" ht="14.4" hidden="true" customHeight="false" outlineLevel="0" collapsed="false">
      <c r="A7580" s="34" t="n">
        <v>3318425000131</v>
      </c>
      <c r="B7580" s="34" t="s">
        <v>16113</v>
      </c>
      <c r="C7580" s="34" t="s">
        <v>77</v>
      </c>
      <c r="E7580" s="30" t="s">
        <v>16114</v>
      </c>
      <c r="F7580" s="34" t="n">
        <f aca="false">IFERROR(VLOOKUP($A7580,'319'!$B:$H,7,0),0)</f>
        <v>0</v>
      </c>
      <c r="G7580" s="34" t="n">
        <f aca="false">SUMIFS('12.326ana'!$C:$C,'12.326ana'!$M:$M,redes!A7580)</f>
        <v>0</v>
      </c>
    </row>
    <row r="7581" customFormat="false" ht="14.4" hidden="true" customHeight="false" outlineLevel="0" collapsed="false">
      <c r="A7581" s="34" t="n">
        <v>3320556000153</v>
      </c>
      <c r="B7581" s="34" t="s">
        <v>16115</v>
      </c>
      <c r="C7581" s="34" t="s">
        <v>804</v>
      </c>
      <c r="E7581" s="30" t="s">
        <v>16116</v>
      </c>
      <c r="F7581" s="34" t="n">
        <f aca="false">IFERROR(VLOOKUP($A7581,'319'!$B:$H,7,0),0)</f>
        <v>0</v>
      </c>
      <c r="G7581" s="34" t="n">
        <f aca="false">SUMIFS('12.326ana'!$C:$C,'12.326ana'!$M:$M,redes!A7581)</f>
        <v>0</v>
      </c>
    </row>
    <row r="7582" customFormat="false" ht="14.4" hidden="true" customHeight="false" outlineLevel="0" collapsed="false">
      <c r="A7582" s="34" t="n">
        <v>3322326000123</v>
      </c>
      <c r="B7582" s="34" t="s">
        <v>16117</v>
      </c>
      <c r="C7582" s="34" t="s">
        <v>139</v>
      </c>
      <c r="E7582" s="30" t="s">
        <v>16118</v>
      </c>
      <c r="F7582" s="34" t="n">
        <f aca="false">IFERROR(VLOOKUP($A7582,'319'!$B:$H,7,0),0)</f>
        <v>0</v>
      </c>
      <c r="G7582" s="34" t="n">
        <f aca="false">SUMIFS('12.326ana'!$C:$C,'12.326ana'!$M:$M,redes!A7582)</f>
        <v>0</v>
      </c>
    </row>
    <row r="7583" customFormat="false" ht="14.4" hidden="true" customHeight="false" outlineLevel="0" collapsed="false">
      <c r="A7583" s="34" t="n">
        <v>3322329000167</v>
      </c>
      <c r="B7583" s="34" t="s">
        <v>16119</v>
      </c>
      <c r="C7583" s="34" t="s">
        <v>139</v>
      </c>
      <c r="E7583" s="30" t="s">
        <v>16120</v>
      </c>
      <c r="F7583" s="34" t="n">
        <f aca="false">IFERROR(VLOOKUP($A7583,'319'!$B:$H,7,0),0)</f>
        <v>0</v>
      </c>
      <c r="G7583" s="34" t="n">
        <f aca="false">SUMIFS('12.326ana'!$C:$C,'12.326ana'!$M:$M,redes!A7583)</f>
        <v>0</v>
      </c>
    </row>
    <row r="7584" customFormat="false" ht="14.4" hidden="true" customHeight="false" outlineLevel="0" collapsed="false">
      <c r="A7584" s="34" t="n">
        <v>3322330000191</v>
      </c>
      <c r="B7584" s="34" t="s">
        <v>8725</v>
      </c>
      <c r="C7584" s="34" t="s">
        <v>139</v>
      </c>
      <c r="E7584" s="30" t="s">
        <v>16121</v>
      </c>
      <c r="F7584" s="34" t="n">
        <f aca="false">IFERROR(VLOOKUP($A7584,'319'!$B:$H,7,0),0)</f>
        <v>0</v>
      </c>
      <c r="G7584" s="34" t="n">
        <f aca="false">SUMIFS('12.326ana'!$C:$C,'12.326ana'!$M:$M,redes!A7584)</f>
        <v>0</v>
      </c>
    </row>
    <row r="7585" customFormat="false" ht="14.4" hidden="true" customHeight="false" outlineLevel="0" collapsed="false">
      <c r="A7585" s="34" t="n">
        <v>3322483000139</v>
      </c>
      <c r="B7585" s="34" t="s">
        <v>16122</v>
      </c>
      <c r="C7585" s="34" t="s">
        <v>139</v>
      </c>
      <c r="E7585" s="30" t="s">
        <v>16123</v>
      </c>
      <c r="F7585" s="34" t="n">
        <f aca="false">IFERROR(VLOOKUP($A7585,'319'!$B:$H,7,0),0)</f>
        <v>0</v>
      </c>
      <c r="G7585" s="34" t="n">
        <f aca="false">SUMIFS('12.326ana'!$C:$C,'12.326ana'!$M:$M,redes!A7585)</f>
        <v>0</v>
      </c>
    </row>
    <row r="7586" customFormat="false" ht="14.4" hidden="true" customHeight="false" outlineLevel="0" collapsed="false">
      <c r="A7586" s="34" t="n">
        <v>3325982000180</v>
      </c>
      <c r="B7586" s="34" t="s">
        <v>16124</v>
      </c>
      <c r="C7586" s="34" t="s">
        <v>77</v>
      </c>
      <c r="E7586" s="30" t="s">
        <v>16125</v>
      </c>
      <c r="F7586" s="34" t="n">
        <f aca="false">IFERROR(VLOOKUP($A7586,'319'!$B:$H,7,0),0)</f>
        <v>0</v>
      </c>
      <c r="G7586" s="34" t="n">
        <f aca="false">SUMIFS('12.326ana'!$C:$C,'12.326ana'!$M:$M,redes!A7586)</f>
        <v>0</v>
      </c>
    </row>
    <row r="7587" customFormat="false" ht="14.4" hidden="true" customHeight="false" outlineLevel="0" collapsed="false">
      <c r="A7587" s="34" t="n">
        <v>3326315000111</v>
      </c>
      <c r="B7587" s="34" t="s">
        <v>16126</v>
      </c>
      <c r="C7587" s="34" t="s">
        <v>3594</v>
      </c>
      <c r="E7587" s="30" t="s">
        <v>16127</v>
      </c>
      <c r="F7587" s="34" t="n">
        <f aca="false">IFERROR(VLOOKUP($A7587,'319'!$B:$H,7,0),0)</f>
        <v>0</v>
      </c>
      <c r="G7587" s="34" t="n">
        <f aca="false">SUMIFS('12.326ana'!$C:$C,'12.326ana'!$M:$M,redes!A7587)</f>
        <v>0</v>
      </c>
    </row>
    <row r="7588" customFormat="false" ht="14.4" hidden="true" customHeight="false" outlineLevel="0" collapsed="false">
      <c r="A7588" s="34" t="n">
        <v>3326362000165</v>
      </c>
      <c r="B7588" s="34" t="s">
        <v>16128</v>
      </c>
      <c r="C7588" s="34" t="s">
        <v>103</v>
      </c>
      <c r="E7588" s="30"/>
      <c r="F7588" s="34" t="n">
        <f aca="false">IFERROR(VLOOKUP($A7588,'319'!$B:$H,7,0),0)</f>
        <v>0</v>
      </c>
      <c r="G7588" s="34" t="n">
        <f aca="false">SUMIFS('12.326ana'!$C:$C,'12.326ana'!$M:$M,redes!A7588)</f>
        <v>0</v>
      </c>
    </row>
    <row r="7589" customFormat="false" ht="14.4" hidden="true" customHeight="false" outlineLevel="0" collapsed="false">
      <c r="A7589" s="34" t="n">
        <v>3326384000125</v>
      </c>
      <c r="B7589" s="34" t="s">
        <v>16129</v>
      </c>
      <c r="C7589" s="34" t="s">
        <v>7250</v>
      </c>
      <c r="E7589" s="30" t="s">
        <v>16130</v>
      </c>
      <c r="F7589" s="34" t="n">
        <f aca="false">IFERROR(VLOOKUP($A7589,'319'!$B:$H,7,0),0)</f>
        <v>0</v>
      </c>
      <c r="G7589" s="34" t="n">
        <f aca="false">SUMIFS('12.326ana'!$C:$C,'12.326ana'!$M:$M,redes!A7589)</f>
        <v>0</v>
      </c>
    </row>
    <row r="7590" customFormat="false" ht="14.4" hidden="true" customHeight="false" outlineLevel="0" collapsed="false">
      <c r="A7590" s="34" t="n">
        <v>3327286000102</v>
      </c>
      <c r="B7590" s="34" t="s">
        <v>16131</v>
      </c>
      <c r="C7590" s="34" t="s">
        <v>598</v>
      </c>
      <c r="D7590" s="34" t="s">
        <v>4797</v>
      </c>
      <c r="E7590" s="30" t="s">
        <v>16132</v>
      </c>
      <c r="F7590" s="34" t="n">
        <f aca="false">IFERROR(VLOOKUP($A7590,'319'!$B:$H,7,0),0)</f>
        <v>0</v>
      </c>
      <c r="G7590" s="34" t="n">
        <f aca="false">SUMIFS('12.326ana'!$C:$C,'12.326ana'!$M:$M,redes!A7590)</f>
        <v>0</v>
      </c>
    </row>
    <row r="7591" customFormat="false" ht="14.4" hidden="true" customHeight="false" outlineLevel="0" collapsed="false">
      <c r="A7591" s="34" t="n">
        <v>3328496000115</v>
      </c>
      <c r="B7591" s="34" t="s">
        <v>16133</v>
      </c>
      <c r="C7591" s="34" t="s">
        <v>107</v>
      </c>
      <c r="E7591" s="30" t="s">
        <v>16134</v>
      </c>
      <c r="F7591" s="34" t="n">
        <f aca="false">IFERROR(VLOOKUP($A7591,'319'!$B:$H,7,0),0)</f>
        <v>0</v>
      </c>
      <c r="G7591" s="34" t="n">
        <f aca="false">SUMIFS('12.326ana'!$C:$C,'12.326ana'!$M:$M,redes!A7591)</f>
        <v>0</v>
      </c>
    </row>
    <row r="7592" customFormat="false" ht="14.4" hidden="true" customHeight="false" outlineLevel="0" collapsed="false">
      <c r="A7592" s="34" t="n">
        <v>3329119000109</v>
      </c>
      <c r="B7592" s="34" t="s">
        <v>16135</v>
      </c>
      <c r="C7592" s="34" t="s">
        <v>478</v>
      </c>
      <c r="E7592" s="30" t="s">
        <v>16136</v>
      </c>
      <c r="F7592" s="34" t="n">
        <f aca="false">IFERROR(VLOOKUP($A7592,'319'!$B:$H,7,0),0)</f>
        <v>0</v>
      </c>
      <c r="G7592" s="34" t="n">
        <f aca="false">SUMIFS('12.326ana'!$C:$C,'12.326ana'!$M:$M,redes!A7592)</f>
        <v>0</v>
      </c>
    </row>
    <row r="7593" customFormat="false" ht="14.4" hidden="true" customHeight="false" outlineLevel="0" collapsed="false">
      <c r="A7593" s="34" t="n">
        <v>3329414000157</v>
      </c>
      <c r="B7593" s="34" t="s">
        <v>16137</v>
      </c>
      <c r="C7593" s="34" t="s">
        <v>139</v>
      </c>
      <c r="E7593" s="30" t="s">
        <v>16138</v>
      </c>
      <c r="F7593" s="34" t="n">
        <f aca="false">IFERROR(VLOOKUP($A7593,'319'!$B:$H,7,0),0)</f>
        <v>0</v>
      </c>
      <c r="G7593" s="34" t="n">
        <f aca="false">SUMIFS('12.326ana'!$C:$C,'12.326ana'!$M:$M,redes!A7593)</f>
        <v>0</v>
      </c>
    </row>
    <row r="7594" customFormat="false" ht="14.4" hidden="true" customHeight="false" outlineLevel="0" collapsed="false">
      <c r="A7594" s="34" t="n">
        <v>3330255000100</v>
      </c>
      <c r="B7594" s="34" t="s">
        <v>16139</v>
      </c>
      <c r="C7594" s="34" t="s">
        <v>139</v>
      </c>
      <c r="E7594" s="30" t="s">
        <v>16140</v>
      </c>
      <c r="F7594" s="34" t="n">
        <f aca="false">IFERROR(VLOOKUP($A7594,'319'!$B:$H,7,0),0)</f>
        <v>0</v>
      </c>
      <c r="G7594" s="34" t="n">
        <f aca="false">SUMIFS('12.326ana'!$C:$C,'12.326ana'!$M:$M,redes!A7594)</f>
        <v>0</v>
      </c>
    </row>
    <row r="7595" customFormat="false" ht="14.4" hidden="true" customHeight="false" outlineLevel="0" collapsed="false">
      <c r="A7595" s="34" t="n">
        <v>3330644000136</v>
      </c>
      <c r="B7595" s="34" t="s">
        <v>16141</v>
      </c>
      <c r="C7595" s="34" t="s">
        <v>139</v>
      </c>
      <c r="E7595" s="30" t="s">
        <v>16141</v>
      </c>
      <c r="F7595" s="34" t="n">
        <f aca="false">IFERROR(VLOOKUP($A7595,'319'!$B:$H,7,0),0)</f>
        <v>0</v>
      </c>
      <c r="G7595" s="34" t="n">
        <f aca="false">SUMIFS('12.326ana'!$C:$C,'12.326ana'!$M:$M,redes!A7595)</f>
        <v>0</v>
      </c>
    </row>
    <row r="7596" customFormat="false" ht="14.4" hidden="true" customHeight="false" outlineLevel="0" collapsed="false">
      <c r="A7596" s="34" t="n">
        <v>3330731000193</v>
      </c>
      <c r="B7596" s="34" t="s">
        <v>16142</v>
      </c>
      <c r="C7596" s="34" t="s">
        <v>562</v>
      </c>
      <c r="E7596" s="30" t="s">
        <v>16143</v>
      </c>
      <c r="F7596" s="34" t="n">
        <f aca="false">IFERROR(VLOOKUP($A7596,'319'!$B:$H,7,0),0)</f>
        <v>0</v>
      </c>
      <c r="G7596" s="34" t="n">
        <f aca="false">SUMIFS('12.326ana'!$C:$C,'12.326ana'!$M:$M,redes!A7596)</f>
        <v>0</v>
      </c>
    </row>
    <row r="7597" customFormat="false" ht="14.4" hidden="true" customHeight="false" outlineLevel="0" collapsed="false">
      <c r="A7597" s="34" t="n">
        <v>3331115000157</v>
      </c>
      <c r="B7597" s="34" t="s">
        <v>16144</v>
      </c>
      <c r="C7597" s="34" t="s">
        <v>631</v>
      </c>
      <c r="E7597" s="30" t="s">
        <v>16145</v>
      </c>
      <c r="F7597" s="34" t="n">
        <f aca="false">IFERROR(VLOOKUP($A7597,'319'!$B:$H,7,0),0)</f>
        <v>0</v>
      </c>
      <c r="G7597" s="34" t="n">
        <f aca="false">SUMIFS('12.326ana'!$C:$C,'12.326ana'!$M:$M,redes!A7597)</f>
        <v>0</v>
      </c>
    </row>
    <row r="7598" customFormat="false" ht="14.4" hidden="true" customHeight="false" outlineLevel="0" collapsed="false">
      <c r="A7598" s="35" t="n">
        <v>3331591000178</v>
      </c>
      <c r="B7598" s="34" t="s">
        <v>16146</v>
      </c>
      <c r="C7598" s="34" t="s">
        <v>3594</v>
      </c>
      <c r="E7598" s="30" t="s">
        <v>7266</v>
      </c>
      <c r="F7598" s="34" t="n">
        <f aca="false">IFERROR(VLOOKUP($A7598,'319'!$B:$H,7,0),0)</f>
        <v>0</v>
      </c>
      <c r="G7598" s="34" t="n">
        <f aca="false">SUMIFS('12.326ana'!$C:$C,'12.326ana'!$M:$M,redes!A7598)</f>
        <v>0</v>
      </c>
    </row>
    <row r="7599" customFormat="false" ht="14.4" hidden="true" customHeight="false" outlineLevel="0" collapsed="false">
      <c r="A7599" s="34" t="n">
        <v>3331593000167</v>
      </c>
      <c r="B7599" s="34" t="s">
        <v>16147</v>
      </c>
      <c r="C7599" s="34" t="s">
        <v>107</v>
      </c>
      <c r="E7599" s="30" t="s">
        <v>16148</v>
      </c>
      <c r="F7599" s="34" t="n">
        <f aca="false">IFERROR(VLOOKUP($A7599,'319'!$B:$H,7,0),0)</f>
        <v>0</v>
      </c>
      <c r="G7599" s="34" t="n">
        <f aca="false">SUMIFS('12.326ana'!$C:$C,'12.326ana'!$M:$M,redes!A7599)</f>
        <v>0</v>
      </c>
    </row>
    <row r="7600" customFormat="false" ht="14.4" hidden="true" customHeight="false" outlineLevel="0" collapsed="false">
      <c r="A7600" s="34" t="n">
        <v>3334102000131</v>
      </c>
      <c r="B7600" s="34" t="s">
        <v>16149</v>
      </c>
      <c r="C7600" s="34" t="s">
        <v>804</v>
      </c>
      <c r="E7600" s="30" t="s">
        <v>6631</v>
      </c>
      <c r="F7600" s="34" t="n">
        <f aca="false">IFERROR(VLOOKUP($A7600,'319'!$B:$H,7,0),0)</f>
        <v>0</v>
      </c>
      <c r="G7600" s="34" t="n">
        <f aca="false">SUMIFS('12.326ana'!$C:$C,'12.326ana'!$M:$M,redes!A7600)</f>
        <v>0</v>
      </c>
    </row>
    <row r="7601" customFormat="false" ht="14.4" hidden="true" customHeight="false" outlineLevel="0" collapsed="false">
      <c r="A7601" s="34" t="n">
        <v>3334822000105</v>
      </c>
      <c r="B7601" s="34" t="s">
        <v>16150</v>
      </c>
      <c r="C7601" s="34" t="s">
        <v>77</v>
      </c>
      <c r="E7601" s="30" t="s">
        <v>16151</v>
      </c>
      <c r="F7601" s="34" t="n">
        <f aca="false">IFERROR(VLOOKUP($A7601,'319'!$B:$H,7,0),0)</f>
        <v>0</v>
      </c>
      <c r="G7601" s="34" t="n">
        <f aca="false">SUMIFS('12.326ana'!$C:$C,'12.326ana'!$M:$M,redes!A7601)</f>
        <v>0</v>
      </c>
    </row>
    <row r="7602" customFormat="false" ht="14.4" hidden="true" customHeight="false" outlineLevel="0" collapsed="false">
      <c r="A7602" s="34" t="n">
        <v>3336446000180</v>
      </c>
      <c r="B7602" s="34" t="s">
        <v>16152</v>
      </c>
      <c r="C7602" s="34" t="s">
        <v>377</v>
      </c>
      <c r="E7602" s="30"/>
      <c r="F7602" s="34" t="n">
        <f aca="false">IFERROR(VLOOKUP($A7602,'319'!$B:$H,7,0),0)</f>
        <v>0</v>
      </c>
      <c r="G7602" s="34" t="n">
        <f aca="false">SUMIFS('12.326ana'!$C:$C,'12.326ana'!$M:$M,redes!A7602)</f>
        <v>0</v>
      </c>
    </row>
    <row r="7603" customFormat="false" ht="14.4" hidden="true" customHeight="false" outlineLevel="0" collapsed="false">
      <c r="A7603" s="34" t="n">
        <v>3336822000136</v>
      </c>
      <c r="B7603" s="34" t="s">
        <v>16153</v>
      </c>
      <c r="C7603" s="34" t="s">
        <v>107</v>
      </c>
      <c r="E7603" s="30" t="s">
        <v>16154</v>
      </c>
      <c r="F7603" s="34" t="n">
        <f aca="false">IFERROR(VLOOKUP($A7603,'319'!$B:$H,7,0),0)</f>
        <v>0</v>
      </c>
      <c r="G7603" s="34" t="n">
        <f aca="false">SUMIFS('12.326ana'!$C:$C,'12.326ana'!$M:$M,redes!A7603)</f>
        <v>0</v>
      </c>
    </row>
    <row r="7604" customFormat="false" ht="14.4" hidden="true" customHeight="false" outlineLevel="0" collapsed="false">
      <c r="A7604" s="34" t="n">
        <v>3337762000176</v>
      </c>
      <c r="B7604" s="34" t="s">
        <v>16155</v>
      </c>
      <c r="C7604" s="34" t="s">
        <v>107</v>
      </c>
      <c r="E7604" s="30" t="s">
        <v>7523</v>
      </c>
      <c r="F7604" s="34" t="n">
        <f aca="false">IFERROR(VLOOKUP($A7604,'319'!$B:$H,7,0),0)</f>
        <v>0</v>
      </c>
      <c r="G7604" s="34" t="n">
        <f aca="false">SUMIFS('12.326ana'!$C:$C,'12.326ana'!$M:$M,redes!A7604)</f>
        <v>0</v>
      </c>
    </row>
    <row r="7605" customFormat="false" ht="14.4" hidden="true" customHeight="false" outlineLevel="0" collapsed="false">
      <c r="A7605" s="34" t="n">
        <v>3340086000190</v>
      </c>
      <c r="B7605" s="34" t="s">
        <v>16156</v>
      </c>
      <c r="C7605" s="34" t="s">
        <v>139</v>
      </c>
      <c r="D7605" s="34" t="s">
        <v>4797</v>
      </c>
      <c r="E7605" s="30" t="s">
        <v>16157</v>
      </c>
      <c r="F7605" s="34" t="n">
        <f aca="false">IFERROR(VLOOKUP($A7605,'319'!$B:$H,7,0),0)</f>
        <v>0</v>
      </c>
      <c r="G7605" s="34" t="n">
        <f aca="false">SUMIFS('12.326ana'!$C:$C,'12.326ana'!$M:$M,redes!A7605)</f>
        <v>0</v>
      </c>
    </row>
    <row r="7606" customFormat="false" ht="14.4" hidden="true" customHeight="false" outlineLevel="0" collapsed="false">
      <c r="A7606" s="34" t="n">
        <v>3341979000150</v>
      </c>
      <c r="B7606" s="34" t="s">
        <v>16158</v>
      </c>
      <c r="C7606" s="34" t="s">
        <v>197</v>
      </c>
      <c r="E7606" s="30" t="s">
        <v>16159</v>
      </c>
      <c r="F7606" s="34" t="n">
        <f aca="false">IFERROR(VLOOKUP($A7606,'319'!$B:$H,7,0),0)</f>
        <v>0</v>
      </c>
      <c r="G7606" s="34" t="n">
        <f aca="false">SUMIFS('12.326ana'!$C:$C,'12.326ana'!$M:$M,redes!A7606)</f>
        <v>0</v>
      </c>
    </row>
    <row r="7607" customFormat="false" ht="14.4" hidden="true" customHeight="false" outlineLevel="0" collapsed="false">
      <c r="A7607" s="34" t="n">
        <v>3343819000140</v>
      </c>
      <c r="B7607" s="34" t="s">
        <v>16160</v>
      </c>
      <c r="C7607" s="34" t="s">
        <v>377</v>
      </c>
      <c r="E7607" s="30" t="s">
        <v>16161</v>
      </c>
      <c r="F7607" s="34" t="n">
        <f aca="false">IFERROR(VLOOKUP($A7607,'319'!$B:$H,7,0),0)</f>
        <v>0</v>
      </c>
      <c r="G7607" s="34" t="n">
        <f aca="false">SUMIFS('12.326ana'!$C:$C,'12.326ana'!$M:$M,redes!A7607)</f>
        <v>0</v>
      </c>
    </row>
    <row r="7608" customFormat="false" ht="14.4" hidden="true" customHeight="false" outlineLevel="0" collapsed="false">
      <c r="A7608" s="34" t="n">
        <v>3344785000108</v>
      </c>
      <c r="B7608" s="34" t="s">
        <v>16162</v>
      </c>
      <c r="C7608" s="34" t="s">
        <v>192</v>
      </c>
      <c r="E7608" s="30" t="s">
        <v>16163</v>
      </c>
      <c r="F7608" s="34" t="n">
        <f aca="false">IFERROR(VLOOKUP($A7608,'319'!$B:$H,7,0),0)</f>
        <v>0</v>
      </c>
      <c r="G7608" s="34" t="n">
        <f aca="false">SUMIFS('12.326ana'!$C:$C,'12.326ana'!$M:$M,redes!A7608)</f>
        <v>0</v>
      </c>
    </row>
    <row r="7609" customFormat="false" ht="14.4" hidden="true" customHeight="false" outlineLevel="0" collapsed="false">
      <c r="A7609" s="34" t="n">
        <v>3346623000109</v>
      </c>
      <c r="B7609" s="34" t="s">
        <v>16164</v>
      </c>
      <c r="C7609" s="34" t="s">
        <v>1054</v>
      </c>
      <c r="E7609" s="30" t="s">
        <v>16165</v>
      </c>
      <c r="F7609" s="34" t="n">
        <f aca="false">IFERROR(VLOOKUP($A7609,'319'!$B:$H,7,0),0)</f>
        <v>0</v>
      </c>
      <c r="G7609" s="34" t="n">
        <f aca="false">SUMIFS('12.326ana'!$C:$C,'12.326ana'!$M:$M,redes!A7609)</f>
        <v>0</v>
      </c>
    </row>
    <row r="7610" customFormat="false" ht="14.4" hidden="true" customHeight="false" outlineLevel="0" collapsed="false">
      <c r="A7610" s="34" t="n">
        <v>3347569000116</v>
      </c>
      <c r="B7610" s="34" t="s">
        <v>16166</v>
      </c>
      <c r="C7610" s="34" t="s">
        <v>631</v>
      </c>
      <c r="E7610" s="30" t="s">
        <v>16167</v>
      </c>
      <c r="F7610" s="34" t="n">
        <f aca="false">IFERROR(VLOOKUP($A7610,'319'!$B:$H,7,0),0)</f>
        <v>0</v>
      </c>
      <c r="G7610" s="34" t="n">
        <f aca="false">SUMIFS('12.326ana'!$C:$C,'12.326ana'!$M:$M,redes!A7610)</f>
        <v>0</v>
      </c>
    </row>
    <row r="7611" customFormat="false" ht="14.4" hidden="true" customHeight="false" outlineLevel="0" collapsed="false">
      <c r="A7611" s="34" t="n">
        <v>3348850000173</v>
      </c>
      <c r="B7611" s="34" t="s">
        <v>16168</v>
      </c>
      <c r="C7611" s="34" t="s">
        <v>192</v>
      </c>
      <c r="E7611" s="30" t="s">
        <v>16169</v>
      </c>
      <c r="F7611" s="34" t="n">
        <f aca="false">IFERROR(VLOOKUP($A7611,'319'!$B:$H,7,0),0)</f>
        <v>0</v>
      </c>
      <c r="G7611" s="34" t="n">
        <f aca="false">SUMIFS('12.326ana'!$C:$C,'12.326ana'!$M:$M,redes!A7611)</f>
        <v>0</v>
      </c>
    </row>
    <row r="7612" customFormat="false" ht="14.4" hidden="true" customHeight="false" outlineLevel="0" collapsed="false">
      <c r="A7612" s="35" t="n">
        <v>3350481000153</v>
      </c>
      <c r="B7612" s="34" t="s">
        <v>16170</v>
      </c>
      <c r="C7612" s="34" t="s">
        <v>77</v>
      </c>
      <c r="E7612" s="30" t="s">
        <v>16171</v>
      </c>
      <c r="F7612" s="34" t="n">
        <f aca="false">IFERROR(VLOOKUP($A7612,'319'!$B:$H,7,0),0)</f>
        <v>0</v>
      </c>
      <c r="G7612" s="34" t="n">
        <f aca="false">SUMIFS('12.326ana'!$C:$C,'12.326ana'!$M:$M,redes!A7612)</f>
        <v>0</v>
      </c>
    </row>
    <row r="7613" customFormat="false" ht="14.4" hidden="true" customHeight="false" outlineLevel="0" collapsed="false">
      <c r="A7613" s="34" t="n">
        <v>3351202000176</v>
      </c>
      <c r="B7613" s="34" t="s">
        <v>16172</v>
      </c>
      <c r="C7613" s="34" t="s">
        <v>77</v>
      </c>
      <c r="D7613" s="34" t="s">
        <v>33</v>
      </c>
      <c r="E7613" s="30" t="s">
        <v>7900</v>
      </c>
      <c r="F7613" s="34" t="n">
        <f aca="false">IFERROR(VLOOKUP($A7613,'319'!$B:$H,7,0),0)</f>
        <v>0</v>
      </c>
      <c r="G7613" s="34" t="n">
        <f aca="false">SUMIFS('12.326ana'!$C:$C,'12.326ana'!$M:$M,redes!A7613)</f>
        <v>0</v>
      </c>
    </row>
    <row r="7614" customFormat="false" ht="14.4" hidden="true" customHeight="false" outlineLevel="0" collapsed="false">
      <c r="A7614" s="34" t="n">
        <v>3351416000142</v>
      </c>
      <c r="B7614" s="34" t="s">
        <v>16173</v>
      </c>
      <c r="C7614" s="34" t="s">
        <v>107</v>
      </c>
      <c r="E7614" s="30" t="s">
        <v>16174</v>
      </c>
      <c r="F7614" s="34" t="n">
        <f aca="false">IFERROR(VLOOKUP($A7614,'319'!$B:$H,7,0),0)</f>
        <v>0</v>
      </c>
      <c r="G7614" s="34" t="n">
        <f aca="false">SUMIFS('12.326ana'!$C:$C,'12.326ana'!$M:$M,redes!A7614)</f>
        <v>0</v>
      </c>
    </row>
    <row r="7615" customFormat="false" ht="14.4" hidden="true" customHeight="false" outlineLevel="0" collapsed="false">
      <c r="A7615" s="34" t="n">
        <v>3352523000195</v>
      </c>
      <c r="B7615" s="34" t="s">
        <v>16175</v>
      </c>
      <c r="C7615" s="34" t="s">
        <v>405</v>
      </c>
      <c r="E7615" s="30" t="s">
        <v>16176</v>
      </c>
      <c r="F7615" s="34" t="n">
        <f aca="false">IFERROR(VLOOKUP($A7615,'319'!$B:$H,7,0),0)</f>
        <v>0</v>
      </c>
      <c r="G7615" s="34" t="n">
        <f aca="false">SUMIFS('12.326ana'!$C:$C,'12.326ana'!$M:$M,redes!A7615)</f>
        <v>0</v>
      </c>
    </row>
    <row r="7616" customFormat="false" ht="14.4" hidden="true" customHeight="false" outlineLevel="0" collapsed="false">
      <c r="A7616" s="34" t="n">
        <v>3354542000150</v>
      </c>
      <c r="B7616" s="34" t="s">
        <v>7827</v>
      </c>
      <c r="C7616" s="34" t="s">
        <v>103</v>
      </c>
      <c r="E7616" s="30" t="s">
        <v>15156</v>
      </c>
      <c r="F7616" s="34" t="n">
        <f aca="false">IFERROR(VLOOKUP($A7616,'319'!$B:$H,7,0),0)</f>
        <v>0</v>
      </c>
      <c r="G7616" s="34" t="n">
        <f aca="false">SUMIFS('12.326ana'!$C:$C,'12.326ana'!$M:$M,redes!A7616)</f>
        <v>0</v>
      </c>
    </row>
    <row r="7617" customFormat="false" ht="14.4" hidden="true" customHeight="false" outlineLevel="0" collapsed="false">
      <c r="A7617" s="34" t="n">
        <v>3354560000132</v>
      </c>
      <c r="B7617" s="34" t="s">
        <v>16177</v>
      </c>
      <c r="C7617" s="34" t="s">
        <v>377</v>
      </c>
      <c r="E7617" s="30" t="s">
        <v>16178</v>
      </c>
      <c r="F7617" s="34" t="n">
        <f aca="false">IFERROR(VLOOKUP($A7617,'319'!$B:$H,7,0),0)</f>
        <v>0</v>
      </c>
      <c r="G7617" s="34" t="n">
        <f aca="false">SUMIFS('12.326ana'!$C:$C,'12.326ana'!$M:$M,redes!A7617)</f>
        <v>0</v>
      </c>
    </row>
    <row r="7618" customFormat="false" ht="14.4" hidden="true" customHeight="false" outlineLevel="0" collapsed="false">
      <c r="A7618" s="34" t="n">
        <v>3355799000127</v>
      </c>
      <c r="B7618" s="34" t="s">
        <v>16179</v>
      </c>
      <c r="C7618" s="34" t="s">
        <v>309</v>
      </c>
      <c r="E7618" s="30" t="s">
        <v>16180</v>
      </c>
      <c r="F7618" s="34" t="n">
        <f aca="false">IFERROR(VLOOKUP($A7618,'319'!$B:$H,7,0),0)</f>
        <v>0</v>
      </c>
      <c r="G7618" s="34" t="n">
        <f aca="false">SUMIFS('12.326ana'!$C:$C,'12.326ana'!$M:$M,redes!A7618)</f>
        <v>0</v>
      </c>
    </row>
    <row r="7619" customFormat="false" ht="14.4" hidden="true" customHeight="false" outlineLevel="0" collapsed="false">
      <c r="A7619" s="34" t="n">
        <v>3356338000179</v>
      </c>
      <c r="B7619" s="34" t="s">
        <v>16181</v>
      </c>
      <c r="C7619" s="34" t="s">
        <v>954</v>
      </c>
      <c r="E7619" s="30" t="s">
        <v>16182</v>
      </c>
      <c r="F7619" s="34" t="n">
        <f aca="false">IFERROR(VLOOKUP($A7619,'319'!$B:$H,7,0),0)</f>
        <v>0</v>
      </c>
      <c r="G7619" s="34" t="n">
        <f aca="false">SUMIFS('12.326ana'!$C:$C,'12.326ana'!$M:$M,redes!A7619)</f>
        <v>0</v>
      </c>
    </row>
    <row r="7620" customFormat="false" ht="14.4" hidden="true" customHeight="false" outlineLevel="0" collapsed="false">
      <c r="A7620" s="34" t="n">
        <v>3357695000151</v>
      </c>
      <c r="B7620" s="34" t="s">
        <v>16183</v>
      </c>
      <c r="C7620" s="34" t="s">
        <v>139</v>
      </c>
      <c r="E7620" s="30" t="s">
        <v>16183</v>
      </c>
      <c r="F7620" s="34" t="n">
        <f aca="false">IFERROR(VLOOKUP($A7620,'319'!$B:$H,7,0),0)</f>
        <v>0</v>
      </c>
      <c r="G7620" s="34" t="n">
        <f aca="false">SUMIFS('12.326ana'!$C:$C,'12.326ana'!$M:$M,redes!A7620)</f>
        <v>0</v>
      </c>
    </row>
    <row r="7621" customFormat="false" ht="14.4" hidden="true" customHeight="false" outlineLevel="0" collapsed="false">
      <c r="A7621" s="34" t="n">
        <v>3358682000105</v>
      </c>
      <c r="B7621" s="34" t="s">
        <v>16184</v>
      </c>
      <c r="C7621" s="34" t="s">
        <v>342</v>
      </c>
      <c r="E7621" s="30" t="s">
        <v>16185</v>
      </c>
      <c r="F7621" s="34" t="n">
        <f aca="false">IFERROR(VLOOKUP($A7621,'319'!$B:$H,7,0),0)</f>
        <v>0</v>
      </c>
      <c r="G7621" s="34" t="n">
        <f aca="false">SUMIFS('12.326ana'!$C:$C,'12.326ana'!$M:$M,redes!A7621)</f>
        <v>0</v>
      </c>
    </row>
    <row r="7622" customFormat="false" ht="14.4" hidden="true" customHeight="false" outlineLevel="0" collapsed="false">
      <c r="A7622" s="34" t="n">
        <v>3358736000124</v>
      </c>
      <c r="B7622" s="34" t="s">
        <v>16186</v>
      </c>
      <c r="C7622" s="34" t="s">
        <v>721</v>
      </c>
      <c r="E7622" s="30" t="s">
        <v>16187</v>
      </c>
      <c r="F7622" s="34" t="n">
        <f aca="false">IFERROR(VLOOKUP($A7622,'319'!$B:$H,7,0),0)</f>
        <v>0</v>
      </c>
      <c r="G7622" s="34" t="n">
        <f aca="false">SUMIFS('12.326ana'!$C:$C,'12.326ana'!$M:$M,redes!A7622)</f>
        <v>0</v>
      </c>
    </row>
    <row r="7623" customFormat="false" ht="14.4" hidden="true" customHeight="false" outlineLevel="0" collapsed="false">
      <c r="A7623" s="34" t="n">
        <v>3358824000126</v>
      </c>
      <c r="B7623" s="34" t="s">
        <v>16188</v>
      </c>
      <c r="C7623" s="34" t="s">
        <v>565</v>
      </c>
      <c r="E7623" s="30" t="s">
        <v>15679</v>
      </c>
      <c r="F7623" s="34" t="n">
        <f aca="false">IFERROR(VLOOKUP($A7623,'319'!$B:$H,7,0),0)</f>
        <v>0</v>
      </c>
      <c r="G7623" s="34" t="n">
        <f aca="false">SUMIFS('12.326ana'!$C:$C,'12.326ana'!$M:$M,redes!A7623)</f>
        <v>0</v>
      </c>
    </row>
    <row r="7624" customFormat="false" ht="14.4" hidden="true" customHeight="false" outlineLevel="0" collapsed="false">
      <c r="A7624" s="34" t="n">
        <v>3359098000166</v>
      </c>
      <c r="B7624" s="34" t="s">
        <v>16189</v>
      </c>
      <c r="C7624" s="34" t="s">
        <v>935</v>
      </c>
      <c r="E7624" s="30" t="s">
        <v>16190</v>
      </c>
      <c r="F7624" s="34" t="n">
        <f aca="false">IFERROR(VLOOKUP($A7624,'319'!$B:$H,7,0),0)</f>
        <v>0</v>
      </c>
      <c r="G7624" s="34" t="n">
        <f aca="false">SUMIFS('12.326ana'!$C:$C,'12.326ana'!$M:$M,redes!A7624)</f>
        <v>0</v>
      </c>
    </row>
    <row r="7625" customFormat="false" ht="14.4" hidden="true" customHeight="false" outlineLevel="0" collapsed="false">
      <c r="A7625" s="34" t="n">
        <v>3359427000179</v>
      </c>
      <c r="B7625" s="34" t="s">
        <v>16191</v>
      </c>
      <c r="C7625" s="34" t="s">
        <v>309</v>
      </c>
      <c r="E7625" s="30"/>
      <c r="F7625" s="34" t="n">
        <f aca="false">IFERROR(VLOOKUP($A7625,'319'!$B:$H,7,0),0)</f>
        <v>0</v>
      </c>
      <c r="G7625" s="34" t="n">
        <f aca="false">SUMIFS('12.326ana'!$C:$C,'12.326ana'!$M:$M,redes!A7625)</f>
        <v>0</v>
      </c>
    </row>
    <row r="7626" customFormat="false" ht="14.4" hidden="true" customHeight="false" outlineLevel="0" collapsed="false">
      <c r="A7626" s="34" t="n">
        <v>3359658000182</v>
      </c>
      <c r="B7626" s="34" t="s">
        <v>16192</v>
      </c>
      <c r="C7626" s="34" t="s">
        <v>744</v>
      </c>
      <c r="E7626" s="30" t="s">
        <v>16193</v>
      </c>
      <c r="F7626" s="34" t="n">
        <f aca="false">IFERROR(VLOOKUP($A7626,'319'!$B:$H,7,0),0)</f>
        <v>0</v>
      </c>
      <c r="G7626" s="34" t="n">
        <f aca="false">SUMIFS('12.326ana'!$C:$C,'12.326ana'!$M:$M,redes!A7626)</f>
        <v>0</v>
      </c>
    </row>
    <row r="7627" customFormat="false" ht="14.4" hidden="true" customHeight="false" outlineLevel="0" collapsed="false">
      <c r="A7627" s="34" t="n">
        <v>3362320000180</v>
      </c>
      <c r="B7627" s="34" t="s">
        <v>16194</v>
      </c>
      <c r="C7627" s="34" t="s">
        <v>77</v>
      </c>
      <c r="D7627" s="34" t="s">
        <v>23</v>
      </c>
      <c r="E7627" s="30" t="s">
        <v>16195</v>
      </c>
      <c r="F7627" s="34" t="n">
        <f aca="false">IFERROR(VLOOKUP($A7627,'319'!$B:$H,7,0),0)</f>
        <v>0</v>
      </c>
      <c r="G7627" s="34" t="n">
        <f aca="false">SUMIFS('12.326ana'!$C:$C,'12.326ana'!$M:$M,redes!A7627)</f>
        <v>0</v>
      </c>
    </row>
    <row r="7628" customFormat="false" ht="14.4" hidden="true" customHeight="false" outlineLevel="0" collapsed="false">
      <c r="A7628" s="34" t="n">
        <v>3362641000184</v>
      </c>
      <c r="B7628" s="34" t="s">
        <v>16196</v>
      </c>
      <c r="C7628" s="34" t="s">
        <v>309</v>
      </c>
      <c r="E7628" s="30" t="s">
        <v>16197</v>
      </c>
      <c r="F7628" s="34" t="n">
        <f aca="false">IFERROR(VLOOKUP($A7628,'319'!$B:$H,7,0),0)</f>
        <v>0</v>
      </c>
      <c r="G7628" s="34" t="n">
        <f aca="false">SUMIFS('12.326ana'!$C:$C,'12.326ana'!$M:$M,redes!A7628)</f>
        <v>0</v>
      </c>
    </row>
    <row r="7629" customFormat="false" ht="14.4" hidden="true" customHeight="false" outlineLevel="0" collapsed="false">
      <c r="A7629" s="34" t="n">
        <v>3364408000130</v>
      </c>
      <c r="B7629" s="34" t="s">
        <v>16198</v>
      </c>
      <c r="C7629" s="34" t="s">
        <v>342</v>
      </c>
      <c r="E7629" s="30" t="s">
        <v>16199</v>
      </c>
      <c r="F7629" s="34" t="n">
        <f aca="false">IFERROR(VLOOKUP($A7629,'319'!$B:$H,7,0),0)</f>
        <v>0</v>
      </c>
      <c r="G7629" s="34" t="n">
        <f aca="false">SUMIFS('12.326ana'!$C:$C,'12.326ana'!$M:$M,redes!A7629)</f>
        <v>0</v>
      </c>
    </row>
    <row r="7630" customFormat="false" ht="14.4" hidden="true" customHeight="false" outlineLevel="0" collapsed="false">
      <c r="A7630" s="34" t="n">
        <v>3364835000119</v>
      </c>
      <c r="B7630" s="34" t="s">
        <v>16200</v>
      </c>
      <c r="C7630" s="34" t="s">
        <v>77</v>
      </c>
      <c r="E7630" s="30" t="s">
        <v>16201</v>
      </c>
      <c r="F7630" s="34" t="n">
        <f aca="false">IFERROR(VLOOKUP($A7630,'319'!$B:$H,7,0),0)</f>
        <v>0</v>
      </c>
      <c r="G7630" s="34" t="n">
        <f aca="false">SUMIFS('12.326ana'!$C:$C,'12.326ana'!$M:$M,redes!A7630)</f>
        <v>0</v>
      </c>
    </row>
    <row r="7631" customFormat="false" ht="14.4" hidden="true" customHeight="false" outlineLevel="0" collapsed="false">
      <c r="A7631" s="34" t="n">
        <v>3365109000110</v>
      </c>
      <c r="B7631" s="34" t="s">
        <v>16202</v>
      </c>
      <c r="C7631" s="34" t="s">
        <v>107</v>
      </c>
      <c r="E7631" s="30" t="s">
        <v>16203</v>
      </c>
      <c r="F7631" s="34" t="n">
        <f aca="false">IFERROR(VLOOKUP($A7631,'319'!$B:$H,7,0),0)</f>
        <v>0</v>
      </c>
      <c r="G7631" s="34" t="n">
        <f aca="false">SUMIFS('12.326ana'!$C:$C,'12.326ana'!$M:$M,redes!A7631)</f>
        <v>0</v>
      </c>
    </row>
    <row r="7632" customFormat="false" ht="14.4" hidden="true" customHeight="false" outlineLevel="0" collapsed="false">
      <c r="A7632" s="34" t="n">
        <v>3365372000100</v>
      </c>
      <c r="B7632" s="34" t="s">
        <v>16204</v>
      </c>
      <c r="C7632" s="34" t="s">
        <v>1272</v>
      </c>
      <c r="E7632" s="30" t="s">
        <v>16205</v>
      </c>
      <c r="F7632" s="34" t="n">
        <f aca="false">IFERROR(VLOOKUP($A7632,'319'!$B:$H,7,0),0)</f>
        <v>0</v>
      </c>
      <c r="G7632" s="34" t="n">
        <f aca="false">SUMIFS('12.326ana'!$C:$C,'12.326ana'!$M:$M,redes!A7632)</f>
        <v>0</v>
      </c>
    </row>
    <row r="7633" customFormat="false" ht="14.4" hidden="true" customHeight="false" outlineLevel="0" collapsed="false">
      <c r="A7633" s="34" t="n">
        <v>3365869000128</v>
      </c>
      <c r="B7633" s="34" t="s">
        <v>16206</v>
      </c>
      <c r="C7633" s="34" t="s">
        <v>631</v>
      </c>
      <c r="E7633" s="30" t="s">
        <v>16207</v>
      </c>
      <c r="F7633" s="34" t="n">
        <f aca="false">IFERROR(VLOOKUP($A7633,'319'!$B:$H,7,0),0)</f>
        <v>0</v>
      </c>
      <c r="G7633" s="34" t="n">
        <f aca="false">SUMIFS('12.326ana'!$C:$C,'12.326ana'!$M:$M,redes!A7633)</f>
        <v>0</v>
      </c>
    </row>
    <row r="7634" customFormat="false" ht="14.4" hidden="true" customHeight="false" outlineLevel="0" collapsed="false">
      <c r="A7634" s="34" t="n">
        <v>3367797000158</v>
      </c>
      <c r="B7634" s="34" t="s">
        <v>16208</v>
      </c>
      <c r="C7634" s="34" t="s">
        <v>464</v>
      </c>
      <c r="E7634" s="30" t="s">
        <v>16209</v>
      </c>
      <c r="F7634" s="34" t="n">
        <f aca="false">IFERROR(VLOOKUP($A7634,'319'!$B:$H,7,0),0)</f>
        <v>0</v>
      </c>
      <c r="G7634" s="34" t="n">
        <f aca="false">SUMIFS('12.326ana'!$C:$C,'12.326ana'!$M:$M,redes!A7634)</f>
        <v>0</v>
      </c>
    </row>
    <row r="7635" customFormat="false" ht="14.4" hidden="true" customHeight="false" outlineLevel="0" collapsed="false">
      <c r="A7635" s="34" t="n">
        <v>3368628000132</v>
      </c>
      <c r="B7635" s="34" t="s">
        <v>16210</v>
      </c>
      <c r="C7635" s="34" t="s">
        <v>107</v>
      </c>
      <c r="E7635" s="30"/>
      <c r="F7635" s="34" t="n">
        <f aca="false">IFERROR(VLOOKUP($A7635,'319'!$B:$H,7,0),0)</f>
        <v>0</v>
      </c>
      <c r="G7635" s="34" t="n">
        <f aca="false">SUMIFS('12.326ana'!$C:$C,'12.326ana'!$M:$M,redes!A7635)</f>
        <v>0</v>
      </c>
    </row>
    <row r="7636" customFormat="false" ht="14.4" hidden="true" customHeight="false" outlineLevel="0" collapsed="false">
      <c r="A7636" s="34" t="n">
        <v>3369984000170</v>
      </c>
      <c r="B7636" s="34" t="s">
        <v>16211</v>
      </c>
      <c r="C7636" s="34" t="s">
        <v>77</v>
      </c>
      <c r="E7636" s="30" t="s">
        <v>16212</v>
      </c>
      <c r="F7636" s="34" t="n">
        <f aca="false">IFERROR(VLOOKUP($A7636,'319'!$B:$H,7,0),0)</f>
        <v>0</v>
      </c>
      <c r="G7636" s="34" t="n">
        <f aca="false">SUMIFS('12.326ana'!$C:$C,'12.326ana'!$M:$M,redes!A7636)</f>
        <v>0</v>
      </c>
    </row>
    <row r="7637" customFormat="false" ht="14.4" hidden="true" customHeight="false" outlineLevel="0" collapsed="false">
      <c r="A7637" s="34" t="n">
        <v>3370288000184</v>
      </c>
      <c r="B7637" s="34" t="s">
        <v>16213</v>
      </c>
      <c r="C7637" s="34" t="s">
        <v>107</v>
      </c>
      <c r="E7637" s="30" t="s">
        <v>16214</v>
      </c>
      <c r="F7637" s="34" t="n">
        <f aca="false">IFERROR(VLOOKUP($A7637,'319'!$B:$H,7,0),0)</f>
        <v>0</v>
      </c>
      <c r="G7637" s="34" t="n">
        <f aca="false">SUMIFS('12.326ana'!$C:$C,'12.326ana'!$M:$M,redes!A7637)</f>
        <v>0</v>
      </c>
    </row>
    <row r="7638" customFormat="false" ht="14.4" hidden="true" customHeight="false" outlineLevel="0" collapsed="false">
      <c r="A7638" s="34" t="n">
        <v>3370823000105</v>
      </c>
      <c r="B7638" s="34" t="s">
        <v>16215</v>
      </c>
      <c r="C7638" s="34" t="s">
        <v>103</v>
      </c>
      <c r="E7638" s="30" t="s">
        <v>16216</v>
      </c>
      <c r="F7638" s="34" t="n">
        <f aca="false">IFERROR(VLOOKUP($A7638,'319'!$B:$H,7,0),0)</f>
        <v>0</v>
      </c>
      <c r="G7638" s="34" t="n">
        <f aca="false">SUMIFS('12.326ana'!$C:$C,'12.326ana'!$M:$M,redes!A7638)</f>
        <v>0</v>
      </c>
    </row>
    <row r="7639" customFormat="false" ht="14.4" hidden="true" customHeight="false" outlineLevel="0" collapsed="false">
      <c r="A7639" s="34" t="n">
        <v>3371119000169</v>
      </c>
      <c r="B7639" s="34" t="s">
        <v>16217</v>
      </c>
      <c r="C7639" s="34" t="s">
        <v>1341</v>
      </c>
      <c r="E7639" s="30" t="s">
        <v>16218</v>
      </c>
      <c r="F7639" s="34" t="n">
        <f aca="false">IFERROR(VLOOKUP($A7639,'319'!$B:$H,7,0),0)</f>
        <v>0</v>
      </c>
      <c r="G7639" s="34" t="n">
        <f aca="false">SUMIFS('12.326ana'!$C:$C,'12.326ana'!$M:$M,redes!A7639)</f>
        <v>0</v>
      </c>
    </row>
    <row r="7640" customFormat="false" ht="14.4" hidden="true" customHeight="false" outlineLevel="0" collapsed="false">
      <c r="A7640" s="34" t="n">
        <v>3372312000114</v>
      </c>
      <c r="B7640" s="34" t="s">
        <v>16219</v>
      </c>
      <c r="C7640" s="34" t="s">
        <v>77</v>
      </c>
      <c r="E7640" s="30" t="s">
        <v>16220</v>
      </c>
      <c r="F7640" s="34" t="n">
        <f aca="false">IFERROR(VLOOKUP($A7640,'319'!$B:$H,7,0),0)</f>
        <v>0</v>
      </c>
      <c r="G7640" s="34" t="n">
        <f aca="false">SUMIFS('12.326ana'!$C:$C,'12.326ana'!$M:$M,redes!A7640)</f>
        <v>0</v>
      </c>
    </row>
    <row r="7641" customFormat="false" ht="14.4" hidden="true" customHeight="false" outlineLevel="0" collapsed="false">
      <c r="A7641" s="34" t="n">
        <v>3373470000199</v>
      </c>
      <c r="B7641" s="34" t="s">
        <v>16221</v>
      </c>
      <c r="C7641" s="34" t="s">
        <v>296</v>
      </c>
      <c r="D7641" s="34" t="s">
        <v>4797</v>
      </c>
      <c r="E7641" s="30" t="s">
        <v>16222</v>
      </c>
      <c r="F7641" s="34" t="n">
        <f aca="false">IFERROR(VLOOKUP($A7641,'319'!$B:$H,7,0),0)</f>
        <v>0</v>
      </c>
      <c r="G7641" s="34" t="n">
        <f aca="false">SUMIFS('12.326ana'!$C:$C,'12.326ana'!$M:$M,redes!A7641)</f>
        <v>0</v>
      </c>
    </row>
    <row r="7642" customFormat="false" ht="14.4" hidden="true" customHeight="false" outlineLevel="0" collapsed="false">
      <c r="A7642" s="34" t="n">
        <v>3374745000109</v>
      </c>
      <c r="B7642" s="34" t="s">
        <v>16223</v>
      </c>
      <c r="C7642" s="34" t="s">
        <v>309</v>
      </c>
      <c r="E7642" s="30" t="s">
        <v>16224</v>
      </c>
      <c r="F7642" s="34" t="n">
        <f aca="false">IFERROR(VLOOKUP($A7642,'319'!$B:$H,7,0),0)</f>
        <v>0</v>
      </c>
      <c r="G7642" s="34" t="n">
        <f aca="false">SUMIFS('12.326ana'!$C:$C,'12.326ana'!$M:$M,redes!A7642)</f>
        <v>0</v>
      </c>
    </row>
    <row r="7643" customFormat="false" ht="14.4" hidden="true" customHeight="false" outlineLevel="0" collapsed="false">
      <c r="A7643" s="34" t="n">
        <v>3375889000180</v>
      </c>
      <c r="B7643" s="34" t="s">
        <v>16225</v>
      </c>
      <c r="C7643" s="34" t="s">
        <v>377</v>
      </c>
      <c r="E7643" s="30" t="s">
        <v>16226</v>
      </c>
      <c r="F7643" s="34" t="n">
        <f aca="false">IFERROR(VLOOKUP($A7643,'319'!$B:$H,7,0),0)</f>
        <v>0</v>
      </c>
      <c r="G7643" s="34" t="n">
        <f aca="false">SUMIFS('12.326ana'!$C:$C,'12.326ana'!$M:$M,redes!A7643)</f>
        <v>0</v>
      </c>
    </row>
    <row r="7644" customFormat="false" ht="14.4" hidden="true" customHeight="false" outlineLevel="0" collapsed="false">
      <c r="A7644" s="34" t="n">
        <v>3376150000273</v>
      </c>
      <c r="B7644" s="34" t="s">
        <v>16227</v>
      </c>
      <c r="C7644" s="34" t="s">
        <v>77</v>
      </c>
      <c r="E7644" s="30" t="s">
        <v>16228</v>
      </c>
      <c r="F7644" s="34" t="n">
        <f aca="false">IFERROR(VLOOKUP($A7644,'319'!$B:$H,7,0),0)</f>
        <v>0</v>
      </c>
      <c r="G7644" s="34" t="n">
        <f aca="false">SUMIFS('12.326ana'!$C:$C,'12.326ana'!$M:$M,redes!A7644)</f>
        <v>0</v>
      </c>
    </row>
    <row r="7645" customFormat="false" ht="14.4" hidden="true" customHeight="false" outlineLevel="0" collapsed="false">
      <c r="A7645" s="34" t="n">
        <v>3377886000185</v>
      </c>
      <c r="B7645" s="34" t="s">
        <v>16229</v>
      </c>
      <c r="C7645" s="34" t="s">
        <v>103</v>
      </c>
      <c r="E7645" s="30" t="s">
        <v>16230</v>
      </c>
      <c r="F7645" s="34" t="n">
        <f aca="false">IFERROR(VLOOKUP($A7645,'319'!$B:$H,7,0),0)</f>
        <v>0</v>
      </c>
      <c r="G7645" s="34" t="n">
        <f aca="false">SUMIFS('12.326ana'!$C:$C,'12.326ana'!$M:$M,redes!A7645)</f>
        <v>0</v>
      </c>
    </row>
    <row r="7646" customFormat="false" ht="14.4" hidden="true" customHeight="false" outlineLevel="0" collapsed="false">
      <c r="A7646" s="34" t="n">
        <v>3377915000109</v>
      </c>
      <c r="B7646" s="34" t="s">
        <v>16231</v>
      </c>
      <c r="C7646" s="34" t="s">
        <v>473</v>
      </c>
      <c r="E7646" s="30" t="s">
        <v>16232</v>
      </c>
      <c r="F7646" s="34" t="n">
        <f aca="false">IFERROR(VLOOKUP($A7646,'319'!$B:$H,7,0),0)</f>
        <v>0</v>
      </c>
      <c r="G7646" s="34" t="n">
        <f aca="false">SUMIFS('12.326ana'!$C:$C,'12.326ana'!$M:$M,redes!A7646)</f>
        <v>0</v>
      </c>
    </row>
    <row r="7647" customFormat="false" ht="14.4" hidden="true" customHeight="false" outlineLevel="0" collapsed="false">
      <c r="A7647" s="34" t="n">
        <v>3377923000155</v>
      </c>
      <c r="B7647" s="34" t="s">
        <v>1329</v>
      </c>
      <c r="C7647" s="34" t="s">
        <v>473</v>
      </c>
      <c r="E7647" s="30" t="s">
        <v>16233</v>
      </c>
      <c r="F7647" s="34" t="n">
        <f aca="false">IFERROR(VLOOKUP($A7647,'319'!$B:$H,7,0),0)</f>
        <v>250.33</v>
      </c>
      <c r="G7647" s="34" t="n">
        <f aca="false">SUMIFS('12.326ana'!$C:$C,'12.326ana'!$M:$M,redes!A7647)</f>
        <v>0</v>
      </c>
    </row>
    <row r="7648" customFormat="false" ht="14.4" hidden="true" customHeight="false" outlineLevel="0" collapsed="false">
      <c r="A7648" s="34" t="n">
        <v>3378918000167</v>
      </c>
      <c r="B7648" s="34" t="s">
        <v>16234</v>
      </c>
      <c r="C7648" s="34" t="s">
        <v>197</v>
      </c>
      <c r="E7648" s="30" t="s">
        <v>16235</v>
      </c>
      <c r="F7648" s="34" t="n">
        <f aca="false">IFERROR(VLOOKUP($A7648,'319'!$B:$H,7,0),0)</f>
        <v>0</v>
      </c>
      <c r="G7648" s="34" t="n">
        <f aca="false">SUMIFS('12.326ana'!$C:$C,'12.326ana'!$M:$M,redes!A7648)</f>
        <v>0</v>
      </c>
    </row>
    <row r="7649" customFormat="false" ht="14.4" hidden="true" customHeight="false" outlineLevel="0" collapsed="false">
      <c r="A7649" s="34" t="n">
        <v>3380221000120</v>
      </c>
      <c r="B7649" s="34" t="s">
        <v>16236</v>
      </c>
      <c r="C7649" s="34" t="s">
        <v>107</v>
      </c>
      <c r="E7649" s="30" t="s">
        <v>16237</v>
      </c>
      <c r="F7649" s="34" t="n">
        <f aca="false">IFERROR(VLOOKUP($A7649,'319'!$B:$H,7,0),0)</f>
        <v>0</v>
      </c>
      <c r="G7649" s="34" t="n">
        <f aca="false">SUMIFS('12.326ana'!$C:$C,'12.326ana'!$M:$M,redes!A7649)</f>
        <v>0</v>
      </c>
    </row>
    <row r="7650" customFormat="false" ht="14.4" hidden="true" customHeight="false" outlineLevel="0" collapsed="false">
      <c r="A7650" s="34" t="n">
        <v>3381696000131</v>
      </c>
      <c r="B7650" s="34" t="s">
        <v>16238</v>
      </c>
      <c r="C7650" s="34" t="s">
        <v>680</v>
      </c>
      <c r="E7650" s="30" t="s">
        <v>16239</v>
      </c>
      <c r="F7650" s="34" t="n">
        <f aca="false">IFERROR(VLOOKUP($A7650,'319'!$B:$H,7,0),0)</f>
        <v>0</v>
      </c>
      <c r="G7650" s="34" t="n">
        <f aca="false">SUMIFS('12.326ana'!$C:$C,'12.326ana'!$M:$M,redes!A7650)</f>
        <v>0</v>
      </c>
    </row>
    <row r="7651" customFormat="false" ht="14.4" hidden="true" customHeight="false" outlineLevel="0" collapsed="false">
      <c r="A7651" s="34" t="n">
        <v>3381990000143</v>
      </c>
      <c r="B7651" s="34" t="s">
        <v>16240</v>
      </c>
      <c r="C7651" s="34" t="s">
        <v>77</v>
      </c>
      <c r="E7651" s="30" t="s">
        <v>16241</v>
      </c>
      <c r="F7651" s="34" t="n">
        <f aca="false">IFERROR(VLOOKUP($A7651,'319'!$B:$H,7,0),0)</f>
        <v>0</v>
      </c>
      <c r="G7651" s="34" t="n">
        <f aca="false">SUMIFS('12.326ana'!$C:$C,'12.326ana'!$M:$M,redes!A7651)</f>
        <v>0</v>
      </c>
    </row>
    <row r="7652" customFormat="false" ht="14.4" hidden="true" customHeight="false" outlineLevel="0" collapsed="false">
      <c r="A7652" s="34" t="n">
        <v>3382015000150</v>
      </c>
      <c r="B7652" s="34" t="s">
        <v>16242</v>
      </c>
      <c r="C7652" s="34" t="s">
        <v>77</v>
      </c>
      <c r="E7652" s="30" t="s">
        <v>16243</v>
      </c>
      <c r="F7652" s="34" t="n">
        <f aca="false">IFERROR(VLOOKUP($A7652,'319'!$B:$H,7,0),0)</f>
        <v>0</v>
      </c>
      <c r="G7652" s="34" t="n">
        <f aca="false">SUMIFS('12.326ana'!$C:$C,'12.326ana'!$M:$M,redes!A7652)</f>
        <v>0</v>
      </c>
    </row>
    <row r="7653" customFormat="false" ht="14.4" hidden="true" customHeight="false" outlineLevel="0" collapsed="false">
      <c r="A7653" s="34" t="n">
        <v>3383239000186</v>
      </c>
      <c r="B7653" s="34" t="s">
        <v>16244</v>
      </c>
      <c r="C7653" s="34" t="s">
        <v>139</v>
      </c>
      <c r="E7653" s="30" t="s">
        <v>16245</v>
      </c>
      <c r="F7653" s="34" t="n">
        <f aca="false">IFERROR(VLOOKUP($A7653,'319'!$B:$H,7,0),0)</f>
        <v>0</v>
      </c>
      <c r="G7653" s="34" t="n">
        <f aca="false">SUMIFS('12.326ana'!$C:$C,'12.326ana'!$M:$M,redes!A7653)</f>
        <v>0</v>
      </c>
    </row>
    <row r="7654" customFormat="false" ht="14.4" hidden="true" customHeight="false" outlineLevel="0" collapsed="false">
      <c r="A7654" s="34" t="n">
        <v>3383676000108</v>
      </c>
      <c r="B7654" s="34" t="s">
        <v>16246</v>
      </c>
      <c r="C7654" s="34" t="s">
        <v>139</v>
      </c>
      <c r="E7654" s="30" t="s">
        <v>16247</v>
      </c>
      <c r="F7654" s="34" t="n">
        <f aca="false">IFERROR(VLOOKUP($A7654,'319'!$B:$H,7,0),0)</f>
        <v>0</v>
      </c>
      <c r="G7654" s="34" t="n">
        <f aca="false">SUMIFS('12.326ana'!$C:$C,'12.326ana'!$M:$M,redes!A7654)</f>
        <v>0</v>
      </c>
    </row>
    <row r="7655" customFormat="false" ht="14.4" hidden="true" customHeight="false" outlineLevel="0" collapsed="false">
      <c r="A7655" s="34" t="n">
        <v>3383684000146</v>
      </c>
      <c r="B7655" s="34" t="s">
        <v>16248</v>
      </c>
      <c r="C7655" s="34" t="s">
        <v>139</v>
      </c>
      <c r="E7655" s="30" t="s">
        <v>8805</v>
      </c>
      <c r="F7655" s="34" t="n">
        <f aca="false">IFERROR(VLOOKUP($A7655,'319'!$B:$H,7,0),0)</f>
        <v>0</v>
      </c>
      <c r="G7655" s="34" t="n">
        <f aca="false">SUMIFS('12.326ana'!$C:$C,'12.326ana'!$M:$M,redes!A7655)</f>
        <v>0</v>
      </c>
    </row>
    <row r="7656" customFormat="false" ht="14.4" hidden="true" customHeight="false" outlineLevel="0" collapsed="false">
      <c r="A7656" s="34" t="n">
        <v>3383858000170</v>
      </c>
      <c r="B7656" s="34" t="s">
        <v>16249</v>
      </c>
      <c r="C7656" s="34" t="s">
        <v>139</v>
      </c>
      <c r="E7656" s="30" t="s">
        <v>16250</v>
      </c>
      <c r="F7656" s="34" t="n">
        <f aca="false">IFERROR(VLOOKUP($A7656,'319'!$B:$H,7,0),0)</f>
        <v>0</v>
      </c>
      <c r="G7656" s="34" t="n">
        <f aca="false">SUMIFS('12.326ana'!$C:$C,'12.326ana'!$M:$M,redes!A7656)</f>
        <v>0</v>
      </c>
    </row>
    <row r="7657" customFormat="false" ht="14.4" hidden="true" customHeight="false" outlineLevel="0" collapsed="false">
      <c r="A7657" s="34" t="n">
        <v>3383858000413</v>
      </c>
      <c r="B7657" s="34" t="s">
        <v>16249</v>
      </c>
      <c r="C7657" s="34" t="s">
        <v>139</v>
      </c>
      <c r="E7657" s="30" t="s">
        <v>16250</v>
      </c>
      <c r="F7657" s="34" t="n">
        <f aca="false">IFERROR(VLOOKUP($A7657,'319'!$B:$H,7,0),0)</f>
        <v>0</v>
      </c>
      <c r="G7657" s="34" t="n">
        <f aca="false">SUMIFS('12.326ana'!$C:$C,'12.326ana'!$M:$M,redes!A7657)</f>
        <v>0</v>
      </c>
    </row>
    <row r="7658" customFormat="false" ht="14.4" hidden="true" customHeight="false" outlineLevel="0" collapsed="false">
      <c r="A7658" s="34" t="n">
        <v>3384942000109</v>
      </c>
      <c r="B7658" s="34" t="s">
        <v>16251</v>
      </c>
      <c r="C7658" s="34" t="s">
        <v>77</v>
      </c>
      <c r="E7658" s="30" t="s">
        <v>16252</v>
      </c>
      <c r="F7658" s="34" t="n">
        <f aca="false">IFERROR(VLOOKUP($A7658,'319'!$B:$H,7,0),0)</f>
        <v>0</v>
      </c>
      <c r="G7658" s="34" t="n">
        <f aca="false">SUMIFS('12.326ana'!$C:$C,'12.326ana'!$M:$M,redes!A7658)</f>
        <v>0</v>
      </c>
    </row>
    <row r="7659" customFormat="false" ht="14.4" hidden="true" customHeight="false" outlineLevel="0" collapsed="false">
      <c r="A7659" s="34" t="n">
        <v>3385014000169</v>
      </c>
      <c r="B7659" s="34" t="s">
        <v>1297</v>
      </c>
      <c r="C7659" s="34" t="s">
        <v>581</v>
      </c>
      <c r="E7659" s="30" t="s">
        <v>16253</v>
      </c>
      <c r="F7659" s="34" t="n">
        <f aca="false">IFERROR(VLOOKUP($A7659,'319'!$B:$H,7,0),0)</f>
        <v>253.51</v>
      </c>
      <c r="G7659" s="34" t="n">
        <f aca="false">SUMIFS('12.326ana'!$C:$C,'12.326ana'!$M:$M,redes!A7659)</f>
        <v>0</v>
      </c>
    </row>
    <row r="7660" customFormat="false" ht="14.4" hidden="true" customHeight="false" outlineLevel="0" collapsed="false">
      <c r="A7660" s="34" t="n">
        <v>3385725000133</v>
      </c>
      <c r="B7660" s="34" t="s">
        <v>16254</v>
      </c>
      <c r="C7660" s="34" t="s">
        <v>737</v>
      </c>
      <c r="E7660" s="30" t="s">
        <v>16255</v>
      </c>
      <c r="F7660" s="34" t="n">
        <f aca="false">IFERROR(VLOOKUP($A7660,'319'!$B:$H,7,0),0)</f>
        <v>0</v>
      </c>
      <c r="G7660" s="34" t="n">
        <f aca="false">SUMIFS('12.326ana'!$C:$C,'12.326ana'!$M:$M,redes!A7660)</f>
        <v>0</v>
      </c>
    </row>
    <row r="7661" customFormat="false" ht="14.4" hidden="true" customHeight="false" outlineLevel="0" collapsed="false">
      <c r="A7661" s="34" t="n">
        <v>3386922000177</v>
      </c>
      <c r="B7661" s="34" t="s">
        <v>16256</v>
      </c>
      <c r="C7661" s="34" t="s">
        <v>1306</v>
      </c>
      <c r="E7661" s="30" t="s">
        <v>10614</v>
      </c>
      <c r="F7661" s="34" t="n">
        <f aca="false">IFERROR(VLOOKUP($A7661,'319'!$B:$H,7,0),0)</f>
        <v>0</v>
      </c>
      <c r="G7661" s="34" t="n">
        <f aca="false">SUMIFS('12.326ana'!$C:$C,'12.326ana'!$M:$M,redes!A7661)</f>
        <v>0</v>
      </c>
    </row>
    <row r="7662" customFormat="false" ht="14.4" hidden="true" customHeight="false" outlineLevel="0" collapsed="false">
      <c r="A7662" s="34" t="n">
        <v>3387740000110</v>
      </c>
      <c r="B7662" s="34" t="s">
        <v>16257</v>
      </c>
      <c r="C7662" s="34" t="s">
        <v>1591</v>
      </c>
      <c r="E7662" s="30" t="s">
        <v>16258</v>
      </c>
      <c r="F7662" s="34" t="n">
        <f aca="false">IFERROR(VLOOKUP($A7662,'319'!$B:$H,7,0),0)</f>
        <v>0</v>
      </c>
      <c r="G7662" s="34" t="n">
        <f aca="false">SUMIFS('12.326ana'!$C:$C,'12.326ana'!$M:$M,redes!A7662)</f>
        <v>0</v>
      </c>
    </row>
    <row r="7663" customFormat="false" ht="14.4" hidden="true" customHeight="false" outlineLevel="0" collapsed="false">
      <c r="A7663" s="34" t="n">
        <v>3390597000116</v>
      </c>
      <c r="B7663" s="34" t="s">
        <v>16259</v>
      </c>
      <c r="C7663" s="34" t="s">
        <v>77</v>
      </c>
      <c r="E7663" s="30" t="s">
        <v>16260</v>
      </c>
      <c r="F7663" s="34" t="n">
        <f aca="false">IFERROR(VLOOKUP($A7663,'319'!$B:$H,7,0),0)</f>
        <v>0</v>
      </c>
      <c r="G7663" s="34" t="n">
        <f aca="false">SUMIFS('12.326ana'!$C:$C,'12.326ana'!$M:$M,redes!A7663)</f>
        <v>0</v>
      </c>
    </row>
    <row r="7664" customFormat="false" ht="14.4" hidden="true" customHeight="false" outlineLevel="0" collapsed="false">
      <c r="A7664" s="34" t="n">
        <v>3391881000107</v>
      </c>
      <c r="B7664" s="34" t="s">
        <v>16261</v>
      </c>
      <c r="C7664" s="34" t="s">
        <v>565</v>
      </c>
      <c r="E7664" s="30" t="s">
        <v>13290</v>
      </c>
      <c r="F7664" s="34" t="n">
        <f aca="false">IFERROR(VLOOKUP($A7664,'319'!$B:$H,7,0),0)</f>
        <v>0</v>
      </c>
      <c r="G7664" s="34" t="n">
        <f aca="false">SUMIFS('12.326ana'!$C:$C,'12.326ana'!$M:$M,redes!A7664)</f>
        <v>0</v>
      </c>
    </row>
    <row r="7665" customFormat="false" ht="14.4" hidden="true" customHeight="false" outlineLevel="0" collapsed="false">
      <c r="A7665" s="34" t="n">
        <v>3398357000168</v>
      </c>
      <c r="B7665" s="34" t="s">
        <v>16262</v>
      </c>
      <c r="C7665" s="34" t="s">
        <v>2998</v>
      </c>
      <c r="E7665" s="30" t="s">
        <v>16263</v>
      </c>
      <c r="F7665" s="34" t="n">
        <f aca="false">IFERROR(VLOOKUP($A7665,'319'!$B:$H,7,0),0)</f>
        <v>0</v>
      </c>
      <c r="G7665" s="34" t="n">
        <f aca="false">SUMIFS('12.326ana'!$C:$C,'12.326ana'!$M:$M,redes!A7665)</f>
        <v>0</v>
      </c>
    </row>
    <row r="7666" customFormat="false" ht="14.4" hidden="true" customHeight="false" outlineLevel="0" collapsed="false">
      <c r="A7666" s="34" t="n">
        <v>3399075000185</v>
      </c>
      <c r="B7666" s="34" t="s">
        <v>16264</v>
      </c>
      <c r="C7666" s="34" t="s">
        <v>107</v>
      </c>
      <c r="D7666" s="34" t="s">
        <v>16265</v>
      </c>
      <c r="E7666" s="30" t="s">
        <v>16266</v>
      </c>
      <c r="F7666" s="34" t="n">
        <f aca="false">IFERROR(VLOOKUP($A7666,'319'!$B:$H,7,0),0)</f>
        <v>4818.92</v>
      </c>
      <c r="G7666" s="34" t="n">
        <f aca="false">SUMIFS('12.326ana'!$C:$C,'12.326ana'!$M:$M,redes!A7666)</f>
        <v>0</v>
      </c>
    </row>
    <row r="7667" customFormat="false" ht="14.4" hidden="true" customHeight="false" outlineLevel="0" collapsed="false">
      <c r="A7667" s="34" t="n">
        <v>3399075000266</v>
      </c>
      <c r="B7667" s="34" t="s">
        <v>16264</v>
      </c>
      <c r="C7667" s="34" t="s">
        <v>107</v>
      </c>
      <c r="D7667" s="34" t="s">
        <v>16265</v>
      </c>
      <c r="E7667" s="30" t="s">
        <v>16267</v>
      </c>
      <c r="F7667" s="34" t="n">
        <f aca="false">IFERROR(VLOOKUP($A7667,'319'!$B:$H,7,0),0)</f>
        <v>4245.92</v>
      </c>
      <c r="G7667" s="34" t="n">
        <f aca="false">SUMIFS('12.326ana'!$C:$C,'12.326ana'!$M:$M,redes!A7667)</f>
        <v>0</v>
      </c>
    </row>
    <row r="7668" customFormat="false" ht="14.4" hidden="true" customHeight="false" outlineLevel="0" collapsed="false">
      <c r="A7668" s="34" t="n">
        <v>3402953000174</v>
      </c>
      <c r="B7668" s="34" t="s">
        <v>16268</v>
      </c>
      <c r="C7668" s="34" t="s">
        <v>77</v>
      </c>
      <c r="E7668" s="30" t="s">
        <v>16269</v>
      </c>
      <c r="F7668" s="34" t="n">
        <f aca="false">IFERROR(VLOOKUP($A7668,'319'!$B:$H,7,0),0)</f>
        <v>0</v>
      </c>
      <c r="G7668" s="34" t="n">
        <f aca="false">SUMIFS('12.326ana'!$C:$C,'12.326ana'!$M:$M,redes!A7668)</f>
        <v>0</v>
      </c>
    </row>
    <row r="7669" customFormat="false" ht="14.4" hidden="true" customHeight="false" outlineLevel="0" collapsed="false">
      <c r="A7669" s="34" t="n">
        <v>3405595000153</v>
      </c>
      <c r="B7669" s="34" t="s">
        <v>16270</v>
      </c>
      <c r="C7669" s="34" t="s">
        <v>463</v>
      </c>
      <c r="E7669" s="30" t="s">
        <v>16271</v>
      </c>
      <c r="F7669" s="34" t="n">
        <f aca="false">IFERROR(VLOOKUP($A7669,'319'!$B:$H,7,0),0)</f>
        <v>0</v>
      </c>
      <c r="G7669" s="34" t="n">
        <f aca="false">SUMIFS('12.326ana'!$C:$C,'12.326ana'!$M:$M,redes!A7669)</f>
        <v>0</v>
      </c>
    </row>
    <row r="7670" customFormat="false" ht="14.4" hidden="true" customHeight="false" outlineLevel="0" collapsed="false">
      <c r="A7670" s="34" t="n">
        <v>3407012000123</v>
      </c>
      <c r="B7670" s="34" t="s">
        <v>16272</v>
      </c>
      <c r="C7670" s="34" t="s">
        <v>631</v>
      </c>
      <c r="E7670" s="30" t="s">
        <v>3674</v>
      </c>
      <c r="F7670" s="34" t="n">
        <f aca="false">IFERROR(VLOOKUP($A7670,'319'!$B:$H,7,0),0)</f>
        <v>0</v>
      </c>
      <c r="G7670" s="34" t="n">
        <f aca="false">SUMIFS('12.326ana'!$C:$C,'12.326ana'!$M:$M,redes!A7670)</f>
        <v>0</v>
      </c>
    </row>
    <row r="7671" customFormat="false" ht="14.4" hidden="true" customHeight="false" outlineLevel="0" collapsed="false">
      <c r="A7671" s="34" t="n">
        <v>3408830000140</v>
      </c>
      <c r="B7671" s="34" t="s">
        <v>16273</v>
      </c>
      <c r="C7671" s="34" t="s">
        <v>2998</v>
      </c>
      <c r="E7671" s="30" t="s">
        <v>16274</v>
      </c>
      <c r="F7671" s="34" t="n">
        <f aca="false">IFERROR(VLOOKUP($A7671,'319'!$B:$H,7,0),0)</f>
        <v>0</v>
      </c>
      <c r="G7671" s="34" t="n">
        <f aca="false">SUMIFS('12.326ana'!$C:$C,'12.326ana'!$M:$M,redes!A7671)</f>
        <v>0</v>
      </c>
    </row>
    <row r="7672" customFormat="false" ht="14.4" hidden="true" customHeight="false" outlineLevel="0" collapsed="false">
      <c r="A7672" s="34" t="n">
        <v>3412825000101</v>
      </c>
      <c r="B7672" s="34" t="s">
        <v>16275</v>
      </c>
      <c r="C7672" s="34" t="s">
        <v>77</v>
      </c>
      <c r="E7672" s="30" t="s">
        <v>16276</v>
      </c>
      <c r="F7672" s="34" t="n">
        <f aca="false">IFERROR(VLOOKUP($A7672,'319'!$B:$H,7,0),0)</f>
        <v>0</v>
      </c>
      <c r="G7672" s="34" t="n">
        <f aca="false">SUMIFS('12.326ana'!$C:$C,'12.326ana'!$M:$M,redes!A7672)</f>
        <v>0</v>
      </c>
    </row>
    <row r="7673" customFormat="false" ht="14.4" hidden="true" customHeight="false" outlineLevel="0" collapsed="false">
      <c r="A7673" s="34" t="n">
        <v>3414136000136</v>
      </c>
      <c r="B7673" s="34" t="s">
        <v>16277</v>
      </c>
      <c r="C7673" s="34" t="s">
        <v>463</v>
      </c>
      <c r="E7673" s="30" t="s">
        <v>16278</v>
      </c>
      <c r="F7673" s="34" t="n">
        <f aca="false">IFERROR(VLOOKUP($A7673,'319'!$B:$H,7,0),0)</f>
        <v>0</v>
      </c>
      <c r="G7673" s="34" t="n">
        <f aca="false">SUMIFS('12.326ana'!$C:$C,'12.326ana'!$M:$M,redes!A7673)</f>
        <v>0</v>
      </c>
    </row>
    <row r="7674" customFormat="false" ht="14.4" hidden="true" customHeight="false" outlineLevel="0" collapsed="false">
      <c r="A7674" s="34" t="n">
        <v>3417956000181</v>
      </c>
      <c r="B7674" s="34" t="s">
        <v>16279</v>
      </c>
      <c r="C7674" s="34" t="s">
        <v>107</v>
      </c>
      <c r="E7674" s="30" t="s">
        <v>16280</v>
      </c>
      <c r="F7674" s="34" t="n">
        <f aca="false">IFERROR(VLOOKUP($A7674,'319'!$B:$H,7,0),0)</f>
        <v>0</v>
      </c>
      <c r="G7674" s="34" t="n">
        <f aca="false">SUMIFS('12.326ana'!$C:$C,'12.326ana'!$M:$M,redes!A7674)</f>
        <v>0</v>
      </c>
    </row>
    <row r="7675" customFormat="false" ht="14.4" hidden="true" customHeight="false" outlineLevel="0" collapsed="false">
      <c r="A7675" s="34" t="n">
        <v>3419909000177</v>
      </c>
      <c r="B7675" s="34" t="s">
        <v>16281</v>
      </c>
      <c r="C7675" s="34" t="s">
        <v>107</v>
      </c>
      <c r="E7675" s="30" t="s">
        <v>16282</v>
      </c>
      <c r="F7675" s="34" t="n">
        <f aca="false">IFERROR(VLOOKUP($A7675,'319'!$B:$H,7,0),0)</f>
        <v>0</v>
      </c>
      <c r="G7675" s="34" t="n">
        <f aca="false">SUMIFS('12.326ana'!$C:$C,'12.326ana'!$M:$M,redes!A7675)</f>
        <v>0</v>
      </c>
    </row>
    <row r="7676" customFormat="false" ht="14.4" hidden="true" customHeight="false" outlineLevel="0" collapsed="false">
      <c r="A7676" s="34" t="n">
        <v>3423207000167</v>
      </c>
      <c r="B7676" s="34" t="s">
        <v>16283</v>
      </c>
      <c r="C7676" s="34" t="s">
        <v>77</v>
      </c>
      <c r="E7676" s="30" t="s">
        <v>7777</v>
      </c>
      <c r="F7676" s="34" t="n">
        <f aca="false">IFERROR(VLOOKUP($A7676,'319'!$B:$H,7,0),0)</f>
        <v>0</v>
      </c>
      <c r="G7676" s="34" t="n">
        <f aca="false">SUMIFS('12.326ana'!$C:$C,'12.326ana'!$M:$M,redes!A7676)</f>
        <v>0</v>
      </c>
    </row>
    <row r="7677" customFormat="false" ht="14.4" hidden="true" customHeight="false" outlineLevel="0" collapsed="false">
      <c r="A7677" s="34" t="n">
        <v>3423207000248</v>
      </c>
      <c r="B7677" s="34" t="s">
        <v>16283</v>
      </c>
      <c r="C7677" s="34" t="s">
        <v>16284</v>
      </c>
      <c r="E7677" s="30" t="s">
        <v>16285</v>
      </c>
      <c r="F7677" s="34" t="n">
        <f aca="false">IFERROR(VLOOKUP($A7677,'319'!$B:$H,7,0),0)</f>
        <v>0</v>
      </c>
      <c r="G7677" s="34" t="n">
        <f aca="false">SUMIFS('12.326ana'!$C:$C,'12.326ana'!$M:$M,redes!A7677)</f>
        <v>0</v>
      </c>
    </row>
    <row r="7678" customFormat="false" ht="14.4" hidden="true" customHeight="false" outlineLevel="0" collapsed="false">
      <c r="A7678" s="34" t="n">
        <v>3423285000161</v>
      </c>
      <c r="B7678" s="34" t="s">
        <v>16286</v>
      </c>
      <c r="C7678" s="34" t="s">
        <v>77</v>
      </c>
      <c r="E7678" s="30" t="s">
        <v>16287</v>
      </c>
      <c r="F7678" s="34" t="n">
        <f aca="false">IFERROR(VLOOKUP($A7678,'319'!$B:$H,7,0),0)</f>
        <v>0</v>
      </c>
      <c r="G7678" s="34" t="n">
        <f aca="false">SUMIFS('12.326ana'!$C:$C,'12.326ana'!$M:$M,redes!A7678)</f>
        <v>0</v>
      </c>
    </row>
    <row r="7679" customFormat="false" ht="14.4" hidden="true" customHeight="false" outlineLevel="0" collapsed="false">
      <c r="A7679" s="34" t="n">
        <v>3423322000131</v>
      </c>
      <c r="B7679" s="34" t="s">
        <v>16288</v>
      </c>
      <c r="C7679" s="34" t="s">
        <v>77</v>
      </c>
      <c r="E7679" s="30" t="s">
        <v>16289</v>
      </c>
      <c r="F7679" s="34" t="n">
        <f aca="false">IFERROR(VLOOKUP($A7679,'319'!$B:$H,7,0),0)</f>
        <v>0</v>
      </c>
      <c r="G7679" s="34" t="n">
        <f aca="false">SUMIFS('12.326ana'!$C:$C,'12.326ana'!$M:$M,redes!A7679)</f>
        <v>0</v>
      </c>
    </row>
    <row r="7680" customFormat="false" ht="14.4" hidden="true" customHeight="false" outlineLevel="0" collapsed="false">
      <c r="A7680" s="34" t="n">
        <v>3427134000181</v>
      </c>
      <c r="B7680" s="34" t="s">
        <v>16290</v>
      </c>
      <c r="C7680" s="34" t="s">
        <v>77</v>
      </c>
      <c r="E7680" s="30" t="s">
        <v>16291</v>
      </c>
      <c r="F7680" s="34" t="n">
        <f aca="false">IFERROR(VLOOKUP($A7680,'319'!$B:$H,7,0),0)</f>
        <v>0</v>
      </c>
      <c r="G7680" s="34" t="n">
        <f aca="false">SUMIFS('12.326ana'!$C:$C,'12.326ana'!$M:$M,redes!A7680)</f>
        <v>0</v>
      </c>
    </row>
    <row r="7681" customFormat="false" ht="14.4" hidden="true" customHeight="false" outlineLevel="0" collapsed="false">
      <c r="A7681" s="34" t="n">
        <v>3427331000109</v>
      </c>
      <c r="B7681" s="34" t="s">
        <v>16292</v>
      </c>
      <c r="C7681" s="34" t="s">
        <v>77</v>
      </c>
      <c r="E7681" s="30" t="s">
        <v>16293</v>
      </c>
      <c r="F7681" s="34" t="n">
        <f aca="false">IFERROR(VLOOKUP($A7681,'319'!$B:$H,7,0),0)</f>
        <v>0</v>
      </c>
      <c r="G7681" s="34" t="n">
        <f aca="false">SUMIFS('12.326ana'!$C:$C,'12.326ana'!$M:$M,redes!A7681)</f>
        <v>0</v>
      </c>
    </row>
    <row r="7682" customFormat="false" ht="14.4" hidden="true" customHeight="false" outlineLevel="0" collapsed="false">
      <c r="A7682" s="34" t="n">
        <v>3428347000128</v>
      </c>
      <c r="B7682" s="34" t="s">
        <v>16294</v>
      </c>
      <c r="C7682" s="34" t="s">
        <v>77</v>
      </c>
      <c r="E7682" s="30" t="s">
        <v>16295</v>
      </c>
      <c r="F7682" s="34" t="n">
        <f aca="false">IFERROR(VLOOKUP($A7682,'319'!$B:$H,7,0),0)</f>
        <v>0</v>
      </c>
      <c r="G7682" s="34" t="n">
        <f aca="false">SUMIFS('12.326ana'!$C:$C,'12.326ana'!$M:$M,redes!A7682)</f>
        <v>0</v>
      </c>
    </row>
    <row r="7683" customFormat="false" ht="14.4" hidden="true" customHeight="false" outlineLevel="0" collapsed="false">
      <c r="A7683" s="34" t="n">
        <v>3428363000110</v>
      </c>
      <c r="B7683" s="34" t="s">
        <v>16296</v>
      </c>
      <c r="C7683" s="34" t="s">
        <v>77</v>
      </c>
      <c r="E7683" s="30" t="s">
        <v>16297</v>
      </c>
      <c r="F7683" s="34" t="n">
        <f aca="false">IFERROR(VLOOKUP($A7683,'319'!$B:$H,7,0),0)</f>
        <v>0</v>
      </c>
      <c r="G7683" s="34" t="n">
        <f aca="false">SUMIFS('12.326ana'!$C:$C,'12.326ana'!$M:$M,redes!A7683)</f>
        <v>0</v>
      </c>
    </row>
    <row r="7684" customFormat="false" ht="14.4" hidden="true" customHeight="false" outlineLevel="0" collapsed="false">
      <c r="A7684" s="34" t="n">
        <v>3430006000197</v>
      </c>
      <c r="B7684" s="34" t="s">
        <v>4951</v>
      </c>
      <c r="C7684" s="34" t="s">
        <v>598</v>
      </c>
      <c r="E7684" s="30" t="s">
        <v>4499</v>
      </c>
      <c r="F7684" s="34" t="n">
        <f aca="false">IFERROR(VLOOKUP($A7684,'319'!$B:$H,7,0),0)</f>
        <v>0</v>
      </c>
      <c r="G7684" s="34" t="n">
        <f aca="false">SUMIFS('12.326ana'!$C:$C,'12.326ana'!$M:$M,redes!A7684)</f>
        <v>0</v>
      </c>
    </row>
    <row r="7685" customFormat="false" ht="14.4" hidden="true" customHeight="false" outlineLevel="0" collapsed="false">
      <c r="A7685" s="34" t="n">
        <v>3432572000138</v>
      </c>
      <c r="B7685" s="34" t="s">
        <v>16298</v>
      </c>
      <c r="C7685" s="34" t="s">
        <v>473</v>
      </c>
      <c r="E7685" s="30" t="s">
        <v>16299</v>
      </c>
      <c r="F7685" s="34" t="n">
        <f aca="false">IFERROR(VLOOKUP($A7685,'319'!$B:$H,7,0),0)</f>
        <v>0</v>
      </c>
      <c r="G7685" s="34" t="n">
        <f aca="false">SUMIFS('12.326ana'!$C:$C,'12.326ana'!$M:$M,redes!A7685)</f>
        <v>0</v>
      </c>
    </row>
    <row r="7686" customFormat="false" ht="14.4" hidden="true" customHeight="false" outlineLevel="0" collapsed="false">
      <c r="A7686" s="34" t="n">
        <v>3432983000123</v>
      </c>
      <c r="B7686" s="34" t="s">
        <v>16300</v>
      </c>
      <c r="C7686" s="34" t="s">
        <v>77</v>
      </c>
      <c r="E7686" s="30" t="s">
        <v>16301</v>
      </c>
      <c r="F7686" s="34" t="n">
        <f aca="false">IFERROR(VLOOKUP($A7686,'319'!$B:$H,7,0),0)</f>
        <v>0</v>
      </c>
      <c r="G7686" s="34" t="n">
        <f aca="false">SUMIFS('12.326ana'!$C:$C,'12.326ana'!$M:$M,redes!A7686)</f>
        <v>0</v>
      </c>
    </row>
    <row r="7687" customFormat="false" ht="14.4" hidden="true" customHeight="false" outlineLevel="0" collapsed="false">
      <c r="A7687" s="34" t="n">
        <v>3437408000113</v>
      </c>
      <c r="B7687" s="34" t="s">
        <v>16302</v>
      </c>
      <c r="C7687" s="34" t="s">
        <v>6278</v>
      </c>
      <c r="E7687" s="30" t="s">
        <v>16303</v>
      </c>
      <c r="F7687" s="34" t="n">
        <f aca="false">IFERROR(VLOOKUP($A7687,'319'!$B:$H,7,0),0)</f>
        <v>0</v>
      </c>
      <c r="G7687" s="34" t="n">
        <f aca="false">SUMIFS('12.326ana'!$C:$C,'12.326ana'!$M:$M,redes!A7687)</f>
        <v>0</v>
      </c>
    </row>
    <row r="7688" customFormat="false" ht="14.4" hidden="true" customHeight="false" outlineLevel="0" collapsed="false">
      <c r="A7688" s="34" t="n">
        <v>3437898000158</v>
      </c>
      <c r="B7688" s="34" t="s">
        <v>16304</v>
      </c>
      <c r="C7688" s="34" t="s">
        <v>604</v>
      </c>
      <c r="E7688" s="30" t="s">
        <v>16305</v>
      </c>
      <c r="F7688" s="34" t="n">
        <f aca="false">IFERROR(VLOOKUP($A7688,'319'!$B:$H,7,0),0)</f>
        <v>0</v>
      </c>
      <c r="G7688" s="34" t="n">
        <f aca="false">SUMIFS('12.326ana'!$C:$C,'12.326ana'!$M:$M,redes!A7688)</f>
        <v>0</v>
      </c>
    </row>
    <row r="7689" customFormat="false" ht="14.4" hidden="true" customHeight="false" outlineLevel="0" collapsed="false">
      <c r="A7689" s="34" t="n">
        <v>3438584000170</v>
      </c>
      <c r="B7689" s="34" t="s">
        <v>16306</v>
      </c>
      <c r="C7689" s="34" t="s">
        <v>77</v>
      </c>
      <c r="E7689" s="30" t="s">
        <v>2910</v>
      </c>
      <c r="F7689" s="34" t="n">
        <f aca="false">IFERROR(VLOOKUP($A7689,'319'!$B:$H,7,0),0)</f>
        <v>0</v>
      </c>
      <c r="G7689" s="34" t="n">
        <f aca="false">SUMIFS('12.326ana'!$C:$C,'12.326ana'!$M:$M,redes!A7689)</f>
        <v>0</v>
      </c>
    </row>
    <row r="7690" customFormat="false" ht="14.4" hidden="true" customHeight="false" outlineLevel="0" collapsed="false">
      <c r="A7690" s="34" t="n">
        <v>3439436000331</v>
      </c>
      <c r="B7690" s="34" t="s">
        <v>16307</v>
      </c>
      <c r="C7690" s="34" t="s">
        <v>16308</v>
      </c>
      <c r="E7690" s="30" t="s">
        <v>16309</v>
      </c>
      <c r="F7690" s="34" t="n">
        <f aca="false">IFERROR(VLOOKUP($A7690,'319'!$B:$H,7,0),0)</f>
        <v>0</v>
      </c>
      <c r="G7690" s="34" t="n">
        <f aca="false">SUMIFS('12.326ana'!$C:$C,'12.326ana'!$M:$M,redes!A7690)</f>
        <v>0</v>
      </c>
    </row>
    <row r="7691" customFormat="false" ht="14.4" hidden="true" customHeight="false" outlineLevel="0" collapsed="false">
      <c r="A7691" s="34" t="n">
        <v>3442737000152</v>
      </c>
      <c r="B7691" s="34" t="s">
        <v>16310</v>
      </c>
      <c r="C7691" s="34" t="s">
        <v>77</v>
      </c>
      <c r="E7691" s="30" t="s">
        <v>16311</v>
      </c>
      <c r="F7691" s="34" t="n">
        <f aca="false">IFERROR(VLOOKUP($A7691,'319'!$B:$H,7,0),0)</f>
        <v>0</v>
      </c>
      <c r="G7691" s="34" t="n">
        <f aca="false">SUMIFS('12.326ana'!$C:$C,'12.326ana'!$M:$M,redes!A7691)</f>
        <v>0</v>
      </c>
    </row>
    <row r="7692" customFormat="false" ht="14.4" hidden="true" customHeight="false" outlineLevel="0" collapsed="false">
      <c r="A7692" s="34" t="n">
        <v>3443550000173</v>
      </c>
      <c r="B7692" s="34" t="s">
        <v>16312</v>
      </c>
      <c r="C7692" s="34" t="s">
        <v>139</v>
      </c>
      <c r="E7692" s="30" t="s">
        <v>16313</v>
      </c>
      <c r="F7692" s="34" t="n">
        <f aca="false">IFERROR(VLOOKUP($A7692,'319'!$B:$H,7,0),0)</f>
        <v>0</v>
      </c>
      <c r="G7692" s="34" t="n">
        <f aca="false">SUMIFS('12.326ana'!$C:$C,'12.326ana'!$M:$M,redes!A7692)</f>
        <v>0</v>
      </c>
    </row>
    <row r="7693" customFormat="false" ht="14.4" hidden="true" customHeight="false" outlineLevel="0" collapsed="false">
      <c r="A7693" s="34" t="n">
        <v>3443552000162</v>
      </c>
      <c r="B7693" s="34" t="s">
        <v>16314</v>
      </c>
      <c r="C7693" s="34" t="s">
        <v>107</v>
      </c>
      <c r="E7693" s="30" t="s">
        <v>16315</v>
      </c>
      <c r="F7693" s="34" t="n">
        <f aca="false">IFERROR(VLOOKUP($A7693,'319'!$B:$H,7,0),0)</f>
        <v>0</v>
      </c>
      <c r="G7693" s="34" t="n">
        <f aca="false">SUMIFS('12.326ana'!$C:$C,'12.326ana'!$M:$M,redes!A7693)</f>
        <v>0</v>
      </c>
    </row>
    <row r="7694" customFormat="false" ht="14.4" hidden="true" customHeight="false" outlineLevel="0" collapsed="false">
      <c r="A7694" s="34" t="n">
        <v>3443975000182</v>
      </c>
      <c r="B7694" s="34" t="s">
        <v>16316</v>
      </c>
      <c r="C7694" s="34" t="s">
        <v>77</v>
      </c>
      <c r="E7694" s="30" t="s">
        <v>3632</v>
      </c>
      <c r="F7694" s="34" t="n">
        <f aca="false">IFERROR(VLOOKUP($A7694,'319'!$B:$H,7,0),0)</f>
        <v>0</v>
      </c>
      <c r="G7694" s="34" t="n">
        <f aca="false">SUMIFS('12.326ana'!$C:$C,'12.326ana'!$M:$M,redes!A7694)</f>
        <v>0</v>
      </c>
    </row>
    <row r="7695" customFormat="false" ht="14.4" hidden="true" customHeight="false" outlineLevel="0" collapsed="false">
      <c r="A7695" s="34" t="n">
        <v>3445309000183</v>
      </c>
      <c r="B7695" s="34" t="s">
        <v>16317</v>
      </c>
      <c r="C7695" s="34" t="s">
        <v>721</v>
      </c>
      <c r="E7695" s="30" t="s">
        <v>16318</v>
      </c>
      <c r="F7695" s="34" t="n">
        <f aca="false">IFERROR(VLOOKUP($A7695,'319'!$B:$H,7,0),0)</f>
        <v>0</v>
      </c>
      <c r="G7695" s="34" t="n">
        <f aca="false">SUMIFS('12.326ana'!$C:$C,'12.326ana'!$M:$M,redes!A7695)</f>
        <v>0</v>
      </c>
    </row>
    <row r="7696" customFormat="false" ht="14.4" hidden="true" customHeight="false" outlineLevel="0" collapsed="false">
      <c r="A7696" s="34" t="n">
        <v>3445619000106</v>
      </c>
      <c r="B7696" s="34" t="s">
        <v>16319</v>
      </c>
      <c r="C7696" s="34" t="s">
        <v>77</v>
      </c>
      <c r="E7696" s="30" t="s">
        <v>16320</v>
      </c>
      <c r="F7696" s="34" t="n">
        <f aca="false">IFERROR(VLOOKUP($A7696,'319'!$B:$H,7,0),0)</f>
        <v>0</v>
      </c>
      <c r="G7696" s="34" t="n">
        <f aca="false">SUMIFS('12.326ana'!$C:$C,'12.326ana'!$M:$M,redes!A7696)</f>
        <v>0</v>
      </c>
    </row>
    <row r="7697" customFormat="false" ht="14.4" hidden="true" customHeight="false" outlineLevel="0" collapsed="false">
      <c r="A7697" s="34" t="n">
        <v>3447002000111</v>
      </c>
      <c r="B7697" s="34" t="s">
        <v>1393</v>
      </c>
      <c r="C7697" s="34" t="s">
        <v>594</v>
      </c>
      <c r="E7697" s="30" t="s">
        <v>16321</v>
      </c>
      <c r="F7697" s="34" t="n">
        <f aca="false">IFERROR(VLOOKUP($A7697,'319'!$B:$H,7,0),0)</f>
        <v>0</v>
      </c>
      <c r="G7697" s="34" t="n">
        <f aca="false">SUMIFS('12.326ana'!$C:$C,'12.326ana'!$M:$M,redes!A7697)</f>
        <v>0</v>
      </c>
    </row>
    <row r="7698" customFormat="false" ht="14.4" hidden="true" customHeight="false" outlineLevel="0" collapsed="false">
      <c r="A7698" s="34" t="n">
        <v>3447356000247</v>
      </c>
      <c r="B7698" s="34" t="s">
        <v>16322</v>
      </c>
      <c r="C7698" s="34" t="s">
        <v>473</v>
      </c>
      <c r="E7698" s="30" t="s">
        <v>16323</v>
      </c>
      <c r="F7698" s="34" t="n">
        <f aca="false">IFERROR(VLOOKUP($A7698,'319'!$B:$H,7,0),0)</f>
        <v>0</v>
      </c>
      <c r="G7698" s="34" t="n">
        <f aca="false">SUMIFS('12.326ana'!$C:$C,'12.326ana'!$M:$M,redes!A7698)</f>
        <v>0</v>
      </c>
    </row>
    <row r="7699" customFormat="false" ht="14.4" hidden="true" customHeight="false" outlineLevel="0" collapsed="false">
      <c r="A7699" s="34" t="n">
        <v>3447582000147</v>
      </c>
      <c r="B7699" s="34" t="s">
        <v>16324</v>
      </c>
      <c r="C7699" s="34" t="s">
        <v>77</v>
      </c>
      <c r="E7699" s="30" t="s">
        <v>16325</v>
      </c>
      <c r="F7699" s="34" t="n">
        <f aca="false">IFERROR(VLOOKUP($A7699,'319'!$B:$H,7,0),0)</f>
        <v>0</v>
      </c>
      <c r="G7699" s="34" t="n">
        <f aca="false">SUMIFS('12.326ana'!$C:$C,'12.326ana'!$M:$M,redes!A7699)</f>
        <v>0</v>
      </c>
    </row>
    <row r="7700" customFormat="false" ht="14.4" hidden="true" customHeight="false" outlineLevel="0" collapsed="false">
      <c r="A7700" s="34" t="n">
        <v>3448246000119</v>
      </c>
      <c r="B7700" s="34" t="s">
        <v>16326</v>
      </c>
      <c r="C7700" s="34" t="s">
        <v>357</v>
      </c>
      <c r="E7700" s="30" t="s">
        <v>16327</v>
      </c>
      <c r="F7700" s="34" t="n">
        <f aca="false">IFERROR(VLOOKUP($A7700,'319'!$B:$H,7,0),0)</f>
        <v>0</v>
      </c>
      <c r="G7700" s="34" t="n">
        <f aca="false">SUMIFS('12.326ana'!$C:$C,'12.326ana'!$M:$M,redes!A7700)</f>
        <v>0</v>
      </c>
    </row>
    <row r="7701" customFormat="false" ht="14.4" hidden="true" customHeight="false" outlineLevel="0" collapsed="false">
      <c r="A7701" s="34" t="n">
        <v>3450467000121</v>
      </c>
      <c r="B7701" s="34" t="s">
        <v>16328</v>
      </c>
      <c r="C7701" s="34" t="s">
        <v>473</v>
      </c>
      <c r="E7701" s="30" t="s">
        <v>16329</v>
      </c>
      <c r="F7701" s="34" t="n">
        <f aca="false">IFERROR(VLOOKUP($A7701,'319'!$B:$H,7,0),0)</f>
        <v>0</v>
      </c>
      <c r="G7701" s="34" t="n">
        <f aca="false">SUMIFS('12.326ana'!$C:$C,'12.326ana'!$M:$M,redes!A7701)</f>
        <v>0</v>
      </c>
    </row>
    <row r="7702" customFormat="false" ht="14.4" hidden="true" customHeight="false" outlineLevel="0" collapsed="false">
      <c r="A7702" s="34" t="n">
        <v>3450467000393</v>
      </c>
      <c r="B7702" s="34" t="s">
        <v>16330</v>
      </c>
      <c r="C7702" s="34" t="s">
        <v>473</v>
      </c>
      <c r="E7702" s="30" t="s">
        <v>16331</v>
      </c>
      <c r="F7702" s="34" t="n">
        <f aca="false">IFERROR(VLOOKUP($A7702,'319'!$B:$H,7,0),0)</f>
        <v>0</v>
      </c>
      <c r="G7702" s="34" t="n">
        <f aca="false">SUMIFS('12.326ana'!$C:$C,'12.326ana'!$M:$M,redes!A7702)</f>
        <v>0</v>
      </c>
    </row>
    <row r="7703" customFormat="false" ht="14.4" hidden="true" customHeight="false" outlineLevel="0" collapsed="false">
      <c r="A7703" s="34" t="n">
        <v>3450560000136</v>
      </c>
      <c r="B7703" s="34" t="s">
        <v>16332</v>
      </c>
      <c r="C7703" s="34" t="s">
        <v>77</v>
      </c>
      <c r="E7703" s="30" t="s">
        <v>16333</v>
      </c>
      <c r="F7703" s="34" t="n">
        <f aca="false">IFERROR(VLOOKUP($A7703,'319'!$B:$H,7,0),0)</f>
        <v>0</v>
      </c>
      <c r="G7703" s="34" t="n">
        <f aca="false">SUMIFS('12.326ana'!$C:$C,'12.326ana'!$M:$M,redes!A7703)</f>
        <v>0</v>
      </c>
    </row>
    <row r="7704" customFormat="false" ht="14.4" hidden="true" customHeight="false" outlineLevel="0" collapsed="false">
      <c r="A7704" s="34" t="n">
        <v>3452605000101</v>
      </c>
      <c r="B7704" s="34" t="s">
        <v>16334</v>
      </c>
      <c r="C7704" s="34" t="s">
        <v>463</v>
      </c>
      <c r="E7704" s="30" t="s">
        <v>16335</v>
      </c>
      <c r="F7704" s="34" t="n">
        <f aca="false">IFERROR(VLOOKUP($A7704,'319'!$B:$H,7,0),0)</f>
        <v>0</v>
      </c>
      <c r="G7704" s="34" t="n">
        <f aca="false">SUMIFS('12.326ana'!$C:$C,'12.326ana'!$M:$M,redes!A7704)</f>
        <v>0</v>
      </c>
    </row>
    <row r="7705" customFormat="false" ht="14.4" hidden="true" customHeight="false" outlineLevel="0" collapsed="false">
      <c r="A7705" s="34" t="n">
        <v>3453910000118</v>
      </c>
      <c r="B7705" s="34" t="s">
        <v>16336</v>
      </c>
      <c r="C7705" s="34" t="s">
        <v>594</v>
      </c>
      <c r="E7705" s="30" t="s">
        <v>15805</v>
      </c>
      <c r="F7705" s="34" t="n">
        <f aca="false">IFERROR(VLOOKUP($A7705,'319'!$B:$H,7,0),0)</f>
        <v>0</v>
      </c>
      <c r="G7705" s="34" t="n">
        <f aca="false">SUMIFS('12.326ana'!$C:$C,'12.326ana'!$M:$M,redes!A7705)</f>
        <v>0</v>
      </c>
    </row>
    <row r="7706" customFormat="false" ht="14.4" hidden="true" customHeight="false" outlineLevel="0" collapsed="false">
      <c r="A7706" s="34" t="n">
        <v>3454365000184</v>
      </c>
      <c r="B7706" s="34" t="s">
        <v>16337</v>
      </c>
      <c r="C7706" s="34" t="s">
        <v>737</v>
      </c>
      <c r="E7706" s="30" t="s">
        <v>16338</v>
      </c>
      <c r="F7706" s="34" t="n">
        <f aca="false">IFERROR(VLOOKUP($A7706,'319'!$B:$H,7,0),0)</f>
        <v>0</v>
      </c>
      <c r="G7706" s="34" t="n">
        <f aca="false">SUMIFS('12.326ana'!$C:$C,'12.326ana'!$M:$M,redes!A7706)</f>
        <v>0</v>
      </c>
    </row>
    <row r="7707" customFormat="false" ht="14.4" hidden="true" customHeight="false" outlineLevel="0" collapsed="false">
      <c r="A7707" s="34" t="n">
        <v>3456755000193</v>
      </c>
      <c r="B7707" s="34" t="s">
        <v>16339</v>
      </c>
      <c r="C7707" s="34" t="s">
        <v>139</v>
      </c>
      <c r="E7707" s="30" t="s">
        <v>16340</v>
      </c>
      <c r="F7707" s="34" t="n">
        <f aca="false">IFERROR(VLOOKUP($A7707,'319'!$B:$H,7,0),0)</f>
        <v>0</v>
      </c>
      <c r="G7707" s="34" t="n">
        <f aca="false">SUMIFS('12.326ana'!$C:$C,'12.326ana'!$M:$M,redes!A7707)</f>
        <v>0</v>
      </c>
    </row>
    <row r="7708" customFormat="false" ht="14.4" hidden="true" customHeight="false" outlineLevel="0" collapsed="false">
      <c r="A7708" s="34" t="n">
        <v>3456800000100</v>
      </c>
      <c r="B7708" s="34" t="s">
        <v>16341</v>
      </c>
      <c r="C7708" s="34" t="s">
        <v>77</v>
      </c>
      <c r="E7708" s="30" t="s">
        <v>16342</v>
      </c>
      <c r="F7708" s="34" t="n">
        <f aca="false">IFERROR(VLOOKUP($A7708,'319'!$B:$H,7,0),0)</f>
        <v>0</v>
      </c>
      <c r="G7708" s="34" t="n">
        <f aca="false">SUMIFS('12.326ana'!$C:$C,'12.326ana'!$M:$M,redes!A7708)</f>
        <v>0</v>
      </c>
    </row>
    <row r="7709" customFormat="false" ht="14.4" hidden="true" customHeight="false" outlineLevel="0" collapsed="false">
      <c r="A7709" s="34" t="n">
        <v>3456865000155</v>
      </c>
      <c r="B7709" s="34" t="s">
        <v>16343</v>
      </c>
      <c r="C7709" s="34" t="s">
        <v>77</v>
      </c>
      <c r="E7709" s="30" t="s">
        <v>10696</v>
      </c>
      <c r="F7709" s="34" t="n">
        <f aca="false">IFERROR(VLOOKUP($A7709,'319'!$B:$H,7,0),0)</f>
        <v>0</v>
      </c>
      <c r="G7709" s="34" t="n">
        <f aca="false">SUMIFS('12.326ana'!$C:$C,'12.326ana'!$M:$M,redes!A7709)</f>
        <v>0</v>
      </c>
    </row>
    <row r="7710" customFormat="false" ht="14.4" hidden="true" customHeight="false" outlineLevel="0" collapsed="false">
      <c r="A7710" s="34" t="n">
        <v>3459044000172</v>
      </c>
      <c r="B7710" s="34" t="s">
        <v>16344</v>
      </c>
      <c r="C7710" s="34" t="s">
        <v>77</v>
      </c>
      <c r="E7710" s="30" t="s">
        <v>16345</v>
      </c>
      <c r="F7710" s="34" t="n">
        <f aca="false">IFERROR(VLOOKUP($A7710,'319'!$B:$H,7,0),0)</f>
        <v>0</v>
      </c>
      <c r="G7710" s="34" t="n">
        <f aca="false">SUMIFS('12.326ana'!$C:$C,'12.326ana'!$M:$M,redes!A7710)</f>
        <v>0</v>
      </c>
    </row>
    <row r="7711" customFormat="false" ht="14.4" hidden="true" customHeight="false" outlineLevel="0" collapsed="false">
      <c r="A7711" s="34" t="n">
        <v>3459812000198</v>
      </c>
      <c r="B7711" s="34" t="s">
        <v>16346</v>
      </c>
      <c r="C7711" s="34" t="s">
        <v>103</v>
      </c>
      <c r="E7711" s="30" t="s">
        <v>3965</v>
      </c>
      <c r="F7711" s="34" t="n">
        <f aca="false">IFERROR(VLOOKUP($A7711,'319'!$B:$H,7,0),0)</f>
        <v>0</v>
      </c>
      <c r="G7711" s="34" t="n">
        <f aca="false">SUMIFS('12.326ana'!$C:$C,'12.326ana'!$M:$M,redes!A7711)</f>
        <v>0</v>
      </c>
    </row>
    <row r="7712" customFormat="false" ht="14.4" hidden="true" customHeight="false" outlineLevel="0" collapsed="false">
      <c r="A7712" s="34" t="n">
        <v>3459860000186</v>
      </c>
      <c r="B7712" s="34" t="s">
        <v>16347</v>
      </c>
      <c r="C7712" s="34" t="s">
        <v>77</v>
      </c>
      <c r="E7712" s="30" t="s">
        <v>16348</v>
      </c>
      <c r="F7712" s="34" t="n">
        <f aca="false">IFERROR(VLOOKUP($A7712,'319'!$B:$H,7,0),0)</f>
        <v>0</v>
      </c>
      <c r="G7712" s="34" t="n">
        <f aca="false">SUMIFS('12.326ana'!$C:$C,'12.326ana'!$M:$M,redes!A7712)</f>
        <v>0</v>
      </c>
    </row>
    <row r="7713" customFormat="false" ht="14.4" hidden="true" customHeight="false" outlineLevel="0" collapsed="false">
      <c r="A7713" s="34" t="n">
        <v>3461810000133</v>
      </c>
      <c r="B7713" s="34" t="s">
        <v>16349</v>
      </c>
      <c r="C7713" s="34" t="s">
        <v>336</v>
      </c>
      <c r="E7713" s="30" t="s">
        <v>16350</v>
      </c>
      <c r="F7713" s="34" t="n">
        <f aca="false">IFERROR(VLOOKUP($A7713,'319'!$B:$H,7,0),0)</f>
        <v>0</v>
      </c>
      <c r="G7713" s="34" t="n">
        <f aca="false">SUMIFS('12.326ana'!$C:$C,'12.326ana'!$M:$M,redes!A7713)</f>
        <v>0</v>
      </c>
    </row>
    <row r="7714" customFormat="false" ht="14.4" hidden="true" customHeight="false" outlineLevel="0" collapsed="false">
      <c r="A7714" s="34" t="n">
        <v>3462118000120</v>
      </c>
      <c r="B7714" s="34" t="s">
        <v>16351</v>
      </c>
      <c r="C7714" s="34" t="s">
        <v>473</v>
      </c>
      <c r="E7714" s="30" t="s">
        <v>16352</v>
      </c>
      <c r="F7714" s="34" t="n">
        <f aca="false">IFERROR(VLOOKUP($A7714,'319'!$B:$H,7,0),0)</f>
        <v>0</v>
      </c>
      <c r="G7714" s="34" t="n">
        <f aca="false">SUMIFS('12.326ana'!$C:$C,'12.326ana'!$M:$M,redes!A7714)</f>
        <v>0</v>
      </c>
    </row>
    <row r="7715" customFormat="false" ht="14.4" hidden="true" customHeight="false" outlineLevel="0" collapsed="false">
      <c r="A7715" s="34" t="n">
        <v>3468078000123</v>
      </c>
      <c r="B7715" s="34" t="s">
        <v>16353</v>
      </c>
      <c r="C7715" s="34" t="s">
        <v>842</v>
      </c>
      <c r="E7715" s="30" t="s">
        <v>16354</v>
      </c>
      <c r="F7715" s="34" t="n">
        <f aca="false">IFERROR(VLOOKUP($A7715,'319'!$B:$H,7,0),0)</f>
        <v>0</v>
      </c>
      <c r="G7715" s="34" t="n">
        <f aca="false">SUMIFS('12.326ana'!$C:$C,'12.326ana'!$M:$M,redes!A7715)</f>
        <v>0</v>
      </c>
    </row>
    <row r="7716" customFormat="false" ht="14.4" hidden="true" customHeight="false" outlineLevel="0" collapsed="false">
      <c r="A7716" s="34" t="n">
        <v>3468324000147</v>
      </c>
      <c r="B7716" s="34" t="s">
        <v>16355</v>
      </c>
      <c r="C7716" s="34" t="s">
        <v>77</v>
      </c>
      <c r="E7716" s="30" t="s">
        <v>16356</v>
      </c>
      <c r="F7716" s="34" t="n">
        <f aca="false">IFERROR(VLOOKUP($A7716,'319'!$B:$H,7,0),0)</f>
        <v>0</v>
      </c>
      <c r="G7716" s="34" t="n">
        <f aca="false">SUMIFS('12.326ana'!$C:$C,'12.326ana'!$M:$M,redes!A7716)</f>
        <v>0</v>
      </c>
    </row>
    <row r="7717" customFormat="false" ht="14.4" hidden="true" customHeight="false" outlineLevel="0" collapsed="false">
      <c r="A7717" s="34" t="n">
        <v>3468574000187</v>
      </c>
      <c r="B7717" s="34" t="s">
        <v>16357</v>
      </c>
      <c r="C7717" s="34" t="s">
        <v>103</v>
      </c>
      <c r="E7717" s="30" t="s">
        <v>16358</v>
      </c>
      <c r="F7717" s="34" t="n">
        <f aca="false">IFERROR(VLOOKUP($A7717,'319'!$B:$H,7,0),0)</f>
        <v>0</v>
      </c>
      <c r="G7717" s="34" t="n">
        <f aca="false">SUMIFS('12.326ana'!$C:$C,'12.326ana'!$M:$M,redes!A7717)</f>
        <v>0</v>
      </c>
    </row>
    <row r="7718" customFormat="false" ht="14.4" hidden="true" customHeight="false" outlineLevel="0" collapsed="false">
      <c r="A7718" s="34" t="n">
        <v>3469975000151</v>
      </c>
      <c r="B7718" s="34" t="s">
        <v>16359</v>
      </c>
      <c r="C7718" s="34" t="s">
        <v>781</v>
      </c>
      <c r="E7718" s="30" t="s">
        <v>16360</v>
      </c>
      <c r="F7718" s="34" t="n">
        <f aca="false">IFERROR(VLOOKUP($A7718,'319'!$B:$H,7,0),0)</f>
        <v>0</v>
      </c>
      <c r="G7718" s="34" t="n">
        <f aca="false">SUMIFS('12.326ana'!$C:$C,'12.326ana'!$M:$M,redes!A7718)</f>
        <v>0</v>
      </c>
    </row>
    <row r="7719" customFormat="false" ht="14.4" hidden="true" customHeight="false" outlineLevel="0" collapsed="false">
      <c r="A7719" s="34" t="n">
        <v>3471246000130</v>
      </c>
      <c r="B7719" s="34" t="s">
        <v>16361</v>
      </c>
      <c r="C7719" s="34" t="s">
        <v>954</v>
      </c>
      <c r="E7719" s="30" t="s">
        <v>16362</v>
      </c>
      <c r="F7719" s="34" t="n">
        <f aca="false">IFERROR(VLOOKUP($A7719,'319'!$B:$H,7,0),0)</f>
        <v>0</v>
      </c>
      <c r="G7719" s="34" t="n">
        <f aca="false">SUMIFS('12.326ana'!$C:$C,'12.326ana'!$M:$M,redes!A7719)</f>
        <v>0</v>
      </c>
    </row>
    <row r="7720" customFormat="false" ht="14.4" hidden="true" customHeight="false" outlineLevel="0" collapsed="false">
      <c r="A7720" s="34" t="n">
        <v>3472545000199</v>
      </c>
      <c r="B7720" s="34" t="s">
        <v>16363</v>
      </c>
      <c r="C7720" s="34" t="s">
        <v>139</v>
      </c>
      <c r="E7720" s="30" t="s">
        <v>6648</v>
      </c>
      <c r="F7720" s="34" t="n">
        <f aca="false">IFERROR(VLOOKUP($A7720,'319'!$B:$H,7,0),0)</f>
        <v>0</v>
      </c>
      <c r="G7720" s="34" t="n">
        <f aca="false">SUMIFS('12.326ana'!$C:$C,'12.326ana'!$M:$M,redes!A7720)</f>
        <v>0</v>
      </c>
    </row>
    <row r="7721" customFormat="false" ht="14.4" hidden="true" customHeight="false" outlineLevel="0" collapsed="false">
      <c r="A7721" s="34" t="n">
        <v>3473415000170</v>
      </c>
      <c r="B7721" s="34" t="s">
        <v>16364</v>
      </c>
      <c r="C7721" s="34" t="s">
        <v>192</v>
      </c>
      <c r="E7721" s="30" t="s">
        <v>16365</v>
      </c>
      <c r="F7721" s="34" t="n">
        <f aca="false">IFERROR(VLOOKUP($A7721,'319'!$B:$H,7,0),0)</f>
        <v>0</v>
      </c>
      <c r="G7721" s="34" t="n">
        <f aca="false">SUMIFS('12.326ana'!$C:$C,'12.326ana'!$M:$M,redes!A7721)</f>
        <v>0</v>
      </c>
    </row>
    <row r="7722" customFormat="false" ht="14.4" hidden="true" customHeight="false" outlineLevel="0" collapsed="false">
      <c r="A7722" s="34" t="n">
        <v>3474044000141</v>
      </c>
      <c r="B7722" s="34" t="s">
        <v>16366</v>
      </c>
      <c r="C7722" s="34" t="s">
        <v>464</v>
      </c>
      <c r="E7722" s="30" t="s">
        <v>16367</v>
      </c>
      <c r="F7722" s="34" t="n">
        <f aca="false">IFERROR(VLOOKUP($A7722,'319'!$B:$H,7,0),0)</f>
        <v>0</v>
      </c>
      <c r="G7722" s="34" t="n">
        <f aca="false">SUMIFS('12.326ana'!$C:$C,'12.326ana'!$M:$M,redes!A7722)</f>
        <v>0</v>
      </c>
    </row>
    <row r="7723" customFormat="false" ht="14.4" hidden="true" customHeight="false" outlineLevel="0" collapsed="false">
      <c r="A7723" s="34" t="n">
        <v>3474467000161</v>
      </c>
      <c r="B7723" s="34" t="s">
        <v>16368</v>
      </c>
      <c r="C7723" s="34" t="s">
        <v>77</v>
      </c>
      <c r="E7723" s="30" t="s">
        <v>3781</v>
      </c>
      <c r="F7723" s="34" t="n">
        <f aca="false">IFERROR(VLOOKUP($A7723,'319'!$B:$H,7,0),0)</f>
        <v>0</v>
      </c>
      <c r="G7723" s="34" t="n">
        <f aca="false">SUMIFS('12.326ana'!$C:$C,'12.326ana'!$M:$M,redes!A7723)</f>
        <v>0</v>
      </c>
    </row>
    <row r="7724" customFormat="false" ht="14.4" hidden="true" customHeight="false" outlineLevel="0" collapsed="false">
      <c r="A7724" s="34" t="n">
        <v>3474970000117</v>
      </c>
      <c r="B7724" s="34" t="s">
        <v>16369</v>
      </c>
      <c r="C7724" s="34" t="s">
        <v>448</v>
      </c>
      <c r="E7724" s="30" t="s">
        <v>16370</v>
      </c>
      <c r="F7724" s="34" t="n">
        <f aca="false">IFERROR(VLOOKUP($A7724,'319'!$B:$H,7,0),0)</f>
        <v>0</v>
      </c>
      <c r="G7724" s="34" t="n">
        <f aca="false">SUMIFS('12.326ana'!$C:$C,'12.326ana'!$M:$M,redes!A7724)</f>
        <v>0</v>
      </c>
    </row>
    <row r="7725" customFormat="false" ht="14.4" hidden="true" customHeight="false" outlineLevel="0" collapsed="false">
      <c r="A7725" s="34" t="n">
        <v>3475316000128</v>
      </c>
      <c r="B7725" s="34" t="s">
        <v>16371</v>
      </c>
      <c r="C7725" s="34" t="s">
        <v>935</v>
      </c>
      <c r="E7725" s="30" t="s">
        <v>5436</v>
      </c>
      <c r="F7725" s="34" t="n">
        <f aca="false">IFERROR(VLOOKUP($A7725,'319'!$B:$H,7,0),0)</f>
        <v>0</v>
      </c>
      <c r="G7725" s="34" t="n">
        <f aca="false">SUMIFS('12.326ana'!$C:$C,'12.326ana'!$M:$M,redes!A7725)</f>
        <v>0</v>
      </c>
    </row>
    <row r="7726" customFormat="false" ht="14.4" hidden="true" customHeight="false" outlineLevel="0" collapsed="false">
      <c r="A7726" s="34" t="n">
        <v>3475387000120</v>
      </c>
      <c r="B7726" s="34" t="s">
        <v>16372</v>
      </c>
      <c r="C7726" s="34" t="s">
        <v>77</v>
      </c>
      <c r="E7726" s="30" t="s">
        <v>16373</v>
      </c>
      <c r="F7726" s="34" t="n">
        <f aca="false">IFERROR(VLOOKUP($A7726,'319'!$B:$H,7,0),0)</f>
        <v>0</v>
      </c>
      <c r="G7726" s="34" t="n">
        <f aca="false">SUMIFS('12.326ana'!$C:$C,'12.326ana'!$M:$M,redes!A7726)</f>
        <v>0</v>
      </c>
    </row>
    <row r="7727" customFormat="false" ht="14.4" hidden="true" customHeight="false" outlineLevel="0" collapsed="false">
      <c r="A7727" s="34" t="n">
        <v>3475904000161</v>
      </c>
      <c r="B7727" s="34" t="s">
        <v>16374</v>
      </c>
      <c r="C7727" s="34" t="s">
        <v>107</v>
      </c>
      <c r="E7727" s="30" t="s">
        <v>16375</v>
      </c>
      <c r="F7727" s="34" t="n">
        <f aca="false">IFERROR(VLOOKUP($A7727,'319'!$B:$H,7,0),0)</f>
        <v>0</v>
      </c>
      <c r="G7727" s="34" t="n">
        <f aca="false">SUMIFS('12.326ana'!$C:$C,'12.326ana'!$M:$M,redes!A7727)</f>
        <v>0</v>
      </c>
    </row>
    <row r="7728" customFormat="false" ht="14.4" hidden="true" customHeight="false" outlineLevel="0" collapsed="false">
      <c r="A7728" s="34" t="n">
        <v>3476014000174</v>
      </c>
      <c r="B7728" s="34" t="s">
        <v>16376</v>
      </c>
      <c r="C7728" s="34" t="s">
        <v>77</v>
      </c>
      <c r="E7728" s="30" t="s">
        <v>16377</v>
      </c>
      <c r="F7728" s="34" t="n">
        <f aca="false">IFERROR(VLOOKUP($A7728,'319'!$B:$H,7,0),0)</f>
        <v>0</v>
      </c>
      <c r="G7728" s="34" t="n">
        <f aca="false">SUMIFS('12.326ana'!$C:$C,'12.326ana'!$M:$M,redes!A7728)</f>
        <v>0</v>
      </c>
    </row>
    <row r="7729" customFormat="false" ht="14.4" hidden="true" customHeight="false" outlineLevel="0" collapsed="false">
      <c r="A7729" s="34" t="n">
        <v>3476176000102</v>
      </c>
      <c r="B7729" s="34" t="s">
        <v>16378</v>
      </c>
      <c r="C7729" s="34" t="s">
        <v>7250</v>
      </c>
      <c r="E7729" s="30" t="s">
        <v>16379</v>
      </c>
      <c r="F7729" s="34" t="n">
        <f aca="false">IFERROR(VLOOKUP($A7729,'319'!$B:$H,7,0),0)</f>
        <v>0</v>
      </c>
      <c r="G7729" s="34" t="n">
        <f aca="false">SUMIFS('12.326ana'!$C:$C,'12.326ana'!$M:$M,redes!A7729)</f>
        <v>0</v>
      </c>
    </row>
    <row r="7730" customFormat="false" ht="14.4" hidden="true" customHeight="false" outlineLevel="0" collapsed="false">
      <c r="A7730" s="34" t="n">
        <v>3476470000114</v>
      </c>
      <c r="B7730" s="34" t="s">
        <v>16380</v>
      </c>
      <c r="C7730" s="34" t="s">
        <v>1272</v>
      </c>
      <c r="E7730" s="30" t="s">
        <v>16381</v>
      </c>
      <c r="F7730" s="34" t="n">
        <f aca="false">IFERROR(VLOOKUP($A7730,'319'!$B:$H,7,0),0)</f>
        <v>0</v>
      </c>
      <c r="G7730" s="34" t="n">
        <f aca="false">SUMIFS('12.326ana'!$C:$C,'12.326ana'!$M:$M,redes!A7730)</f>
        <v>0</v>
      </c>
    </row>
    <row r="7731" customFormat="false" ht="14.4" hidden="true" customHeight="false" outlineLevel="0" collapsed="false">
      <c r="A7731" s="34" t="n">
        <v>3477379000113</v>
      </c>
      <c r="B7731" s="34" t="s">
        <v>16382</v>
      </c>
      <c r="C7731" s="34" t="s">
        <v>299</v>
      </c>
      <c r="E7731" s="30" t="s">
        <v>16383</v>
      </c>
      <c r="F7731" s="34" t="n">
        <f aca="false">IFERROR(VLOOKUP($A7731,'319'!$B:$H,7,0),0)</f>
        <v>0</v>
      </c>
      <c r="G7731" s="34" t="n">
        <f aca="false">SUMIFS('12.326ana'!$C:$C,'12.326ana'!$M:$M,redes!A7731)</f>
        <v>0</v>
      </c>
    </row>
    <row r="7732" customFormat="false" ht="14.4" hidden="true" customHeight="false" outlineLevel="0" collapsed="false">
      <c r="A7732" s="34" t="n">
        <v>3477387000160</v>
      </c>
      <c r="B7732" s="34" t="s">
        <v>16384</v>
      </c>
      <c r="C7732" s="34" t="s">
        <v>207</v>
      </c>
      <c r="D7732" s="34" t="s">
        <v>5602</v>
      </c>
      <c r="E7732" s="30" t="s">
        <v>11095</v>
      </c>
      <c r="F7732" s="34" t="n">
        <f aca="false">IFERROR(VLOOKUP($A7732,'319'!$B:$H,7,0),0)</f>
        <v>0</v>
      </c>
      <c r="G7732" s="34" t="n">
        <f aca="false">SUMIFS('12.326ana'!$C:$C,'12.326ana'!$M:$M,redes!A7732)</f>
        <v>0</v>
      </c>
    </row>
    <row r="7733" customFormat="false" ht="14.4" hidden="true" customHeight="false" outlineLevel="0" collapsed="false">
      <c r="A7733" s="34" t="n">
        <v>3477999000152</v>
      </c>
      <c r="B7733" s="34" t="s">
        <v>16385</v>
      </c>
      <c r="C7733" s="34" t="s">
        <v>129</v>
      </c>
      <c r="E7733" s="30" t="s">
        <v>16386</v>
      </c>
      <c r="F7733" s="34" t="n">
        <f aca="false">IFERROR(VLOOKUP($A7733,'319'!$B:$H,7,0),0)</f>
        <v>0</v>
      </c>
      <c r="G7733" s="34" t="n">
        <f aca="false">SUMIFS('12.326ana'!$C:$C,'12.326ana'!$M:$M,redes!A7733)</f>
        <v>0</v>
      </c>
    </row>
    <row r="7734" customFormat="false" ht="14.4" hidden="true" customHeight="false" outlineLevel="0" collapsed="false">
      <c r="A7734" s="34" t="n">
        <v>3478229000205</v>
      </c>
      <c r="B7734" s="34" t="s">
        <v>16387</v>
      </c>
      <c r="C7734" s="34" t="s">
        <v>77</v>
      </c>
      <c r="E7734" s="30" t="s">
        <v>16388</v>
      </c>
      <c r="F7734" s="34" t="n">
        <f aca="false">IFERROR(VLOOKUP($A7734,'319'!$B:$H,7,0),0)</f>
        <v>0</v>
      </c>
      <c r="G7734" s="34" t="n">
        <f aca="false">SUMIFS('12.326ana'!$C:$C,'12.326ana'!$M:$M,redes!A7734)</f>
        <v>0</v>
      </c>
    </row>
    <row r="7735" customFormat="false" ht="14.4" hidden="true" customHeight="false" outlineLevel="0" collapsed="false">
      <c r="A7735" s="34" t="n">
        <v>3480654000158</v>
      </c>
      <c r="B7735" s="34" t="s">
        <v>16389</v>
      </c>
      <c r="C7735" s="34" t="s">
        <v>631</v>
      </c>
      <c r="E7735" s="30" t="s">
        <v>16390</v>
      </c>
      <c r="F7735" s="34" t="n">
        <f aca="false">IFERROR(VLOOKUP($A7735,'319'!$B:$H,7,0),0)</f>
        <v>0</v>
      </c>
      <c r="G7735" s="34" t="n">
        <f aca="false">SUMIFS('12.326ana'!$C:$C,'12.326ana'!$M:$M,redes!A7735)</f>
        <v>0</v>
      </c>
    </row>
    <row r="7736" customFormat="false" ht="14.4" hidden="true" customHeight="false" outlineLevel="0" collapsed="false">
      <c r="A7736" s="34" t="n">
        <v>3481447000118</v>
      </c>
      <c r="B7736" s="34" t="s">
        <v>16391</v>
      </c>
      <c r="C7736" s="34" t="s">
        <v>77</v>
      </c>
      <c r="E7736" s="30" t="s">
        <v>16392</v>
      </c>
      <c r="F7736" s="34" t="n">
        <f aca="false">IFERROR(VLOOKUP($A7736,'319'!$B:$H,7,0),0)</f>
        <v>0</v>
      </c>
      <c r="G7736" s="34" t="n">
        <f aca="false">SUMIFS('12.326ana'!$C:$C,'12.326ana'!$M:$M,redes!A7736)</f>
        <v>0</v>
      </c>
    </row>
    <row r="7737" customFormat="false" ht="14.4" hidden="true" customHeight="false" outlineLevel="0" collapsed="false">
      <c r="A7737" s="34" t="n">
        <v>3484949000100</v>
      </c>
      <c r="B7737" s="34" t="s">
        <v>16393</v>
      </c>
      <c r="C7737" s="34" t="s">
        <v>1272</v>
      </c>
      <c r="E7737" s="30" t="s">
        <v>16393</v>
      </c>
      <c r="F7737" s="34" t="n">
        <f aca="false">IFERROR(VLOOKUP($A7737,'319'!$B:$H,7,0),0)</f>
        <v>0</v>
      </c>
      <c r="G7737" s="34" t="n">
        <f aca="false">SUMIFS('12.326ana'!$C:$C,'12.326ana'!$M:$M,redes!A7737)</f>
        <v>0</v>
      </c>
    </row>
    <row r="7738" customFormat="false" ht="14.4" hidden="true" customHeight="false" outlineLevel="0" collapsed="false">
      <c r="A7738" s="34" t="n">
        <v>3485055000127</v>
      </c>
      <c r="B7738" s="34" t="s">
        <v>16394</v>
      </c>
      <c r="C7738" s="34" t="s">
        <v>77</v>
      </c>
      <c r="E7738" s="30" t="s">
        <v>16395</v>
      </c>
      <c r="F7738" s="34" t="n">
        <f aca="false">IFERROR(VLOOKUP($A7738,'319'!$B:$H,7,0),0)</f>
        <v>0</v>
      </c>
      <c r="G7738" s="34" t="n">
        <f aca="false">SUMIFS('12.326ana'!$C:$C,'12.326ana'!$M:$M,redes!A7738)</f>
        <v>0</v>
      </c>
    </row>
    <row r="7739" customFormat="false" ht="14.4" hidden="true" customHeight="false" outlineLevel="0" collapsed="false">
      <c r="A7739" s="34" t="n">
        <v>3485120000114</v>
      </c>
      <c r="B7739" s="34" t="s">
        <v>16396</v>
      </c>
      <c r="C7739" s="34" t="s">
        <v>1591</v>
      </c>
      <c r="E7739" s="30" t="s">
        <v>3206</v>
      </c>
      <c r="F7739" s="34" t="n">
        <f aca="false">IFERROR(VLOOKUP($A7739,'319'!$B:$H,7,0),0)</f>
        <v>0</v>
      </c>
      <c r="G7739" s="34" t="n">
        <f aca="false">SUMIFS('12.326ana'!$C:$C,'12.326ana'!$M:$M,redes!A7739)</f>
        <v>0</v>
      </c>
    </row>
    <row r="7740" customFormat="false" ht="14.4" hidden="true" customHeight="false" outlineLevel="0" collapsed="false">
      <c r="A7740" s="34" t="n">
        <v>3486032000137</v>
      </c>
      <c r="B7740" s="34" t="s">
        <v>16397</v>
      </c>
      <c r="C7740" s="34" t="s">
        <v>77</v>
      </c>
      <c r="E7740" s="30" t="s">
        <v>7732</v>
      </c>
      <c r="F7740" s="34" t="n">
        <f aca="false">IFERROR(VLOOKUP($A7740,'319'!$B:$H,7,0),0)</f>
        <v>0</v>
      </c>
      <c r="G7740" s="34" t="n">
        <f aca="false">SUMIFS('12.326ana'!$C:$C,'12.326ana'!$M:$M,redes!A7740)</f>
        <v>0</v>
      </c>
    </row>
    <row r="7741" customFormat="false" ht="14.4" hidden="true" customHeight="false" outlineLevel="0" collapsed="false">
      <c r="A7741" s="34" t="n">
        <v>3486455000157</v>
      </c>
      <c r="B7741" s="34" t="s">
        <v>16398</v>
      </c>
      <c r="C7741" s="34" t="s">
        <v>357</v>
      </c>
      <c r="E7741" s="30" t="s">
        <v>16399</v>
      </c>
      <c r="F7741" s="34" t="n">
        <f aca="false">IFERROR(VLOOKUP($A7741,'319'!$B:$H,7,0),0)</f>
        <v>0</v>
      </c>
      <c r="G7741" s="34" t="n">
        <f aca="false">SUMIFS('12.326ana'!$C:$C,'12.326ana'!$M:$M,redes!A7741)</f>
        <v>0</v>
      </c>
    </row>
    <row r="7742" customFormat="false" ht="14.4" hidden="true" customHeight="false" outlineLevel="0" collapsed="false">
      <c r="A7742" s="34" t="n">
        <v>3486883000180</v>
      </c>
      <c r="B7742" s="34" t="s">
        <v>16400</v>
      </c>
      <c r="C7742" s="34" t="s">
        <v>139</v>
      </c>
      <c r="D7742" s="34" t="s">
        <v>4797</v>
      </c>
      <c r="E7742" s="30" t="s">
        <v>16401</v>
      </c>
      <c r="F7742" s="34" t="n">
        <f aca="false">IFERROR(VLOOKUP($A7742,'319'!$B:$H,7,0),0)</f>
        <v>0</v>
      </c>
      <c r="G7742" s="34" t="n">
        <f aca="false">SUMIFS('12.326ana'!$C:$C,'12.326ana'!$M:$M,redes!A7742)</f>
        <v>0</v>
      </c>
    </row>
    <row r="7743" customFormat="false" ht="14.4" hidden="true" customHeight="false" outlineLevel="0" collapsed="false">
      <c r="A7743" s="34" t="n">
        <v>3486940000120</v>
      </c>
      <c r="B7743" s="34" t="s">
        <v>16402</v>
      </c>
      <c r="C7743" s="34" t="s">
        <v>77</v>
      </c>
      <c r="E7743" s="30" t="s">
        <v>5935</v>
      </c>
      <c r="F7743" s="34" t="n">
        <f aca="false">IFERROR(VLOOKUP($A7743,'319'!$B:$H,7,0),0)</f>
        <v>0</v>
      </c>
      <c r="G7743" s="34" t="n">
        <f aca="false">SUMIFS('12.326ana'!$C:$C,'12.326ana'!$M:$M,redes!A7743)</f>
        <v>0</v>
      </c>
    </row>
    <row r="7744" customFormat="false" ht="14.4" hidden="true" customHeight="false" outlineLevel="0" collapsed="false">
      <c r="A7744" s="34" t="n">
        <v>3487170000130</v>
      </c>
      <c r="B7744" s="34" t="s">
        <v>16403</v>
      </c>
      <c r="C7744" s="34" t="s">
        <v>77</v>
      </c>
      <c r="E7744" s="30" t="s">
        <v>16404</v>
      </c>
      <c r="F7744" s="34" t="n">
        <f aca="false">IFERROR(VLOOKUP($A7744,'319'!$B:$H,7,0),0)</f>
        <v>0</v>
      </c>
      <c r="G7744" s="34" t="n">
        <f aca="false">SUMIFS('12.326ana'!$C:$C,'12.326ana'!$M:$M,redes!A7744)</f>
        <v>0</v>
      </c>
    </row>
    <row r="7745" customFormat="false" ht="14.4" hidden="true" customHeight="false" outlineLevel="0" collapsed="false">
      <c r="A7745" s="34" t="n">
        <v>3487671000117</v>
      </c>
      <c r="B7745" s="34" t="s">
        <v>16405</v>
      </c>
      <c r="C7745" s="34" t="s">
        <v>935</v>
      </c>
      <c r="E7745" s="30" t="s">
        <v>16406</v>
      </c>
      <c r="F7745" s="34" t="n">
        <f aca="false">IFERROR(VLOOKUP($A7745,'319'!$B:$H,7,0),0)</f>
        <v>0</v>
      </c>
      <c r="G7745" s="34" t="n">
        <f aca="false">SUMIFS('12.326ana'!$C:$C,'12.326ana'!$M:$M,redes!A7745)</f>
        <v>0</v>
      </c>
    </row>
    <row r="7746" customFormat="false" ht="14.4" hidden="true" customHeight="false" outlineLevel="0" collapsed="false">
      <c r="A7746" s="34" t="n">
        <v>3489332000170</v>
      </c>
      <c r="B7746" s="34" t="s">
        <v>16407</v>
      </c>
      <c r="C7746" s="34" t="s">
        <v>342</v>
      </c>
      <c r="E7746" s="30" t="s">
        <v>16408</v>
      </c>
      <c r="F7746" s="34" t="n">
        <f aca="false">IFERROR(VLOOKUP($A7746,'319'!$B:$H,7,0),0)</f>
        <v>0</v>
      </c>
      <c r="G7746" s="34" t="n">
        <f aca="false">SUMIFS('12.326ana'!$C:$C,'12.326ana'!$M:$M,redes!A7746)</f>
        <v>0</v>
      </c>
    </row>
    <row r="7747" customFormat="false" ht="14.4" hidden="true" customHeight="false" outlineLevel="0" collapsed="false">
      <c r="A7747" s="34" t="n">
        <v>3489531000188</v>
      </c>
      <c r="B7747" s="34" t="s">
        <v>16409</v>
      </c>
      <c r="C7747" s="34" t="s">
        <v>77</v>
      </c>
      <c r="E7747" s="30"/>
      <c r="F7747" s="34" t="n">
        <f aca="false">IFERROR(VLOOKUP($A7747,'319'!$B:$H,7,0),0)</f>
        <v>0</v>
      </c>
      <c r="G7747" s="34" t="n">
        <f aca="false">SUMIFS('12.326ana'!$C:$C,'12.326ana'!$M:$M,redes!A7747)</f>
        <v>0</v>
      </c>
    </row>
    <row r="7748" customFormat="false" ht="14.4" hidden="true" customHeight="false" outlineLevel="0" collapsed="false">
      <c r="A7748" s="34" t="n">
        <v>3489676000189</v>
      </c>
      <c r="B7748" s="34" t="s">
        <v>1571</v>
      </c>
      <c r="C7748" s="34" t="s">
        <v>107</v>
      </c>
      <c r="E7748" s="30" t="s">
        <v>16410</v>
      </c>
      <c r="F7748" s="34" t="n">
        <f aca="false">IFERROR(VLOOKUP($A7748,'319'!$B:$H,7,0),0)</f>
        <v>89.71</v>
      </c>
      <c r="G7748" s="34" t="n">
        <f aca="false">SUMIFS('12.326ana'!$C:$C,'12.326ana'!$M:$M,redes!A7748)</f>
        <v>0</v>
      </c>
    </row>
    <row r="7749" customFormat="false" ht="14.4" hidden="true" customHeight="false" outlineLevel="0" collapsed="false">
      <c r="A7749" s="34" t="n">
        <v>3492091000118</v>
      </c>
      <c r="B7749" s="34" t="s">
        <v>16411</v>
      </c>
      <c r="C7749" s="34" t="s">
        <v>463</v>
      </c>
      <c r="D7749" s="34" t="s">
        <v>4797</v>
      </c>
      <c r="E7749" s="30" t="s">
        <v>16412</v>
      </c>
      <c r="F7749" s="34" t="n">
        <f aca="false">IFERROR(VLOOKUP($A7749,'319'!$B:$H,7,0),0)</f>
        <v>0</v>
      </c>
      <c r="G7749" s="34" t="n">
        <f aca="false">SUMIFS('12.326ana'!$C:$C,'12.326ana'!$M:$M,redes!A7749)</f>
        <v>0</v>
      </c>
    </row>
    <row r="7750" customFormat="false" ht="14.4" hidden="true" customHeight="false" outlineLevel="0" collapsed="false">
      <c r="A7750" s="34" t="n">
        <v>3492320000102</v>
      </c>
      <c r="B7750" s="34" t="s">
        <v>16413</v>
      </c>
      <c r="C7750" s="34" t="s">
        <v>107</v>
      </c>
      <c r="E7750" s="30" t="s">
        <v>11517</v>
      </c>
      <c r="F7750" s="34" t="n">
        <f aca="false">IFERROR(VLOOKUP($A7750,'319'!$B:$H,7,0),0)</f>
        <v>0</v>
      </c>
      <c r="G7750" s="34" t="n">
        <f aca="false">SUMIFS('12.326ana'!$C:$C,'12.326ana'!$M:$M,redes!A7750)</f>
        <v>0</v>
      </c>
    </row>
    <row r="7751" customFormat="false" ht="14.4" hidden="true" customHeight="false" outlineLevel="0" collapsed="false">
      <c r="A7751" s="34" t="n">
        <v>3492588000136</v>
      </c>
      <c r="B7751" s="34" t="s">
        <v>16414</v>
      </c>
      <c r="C7751" s="34" t="s">
        <v>77</v>
      </c>
      <c r="D7751" s="34" t="s">
        <v>3324</v>
      </c>
      <c r="E7751" s="30" t="s">
        <v>16415</v>
      </c>
      <c r="F7751" s="34" t="n">
        <f aca="false">IFERROR(VLOOKUP($A7751,'319'!$B:$H,7,0),0)</f>
        <v>0</v>
      </c>
      <c r="G7751" s="34" t="n">
        <f aca="false">SUMIFS('12.326ana'!$C:$C,'12.326ana'!$M:$M,redes!A7751)</f>
        <v>0</v>
      </c>
    </row>
    <row r="7752" customFormat="false" ht="14.4" hidden="true" customHeight="false" outlineLevel="0" collapsed="false">
      <c r="A7752" s="34" t="n">
        <v>3492589000180</v>
      </c>
      <c r="B7752" s="34" t="s">
        <v>16416</v>
      </c>
      <c r="C7752" s="34" t="s">
        <v>77</v>
      </c>
      <c r="E7752" s="30"/>
      <c r="F7752" s="34" t="n">
        <f aca="false">IFERROR(VLOOKUP($A7752,'319'!$B:$H,7,0),0)</f>
        <v>0</v>
      </c>
      <c r="G7752" s="34" t="n">
        <f aca="false">SUMIFS('12.326ana'!$C:$C,'12.326ana'!$M:$M,redes!A7752)</f>
        <v>0</v>
      </c>
    </row>
    <row r="7753" customFormat="false" ht="14.4" hidden="true" customHeight="false" outlineLevel="0" collapsed="false">
      <c r="A7753" s="34" t="n">
        <v>3492774000175</v>
      </c>
      <c r="B7753" s="34" t="s">
        <v>16417</v>
      </c>
      <c r="C7753" s="34" t="s">
        <v>357</v>
      </c>
      <c r="E7753" s="30" t="s">
        <v>16418</v>
      </c>
      <c r="F7753" s="34" t="n">
        <f aca="false">IFERROR(VLOOKUP($A7753,'319'!$B:$H,7,0),0)</f>
        <v>0</v>
      </c>
      <c r="G7753" s="34" t="n">
        <f aca="false">SUMIFS('12.326ana'!$C:$C,'12.326ana'!$M:$M,redes!A7753)</f>
        <v>0</v>
      </c>
    </row>
    <row r="7754" customFormat="false" ht="14.4" hidden="true" customHeight="false" outlineLevel="0" collapsed="false">
      <c r="A7754" s="34" t="n">
        <v>3493582000183</v>
      </c>
      <c r="B7754" s="34" t="s">
        <v>16419</v>
      </c>
      <c r="C7754" s="34" t="s">
        <v>77</v>
      </c>
      <c r="D7754" s="34" t="s">
        <v>4797</v>
      </c>
      <c r="E7754" s="30" t="s">
        <v>16420</v>
      </c>
      <c r="F7754" s="34" t="n">
        <f aca="false">IFERROR(VLOOKUP($A7754,'319'!$B:$H,7,0),0)</f>
        <v>0</v>
      </c>
      <c r="G7754" s="34" t="n">
        <f aca="false">SUMIFS('12.326ana'!$C:$C,'12.326ana'!$M:$M,redes!A7754)</f>
        <v>0</v>
      </c>
    </row>
    <row r="7755" customFormat="false" ht="14.4" hidden="true" customHeight="false" outlineLevel="0" collapsed="false">
      <c r="A7755" s="34" t="n">
        <v>3494594000122</v>
      </c>
      <c r="B7755" s="34" t="s">
        <v>16421</v>
      </c>
      <c r="C7755" s="34" t="s">
        <v>77</v>
      </c>
      <c r="E7755" s="30"/>
      <c r="F7755" s="34" t="n">
        <f aca="false">IFERROR(VLOOKUP($A7755,'319'!$B:$H,7,0),0)</f>
        <v>0</v>
      </c>
      <c r="G7755" s="34" t="n">
        <f aca="false">SUMIFS('12.326ana'!$C:$C,'12.326ana'!$M:$M,redes!A7755)</f>
        <v>0</v>
      </c>
    </row>
    <row r="7756" customFormat="false" ht="14.4" hidden="true" customHeight="false" outlineLevel="0" collapsed="false">
      <c r="A7756" s="34" t="n">
        <v>3494676000177</v>
      </c>
      <c r="B7756" s="34" t="s">
        <v>16422</v>
      </c>
      <c r="C7756" s="34" t="s">
        <v>77</v>
      </c>
      <c r="D7756" s="34" t="s">
        <v>3324</v>
      </c>
      <c r="E7756" s="30" t="s">
        <v>6987</v>
      </c>
      <c r="F7756" s="34" t="n">
        <f aca="false">IFERROR(VLOOKUP($A7756,'319'!$B:$H,7,0),0)</f>
        <v>0</v>
      </c>
      <c r="G7756" s="34" t="n">
        <f aca="false">SUMIFS('12.326ana'!$C:$C,'12.326ana'!$M:$M,redes!A7756)</f>
        <v>0</v>
      </c>
    </row>
    <row r="7757" customFormat="false" ht="14.4" hidden="true" customHeight="false" outlineLevel="0" collapsed="false">
      <c r="A7757" s="34" t="n">
        <v>3497060000150</v>
      </c>
      <c r="B7757" s="34" t="s">
        <v>16423</v>
      </c>
      <c r="C7757" s="34" t="s">
        <v>475</v>
      </c>
      <c r="E7757" s="30" t="s">
        <v>16424</v>
      </c>
      <c r="F7757" s="34" t="n">
        <f aca="false">IFERROR(VLOOKUP($A7757,'319'!$B:$H,7,0),0)</f>
        <v>0</v>
      </c>
      <c r="G7757" s="34" t="n">
        <f aca="false">SUMIFS('12.326ana'!$C:$C,'12.326ana'!$M:$M,redes!A7757)</f>
        <v>0</v>
      </c>
    </row>
    <row r="7758" customFormat="false" ht="14.4" hidden="true" customHeight="false" outlineLevel="0" collapsed="false">
      <c r="A7758" s="34" t="n">
        <v>3497228000127</v>
      </c>
      <c r="B7758" s="34" t="s">
        <v>16425</v>
      </c>
      <c r="C7758" s="34" t="s">
        <v>463</v>
      </c>
      <c r="E7758" s="30" t="s">
        <v>16426</v>
      </c>
      <c r="F7758" s="34" t="n">
        <f aca="false">IFERROR(VLOOKUP($A7758,'319'!$B:$H,7,0),0)</f>
        <v>0</v>
      </c>
      <c r="G7758" s="34" t="n">
        <f aca="false">SUMIFS('12.326ana'!$C:$C,'12.326ana'!$M:$M,redes!A7758)</f>
        <v>0</v>
      </c>
    </row>
    <row r="7759" customFormat="false" ht="14.4" hidden="true" customHeight="false" outlineLevel="0" collapsed="false">
      <c r="A7759" s="34" t="n">
        <v>3499998000109</v>
      </c>
      <c r="B7759" s="34" t="s">
        <v>16427</v>
      </c>
      <c r="C7759" s="34" t="s">
        <v>197</v>
      </c>
      <c r="E7759" s="30" t="s">
        <v>16428</v>
      </c>
      <c r="F7759" s="34" t="n">
        <f aca="false">IFERROR(VLOOKUP($A7759,'319'!$B:$H,7,0),0)</f>
        <v>0</v>
      </c>
      <c r="G7759" s="34" t="n">
        <f aca="false">SUMIFS('12.326ana'!$C:$C,'12.326ana'!$M:$M,redes!A7759)</f>
        <v>0</v>
      </c>
    </row>
    <row r="7760" customFormat="false" ht="14.4" hidden="true" customHeight="false" outlineLevel="0" collapsed="false">
      <c r="A7760" s="34" t="n">
        <v>3500259000190</v>
      </c>
      <c r="B7760" s="34" t="s">
        <v>16429</v>
      </c>
      <c r="C7760" s="34" t="s">
        <v>342</v>
      </c>
      <c r="E7760" s="30" t="s">
        <v>16430</v>
      </c>
      <c r="F7760" s="34" t="n">
        <f aca="false">IFERROR(VLOOKUP($A7760,'319'!$B:$H,7,0),0)</f>
        <v>0</v>
      </c>
      <c r="G7760" s="34" t="n">
        <f aca="false">SUMIFS('12.326ana'!$C:$C,'12.326ana'!$M:$M,redes!A7760)</f>
        <v>0</v>
      </c>
    </row>
    <row r="7761" customFormat="false" ht="14.4" hidden="true" customHeight="false" outlineLevel="0" collapsed="false">
      <c r="A7761" s="34" t="n">
        <v>3500340000170</v>
      </c>
      <c r="B7761" s="34" t="s">
        <v>16431</v>
      </c>
      <c r="C7761" s="34" t="s">
        <v>631</v>
      </c>
      <c r="E7761" s="30" t="s">
        <v>16432</v>
      </c>
      <c r="F7761" s="34" t="n">
        <f aca="false">IFERROR(VLOOKUP($A7761,'319'!$B:$H,7,0),0)</f>
        <v>0</v>
      </c>
      <c r="G7761" s="34" t="n">
        <f aca="false">SUMIFS('12.326ana'!$C:$C,'12.326ana'!$M:$M,redes!A7761)</f>
        <v>0</v>
      </c>
    </row>
    <row r="7762" customFormat="false" ht="14.4" hidden="true" customHeight="false" outlineLevel="0" collapsed="false">
      <c r="A7762" s="34" t="n">
        <v>3500938000169</v>
      </c>
      <c r="B7762" s="34" t="s">
        <v>16433</v>
      </c>
      <c r="C7762" s="34" t="s">
        <v>464</v>
      </c>
      <c r="E7762" s="30" t="s">
        <v>16434</v>
      </c>
      <c r="F7762" s="34" t="n">
        <f aca="false">IFERROR(VLOOKUP($A7762,'319'!$B:$H,7,0),0)</f>
        <v>0</v>
      </c>
      <c r="G7762" s="34" t="n">
        <f aca="false">SUMIFS('12.326ana'!$C:$C,'12.326ana'!$M:$M,redes!A7762)</f>
        <v>0</v>
      </c>
    </row>
    <row r="7763" customFormat="false" ht="14.4" hidden="true" customHeight="false" outlineLevel="0" collapsed="false">
      <c r="A7763" s="34" t="n">
        <v>3502517000177</v>
      </c>
      <c r="B7763" s="34" t="s">
        <v>16435</v>
      </c>
      <c r="C7763" s="34" t="s">
        <v>464</v>
      </c>
      <c r="E7763" s="30" t="s">
        <v>16436</v>
      </c>
      <c r="F7763" s="34" t="n">
        <f aca="false">IFERROR(VLOOKUP($A7763,'319'!$B:$H,7,0),0)</f>
        <v>0</v>
      </c>
      <c r="G7763" s="34" t="n">
        <f aca="false">SUMIFS('12.326ana'!$C:$C,'12.326ana'!$M:$M,redes!A7763)</f>
        <v>0</v>
      </c>
    </row>
    <row r="7764" customFormat="false" ht="14.4" hidden="true" customHeight="false" outlineLevel="0" collapsed="false">
      <c r="A7764" s="34" t="n">
        <v>3502969000159</v>
      </c>
      <c r="B7764" s="34" t="s">
        <v>16437</v>
      </c>
      <c r="C7764" s="34" t="s">
        <v>604</v>
      </c>
      <c r="E7764" s="30" t="s">
        <v>16438</v>
      </c>
      <c r="F7764" s="34" t="n">
        <f aca="false">IFERROR(VLOOKUP($A7764,'319'!$B:$H,7,0),0)</f>
        <v>0</v>
      </c>
      <c r="G7764" s="34" t="n">
        <f aca="false">SUMIFS('12.326ana'!$C:$C,'12.326ana'!$M:$M,redes!A7764)</f>
        <v>0</v>
      </c>
    </row>
    <row r="7765" customFormat="false" ht="14.4" hidden="true" customHeight="false" outlineLevel="0" collapsed="false">
      <c r="A7765" s="34" t="n">
        <v>3505121000183</v>
      </c>
      <c r="B7765" s="34" t="s">
        <v>16439</v>
      </c>
      <c r="C7765" s="34" t="s">
        <v>127</v>
      </c>
      <c r="E7765" s="30" t="s">
        <v>16440</v>
      </c>
      <c r="F7765" s="34" t="n">
        <f aca="false">IFERROR(VLOOKUP($A7765,'319'!$B:$H,7,0),0)</f>
        <v>0</v>
      </c>
      <c r="G7765" s="34" t="n">
        <f aca="false">SUMIFS('12.326ana'!$C:$C,'12.326ana'!$M:$M,redes!A7765)</f>
        <v>0</v>
      </c>
    </row>
    <row r="7766" customFormat="false" ht="14.4" hidden="true" customHeight="false" outlineLevel="0" collapsed="false">
      <c r="A7766" s="34" t="n">
        <v>3506423000176</v>
      </c>
      <c r="B7766" s="34" t="s">
        <v>16441</v>
      </c>
      <c r="C7766" s="34" t="s">
        <v>197</v>
      </c>
      <c r="E7766" s="30" t="s">
        <v>16442</v>
      </c>
      <c r="F7766" s="34" t="n">
        <f aca="false">IFERROR(VLOOKUP($A7766,'319'!$B:$H,7,0),0)</f>
        <v>0</v>
      </c>
      <c r="G7766" s="34" t="n">
        <f aca="false">SUMIFS('12.326ana'!$C:$C,'12.326ana'!$M:$M,redes!A7766)</f>
        <v>0</v>
      </c>
    </row>
    <row r="7767" customFormat="false" ht="14.4" hidden="true" customHeight="false" outlineLevel="0" collapsed="false">
      <c r="A7767" s="34" t="n">
        <v>3506505000110</v>
      </c>
      <c r="B7767" s="34" t="s">
        <v>16443</v>
      </c>
      <c r="C7767" s="34" t="s">
        <v>77</v>
      </c>
      <c r="E7767" s="30" t="s">
        <v>14055</v>
      </c>
      <c r="F7767" s="34" t="n">
        <f aca="false">IFERROR(VLOOKUP($A7767,'319'!$B:$H,7,0),0)</f>
        <v>0</v>
      </c>
      <c r="G7767" s="34" t="n">
        <f aca="false">SUMIFS('12.326ana'!$C:$C,'12.326ana'!$M:$M,redes!A7767)</f>
        <v>0</v>
      </c>
    </row>
    <row r="7768" customFormat="false" ht="14.4" hidden="true" customHeight="false" outlineLevel="0" collapsed="false">
      <c r="A7768" s="34" t="n">
        <v>3506559000186</v>
      </c>
      <c r="B7768" s="34" t="s">
        <v>16444</v>
      </c>
      <c r="C7768" s="34" t="s">
        <v>154</v>
      </c>
      <c r="E7768" s="30" t="s">
        <v>16445</v>
      </c>
      <c r="F7768" s="34" t="n">
        <f aca="false">IFERROR(VLOOKUP($A7768,'319'!$B:$H,7,0),0)</f>
        <v>0</v>
      </c>
      <c r="G7768" s="34" t="n">
        <f aca="false">SUMIFS('12.326ana'!$C:$C,'12.326ana'!$M:$M,redes!A7768)</f>
        <v>0</v>
      </c>
    </row>
    <row r="7769" customFormat="false" ht="14.4" hidden="true" customHeight="false" outlineLevel="0" collapsed="false">
      <c r="A7769" s="34" t="n">
        <v>3506560000100</v>
      </c>
      <c r="B7769" s="34" t="s">
        <v>16446</v>
      </c>
      <c r="C7769" s="34" t="s">
        <v>77</v>
      </c>
      <c r="E7769" s="30" t="s">
        <v>16447</v>
      </c>
      <c r="F7769" s="34" t="n">
        <f aca="false">IFERROR(VLOOKUP($A7769,'319'!$B:$H,7,0),0)</f>
        <v>0</v>
      </c>
      <c r="G7769" s="34" t="n">
        <f aca="false">SUMIFS('12.326ana'!$C:$C,'12.326ana'!$M:$M,redes!A7769)</f>
        <v>0</v>
      </c>
    </row>
    <row r="7770" customFormat="false" ht="14.4" hidden="true" customHeight="false" outlineLevel="0" collapsed="false">
      <c r="A7770" s="34" t="n">
        <v>3507063000127</v>
      </c>
      <c r="B7770" s="34" t="s">
        <v>16448</v>
      </c>
      <c r="C7770" s="34" t="s">
        <v>464</v>
      </c>
      <c r="E7770" s="30" t="s">
        <v>16449</v>
      </c>
      <c r="F7770" s="34" t="n">
        <f aca="false">IFERROR(VLOOKUP($A7770,'319'!$B:$H,7,0),0)</f>
        <v>0</v>
      </c>
      <c r="G7770" s="34" t="n">
        <f aca="false">SUMIFS('12.326ana'!$C:$C,'12.326ana'!$M:$M,redes!A7770)</f>
        <v>0</v>
      </c>
    </row>
    <row r="7771" customFormat="false" ht="14.4" hidden="true" customHeight="false" outlineLevel="0" collapsed="false">
      <c r="A7771" s="34" t="n">
        <v>3508070000143</v>
      </c>
      <c r="B7771" s="34" t="s">
        <v>16450</v>
      </c>
      <c r="C7771" s="34" t="s">
        <v>77</v>
      </c>
      <c r="E7771" s="30" t="s">
        <v>16451</v>
      </c>
      <c r="F7771" s="34" t="n">
        <f aca="false">IFERROR(VLOOKUP($A7771,'319'!$B:$H,7,0),0)</f>
        <v>0</v>
      </c>
      <c r="G7771" s="34" t="n">
        <f aca="false">SUMIFS('12.326ana'!$C:$C,'12.326ana'!$M:$M,redes!A7771)</f>
        <v>0</v>
      </c>
    </row>
    <row r="7772" customFormat="false" ht="14.4" hidden="true" customHeight="false" outlineLevel="0" collapsed="false">
      <c r="A7772" s="34" t="n">
        <v>3508713000159</v>
      </c>
      <c r="B7772" s="34" t="s">
        <v>16452</v>
      </c>
      <c r="C7772" s="34" t="s">
        <v>1591</v>
      </c>
      <c r="E7772" s="30" t="s">
        <v>3337</v>
      </c>
      <c r="F7772" s="34" t="n">
        <f aca="false">IFERROR(VLOOKUP($A7772,'319'!$B:$H,7,0),0)</f>
        <v>0</v>
      </c>
      <c r="G7772" s="34" t="n">
        <f aca="false">SUMIFS('12.326ana'!$C:$C,'12.326ana'!$M:$M,redes!A7772)</f>
        <v>0</v>
      </c>
    </row>
    <row r="7773" customFormat="false" ht="14.4" hidden="true" customHeight="false" outlineLevel="0" collapsed="false">
      <c r="A7773" s="34" t="n">
        <v>3508985000159</v>
      </c>
      <c r="B7773" s="34" t="s">
        <v>16453</v>
      </c>
      <c r="C7773" s="34" t="s">
        <v>77</v>
      </c>
      <c r="E7773" s="30" t="s">
        <v>16454</v>
      </c>
      <c r="F7773" s="34" t="n">
        <f aca="false">IFERROR(VLOOKUP($A7773,'319'!$B:$H,7,0),0)</f>
        <v>0</v>
      </c>
      <c r="G7773" s="34" t="n">
        <f aca="false">SUMIFS('12.326ana'!$C:$C,'12.326ana'!$M:$M,redes!A7773)</f>
        <v>0</v>
      </c>
    </row>
    <row r="7774" customFormat="false" ht="14.4" hidden="true" customHeight="false" outlineLevel="0" collapsed="false">
      <c r="A7774" s="34" t="n">
        <v>3509099000140</v>
      </c>
      <c r="B7774" s="34" t="s">
        <v>16455</v>
      </c>
      <c r="C7774" s="34" t="s">
        <v>631</v>
      </c>
      <c r="E7774" s="30" t="s">
        <v>16456</v>
      </c>
      <c r="F7774" s="34" t="n">
        <f aca="false">IFERROR(VLOOKUP($A7774,'319'!$B:$H,7,0),0)</f>
        <v>0</v>
      </c>
      <c r="G7774" s="34" t="n">
        <f aca="false">SUMIFS('12.326ana'!$C:$C,'12.326ana'!$M:$M,redes!A7774)</f>
        <v>0</v>
      </c>
    </row>
    <row r="7775" customFormat="false" ht="14.4" hidden="true" customHeight="false" outlineLevel="0" collapsed="false">
      <c r="A7775" s="34" t="n">
        <v>3509135000175</v>
      </c>
      <c r="B7775" s="34" t="s">
        <v>16457</v>
      </c>
      <c r="C7775" s="34" t="s">
        <v>7250</v>
      </c>
      <c r="E7775" s="30" t="s">
        <v>16458</v>
      </c>
      <c r="F7775" s="34" t="n">
        <f aca="false">IFERROR(VLOOKUP($A7775,'319'!$B:$H,7,0),0)</f>
        <v>0</v>
      </c>
      <c r="G7775" s="34" t="n">
        <f aca="false">SUMIFS('12.326ana'!$C:$C,'12.326ana'!$M:$M,redes!A7775)</f>
        <v>0</v>
      </c>
    </row>
    <row r="7776" customFormat="false" ht="14.4" hidden="true" customHeight="false" outlineLevel="0" collapsed="false">
      <c r="A7776" s="34" t="n">
        <v>3509512000176</v>
      </c>
      <c r="B7776" s="34" t="s">
        <v>16459</v>
      </c>
      <c r="C7776" s="34" t="s">
        <v>546</v>
      </c>
      <c r="E7776" s="30" t="s">
        <v>16460</v>
      </c>
      <c r="F7776" s="34" t="n">
        <f aca="false">IFERROR(VLOOKUP($A7776,'319'!$B:$H,7,0),0)</f>
        <v>0</v>
      </c>
      <c r="G7776" s="34" t="n">
        <f aca="false">SUMIFS('12.326ana'!$C:$C,'12.326ana'!$M:$M,redes!A7776)</f>
        <v>0</v>
      </c>
    </row>
    <row r="7777" customFormat="false" ht="14.4" hidden="true" customHeight="false" outlineLevel="0" collapsed="false">
      <c r="A7777" s="34" t="n">
        <v>3509916000160</v>
      </c>
      <c r="B7777" s="34" t="s">
        <v>16461</v>
      </c>
      <c r="C7777" s="34" t="s">
        <v>77</v>
      </c>
      <c r="E7777" s="30" t="s">
        <v>16462</v>
      </c>
      <c r="F7777" s="34" t="n">
        <f aca="false">IFERROR(VLOOKUP($A7777,'319'!$B:$H,7,0),0)</f>
        <v>0</v>
      </c>
      <c r="G7777" s="34" t="n">
        <f aca="false">SUMIFS('12.326ana'!$C:$C,'12.326ana'!$M:$M,redes!A7777)</f>
        <v>0</v>
      </c>
    </row>
    <row r="7778" customFormat="false" ht="14.4" hidden="true" customHeight="false" outlineLevel="0" collapsed="false">
      <c r="A7778" s="34" t="n">
        <v>3510963000123</v>
      </c>
      <c r="B7778" s="34" t="s">
        <v>16463</v>
      </c>
      <c r="C7778" s="34" t="s">
        <v>77</v>
      </c>
      <c r="E7778" s="30" t="s">
        <v>16464</v>
      </c>
      <c r="F7778" s="34" t="n">
        <f aca="false">IFERROR(VLOOKUP($A7778,'319'!$B:$H,7,0),0)</f>
        <v>0</v>
      </c>
      <c r="G7778" s="34" t="n">
        <f aca="false">SUMIFS('12.326ana'!$C:$C,'12.326ana'!$M:$M,redes!A7778)</f>
        <v>0</v>
      </c>
    </row>
    <row r="7779" customFormat="false" ht="14.4" hidden="true" customHeight="false" outlineLevel="0" collapsed="false">
      <c r="A7779" s="34" t="n">
        <v>3511815000123</v>
      </c>
      <c r="B7779" s="34" t="s">
        <v>16465</v>
      </c>
      <c r="C7779" s="34" t="s">
        <v>77</v>
      </c>
      <c r="E7779" s="30" t="s">
        <v>16466</v>
      </c>
      <c r="F7779" s="34" t="n">
        <f aca="false">IFERROR(VLOOKUP($A7779,'319'!$B:$H,7,0),0)</f>
        <v>0</v>
      </c>
      <c r="G7779" s="34" t="n">
        <f aca="false">SUMIFS('12.326ana'!$C:$C,'12.326ana'!$M:$M,redes!A7779)</f>
        <v>0</v>
      </c>
    </row>
    <row r="7780" customFormat="false" ht="14.4" hidden="true" customHeight="false" outlineLevel="0" collapsed="false">
      <c r="A7780" s="34" t="n">
        <v>3514174000160</v>
      </c>
      <c r="B7780" s="34" t="s">
        <v>16467</v>
      </c>
      <c r="C7780" s="34" t="s">
        <v>604</v>
      </c>
      <c r="E7780" s="30" t="s">
        <v>10614</v>
      </c>
      <c r="F7780" s="34" t="n">
        <f aca="false">IFERROR(VLOOKUP($A7780,'319'!$B:$H,7,0),0)</f>
        <v>0</v>
      </c>
      <c r="G7780" s="34" t="n">
        <f aca="false">SUMIFS('12.326ana'!$C:$C,'12.326ana'!$M:$M,redes!A7780)</f>
        <v>0</v>
      </c>
    </row>
    <row r="7781" customFormat="false" ht="14.4" hidden="true" customHeight="false" outlineLevel="0" collapsed="false">
      <c r="A7781" s="34" t="n">
        <v>3514174000241</v>
      </c>
      <c r="B7781" s="34" t="s">
        <v>16467</v>
      </c>
      <c r="C7781" s="34" t="s">
        <v>604</v>
      </c>
      <c r="E7781" s="30" t="s">
        <v>16468</v>
      </c>
      <c r="F7781" s="34" t="n">
        <f aca="false">IFERROR(VLOOKUP($A7781,'319'!$B:$H,7,0),0)</f>
        <v>0</v>
      </c>
      <c r="G7781" s="34" t="n">
        <f aca="false">SUMIFS('12.326ana'!$C:$C,'12.326ana'!$M:$M,redes!A7781)</f>
        <v>0</v>
      </c>
    </row>
    <row r="7782" customFormat="false" ht="14.4" hidden="true" customHeight="false" outlineLevel="0" collapsed="false">
      <c r="A7782" s="34" t="n">
        <v>3515117000104</v>
      </c>
      <c r="B7782" s="34" t="s">
        <v>16469</v>
      </c>
      <c r="C7782" s="34" t="s">
        <v>213</v>
      </c>
      <c r="E7782" s="30" t="s">
        <v>16470</v>
      </c>
      <c r="F7782" s="34" t="n">
        <f aca="false">IFERROR(VLOOKUP($A7782,'319'!$B:$H,7,0),0)</f>
        <v>0</v>
      </c>
      <c r="G7782" s="34" t="n">
        <f aca="false">SUMIFS('12.326ana'!$C:$C,'12.326ana'!$M:$M,redes!A7782)</f>
        <v>0</v>
      </c>
    </row>
    <row r="7783" customFormat="false" ht="14.4" hidden="true" customHeight="false" outlineLevel="0" collapsed="false">
      <c r="A7783" s="34" t="n">
        <v>3515120000110</v>
      </c>
      <c r="B7783" s="34" t="s">
        <v>16471</v>
      </c>
      <c r="C7783" s="34" t="s">
        <v>207</v>
      </c>
      <c r="E7783" s="30" t="s">
        <v>16472</v>
      </c>
      <c r="F7783" s="34" t="n">
        <f aca="false">IFERROR(VLOOKUP($A7783,'319'!$B:$H,7,0),0)</f>
        <v>0</v>
      </c>
      <c r="G7783" s="34" t="n">
        <f aca="false">SUMIFS('12.326ana'!$C:$C,'12.326ana'!$M:$M,redes!A7783)</f>
        <v>0</v>
      </c>
    </row>
    <row r="7784" customFormat="false" ht="14.4" hidden="true" customHeight="false" outlineLevel="0" collapsed="false">
      <c r="A7784" s="34" t="n">
        <v>3515132000144</v>
      </c>
      <c r="B7784" s="34" t="s">
        <v>16473</v>
      </c>
      <c r="C7784" s="34" t="s">
        <v>77</v>
      </c>
      <c r="E7784" s="30" t="s">
        <v>16474</v>
      </c>
      <c r="F7784" s="34" t="n">
        <f aca="false">IFERROR(VLOOKUP($A7784,'319'!$B:$H,7,0),0)</f>
        <v>0</v>
      </c>
      <c r="G7784" s="34" t="n">
        <f aca="false">SUMIFS('12.326ana'!$C:$C,'12.326ana'!$M:$M,redes!A7784)</f>
        <v>0</v>
      </c>
    </row>
    <row r="7785" customFormat="false" ht="14.4" hidden="true" customHeight="false" outlineLevel="0" collapsed="false">
      <c r="A7785" s="34" t="n">
        <v>3515135000188</v>
      </c>
      <c r="B7785" s="34" t="s">
        <v>16475</v>
      </c>
      <c r="C7785" s="34" t="s">
        <v>117</v>
      </c>
      <c r="E7785" s="30" t="s">
        <v>16476</v>
      </c>
      <c r="F7785" s="34" t="n">
        <f aca="false">IFERROR(VLOOKUP($A7785,'319'!$B:$H,7,0),0)</f>
        <v>0</v>
      </c>
      <c r="G7785" s="34" t="n">
        <f aca="false">SUMIFS('12.326ana'!$C:$C,'12.326ana'!$M:$M,redes!A7785)</f>
        <v>0</v>
      </c>
    </row>
    <row r="7786" customFormat="false" ht="14.4" hidden="true" customHeight="false" outlineLevel="0" collapsed="false">
      <c r="A7786" s="34" t="n">
        <v>3515140000190</v>
      </c>
      <c r="B7786" s="34" t="s">
        <v>16477</v>
      </c>
      <c r="C7786" s="34" t="s">
        <v>77</v>
      </c>
      <c r="E7786" s="30" t="s">
        <v>3275</v>
      </c>
      <c r="F7786" s="34" t="n">
        <f aca="false">IFERROR(VLOOKUP($A7786,'319'!$B:$H,7,0),0)</f>
        <v>0</v>
      </c>
      <c r="G7786" s="34" t="n">
        <f aca="false">SUMIFS('12.326ana'!$C:$C,'12.326ana'!$M:$M,redes!A7786)</f>
        <v>0</v>
      </c>
    </row>
    <row r="7787" customFormat="false" ht="14.4" hidden="true" customHeight="false" outlineLevel="0" collapsed="false">
      <c r="A7787" s="34" t="n">
        <v>3515418000120</v>
      </c>
      <c r="B7787" s="34" t="s">
        <v>16478</v>
      </c>
      <c r="C7787" s="34" t="s">
        <v>77</v>
      </c>
      <c r="E7787" s="30" t="s">
        <v>16479</v>
      </c>
      <c r="F7787" s="34" t="n">
        <f aca="false">IFERROR(VLOOKUP($A7787,'319'!$B:$H,7,0),0)</f>
        <v>0</v>
      </c>
      <c r="G7787" s="34" t="n">
        <f aca="false">SUMIFS('12.326ana'!$C:$C,'12.326ana'!$M:$M,redes!A7787)</f>
        <v>0</v>
      </c>
    </row>
    <row r="7788" customFormat="false" ht="14.4" hidden="true" customHeight="false" outlineLevel="0" collapsed="false">
      <c r="A7788" s="34" t="n">
        <v>3517382000113</v>
      </c>
      <c r="B7788" s="34" t="s">
        <v>16480</v>
      </c>
      <c r="C7788" s="34" t="s">
        <v>2998</v>
      </c>
      <c r="E7788" s="30" t="s">
        <v>16481</v>
      </c>
      <c r="F7788" s="34" t="n">
        <f aca="false">IFERROR(VLOOKUP($A7788,'319'!$B:$H,7,0),0)</f>
        <v>0</v>
      </c>
      <c r="G7788" s="34" t="n">
        <f aca="false">SUMIFS('12.326ana'!$C:$C,'12.326ana'!$M:$M,redes!A7788)</f>
        <v>0</v>
      </c>
    </row>
    <row r="7789" customFormat="false" ht="14.4" hidden="true" customHeight="false" outlineLevel="0" collapsed="false">
      <c r="A7789" s="34" t="n">
        <v>3518003000100</v>
      </c>
      <c r="B7789" s="34" t="s">
        <v>16482</v>
      </c>
      <c r="C7789" s="34" t="s">
        <v>781</v>
      </c>
      <c r="E7789" s="30"/>
      <c r="F7789" s="34" t="n">
        <f aca="false">IFERROR(VLOOKUP($A7789,'319'!$B:$H,7,0),0)</f>
        <v>0</v>
      </c>
      <c r="G7789" s="34" t="n">
        <f aca="false">SUMIFS('12.326ana'!$C:$C,'12.326ana'!$M:$M,redes!A7789)</f>
        <v>0</v>
      </c>
    </row>
    <row r="7790" customFormat="false" ht="14.4" hidden="true" customHeight="false" outlineLevel="0" collapsed="false">
      <c r="A7790" s="34" t="n">
        <v>3518113000171</v>
      </c>
      <c r="B7790" s="34" t="s">
        <v>16483</v>
      </c>
      <c r="C7790" s="34" t="s">
        <v>139</v>
      </c>
      <c r="E7790" s="30" t="s">
        <v>16484</v>
      </c>
      <c r="F7790" s="34" t="n">
        <f aca="false">IFERROR(VLOOKUP($A7790,'319'!$B:$H,7,0),0)</f>
        <v>0</v>
      </c>
      <c r="G7790" s="34" t="n">
        <f aca="false">SUMIFS('12.326ana'!$C:$C,'12.326ana'!$M:$M,redes!A7790)</f>
        <v>0</v>
      </c>
    </row>
    <row r="7791" customFormat="false" ht="14.4" hidden="true" customHeight="false" outlineLevel="0" collapsed="false">
      <c r="A7791" s="34" t="n">
        <v>3519701000120</v>
      </c>
      <c r="B7791" s="34" t="s">
        <v>16485</v>
      </c>
      <c r="C7791" s="34" t="s">
        <v>357</v>
      </c>
      <c r="E7791" s="30" t="s">
        <v>16486</v>
      </c>
      <c r="F7791" s="34" t="n">
        <f aca="false">IFERROR(VLOOKUP($A7791,'319'!$B:$H,7,0),0)</f>
        <v>0</v>
      </c>
      <c r="G7791" s="34" t="n">
        <f aca="false">SUMIFS('12.326ana'!$C:$C,'12.326ana'!$M:$M,redes!A7791)</f>
        <v>0</v>
      </c>
    </row>
    <row r="7792" customFormat="false" ht="14.4" hidden="true" customHeight="false" outlineLevel="0" collapsed="false">
      <c r="A7792" s="34" t="n">
        <v>3520600000179</v>
      </c>
      <c r="B7792" s="34" t="s">
        <v>16487</v>
      </c>
      <c r="C7792" s="34" t="s">
        <v>77</v>
      </c>
      <c r="E7792" s="30" t="s">
        <v>16488</v>
      </c>
      <c r="F7792" s="34" t="n">
        <f aca="false">IFERROR(VLOOKUP($A7792,'319'!$B:$H,7,0),0)</f>
        <v>0</v>
      </c>
      <c r="G7792" s="34" t="n">
        <f aca="false">SUMIFS('12.326ana'!$C:$C,'12.326ana'!$M:$M,redes!A7792)</f>
        <v>0</v>
      </c>
    </row>
    <row r="7793" customFormat="false" ht="14.4" hidden="true" customHeight="false" outlineLevel="0" collapsed="false">
      <c r="A7793" s="34" t="n">
        <v>3520900000158</v>
      </c>
      <c r="B7793" s="34" t="s">
        <v>16489</v>
      </c>
      <c r="C7793" s="34" t="s">
        <v>77</v>
      </c>
      <c r="E7793" s="30" t="s">
        <v>16490</v>
      </c>
      <c r="F7793" s="34" t="n">
        <f aca="false">IFERROR(VLOOKUP($A7793,'319'!$B:$H,7,0),0)</f>
        <v>0</v>
      </c>
      <c r="G7793" s="34" t="n">
        <f aca="false">SUMIFS('12.326ana'!$C:$C,'12.326ana'!$M:$M,redes!A7793)</f>
        <v>0</v>
      </c>
    </row>
    <row r="7794" customFormat="false" ht="14.4" hidden="true" customHeight="false" outlineLevel="0" collapsed="false">
      <c r="A7794" s="34" t="n">
        <v>3521632000199</v>
      </c>
      <c r="B7794" s="34" t="s">
        <v>16491</v>
      </c>
      <c r="C7794" s="34" t="s">
        <v>89</v>
      </c>
      <c r="E7794" s="30" t="s">
        <v>16492</v>
      </c>
      <c r="F7794" s="34" t="n">
        <f aca="false">IFERROR(VLOOKUP($A7794,'319'!$B:$H,7,0),0)</f>
        <v>0</v>
      </c>
      <c r="G7794" s="34" t="n">
        <f aca="false">SUMIFS('12.326ana'!$C:$C,'12.326ana'!$M:$M,redes!A7794)</f>
        <v>0</v>
      </c>
    </row>
    <row r="7795" customFormat="false" ht="14.4" hidden="true" customHeight="false" outlineLevel="0" collapsed="false">
      <c r="A7795" s="34" t="n">
        <v>3523276000142</v>
      </c>
      <c r="B7795" s="34" t="s">
        <v>16493</v>
      </c>
      <c r="C7795" s="34" t="s">
        <v>139</v>
      </c>
      <c r="E7795" s="30" t="s">
        <v>16494</v>
      </c>
      <c r="F7795" s="34" t="n">
        <f aca="false">IFERROR(VLOOKUP($A7795,'319'!$B:$H,7,0),0)</f>
        <v>0</v>
      </c>
      <c r="G7795" s="34" t="n">
        <f aca="false">SUMIFS('12.326ana'!$C:$C,'12.326ana'!$M:$M,redes!A7795)</f>
        <v>0</v>
      </c>
    </row>
    <row r="7796" customFormat="false" ht="14.4" hidden="true" customHeight="false" outlineLevel="0" collapsed="false">
      <c r="A7796" s="34" t="n">
        <v>3523596000100</v>
      </c>
      <c r="B7796" s="34" t="s">
        <v>16495</v>
      </c>
      <c r="C7796" s="34" t="s">
        <v>77</v>
      </c>
      <c r="E7796" s="30" t="s">
        <v>16496</v>
      </c>
      <c r="F7796" s="34" t="n">
        <f aca="false">IFERROR(VLOOKUP($A7796,'319'!$B:$H,7,0),0)</f>
        <v>0</v>
      </c>
      <c r="G7796" s="34" t="n">
        <f aca="false">SUMIFS('12.326ana'!$C:$C,'12.326ana'!$M:$M,redes!A7796)</f>
        <v>0</v>
      </c>
    </row>
    <row r="7797" customFormat="false" ht="14.4" hidden="true" customHeight="false" outlineLevel="0" collapsed="false">
      <c r="A7797" s="34" t="n">
        <v>3523753000170</v>
      </c>
      <c r="B7797" s="34" t="s">
        <v>16497</v>
      </c>
      <c r="C7797" s="34" t="s">
        <v>299</v>
      </c>
      <c r="E7797" s="30" t="s">
        <v>3417</v>
      </c>
      <c r="F7797" s="34" t="n">
        <f aca="false">IFERROR(VLOOKUP($A7797,'319'!$B:$H,7,0),0)</f>
        <v>0</v>
      </c>
      <c r="G7797" s="34" t="n">
        <f aca="false">SUMIFS('12.326ana'!$C:$C,'12.326ana'!$M:$M,redes!A7797)</f>
        <v>0</v>
      </c>
    </row>
    <row r="7798" customFormat="false" ht="14.4" hidden="true" customHeight="false" outlineLevel="0" collapsed="false">
      <c r="A7798" s="34" t="n">
        <v>3525618000163</v>
      </c>
      <c r="B7798" s="34" t="s">
        <v>16498</v>
      </c>
      <c r="C7798" s="34" t="s">
        <v>77</v>
      </c>
      <c r="E7798" s="30" t="s">
        <v>7857</v>
      </c>
      <c r="F7798" s="34" t="n">
        <f aca="false">IFERROR(VLOOKUP($A7798,'319'!$B:$H,7,0),0)</f>
        <v>0</v>
      </c>
      <c r="G7798" s="34" t="n">
        <f aca="false">SUMIFS('12.326ana'!$C:$C,'12.326ana'!$M:$M,redes!A7798)</f>
        <v>0</v>
      </c>
    </row>
    <row r="7799" customFormat="false" ht="14.4" hidden="true" customHeight="false" outlineLevel="0" collapsed="false">
      <c r="A7799" s="34" t="n">
        <v>3525826000162</v>
      </c>
      <c r="B7799" s="34" t="s">
        <v>16499</v>
      </c>
      <c r="C7799" s="34" t="s">
        <v>77</v>
      </c>
      <c r="E7799" s="30" t="s">
        <v>16500</v>
      </c>
      <c r="F7799" s="34" t="n">
        <f aca="false">IFERROR(VLOOKUP($A7799,'319'!$B:$H,7,0),0)</f>
        <v>0</v>
      </c>
      <c r="G7799" s="34" t="n">
        <f aca="false">SUMIFS('12.326ana'!$C:$C,'12.326ana'!$M:$M,redes!A7799)</f>
        <v>0</v>
      </c>
    </row>
    <row r="7800" customFormat="false" ht="14.4" hidden="true" customHeight="false" outlineLevel="0" collapsed="false">
      <c r="A7800" s="34" t="n">
        <v>3527705000150</v>
      </c>
      <c r="B7800" s="34" t="s">
        <v>16501</v>
      </c>
      <c r="C7800" s="34" t="s">
        <v>77</v>
      </c>
      <c r="E7800" s="30" t="s">
        <v>16502</v>
      </c>
      <c r="F7800" s="34" t="n">
        <f aca="false">IFERROR(VLOOKUP($A7800,'319'!$B:$H,7,0),0)</f>
        <v>0</v>
      </c>
      <c r="G7800" s="34" t="n">
        <f aca="false">SUMIFS('12.326ana'!$C:$C,'12.326ana'!$M:$M,redes!A7800)</f>
        <v>0</v>
      </c>
    </row>
    <row r="7801" customFormat="false" ht="14.4" hidden="true" customHeight="false" outlineLevel="0" collapsed="false">
      <c r="A7801" s="34" t="n">
        <v>3528384000108</v>
      </c>
      <c r="B7801" s="34" t="s">
        <v>16503</v>
      </c>
      <c r="C7801" s="34" t="s">
        <v>478</v>
      </c>
      <c r="E7801" s="30" t="s">
        <v>16504</v>
      </c>
      <c r="F7801" s="34" t="n">
        <f aca="false">IFERROR(VLOOKUP($A7801,'319'!$B:$H,7,0),0)</f>
        <v>0</v>
      </c>
      <c r="G7801" s="34" t="n">
        <f aca="false">SUMIFS('12.326ana'!$C:$C,'12.326ana'!$M:$M,redes!A7801)</f>
        <v>0</v>
      </c>
    </row>
    <row r="7802" customFormat="false" ht="14.4" hidden="true" customHeight="false" outlineLevel="0" collapsed="false">
      <c r="A7802" s="34" t="n">
        <v>3534165000131</v>
      </c>
      <c r="B7802" s="34" t="s">
        <v>16505</v>
      </c>
      <c r="C7802" s="34" t="s">
        <v>103</v>
      </c>
      <c r="E7802" s="30" t="s">
        <v>16506</v>
      </c>
      <c r="F7802" s="34" t="n">
        <f aca="false">IFERROR(VLOOKUP($A7802,'319'!$B:$H,7,0),0)</f>
        <v>0</v>
      </c>
      <c r="G7802" s="34" t="n">
        <f aca="false">SUMIFS('12.326ana'!$C:$C,'12.326ana'!$M:$M,redes!A7802)</f>
        <v>0</v>
      </c>
    </row>
    <row r="7803" customFormat="false" ht="14.4" hidden="true" customHeight="false" outlineLevel="0" collapsed="false">
      <c r="A7803" s="34" t="n">
        <v>3535253000158</v>
      </c>
      <c r="B7803" s="34" t="s">
        <v>16507</v>
      </c>
      <c r="C7803" s="34" t="s">
        <v>107</v>
      </c>
      <c r="E7803" s="30"/>
      <c r="F7803" s="34" t="n">
        <f aca="false">IFERROR(VLOOKUP($A7803,'319'!$B:$H,7,0),0)</f>
        <v>0</v>
      </c>
      <c r="G7803" s="34" t="n">
        <f aca="false">SUMIFS('12.326ana'!$C:$C,'12.326ana'!$M:$M,redes!A7803)</f>
        <v>0</v>
      </c>
    </row>
    <row r="7804" customFormat="false" ht="14.4" hidden="true" customHeight="false" outlineLevel="0" collapsed="false">
      <c r="A7804" s="34" t="n">
        <v>3535329000145</v>
      </c>
      <c r="B7804" s="34" t="s">
        <v>16508</v>
      </c>
      <c r="C7804" s="34" t="s">
        <v>117</v>
      </c>
      <c r="E7804" s="30" t="s">
        <v>16509</v>
      </c>
      <c r="F7804" s="34" t="n">
        <f aca="false">IFERROR(VLOOKUP($A7804,'319'!$B:$H,7,0),0)</f>
        <v>0</v>
      </c>
      <c r="G7804" s="34" t="n">
        <f aca="false">SUMIFS('12.326ana'!$C:$C,'12.326ana'!$M:$M,redes!A7804)</f>
        <v>0</v>
      </c>
    </row>
    <row r="7805" customFormat="false" ht="14.4" hidden="true" customHeight="false" outlineLevel="0" collapsed="false">
      <c r="A7805" s="34" t="n">
        <v>3540284000105</v>
      </c>
      <c r="B7805" s="34" t="s">
        <v>16510</v>
      </c>
      <c r="C7805" s="34" t="s">
        <v>342</v>
      </c>
      <c r="E7805" s="30" t="s">
        <v>16511</v>
      </c>
      <c r="F7805" s="34" t="n">
        <f aca="false">IFERROR(VLOOKUP($A7805,'319'!$B:$H,7,0),0)</f>
        <v>0</v>
      </c>
      <c r="G7805" s="34" t="n">
        <f aca="false">SUMIFS('12.326ana'!$C:$C,'12.326ana'!$M:$M,redes!A7805)</f>
        <v>0</v>
      </c>
    </row>
    <row r="7806" customFormat="false" ht="14.4" hidden="true" customHeight="false" outlineLevel="0" collapsed="false">
      <c r="A7806" s="34" t="n">
        <v>3540723000171</v>
      </c>
      <c r="B7806" s="34" t="s">
        <v>16512</v>
      </c>
      <c r="C7806" s="34" t="s">
        <v>464</v>
      </c>
      <c r="E7806" s="30" t="s">
        <v>11474</v>
      </c>
      <c r="F7806" s="34" t="n">
        <f aca="false">IFERROR(VLOOKUP($A7806,'319'!$B:$H,7,0),0)</f>
        <v>0</v>
      </c>
      <c r="G7806" s="34" t="n">
        <f aca="false">SUMIFS('12.326ana'!$C:$C,'12.326ana'!$M:$M,redes!A7806)</f>
        <v>0</v>
      </c>
    </row>
    <row r="7807" customFormat="false" ht="14.4" hidden="true" customHeight="false" outlineLevel="0" collapsed="false">
      <c r="A7807" s="34" t="n">
        <v>3542191000101</v>
      </c>
      <c r="B7807" s="34" t="s">
        <v>16513</v>
      </c>
      <c r="C7807" s="34" t="s">
        <v>77</v>
      </c>
      <c r="E7807" s="30" t="s">
        <v>16514</v>
      </c>
      <c r="F7807" s="34" t="n">
        <f aca="false">IFERROR(VLOOKUP($A7807,'319'!$B:$H,7,0),0)</f>
        <v>0</v>
      </c>
      <c r="G7807" s="34" t="n">
        <f aca="false">SUMIFS('12.326ana'!$C:$C,'12.326ana'!$M:$M,redes!A7807)</f>
        <v>0</v>
      </c>
    </row>
    <row r="7808" customFormat="false" ht="14.4" hidden="true" customHeight="false" outlineLevel="0" collapsed="false">
      <c r="A7808" s="34" t="n">
        <v>3543839000164</v>
      </c>
      <c r="B7808" s="34" t="s">
        <v>16515</v>
      </c>
      <c r="C7808" s="34" t="s">
        <v>562</v>
      </c>
      <c r="E7808" s="30" t="s">
        <v>16516</v>
      </c>
      <c r="F7808" s="34" t="n">
        <f aca="false">IFERROR(VLOOKUP($A7808,'319'!$B:$H,7,0),0)</f>
        <v>0</v>
      </c>
      <c r="G7808" s="34" t="n">
        <f aca="false">SUMIFS('12.326ana'!$C:$C,'12.326ana'!$M:$M,redes!A7808)</f>
        <v>0</v>
      </c>
    </row>
    <row r="7809" customFormat="false" ht="14.4" hidden="true" customHeight="false" outlineLevel="0" collapsed="false">
      <c r="A7809" s="34" t="n">
        <v>3544594000190</v>
      </c>
      <c r="B7809" s="34" t="s">
        <v>16517</v>
      </c>
      <c r="C7809" s="34" t="s">
        <v>478</v>
      </c>
      <c r="E7809" s="30" t="s">
        <v>16518</v>
      </c>
      <c r="F7809" s="34" t="n">
        <f aca="false">IFERROR(VLOOKUP($A7809,'319'!$B:$H,7,0),0)</f>
        <v>0</v>
      </c>
      <c r="G7809" s="34" t="n">
        <f aca="false">SUMIFS('12.326ana'!$C:$C,'12.326ana'!$M:$M,redes!A7809)</f>
        <v>0</v>
      </c>
    </row>
    <row r="7810" customFormat="false" ht="14.4" hidden="true" customHeight="false" outlineLevel="0" collapsed="false">
      <c r="A7810" s="34" t="n">
        <v>3544634000101</v>
      </c>
      <c r="B7810" s="34" t="s">
        <v>16519</v>
      </c>
      <c r="C7810" s="34" t="s">
        <v>475</v>
      </c>
      <c r="E7810" s="30" t="s">
        <v>9100</v>
      </c>
      <c r="F7810" s="34" t="n">
        <f aca="false">IFERROR(VLOOKUP($A7810,'319'!$B:$H,7,0),0)</f>
        <v>0</v>
      </c>
      <c r="G7810" s="34" t="n">
        <f aca="false">SUMIFS('12.326ana'!$C:$C,'12.326ana'!$M:$M,redes!A7810)</f>
        <v>0</v>
      </c>
    </row>
    <row r="7811" customFormat="false" ht="14.4" hidden="true" customHeight="false" outlineLevel="0" collapsed="false">
      <c r="A7811" s="34" t="n">
        <v>3549421000164</v>
      </c>
      <c r="B7811" s="34" t="s">
        <v>16520</v>
      </c>
      <c r="C7811" s="34" t="s">
        <v>77</v>
      </c>
      <c r="E7811" s="30" t="s">
        <v>16521</v>
      </c>
      <c r="F7811" s="34" t="n">
        <f aca="false">IFERROR(VLOOKUP($A7811,'319'!$B:$H,7,0),0)</f>
        <v>0</v>
      </c>
      <c r="G7811" s="34" t="n">
        <f aca="false">SUMIFS('12.326ana'!$C:$C,'12.326ana'!$M:$M,redes!A7811)</f>
        <v>0</v>
      </c>
    </row>
    <row r="7812" customFormat="false" ht="14.4" hidden="true" customHeight="false" outlineLevel="0" collapsed="false">
      <c r="A7812" s="34" t="n">
        <v>3551339000174</v>
      </c>
      <c r="B7812" s="34" t="s">
        <v>16522</v>
      </c>
      <c r="C7812" s="34" t="s">
        <v>77</v>
      </c>
      <c r="E7812" s="30" t="s">
        <v>16523</v>
      </c>
      <c r="F7812" s="34" t="n">
        <f aca="false">IFERROR(VLOOKUP($A7812,'319'!$B:$H,7,0),0)</f>
        <v>0</v>
      </c>
      <c r="G7812" s="34" t="n">
        <f aca="false">SUMIFS('12.326ana'!$C:$C,'12.326ana'!$M:$M,redes!A7812)</f>
        <v>0</v>
      </c>
    </row>
    <row r="7813" customFormat="false" ht="14.4" hidden="true" customHeight="false" outlineLevel="0" collapsed="false">
      <c r="A7813" s="34" t="n">
        <v>3551426000121</v>
      </c>
      <c r="B7813" s="34" t="s">
        <v>16524</v>
      </c>
      <c r="C7813" s="34" t="s">
        <v>478</v>
      </c>
      <c r="E7813" s="30" t="s">
        <v>16525</v>
      </c>
      <c r="F7813" s="34" t="n">
        <f aca="false">IFERROR(VLOOKUP($A7813,'319'!$B:$H,7,0),0)</f>
        <v>0</v>
      </c>
      <c r="G7813" s="34" t="n">
        <f aca="false">SUMIFS('12.326ana'!$C:$C,'12.326ana'!$M:$M,redes!A7813)</f>
        <v>0</v>
      </c>
    </row>
    <row r="7814" customFormat="false" ht="14.4" hidden="true" customHeight="false" outlineLevel="0" collapsed="false">
      <c r="A7814" s="34" t="n">
        <v>3551890000118</v>
      </c>
      <c r="B7814" s="34" t="s">
        <v>16526</v>
      </c>
      <c r="C7814" s="34" t="s">
        <v>77</v>
      </c>
      <c r="E7814" s="30" t="s">
        <v>16527</v>
      </c>
      <c r="F7814" s="34" t="n">
        <f aca="false">IFERROR(VLOOKUP($A7814,'319'!$B:$H,7,0),0)</f>
        <v>0</v>
      </c>
      <c r="G7814" s="34" t="n">
        <f aca="false">SUMIFS('12.326ana'!$C:$C,'12.326ana'!$M:$M,redes!A7814)</f>
        <v>0</v>
      </c>
    </row>
    <row r="7815" customFormat="false" ht="14.4" hidden="true" customHeight="false" outlineLevel="0" collapsed="false">
      <c r="A7815" s="34" t="n">
        <v>3552833000153</v>
      </c>
      <c r="B7815" s="34" t="s">
        <v>16528</v>
      </c>
      <c r="C7815" s="34" t="s">
        <v>139</v>
      </c>
      <c r="E7815" s="30" t="s">
        <v>16529</v>
      </c>
      <c r="F7815" s="34" t="n">
        <f aca="false">IFERROR(VLOOKUP($A7815,'319'!$B:$H,7,0),0)</f>
        <v>0</v>
      </c>
      <c r="G7815" s="34" t="n">
        <f aca="false">SUMIFS('12.326ana'!$C:$C,'12.326ana'!$M:$M,redes!A7815)</f>
        <v>0</v>
      </c>
    </row>
    <row r="7816" customFormat="false" ht="14.4" hidden="true" customHeight="false" outlineLevel="0" collapsed="false">
      <c r="A7816" s="34" t="n">
        <v>3554669000113</v>
      </c>
      <c r="B7816" s="34" t="s">
        <v>16530</v>
      </c>
      <c r="C7816" s="34" t="s">
        <v>737</v>
      </c>
      <c r="E7816" s="30" t="s">
        <v>16531</v>
      </c>
      <c r="F7816" s="34" t="n">
        <f aca="false">IFERROR(VLOOKUP($A7816,'319'!$B:$H,7,0),0)</f>
        <v>0</v>
      </c>
      <c r="G7816" s="34" t="n">
        <f aca="false">SUMIFS('12.326ana'!$C:$C,'12.326ana'!$M:$M,redes!A7816)</f>
        <v>0</v>
      </c>
    </row>
    <row r="7817" customFormat="false" ht="14.4" hidden="true" customHeight="false" outlineLevel="0" collapsed="false">
      <c r="A7817" s="34" t="n">
        <v>3554749000179</v>
      </c>
      <c r="B7817" s="34" t="s">
        <v>16532</v>
      </c>
      <c r="C7817" s="34" t="s">
        <v>464</v>
      </c>
      <c r="E7817" s="30"/>
      <c r="F7817" s="34" t="n">
        <f aca="false">IFERROR(VLOOKUP($A7817,'319'!$B:$H,7,0),0)</f>
        <v>0</v>
      </c>
      <c r="G7817" s="34" t="n">
        <f aca="false">SUMIFS('12.326ana'!$C:$C,'12.326ana'!$M:$M,redes!A7817)</f>
        <v>0</v>
      </c>
    </row>
    <row r="7818" customFormat="false" ht="14.4" hidden="true" customHeight="false" outlineLevel="0" collapsed="false">
      <c r="A7818" s="35" t="n">
        <v>3554867000187</v>
      </c>
      <c r="B7818" s="34" t="s">
        <v>16533</v>
      </c>
      <c r="C7818" s="34" t="s">
        <v>4139</v>
      </c>
      <c r="E7818" s="30" t="s">
        <v>16534</v>
      </c>
      <c r="F7818" s="34" t="n">
        <f aca="false">IFERROR(VLOOKUP($A7818,'319'!$B:$H,7,0),0)</f>
        <v>0</v>
      </c>
      <c r="G7818" s="34" t="n">
        <f aca="false">SUMIFS('12.326ana'!$C:$C,'12.326ana'!$M:$M,redes!A7818)</f>
        <v>0</v>
      </c>
    </row>
    <row r="7819" customFormat="false" ht="14.4" hidden="true" customHeight="false" outlineLevel="0" collapsed="false">
      <c r="A7819" s="34" t="n">
        <v>3556291000197</v>
      </c>
      <c r="B7819" s="34" t="s">
        <v>16535</v>
      </c>
      <c r="C7819" s="34" t="s">
        <v>197</v>
      </c>
      <c r="E7819" s="30" t="s">
        <v>3206</v>
      </c>
      <c r="F7819" s="34" t="n">
        <f aca="false">IFERROR(VLOOKUP($A7819,'319'!$B:$H,7,0),0)</f>
        <v>0</v>
      </c>
      <c r="G7819" s="34" t="n">
        <f aca="false">SUMIFS('12.326ana'!$C:$C,'12.326ana'!$M:$M,redes!A7819)</f>
        <v>0</v>
      </c>
    </row>
    <row r="7820" customFormat="false" ht="14.4" hidden="true" customHeight="false" outlineLevel="0" collapsed="false">
      <c r="A7820" s="34" t="n">
        <v>3556432000171</v>
      </c>
      <c r="B7820" s="34" t="s">
        <v>16536</v>
      </c>
      <c r="C7820" s="34" t="s">
        <v>107</v>
      </c>
      <c r="D7820" s="34" t="s">
        <v>4797</v>
      </c>
      <c r="E7820" s="30" t="s">
        <v>12528</v>
      </c>
      <c r="F7820" s="34" t="n">
        <f aca="false">IFERROR(VLOOKUP($A7820,'319'!$B:$H,7,0),0)</f>
        <v>0</v>
      </c>
      <c r="G7820" s="34" t="n">
        <f aca="false">SUMIFS('12.326ana'!$C:$C,'12.326ana'!$M:$M,redes!A7820)</f>
        <v>0</v>
      </c>
    </row>
    <row r="7821" customFormat="false" ht="14.4" hidden="true" customHeight="false" outlineLevel="0" collapsed="false">
      <c r="A7821" s="34" t="n">
        <v>3557022000145</v>
      </c>
      <c r="B7821" s="34" t="s">
        <v>16537</v>
      </c>
      <c r="C7821" s="34" t="s">
        <v>139</v>
      </c>
      <c r="E7821" s="30" t="s">
        <v>11281</v>
      </c>
      <c r="F7821" s="34" t="n">
        <f aca="false">IFERROR(VLOOKUP($A7821,'319'!$B:$H,7,0),0)</f>
        <v>0</v>
      </c>
      <c r="G7821" s="34" t="n">
        <f aca="false">SUMIFS('12.326ana'!$C:$C,'12.326ana'!$M:$M,redes!A7821)</f>
        <v>0</v>
      </c>
    </row>
    <row r="7822" customFormat="false" ht="14.4" hidden="true" customHeight="false" outlineLevel="0" collapsed="false">
      <c r="A7822" s="34" t="n">
        <v>3558575000112</v>
      </c>
      <c r="B7822" s="34" t="s">
        <v>16538</v>
      </c>
      <c r="C7822" s="34" t="s">
        <v>77</v>
      </c>
      <c r="E7822" s="30" t="s">
        <v>16539</v>
      </c>
      <c r="F7822" s="34" t="n">
        <f aca="false">IFERROR(VLOOKUP($A7822,'319'!$B:$H,7,0),0)</f>
        <v>0</v>
      </c>
      <c r="G7822" s="34" t="n">
        <f aca="false">SUMIFS('12.326ana'!$C:$C,'12.326ana'!$M:$M,redes!A7822)</f>
        <v>0</v>
      </c>
    </row>
    <row r="7823" customFormat="false" ht="14.4" hidden="true" customHeight="false" outlineLevel="0" collapsed="false">
      <c r="A7823" s="34" t="n">
        <v>3558599000171</v>
      </c>
      <c r="B7823" s="34" t="s">
        <v>16540</v>
      </c>
      <c r="C7823" s="34" t="s">
        <v>107</v>
      </c>
      <c r="E7823" s="30" t="s">
        <v>16541</v>
      </c>
      <c r="F7823" s="34" t="n">
        <f aca="false">IFERROR(VLOOKUP($A7823,'319'!$B:$H,7,0),0)</f>
        <v>0</v>
      </c>
      <c r="G7823" s="34" t="n">
        <f aca="false">SUMIFS('12.326ana'!$C:$C,'12.326ana'!$M:$M,redes!A7823)</f>
        <v>0</v>
      </c>
    </row>
    <row r="7824" customFormat="false" ht="14.4" hidden="true" customHeight="false" outlineLevel="0" collapsed="false">
      <c r="A7824" s="34" t="n">
        <v>3558640000100</v>
      </c>
      <c r="B7824" s="34" t="s">
        <v>16542</v>
      </c>
      <c r="C7824" s="34" t="s">
        <v>139</v>
      </c>
      <c r="E7824" s="30" t="s">
        <v>16543</v>
      </c>
      <c r="F7824" s="34" t="n">
        <f aca="false">IFERROR(VLOOKUP($A7824,'319'!$B:$H,7,0),0)</f>
        <v>0</v>
      </c>
      <c r="G7824" s="34" t="n">
        <f aca="false">SUMIFS('12.326ana'!$C:$C,'12.326ana'!$M:$M,redes!A7824)</f>
        <v>0</v>
      </c>
    </row>
    <row r="7825" customFormat="false" ht="14.4" hidden="true" customHeight="false" outlineLevel="0" collapsed="false">
      <c r="A7825" s="34" t="n">
        <v>3560440000191</v>
      </c>
      <c r="B7825" s="34" t="s">
        <v>16544</v>
      </c>
      <c r="C7825" s="34" t="s">
        <v>77</v>
      </c>
      <c r="E7825" s="30" t="s">
        <v>16545</v>
      </c>
      <c r="F7825" s="34" t="n">
        <f aca="false">IFERROR(VLOOKUP($A7825,'319'!$B:$H,7,0),0)</f>
        <v>0</v>
      </c>
      <c r="G7825" s="34" t="n">
        <f aca="false">SUMIFS('12.326ana'!$C:$C,'12.326ana'!$M:$M,redes!A7825)</f>
        <v>0</v>
      </c>
    </row>
    <row r="7826" customFormat="false" ht="14.4" hidden="true" customHeight="false" outlineLevel="0" collapsed="false">
      <c r="A7826" s="34" t="n">
        <v>3560440000272</v>
      </c>
      <c r="B7826" s="34" t="s">
        <v>16546</v>
      </c>
      <c r="C7826" s="34" t="s">
        <v>77</v>
      </c>
      <c r="E7826" s="30" t="s">
        <v>16547</v>
      </c>
      <c r="F7826" s="34" t="n">
        <f aca="false">IFERROR(VLOOKUP($A7826,'319'!$B:$H,7,0),0)</f>
        <v>0</v>
      </c>
      <c r="G7826" s="34" t="n">
        <f aca="false">SUMIFS('12.326ana'!$C:$C,'12.326ana'!$M:$M,redes!A7826)</f>
        <v>0</v>
      </c>
    </row>
    <row r="7827" customFormat="false" ht="14.4" hidden="true" customHeight="false" outlineLevel="0" collapsed="false">
      <c r="A7827" s="34" t="n">
        <v>3560440000515</v>
      </c>
      <c r="B7827" s="34" t="s">
        <v>16548</v>
      </c>
      <c r="C7827" s="34" t="s">
        <v>77</v>
      </c>
      <c r="E7827" s="30" t="s">
        <v>16549</v>
      </c>
      <c r="F7827" s="34" t="n">
        <f aca="false">IFERROR(VLOOKUP($A7827,'319'!$B:$H,7,0),0)</f>
        <v>0</v>
      </c>
      <c r="G7827" s="34" t="n">
        <f aca="false">SUMIFS('12.326ana'!$C:$C,'12.326ana'!$M:$M,redes!A7827)</f>
        <v>0</v>
      </c>
    </row>
    <row r="7828" customFormat="false" ht="14.4" hidden="true" customHeight="false" outlineLevel="0" collapsed="false">
      <c r="A7828" s="34" t="n">
        <v>3560440000604</v>
      </c>
      <c r="B7828" s="34" t="s">
        <v>16550</v>
      </c>
      <c r="C7828" s="34" t="s">
        <v>107</v>
      </c>
      <c r="E7828" s="30" t="s">
        <v>16549</v>
      </c>
      <c r="F7828" s="34" t="n">
        <f aca="false">IFERROR(VLOOKUP($A7828,'319'!$B:$H,7,0),0)</f>
        <v>0</v>
      </c>
      <c r="G7828" s="34" t="n">
        <f aca="false">SUMIFS('12.326ana'!$C:$C,'12.326ana'!$M:$M,redes!A7828)</f>
        <v>0</v>
      </c>
    </row>
    <row r="7829" customFormat="false" ht="14.4" hidden="true" customHeight="false" outlineLevel="0" collapsed="false">
      <c r="A7829" s="34" t="n">
        <v>3560497000190</v>
      </c>
      <c r="B7829" s="34" t="s">
        <v>16551</v>
      </c>
      <c r="C7829" s="34" t="s">
        <v>139</v>
      </c>
      <c r="D7829" s="34" t="s">
        <v>4797</v>
      </c>
      <c r="E7829" s="30" t="s">
        <v>3807</v>
      </c>
      <c r="F7829" s="34" t="n">
        <f aca="false">IFERROR(VLOOKUP($A7829,'319'!$B:$H,7,0),0)</f>
        <v>0</v>
      </c>
      <c r="G7829" s="34" t="n">
        <f aca="false">SUMIFS('12.326ana'!$C:$C,'12.326ana'!$M:$M,redes!A7829)</f>
        <v>0</v>
      </c>
    </row>
    <row r="7830" customFormat="false" ht="14.4" hidden="true" customHeight="false" outlineLevel="0" collapsed="false">
      <c r="A7830" s="34" t="n">
        <v>3560839000172</v>
      </c>
      <c r="B7830" s="34" t="s">
        <v>16552</v>
      </c>
      <c r="C7830" s="34" t="s">
        <v>77</v>
      </c>
      <c r="E7830" s="30" t="s">
        <v>16553</v>
      </c>
      <c r="F7830" s="34" t="n">
        <f aca="false">IFERROR(VLOOKUP($A7830,'319'!$B:$H,7,0),0)</f>
        <v>0</v>
      </c>
      <c r="G7830" s="34" t="n">
        <f aca="false">SUMIFS('12.326ana'!$C:$C,'12.326ana'!$M:$M,redes!A7830)</f>
        <v>0</v>
      </c>
    </row>
    <row r="7831" customFormat="false" ht="14.4" hidden="true" customHeight="false" outlineLevel="0" collapsed="false">
      <c r="A7831" s="34" t="n">
        <v>3561430000170</v>
      </c>
      <c r="B7831" s="34" t="s">
        <v>16554</v>
      </c>
      <c r="C7831" s="34" t="s">
        <v>103</v>
      </c>
      <c r="E7831" s="30" t="s">
        <v>11581</v>
      </c>
      <c r="F7831" s="34" t="n">
        <f aca="false">IFERROR(VLOOKUP($A7831,'319'!$B:$H,7,0),0)</f>
        <v>0</v>
      </c>
      <c r="G7831" s="34" t="n">
        <f aca="false">SUMIFS('12.326ana'!$C:$C,'12.326ana'!$M:$M,redes!A7831)</f>
        <v>0</v>
      </c>
    </row>
    <row r="7832" customFormat="false" ht="14.4" hidden="true" customHeight="false" outlineLevel="0" collapsed="false">
      <c r="A7832" s="34" t="n">
        <v>3562858000138</v>
      </c>
      <c r="B7832" s="34" t="s">
        <v>16555</v>
      </c>
      <c r="C7832" s="34" t="s">
        <v>309</v>
      </c>
      <c r="E7832" s="30" t="s">
        <v>16556</v>
      </c>
      <c r="F7832" s="34" t="n">
        <f aca="false">IFERROR(VLOOKUP($A7832,'319'!$B:$H,7,0),0)</f>
        <v>0</v>
      </c>
      <c r="G7832" s="34" t="n">
        <f aca="false">SUMIFS('12.326ana'!$C:$C,'12.326ana'!$M:$M,redes!A7832)</f>
        <v>0</v>
      </c>
    </row>
    <row r="7833" customFormat="false" ht="14.4" hidden="true" customHeight="false" outlineLevel="0" collapsed="false">
      <c r="A7833" s="34" t="n">
        <v>3563194000121</v>
      </c>
      <c r="B7833" s="34" t="s">
        <v>16557</v>
      </c>
      <c r="C7833" s="34" t="s">
        <v>2998</v>
      </c>
      <c r="D7833" s="34" t="s">
        <v>33</v>
      </c>
      <c r="E7833" s="30" t="s">
        <v>15895</v>
      </c>
      <c r="F7833" s="34" t="n">
        <f aca="false">IFERROR(VLOOKUP($A7833,'319'!$B:$H,7,0),0)</f>
        <v>0</v>
      </c>
      <c r="G7833" s="34" t="n">
        <f aca="false">SUMIFS('12.326ana'!$C:$C,'12.326ana'!$M:$M,redes!A7833)</f>
        <v>0</v>
      </c>
    </row>
    <row r="7834" customFormat="false" ht="14.4" hidden="true" customHeight="false" outlineLevel="0" collapsed="false">
      <c r="A7834" s="34" t="n">
        <v>3565470000190</v>
      </c>
      <c r="B7834" s="34" t="s">
        <v>16558</v>
      </c>
      <c r="C7834" s="34" t="s">
        <v>77</v>
      </c>
      <c r="E7834" s="30" t="s">
        <v>16559</v>
      </c>
      <c r="F7834" s="34" t="n">
        <f aca="false">IFERROR(VLOOKUP($A7834,'319'!$B:$H,7,0),0)</f>
        <v>0</v>
      </c>
      <c r="G7834" s="34" t="n">
        <f aca="false">SUMIFS('12.326ana'!$C:$C,'12.326ana'!$M:$M,redes!A7834)</f>
        <v>0</v>
      </c>
    </row>
    <row r="7835" customFormat="false" ht="14.4" hidden="true" customHeight="false" outlineLevel="0" collapsed="false">
      <c r="A7835" s="34" t="n">
        <v>3567602000113</v>
      </c>
      <c r="B7835" s="34" t="s">
        <v>16560</v>
      </c>
      <c r="C7835" s="34" t="s">
        <v>107</v>
      </c>
      <c r="E7835" s="30" t="s">
        <v>3243</v>
      </c>
      <c r="F7835" s="34" t="n">
        <f aca="false">IFERROR(VLOOKUP($A7835,'319'!$B:$H,7,0),0)</f>
        <v>0</v>
      </c>
      <c r="G7835" s="34" t="n">
        <f aca="false">SUMIFS('12.326ana'!$C:$C,'12.326ana'!$M:$M,redes!A7835)</f>
        <v>0</v>
      </c>
    </row>
    <row r="7836" customFormat="false" ht="14.4" hidden="true" customHeight="false" outlineLevel="0" collapsed="false">
      <c r="A7836" s="34" t="n">
        <v>3569993000105</v>
      </c>
      <c r="B7836" s="34" t="s">
        <v>16561</v>
      </c>
      <c r="C7836" s="34" t="s">
        <v>103</v>
      </c>
      <c r="E7836" s="30" t="s">
        <v>16562</v>
      </c>
      <c r="F7836" s="34" t="n">
        <f aca="false">IFERROR(VLOOKUP($A7836,'319'!$B:$H,7,0),0)</f>
        <v>0</v>
      </c>
      <c r="G7836" s="34" t="n">
        <f aca="false">SUMIFS('12.326ana'!$C:$C,'12.326ana'!$M:$M,redes!A7836)</f>
        <v>0</v>
      </c>
    </row>
    <row r="7837" customFormat="false" ht="14.4" hidden="true" customHeight="false" outlineLevel="0" collapsed="false">
      <c r="A7837" s="34" t="n">
        <v>3572346000152</v>
      </c>
      <c r="B7837" s="34" t="s">
        <v>16563</v>
      </c>
      <c r="C7837" s="34" t="s">
        <v>89</v>
      </c>
      <c r="E7837" s="30" t="s">
        <v>16564</v>
      </c>
      <c r="F7837" s="34" t="n">
        <f aca="false">IFERROR(VLOOKUP($A7837,'319'!$B:$H,7,0),0)</f>
        <v>0</v>
      </c>
      <c r="G7837" s="34" t="n">
        <f aca="false">SUMIFS('12.326ana'!$C:$C,'12.326ana'!$M:$M,redes!A7837)</f>
        <v>0</v>
      </c>
    </row>
    <row r="7838" customFormat="false" ht="14.4" hidden="true" customHeight="false" outlineLevel="0" collapsed="false">
      <c r="A7838" s="34" t="n">
        <v>3572733000199</v>
      </c>
      <c r="B7838" s="34" t="s">
        <v>16565</v>
      </c>
      <c r="C7838" s="34" t="s">
        <v>192</v>
      </c>
      <c r="D7838" s="34" t="s">
        <v>9598</v>
      </c>
      <c r="E7838" s="30" t="s">
        <v>14285</v>
      </c>
      <c r="F7838" s="34" t="n">
        <f aca="false">IFERROR(VLOOKUP($A7838,'319'!$B:$H,7,0),0)</f>
        <v>0</v>
      </c>
      <c r="G7838" s="34" t="n">
        <f aca="false">SUMIFS('12.326ana'!$C:$C,'12.326ana'!$M:$M,redes!A7838)</f>
        <v>0</v>
      </c>
    </row>
    <row r="7839" customFormat="false" ht="14.4" hidden="true" customHeight="false" outlineLevel="0" collapsed="false">
      <c r="A7839" s="34" t="n">
        <v>3572866000165</v>
      </c>
      <c r="B7839" s="34" t="s">
        <v>16566</v>
      </c>
      <c r="C7839" s="34" t="s">
        <v>77</v>
      </c>
      <c r="E7839" s="30" t="s">
        <v>16567</v>
      </c>
      <c r="F7839" s="34" t="n">
        <f aca="false">IFERROR(VLOOKUP($A7839,'319'!$B:$H,7,0),0)</f>
        <v>0</v>
      </c>
      <c r="G7839" s="34" t="n">
        <f aca="false">SUMIFS('12.326ana'!$C:$C,'12.326ana'!$M:$M,redes!A7839)</f>
        <v>0</v>
      </c>
    </row>
    <row r="7840" customFormat="false" ht="14.4" hidden="true" customHeight="false" outlineLevel="0" collapsed="false">
      <c r="A7840" s="34" t="n">
        <v>3573128000132</v>
      </c>
      <c r="B7840" s="34" t="s">
        <v>16568</v>
      </c>
      <c r="C7840" s="34" t="s">
        <v>1341</v>
      </c>
      <c r="E7840" s="30" t="s">
        <v>16569</v>
      </c>
      <c r="F7840" s="34" t="n">
        <f aca="false">IFERROR(VLOOKUP($A7840,'319'!$B:$H,7,0),0)</f>
        <v>0</v>
      </c>
      <c r="G7840" s="34" t="n">
        <f aca="false">SUMIFS('12.326ana'!$C:$C,'12.326ana'!$M:$M,redes!A7840)</f>
        <v>0</v>
      </c>
    </row>
    <row r="7841" customFormat="false" ht="14.4" hidden="true" customHeight="false" outlineLevel="0" collapsed="false">
      <c r="A7841" s="34" t="n">
        <v>3575016000110</v>
      </c>
      <c r="B7841" s="34" t="s">
        <v>16570</v>
      </c>
      <c r="C7841" s="34" t="s">
        <v>1341</v>
      </c>
      <c r="E7841" s="30" t="s">
        <v>7043</v>
      </c>
      <c r="F7841" s="34" t="n">
        <f aca="false">IFERROR(VLOOKUP($A7841,'319'!$B:$H,7,0),0)</f>
        <v>0</v>
      </c>
      <c r="G7841" s="34" t="n">
        <f aca="false">SUMIFS('12.326ana'!$C:$C,'12.326ana'!$M:$M,redes!A7841)</f>
        <v>0</v>
      </c>
    </row>
    <row r="7842" customFormat="false" ht="14.4" hidden="true" customHeight="false" outlineLevel="0" collapsed="false">
      <c r="A7842" s="34" t="n">
        <v>3575388000147</v>
      </c>
      <c r="B7842" s="34" t="s">
        <v>16571</v>
      </c>
      <c r="C7842" s="34" t="s">
        <v>562</v>
      </c>
      <c r="E7842" s="30" t="s">
        <v>16572</v>
      </c>
      <c r="F7842" s="34" t="n">
        <f aca="false">IFERROR(VLOOKUP($A7842,'319'!$B:$H,7,0),0)</f>
        <v>0</v>
      </c>
      <c r="G7842" s="34" t="n">
        <f aca="false">SUMIFS('12.326ana'!$C:$C,'12.326ana'!$M:$M,redes!A7842)</f>
        <v>0</v>
      </c>
    </row>
    <row r="7843" customFormat="false" ht="14.4" hidden="true" customHeight="false" outlineLevel="0" collapsed="false">
      <c r="A7843" s="34" t="n">
        <v>3575735000131</v>
      </c>
      <c r="B7843" s="34" t="s">
        <v>16573</v>
      </c>
      <c r="C7843" s="34" t="s">
        <v>328</v>
      </c>
      <c r="E7843" s="30" t="s">
        <v>16574</v>
      </c>
      <c r="F7843" s="34" t="n">
        <f aca="false">IFERROR(VLOOKUP($A7843,'319'!$B:$H,7,0),0)</f>
        <v>0</v>
      </c>
      <c r="G7843" s="34" t="n">
        <f aca="false">SUMIFS('12.326ana'!$C:$C,'12.326ana'!$M:$M,redes!A7843)</f>
        <v>0</v>
      </c>
    </row>
    <row r="7844" customFormat="false" ht="14.4" hidden="true" customHeight="false" outlineLevel="0" collapsed="false">
      <c r="A7844" s="34" t="n">
        <v>3578150000175</v>
      </c>
      <c r="B7844" s="34" t="s">
        <v>16575</v>
      </c>
      <c r="C7844" s="34" t="s">
        <v>804</v>
      </c>
      <c r="E7844" s="30" t="s">
        <v>3579</v>
      </c>
      <c r="F7844" s="34" t="n">
        <f aca="false">IFERROR(VLOOKUP($A7844,'319'!$B:$H,7,0),0)</f>
        <v>0</v>
      </c>
      <c r="G7844" s="34" t="n">
        <f aca="false">SUMIFS('12.326ana'!$C:$C,'12.326ana'!$M:$M,redes!A7844)</f>
        <v>0</v>
      </c>
    </row>
    <row r="7845" customFormat="false" ht="14.4" hidden="true" customHeight="false" outlineLevel="0" collapsed="false">
      <c r="A7845" s="34" t="n">
        <v>3582038000108</v>
      </c>
      <c r="B7845" s="34" t="s">
        <v>16576</v>
      </c>
      <c r="C7845" s="34" t="s">
        <v>631</v>
      </c>
      <c r="E7845" s="30" t="s">
        <v>16577</v>
      </c>
      <c r="F7845" s="34" t="n">
        <f aca="false">IFERROR(VLOOKUP($A7845,'319'!$B:$H,7,0),0)</f>
        <v>0</v>
      </c>
      <c r="G7845" s="34" t="n">
        <f aca="false">SUMIFS('12.326ana'!$C:$C,'12.326ana'!$M:$M,redes!A7845)</f>
        <v>0</v>
      </c>
    </row>
    <row r="7846" customFormat="false" ht="14.4" hidden="true" customHeight="false" outlineLevel="0" collapsed="false">
      <c r="A7846" s="34" t="n">
        <v>3582792000148</v>
      </c>
      <c r="B7846" s="34" t="s">
        <v>16578</v>
      </c>
      <c r="C7846" s="34" t="s">
        <v>357</v>
      </c>
      <c r="E7846" s="30" t="s">
        <v>16579</v>
      </c>
      <c r="F7846" s="34" t="n">
        <f aca="false">IFERROR(VLOOKUP($A7846,'319'!$B:$H,7,0),0)</f>
        <v>0</v>
      </c>
      <c r="G7846" s="34" t="n">
        <f aca="false">SUMIFS('12.326ana'!$C:$C,'12.326ana'!$M:$M,redes!A7846)</f>
        <v>0</v>
      </c>
    </row>
    <row r="7847" customFormat="false" ht="14.4" hidden="true" customHeight="false" outlineLevel="0" collapsed="false">
      <c r="A7847" s="34" t="n">
        <v>3583184000158</v>
      </c>
      <c r="B7847" s="34" t="s">
        <v>16580</v>
      </c>
      <c r="C7847" s="34" t="s">
        <v>631</v>
      </c>
      <c r="E7847" s="30" t="s">
        <v>16581</v>
      </c>
      <c r="F7847" s="34" t="n">
        <f aca="false">IFERROR(VLOOKUP($A7847,'319'!$B:$H,7,0),0)</f>
        <v>0</v>
      </c>
      <c r="G7847" s="34" t="n">
        <f aca="false">SUMIFS('12.326ana'!$C:$C,'12.326ana'!$M:$M,redes!A7847)</f>
        <v>0</v>
      </c>
    </row>
    <row r="7848" customFormat="false" ht="14.4" hidden="true" customHeight="false" outlineLevel="0" collapsed="false">
      <c r="A7848" s="34" t="n">
        <v>3583304000117</v>
      </c>
      <c r="B7848" s="34" t="s">
        <v>16582</v>
      </c>
      <c r="C7848" s="34" t="s">
        <v>336</v>
      </c>
      <c r="E7848" s="30" t="s">
        <v>13163</v>
      </c>
      <c r="F7848" s="34" t="n">
        <f aca="false">IFERROR(VLOOKUP($A7848,'319'!$B:$H,7,0),0)</f>
        <v>0</v>
      </c>
      <c r="G7848" s="34" t="n">
        <f aca="false">SUMIFS('12.326ana'!$C:$C,'12.326ana'!$M:$M,redes!A7848)</f>
        <v>0</v>
      </c>
    </row>
    <row r="7849" customFormat="false" ht="14.4" hidden="true" customHeight="false" outlineLevel="0" collapsed="false">
      <c r="A7849" s="34" t="n">
        <v>3583418000167</v>
      </c>
      <c r="B7849" s="34" t="s">
        <v>16583</v>
      </c>
      <c r="C7849" s="34" t="s">
        <v>77</v>
      </c>
      <c r="E7849" s="30" t="s">
        <v>16584</v>
      </c>
      <c r="F7849" s="34" t="n">
        <f aca="false">IFERROR(VLOOKUP($A7849,'319'!$B:$H,7,0),0)</f>
        <v>0</v>
      </c>
      <c r="G7849" s="34" t="n">
        <f aca="false">SUMIFS('12.326ana'!$C:$C,'12.326ana'!$M:$M,redes!A7849)</f>
        <v>0</v>
      </c>
    </row>
    <row r="7850" customFormat="false" ht="14.4" hidden="true" customHeight="false" outlineLevel="0" collapsed="false">
      <c r="A7850" s="34" t="n">
        <v>3583629000108</v>
      </c>
      <c r="B7850" s="34" t="s">
        <v>16585</v>
      </c>
      <c r="C7850" s="34" t="s">
        <v>77</v>
      </c>
      <c r="E7850" s="30" t="s">
        <v>16586</v>
      </c>
      <c r="F7850" s="34" t="n">
        <f aca="false">IFERROR(VLOOKUP($A7850,'319'!$B:$H,7,0),0)</f>
        <v>0</v>
      </c>
      <c r="G7850" s="34" t="n">
        <f aca="false">SUMIFS('12.326ana'!$C:$C,'12.326ana'!$M:$M,redes!A7850)</f>
        <v>0</v>
      </c>
    </row>
    <row r="7851" customFormat="false" ht="14.4" hidden="true" customHeight="false" outlineLevel="0" collapsed="false">
      <c r="A7851" s="34" t="n">
        <v>3583804000159</v>
      </c>
      <c r="B7851" s="34" t="s">
        <v>16587</v>
      </c>
      <c r="C7851" s="34" t="s">
        <v>1272</v>
      </c>
      <c r="E7851" s="30" t="s">
        <v>16588</v>
      </c>
      <c r="F7851" s="34" t="n">
        <f aca="false">IFERROR(VLOOKUP($A7851,'319'!$B:$H,7,0),0)</f>
        <v>0</v>
      </c>
      <c r="G7851" s="34" t="n">
        <f aca="false">SUMIFS('12.326ana'!$C:$C,'12.326ana'!$M:$M,redes!A7851)</f>
        <v>0</v>
      </c>
    </row>
    <row r="7852" customFormat="false" ht="14.4" hidden="true" customHeight="false" outlineLevel="0" collapsed="false">
      <c r="A7852" s="34" t="n">
        <v>3584254000273</v>
      </c>
      <c r="B7852" s="34" t="s">
        <v>16589</v>
      </c>
      <c r="C7852" s="34" t="s">
        <v>77</v>
      </c>
      <c r="E7852" s="30" t="s">
        <v>16590</v>
      </c>
      <c r="F7852" s="34" t="n">
        <f aca="false">IFERROR(VLOOKUP($A7852,'319'!$B:$H,7,0),0)</f>
        <v>0</v>
      </c>
      <c r="G7852" s="34" t="n">
        <f aca="false">SUMIFS('12.326ana'!$C:$C,'12.326ana'!$M:$M,redes!A7852)</f>
        <v>0</v>
      </c>
    </row>
    <row r="7853" customFormat="false" ht="14.4" hidden="true" customHeight="false" outlineLevel="0" collapsed="false">
      <c r="A7853" s="34" t="n">
        <v>3584271000120</v>
      </c>
      <c r="B7853" s="34" t="s">
        <v>16591</v>
      </c>
      <c r="C7853" s="34" t="s">
        <v>107</v>
      </c>
      <c r="E7853" s="30" t="s">
        <v>16592</v>
      </c>
      <c r="F7853" s="34" t="n">
        <f aca="false">IFERROR(VLOOKUP($A7853,'319'!$B:$H,7,0),0)</f>
        <v>0</v>
      </c>
      <c r="G7853" s="34" t="n">
        <f aca="false">SUMIFS('12.326ana'!$C:$C,'12.326ana'!$M:$M,redes!A7853)</f>
        <v>0</v>
      </c>
    </row>
    <row r="7854" customFormat="false" ht="14.4" hidden="true" customHeight="false" outlineLevel="0" collapsed="false">
      <c r="A7854" s="34" t="n">
        <v>3584844000115</v>
      </c>
      <c r="B7854" s="34" t="s">
        <v>16593</v>
      </c>
      <c r="C7854" s="34" t="s">
        <v>107</v>
      </c>
      <c r="E7854" s="30" t="s">
        <v>5781</v>
      </c>
      <c r="F7854" s="34" t="n">
        <f aca="false">IFERROR(VLOOKUP($A7854,'319'!$B:$H,7,0),0)</f>
        <v>0</v>
      </c>
      <c r="G7854" s="34" t="n">
        <f aca="false">SUMIFS('12.326ana'!$C:$C,'12.326ana'!$M:$M,redes!A7854)</f>
        <v>0</v>
      </c>
    </row>
    <row r="7855" customFormat="false" ht="14.4" hidden="true" customHeight="false" outlineLevel="0" collapsed="false">
      <c r="A7855" s="34" t="n">
        <v>3589208000186</v>
      </c>
      <c r="B7855" s="34" t="s">
        <v>16594</v>
      </c>
      <c r="C7855" s="34" t="s">
        <v>77</v>
      </c>
      <c r="E7855" s="30" t="s">
        <v>16595</v>
      </c>
      <c r="F7855" s="34" t="n">
        <f aca="false">IFERROR(VLOOKUP($A7855,'319'!$B:$H,7,0),0)</f>
        <v>0</v>
      </c>
      <c r="G7855" s="34" t="n">
        <f aca="false">SUMIFS('12.326ana'!$C:$C,'12.326ana'!$M:$M,redes!A7855)</f>
        <v>0</v>
      </c>
    </row>
    <row r="7856" customFormat="false" ht="14.4" hidden="true" customHeight="false" outlineLevel="0" collapsed="false">
      <c r="A7856" s="34" t="n">
        <v>3589884000150</v>
      </c>
      <c r="B7856" s="34" t="s">
        <v>16596</v>
      </c>
      <c r="C7856" s="34" t="s">
        <v>107</v>
      </c>
      <c r="E7856" s="30" t="s">
        <v>16597</v>
      </c>
      <c r="F7856" s="34" t="n">
        <f aca="false">IFERROR(VLOOKUP($A7856,'319'!$B:$H,7,0),0)</f>
        <v>0</v>
      </c>
      <c r="G7856" s="34" t="n">
        <f aca="false">SUMIFS('12.326ana'!$C:$C,'12.326ana'!$M:$M,redes!A7856)</f>
        <v>0</v>
      </c>
    </row>
    <row r="7857" customFormat="false" ht="14.4" hidden="true" customHeight="false" outlineLevel="0" collapsed="false">
      <c r="A7857" s="34" t="n">
        <v>3589949000167</v>
      </c>
      <c r="B7857" s="34" t="s">
        <v>16598</v>
      </c>
      <c r="C7857" s="34" t="s">
        <v>89</v>
      </c>
      <c r="E7857" s="30" t="s">
        <v>16599</v>
      </c>
      <c r="F7857" s="34" t="n">
        <f aca="false">IFERROR(VLOOKUP($A7857,'319'!$B:$H,7,0),0)</f>
        <v>0</v>
      </c>
      <c r="G7857" s="34" t="n">
        <f aca="false">SUMIFS('12.326ana'!$C:$C,'12.326ana'!$M:$M,redes!A7857)</f>
        <v>0</v>
      </c>
    </row>
    <row r="7858" customFormat="false" ht="14.4" hidden="true" customHeight="false" outlineLevel="0" collapsed="false">
      <c r="A7858" s="34" t="n">
        <v>3590982000107</v>
      </c>
      <c r="B7858" s="34" t="s">
        <v>16600</v>
      </c>
      <c r="C7858" s="34" t="s">
        <v>581</v>
      </c>
      <c r="E7858" s="30" t="s">
        <v>16601</v>
      </c>
      <c r="F7858" s="34" t="n">
        <f aca="false">IFERROR(VLOOKUP($A7858,'319'!$B:$H,7,0),0)</f>
        <v>0</v>
      </c>
      <c r="G7858" s="34" t="n">
        <f aca="false">SUMIFS('12.326ana'!$C:$C,'12.326ana'!$M:$M,redes!A7858)</f>
        <v>0</v>
      </c>
    </row>
    <row r="7859" customFormat="false" ht="14.4" hidden="true" customHeight="false" outlineLevel="0" collapsed="false">
      <c r="A7859" s="34" t="n">
        <v>3594647000187</v>
      </c>
      <c r="B7859" s="34" t="s">
        <v>16602</v>
      </c>
      <c r="C7859" s="34" t="s">
        <v>562</v>
      </c>
      <c r="E7859" s="30" t="s">
        <v>16603</v>
      </c>
      <c r="F7859" s="34" t="n">
        <f aca="false">IFERROR(VLOOKUP($A7859,'319'!$B:$H,7,0),0)</f>
        <v>0</v>
      </c>
      <c r="G7859" s="34" t="n">
        <f aca="false">SUMIFS('12.326ana'!$C:$C,'12.326ana'!$M:$M,redes!A7859)</f>
        <v>0</v>
      </c>
    </row>
    <row r="7860" customFormat="false" ht="14.4" hidden="true" customHeight="false" outlineLevel="0" collapsed="false">
      <c r="A7860" s="34" t="n">
        <v>3595035000109</v>
      </c>
      <c r="B7860" s="34" t="s">
        <v>16604</v>
      </c>
      <c r="C7860" s="34" t="s">
        <v>336</v>
      </c>
      <c r="E7860" s="30" t="s">
        <v>16605</v>
      </c>
      <c r="F7860" s="34" t="n">
        <f aca="false">IFERROR(VLOOKUP($A7860,'319'!$B:$H,7,0),0)</f>
        <v>0</v>
      </c>
      <c r="G7860" s="34" t="n">
        <f aca="false">SUMIFS('12.326ana'!$C:$C,'12.326ana'!$M:$M,redes!A7860)</f>
        <v>0</v>
      </c>
    </row>
    <row r="7861" customFormat="false" ht="14.4" hidden="true" customHeight="false" outlineLevel="0" collapsed="false">
      <c r="A7861" s="34" t="n">
        <v>3597037000137</v>
      </c>
      <c r="B7861" s="34" t="s">
        <v>16606</v>
      </c>
      <c r="C7861" s="34" t="s">
        <v>4139</v>
      </c>
      <c r="E7861" s="30" t="s">
        <v>16607</v>
      </c>
      <c r="F7861" s="34" t="n">
        <f aca="false">IFERROR(VLOOKUP($A7861,'319'!$B:$H,7,0),0)</f>
        <v>0</v>
      </c>
      <c r="G7861" s="34" t="n">
        <f aca="false">SUMIFS('12.326ana'!$C:$C,'12.326ana'!$M:$M,redes!A7861)</f>
        <v>0</v>
      </c>
    </row>
    <row r="7862" customFormat="false" ht="14.4" hidden="true" customHeight="false" outlineLevel="0" collapsed="false">
      <c r="A7862" s="34" t="n">
        <v>3599587000195</v>
      </c>
      <c r="B7862" s="34" t="s">
        <v>16608</v>
      </c>
      <c r="C7862" s="34" t="s">
        <v>3060</v>
      </c>
      <c r="E7862" s="30" t="s">
        <v>9753</v>
      </c>
      <c r="F7862" s="34" t="n">
        <f aca="false">IFERROR(VLOOKUP($A7862,'319'!$B:$H,7,0),0)</f>
        <v>0</v>
      </c>
      <c r="G7862" s="34" t="n">
        <f aca="false">SUMIFS('12.326ana'!$C:$C,'12.326ana'!$M:$M,redes!A7862)</f>
        <v>0</v>
      </c>
    </row>
    <row r="7863" customFormat="false" ht="14.4" hidden="true" customHeight="false" outlineLevel="0" collapsed="false">
      <c r="A7863" s="34" t="n">
        <v>3599795000194</v>
      </c>
      <c r="B7863" s="34" t="s">
        <v>16609</v>
      </c>
      <c r="C7863" s="34" t="s">
        <v>631</v>
      </c>
      <c r="E7863" s="30" t="s">
        <v>16609</v>
      </c>
      <c r="F7863" s="34" t="n">
        <f aca="false">IFERROR(VLOOKUP($A7863,'319'!$B:$H,7,0),0)</f>
        <v>0</v>
      </c>
      <c r="G7863" s="34" t="n">
        <f aca="false">SUMIFS('12.326ana'!$C:$C,'12.326ana'!$M:$M,redes!A7863)</f>
        <v>0</v>
      </c>
    </row>
    <row r="7864" customFormat="false" ht="14.4" hidden="true" customHeight="false" outlineLevel="0" collapsed="false">
      <c r="A7864" s="34" t="n">
        <v>3600411000106</v>
      </c>
      <c r="B7864" s="34" t="s">
        <v>16610</v>
      </c>
      <c r="C7864" s="34" t="s">
        <v>464</v>
      </c>
      <c r="E7864" s="30" t="s">
        <v>16611</v>
      </c>
      <c r="F7864" s="34" t="n">
        <f aca="false">IFERROR(VLOOKUP($A7864,'319'!$B:$H,7,0),0)</f>
        <v>0</v>
      </c>
      <c r="G7864" s="34" t="n">
        <f aca="false">SUMIFS('12.326ana'!$C:$C,'12.326ana'!$M:$M,redes!A7864)</f>
        <v>0</v>
      </c>
    </row>
    <row r="7865" customFormat="false" ht="14.4" hidden="true" customHeight="false" outlineLevel="0" collapsed="false">
      <c r="A7865" s="34" t="n">
        <v>3600423000130</v>
      </c>
      <c r="B7865" s="34" t="s">
        <v>16612</v>
      </c>
      <c r="C7865" s="34" t="s">
        <v>1591</v>
      </c>
      <c r="E7865" s="30"/>
      <c r="F7865" s="34" t="n">
        <f aca="false">IFERROR(VLOOKUP($A7865,'319'!$B:$H,7,0),0)</f>
        <v>0</v>
      </c>
      <c r="G7865" s="34" t="n">
        <f aca="false">SUMIFS('12.326ana'!$C:$C,'12.326ana'!$M:$M,redes!A7865)</f>
        <v>0</v>
      </c>
    </row>
    <row r="7866" customFormat="false" ht="14.4" hidden="true" customHeight="false" outlineLevel="0" collapsed="false">
      <c r="A7866" s="34" t="n">
        <v>3602227000103</v>
      </c>
      <c r="B7866" s="34" t="s">
        <v>16613</v>
      </c>
      <c r="C7866" s="34" t="s">
        <v>77</v>
      </c>
      <c r="E7866" s="30" t="s">
        <v>16614</v>
      </c>
      <c r="F7866" s="34" t="n">
        <f aca="false">IFERROR(VLOOKUP($A7866,'319'!$B:$H,7,0),0)</f>
        <v>0</v>
      </c>
      <c r="G7866" s="34" t="n">
        <f aca="false">SUMIFS('12.326ana'!$C:$C,'12.326ana'!$M:$M,redes!A7866)</f>
        <v>0</v>
      </c>
    </row>
    <row r="7867" customFormat="false" ht="14.4" hidden="true" customHeight="false" outlineLevel="0" collapsed="false">
      <c r="A7867" s="34" t="n">
        <v>3604782000166</v>
      </c>
      <c r="B7867" s="34" t="s">
        <v>16615</v>
      </c>
      <c r="C7867" s="34" t="s">
        <v>107</v>
      </c>
      <c r="E7867" s="30" t="s">
        <v>16616</v>
      </c>
      <c r="F7867" s="34" t="n">
        <f aca="false">IFERROR(VLOOKUP($A7867,'319'!$B:$H,7,0),0)</f>
        <v>0</v>
      </c>
      <c r="G7867" s="34" t="n">
        <f aca="false">SUMIFS('12.326ana'!$C:$C,'12.326ana'!$M:$M,redes!A7867)</f>
        <v>0</v>
      </c>
    </row>
    <row r="7868" customFormat="false" ht="14.4" hidden="true" customHeight="false" outlineLevel="0" collapsed="false">
      <c r="A7868" s="34" t="n">
        <v>3604960000159</v>
      </c>
      <c r="B7868" s="34" t="s">
        <v>16617</v>
      </c>
      <c r="C7868" s="34" t="s">
        <v>107</v>
      </c>
      <c r="E7868" s="30" t="s">
        <v>16618</v>
      </c>
      <c r="F7868" s="34" t="n">
        <f aca="false">IFERROR(VLOOKUP($A7868,'319'!$B:$H,7,0),0)</f>
        <v>0</v>
      </c>
      <c r="G7868" s="34" t="n">
        <f aca="false">SUMIFS('12.326ana'!$C:$C,'12.326ana'!$M:$M,redes!A7868)</f>
        <v>0</v>
      </c>
    </row>
    <row r="7869" customFormat="false" ht="14.4" hidden="true" customHeight="false" outlineLevel="0" collapsed="false">
      <c r="A7869" s="34" t="n">
        <v>3605664000172</v>
      </c>
      <c r="B7869" s="34" t="s">
        <v>14991</v>
      </c>
      <c r="C7869" s="34" t="s">
        <v>979</v>
      </c>
      <c r="E7869" s="30"/>
      <c r="F7869" s="34" t="n">
        <f aca="false">IFERROR(VLOOKUP($A7869,'319'!$B:$H,7,0),0)</f>
        <v>0</v>
      </c>
      <c r="G7869" s="34" t="n">
        <f aca="false">SUMIFS('12.326ana'!$C:$C,'12.326ana'!$M:$M,redes!A7869)</f>
        <v>0</v>
      </c>
    </row>
    <row r="7870" customFormat="false" ht="14.4" hidden="true" customHeight="false" outlineLevel="0" collapsed="false">
      <c r="A7870" s="34" t="n">
        <v>3606309000118</v>
      </c>
      <c r="B7870" s="34" t="s">
        <v>16619</v>
      </c>
      <c r="C7870" s="34" t="s">
        <v>309</v>
      </c>
      <c r="E7870" s="30" t="s">
        <v>16620</v>
      </c>
      <c r="F7870" s="34" t="n">
        <f aca="false">IFERROR(VLOOKUP($A7870,'319'!$B:$H,7,0),0)</f>
        <v>0</v>
      </c>
      <c r="G7870" s="34" t="n">
        <f aca="false">SUMIFS('12.326ana'!$C:$C,'12.326ana'!$M:$M,redes!A7870)</f>
        <v>0</v>
      </c>
    </row>
    <row r="7871" customFormat="false" ht="14.4" hidden="true" customHeight="false" outlineLevel="0" collapsed="false">
      <c r="A7871" s="34" t="n">
        <v>3608058000100</v>
      </c>
      <c r="B7871" s="34" t="s">
        <v>8850</v>
      </c>
      <c r="C7871" s="34" t="s">
        <v>328</v>
      </c>
      <c r="E7871" s="30" t="s">
        <v>16621</v>
      </c>
      <c r="F7871" s="34" t="n">
        <f aca="false">IFERROR(VLOOKUP($A7871,'319'!$B:$H,7,0),0)</f>
        <v>0</v>
      </c>
      <c r="G7871" s="34" t="n">
        <f aca="false">SUMIFS('12.326ana'!$C:$C,'12.326ana'!$M:$M,redes!A7871)</f>
        <v>0</v>
      </c>
    </row>
    <row r="7872" customFormat="false" ht="14.4" hidden="true" customHeight="false" outlineLevel="0" collapsed="false">
      <c r="A7872" s="34" t="n">
        <v>3608827000170</v>
      </c>
      <c r="B7872" s="34" t="s">
        <v>16622</v>
      </c>
      <c r="C7872" s="34" t="s">
        <v>328</v>
      </c>
      <c r="E7872" s="30" t="s">
        <v>16623</v>
      </c>
      <c r="F7872" s="34" t="n">
        <f aca="false">IFERROR(VLOOKUP($A7872,'319'!$B:$H,7,0),0)</f>
        <v>0</v>
      </c>
      <c r="G7872" s="34" t="n">
        <f aca="false">SUMIFS('12.326ana'!$C:$C,'12.326ana'!$M:$M,redes!A7872)</f>
        <v>0</v>
      </c>
    </row>
    <row r="7873" customFormat="false" ht="14.4" hidden="true" customHeight="false" outlineLevel="0" collapsed="false">
      <c r="A7873" s="34" t="n">
        <v>3609583000140</v>
      </c>
      <c r="B7873" s="34" t="s">
        <v>16624</v>
      </c>
      <c r="C7873" s="34" t="s">
        <v>1341</v>
      </c>
      <c r="E7873" s="30" t="s">
        <v>16625</v>
      </c>
      <c r="F7873" s="34" t="n">
        <f aca="false">IFERROR(VLOOKUP($A7873,'319'!$B:$H,7,0),0)</f>
        <v>0</v>
      </c>
      <c r="G7873" s="34" t="n">
        <f aca="false">SUMIFS('12.326ana'!$C:$C,'12.326ana'!$M:$M,redes!A7873)</f>
        <v>0</v>
      </c>
    </row>
    <row r="7874" customFormat="false" ht="14.4" hidden="true" customHeight="false" outlineLevel="0" collapsed="false">
      <c r="A7874" s="34" t="n">
        <v>3611662000196</v>
      </c>
      <c r="B7874" s="34" t="s">
        <v>16626</v>
      </c>
      <c r="C7874" s="34" t="s">
        <v>107</v>
      </c>
      <c r="E7874" s="30" t="s">
        <v>16627</v>
      </c>
      <c r="F7874" s="34" t="n">
        <f aca="false">IFERROR(VLOOKUP($A7874,'319'!$B:$H,7,0),0)</f>
        <v>0</v>
      </c>
      <c r="G7874" s="34" t="n">
        <f aca="false">SUMIFS('12.326ana'!$C:$C,'12.326ana'!$M:$M,redes!A7874)</f>
        <v>0</v>
      </c>
    </row>
    <row r="7875" customFormat="false" ht="14.4" hidden="true" customHeight="false" outlineLevel="0" collapsed="false">
      <c r="A7875" s="34" t="n">
        <v>3613072000100</v>
      </c>
      <c r="B7875" s="34" t="s">
        <v>16628</v>
      </c>
      <c r="C7875" s="34" t="s">
        <v>309</v>
      </c>
      <c r="E7875" s="30" t="s">
        <v>16629</v>
      </c>
      <c r="F7875" s="34" t="n">
        <f aca="false">IFERROR(VLOOKUP($A7875,'319'!$B:$H,7,0),0)</f>
        <v>0</v>
      </c>
      <c r="G7875" s="34" t="n">
        <f aca="false">SUMIFS('12.326ana'!$C:$C,'12.326ana'!$M:$M,redes!A7875)</f>
        <v>0</v>
      </c>
    </row>
    <row r="7876" customFormat="false" ht="14.4" hidden="true" customHeight="false" outlineLevel="0" collapsed="false">
      <c r="A7876" s="34" t="n">
        <v>3613504000175</v>
      </c>
      <c r="B7876" s="34" t="s">
        <v>16630</v>
      </c>
      <c r="C7876" s="34" t="s">
        <v>1591</v>
      </c>
      <c r="E7876" s="30" t="s">
        <v>16631</v>
      </c>
      <c r="F7876" s="34" t="n">
        <f aca="false">IFERROR(VLOOKUP($A7876,'319'!$B:$H,7,0),0)</f>
        <v>0</v>
      </c>
      <c r="G7876" s="34" t="n">
        <f aca="false">SUMIFS('12.326ana'!$C:$C,'12.326ana'!$M:$M,redes!A7876)</f>
        <v>0</v>
      </c>
    </row>
    <row r="7877" customFormat="false" ht="14.4" hidden="true" customHeight="false" outlineLevel="0" collapsed="false">
      <c r="A7877" s="34" t="n">
        <v>3615221000162</v>
      </c>
      <c r="B7877" s="34" t="s">
        <v>16632</v>
      </c>
      <c r="C7877" s="34" t="s">
        <v>357</v>
      </c>
      <c r="E7877" s="30" t="s">
        <v>5846</v>
      </c>
      <c r="F7877" s="34" t="n">
        <f aca="false">IFERROR(VLOOKUP($A7877,'319'!$B:$H,7,0),0)</f>
        <v>0</v>
      </c>
      <c r="G7877" s="34" t="n">
        <f aca="false">SUMIFS('12.326ana'!$C:$C,'12.326ana'!$M:$M,redes!A7877)</f>
        <v>0</v>
      </c>
    </row>
    <row r="7878" customFormat="false" ht="14.4" hidden="true" customHeight="false" outlineLevel="0" collapsed="false">
      <c r="A7878" s="34" t="n">
        <v>3617436000112</v>
      </c>
      <c r="B7878" s="34" t="s">
        <v>16633</v>
      </c>
      <c r="C7878" s="34" t="s">
        <v>139</v>
      </c>
      <c r="E7878" s="30" t="s">
        <v>16634</v>
      </c>
      <c r="F7878" s="34" t="n">
        <f aca="false">IFERROR(VLOOKUP($A7878,'319'!$B:$H,7,0),0)</f>
        <v>0</v>
      </c>
      <c r="G7878" s="34" t="n">
        <f aca="false">SUMIFS('12.326ana'!$C:$C,'12.326ana'!$M:$M,redes!A7878)</f>
        <v>0</v>
      </c>
    </row>
    <row r="7879" customFormat="false" ht="14.4" hidden="true" customHeight="false" outlineLevel="0" collapsed="false">
      <c r="A7879" s="34" t="n">
        <v>3617479000106</v>
      </c>
      <c r="B7879" s="34" t="s">
        <v>16635</v>
      </c>
      <c r="C7879" s="34" t="s">
        <v>107</v>
      </c>
      <c r="D7879" s="34" t="s">
        <v>4797</v>
      </c>
      <c r="E7879" s="30" t="s">
        <v>14193</v>
      </c>
      <c r="F7879" s="34" t="n">
        <f aca="false">IFERROR(VLOOKUP($A7879,'319'!$B:$H,7,0),0)</f>
        <v>0</v>
      </c>
      <c r="G7879" s="34" t="n">
        <f aca="false">SUMIFS('12.326ana'!$C:$C,'12.326ana'!$M:$M,redes!A7879)</f>
        <v>0</v>
      </c>
    </row>
    <row r="7880" customFormat="false" ht="14.4" hidden="true" customHeight="false" outlineLevel="0" collapsed="false">
      <c r="A7880" s="34" t="n">
        <v>3617479000360</v>
      </c>
      <c r="B7880" s="34" t="s">
        <v>16636</v>
      </c>
      <c r="C7880" s="34" t="s">
        <v>107</v>
      </c>
      <c r="D7880" s="34" t="s">
        <v>4797</v>
      </c>
      <c r="E7880" s="30" t="s">
        <v>14193</v>
      </c>
      <c r="F7880" s="34" t="n">
        <f aca="false">IFERROR(VLOOKUP($A7880,'319'!$B:$H,7,0),0)</f>
        <v>0</v>
      </c>
      <c r="G7880" s="34" t="n">
        <f aca="false">SUMIFS('12.326ana'!$C:$C,'12.326ana'!$M:$M,redes!A7880)</f>
        <v>0</v>
      </c>
    </row>
    <row r="7881" customFormat="false" ht="14.4" hidden="true" customHeight="false" outlineLevel="0" collapsed="false">
      <c r="A7881" s="34" t="n">
        <v>3617858000198</v>
      </c>
      <c r="B7881" s="34" t="s">
        <v>16637</v>
      </c>
      <c r="C7881" s="34" t="s">
        <v>107</v>
      </c>
      <c r="E7881" s="30" t="s">
        <v>16638</v>
      </c>
      <c r="F7881" s="34" t="n">
        <f aca="false">IFERROR(VLOOKUP($A7881,'319'!$B:$H,7,0),0)</f>
        <v>0</v>
      </c>
      <c r="G7881" s="34" t="n">
        <f aca="false">SUMIFS('12.326ana'!$C:$C,'12.326ana'!$M:$M,redes!A7881)</f>
        <v>0</v>
      </c>
    </row>
    <row r="7882" customFormat="false" ht="14.4" hidden="true" customHeight="false" outlineLevel="0" collapsed="false">
      <c r="A7882" s="34" t="n">
        <v>3618114000198</v>
      </c>
      <c r="B7882" s="34" t="s">
        <v>16639</v>
      </c>
      <c r="C7882" s="34" t="s">
        <v>77</v>
      </c>
      <c r="E7882" s="30" t="s">
        <v>16640</v>
      </c>
      <c r="F7882" s="34" t="n">
        <f aca="false">IFERROR(VLOOKUP($A7882,'319'!$B:$H,7,0),0)</f>
        <v>0</v>
      </c>
      <c r="G7882" s="34" t="n">
        <f aca="false">SUMIFS('12.326ana'!$C:$C,'12.326ana'!$M:$M,redes!A7882)</f>
        <v>0</v>
      </c>
    </row>
    <row r="7883" customFormat="false" ht="14.4" hidden="true" customHeight="false" outlineLevel="0" collapsed="false">
      <c r="A7883" s="34" t="n">
        <v>3618436000137</v>
      </c>
      <c r="B7883" s="34" t="s">
        <v>16641</v>
      </c>
      <c r="C7883" s="34" t="s">
        <v>107</v>
      </c>
      <c r="E7883" s="30" t="s">
        <v>16642</v>
      </c>
      <c r="F7883" s="34" t="n">
        <f aca="false">IFERROR(VLOOKUP($A7883,'319'!$B:$H,7,0),0)</f>
        <v>0</v>
      </c>
      <c r="G7883" s="34" t="n">
        <f aca="false">SUMIFS('12.326ana'!$C:$C,'12.326ana'!$M:$M,redes!A7883)</f>
        <v>0</v>
      </c>
    </row>
    <row r="7884" customFormat="false" ht="14.4" hidden="true" customHeight="false" outlineLevel="0" collapsed="false">
      <c r="A7884" s="34" t="n">
        <v>3620531000175</v>
      </c>
      <c r="B7884" s="34" t="s">
        <v>16643</v>
      </c>
      <c r="C7884" s="34" t="s">
        <v>594</v>
      </c>
      <c r="E7884" s="30" t="s">
        <v>16644</v>
      </c>
      <c r="F7884" s="34" t="n">
        <f aca="false">IFERROR(VLOOKUP($A7884,'319'!$B:$H,7,0),0)</f>
        <v>0</v>
      </c>
      <c r="G7884" s="34" t="n">
        <f aca="false">SUMIFS('12.326ana'!$C:$C,'12.326ana'!$M:$M,redes!A7884)</f>
        <v>0</v>
      </c>
    </row>
    <row r="7885" customFormat="false" ht="14.4" hidden="true" customHeight="false" outlineLevel="0" collapsed="false">
      <c r="A7885" s="34" t="n">
        <v>3623191000136</v>
      </c>
      <c r="B7885" s="34" t="s">
        <v>16645</v>
      </c>
      <c r="C7885" s="34" t="s">
        <v>77</v>
      </c>
      <c r="E7885" s="30" t="s">
        <v>16646</v>
      </c>
      <c r="F7885" s="34" t="n">
        <f aca="false">IFERROR(VLOOKUP($A7885,'319'!$B:$H,7,0),0)</f>
        <v>0</v>
      </c>
      <c r="G7885" s="34" t="n">
        <f aca="false">SUMIFS('12.326ana'!$C:$C,'12.326ana'!$M:$M,redes!A7885)</f>
        <v>0</v>
      </c>
    </row>
    <row r="7886" customFormat="false" ht="14.4" hidden="true" customHeight="false" outlineLevel="0" collapsed="false">
      <c r="A7886" s="34" t="n">
        <v>3623203000122</v>
      </c>
      <c r="B7886" s="34" t="s">
        <v>16647</v>
      </c>
      <c r="C7886" s="34" t="s">
        <v>117</v>
      </c>
      <c r="E7886" s="30" t="s">
        <v>16648</v>
      </c>
      <c r="F7886" s="34" t="n">
        <f aca="false">IFERROR(VLOOKUP($A7886,'319'!$B:$H,7,0),0)</f>
        <v>0</v>
      </c>
      <c r="G7886" s="34" t="n">
        <f aca="false">SUMIFS('12.326ana'!$C:$C,'12.326ana'!$M:$M,redes!A7886)</f>
        <v>0</v>
      </c>
    </row>
    <row r="7887" customFormat="false" ht="14.4" hidden="true" customHeight="false" outlineLevel="0" collapsed="false">
      <c r="A7887" s="34" t="n">
        <v>3623667000139</v>
      </c>
      <c r="B7887" s="34" t="s">
        <v>16649</v>
      </c>
      <c r="C7887" s="34" t="s">
        <v>935</v>
      </c>
      <c r="E7887" s="30" t="s">
        <v>16650</v>
      </c>
      <c r="F7887" s="34" t="n">
        <f aca="false">IFERROR(VLOOKUP($A7887,'319'!$B:$H,7,0),0)</f>
        <v>0</v>
      </c>
      <c r="G7887" s="34" t="n">
        <f aca="false">SUMIFS('12.326ana'!$C:$C,'12.326ana'!$M:$M,redes!A7887)</f>
        <v>0</v>
      </c>
    </row>
    <row r="7888" customFormat="false" ht="14.4" hidden="true" customHeight="false" outlineLevel="0" collapsed="false">
      <c r="A7888" s="34" t="n">
        <v>3625074000101</v>
      </c>
      <c r="B7888" s="34" t="s">
        <v>16651</v>
      </c>
      <c r="C7888" s="34" t="s">
        <v>77</v>
      </c>
      <c r="E7888" s="30" t="s">
        <v>16652</v>
      </c>
      <c r="F7888" s="34" t="n">
        <f aca="false">IFERROR(VLOOKUP($A7888,'319'!$B:$H,7,0),0)</f>
        <v>0</v>
      </c>
      <c r="G7888" s="34" t="n">
        <f aca="false">SUMIFS('12.326ana'!$C:$C,'12.326ana'!$M:$M,redes!A7888)</f>
        <v>0</v>
      </c>
    </row>
    <row r="7889" customFormat="false" ht="14.4" hidden="true" customHeight="false" outlineLevel="0" collapsed="false">
      <c r="A7889" s="34" t="n">
        <v>3625494000198</v>
      </c>
      <c r="B7889" s="34" t="s">
        <v>16653</v>
      </c>
      <c r="C7889" s="34" t="s">
        <v>478</v>
      </c>
      <c r="E7889" s="30" t="s">
        <v>16654</v>
      </c>
      <c r="F7889" s="34" t="n">
        <f aca="false">IFERROR(VLOOKUP($A7889,'319'!$B:$H,7,0),0)</f>
        <v>0</v>
      </c>
      <c r="G7889" s="34" t="n">
        <f aca="false">SUMIFS('12.326ana'!$C:$C,'12.326ana'!$M:$M,redes!A7889)</f>
        <v>0</v>
      </c>
    </row>
    <row r="7890" customFormat="false" ht="14.4" hidden="true" customHeight="false" outlineLevel="0" collapsed="false">
      <c r="A7890" s="34" t="n">
        <v>3625767000102</v>
      </c>
      <c r="B7890" s="34" t="s">
        <v>16655</v>
      </c>
      <c r="C7890" s="34" t="s">
        <v>77</v>
      </c>
      <c r="E7890" s="30" t="s">
        <v>16656</v>
      </c>
      <c r="F7890" s="34" t="n">
        <f aca="false">IFERROR(VLOOKUP($A7890,'319'!$B:$H,7,0),0)</f>
        <v>0</v>
      </c>
      <c r="G7890" s="34" t="n">
        <f aca="false">SUMIFS('12.326ana'!$C:$C,'12.326ana'!$M:$M,redes!A7890)</f>
        <v>0</v>
      </c>
    </row>
    <row r="7891" customFormat="false" ht="14.4" hidden="true" customHeight="false" outlineLevel="0" collapsed="false">
      <c r="A7891" s="34" t="n">
        <v>3629433000107</v>
      </c>
      <c r="B7891" s="34" t="s">
        <v>16657</v>
      </c>
      <c r="C7891" s="34" t="s">
        <v>2998</v>
      </c>
      <c r="E7891" s="30" t="s">
        <v>16658</v>
      </c>
      <c r="F7891" s="34" t="n">
        <f aca="false">IFERROR(VLOOKUP($A7891,'319'!$B:$H,7,0),0)</f>
        <v>0</v>
      </c>
      <c r="G7891" s="34" t="n">
        <f aca="false">SUMIFS('12.326ana'!$C:$C,'12.326ana'!$M:$M,redes!A7891)</f>
        <v>0</v>
      </c>
    </row>
    <row r="7892" customFormat="false" ht="14.4" hidden="true" customHeight="false" outlineLevel="0" collapsed="false">
      <c r="A7892" s="34" t="n">
        <v>3629477000129</v>
      </c>
      <c r="B7892" s="34" t="s">
        <v>16659</v>
      </c>
      <c r="C7892" s="34" t="s">
        <v>357</v>
      </c>
      <c r="E7892" s="30" t="s">
        <v>16660</v>
      </c>
      <c r="F7892" s="34" t="n">
        <f aca="false">IFERROR(VLOOKUP($A7892,'319'!$B:$H,7,0),0)</f>
        <v>0</v>
      </c>
      <c r="G7892" s="34" t="n">
        <f aca="false">SUMIFS('12.326ana'!$C:$C,'12.326ana'!$M:$M,redes!A7892)</f>
        <v>0</v>
      </c>
    </row>
    <row r="7893" customFormat="false" ht="14.4" hidden="true" customHeight="false" outlineLevel="0" collapsed="false">
      <c r="A7893" s="34" t="n">
        <v>3629479000118</v>
      </c>
      <c r="B7893" s="34" t="s">
        <v>16661</v>
      </c>
      <c r="C7893" s="34" t="s">
        <v>357</v>
      </c>
      <c r="E7893" s="30" t="s">
        <v>16662</v>
      </c>
      <c r="F7893" s="34" t="n">
        <f aca="false">IFERROR(VLOOKUP($A7893,'319'!$B:$H,7,0),0)</f>
        <v>0</v>
      </c>
      <c r="G7893" s="34" t="n">
        <f aca="false">SUMIFS('12.326ana'!$C:$C,'12.326ana'!$M:$M,redes!A7893)</f>
        <v>0</v>
      </c>
    </row>
    <row r="7894" customFormat="false" ht="14.4" hidden="true" customHeight="false" outlineLevel="0" collapsed="false">
      <c r="A7894" s="34" t="n">
        <v>3630110000125</v>
      </c>
      <c r="B7894" s="34" t="s">
        <v>16663</v>
      </c>
      <c r="C7894" s="34" t="s">
        <v>77</v>
      </c>
      <c r="E7894" s="30" t="s">
        <v>16664</v>
      </c>
      <c r="F7894" s="34" t="n">
        <f aca="false">IFERROR(VLOOKUP($A7894,'319'!$B:$H,7,0),0)</f>
        <v>0</v>
      </c>
      <c r="G7894" s="34" t="n">
        <f aca="false">SUMIFS('12.326ana'!$C:$C,'12.326ana'!$M:$M,redes!A7894)</f>
        <v>0</v>
      </c>
    </row>
    <row r="7895" customFormat="false" ht="14.4" hidden="true" customHeight="false" outlineLevel="0" collapsed="false">
      <c r="A7895" s="34" t="n">
        <v>3630222000186</v>
      </c>
      <c r="B7895" s="34" t="s">
        <v>16665</v>
      </c>
      <c r="C7895" s="34" t="s">
        <v>77</v>
      </c>
      <c r="E7895" s="30" t="s">
        <v>16666</v>
      </c>
      <c r="F7895" s="34" t="n">
        <f aca="false">IFERROR(VLOOKUP($A7895,'319'!$B:$H,7,0),0)</f>
        <v>0</v>
      </c>
      <c r="G7895" s="34" t="n">
        <f aca="false">SUMIFS('12.326ana'!$C:$C,'12.326ana'!$M:$M,redes!A7895)</f>
        <v>0</v>
      </c>
    </row>
    <row r="7896" customFormat="false" ht="14.4" hidden="true" customHeight="false" outlineLevel="0" collapsed="false">
      <c r="A7896" s="34" t="n">
        <v>3630284000198</v>
      </c>
      <c r="B7896" s="34" t="s">
        <v>16667</v>
      </c>
      <c r="C7896" s="34" t="s">
        <v>77</v>
      </c>
      <c r="E7896" s="30" t="s">
        <v>16668</v>
      </c>
      <c r="F7896" s="34" t="n">
        <f aca="false">IFERROR(VLOOKUP($A7896,'319'!$B:$H,7,0),0)</f>
        <v>0</v>
      </c>
      <c r="G7896" s="34" t="n">
        <f aca="false">SUMIFS('12.326ana'!$C:$C,'12.326ana'!$M:$M,redes!A7896)</f>
        <v>0</v>
      </c>
    </row>
    <row r="7897" customFormat="false" ht="14.4" hidden="true" customHeight="false" outlineLevel="0" collapsed="false">
      <c r="A7897" s="34" t="n">
        <v>3631583000147</v>
      </c>
      <c r="B7897" s="34" t="s">
        <v>16669</v>
      </c>
      <c r="C7897" s="34" t="s">
        <v>127</v>
      </c>
      <c r="E7897" s="30" t="s">
        <v>16670</v>
      </c>
      <c r="F7897" s="34" t="n">
        <f aca="false">IFERROR(VLOOKUP($A7897,'319'!$B:$H,7,0),0)</f>
        <v>0</v>
      </c>
      <c r="G7897" s="34" t="n">
        <f aca="false">SUMIFS('12.326ana'!$C:$C,'12.326ana'!$M:$M,redes!A7897)</f>
        <v>0</v>
      </c>
    </row>
    <row r="7898" customFormat="false" ht="14.4" hidden="true" customHeight="false" outlineLevel="0" collapsed="false">
      <c r="A7898" s="34" t="n">
        <v>3631998000110</v>
      </c>
      <c r="B7898" s="34" t="s">
        <v>16671</v>
      </c>
      <c r="C7898" s="34" t="s">
        <v>309</v>
      </c>
      <c r="E7898" s="30" t="s">
        <v>16672</v>
      </c>
      <c r="F7898" s="34" t="n">
        <f aca="false">IFERROR(VLOOKUP($A7898,'319'!$B:$H,7,0),0)</f>
        <v>0</v>
      </c>
      <c r="G7898" s="34" t="n">
        <f aca="false">SUMIFS('12.326ana'!$C:$C,'12.326ana'!$M:$M,redes!A7898)</f>
        <v>0</v>
      </c>
    </row>
    <row r="7899" customFormat="false" ht="14.4" hidden="true" customHeight="false" outlineLevel="0" collapsed="false">
      <c r="A7899" s="34" t="n">
        <v>3632939000167</v>
      </c>
      <c r="B7899" s="34" t="s">
        <v>16673</v>
      </c>
      <c r="C7899" s="34" t="s">
        <v>117</v>
      </c>
      <c r="E7899" s="30" t="s">
        <v>16674</v>
      </c>
      <c r="F7899" s="34" t="n">
        <f aca="false">IFERROR(VLOOKUP($A7899,'319'!$B:$H,7,0),0)</f>
        <v>0</v>
      </c>
      <c r="G7899" s="34" t="n">
        <f aca="false">SUMIFS('12.326ana'!$C:$C,'12.326ana'!$M:$M,redes!A7899)</f>
        <v>0</v>
      </c>
    </row>
    <row r="7900" customFormat="false" ht="14.4" hidden="true" customHeight="false" outlineLevel="0" collapsed="false">
      <c r="A7900" s="34" t="n">
        <v>3634794000133</v>
      </c>
      <c r="B7900" s="34" t="s">
        <v>16675</v>
      </c>
      <c r="C7900" s="34" t="s">
        <v>107</v>
      </c>
      <c r="E7900" s="30" t="s">
        <v>16676</v>
      </c>
      <c r="F7900" s="34" t="n">
        <f aca="false">IFERROR(VLOOKUP($A7900,'319'!$B:$H,7,0),0)</f>
        <v>0</v>
      </c>
      <c r="G7900" s="34" t="n">
        <f aca="false">SUMIFS('12.326ana'!$C:$C,'12.326ana'!$M:$M,redes!A7900)</f>
        <v>0</v>
      </c>
    </row>
    <row r="7901" customFormat="false" ht="14.4" hidden="true" customHeight="false" outlineLevel="0" collapsed="false">
      <c r="A7901" s="34" t="n">
        <v>3635396000131</v>
      </c>
      <c r="B7901" s="34" t="s">
        <v>16677</v>
      </c>
      <c r="C7901" s="34" t="s">
        <v>309</v>
      </c>
      <c r="E7901" s="30" t="s">
        <v>16678</v>
      </c>
      <c r="F7901" s="34" t="n">
        <f aca="false">IFERROR(VLOOKUP($A7901,'319'!$B:$H,7,0),0)</f>
        <v>0</v>
      </c>
      <c r="G7901" s="34" t="n">
        <f aca="false">SUMIFS('12.326ana'!$C:$C,'12.326ana'!$M:$M,redes!A7901)</f>
        <v>0</v>
      </c>
    </row>
    <row r="7902" customFormat="false" ht="14.4" hidden="true" customHeight="false" outlineLevel="0" collapsed="false">
      <c r="A7902" s="34" t="n">
        <v>3637621000179</v>
      </c>
      <c r="B7902" s="34" t="s">
        <v>16679</v>
      </c>
      <c r="C7902" s="34" t="s">
        <v>77</v>
      </c>
      <c r="E7902" s="30" t="s">
        <v>16680</v>
      </c>
      <c r="F7902" s="34" t="n">
        <f aca="false">IFERROR(VLOOKUP($A7902,'319'!$B:$H,7,0),0)</f>
        <v>0</v>
      </c>
      <c r="G7902" s="34" t="n">
        <f aca="false">SUMIFS('12.326ana'!$C:$C,'12.326ana'!$M:$M,redes!A7902)</f>
        <v>0</v>
      </c>
    </row>
    <row r="7903" customFormat="false" ht="14.4" hidden="true" customHeight="false" outlineLevel="0" collapsed="false">
      <c r="A7903" s="34" t="n">
        <v>3638605000109</v>
      </c>
      <c r="B7903" s="34" t="s">
        <v>16681</v>
      </c>
      <c r="C7903" s="34" t="s">
        <v>565</v>
      </c>
      <c r="E7903" s="30" t="s">
        <v>16682</v>
      </c>
      <c r="F7903" s="34" t="n">
        <f aca="false">IFERROR(VLOOKUP($A7903,'319'!$B:$H,7,0),0)</f>
        <v>0</v>
      </c>
      <c r="G7903" s="34" t="n">
        <f aca="false">SUMIFS('12.326ana'!$C:$C,'12.326ana'!$M:$M,redes!A7903)</f>
        <v>0</v>
      </c>
    </row>
    <row r="7904" customFormat="false" ht="14.4" hidden="true" customHeight="false" outlineLevel="0" collapsed="false">
      <c r="A7904" s="34" t="n">
        <v>3640245000171</v>
      </c>
      <c r="B7904" s="34" t="s">
        <v>16683</v>
      </c>
      <c r="C7904" s="34" t="s">
        <v>464</v>
      </c>
      <c r="E7904" s="30" t="s">
        <v>16684</v>
      </c>
      <c r="F7904" s="34" t="n">
        <f aca="false">IFERROR(VLOOKUP($A7904,'319'!$B:$H,7,0),0)</f>
        <v>0</v>
      </c>
      <c r="G7904" s="34" t="n">
        <f aca="false">SUMIFS('12.326ana'!$C:$C,'12.326ana'!$M:$M,redes!A7904)</f>
        <v>0</v>
      </c>
    </row>
    <row r="7905" customFormat="false" ht="14.4" hidden="true" customHeight="false" outlineLevel="0" collapsed="false">
      <c r="A7905" s="34" t="n">
        <v>3642795000120</v>
      </c>
      <c r="B7905" s="34" t="s">
        <v>16685</v>
      </c>
      <c r="C7905" s="34" t="s">
        <v>4156</v>
      </c>
      <c r="E7905" s="30" t="s">
        <v>16686</v>
      </c>
      <c r="F7905" s="34" t="n">
        <f aca="false">IFERROR(VLOOKUP($A7905,'319'!$B:$H,7,0),0)</f>
        <v>0</v>
      </c>
      <c r="G7905" s="34" t="n">
        <f aca="false">SUMIFS('12.326ana'!$C:$C,'12.326ana'!$M:$M,redes!A7905)</f>
        <v>0</v>
      </c>
    </row>
    <row r="7906" customFormat="false" ht="14.4" hidden="true" customHeight="false" outlineLevel="0" collapsed="false">
      <c r="A7906" s="34" t="n">
        <v>3642802000193</v>
      </c>
      <c r="B7906" s="34" t="s">
        <v>16687</v>
      </c>
      <c r="C7906" s="34" t="s">
        <v>117</v>
      </c>
      <c r="E7906" s="30" t="s">
        <v>16688</v>
      </c>
      <c r="F7906" s="34" t="n">
        <f aca="false">IFERROR(VLOOKUP($A7906,'319'!$B:$H,7,0),0)</f>
        <v>0</v>
      </c>
      <c r="G7906" s="34" t="n">
        <f aca="false">SUMIFS('12.326ana'!$C:$C,'12.326ana'!$M:$M,redes!A7906)</f>
        <v>0</v>
      </c>
    </row>
    <row r="7907" customFormat="false" ht="14.4" hidden="true" customHeight="false" outlineLevel="0" collapsed="false">
      <c r="A7907" s="34" t="n">
        <v>3642932000126</v>
      </c>
      <c r="B7907" s="34" t="s">
        <v>16689</v>
      </c>
      <c r="C7907" s="34" t="s">
        <v>351</v>
      </c>
      <c r="E7907" s="30" t="s">
        <v>16690</v>
      </c>
      <c r="F7907" s="34" t="n">
        <f aca="false">IFERROR(VLOOKUP($A7907,'319'!$B:$H,7,0),0)</f>
        <v>0</v>
      </c>
      <c r="G7907" s="34" t="n">
        <f aca="false">SUMIFS('12.326ana'!$C:$C,'12.326ana'!$M:$M,redes!A7907)</f>
        <v>0</v>
      </c>
    </row>
    <row r="7908" customFormat="false" ht="14.4" hidden="true" customHeight="false" outlineLevel="0" collapsed="false">
      <c r="A7908" s="34" t="n">
        <v>3642944000150</v>
      </c>
      <c r="B7908" s="34" t="s">
        <v>16691</v>
      </c>
      <c r="C7908" s="34" t="s">
        <v>351</v>
      </c>
      <c r="E7908" s="30" t="s">
        <v>16692</v>
      </c>
      <c r="F7908" s="34" t="n">
        <f aca="false">IFERROR(VLOOKUP($A7908,'319'!$B:$H,7,0),0)</f>
        <v>0</v>
      </c>
      <c r="G7908" s="34" t="n">
        <f aca="false">SUMIFS('12.326ana'!$C:$C,'12.326ana'!$M:$M,redes!A7908)</f>
        <v>0</v>
      </c>
    </row>
    <row r="7909" customFormat="false" ht="14.4" hidden="true" customHeight="false" outlineLevel="0" collapsed="false">
      <c r="A7909" s="34" t="n">
        <v>3644847000105</v>
      </c>
      <c r="B7909" s="34" t="s">
        <v>16693</v>
      </c>
      <c r="C7909" s="34" t="s">
        <v>77</v>
      </c>
      <c r="E7909" s="30" t="s">
        <v>13544</v>
      </c>
      <c r="F7909" s="34" t="n">
        <f aca="false">IFERROR(VLOOKUP($A7909,'319'!$B:$H,7,0),0)</f>
        <v>0</v>
      </c>
      <c r="G7909" s="34" t="n">
        <f aca="false">SUMIFS('12.326ana'!$C:$C,'12.326ana'!$M:$M,redes!A7909)</f>
        <v>0</v>
      </c>
    </row>
    <row r="7910" customFormat="false" ht="14.4" hidden="true" customHeight="false" outlineLevel="0" collapsed="false">
      <c r="A7910" s="34" t="n">
        <v>3644973000151</v>
      </c>
      <c r="B7910" s="34" t="s">
        <v>16694</v>
      </c>
      <c r="C7910" s="34" t="s">
        <v>129</v>
      </c>
      <c r="E7910" s="30" t="s">
        <v>16695</v>
      </c>
      <c r="F7910" s="34" t="n">
        <f aca="false">IFERROR(VLOOKUP($A7910,'319'!$B:$H,7,0),0)</f>
        <v>0</v>
      </c>
      <c r="G7910" s="34" t="n">
        <f aca="false">SUMIFS('12.326ana'!$C:$C,'12.326ana'!$M:$M,redes!A7910)</f>
        <v>0</v>
      </c>
    </row>
    <row r="7911" customFormat="false" ht="14.4" hidden="true" customHeight="false" outlineLevel="0" collapsed="false">
      <c r="A7911" s="34" t="n">
        <v>3646320000101</v>
      </c>
      <c r="B7911" s="34" t="s">
        <v>16696</v>
      </c>
      <c r="C7911" s="34" t="s">
        <v>192</v>
      </c>
      <c r="E7911" s="30" t="s">
        <v>16697</v>
      </c>
      <c r="F7911" s="34" t="n">
        <f aca="false">IFERROR(VLOOKUP($A7911,'319'!$B:$H,7,0),0)</f>
        <v>0</v>
      </c>
      <c r="G7911" s="34" t="n">
        <f aca="false">SUMIFS('12.326ana'!$C:$C,'12.326ana'!$M:$M,redes!A7911)</f>
        <v>0</v>
      </c>
    </row>
    <row r="7912" customFormat="false" ht="14.4" hidden="true" customHeight="false" outlineLevel="0" collapsed="false">
      <c r="A7912" s="34" t="n">
        <v>3646726000194</v>
      </c>
      <c r="B7912" s="34" t="s">
        <v>16698</v>
      </c>
      <c r="C7912" s="34" t="s">
        <v>192</v>
      </c>
      <c r="D7912" s="34" t="s">
        <v>9598</v>
      </c>
      <c r="E7912" s="30" t="s">
        <v>16699</v>
      </c>
      <c r="F7912" s="34" t="n">
        <f aca="false">IFERROR(VLOOKUP($A7912,'319'!$B:$H,7,0),0)</f>
        <v>0</v>
      </c>
      <c r="G7912" s="34" t="n">
        <f aca="false">SUMIFS('12.326ana'!$C:$C,'12.326ana'!$M:$M,redes!A7912)</f>
        <v>0</v>
      </c>
    </row>
    <row r="7913" customFormat="false" ht="14.4" hidden="true" customHeight="false" outlineLevel="0" collapsed="false">
      <c r="A7913" s="34" t="n">
        <v>3647476000107</v>
      </c>
      <c r="B7913" s="34" t="s">
        <v>16700</v>
      </c>
      <c r="C7913" s="34" t="s">
        <v>207</v>
      </c>
      <c r="E7913" s="30" t="s">
        <v>16701</v>
      </c>
      <c r="F7913" s="34" t="n">
        <f aca="false">IFERROR(VLOOKUP($A7913,'319'!$B:$H,7,0),0)</f>
        <v>0</v>
      </c>
      <c r="G7913" s="34" t="n">
        <f aca="false">SUMIFS('12.326ana'!$C:$C,'12.326ana'!$M:$M,redes!A7913)</f>
        <v>0</v>
      </c>
    </row>
    <row r="7914" customFormat="false" ht="14.4" hidden="true" customHeight="false" outlineLevel="0" collapsed="false">
      <c r="A7914" s="34" t="n">
        <v>3647492000108</v>
      </c>
      <c r="B7914" s="34" t="s">
        <v>16702</v>
      </c>
      <c r="C7914" s="34" t="s">
        <v>296</v>
      </c>
      <c r="E7914" s="30" t="s">
        <v>5149</v>
      </c>
      <c r="F7914" s="34" t="n">
        <f aca="false">IFERROR(VLOOKUP($A7914,'319'!$B:$H,7,0),0)</f>
        <v>0</v>
      </c>
      <c r="G7914" s="34" t="n">
        <f aca="false">SUMIFS('12.326ana'!$C:$C,'12.326ana'!$M:$M,redes!A7914)</f>
        <v>0</v>
      </c>
    </row>
    <row r="7915" customFormat="false" ht="14.4" hidden="true" customHeight="false" outlineLevel="0" collapsed="false">
      <c r="A7915" s="34" t="n">
        <v>3647782000143</v>
      </c>
      <c r="B7915" s="34" t="s">
        <v>16703</v>
      </c>
      <c r="C7915" s="34" t="s">
        <v>77</v>
      </c>
      <c r="E7915" s="30" t="s">
        <v>16704</v>
      </c>
      <c r="F7915" s="34" t="n">
        <f aca="false">IFERROR(VLOOKUP($A7915,'319'!$B:$H,7,0),0)</f>
        <v>0</v>
      </c>
      <c r="G7915" s="34" t="n">
        <f aca="false">SUMIFS('12.326ana'!$C:$C,'12.326ana'!$M:$M,redes!A7915)</f>
        <v>0</v>
      </c>
    </row>
    <row r="7916" customFormat="false" ht="14.4" hidden="true" customHeight="false" outlineLevel="0" collapsed="false">
      <c r="A7916" s="34" t="n">
        <v>3648781000113</v>
      </c>
      <c r="B7916" s="34" t="s">
        <v>16705</v>
      </c>
      <c r="C7916" s="34" t="s">
        <v>781</v>
      </c>
      <c r="E7916" s="30" t="s">
        <v>16706</v>
      </c>
      <c r="F7916" s="34" t="n">
        <f aca="false">IFERROR(VLOOKUP($A7916,'319'!$B:$H,7,0),0)</f>
        <v>0</v>
      </c>
      <c r="G7916" s="34" t="n">
        <f aca="false">SUMIFS('12.326ana'!$C:$C,'12.326ana'!$M:$M,redes!A7916)</f>
        <v>0</v>
      </c>
    </row>
    <row r="7917" customFormat="false" ht="14.4" hidden="true" customHeight="false" outlineLevel="0" collapsed="false">
      <c r="A7917" s="34" t="n">
        <v>3650361000171</v>
      </c>
      <c r="B7917" s="34" t="s">
        <v>16707</v>
      </c>
      <c r="C7917" s="34" t="s">
        <v>107</v>
      </c>
      <c r="D7917" s="34" t="s">
        <v>4797</v>
      </c>
      <c r="E7917" s="30"/>
      <c r="F7917" s="34" t="n">
        <f aca="false">IFERROR(VLOOKUP($A7917,'319'!$B:$H,7,0),0)</f>
        <v>0</v>
      </c>
      <c r="G7917" s="34" t="n">
        <f aca="false">SUMIFS('12.326ana'!$C:$C,'12.326ana'!$M:$M,redes!A7917)</f>
        <v>0</v>
      </c>
    </row>
    <row r="7918" customFormat="false" ht="14.4" hidden="true" customHeight="false" outlineLevel="0" collapsed="false">
      <c r="A7918" s="34" t="n">
        <v>3650669000117</v>
      </c>
      <c r="B7918" s="34" t="s">
        <v>16708</v>
      </c>
      <c r="C7918" s="34" t="s">
        <v>77</v>
      </c>
      <c r="E7918" s="30" t="s">
        <v>16709</v>
      </c>
      <c r="F7918" s="34" t="n">
        <f aca="false">IFERROR(VLOOKUP($A7918,'319'!$B:$H,7,0),0)</f>
        <v>0</v>
      </c>
      <c r="G7918" s="34" t="n">
        <f aca="false">SUMIFS('12.326ana'!$C:$C,'12.326ana'!$M:$M,redes!A7918)</f>
        <v>0</v>
      </c>
    </row>
    <row r="7919" customFormat="false" ht="14.4" hidden="true" customHeight="false" outlineLevel="0" collapsed="false">
      <c r="A7919" s="34" t="n">
        <v>3652046000183</v>
      </c>
      <c r="B7919" s="34" t="s">
        <v>16710</v>
      </c>
      <c r="C7919" s="34" t="s">
        <v>77</v>
      </c>
      <c r="E7919" s="30" t="s">
        <v>5028</v>
      </c>
      <c r="F7919" s="34" t="n">
        <f aca="false">IFERROR(VLOOKUP($A7919,'319'!$B:$H,7,0),0)</f>
        <v>0</v>
      </c>
      <c r="G7919" s="34" t="n">
        <f aca="false">SUMIFS('12.326ana'!$C:$C,'12.326ana'!$M:$M,redes!A7919)</f>
        <v>0</v>
      </c>
    </row>
    <row r="7920" customFormat="false" ht="14.4" hidden="true" customHeight="false" outlineLevel="0" collapsed="false">
      <c r="A7920" s="34" t="n">
        <v>3652272000164</v>
      </c>
      <c r="B7920" s="34" t="s">
        <v>16711</v>
      </c>
      <c r="C7920" s="34" t="s">
        <v>478</v>
      </c>
      <c r="E7920" s="30" t="s">
        <v>16712</v>
      </c>
      <c r="F7920" s="34" t="n">
        <f aca="false">IFERROR(VLOOKUP($A7920,'319'!$B:$H,7,0),0)</f>
        <v>0</v>
      </c>
      <c r="G7920" s="34" t="n">
        <f aca="false">SUMIFS('12.326ana'!$C:$C,'12.326ana'!$M:$M,redes!A7920)</f>
        <v>0</v>
      </c>
    </row>
    <row r="7921" customFormat="false" ht="14.4" hidden="true" customHeight="false" outlineLevel="0" collapsed="false">
      <c r="A7921" s="34" t="n">
        <v>3652469000101</v>
      </c>
      <c r="B7921" s="34" t="s">
        <v>7369</v>
      </c>
      <c r="C7921" s="34" t="s">
        <v>103</v>
      </c>
      <c r="E7921" s="30" t="s">
        <v>16713</v>
      </c>
      <c r="F7921" s="34" t="n">
        <f aca="false">IFERROR(VLOOKUP($A7921,'319'!$B:$H,7,0),0)</f>
        <v>0</v>
      </c>
      <c r="G7921" s="34" t="n">
        <f aca="false">SUMIFS('12.326ana'!$C:$C,'12.326ana'!$M:$M,redes!A7921)</f>
        <v>0</v>
      </c>
    </row>
    <row r="7922" customFormat="false" ht="14.4" hidden="true" customHeight="false" outlineLevel="0" collapsed="false">
      <c r="A7922" s="34" t="n">
        <v>3653015000147</v>
      </c>
      <c r="B7922" s="34" t="s">
        <v>16714</v>
      </c>
      <c r="C7922" s="34" t="s">
        <v>139</v>
      </c>
      <c r="E7922" s="30" t="s">
        <v>15261</v>
      </c>
      <c r="F7922" s="34" t="n">
        <f aca="false">IFERROR(VLOOKUP($A7922,'319'!$B:$H,7,0),0)</f>
        <v>0</v>
      </c>
      <c r="G7922" s="34" t="n">
        <f aca="false">SUMIFS('12.326ana'!$C:$C,'12.326ana'!$M:$M,redes!A7922)</f>
        <v>0</v>
      </c>
    </row>
    <row r="7923" customFormat="false" ht="14.4" hidden="true" customHeight="false" outlineLevel="0" collapsed="false">
      <c r="A7923" s="34" t="n">
        <v>3653023000193</v>
      </c>
      <c r="B7923" s="34" t="s">
        <v>16715</v>
      </c>
      <c r="C7923" s="34" t="s">
        <v>107</v>
      </c>
      <c r="E7923" s="30" t="s">
        <v>16440</v>
      </c>
      <c r="F7923" s="34" t="n">
        <f aca="false">IFERROR(VLOOKUP($A7923,'319'!$B:$H,7,0),0)</f>
        <v>0</v>
      </c>
      <c r="G7923" s="34" t="n">
        <f aca="false">SUMIFS('12.326ana'!$C:$C,'12.326ana'!$M:$M,redes!A7923)</f>
        <v>0</v>
      </c>
    </row>
    <row r="7924" customFormat="false" ht="14.4" hidden="true" customHeight="false" outlineLevel="0" collapsed="false">
      <c r="A7924" s="34" t="n">
        <v>3653847000163</v>
      </c>
      <c r="B7924" s="34" t="s">
        <v>16716</v>
      </c>
      <c r="C7924" s="34" t="s">
        <v>737</v>
      </c>
      <c r="E7924" s="30" t="s">
        <v>16717</v>
      </c>
      <c r="F7924" s="34" t="n">
        <f aca="false">IFERROR(VLOOKUP($A7924,'319'!$B:$H,7,0),0)</f>
        <v>0</v>
      </c>
      <c r="G7924" s="34" t="n">
        <f aca="false">SUMIFS('12.326ana'!$C:$C,'12.326ana'!$M:$M,redes!A7924)</f>
        <v>0</v>
      </c>
    </row>
    <row r="7925" customFormat="false" ht="14.4" hidden="true" customHeight="false" outlineLevel="0" collapsed="false">
      <c r="A7925" s="34" t="n">
        <v>3654026000141</v>
      </c>
      <c r="B7925" s="34" t="s">
        <v>16718</v>
      </c>
      <c r="C7925" s="34" t="s">
        <v>781</v>
      </c>
      <c r="E7925" s="30" t="s">
        <v>16719</v>
      </c>
      <c r="F7925" s="34" t="n">
        <f aca="false">IFERROR(VLOOKUP($A7925,'319'!$B:$H,7,0),0)</f>
        <v>0</v>
      </c>
      <c r="G7925" s="34" t="n">
        <f aca="false">SUMIFS('12.326ana'!$C:$C,'12.326ana'!$M:$M,redes!A7925)</f>
        <v>0</v>
      </c>
    </row>
    <row r="7926" customFormat="false" ht="14.4" hidden="true" customHeight="false" outlineLevel="0" collapsed="false">
      <c r="A7926" s="34" t="n">
        <v>3654819000160</v>
      </c>
      <c r="B7926" s="34" t="s">
        <v>16720</v>
      </c>
      <c r="C7926" s="34" t="s">
        <v>77</v>
      </c>
      <c r="E7926" s="30" t="s">
        <v>16721</v>
      </c>
      <c r="F7926" s="34" t="n">
        <f aca="false">IFERROR(VLOOKUP($A7926,'319'!$B:$H,7,0),0)</f>
        <v>0</v>
      </c>
      <c r="G7926" s="34" t="n">
        <f aca="false">SUMIFS('12.326ana'!$C:$C,'12.326ana'!$M:$M,redes!A7926)</f>
        <v>0</v>
      </c>
    </row>
    <row r="7927" customFormat="false" ht="14.4" hidden="true" customHeight="false" outlineLevel="0" collapsed="false">
      <c r="A7927" s="34" t="n">
        <v>3655787000118</v>
      </c>
      <c r="B7927" s="34" t="s">
        <v>16722</v>
      </c>
      <c r="C7927" s="34" t="s">
        <v>935</v>
      </c>
      <c r="E7927" s="30" t="s">
        <v>16723</v>
      </c>
      <c r="F7927" s="34" t="n">
        <f aca="false">IFERROR(VLOOKUP($A7927,'319'!$B:$H,7,0),0)</f>
        <v>0</v>
      </c>
      <c r="G7927" s="34" t="n">
        <f aca="false">SUMIFS('12.326ana'!$C:$C,'12.326ana'!$M:$M,redes!A7927)</f>
        <v>0</v>
      </c>
    </row>
    <row r="7928" customFormat="false" ht="14.4" hidden="true" customHeight="false" outlineLevel="0" collapsed="false">
      <c r="A7928" s="34" t="n">
        <v>3655914000189</v>
      </c>
      <c r="B7928" s="34" t="s">
        <v>16724</v>
      </c>
      <c r="C7928" s="34" t="s">
        <v>77</v>
      </c>
      <c r="E7928" s="30" t="s">
        <v>13293</v>
      </c>
      <c r="F7928" s="34" t="n">
        <f aca="false">IFERROR(VLOOKUP($A7928,'319'!$B:$H,7,0),0)</f>
        <v>0</v>
      </c>
      <c r="G7928" s="34" t="n">
        <f aca="false">SUMIFS('12.326ana'!$C:$C,'12.326ana'!$M:$M,redes!A7928)</f>
        <v>0</v>
      </c>
    </row>
    <row r="7929" customFormat="false" ht="14.4" hidden="true" customHeight="false" outlineLevel="0" collapsed="false">
      <c r="A7929" s="34" t="n">
        <v>3657735000180</v>
      </c>
      <c r="B7929" s="34" t="s">
        <v>16725</v>
      </c>
      <c r="C7929" s="34" t="s">
        <v>342</v>
      </c>
      <c r="E7929" s="30" t="s">
        <v>16726</v>
      </c>
      <c r="F7929" s="34" t="n">
        <f aca="false">IFERROR(VLOOKUP($A7929,'319'!$B:$H,7,0),0)</f>
        <v>0</v>
      </c>
      <c r="G7929" s="34" t="n">
        <f aca="false">SUMIFS('12.326ana'!$C:$C,'12.326ana'!$M:$M,redes!A7929)</f>
        <v>0</v>
      </c>
    </row>
    <row r="7930" customFormat="false" ht="14.4" hidden="true" customHeight="false" outlineLevel="0" collapsed="false">
      <c r="A7930" s="34" t="n">
        <v>3658490000106</v>
      </c>
      <c r="B7930" s="34" t="s">
        <v>16727</v>
      </c>
      <c r="C7930" s="34" t="s">
        <v>107</v>
      </c>
      <c r="E7930" s="30" t="s">
        <v>3733</v>
      </c>
      <c r="F7930" s="34" t="n">
        <f aca="false">IFERROR(VLOOKUP($A7930,'319'!$B:$H,7,0),0)</f>
        <v>0</v>
      </c>
      <c r="G7930" s="34" t="n">
        <f aca="false">SUMIFS('12.326ana'!$C:$C,'12.326ana'!$M:$M,redes!A7930)</f>
        <v>0</v>
      </c>
    </row>
    <row r="7931" customFormat="false" ht="14.4" hidden="true" customHeight="false" outlineLevel="0" collapsed="false">
      <c r="A7931" s="34" t="n">
        <v>3658893000155</v>
      </c>
      <c r="B7931" s="34" t="s">
        <v>16728</v>
      </c>
      <c r="C7931" s="34" t="s">
        <v>77</v>
      </c>
      <c r="E7931" s="30" t="s">
        <v>16729</v>
      </c>
      <c r="F7931" s="34" t="n">
        <f aca="false">IFERROR(VLOOKUP($A7931,'319'!$B:$H,7,0),0)</f>
        <v>0</v>
      </c>
      <c r="G7931" s="34" t="n">
        <f aca="false">SUMIFS('12.326ana'!$C:$C,'12.326ana'!$M:$M,redes!A7931)</f>
        <v>0</v>
      </c>
    </row>
    <row r="7932" customFormat="false" ht="14.4" hidden="true" customHeight="false" outlineLevel="0" collapsed="false">
      <c r="A7932" s="34" t="n">
        <v>3658935000158</v>
      </c>
      <c r="B7932" s="34" t="s">
        <v>16730</v>
      </c>
      <c r="C7932" s="34" t="s">
        <v>77</v>
      </c>
      <c r="E7932" s="30" t="s">
        <v>16731</v>
      </c>
      <c r="F7932" s="34" t="n">
        <f aca="false">IFERROR(VLOOKUP($A7932,'319'!$B:$H,7,0),0)</f>
        <v>0</v>
      </c>
      <c r="G7932" s="34" t="n">
        <f aca="false">SUMIFS('12.326ana'!$C:$C,'12.326ana'!$M:$M,redes!A7932)</f>
        <v>0</v>
      </c>
    </row>
    <row r="7933" customFormat="false" ht="14.4" hidden="true" customHeight="false" outlineLevel="0" collapsed="false">
      <c r="A7933" s="34" t="n">
        <v>3662213000177</v>
      </c>
      <c r="B7933" s="34" t="s">
        <v>16732</v>
      </c>
      <c r="C7933" s="34" t="s">
        <v>89</v>
      </c>
      <c r="E7933" s="30" t="s">
        <v>16733</v>
      </c>
      <c r="F7933" s="34" t="n">
        <f aca="false">IFERROR(VLOOKUP($A7933,'319'!$B:$H,7,0),0)</f>
        <v>0</v>
      </c>
      <c r="G7933" s="34" t="n">
        <f aca="false">SUMIFS('12.326ana'!$C:$C,'12.326ana'!$M:$M,redes!A7933)</f>
        <v>0</v>
      </c>
    </row>
    <row r="7934" customFormat="false" ht="14.4" hidden="true" customHeight="false" outlineLevel="0" collapsed="false">
      <c r="A7934" s="34" t="n">
        <v>3663817000138</v>
      </c>
      <c r="B7934" s="34" t="s">
        <v>16734</v>
      </c>
      <c r="C7934" s="34" t="s">
        <v>299</v>
      </c>
      <c r="E7934" s="30" t="s">
        <v>16735</v>
      </c>
      <c r="F7934" s="34" t="n">
        <f aca="false">IFERROR(VLOOKUP($A7934,'319'!$B:$H,7,0),0)</f>
        <v>0</v>
      </c>
      <c r="G7934" s="34" t="n">
        <f aca="false">SUMIFS('12.326ana'!$C:$C,'12.326ana'!$M:$M,redes!A7934)</f>
        <v>0</v>
      </c>
    </row>
    <row r="7935" customFormat="false" ht="14.4" hidden="true" customHeight="false" outlineLevel="0" collapsed="false">
      <c r="A7935" s="34" t="n">
        <v>3663841000177</v>
      </c>
      <c r="B7935" s="34" t="s">
        <v>16736</v>
      </c>
      <c r="C7935" s="34" t="s">
        <v>89</v>
      </c>
      <c r="E7935" s="30" t="s">
        <v>16737</v>
      </c>
      <c r="F7935" s="34" t="n">
        <f aca="false">IFERROR(VLOOKUP($A7935,'319'!$B:$H,7,0),0)</f>
        <v>0</v>
      </c>
      <c r="G7935" s="34" t="n">
        <f aca="false">SUMIFS('12.326ana'!$C:$C,'12.326ana'!$M:$M,redes!A7935)</f>
        <v>0</v>
      </c>
    </row>
    <row r="7936" customFormat="false" ht="14.4" hidden="true" customHeight="false" outlineLevel="0" collapsed="false">
      <c r="A7936" s="34" t="n">
        <v>3664495000141</v>
      </c>
      <c r="B7936" s="34" t="s">
        <v>16738</v>
      </c>
      <c r="C7936" s="34" t="s">
        <v>107</v>
      </c>
      <c r="E7936" s="30" t="s">
        <v>16739</v>
      </c>
      <c r="F7936" s="34" t="n">
        <f aca="false">IFERROR(VLOOKUP($A7936,'319'!$B:$H,7,0),0)</f>
        <v>0</v>
      </c>
      <c r="G7936" s="34" t="n">
        <f aca="false">SUMIFS('12.326ana'!$C:$C,'12.326ana'!$M:$M,redes!A7936)</f>
        <v>0</v>
      </c>
    </row>
    <row r="7937" customFormat="false" ht="14.4" hidden="true" customHeight="false" outlineLevel="0" collapsed="false">
      <c r="A7937" s="34" t="n">
        <v>3664541000102</v>
      </c>
      <c r="B7937" s="34" t="s">
        <v>16740</v>
      </c>
      <c r="C7937" s="34" t="s">
        <v>1680</v>
      </c>
      <c r="E7937" s="30" t="s">
        <v>16741</v>
      </c>
      <c r="F7937" s="34" t="n">
        <f aca="false">IFERROR(VLOOKUP($A7937,'319'!$B:$H,7,0),0)</f>
        <v>0</v>
      </c>
      <c r="G7937" s="34" t="n">
        <f aca="false">SUMIFS('12.326ana'!$C:$C,'12.326ana'!$M:$M,redes!A7937)</f>
        <v>0</v>
      </c>
    </row>
    <row r="7938" customFormat="false" ht="14.4" hidden="true" customHeight="false" outlineLevel="0" collapsed="false">
      <c r="A7938" s="34" t="n">
        <v>3665623000171</v>
      </c>
      <c r="B7938" s="34" t="s">
        <v>16742</v>
      </c>
      <c r="C7938" s="34" t="s">
        <v>77</v>
      </c>
      <c r="E7938" s="30" t="s">
        <v>16743</v>
      </c>
      <c r="F7938" s="34" t="n">
        <f aca="false">IFERROR(VLOOKUP($A7938,'319'!$B:$H,7,0),0)</f>
        <v>0</v>
      </c>
      <c r="G7938" s="34" t="n">
        <f aca="false">SUMIFS('12.326ana'!$C:$C,'12.326ana'!$M:$M,redes!A7938)</f>
        <v>0</v>
      </c>
    </row>
    <row r="7939" customFormat="false" ht="14.4" hidden="true" customHeight="false" outlineLevel="0" collapsed="false">
      <c r="A7939" s="34" t="n">
        <v>3665924000103</v>
      </c>
      <c r="B7939" s="34" t="s">
        <v>16744</v>
      </c>
      <c r="C7939" s="34" t="s">
        <v>781</v>
      </c>
      <c r="E7939" s="30" t="s">
        <v>16745</v>
      </c>
      <c r="F7939" s="34" t="n">
        <f aca="false">IFERROR(VLOOKUP($A7939,'319'!$B:$H,7,0),0)</f>
        <v>0</v>
      </c>
      <c r="G7939" s="34" t="n">
        <f aca="false">SUMIFS('12.326ana'!$C:$C,'12.326ana'!$M:$M,redes!A7939)</f>
        <v>0</v>
      </c>
    </row>
    <row r="7940" customFormat="false" ht="14.4" hidden="true" customHeight="false" outlineLevel="0" collapsed="false">
      <c r="A7940" s="34" t="n">
        <v>3666102000139</v>
      </c>
      <c r="B7940" s="34" t="s">
        <v>16746</v>
      </c>
      <c r="C7940" s="34" t="s">
        <v>197</v>
      </c>
      <c r="E7940" s="30"/>
      <c r="F7940" s="34" t="n">
        <f aca="false">IFERROR(VLOOKUP($A7940,'319'!$B:$H,7,0),0)</f>
        <v>0</v>
      </c>
      <c r="G7940" s="34" t="n">
        <f aca="false">SUMIFS('12.326ana'!$C:$C,'12.326ana'!$M:$M,redes!A7940)</f>
        <v>0</v>
      </c>
    </row>
    <row r="7941" customFormat="false" ht="14.4" hidden="true" customHeight="false" outlineLevel="0" collapsed="false">
      <c r="A7941" s="34" t="n">
        <v>3666938000133</v>
      </c>
      <c r="B7941" s="34" t="s">
        <v>16747</v>
      </c>
      <c r="C7941" s="34" t="s">
        <v>207</v>
      </c>
      <c r="E7941" s="30" t="s">
        <v>16748</v>
      </c>
      <c r="F7941" s="34" t="n">
        <f aca="false">IFERROR(VLOOKUP($A7941,'319'!$B:$H,7,0),0)</f>
        <v>0</v>
      </c>
      <c r="G7941" s="34" t="n">
        <f aca="false">SUMIFS('12.326ana'!$C:$C,'12.326ana'!$M:$M,redes!A7941)</f>
        <v>0</v>
      </c>
    </row>
    <row r="7942" customFormat="false" ht="14.4" hidden="true" customHeight="false" outlineLevel="0" collapsed="false">
      <c r="A7942" s="34" t="n">
        <v>3668691000194</v>
      </c>
      <c r="B7942" s="34" t="s">
        <v>16749</v>
      </c>
      <c r="C7942" s="34" t="s">
        <v>475</v>
      </c>
      <c r="E7942" s="30" t="s">
        <v>3474</v>
      </c>
      <c r="F7942" s="34" t="n">
        <f aca="false">IFERROR(VLOOKUP($A7942,'319'!$B:$H,7,0),0)</f>
        <v>0</v>
      </c>
      <c r="G7942" s="34" t="n">
        <f aca="false">SUMIFS('12.326ana'!$C:$C,'12.326ana'!$M:$M,redes!A7942)</f>
        <v>0</v>
      </c>
    </row>
    <row r="7943" customFormat="false" ht="14.4" hidden="true" customHeight="false" outlineLevel="0" collapsed="false">
      <c r="A7943" s="34" t="n">
        <v>3668701000191</v>
      </c>
      <c r="B7943" s="34" t="s">
        <v>16750</v>
      </c>
      <c r="C7943" s="34" t="s">
        <v>848</v>
      </c>
      <c r="E7943" s="30" t="s">
        <v>16751</v>
      </c>
      <c r="F7943" s="34" t="n">
        <f aca="false">IFERROR(VLOOKUP($A7943,'319'!$B:$H,7,0),0)</f>
        <v>0</v>
      </c>
      <c r="G7943" s="34" t="n">
        <f aca="false">SUMIFS('12.326ana'!$C:$C,'12.326ana'!$M:$M,redes!A7943)</f>
        <v>0</v>
      </c>
    </row>
    <row r="7944" customFormat="false" ht="14.4" hidden="true" customHeight="false" outlineLevel="0" collapsed="false">
      <c r="A7944" s="34" t="n">
        <v>3669142000134</v>
      </c>
      <c r="B7944" s="34" t="s">
        <v>16752</v>
      </c>
      <c r="C7944" s="34" t="s">
        <v>463</v>
      </c>
      <c r="E7944" s="30" t="s">
        <v>16753</v>
      </c>
      <c r="F7944" s="34" t="n">
        <f aca="false">IFERROR(VLOOKUP($A7944,'319'!$B:$H,7,0),0)</f>
        <v>0</v>
      </c>
      <c r="G7944" s="34" t="n">
        <f aca="false">SUMIFS('12.326ana'!$C:$C,'12.326ana'!$M:$M,redes!A7944)</f>
        <v>0</v>
      </c>
    </row>
    <row r="7945" customFormat="false" ht="14.4" hidden="true" customHeight="false" outlineLevel="0" collapsed="false">
      <c r="A7945" s="34" t="n">
        <v>3672097000177</v>
      </c>
      <c r="B7945" s="34" t="s">
        <v>16754</v>
      </c>
      <c r="C7945" s="34" t="s">
        <v>463</v>
      </c>
      <c r="E7945" s="30" t="s">
        <v>16755</v>
      </c>
      <c r="F7945" s="34" t="n">
        <f aca="false">IFERROR(VLOOKUP($A7945,'319'!$B:$H,7,0),0)</f>
        <v>0</v>
      </c>
      <c r="G7945" s="34" t="n">
        <f aca="false">SUMIFS('12.326ana'!$C:$C,'12.326ana'!$M:$M,redes!A7945)</f>
        <v>0</v>
      </c>
    </row>
    <row r="7946" customFormat="false" ht="14.4" hidden="true" customHeight="false" outlineLevel="0" collapsed="false">
      <c r="A7946" s="34" t="n">
        <v>3672619000130</v>
      </c>
      <c r="B7946" s="34" t="s">
        <v>16756</v>
      </c>
      <c r="C7946" s="34" t="s">
        <v>77</v>
      </c>
      <c r="E7946" s="30" t="s">
        <v>16757</v>
      </c>
      <c r="F7946" s="34" t="n">
        <f aca="false">IFERROR(VLOOKUP($A7946,'319'!$B:$H,7,0),0)</f>
        <v>0</v>
      </c>
      <c r="G7946" s="34" t="n">
        <f aca="false">SUMIFS('12.326ana'!$C:$C,'12.326ana'!$M:$M,redes!A7946)</f>
        <v>0</v>
      </c>
    </row>
    <row r="7947" customFormat="false" ht="14.4" hidden="true" customHeight="false" outlineLevel="0" collapsed="false">
      <c r="A7947" s="34" t="n">
        <v>3672682000177</v>
      </c>
      <c r="B7947" s="34" t="s">
        <v>16758</v>
      </c>
      <c r="C7947" s="34" t="s">
        <v>107</v>
      </c>
      <c r="E7947" s="30" t="s">
        <v>16739</v>
      </c>
      <c r="F7947" s="34" t="n">
        <f aca="false">IFERROR(VLOOKUP($A7947,'319'!$B:$H,7,0),0)</f>
        <v>0</v>
      </c>
      <c r="G7947" s="34" t="n">
        <f aca="false">SUMIFS('12.326ana'!$C:$C,'12.326ana'!$M:$M,redes!A7947)</f>
        <v>0</v>
      </c>
    </row>
    <row r="7948" customFormat="false" ht="14.4" hidden="true" customHeight="false" outlineLevel="0" collapsed="false">
      <c r="A7948" s="34" t="n">
        <v>3675544000141</v>
      </c>
      <c r="B7948" s="34" t="s">
        <v>1063</v>
      </c>
      <c r="C7948" s="34" t="s">
        <v>77</v>
      </c>
      <c r="E7948" s="30" t="s">
        <v>16759</v>
      </c>
      <c r="F7948" s="34" t="n">
        <f aca="false">IFERROR(VLOOKUP($A7948,'319'!$B:$H,7,0),0)</f>
        <v>687.06</v>
      </c>
      <c r="G7948" s="34" t="n">
        <f aca="false">SUMIFS('12.326ana'!$C:$C,'12.326ana'!$M:$M,redes!A7948)</f>
        <v>0</v>
      </c>
    </row>
    <row r="7949" customFormat="false" ht="14.4" hidden="true" customHeight="false" outlineLevel="0" collapsed="false">
      <c r="A7949" s="34" t="n">
        <v>3675544000222</v>
      </c>
      <c r="B7949" s="34" t="s">
        <v>16760</v>
      </c>
      <c r="C7949" s="34" t="s">
        <v>1680</v>
      </c>
      <c r="E7949" s="30" t="s">
        <v>16761</v>
      </c>
      <c r="F7949" s="34" t="n">
        <f aca="false">IFERROR(VLOOKUP($A7949,'319'!$B:$H,7,0),0)</f>
        <v>0</v>
      </c>
      <c r="G7949" s="34" t="n">
        <f aca="false">SUMIFS('12.326ana'!$C:$C,'12.326ana'!$M:$M,redes!A7949)</f>
        <v>0</v>
      </c>
    </row>
    <row r="7950" customFormat="false" ht="14.4" hidden="true" customHeight="false" outlineLevel="0" collapsed="false">
      <c r="A7950" s="34" t="n">
        <v>3678146000189</v>
      </c>
      <c r="B7950" s="34" t="s">
        <v>16762</v>
      </c>
      <c r="C7950" s="34" t="s">
        <v>107</v>
      </c>
      <c r="E7950" s="30" t="s">
        <v>16763</v>
      </c>
      <c r="F7950" s="34" t="n">
        <f aca="false">IFERROR(VLOOKUP($A7950,'319'!$B:$H,7,0),0)</f>
        <v>0</v>
      </c>
      <c r="G7950" s="34" t="n">
        <f aca="false">SUMIFS('12.326ana'!$C:$C,'12.326ana'!$M:$M,redes!A7950)</f>
        <v>0</v>
      </c>
    </row>
    <row r="7951" customFormat="false" ht="14.4" hidden="true" customHeight="false" outlineLevel="0" collapsed="false">
      <c r="A7951" s="34" t="n">
        <v>3678192000188</v>
      </c>
      <c r="B7951" s="34" t="s">
        <v>16764</v>
      </c>
      <c r="C7951" s="34" t="s">
        <v>2998</v>
      </c>
      <c r="E7951" s="30" t="s">
        <v>16765</v>
      </c>
      <c r="F7951" s="34" t="n">
        <f aca="false">IFERROR(VLOOKUP($A7951,'319'!$B:$H,7,0),0)</f>
        <v>0</v>
      </c>
      <c r="G7951" s="34" t="n">
        <f aca="false">SUMIFS('12.326ana'!$C:$C,'12.326ana'!$M:$M,redes!A7951)</f>
        <v>0</v>
      </c>
    </row>
    <row r="7952" customFormat="false" ht="14.4" hidden="true" customHeight="false" outlineLevel="0" collapsed="false">
      <c r="A7952" s="34" t="n">
        <v>3678619000148</v>
      </c>
      <c r="B7952" s="34" t="s">
        <v>16766</v>
      </c>
      <c r="C7952" s="34" t="s">
        <v>139</v>
      </c>
      <c r="E7952" s="30" t="s">
        <v>16767</v>
      </c>
      <c r="F7952" s="34" t="n">
        <f aca="false">IFERROR(VLOOKUP($A7952,'319'!$B:$H,7,0),0)</f>
        <v>0</v>
      </c>
      <c r="G7952" s="34" t="n">
        <f aca="false">SUMIFS('12.326ana'!$C:$C,'12.326ana'!$M:$M,redes!A7952)</f>
        <v>0</v>
      </c>
    </row>
    <row r="7953" customFormat="false" ht="14.4" hidden="true" customHeight="false" outlineLevel="0" collapsed="false">
      <c r="A7953" s="34" t="n">
        <v>3679370000195</v>
      </c>
      <c r="B7953" s="34" t="s">
        <v>16768</v>
      </c>
      <c r="C7953" s="34" t="s">
        <v>377</v>
      </c>
      <c r="E7953" s="30" t="s">
        <v>16769</v>
      </c>
      <c r="F7953" s="34" t="n">
        <f aca="false">IFERROR(VLOOKUP($A7953,'319'!$B:$H,7,0),0)</f>
        <v>0</v>
      </c>
      <c r="G7953" s="34" t="n">
        <f aca="false">SUMIFS('12.326ana'!$C:$C,'12.326ana'!$M:$M,redes!A7953)</f>
        <v>0</v>
      </c>
    </row>
    <row r="7954" customFormat="false" ht="14.4" hidden="true" customHeight="false" outlineLevel="0" collapsed="false">
      <c r="A7954" s="34" t="n">
        <v>3681176000144</v>
      </c>
      <c r="B7954" s="34" t="s">
        <v>16770</v>
      </c>
      <c r="C7954" s="34" t="s">
        <v>809</v>
      </c>
      <c r="E7954" s="30" t="s">
        <v>16771</v>
      </c>
      <c r="F7954" s="34" t="n">
        <f aca="false">IFERROR(VLOOKUP($A7954,'319'!$B:$H,7,0),0)</f>
        <v>0</v>
      </c>
      <c r="G7954" s="34" t="n">
        <f aca="false">SUMIFS('12.326ana'!$C:$C,'12.326ana'!$M:$M,redes!A7954)</f>
        <v>0</v>
      </c>
    </row>
    <row r="7955" customFormat="false" ht="14.4" hidden="true" customHeight="false" outlineLevel="0" collapsed="false">
      <c r="A7955" s="34" t="n">
        <v>3681263000100</v>
      </c>
      <c r="B7955" s="34" t="s">
        <v>16772</v>
      </c>
      <c r="C7955" s="34" t="s">
        <v>764</v>
      </c>
      <c r="E7955" s="30" t="s">
        <v>16773</v>
      </c>
      <c r="F7955" s="34" t="n">
        <f aca="false">IFERROR(VLOOKUP($A7955,'319'!$B:$H,7,0),0)</f>
        <v>0</v>
      </c>
      <c r="G7955" s="34" t="n">
        <f aca="false">SUMIFS('12.326ana'!$C:$C,'12.326ana'!$M:$M,redes!A7955)</f>
        <v>0</v>
      </c>
    </row>
    <row r="7956" customFormat="false" ht="14.4" hidden="true" customHeight="false" outlineLevel="0" collapsed="false">
      <c r="A7956" s="34" t="n">
        <v>3682465000168</v>
      </c>
      <c r="B7956" s="34" t="s">
        <v>16774</v>
      </c>
      <c r="C7956" s="34" t="s">
        <v>935</v>
      </c>
      <c r="E7956" s="30" t="s">
        <v>16775</v>
      </c>
      <c r="F7956" s="34" t="n">
        <f aca="false">IFERROR(VLOOKUP($A7956,'319'!$B:$H,7,0),0)</f>
        <v>0</v>
      </c>
      <c r="G7956" s="34" t="n">
        <f aca="false">SUMIFS('12.326ana'!$C:$C,'12.326ana'!$M:$M,redes!A7956)</f>
        <v>0</v>
      </c>
    </row>
    <row r="7957" customFormat="false" ht="14.4" hidden="true" customHeight="false" outlineLevel="0" collapsed="false">
      <c r="A7957" s="34" t="n">
        <v>3682770000150</v>
      </c>
      <c r="B7957" s="34" t="s">
        <v>16776</v>
      </c>
      <c r="C7957" s="34" t="s">
        <v>107</v>
      </c>
      <c r="E7957" s="30" t="s">
        <v>16777</v>
      </c>
      <c r="F7957" s="34" t="n">
        <f aca="false">IFERROR(VLOOKUP($A7957,'319'!$B:$H,7,0),0)</f>
        <v>0</v>
      </c>
      <c r="G7957" s="34" t="n">
        <f aca="false">SUMIFS('12.326ana'!$C:$C,'12.326ana'!$M:$M,redes!A7957)</f>
        <v>0</v>
      </c>
    </row>
    <row r="7958" customFormat="false" ht="14.4" hidden="true" customHeight="false" outlineLevel="0" collapsed="false">
      <c r="A7958" s="34" t="n">
        <v>3683158000100</v>
      </c>
      <c r="B7958" s="34" t="s">
        <v>16778</v>
      </c>
      <c r="C7958" s="34" t="s">
        <v>107</v>
      </c>
      <c r="E7958" s="30" t="s">
        <v>16779</v>
      </c>
      <c r="F7958" s="34" t="n">
        <f aca="false">IFERROR(VLOOKUP($A7958,'319'!$B:$H,7,0),0)</f>
        <v>0</v>
      </c>
      <c r="G7958" s="34" t="n">
        <f aca="false">SUMIFS('12.326ana'!$C:$C,'12.326ana'!$M:$M,redes!A7958)</f>
        <v>0</v>
      </c>
    </row>
    <row r="7959" customFormat="false" ht="14.4" hidden="true" customHeight="false" outlineLevel="0" collapsed="false">
      <c r="A7959" s="34" t="n">
        <v>3683981000107</v>
      </c>
      <c r="B7959" s="34" t="s">
        <v>16780</v>
      </c>
      <c r="C7959" s="34" t="s">
        <v>77</v>
      </c>
      <c r="E7959" s="30" t="s">
        <v>16781</v>
      </c>
      <c r="F7959" s="34" t="n">
        <f aca="false">IFERROR(VLOOKUP($A7959,'319'!$B:$H,7,0),0)</f>
        <v>0</v>
      </c>
      <c r="G7959" s="34" t="n">
        <f aca="false">SUMIFS('12.326ana'!$C:$C,'12.326ana'!$M:$M,redes!A7959)</f>
        <v>0</v>
      </c>
    </row>
    <row r="7960" customFormat="false" ht="14.4" hidden="true" customHeight="false" outlineLevel="0" collapsed="false">
      <c r="A7960" s="34" t="n">
        <v>3685070000119</v>
      </c>
      <c r="B7960" s="34" t="s">
        <v>16782</v>
      </c>
      <c r="C7960" s="34" t="s">
        <v>464</v>
      </c>
      <c r="E7960" s="30" t="s">
        <v>16783</v>
      </c>
      <c r="F7960" s="34" t="n">
        <f aca="false">IFERROR(VLOOKUP($A7960,'319'!$B:$H,7,0),0)</f>
        <v>0</v>
      </c>
      <c r="G7960" s="34" t="n">
        <f aca="false">SUMIFS('12.326ana'!$C:$C,'12.326ana'!$M:$M,redes!A7960)</f>
        <v>0</v>
      </c>
    </row>
    <row r="7961" customFormat="false" ht="14.4" hidden="true" customHeight="false" outlineLevel="0" collapsed="false">
      <c r="A7961" s="34" t="n">
        <v>3685639000146</v>
      </c>
      <c r="B7961" s="34" t="s">
        <v>16784</v>
      </c>
      <c r="C7961" s="34" t="s">
        <v>77</v>
      </c>
      <c r="E7961" s="30" t="s">
        <v>16785</v>
      </c>
      <c r="F7961" s="34" t="n">
        <f aca="false">IFERROR(VLOOKUP($A7961,'319'!$B:$H,7,0),0)</f>
        <v>0</v>
      </c>
      <c r="G7961" s="34" t="n">
        <f aca="false">SUMIFS('12.326ana'!$C:$C,'12.326ana'!$M:$M,redes!A7961)</f>
        <v>0</v>
      </c>
    </row>
    <row r="7962" customFormat="false" ht="14.4" hidden="true" customHeight="false" outlineLevel="0" collapsed="false">
      <c r="A7962" s="34" t="n">
        <v>3686434000185</v>
      </c>
      <c r="B7962" s="34" t="s">
        <v>16786</v>
      </c>
      <c r="C7962" s="34" t="s">
        <v>107</v>
      </c>
      <c r="E7962" s="30" t="s">
        <v>16787</v>
      </c>
      <c r="F7962" s="34" t="n">
        <f aca="false">IFERROR(VLOOKUP($A7962,'319'!$B:$H,7,0),0)</f>
        <v>0</v>
      </c>
      <c r="G7962" s="34" t="n">
        <f aca="false">SUMIFS('12.326ana'!$C:$C,'12.326ana'!$M:$M,redes!A7962)</f>
        <v>0</v>
      </c>
    </row>
    <row r="7963" customFormat="false" ht="14.4" hidden="true" customHeight="false" outlineLevel="0" collapsed="false">
      <c r="A7963" s="34" t="n">
        <v>3686434000266</v>
      </c>
      <c r="B7963" s="34" t="s">
        <v>16786</v>
      </c>
      <c r="C7963" s="34" t="s">
        <v>77</v>
      </c>
      <c r="E7963" s="30" t="s">
        <v>16788</v>
      </c>
      <c r="F7963" s="34" t="n">
        <f aca="false">IFERROR(VLOOKUP($A7963,'319'!$B:$H,7,0),0)</f>
        <v>0</v>
      </c>
      <c r="G7963" s="34" t="n">
        <f aca="false">SUMIFS('12.326ana'!$C:$C,'12.326ana'!$M:$M,redes!A7963)</f>
        <v>0</v>
      </c>
    </row>
    <row r="7964" customFormat="false" ht="14.4" hidden="true" customHeight="false" outlineLevel="0" collapsed="false">
      <c r="A7964" s="34" t="n">
        <v>3688284000149</v>
      </c>
      <c r="B7964" s="34" t="s">
        <v>16789</v>
      </c>
      <c r="C7964" s="34" t="s">
        <v>107</v>
      </c>
      <c r="E7964" s="30" t="s">
        <v>16790</v>
      </c>
      <c r="F7964" s="34" t="n">
        <f aca="false">IFERROR(VLOOKUP($A7964,'319'!$B:$H,7,0),0)</f>
        <v>0</v>
      </c>
      <c r="G7964" s="34" t="n">
        <f aca="false">SUMIFS('12.326ana'!$C:$C,'12.326ana'!$M:$M,redes!A7964)</f>
        <v>0</v>
      </c>
    </row>
    <row r="7965" customFormat="false" ht="14.4" hidden="true" customHeight="false" outlineLevel="0" collapsed="false">
      <c r="A7965" s="34" t="n">
        <v>3692043000173</v>
      </c>
      <c r="B7965" s="34" t="s">
        <v>16791</v>
      </c>
      <c r="C7965" s="34" t="s">
        <v>848</v>
      </c>
      <c r="E7965" s="30" t="s">
        <v>16792</v>
      </c>
      <c r="F7965" s="34" t="n">
        <f aca="false">IFERROR(VLOOKUP($A7965,'319'!$B:$H,7,0),0)</f>
        <v>0</v>
      </c>
      <c r="G7965" s="34" t="n">
        <f aca="false">SUMIFS('12.326ana'!$C:$C,'12.326ana'!$M:$M,redes!A7965)</f>
        <v>0</v>
      </c>
    </row>
    <row r="7966" customFormat="false" ht="14.4" hidden="true" customHeight="false" outlineLevel="0" collapsed="false">
      <c r="A7966" s="34" t="n">
        <v>3693359000180</v>
      </c>
      <c r="B7966" s="34" t="s">
        <v>16793</v>
      </c>
      <c r="C7966" s="34" t="s">
        <v>77</v>
      </c>
      <c r="E7966" s="30" t="s">
        <v>16794</v>
      </c>
      <c r="F7966" s="34" t="n">
        <f aca="false">IFERROR(VLOOKUP($A7966,'319'!$B:$H,7,0),0)</f>
        <v>0</v>
      </c>
      <c r="G7966" s="34" t="n">
        <f aca="false">SUMIFS('12.326ana'!$C:$C,'12.326ana'!$M:$M,redes!A7966)</f>
        <v>0</v>
      </c>
    </row>
    <row r="7967" customFormat="false" ht="14.4" hidden="true" customHeight="false" outlineLevel="0" collapsed="false">
      <c r="A7967" s="34" t="n">
        <v>3694667000120</v>
      </c>
      <c r="B7967" s="34" t="s">
        <v>16795</v>
      </c>
      <c r="C7967" s="34" t="s">
        <v>77</v>
      </c>
      <c r="E7967" s="30" t="s">
        <v>16796</v>
      </c>
      <c r="F7967" s="34" t="n">
        <f aca="false">IFERROR(VLOOKUP($A7967,'319'!$B:$H,7,0),0)</f>
        <v>0</v>
      </c>
      <c r="G7967" s="34" t="n">
        <f aca="false">SUMIFS('12.326ana'!$C:$C,'12.326ana'!$M:$M,redes!A7967)</f>
        <v>0</v>
      </c>
    </row>
    <row r="7968" customFormat="false" ht="14.4" hidden="true" customHeight="false" outlineLevel="0" collapsed="false">
      <c r="A7968" s="34" t="n">
        <v>3694791000195</v>
      </c>
      <c r="B7968" s="34" t="s">
        <v>16797</v>
      </c>
      <c r="C7968" s="34" t="s">
        <v>598</v>
      </c>
      <c r="D7968" s="34" t="s">
        <v>5602</v>
      </c>
      <c r="E7968" s="30" t="s">
        <v>16798</v>
      </c>
      <c r="F7968" s="34" t="n">
        <f aca="false">IFERROR(VLOOKUP($A7968,'319'!$B:$H,7,0),0)</f>
        <v>0</v>
      </c>
      <c r="G7968" s="34" t="n">
        <f aca="false">SUMIFS('12.326ana'!$C:$C,'12.326ana'!$M:$M,redes!A7968)</f>
        <v>0</v>
      </c>
    </row>
    <row r="7969" customFormat="false" ht="14.4" hidden="true" customHeight="false" outlineLevel="0" collapsed="false">
      <c r="A7969" s="34" t="n">
        <v>3697346000189</v>
      </c>
      <c r="B7969" s="34" t="s">
        <v>16799</v>
      </c>
      <c r="C7969" s="34" t="s">
        <v>764</v>
      </c>
      <c r="E7969" s="30" t="s">
        <v>16800</v>
      </c>
      <c r="F7969" s="34" t="n">
        <f aca="false">IFERROR(VLOOKUP($A7969,'319'!$B:$H,7,0),0)</f>
        <v>0</v>
      </c>
      <c r="G7969" s="34" t="n">
        <f aca="false">SUMIFS('12.326ana'!$C:$C,'12.326ana'!$M:$M,redes!A7969)</f>
        <v>0</v>
      </c>
    </row>
    <row r="7970" customFormat="false" ht="14.4" hidden="true" customHeight="false" outlineLevel="0" collapsed="false">
      <c r="A7970" s="34" t="n">
        <v>3697845000176</v>
      </c>
      <c r="B7970" s="34" t="s">
        <v>16801</v>
      </c>
      <c r="C7970" s="34" t="s">
        <v>464</v>
      </c>
      <c r="E7970" s="30" t="s">
        <v>16802</v>
      </c>
      <c r="F7970" s="34" t="n">
        <f aca="false">IFERROR(VLOOKUP($A7970,'319'!$B:$H,7,0),0)</f>
        <v>0</v>
      </c>
      <c r="G7970" s="34" t="n">
        <f aca="false">SUMIFS('12.326ana'!$C:$C,'12.326ana'!$M:$M,redes!A7970)</f>
        <v>0</v>
      </c>
    </row>
    <row r="7971" customFormat="false" ht="14.4" hidden="true" customHeight="false" outlineLevel="0" collapsed="false">
      <c r="A7971" s="34" t="n">
        <v>3697865000147</v>
      </c>
      <c r="B7971" s="34" t="s">
        <v>16803</v>
      </c>
      <c r="C7971" s="34" t="s">
        <v>77</v>
      </c>
      <c r="E7971" s="30" t="s">
        <v>16804</v>
      </c>
      <c r="F7971" s="34" t="n">
        <f aca="false">IFERROR(VLOOKUP($A7971,'319'!$B:$H,7,0),0)</f>
        <v>0</v>
      </c>
      <c r="G7971" s="34" t="n">
        <f aca="false">SUMIFS('12.326ana'!$C:$C,'12.326ana'!$M:$M,redes!A7971)</f>
        <v>0</v>
      </c>
    </row>
    <row r="7972" customFormat="false" ht="14.4" hidden="true" customHeight="false" outlineLevel="0" collapsed="false">
      <c r="A7972" s="34" t="n">
        <v>3699530000168</v>
      </c>
      <c r="B7972" s="34" t="s">
        <v>16805</v>
      </c>
      <c r="C7972" s="34" t="s">
        <v>103</v>
      </c>
      <c r="E7972" s="30" t="s">
        <v>16806</v>
      </c>
      <c r="F7972" s="34" t="n">
        <f aca="false">IFERROR(VLOOKUP($A7972,'319'!$B:$H,7,0),0)</f>
        <v>0</v>
      </c>
      <c r="G7972" s="34" t="n">
        <f aca="false">SUMIFS('12.326ana'!$C:$C,'12.326ana'!$M:$M,redes!A7972)</f>
        <v>0</v>
      </c>
    </row>
    <row r="7973" customFormat="false" ht="14.4" hidden="true" customHeight="false" outlineLevel="0" collapsed="false">
      <c r="A7973" s="34" t="n">
        <v>3700582000107</v>
      </c>
      <c r="B7973" s="34" t="s">
        <v>16807</v>
      </c>
      <c r="C7973" s="34" t="s">
        <v>713</v>
      </c>
      <c r="E7973" s="30" t="s">
        <v>16808</v>
      </c>
      <c r="F7973" s="34" t="n">
        <f aca="false">IFERROR(VLOOKUP($A7973,'319'!$B:$H,7,0),0)</f>
        <v>0</v>
      </c>
      <c r="G7973" s="34" t="n">
        <f aca="false">SUMIFS('12.326ana'!$C:$C,'12.326ana'!$M:$M,redes!A7973)</f>
        <v>0</v>
      </c>
    </row>
    <row r="7974" customFormat="false" ht="14.4" hidden="true" customHeight="false" outlineLevel="0" collapsed="false">
      <c r="A7974" s="34" t="n">
        <v>3702958000112</v>
      </c>
      <c r="B7974" s="34" t="s">
        <v>16809</v>
      </c>
      <c r="C7974" s="34" t="s">
        <v>475</v>
      </c>
      <c r="E7974" s="30" t="s">
        <v>16810</v>
      </c>
      <c r="F7974" s="34" t="n">
        <f aca="false">IFERROR(VLOOKUP($A7974,'319'!$B:$H,7,0),0)</f>
        <v>0</v>
      </c>
      <c r="G7974" s="34" t="n">
        <f aca="false">SUMIFS('12.326ana'!$C:$C,'12.326ana'!$M:$M,redes!A7974)</f>
        <v>0</v>
      </c>
    </row>
    <row r="7975" customFormat="false" ht="14.4" hidden="true" customHeight="false" outlineLevel="0" collapsed="false">
      <c r="A7975" s="34" t="n">
        <v>3703142000103</v>
      </c>
      <c r="B7975" s="34" t="s">
        <v>16811</v>
      </c>
      <c r="C7975" s="34" t="s">
        <v>77</v>
      </c>
      <c r="E7975" s="30" t="s">
        <v>16812</v>
      </c>
      <c r="F7975" s="34" t="n">
        <f aca="false">IFERROR(VLOOKUP($A7975,'319'!$B:$H,7,0),0)</f>
        <v>0</v>
      </c>
      <c r="G7975" s="34" t="n">
        <f aca="false">SUMIFS('12.326ana'!$C:$C,'12.326ana'!$M:$M,redes!A7975)</f>
        <v>0</v>
      </c>
    </row>
    <row r="7976" customFormat="false" ht="14.4" hidden="true" customHeight="false" outlineLevel="0" collapsed="false">
      <c r="A7976" s="34" t="n">
        <v>3704541000199</v>
      </c>
      <c r="B7976" s="34" t="s">
        <v>16813</v>
      </c>
      <c r="C7976" s="34" t="s">
        <v>77</v>
      </c>
      <c r="E7976" s="30" t="s">
        <v>16814</v>
      </c>
      <c r="F7976" s="34" t="n">
        <f aca="false">IFERROR(VLOOKUP($A7976,'319'!$B:$H,7,0),0)</f>
        <v>0</v>
      </c>
      <c r="G7976" s="34" t="n">
        <f aca="false">SUMIFS('12.326ana'!$C:$C,'12.326ana'!$M:$M,redes!A7976)</f>
        <v>0</v>
      </c>
    </row>
    <row r="7977" customFormat="false" ht="14.4" hidden="true" customHeight="false" outlineLevel="0" collapsed="false">
      <c r="A7977" s="34" t="n">
        <v>3706043000185</v>
      </c>
      <c r="B7977" s="34" t="s">
        <v>16815</v>
      </c>
      <c r="C7977" s="34" t="s">
        <v>77</v>
      </c>
      <c r="E7977" s="30" t="s">
        <v>16816</v>
      </c>
      <c r="F7977" s="34" t="n">
        <f aca="false">IFERROR(VLOOKUP($A7977,'319'!$B:$H,7,0),0)</f>
        <v>0</v>
      </c>
      <c r="G7977" s="34" t="n">
        <f aca="false">SUMIFS('12.326ana'!$C:$C,'12.326ana'!$M:$M,redes!A7977)</f>
        <v>0</v>
      </c>
    </row>
    <row r="7978" customFormat="false" ht="14.4" hidden="true" customHeight="false" outlineLevel="0" collapsed="false">
      <c r="A7978" s="34" t="n">
        <v>3707643000168</v>
      </c>
      <c r="B7978" s="34" t="s">
        <v>16817</v>
      </c>
      <c r="C7978" s="34" t="s">
        <v>77</v>
      </c>
      <c r="E7978" s="30"/>
      <c r="F7978" s="34" t="n">
        <f aca="false">IFERROR(VLOOKUP($A7978,'319'!$B:$H,7,0),0)</f>
        <v>0</v>
      </c>
      <c r="G7978" s="34" t="n">
        <f aca="false">SUMIFS('12.326ana'!$C:$C,'12.326ana'!$M:$M,redes!A7978)</f>
        <v>0</v>
      </c>
    </row>
    <row r="7979" customFormat="false" ht="14.4" hidden="true" customHeight="false" outlineLevel="0" collapsed="false">
      <c r="A7979" s="34" t="n">
        <v>3708107000187</v>
      </c>
      <c r="B7979" s="34" t="s">
        <v>16818</v>
      </c>
      <c r="C7979" s="34" t="s">
        <v>357</v>
      </c>
      <c r="E7979" s="30" t="s">
        <v>16819</v>
      </c>
      <c r="F7979" s="34" t="n">
        <f aca="false">IFERROR(VLOOKUP($A7979,'319'!$B:$H,7,0),0)</f>
        <v>0</v>
      </c>
      <c r="G7979" s="34" t="n">
        <f aca="false">SUMIFS('12.326ana'!$C:$C,'12.326ana'!$M:$M,redes!A7979)</f>
        <v>0</v>
      </c>
    </row>
    <row r="7980" customFormat="false" ht="14.4" hidden="true" customHeight="false" outlineLevel="0" collapsed="false">
      <c r="A7980" s="34" t="n">
        <v>3708120000136</v>
      </c>
      <c r="B7980" s="34" t="s">
        <v>16820</v>
      </c>
      <c r="C7980" s="34" t="s">
        <v>77</v>
      </c>
      <c r="E7980" s="30" t="s">
        <v>16821</v>
      </c>
      <c r="F7980" s="34" t="n">
        <f aca="false">IFERROR(VLOOKUP($A7980,'319'!$B:$H,7,0),0)</f>
        <v>0</v>
      </c>
      <c r="G7980" s="34" t="n">
        <f aca="false">SUMIFS('12.326ana'!$C:$C,'12.326ana'!$M:$M,redes!A7980)</f>
        <v>0</v>
      </c>
    </row>
    <row r="7981" customFormat="false" ht="14.4" hidden="true" customHeight="false" outlineLevel="0" collapsed="false">
      <c r="A7981" s="34" t="n">
        <v>3708323000122</v>
      </c>
      <c r="B7981" s="34" t="s">
        <v>16822</v>
      </c>
      <c r="C7981" s="34" t="s">
        <v>77</v>
      </c>
      <c r="E7981" s="30" t="s">
        <v>16823</v>
      </c>
      <c r="F7981" s="34" t="n">
        <f aca="false">IFERROR(VLOOKUP($A7981,'319'!$B:$H,7,0),0)</f>
        <v>0</v>
      </c>
      <c r="G7981" s="34" t="n">
        <f aca="false">SUMIFS('12.326ana'!$C:$C,'12.326ana'!$M:$M,redes!A7981)</f>
        <v>0</v>
      </c>
    </row>
    <row r="7982" customFormat="false" ht="14.4" hidden="true" customHeight="false" outlineLevel="0" collapsed="false">
      <c r="A7982" s="34" t="n">
        <v>3708690000126</v>
      </c>
      <c r="B7982" s="34" t="s">
        <v>16824</v>
      </c>
      <c r="C7982" s="34" t="s">
        <v>77</v>
      </c>
      <c r="E7982" s="30" t="s">
        <v>16825</v>
      </c>
      <c r="F7982" s="34" t="n">
        <f aca="false">IFERROR(VLOOKUP($A7982,'319'!$B:$H,7,0),0)</f>
        <v>0</v>
      </c>
      <c r="G7982" s="34" t="n">
        <f aca="false">SUMIFS('12.326ana'!$C:$C,'12.326ana'!$M:$M,redes!A7982)</f>
        <v>0</v>
      </c>
    </row>
    <row r="7983" customFormat="false" ht="14.4" hidden="true" customHeight="false" outlineLevel="0" collapsed="false">
      <c r="A7983" s="34" t="n">
        <v>3710940000162</v>
      </c>
      <c r="B7983" s="34" t="s">
        <v>16826</v>
      </c>
      <c r="C7983" s="34" t="s">
        <v>463</v>
      </c>
      <c r="E7983" s="30" t="s">
        <v>16827</v>
      </c>
      <c r="F7983" s="34" t="n">
        <f aca="false">IFERROR(VLOOKUP($A7983,'319'!$B:$H,7,0),0)</f>
        <v>0</v>
      </c>
      <c r="G7983" s="34" t="n">
        <f aca="false">SUMIFS('12.326ana'!$C:$C,'12.326ana'!$M:$M,redes!A7983)</f>
        <v>0</v>
      </c>
    </row>
    <row r="7984" customFormat="false" ht="14.4" hidden="true" customHeight="false" outlineLevel="0" collapsed="false">
      <c r="A7984" s="34" t="n">
        <v>3713856000100</v>
      </c>
      <c r="B7984" s="34" t="s">
        <v>16828</v>
      </c>
      <c r="C7984" s="34" t="s">
        <v>77</v>
      </c>
      <c r="E7984" s="30" t="s">
        <v>4276</v>
      </c>
      <c r="F7984" s="34" t="n">
        <f aca="false">IFERROR(VLOOKUP($A7984,'319'!$B:$H,7,0),0)</f>
        <v>0</v>
      </c>
      <c r="G7984" s="34" t="n">
        <f aca="false">SUMIFS('12.326ana'!$C:$C,'12.326ana'!$M:$M,redes!A7984)</f>
        <v>0</v>
      </c>
    </row>
    <row r="7985" customFormat="false" ht="14.4" hidden="true" customHeight="false" outlineLevel="0" collapsed="false">
      <c r="A7985" s="34" t="n">
        <v>3714057000140</v>
      </c>
      <c r="B7985" s="34" t="s">
        <v>16829</v>
      </c>
      <c r="C7985" s="34" t="s">
        <v>357</v>
      </c>
      <c r="D7985" s="34" t="s">
        <v>5602</v>
      </c>
      <c r="E7985" s="30" t="s">
        <v>16830</v>
      </c>
      <c r="F7985" s="34" t="n">
        <f aca="false">IFERROR(VLOOKUP($A7985,'319'!$B:$H,7,0),0)</f>
        <v>0</v>
      </c>
      <c r="G7985" s="34" t="n">
        <f aca="false">SUMIFS('12.326ana'!$C:$C,'12.326ana'!$M:$M,redes!A7985)</f>
        <v>0</v>
      </c>
    </row>
    <row r="7986" customFormat="false" ht="14.4" hidden="true" customHeight="false" outlineLevel="0" collapsed="false">
      <c r="A7986" s="34" t="n">
        <v>3716921000143</v>
      </c>
      <c r="B7986" s="34" t="s">
        <v>16831</v>
      </c>
      <c r="C7986" s="34" t="s">
        <v>77</v>
      </c>
      <c r="E7986" s="30" t="s">
        <v>16832</v>
      </c>
      <c r="F7986" s="34" t="n">
        <f aca="false">IFERROR(VLOOKUP($A7986,'319'!$B:$H,7,0),0)</f>
        <v>0</v>
      </c>
      <c r="G7986" s="34" t="n">
        <f aca="false">SUMIFS('12.326ana'!$C:$C,'12.326ana'!$M:$M,redes!A7986)</f>
        <v>0</v>
      </c>
    </row>
    <row r="7987" customFormat="false" ht="14.4" hidden="true" customHeight="false" outlineLevel="0" collapsed="false">
      <c r="A7987" s="34" t="n">
        <v>3717078000110</v>
      </c>
      <c r="B7987" s="34" t="s">
        <v>16833</v>
      </c>
      <c r="C7987" s="34" t="s">
        <v>1680</v>
      </c>
      <c r="E7987" s="30" t="s">
        <v>16834</v>
      </c>
      <c r="F7987" s="34" t="n">
        <f aca="false">IFERROR(VLOOKUP($A7987,'319'!$B:$H,7,0),0)</f>
        <v>0</v>
      </c>
      <c r="G7987" s="34" t="n">
        <f aca="false">SUMIFS('12.326ana'!$C:$C,'12.326ana'!$M:$M,redes!A7987)</f>
        <v>0</v>
      </c>
    </row>
    <row r="7988" customFormat="false" ht="14.4" hidden="true" customHeight="false" outlineLevel="0" collapsed="false">
      <c r="A7988" s="34" t="n">
        <v>3717087000100</v>
      </c>
      <c r="B7988" s="34" t="s">
        <v>16835</v>
      </c>
      <c r="C7988" s="34" t="s">
        <v>1680</v>
      </c>
      <c r="E7988" s="30" t="s">
        <v>16836</v>
      </c>
      <c r="F7988" s="34" t="n">
        <f aca="false">IFERROR(VLOOKUP($A7988,'319'!$B:$H,7,0),0)</f>
        <v>0</v>
      </c>
      <c r="G7988" s="34" t="n">
        <f aca="false">SUMIFS('12.326ana'!$C:$C,'12.326ana'!$M:$M,redes!A7988)</f>
        <v>0</v>
      </c>
    </row>
    <row r="7989" customFormat="false" ht="14.4" hidden="true" customHeight="false" outlineLevel="0" collapsed="false">
      <c r="A7989" s="34" t="n">
        <v>3720433000100</v>
      </c>
      <c r="B7989" s="34" t="s">
        <v>16837</v>
      </c>
      <c r="C7989" s="34" t="s">
        <v>77</v>
      </c>
      <c r="E7989" s="30" t="s">
        <v>4674</v>
      </c>
      <c r="F7989" s="34" t="n">
        <f aca="false">IFERROR(VLOOKUP($A7989,'319'!$B:$H,7,0),0)</f>
        <v>0</v>
      </c>
      <c r="G7989" s="34" t="n">
        <f aca="false">SUMIFS('12.326ana'!$C:$C,'12.326ana'!$M:$M,redes!A7989)</f>
        <v>0</v>
      </c>
    </row>
    <row r="7990" customFormat="false" ht="14.4" hidden="true" customHeight="false" outlineLevel="0" collapsed="false">
      <c r="A7990" s="34" t="n">
        <v>3722342000103</v>
      </c>
      <c r="B7990" s="34" t="s">
        <v>16838</v>
      </c>
      <c r="C7990" s="34" t="s">
        <v>77</v>
      </c>
      <c r="E7990" s="30" t="s">
        <v>16839</v>
      </c>
      <c r="F7990" s="34" t="n">
        <f aca="false">IFERROR(VLOOKUP($A7990,'319'!$B:$H,7,0),0)</f>
        <v>0</v>
      </c>
      <c r="G7990" s="34" t="n">
        <f aca="false">SUMIFS('12.326ana'!$C:$C,'12.326ana'!$M:$M,redes!A7990)</f>
        <v>0</v>
      </c>
    </row>
    <row r="7991" customFormat="false" ht="14.4" hidden="true" customHeight="false" outlineLevel="0" collapsed="false">
      <c r="A7991" s="34" t="n">
        <v>3722630000168</v>
      </c>
      <c r="B7991" s="34" t="s">
        <v>16840</v>
      </c>
      <c r="C7991" s="34" t="s">
        <v>77</v>
      </c>
      <c r="E7991" s="30"/>
      <c r="F7991" s="34" t="n">
        <f aca="false">IFERROR(VLOOKUP($A7991,'319'!$B:$H,7,0),0)</f>
        <v>0</v>
      </c>
      <c r="G7991" s="34" t="n">
        <f aca="false">SUMIFS('12.326ana'!$C:$C,'12.326ana'!$M:$M,redes!A7991)</f>
        <v>0</v>
      </c>
    </row>
    <row r="7992" customFormat="false" ht="14.4" hidden="true" customHeight="false" outlineLevel="0" collapsed="false">
      <c r="A7992" s="34" t="n">
        <v>3722944000241</v>
      </c>
      <c r="B7992" s="34" t="s">
        <v>16841</v>
      </c>
      <c r="C7992" s="34" t="s">
        <v>296</v>
      </c>
      <c r="E7992" s="30" t="s">
        <v>16842</v>
      </c>
      <c r="F7992" s="34" t="n">
        <f aca="false">IFERROR(VLOOKUP($A7992,'319'!$B:$H,7,0),0)</f>
        <v>0</v>
      </c>
      <c r="G7992" s="34" t="n">
        <f aca="false">SUMIFS('12.326ana'!$C:$C,'12.326ana'!$M:$M,redes!A7992)</f>
        <v>0</v>
      </c>
    </row>
    <row r="7993" customFormat="false" ht="14.4" hidden="true" customHeight="false" outlineLevel="0" collapsed="false">
      <c r="A7993" s="34" t="n">
        <v>3723375000178</v>
      </c>
      <c r="B7993" s="34" t="s">
        <v>16843</v>
      </c>
      <c r="C7993" s="34" t="s">
        <v>357</v>
      </c>
      <c r="E7993" s="30" t="s">
        <v>16844</v>
      </c>
      <c r="F7993" s="34" t="n">
        <f aca="false">IFERROR(VLOOKUP($A7993,'319'!$B:$H,7,0),0)</f>
        <v>2723.98</v>
      </c>
      <c r="G7993" s="34" t="n">
        <f aca="false">SUMIFS('12.326ana'!$C:$C,'12.326ana'!$M:$M,redes!A7993)</f>
        <v>0</v>
      </c>
    </row>
    <row r="7994" customFormat="false" ht="14.4" hidden="true" customHeight="false" outlineLevel="0" collapsed="false">
      <c r="A7994" s="34" t="n">
        <v>3723375000259</v>
      </c>
      <c r="B7994" s="34" t="s">
        <v>16845</v>
      </c>
      <c r="C7994" s="34" t="s">
        <v>357</v>
      </c>
      <c r="E7994" s="30" t="s">
        <v>16846</v>
      </c>
      <c r="F7994" s="34" t="n">
        <f aca="false">IFERROR(VLOOKUP($A7994,'319'!$B:$H,7,0),0)</f>
        <v>0</v>
      </c>
      <c r="G7994" s="34" t="n">
        <f aca="false">SUMIFS('12.326ana'!$C:$C,'12.326ana'!$M:$M,redes!A7994)</f>
        <v>0</v>
      </c>
    </row>
    <row r="7995" customFormat="false" ht="14.4" hidden="true" customHeight="false" outlineLevel="0" collapsed="false">
      <c r="A7995" s="34" t="n">
        <v>3723471000116</v>
      </c>
      <c r="B7995" s="34" t="s">
        <v>16847</v>
      </c>
      <c r="C7995" s="34" t="s">
        <v>299</v>
      </c>
      <c r="E7995" s="30" t="s">
        <v>6533</v>
      </c>
      <c r="F7995" s="34" t="n">
        <f aca="false">IFERROR(VLOOKUP($A7995,'319'!$B:$H,7,0),0)</f>
        <v>0</v>
      </c>
      <c r="G7995" s="34" t="n">
        <f aca="false">SUMIFS('12.326ana'!$C:$C,'12.326ana'!$M:$M,redes!A7995)</f>
        <v>0</v>
      </c>
    </row>
    <row r="7996" customFormat="false" ht="14.4" hidden="true" customHeight="false" outlineLevel="0" collapsed="false">
      <c r="A7996" s="34" t="n">
        <v>3725173000165</v>
      </c>
      <c r="B7996" s="34" t="s">
        <v>16848</v>
      </c>
      <c r="C7996" s="34" t="s">
        <v>103</v>
      </c>
      <c r="E7996" s="30" t="s">
        <v>16849</v>
      </c>
      <c r="F7996" s="34" t="n">
        <f aca="false">IFERROR(VLOOKUP($A7996,'319'!$B:$H,7,0),0)</f>
        <v>0</v>
      </c>
      <c r="G7996" s="34" t="n">
        <f aca="false">SUMIFS('12.326ana'!$C:$C,'12.326ana'!$M:$M,redes!A7996)</f>
        <v>0</v>
      </c>
    </row>
    <row r="7997" customFormat="false" ht="14.4" hidden="true" customHeight="false" outlineLevel="0" collapsed="false">
      <c r="A7997" s="34" t="n">
        <v>3725311000106</v>
      </c>
      <c r="B7997" s="34" t="s">
        <v>16850</v>
      </c>
      <c r="C7997" s="34" t="s">
        <v>77</v>
      </c>
      <c r="D7997" s="34" t="s">
        <v>3324</v>
      </c>
      <c r="E7997" s="30" t="s">
        <v>16851</v>
      </c>
      <c r="F7997" s="34" t="n">
        <f aca="false">IFERROR(VLOOKUP($A7997,'319'!$B:$H,7,0),0)</f>
        <v>0</v>
      </c>
      <c r="G7997" s="34" t="n">
        <f aca="false">SUMIFS('12.326ana'!$C:$C,'12.326ana'!$M:$M,redes!A7997)</f>
        <v>0</v>
      </c>
    </row>
    <row r="7998" customFormat="false" ht="14.4" hidden="true" customHeight="false" outlineLevel="0" collapsed="false">
      <c r="A7998" s="34" t="n">
        <v>3725764000132</v>
      </c>
      <c r="B7998" s="34" t="s">
        <v>16852</v>
      </c>
      <c r="C7998" s="34" t="s">
        <v>154</v>
      </c>
      <c r="E7998" s="30" t="s">
        <v>16853</v>
      </c>
      <c r="F7998" s="34" t="n">
        <f aca="false">IFERROR(VLOOKUP($A7998,'319'!$B:$H,7,0),0)</f>
        <v>0</v>
      </c>
      <c r="G7998" s="34" t="n">
        <f aca="false">SUMIFS('12.326ana'!$C:$C,'12.326ana'!$M:$M,redes!A7998)</f>
        <v>0</v>
      </c>
    </row>
    <row r="7999" customFormat="false" ht="14.4" hidden="true" customHeight="false" outlineLevel="0" collapsed="false">
      <c r="A7999" s="34" t="n">
        <v>3728272000109</v>
      </c>
      <c r="B7999" s="34" t="s">
        <v>16854</v>
      </c>
      <c r="C7999" s="34" t="s">
        <v>77</v>
      </c>
      <c r="E7999" s="30" t="s">
        <v>16855</v>
      </c>
      <c r="F7999" s="34" t="n">
        <f aca="false">IFERROR(VLOOKUP($A7999,'319'!$B:$H,7,0),0)</f>
        <v>0</v>
      </c>
      <c r="G7999" s="34" t="n">
        <f aca="false">SUMIFS('12.326ana'!$C:$C,'12.326ana'!$M:$M,redes!A7999)</f>
        <v>0</v>
      </c>
    </row>
    <row r="8000" customFormat="false" ht="14.4" hidden="true" customHeight="false" outlineLevel="0" collapsed="false">
      <c r="A8000" s="34" t="n">
        <v>3728322000140</v>
      </c>
      <c r="B8000" s="34" t="s">
        <v>16856</v>
      </c>
      <c r="C8000" s="34" t="s">
        <v>464</v>
      </c>
      <c r="E8000" s="30" t="s">
        <v>16857</v>
      </c>
      <c r="F8000" s="34" t="n">
        <f aca="false">IFERROR(VLOOKUP($A8000,'319'!$B:$H,7,0),0)</f>
        <v>0</v>
      </c>
      <c r="G8000" s="34" t="n">
        <f aca="false">SUMIFS('12.326ana'!$C:$C,'12.326ana'!$M:$M,redes!A8000)</f>
        <v>0</v>
      </c>
    </row>
    <row r="8001" customFormat="false" ht="14.4" hidden="true" customHeight="false" outlineLevel="0" collapsed="false">
      <c r="A8001" s="34" t="n">
        <v>3728733000216</v>
      </c>
      <c r="B8001" s="34" t="s">
        <v>16858</v>
      </c>
      <c r="C8001" s="34" t="s">
        <v>77</v>
      </c>
      <c r="E8001" s="30" t="s">
        <v>16859</v>
      </c>
      <c r="F8001" s="34" t="n">
        <f aca="false">IFERROR(VLOOKUP($A8001,'319'!$B:$H,7,0),0)</f>
        <v>0</v>
      </c>
      <c r="G8001" s="34" t="n">
        <f aca="false">SUMIFS('12.326ana'!$C:$C,'12.326ana'!$M:$M,redes!A8001)</f>
        <v>0</v>
      </c>
    </row>
    <row r="8002" customFormat="false" ht="14.4" hidden="true" customHeight="false" outlineLevel="0" collapsed="false">
      <c r="A8002" s="34" t="n">
        <v>3731151000108</v>
      </c>
      <c r="B8002" s="34" t="s">
        <v>16860</v>
      </c>
      <c r="C8002" s="34" t="s">
        <v>464</v>
      </c>
      <c r="E8002" s="30" t="s">
        <v>16861</v>
      </c>
      <c r="F8002" s="34" t="n">
        <f aca="false">IFERROR(VLOOKUP($A8002,'319'!$B:$H,7,0),0)</f>
        <v>0</v>
      </c>
      <c r="G8002" s="34" t="n">
        <f aca="false">SUMIFS('12.326ana'!$C:$C,'12.326ana'!$M:$M,redes!A8002)</f>
        <v>0</v>
      </c>
    </row>
    <row r="8003" customFormat="false" ht="14.4" hidden="true" customHeight="false" outlineLevel="0" collapsed="false">
      <c r="A8003" s="34" t="n">
        <v>3732575000197</v>
      </c>
      <c r="B8003" s="34" t="s">
        <v>16862</v>
      </c>
      <c r="C8003" s="34" t="s">
        <v>77</v>
      </c>
      <c r="E8003" s="30" t="s">
        <v>3807</v>
      </c>
      <c r="F8003" s="34" t="n">
        <f aca="false">IFERROR(VLOOKUP($A8003,'319'!$B:$H,7,0),0)</f>
        <v>0</v>
      </c>
      <c r="G8003" s="34" t="n">
        <f aca="false">SUMIFS('12.326ana'!$C:$C,'12.326ana'!$M:$M,redes!A8003)</f>
        <v>0</v>
      </c>
    </row>
    <row r="8004" customFormat="false" ht="14.4" hidden="true" customHeight="false" outlineLevel="0" collapsed="false">
      <c r="A8004" s="34" t="n">
        <v>3732757000168</v>
      </c>
      <c r="B8004" s="34" t="s">
        <v>16863</v>
      </c>
      <c r="C8004" s="34" t="s">
        <v>77</v>
      </c>
      <c r="E8004" s="30" t="s">
        <v>16864</v>
      </c>
      <c r="F8004" s="34" t="n">
        <f aca="false">IFERROR(VLOOKUP($A8004,'319'!$B:$H,7,0),0)</f>
        <v>0</v>
      </c>
      <c r="G8004" s="34" t="n">
        <f aca="false">SUMIFS('12.326ana'!$C:$C,'12.326ana'!$M:$M,redes!A8004)</f>
        <v>0</v>
      </c>
    </row>
    <row r="8005" customFormat="false" ht="14.4" hidden="true" customHeight="false" outlineLevel="0" collapsed="false">
      <c r="A8005" s="34" t="n">
        <v>3732882000178</v>
      </c>
      <c r="B8005" s="34" t="s">
        <v>16865</v>
      </c>
      <c r="C8005" s="34" t="s">
        <v>77</v>
      </c>
      <c r="E8005" s="30" t="s">
        <v>8633</v>
      </c>
      <c r="F8005" s="34" t="n">
        <f aca="false">IFERROR(VLOOKUP($A8005,'319'!$B:$H,7,0),0)</f>
        <v>0</v>
      </c>
      <c r="G8005" s="34" t="n">
        <f aca="false">SUMIFS('12.326ana'!$C:$C,'12.326ana'!$M:$M,redes!A8005)</f>
        <v>0</v>
      </c>
    </row>
    <row r="8006" customFormat="false" ht="14.4" hidden="true" customHeight="false" outlineLevel="0" collapsed="false">
      <c r="A8006" s="34" t="n">
        <v>3734124000199</v>
      </c>
      <c r="B8006" s="34" t="s">
        <v>16866</v>
      </c>
      <c r="C8006" s="34" t="s">
        <v>309</v>
      </c>
      <c r="E8006" s="30" t="s">
        <v>6418</v>
      </c>
      <c r="F8006" s="34" t="n">
        <f aca="false">IFERROR(VLOOKUP($A8006,'319'!$B:$H,7,0),0)</f>
        <v>0</v>
      </c>
      <c r="G8006" s="34" t="n">
        <f aca="false">SUMIFS('12.326ana'!$C:$C,'12.326ana'!$M:$M,redes!A8006)</f>
        <v>0</v>
      </c>
    </row>
    <row r="8007" customFormat="false" ht="14.4" hidden="true" customHeight="false" outlineLevel="0" collapsed="false">
      <c r="A8007" s="34" t="n">
        <v>3735545000134</v>
      </c>
      <c r="B8007" s="34" t="s">
        <v>16867</v>
      </c>
      <c r="C8007" s="34" t="s">
        <v>1054</v>
      </c>
      <c r="E8007" s="30" t="s">
        <v>16868</v>
      </c>
      <c r="F8007" s="34" t="n">
        <f aca="false">IFERROR(VLOOKUP($A8007,'319'!$B:$H,7,0),0)</f>
        <v>0</v>
      </c>
      <c r="G8007" s="34" t="n">
        <f aca="false">SUMIFS('12.326ana'!$C:$C,'12.326ana'!$M:$M,redes!A8007)</f>
        <v>0</v>
      </c>
    </row>
    <row r="8008" customFormat="false" ht="14.4" hidden="true" customHeight="false" outlineLevel="0" collapsed="false">
      <c r="A8008" s="34" t="n">
        <v>3735605000119</v>
      </c>
      <c r="B8008" s="34" t="s">
        <v>16869</v>
      </c>
      <c r="C8008" s="34" t="s">
        <v>357</v>
      </c>
      <c r="D8008" s="34" t="s">
        <v>16870</v>
      </c>
      <c r="E8008" s="30" t="s">
        <v>8730</v>
      </c>
      <c r="F8008" s="34" t="n">
        <f aca="false">IFERROR(VLOOKUP($A8008,'319'!$B:$H,7,0),0)</f>
        <v>1740.75</v>
      </c>
      <c r="G8008" s="34" t="n">
        <f aca="false">SUMIFS('12.326ana'!$C:$C,'12.326ana'!$M:$M,redes!A8008)</f>
        <v>3560.87</v>
      </c>
    </row>
    <row r="8009" customFormat="false" ht="14.4" hidden="true" customHeight="false" outlineLevel="0" collapsed="false">
      <c r="A8009" s="34" t="n">
        <v>3736961000157</v>
      </c>
      <c r="B8009" s="34" t="s">
        <v>16871</v>
      </c>
      <c r="C8009" s="34" t="s">
        <v>7250</v>
      </c>
      <c r="E8009" s="30" t="s">
        <v>16872</v>
      </c>
      <c r="F8009" s="34" t="n">
        <f aca="false">IFERROR(VLOOKUP($A8009,'319'!$B:$H,7,0),0)</f>
        <v>0</v>
      </c>
      <c r="G8009" s="34" t="n">
        <f aca="false">SUMIFS('12.326ana'!$C:$C,'12.326ana'!$M:$M,redes!A8009)</f>
        <v>0</v>
      </c>
    </row>
    <row r="8010" customFormat="false" ht="14.4" hidden="true" customHeight="false" outlineLevel="0" collapsed="false">
      <c r="A8010" s="34" t="n">
        <v>3737194000109</v>
      </c>
      <c r="B8010" s="34" t="s">
        <v>16873</v>
      </c>
      <c r="C8010" s="34" t="s">
        <v>77</v>
      </c>
      <c r="E8010" s="30" t="s">
        <v>16874</v>
      </c>
      <c r="F8010" s="34" t="n">
        <f aca="false">IFERROR(VLOOKUP($A8010,'319'!$B:$H,7,0),0)</f>
        <v>0</v>
      </c>
      <c r="G8010" s="34" t="n">
        <f aca="false">SUMIFS('12.326ana'!$C:$C,'12.326ana'!$M:$M,redes!A8010)</f>
        <v>0</v>
      </c>
    </row>
    <row r="8011" customFormat="false" ht="14.4" hidden="true" customHeight="false" outlineLevel="0" collapsed="false">
      <c r="A8011" s="34" t="n">
        <v>3737374000182</v>
      </c>
      <c r="B8011" s="34" t="s">
        <v>16875</v>
      </c>
      <c r="C8011" s="34" t="s">
        <v>464</v>
      </c>
      <c r="E8011" s="30" t="s">
        <v>16876</v>
      </c>
      <c r="F8011" s="34" t="n">
        <f aca="false">IFERROR(VLOOKUP($A8011,'319'!$B:$H,7,0),0)</f>
        <v>0</v>
      </c>
      <c r="G8011" s="34" t="n">
        <f aca="false">SUMIFS('12.326ana'!$C:$C,'12.326ana'!$M:$M,redes!A8011)</f>
        <v>0</v>
      </c>
    </row>
    <row r="8012" customFormat="false" ht="14.4" hidden="true" customHeight="false" outlineLevel="0" collapsed="false">
      <c r="A8012" s="34" t="n">
        <v>3737749000104</v>
      </c>
      <c r="B8012" s="34" t="s">
        <v>16877</v>
      </c>
      <c r="C8012" s="34" t="s">
        <v>77</v>
      </c>
      <c r="E8012" s="30" t="s">
        <v>16878</v>
      </c>
      <c r="F8012" s="34" t="n">
        <f aca="false">IFERROR(VLOOKUP($A8012,'319'!$B:$H,7,0),0)</f>
        <v>0</v>
      </c>
      <c r="G8012" s="34" t="n">
        <f aca="false">SUMIFS('12.326ana'!$C:$C,'12.326ana'!$M:$M,redes!A8012)</f>
        <v>0</v>
      </c>
    </row>
    <row r="8013" customFormat="false" ht="14.4" hidden="true" customHeight="false" outlineLevel="0" collapsed="false">
      <c r="A8013" s="34" t="n">
        <v>3738861000160</v>
      </c>
      <c r="B8013" s="34" t="s">
        <v>16879</v>
      </c>
      <c r="C8013" s="34" t="s">
        <v>77</v>
      </c>
      <c r="E8013" s="30" t="s">
        <v>16880</v>
      </c>
      <c r="F8013" s="34" t="n">
        <f aca="false">IFERROR(VLOOKUP($A8013,'319'!$B:$H,7,0),0)</f>
        <v>0</v>
      </c>
      <c r="G8013" s="34" t="n">
        <f aca="false">SUMIFS('12.326ana'!$C:$C,'12.326ana'!$M:$M,redes!A8013)</f>
        <v>0</v>
      </c>
    </row>
    <row r="8014" customFormat="false" ht="14.4" hidden="true" customHeight="false" outlineLevel="0" collapsed="false">
      <c r="A8014" s="34" t="n">
        <v>3738861000240</v>
      </c>
      <c r="B8014" s="34" t="s">
        <v>16879</v>
      </c>
      <c r="C8014" s="34" t="s">
        <v>77</v>
      </c>
      <c r="E8014" s="30" t="s">
        <v>16881</v>
      </c>
      <c r="F8014" s="34" t="n">
        <f aca="false">IFERROR(VLOOKUP($A8014,'319'!$B:$H,7,0),0)</f>
        <v>0</v>
      </c>
      <c r="G8014" s="34" t="n">
        <f aca="false">SUMIFS('12.326ana'!$C:$C,'12.326ana'!$M:$M,redes!A8014)</f>
        <v>0</v>
      </c>
    </row>
    <row r="8015" customFormat="false" ht="14.4" hidden="true" customHeight="false" outlineLevel="0" collapsed="false">
      <c r="A8015" s="34" t="n">
        <v>3739013000175</v>
      </c>
      <c r="B8015" s="34" t="s">
        <v>16882</v>
      </c>
      <c r="C8015" s="34" t="s">
        <v>935</v>
      </c>
      <c r="D8015" s="34" t="s">
        <v>4797</v>
      </c>
      <c r="E8015" s="30" t="s">
        <v>8895</v>
      </c>
      <c r="F8015" s="34" t="n">
        <f aca="false">IFERROR(VLOOKUP($A8015,'319'!$B:$H,7,0),0)</f>
        <v>0</v>
      </c>
      <c r="G8015" s="34" t="n">
        <f aca="false">SUMIFS('12.326ana'!$C:$C,'12.326ana'!$M:$M,redes!A8015)</f>
        <v>0</v>
      </c>
    </row>
    <row r="8016" customFormat="false" ht="14.4" hidden="true" customHeight="false" outlineLevel="0" collapsed="false">
      <c r="A8016" s="34" t="n">
        <v>3741253000104</v>
      </c>
      <c r="B8016" s="34" t="s">
        <v>16883</v>
      </c>
      <c r="C8016" s="34" t="s">
        <v>744</v>
      </c>
      <c r="E8016" s="30" t="s">
        <v>13198</v>
      </c>
      <c r="F8016" s="34" t="n">
        <f aca="false">IFERROR(VLOOKUP($A8016,'319'!$B:$H,7,0),0)</f>
        <v>0</v>
      </c>
      <c r="G8016" s="34" t="n">
        <f aca="false">SUMIFS('12.326ana'!$C:$C,'12.326ana'!$M:$M,redes!A8016)</f>
        <v>0</v>
      </c>
    </row>
    <row r="8017" customFormat="false" ht="14.4" hidden="true" customHeight="false" outlineLevel="0" collapsed="false">
      <c r="A8017" s="34" t="n">
        <v>3742169000105</v>
      </c>
      <c r="B8017" s="34" t="s">
        <v>16884</v>
      </c>
      <c r="C8017" s="34" t="s">
        <v>1680</v>
      </c>
      <c r="E8017" s="30" t="s">
        <v>16885</v>
      </c>
      <c r="F8017" s="34" t="n">
        <f aca="false">IFERROR(VLOOKUP($A8017,'319'!$B:$H,7,0),0)</f>
        <v>0</v>
      </c>
      <c r="G8017" s="34" t="n">
        <f aca="false">SUMIFS('12.326ana'!$C:$C,'12.326ana'!$M:$M,redes!A8017)</f>
        <v>0</v>
      </c>
    </row>
    <row r="8018" customFormat="false" ht="14.4" hidden="true" customHeight="false" outlineLevel="0" collapsed="false">
      <c r="A8018" s="34" t="n">
        <v>3742183000109</v>
      </c>
      <c r="B8018" s="34" t="s">
        <v>16886</v>
      </c>
      <c r="C8018" s="34" t="s">
        <v>3594</v>
      </c>
      <c r="E8018" s="30" t="s">
        <v>16887</v>
      </c>
      <c r="F8018" s="34" t="n">
        <f aca="false">IFERROR(VLOOKUP($A8018,'319'!$B:$H,7,0),0)</f>
        <v>0</v>
      </c>
      <c r="G8018" s="34" t="n">
        <f aca="false">SUMIFS('12.326ana'!$C:$C,'12.326ana'!$M:$M,redes!A8018)</f>
        <v>0</v>
      </c>
    </row>
    <row r="8019" customFormat="false" ht="14.4" hidden="true" customHeight="false" outlineLevel="0" collapsed="false">
      <c r="A8019" s="34" t="n">
        <v>3743010000105</v>
      </c>
      <c r="B8019" s="34" t="s">
        <v>16888</v>
      </c>
      <c r="C8019" s="34" t="s">
        <v>192</v>
      </c>
      <c r="E8019" s="30"/>
      <c r="F8019" s="34" t="n">
        <f aca="false">IFERROR(VLOOKUP($A8019,'319'!$B:$H,7,0),0)</f>
        <v>0</v>
      </c>
      <c r="G8019" s="34" t="n">
        <f aca="false">SUMIFS('12.326ana'!$C:$C,'12.326ana'!$M:$M,redes!A8019)</f>
        <v>0</v>
      </c>
    </row>
    <row r="8020" customFormat="false" ht="14.4" hidden="true" customHeight="false" outlineLevel="0" collapsed="false">
      <c r="A8020" s="34" t="n">
        <v>3743507000123</v>
      </c>
      <c r="B8020" s="34" t="s">
        <v>16889</v>
      </c>
      <c r="C8020" s="34" t="s">
        <v>129</v>
      </c>
      <c r="E8020" s="30" t="s">
        <v>4626</v>
      </c>
      <c r="F8020" s="34" t="n">
        <f aca="false">IFERROR(VLOOKUP($A8020,'319'!$B:$H,7,0),0)</f>
        <v>0</v>
      </c>
      <c r="G8020" s="34" t="n">
        <f aca="false">SUMIFS('12.326ana'!$C:$C,'12.326ana'!$M:$M,redes!A8020)</f>
        <v>0</v>
      </c>
    </row>
    <row r="8021" customFormat="false" ht="14.4" hidden="true" customHeight="false" outlineLevel="0" collapsed="false">
      <c r="A8021" s="34" t="n">
        <v>3743531000162</v>
      </c>
      <c r="B8021" s="34" t="s">
        <v>16890</v>
      </c>
      <c r="C8021" s="34" t="s">
        <v>89</v>
      </c>
      <c r="E8021" s="30" t="s">
        <v>16891</v>
      </c>
      <c r="F8021" s="34" t="n">
        <f aca="false">IFERROR(VLOOKUP($A8021,'319'!$B:$H,7,0),0)</f>
        <v>0</v>
      </c>
      <c r="G8021" s="34" t="n">
        <f aca="false">SUMIFS('12.326ana'!$C:$C,'12.326ana'!$M:$M,redes!A8021)</f>
        <v>0</v>
      </c>
    </row>
    <row r="8022" customFormat="false" ht="14.4" hidden="true" customHeight="false" outlineLevel="0" collapsed="false">
      <c r="A8022" s="34" t="n">
        <v>3744274000183</v>
      </c>
      <c r="B8022" s="34" t="s">
        <v>16892</v>
      </c>
      <c r="C8022" s="34" t="s">
        <v>604</v>
      </c>
      <c r="E8022" s="30" t="s">
        <v>16893</v>
      </c>
      <c r="F8022" s="34" t="n">
        <f aca="false">IFERROR(VLOOKUP($A8022,'319'!$B:$H,7,0),0)</f>
        <v>0</v>
      </c>
      <c r="G8022" s="34" t="n">
        <f aca="false">SUMIFS('12.326ana'!$C:$C,'12.326ana'!$M:$M,redes!A8022)</f>
        <v>0</v>
      </c>
    </row>
    <row r="8023" customFormat="false" ht="14.4" hidden="true" customHeight="false" outlineLevel="0" collapsed="false">
      <c r="A8023" s="34" t="n">
        <v>3744695000104</v>
      </c>
      <c r="B8023" s="34" t="s">
        <v>16894</v>
      </c>
      <c r="C8023" s="34" t="s">
        <v>979</v>
      </c>
      <c r="E8023" s="30" t="s">
        <v>16895</v>
      </c>
      <c r="F8023" s="34" t="n">
        <f aca="false">IFERROR(VLOOKUP($A8023,'319'!$B:$H,7,0),0)</f>
        <v>0</v>
      </c>
      <c r="G8023" s="34" t="n">
        <f aca="false">SUMIFS('12.326ana'!$C:$C,'12.326ana'!$M:$M,redes!A8023)</f>
        <v>0</v>
      </c>
    </row>
    <row r="8024" customFormat="false" ht="14.4" hidden="true" customHeight="false" outlineLevel="0" collapsed="false">
      <c r="A8024" s="34" t="n">
        <v>3744927000124</v>
      </c>
      <c r="B8024" s="34" t="s">
        <v>16896</v>
      </c>
      <c r="C8024" s="34" t="s">
        <v>107</v>
      </c>
      <c r="E8024" s="30"/>
      <c r="F8024" s="34" t="n">
        <f aca="false">IFERROR(VLOOKUP($A8024,'319'!$B:$H,7,0),0)</f>
        <v>0</v>
      </c>
      <c r="G8024" s="34" t="n">
        <f aca="false">SUMIFS('12.326ana'!$C:$C,'12.326ana'!$M:$M,redes!A8024)</f>
        <v>0</v>
      </c>
    </row>
    <row r="8025" customFormat="false" ht="14.4" hidden="true" customHeight="false" outlineLevel="0" collapsed="false">
      <c r="A8025" s="34" t="n">
        <v>3745813000107</v>
      </c>
      <c r="B8025" s="34" t="s">
        <v>16897</v>
      </c>
      <c r="C8025" s="34" t="s">
        <v>139</v>
      </c>
      <c r="E8025" s="30" t="s">
        <v>16898</v>
      </c>
      <c r="F8025" s="34" t="n">
        <f aca="false">IFERROR(VLOOKUP($A8025,'319'!$B:$H,7,0),0)</f>
        <v>0</v>
      </c>
      <c r="G8025" s="34" t="n">
        <f aca="false">SUMIFS('12.326ana'!$C:$C,'12.326ana'!$M:$M,redes!A8025)</f>
        <v>0</v>
      </c>
    </row>
    <row r="8026" customFormat="false" ht="14.4" hidden="true" customHeight="false" outlineLevel="0" collapsed="false">
      <c r="A8026" s="34" t="n">
        <v>3745813000441</v>
      </c>
      <c r="B8026" s="34" t="s">
        <v>16899</v>
      </c>
      <c r="C8026" s="34" t="s">
        <v>139</v>
      </c>
      <c r="E8026" s="30" t="s">
        <v>16900</v>
      </c>
      <c r="F8026" s="34" t="n">
        <f aca="false">IFERROR(VLOOKUP($A8026,'319'!$B:$H,7,0),0)</f>
        <v>0</v>
      </c>
      <c r="G8026" s="34" t="n">
        <f aca="false">SUMIFS('12.326ana'!$C:$C,'12.326ana'!$M:$M,redes!A8026)</f>
        <v>0</v>
      </c>
    </row>
    <row r="8027" customFormat="false" ht="14.4" hidden="true" customHeight="false" outlineLevel="0" collapsed="false">
      <c r="A8027" s="34" t="n">
        <v>3747477000123</v>
      </c>
      <c r="B8027" s="34" t="s">
        <v>16901</v>
      </c>
      <c r="C8027" s="34" t="s">
        <v>77</v>
      </c>
      <c r="E8027" s="30" t="s">
        <v>3001</v>
      </c>
      <c r="F8027" s="34" t="n">
        <f aca="false">IFERROR(VLOOKUP($A8027,'319'!$B:$H,7,0),0)</f>
        <v>0</v>
      </c>
      <c r="G8027" s="34" t="n">
        <f aca="false">SUMIFS('12.326ana'!$C:$C,'12.326ana'!$M:$M,redes!A8027)</f>
        <v>0</v>
      </c>
    </row>
    <row r="8028" customFormat="false" ht="14.4" hidden="true" customHeight="false" outlineLevel="0" collapsed="false">
      <c r="A8028" s="34" t="n">
        <v>3750576000164</v>
      </c>
      <c r="B8028" s="34" t="s">
        <v>16902</v>
      </c>
      <c r="C8028" s="34" t="s">
        <v>546</v>
      </c>
      <c r="E8028" s="30" t="s">
        <v>16903</v>
      </c>
      <c r="F8028" s="34" t="n">
        <f aca="false">IFERROR(VLOOKUP($A8028,'319'!$B:$H,7,0),0)</f>
        <v>0</v>
      </c>
      <c r="G8028" s="34" t="n">
        <f aca="false">SUMIFS('12.326ana'!$C:$C,'12.326ana'!$M:$M,redes!A8028)</f>
        <v>0</v>
      </c>
    </row>
    <row r="8029" customFormat="false" ht="14.4" hidden="true" customHeight="false" outlineLevel="0" collapsed="false">
      <c r="A8029" s="34" t="n">
        <v>3753165000122</v>
      </c>
      <c r="B8029" s="34" t="s">
        <v>16904</v>
      </c>
      <c r="C8029" s="34" t="s">
        <v>342</v>
      </c>
      <c r="E8029" s="30" t="s">
        <v>16905</v>
      </c>
      <c r="F8029" s="34" t="n">
        <f aca="false">IFERROR(VLOOKUP($A8029,'319'!$B:$H,7,0),0)</f>
        <v>65.52</v>
      </c>
      <c r="G8029" s="34" t="n">
        <f aca="false">SUMIFS('12.326ana'!$C:$C,'12.326ana'!$M:$M,redes!A8029)</f>
        <v>0</v>
      </c>
    </row>
    <row r="8030" customFormat="false" ht="14.4" hidden="true" customHeight="false" outlineLevel="0" collapsed="false">
      <c r="A8030" s="34" t="n">
        <v>3753476000191</v>
      </c>
      <c r="B8030" s="34" t="s">
        <v>16906</v>
      </c>
      <c r="C8030" s="34" t="s">
        <v>77</v>
      </c>
      <c r="E8030" s="30" t="s">
        <v>16907</v>
      </c>
      <c r="F8030" s="34" t="n">
        <f aca="false">IFERROR(VLOOKUP($A8030,'319'!$B:$H,7,0),0)</f>
        <v>0</v>
      </c>
      <c r="G8030" s="34" t="n">
        <f aca="false">SUMIFS('12.326ana'!$C:$C,'12.326ana'!$M:$M,redes!A8030)</f>
        <v>0</v>
      </c>
    </row>
    <row r="8031" customFormat="false" ht="14.4" hidden="true" customHeight="false" outlineLevel="0" collapsed="false">
      <c r="A8031" s="34" t="n">
        <v>3753595000144</v>
      </c>
      <c r="B8031" s="34" t="s">
        <v>16908</v>
      </c>
      <c r="C8031" s="34" t="s">
        <v>1272</v>
      </c>
      <c r="E8031" s="30" t="s">
        <v>16909</v>
      </c>
      <c r="F8031" s="34" t="n">
        <f aca="false">IFERROR(VLOOKUP($A8031,'319'!$B:$H,7,0),0)</f>
        <v>0</v>
      </c>
      <c r="G8031" s="34" t="n">
        <f aca="false">SUMIFS('12.326ana'!$C:$C,'12.326ana'!$M:$M,redes!A8031)</f>
        <v>0</v>
      </c>
    </row>
    <row r="8032" customFormat="false" ht="14.4" hidden="true" customHeight="false" outlineLevel="0" collapsed="false">
      <c r="A8032" s="34" t="n">
        <v>3753855000181</v>
      </c>
      <c r="B8032" s="34" t="s">
        <v>16910</v>
      </c>
      <c r="C8032" s="34" t="s">
        <v>77</v>
      </c>
      <c r="E8032" s="30" t="s">
        <v>16911</v>
      </c>
      <c r="F8032" s="34" t="n">
        <f aca="false">IFERROR(VLOOKUP($A8032,'319'!$B:$H,7,0),0)</f>
        <v>0</v>
      </c>
      <c r="G8032" s="34" t="n">
        <f aca="false">SUMIFS('12.326ana'!$C:$C,'12.326ana'!$M:$M,redes!A8032)</f>
        <v>0</v>
      </c>
    </row>
    <row r="8033" customFormat="false" ht="14.4" hidden="true" customHeight="false" outlineLevel="0" collapsed="false">
      <c r="A8033" s="34" t="n">
        <v>3756331000144</v>
      </c>
      <c r="B8033" s="34" t="s">
        <v>16912</v>
      </c>
      <c r="C8033" s="34" t="s">
        <v>4139</v>
      </c>
      <c r="E8033" s="30" t="s">
        <v>11690</v>
      </c>
      <c r="F8033" s="34" t="n">
        <f aca="false">IFERROR(VLOOKUP($A8033,'319'!$B:$H,7,0),0)</f>
        <v>0</v>
      </c>
      <c r="G8033" s="34" t="n">
        <f aca="false">SUMIFS('12.326ana'!$C:$C,'12.326ana'!$M:$M,redes!A8033)</f>
        <v>0</v>
      </c>
    </row>
    <row r="8034" customFormat="false" ht="14.4" hidden="true" customHeight="false" outlineLevel="0" collapsed="false">
      <c r="A8034" s="34" t="n">
        <v>3757196000151</v>
      </c>
      <c r="B8034" s="34" t="s">
        <v>16913</v>
      </c>
      <c r="C8034" s="34" t="s">
        <v>4418</v>
      </c>
      <c r="E8034" s="30" t="s">
        <v>6748</v>
      </c>
      <c r="F8034" s="34" t="n">
        <f aca="false">IFERROR(VLOOKUP($A8034,'319'!$B:$H,7,0),0)</f>
        <v>0</v>
      </c>
      <c r="G8034" s="34" t="n">
        <f aca="false">SUMIFS('12.326ana'!$C:$C,'12.326ana'!$M:$M,redes!A8034)</f>
        <v>0</v>
      </c>
    </row>
    <row r="8035" customFormat="false" ht="14.4" hidden="true" customHeight="false" outlineLevel="0" collapsed="false">
      <c r="A8035" s="34" t="n">
        <v>3758180000163</v>
      </c>
      <c r="B8035" s="34" t="s">
        <v>16914</v>
      </c>
      <c r="C8035" s="34" t="s">
        <v>107</v>
      </c>
      <c r="E8035" s="30" t="s">
        <v>16915</v>
      </c>
      <c r="F8035" s="34" t="n">
        <f aca="false">IFERROR(VLOOKUP($A8035,'319'!$B:$H,7,0),0)</f>
        <v>0</v>
      </c>
      <c r="G8035" s="34" t="n">
        <f aca="false">SUMIFS('12.326ana'!$C:$C,'12.326ana'!$M:$M,redes!A8035)</f>
        <v>0</v>
      </c>
    </row>
    <row r="8036" customFormat="false" ht="14.4" hidden="true" customHeight="false" outlineLevel="0" collapsed="false">
      <c r="A8036" s="34" t="n">
        <v>3758644000131</v>
      </c>
      <c r="B8036" s="34" t="s">
        <v>16916</v>
      </c>
      <c r="C8036" s="34" t="s">
        <v>804</v>
      </c>
      <c r="E8036" s="30" t="s">
        <v>16917</v>
      </c>
      <c r="F8036" s="34" t="n">
        <f aca="false">IFERROR(VLOOKUP($A8036,'319'!$B:$H,7,0),0)</f>
        <v>0</v>
      </c>
      <c r="G8036" s="34" t="n">
        <f aca="false">SUMIFS('12.326ana'!$C:$C,'12.326ana'!$M:$M,redes!A8036)</f>
        <v>0</v>
      </c>
    </row>
    <row r="8037" customFormat="false" ht="14.4" hidden="true" customHeight="false" outlineLevel="0" collapsed="false">
      <c r="A8037" s="34" t="n">
        <v>3761442000149</v>
      </c>
      <c r="B8037" s="34" t="s">
        <v>16918</v>
      </c>
      <c r="C8037" s="34" t="s">
        <v>781</v>
      </c>
      <c r="E8037" s="30" t="s">
        <v>16919</v>
      </c>
      <c r="F8037" s="34" t="n">
        <f aca="false">IFERROR(VLOOKUP($A8037,'319'!$B:$H,7,0),0)</f>
        <v>0</v>
      </c>
      <c r="G8037" s="34" t="n">
        <f aca="false">SUMIFS('12.326ana'!$C:$C,'12.326ana'!$M:$M,redes!A8037)</f>
        <v>0</v>
      </c>
    </row>
    <row r="8038" customFormat="false" ht="14.4" hidden="true" customHeight="false" outlineLevel="0" collapsed="false">
      <c r="A8038" s="34" t="n">
        <v>3761495000160</v>
      </c>
      <c r="B8038" s="34" t="s">
        <v>16920</v>
      </c>
      <c r="C8038" s="34" t="s">
        <v>197</v>
      </c>
      <c r="E8038" s="30"/>
      <c r="F8038" s="34" t="n">
        <f aca="false">IFERROR(VLOOKUP($A8038,'319'!$B:$H,7,0),0)</f>
        <v>0</v>
      </c>
      <c r="G8038" s="34" t="n">
        <f aca="false">SUMIFS('12.326ana'!$C:$C,'12.326ana'!$M:$M,redes!A8038)</f>
        <v>0</v>
      </c>
    </row>
    <row r="8039" customFormat="false" ht="14.4" hidden="true" customHeight="false" outlineLevel="0" collapsed="false">
      <c r="A8039" s="34" t="n">
        <v>3762232000175</v>
      </c>
      <c r="B8039" s="34" t="s">
        <v>16921</v>
      </c>
      <c r="C8039" s="34" t="s">
        <v>77</v>
      </c>
      <c r="E8039" s="30" t="s">
        <v>4369</v>
      </c>
      <c r="F8039" s="34" t="n">
        <f aca="false">IFERROR(VLOOKUP($A8039,'319'!$B:$H,7,0),0)</f>
        <v>0</v>
      </c>
      <c r="G8039" s="34" t="n">
        <f aca="false">SUMIFS('12.326ana'!$C:$C,'12.326ana'!$M:$M,redes!A8039)</f>
        <v>0</v>
      </c>
    </row>
    <row r="8040" customFormat="false" ht="14.4" hidden="true" customHeight="false" outlineLevel="0" collapsed="false">
      <c r="A8040" s="34" t="n">
        <v>3762574000195</v>
      </c>
      <c r="B8040" s="34" t="s">
        <v>16922</v>
      </c>
      <c r="C8040" s="34" t="s">
        <v>77</v>
      </c>
      <c r="E8040" s="30" t="s">
        <v>16923</v>
      </c>
      <c r="F8040" s="34" t="n">
        <f aca="false">IFERROR(VLOOKUP($A8040,'319'!$B:$H,7,0),0)</f>
        <v>0</v>
      </c>
      <c r="G8040" s="34" t="n">
        <f aca="false">SUMIFS('12.326ana'!$C:$C,'12.326ana'!$M:$M,redes!A8040)</f>
        <v>0</v>
      </c>
    </row>
    <row r="8041" customFormat="false" ht="14.4" hidden="true" customHeight="false" outlineLevel="0" collapsed="false">
      <c r="A8041" s="34" t="n">
        <v>3766023000108</v>
      </c>
      <c r="B8041" s="34" t="s">
        <v>16924</v>
      </c>
      <c r="C8041" s="34" t="s">
        <v>77</v>
      </c>
      <c r="E8041" s="30" t="s">
        <v>16925</v>
      </c>
      <c r="F8041" s="34" t="n">
        <f aca="false">IFERROR(VLOOKUP($A8041,'319'!$B:$H,7,0),0)</f>
        <v>0</v>
      </c>
      <c r="G8041" s="34" t="n">
        <f aca="false">SUMIFS('12.326ana'!$C:$C,'12.326ana'!$M:$M,redes!A8041)</f>
        <v>0</v>
      </c>
    </row>
    <row r="8042" customFormat="false" ht="14.4" hidden="true" customHeight="false" outlineLevel="0" collapsed="false">
      <c r="A8042" s="34" t="n">
        <v>3767934000141</v>
      </c>
      <c r="B8042" s="34" t="s">
        <v>16926</v>
      </c>
      <c r="C8042" s="34" t="s">
        <v>781</v>
      </c>
      <c r="E8042" s="30" t="s">
        <v>13612</v>
      </c>
      <c r="F8042" s="34" t="n">
        <f aca="false">IFERROR(VLOOKUP($A8042,'319'!$B:$H,7,0),0)</f>
        <v>0</v>
      </c>
      <c r="G8042" s="34" t="n">
        <f aca="false">SUMIFS('12.326ana'!$C:$C,'12.326ana'!$M:$M,redes!A8042)</f>
        <v>0</v>
      </c>
    </row>
    <row r="8043" customFormat="false" ht="14.4" hidden="true" customHeight="false" outlineLevel="0" collapsed="false">
      <c r="A8043" s="34" t="n">
        <v>3768991000145</v>
      </c>
      <c r="B8043" s="34" t="s">
        <v>16927</v>
      </c>
      <c r="C8043" s="34" t="s">
        <v>103</v>
      </c>
      <c r="E8043" s="30" t="s">
        <v>16927</v>
      </c>
      <c r="F8043" s="34" t="n">
        <f aca="false">IFERROR(VLOOKUP($A8043,'319'!$B:$H,7,0),0)</f>
        <v>0</v>
      </c>
      <c r="G8043" s="34" t="n">
        <f aca="false">SUMIFS('12.326ana'!$C:$C,'12.326ana'!$M:$M,redes!A8043)</f>
        <v>0</v>
      </c>
    </row>
    <row r="8044" customFormat="false" ht="14.4" hidden="true" customHeight="false" outlineLevel="0" collapsed="false">
      <c r="A8044" s="34" t="n">
        <v>3771704000156</v>
      </c>
      <c r="B8044" s="34" t="s">
        <v>16928</v>
      </c>
      <c r="C8044" s="34" t="s">
        <v>107</v>
      </c>
      <c r="E8044" s="30" t="s">
        <v>16929</v>
      </c>
      <c r="F8044" s="34" t="n">
        <f aca="false">IFERROR(VLOOKUP($A8044,'319'!$B:$H,7,0),0)</f>
        <v>0</v>
      </c>
      <c r="G8044" s="34" t="n">
        <f aca="false">SUMIFS('12.326ana'!$C:$C,'12.326ana'!$M:$M,redes!A8044)</f>
        <v>0</v>
      </c>
    </row>
    <row r="8045" customFormat="false" ht="14.4" hidden="true" customHeight="false" outlineLevel="0" collapsed="false">
      <c r="A8045" s="34" t="n">
        <v>3771989000125</v>
      </c>
      <c r="B8045" s="34" t="s">
        <v>16930</v>
      </c>
      <c r="C8045" s="34" t="s">
        <v>77</v>
      </c>
      <c r="E8045" s="30" t="s">
        <v>16931</v>
      </c>
      <c r="F8045" s="34" t="n">
        <f aca="false">IFERROR(VLOOKUP($A8045,'319'!$B:$H,7,0),0)</f>
        <v>0</v>
      </c>
      <c r="G8045" s="34" t="n">
        <f aca="false">SUMIFS('12.326ana'!$C:$C,'12.326ana'!$M:$M,redes!A8045)</f>
        <v>0</v>
      </c>
    </row>
    <row r="8046" customFormat="false" ht="14.4" hidden="true" customHeight="false" outlineLevel="0" collapsed="false">
      <c r="A8046" s="34" t="n">
        <v>3772360000108</v>
      </c>
      <c r="B8046" s="34" t="s">
        <v>16932</v>
      </c>
      <c r="C8046" s="34" t="s">
        <v>77</v>
      </c>
      <c r="E8046" s="30" t="s">
        <v>5634</v>
      </c>
      <c r="F8046" s="34" t="n">
        <f aca="false">IFERROR(VLOOKUP($A8046,'319'!$B:$H,7,0),0)</f>
        <v>0</v>
      </c>
      <c r="G8046" s="34" t="n">
        <f aca="false">SUMIFS('12.326ana'!$C:$C,'12.326ana'!$M:$M,redes!A8046)</f>
        <v>0</v>
      </c>
    </row>
    <row r="8047" customFormat="false" ht="14.4" hidden="true" customHeight="false" outlineLevel="0" collapsed="false">
      <c r="A8047" s="34" t="n">
        <v>3775463000113</v>
      </c>
      <c r="B8047" s="34" t="s">
        <v>16933</v>
      </c>
      <c r="C8047" s="34" t="s">
        <v>309</v>
      </c>
      <c r="E8047" s="30" t="s">
        <v>16934</v>
      </c>
      <c r="F8047" s="34" t="n">
        <f aca="false">IFERROR(VLOOKUP($A8047,'319'!$B:$H,7,0),0)</f>
        <v>0</v>
      </c>
      <c r="G8047" s="34" t="n">
        <f aca="false">SUMIFS('12.326ana'!$C:$C,'12.326ana'!$M:$M,redes!A8047)</f>
        <v>0</v>
      </c>
    </row>
    <row r="8048" customFormat="false" ht="14.4" hidden="true" customHeight="false" outlineLevel="0" collapsed="false">
      <c r="A8048" s="34" t="n">
        <v>3775510000129</v>
      </c>
      <c r="B8048" s="34" t="s">
        <v>16935</v>
      </c>
      <c r="C8048" s="34" t="s">
        <v>77</v>
      </c>
      <c r="E8048" s="30" t="s">
        <v>16936</v>
      </c>
      <c r="F8048" s="34" t="n">
        <f aca="false">IFERROR(VLOOKUP($A8048,'319'!$B:$H,7,0),0)</f>
        <v>0</v>
      </c>
      <c r="G8048" s="34" t="n">
        <f aca="false">SUMIFS('12.326ana'!$C:$C,'12.326ana'!$M:$M,redes!A8048)</f>
        <v>0</v>
      </c>
    </row>
    <row r="8049" customFormat="false" ht="14.4" hidden="true" customHeight="false" outlineLevel="0" collapsed="false">
      <c r="A8049" s="34" t="n">
        <v>3782164000106</v>
      </c>
      <c r="B8049" s="34" t="s">
        <v>16937</v>
      </c>
      <c r="C8049" s="34" t="s">
        <v>213</v>
      </c>
      <c r="E8049" s="30" t="s">
        <v>16938</v>
      </c>
      <c r="F8049" s="34" t="n">
        <f aca="false">IFERROR(VLOOKUP($A8049,'319'!$B:$H,7,0),0)</f>
        <v>0</v>
      </c>
      <c r="G8049" s="34" t="n">
        <f aca="false">SUMIFS('12.326ana'!$C:$C,'12.326ana'!$M:$M,redes!A8049)</f>
        <v>0</v>
      </c>
    </row>
    <row r="8050" customFormat="false" ht="14.4" hidden="true" customHeight="false" outlineLevel="0" collapsed="false">
      <c r="A8050" s="34" t="n">
        <v>3784105000177</v>
      </c>
      <c r="B8050" s="34" t="s">
        <v>16939</v>
      </c>
      <c r="C8050" s="34" t="s">
        <v>342</v>
      </c>
      <c r="E8050" s="30" t="s">
        <v>16940</v>
      </c>
      <c r="F8050" s="34" t="n">
        <f aca="false">IFERROR(VLOOKUP($A8050,'319'!$B:$H,7,0),0)</f>
        <v>0</v>
      </c>
      <c r="G8050" s="34" t="n">
        <f aca="false">SUMIFS('12.326ana'!$C:$C,'12.326ana'!$M:$M,redes!A8050)</f>
        <v>0</v>
      </c>
    </row>
    <row r="8051" customFormat="false" ht="14.4" hidden="true" customHeight="false" outlineLevel="0" collapsed="false">
      <c r="A8051" s="34" t="n">
        <v>3784980000159</v>
      </c>
      <c r="B8051" s="34" t="s">
        <v>16941</v>
      </c>
      <c r="C8051" s="34" t="s">
        <v>309</v>
      </c>
      <c r="E8051" s="30" t="s">
        <v>16942</v>
      </c>
      <c r="F8051" s="34" t="n">
        <f aca="false">IFERROR(VLOOKUP($A8051,'319'!$B:$H,7,0),0)</f>
        <v>0</v>
      </c>
      <c r="G8051" s="34" t="n">
        <f aca="false">SUMIFS('12.326ana'!$C:$C,'12.326ana'!$M:$M,redes!A8051)</f>
        <v>0</v>
      </c>
    </row>
    <row r="8052" customFormat="false" ht="14.4" hidden="true" customHeight="false" outlineLevel="0" collapsed="false">
      <c r="A8052" s="34" t="n">
        <v>3785060000155</v>
      </c>
      <c r="B8052" s="34" t="s">
        <v>16943</v>
      </c>
      <c r="C8052" s="34" t="s">
        <v>299</v>
      </c>
      <c r="E8052" s="30" t="s">
        <v>16944</v>
      </c>
      <c r="F8052" s="34" t="n">
        <f aca="false">IFERROR(VLOOKUP($A8052,'319'!$B:$H,7,0),0)</f>
        <v>0</v>
      </c>
      <c r="G8052" s="34" t="n">
        <f aca="false">SUMIFS('12.326ana'!$C:$C,'12.326ana'!$M:$M,redes!A8052)</f>
        <v>0</v>
      </c>
    </row>
    <row r="8053" customFormat="false" ht="14.4" hidden="true" customHeight="false" outlineLevel="0" collapsed="false">
      <c r="A8053" s="35" t="n">
        <v>3785647000164</v>
      </c>
      <c r="B8053" s="34" t="s">
        <v>16945</v>
      </c>
      <c r="C8053" s="34" t="s">
        <v>107</v>
      </c>
      <c r="E8053" s="30" t="s">
        <v>16946</v>
      </c>
      <c r="F8053" s="34" t="n">
        <f aca="false">IFERROR(VLOOKUP($A8053,'319'!$B:$H,7,0),0)</f>
        <v>0</v>
      </c>
      <c r="G8053" s="34" t="n">
        <f aca="false">SUMIFS('12.326ana'!$C:$C,'12.326ana'!$M:$M,redes!A8053)</f>
        <v>0</v>
      </c>
    </row>
    <row r="8054" customFormat="false" ht="14.4" hidden="true" customHeight="false" outlineLevel="0" collapsed="false">
      <c r="A8054" s="34" t="n">
        <v>3787551000135</v>
      </c>
      <c r="B8054" s="34" t="s">
        <v>16947</v>
      </c>
      <c r="C8054" s="34" t="s">
        <v>357</v>
      </c>
      <c r="E8054" s="30" t="s">
        <v>16948</v>
      </c>
      <c r="F8054" s="34" t="n">
        <f aca="false">IFERROR(VLOOKUP($A8054,'319'!$B:$H,7,0),0)</f>
        <v>0</v>
      </c>
      <c r="G8054" s="34" t="n">
        <f aca="false">SUMIFS('12.326ana'!$C:$C,'12.326ana'!$M:$M,redes!A8054)</f>
        <v>0</v>
      </c>
    </row>
    <row r="8055" customFormat="false" ht="14.4" hidden="true" customHeight="false" outlineLevel="0" collapsed="false">
      <c r="A8055" s="34" t="n">
        <v>3787661000105</v>
      </c>
      <c r="B8055" s="34" t="s">
        <v>16949</v>
      </c>
      <c r="C8055" s="34" t="s">
        <v>604</v>
      </c>
      <c r="E8055" s="30" t="s">
        <v>16950</v>
      </c>
      <c r="F8055" s="34" t="n">
        <f aca="false">IFERROR(VLOOKUP($A8055,'319'!$B:$H,7,0),0)</f>
        <v>0</v>
      </c>
      <c r="G8055" s="34" t="n">
        <f aca="false">SUMIFS('12.326ana'!$C:$C,'12.326ana'!$M:$M,redes!A8055)</f>
        <v>0</v>
      </c>
    </row>
    <row r="8056" customFormat="false" ht="14.4" hidden="true" customHeight="false" outlineLevel="0" collapsed="false">
      <c r="A8056" s="34" t="n">
        <v>3787772000103</v>
      </c>
      <c r="B8056" s="34" t="s">
        <v>16951</v>
      </c>
      <c r="C8056" s="34" t="s">
        <v>604</v>
      </c>
      <c r="E8056" s="30" t="s">
        <v>13794</v>
      </c>
      <c r="F8056" s="34" t="n">
        <f aca="false">IFERROR(VLOOKUP($A8056,'319'!$B:$H,7,0),0)</f>
        <v>0</v>
      </c>
      <c r="G8056" s="34" t="n">
        <f aca="false">SUMIFS('12.326ana'!$C:$C,'12.326ana'!$M:$M,redes!A8056)</f>
        <v>0</v>
      </c>
    </row>
    <row r="8057" customFormat="false" ht="14.4" hidden="true" customHeight="false" outlineLevel="0" collapsed="false">
      <c r="A8057" s="34" t="n">
        <v>3788051000118</v>
      </c>
      <c r="B8057" s="34" t="s">
        <v>16952</v>
      </c>
      <c r="C8057" s="34" t="s">
        <v>565</v>
      </c>
      <c r="E8057" s="30" t="s">
        <v>16953</v>
      </c>
      <c r="F8057" s="34" t="n">
        <f aca="false">IFERROR(VLOOKUP($A8057,'319'!$B:$H,7,0),0)</f>
        <v>0</v>
      </c>
      <c r="G8057" s="34" t="n">
        <f aca="false">SUMIFS('12.326ana'!$C:$C,'12.326ana'!$M:$M,redes!A8057)</f>
        <v>0</v>
      </c>
    </row>
    <row r="8058" customFormat="false" ht="14.4" hidden="true" customHeight="false" outlineLevel="0" collapsed="false">
      <c r="A8058" s="34" t="n">
        <v>3788408000168</v>
      </c>
      <c r="B8058" s="34" t="s">
        <v>16954</v>
      </c>
      <c r="C8058" s="34" t="s">
        <v>351</v>
      </c>
      <c r="E8058" s="30" t="s">
        <v>16955</v>
      </c>
      <c r="F8058" s="34" t="n">
        <f aca="false">IFERROR(VLOOKUP($A8058,'319'!$B:$H,7,0),0)</f>
        <v>0</v>
      </c>
      <c r="G8058" s="34" t="n">
        <f aca="false">SUMIFS('12.326ana'!$C:$C,'12.326ana'!$M:$M,redes!A8058)</f>
        <v>0</v>
      </c>
    </row>
    <row r="8059" customFormat="false" ht="14.4" hidden="true" customHeight="false" outlineLevel="0" collapsed="false">
      <c r="A8059" s="34" t="n">
        <v>3791320000103</v>
      </c>
      <c r="B8059" s="34" t="s">
        <v>16956</v>
      </c>
      <c r="C8059" s="34" t="s">
        <v>77</v>
      </c>
      <c r="D8059" s="34" t="s">
        <v>5602</v>
      </c>
      <c r="E8059" s="30" t="s">
        <v>14835</v>
      </c>
      <c r="F8059" s="34" t="n">
        <f aca="false">IFERROR(VLOOKUP($A8059,'319'!$B:$H,7,0),0)</f>
        <v>0</v>
      </c>
      <c r="G8059" s="34" t="n">
        <f aca="false">SUMIFS('12.326ana'!$C:$C,'12.326ana'!$M:$M,redes!A8059)</f>
        <v>0</v>
      </c>
    </row>
    <row r="8060" customFormat="false" ht="14.4" hidden="true" customHeight="false" outlineLevel="0" collapsed="false">
      <c r="A8060" s="34" t="n">
        <v>3793277000107</v>
      </c>
      <c r="B8060" s="34" t="s">
        <v>16957</v>
      </c>
      <c r="C8060" s="34" t="s">
        <v>994</v>
      </c>
      <c r="E8060" s="30" t="s">
        <v>16958</v>
      </c>
      <c r="F8060" s="34" t="n">
        <f aca="false">IFERROR(VLOOKUP($A8060,'319'!$B:$H,7,0),0)</f>
        <v>0</v>
      </c>
      <c r="G8060" s="34" t="n">
        <f aca="false">SUMIFS('12.326ana'!$C:$C,'12.326ana'!$M:$M,redes!A8060)</f>
        <v>0</v>
      </c>
    </row>
    <row r="8061" customFormat="false" ht="14.4" hidden="true" customHeight="false" outlineLevel="0" collapsed="false">
      <c r="A8061" s="34" t="n">
        <v>3793502000105</v>
      </c>
      <c r="B8061" s="34" t="s">
        <v>16959</v>
      </c>
      <c r="C8061" s="34" t="s">
        <v>604</v>
      </c>
      <c r="E8061" s="30" t="s">
        <v>16960</v>
      </c>
      <c r="F8061" s="34" t="n">
        <f aca="false">IFERROR(VLOOKUP($A8061,'319'!$B:$H,7,0),0)</f>
        <v>0</v>
      </c>
      <c r="G8061" s="34" t="n">
        <f aca="false">SUMIFS('12.326ana'!$C:$C,'12.326ana'!$M:$M,redes!A8061)</f>
        <v>0</v>
      </c>
    </row>
    <row r="8062" customFormat="false" ht="14.4" hidden="true" customHeight="false" outlineLevel="0" collapsed="false">
      <c r="A8062" s="34" t="n">
        <v>3793627000135</v>
      </c>
      <c r="B8062" s="34" t="s">
        <v>16961</v>
      </c>
      <c r="C8062" s="34" t="s">
        <v>107</v>
      </c>
      <c r="E8062" s="30" t="s">
        <v>16962</v>
      </c>
      <c r="F8062" s="34" t="n">
        <f aca="false">IFERROR(VLOOKUP($A8062,'319'!$B:$H,7,0),0)</f>
        <v>0</v>
      </c>
      <c r="G8062" s="34" t="n">
        <f aca="false">SUMIFS('12.326ana'!$C:$C,'12.326ana'!$M:$M,redes!A8062)</f>
        <v>0</v>
      </c>
    </row>
    <row r="8063" customFormat="false" ht="14.4" hidden="true" customHeight="false" outlineLevel="0" collapsed="false">
      <c r="A8063" s="34" t="n">
        <v>3794466000102</v>
      </c>
      <c r="B8063" s="34" t="s">
        <v>16963</v>
      </c>
      <c r="C8063" s="34" t="s">
        <v>77</v>
      </c>
      <c r="E8063" s="30" t="s">
        <v>16964</v>
      </c>
      <c r="F8063" s="34" t="n">
        <f aca="false">IFERROR(VLOOKUP($A8063,'319'!$B:$H,7,0),0)</f>
        <v>0</v>
      </c>
      <c r="G8063" s="34" t="n">
        <f aca="false">SUMIFS('12.326ana'!$C:$C,'12.326ana'!$M:$M,redes!A8063)</f>
        <v>0</v>
      </c>
    </row>
    <row r="8064" customFormat="false" ht="14.4" hidden="true" customHeight="false" outlineLevel="0" collapsed="false">
      <c r="A8064" s="34" t="n">
        <v>3794498000108</v>
      </c>
      <c r="B8064" s="34" t="s">
        <v>16965</v>
      </c>
      <c r="C8064" s="34" t="s">
        <v>197</v>
      </c>
      <c r="E8064" s="30" t="s">
        <v>16966</v>
      </c>
      <c r="F8064" s="34" t="n">
        <f aca="false">IFERROR(VLOOKUP($A8064,'319'!$B:$H,7,0),0)</f>
        <v>0</v>
      </c>
      <c r="G8064" s="34" t="n">
        <f aca="false">SUMIFS('12.326ana'!$C:$C,'12.326ana'!$M:$M,redes!A8064)</f>
        <v>0</v>
      </c>
    </row>
    <row r="8065" customFormat="false" ht="14.4" hidden="true" customHeight="false" outlineLevel="0" collapsed="false">
      <c r="A8065" s="34" t="n">
        <v>3795341000199</v>
      </c>
      <c r="B8065" s="34" t="s">
        <v>16967</v>
      </c>
      <c r="C8065" s="34" t="s">
        <v>77</v>
      </c>
      <c r="E8065" s="30" t="s">
        <v>16968</v>
      </c>
      <c r="F8065" s="34" t="n">
        <f aca="false">IFERROR(VLOOKUP($A8065,'319'!$B:$H,7,0),0)</f>
        <v>0</v>
      </c>
      <c r="G8065" s="34" t="n">
        <f aca="false">SUMIFS('12.326ana'!$C:$C,'12.326ana'!$M:$M,redes!A8065)</f>
        <v>0</v>
      </c>
    </row>
    <row r="8066" customFormat="false" ht="14.4" hidden="true" customHeight="false" outlineLevel="0" collapsed="false">
      <c r="A8066" s="34" t="n">
        <v>3795390000121</v>
      </c>
      <c r="B8066" s="34" t="s">
        <v>16969</v>
      </c>
      <c r="C8066" s="34" t="s">
        <v>77</v>
      </c>
      <c r="E8066" s="30" t="s">
        <v>16970</v>
      </c>
      <c r="F8066" s="34" t="n">
        <f aca="false">IFERROR(VLOOKUP($A8066,'319'!$B:$H,7,0),0)</f>
        <v>0</v>
      </c>
      <c r="G8066" s="34" t="n">
        <f aca="false">SUMIFS('12.326ana'!$C:$C,'12.326ana'!$M:$M,redes!A8066)</f>
        <v>0</v>
      </c>
    </row>
    <row r="8067" customFormat="false" ht="14.4" hidden="true" customHeight="false" outlineLevel="0" collapsed="false">
      <c r="A8067" s="34" t="n">
        <v>3795534000140</v>
      </c>
      <c r="B8067" s="34" t="s">
        <v>16971</v>
      </c>
      <c r="C8067" s="34" t="s">
        <v>89</v>
      </c>
      <c r="E8067" s="30" t="s">
        <v>16972</v>
      </c>
      <c r="F8067" s="34" t="n">
        <f aca="false">IFERROR(VLOOKUP($A8067,'319'!$B:$H,7,0),0)</f>
        <v>0</v>
      </c>
      <c r="G8067" s="34" t="n">
        <f aca="false">SUMIFS('12.326ana'!$C:$C,'12.326ana'!$M:$M,redes!A8067)</f>
        <v>0</v>
      </c>
    </row>
    <row r="8068" customFormat="false" ht="14.4" hidden="true" customHeight="false" outlineLevel="0" collapsed="false">
      <c r="A8068" s="34" t="n">
        <v>3796042000179</v>
      </c>
      <c r="B8068" s="34" t="s">
        <v>16973</v>
      </c>
      <c r="C8068" s="34" t="s">
        <v>77</v>
      </c>
      <c r="D8068" s="34" t="s">
        <v>23</v>
      </c>
      <c r="E8068" s="30" t="s">
        <v>16974</v>
      </c>
      <c r="F8068" s="34" t="n">
        <f aca="false">IFERROR(VLOOKUP($A8068,'319'!$B:$H,7,0),0)</f>
        <v>0</v>
      </c>
      <c r="G8068" s="34" t="n">
        <f aca="false">SUMIFS('12.326ana'!$C:$C,'12.326ana'!$M:$M,redes!A8068)</f>
        <v>0</v>
      </c>
    </row>
    <row r="8069" customFormat="false" ht="14.4" hidden="true" customHeight="false" outlineLevel="0" collapsed="false">
      <c r="A8069" s="34" t="n">
        <v>3797114000100</v>
      </c>
      <c r="B8069" s="34" t="s">
        <v>16975</v>
      </c>
      <c r="C8069" s="34" t="s">
        <v>77</v>
      </c>
      <c r="E8069" s="30" t="s">
        <v>16976</v>
      </c>
      <c r="F8069" s="34" t="n">
        <f aca="false">IFERROR(VLOOKUP($A8069,'319'!$B:$H,7,0),0)</f>
        <v>0</v>
      </c>
      <c r="G8069" s="34" t="n">
        <f aca="false">SUMIFS('12.326ana'!$C:$C,'12.326ana'!$M:$M,redes!A8069)</f>
        <v>0</v>
      </c>
    </row>
    <row r="8070" customFormat="false" ht="14.4" hidden="true" customHeight="false" outlineLevel="0" collapsed="false">
      <c r="A8070" s="34" t="n">
        <v>3799269000178</v>
      </c>
      <c r="B8070" s="34" t="s">
        <v>16977</v>
      </c>
      <c r="C8070" s="34" t="s">
        <v>77</v>
      </c>
      <c r="E8070" s="30"/>
      <c r="F8070" s="34" t="n">
        <f aca="false">IFERROR(VLOOKUP($A8070,'319'!$B:$H,7,0),0)</f>
        <v>0</v>
      </c>
      <c r="G8070" s="34" t="n">
        <f aca="false">SUMIFS('12.326ana'!$C:$C,'12.326ana'!$M:$M,redes!A8070)</f>
        <v>0</v>
      </c>
    </row>
    <row r="8071" customFormat="false" ht="14.4" hidden="true" customHeight="false" outlineLevel="0" collapsed="false">
      <c r="A8071" s="34" t="n">
        <v>3799474000133</v>
      </c>
      <c r="B8071" s="34" t="s">
        <v>16978</v>
      </c>
      <c r="C8071" s="34" t="s">
        <v>103</v>
      </c>
      <c r="E8071" s="30" t="s">
        <v>16979</v>
      </c>
      <c r="F8071" s="34" t="n">
        <f aca="false">IFERROR(VLOOKUP($A8071,'319'!$B:$H,7,0),0)</f>
        <v>0</v>
      </c>
      <c r="G8071" s="34" t="n">
        <f aca="false">SUMIFS('12.326ana'!$C:$C,'12.326ana'!$M:$M,redes!A8071)</f>
        <v>0</v>
      </c>
    </row>
    <row r="8072" customFormat="false" ht="14.4" hidden="true" customHeight="false" outlineLevel="0" collapsed="false">
      <c r="A8072" s="34" t="n">
        <v>3799916000141</v>
      </c>
      <c r="B8072" s="34" t="s">
        <v>16980</v>
      </c>
      <c r="C8072" s="34" t="s">
        <v>77</v>
      </c>
      <c r="E8072" s="30" t="s">
        <v>16981</v>
      </c>
      <c r="F8072" s="34" t="n">
        <f aca="false">IFERROR(VLOOKUP($A8072,'319'!$B:$H,7,0),0)</f>
        <v>0</v>
      </c>
      <c r="G8072" s="34" t="n">
        <f aca="false">SUMIFS('12.326ana'!$C:$C,'12.326ana'!$M:$M,redes!A8072)</f>
        <v>0</v>
      </c>
    </row>
    <row r="8073" customFormat="false" ht="14.4" hidden="true" customHeight="false" outlineLevel="0" collapsed="false">
      <c r="A8073" s="34" t="n">
        <v>3800028000100</v>
      </c>
      <c r="B8073" s="34" t="s">
        <v>16982</v>
      </c>
      <c r="C8073" s="34" t="s">
        <v>103</v>
      </c>
      <c r="E8073" s="30" t="s">
        <v>16983</v>
      </c>
      <c r="F8073" s="34" t="n">
        <f aca="false">IFERROR(VLOOKUP($A8073,'319'!$B:$H,7,0),0)</f>
        <v>0</v>
      </c>
      <c r="G8073" s="34" t="n">
        <f aca="false">SUMIFS('12.326ana'!$C:$C,'12.326ana'!$M:$M,redes!A8073)</f>
        <v>0</v>
      </c>
    </row>
    <row r="8074" customFormat="false" ht="14.4" hidden="true" customHeight="false" outlineLevel="0" collapsed="false">
      <c r="A8074" s="34" t="n">
        <v>3800481000108</v>
      </c>
      <c r="B8074" s="34" t="s">
        <v>16984</v>
      </c>
      <c r="C8074" s="34" t="s">
        <v>77</v>
      </c>
      <c r="E8074" s="30" t="s">
        <v>16985</v>
      </c>
      <c r="F8074" s="34" t="n">
        <f aca="false">IFERROR(VLOOKUP($A8074,'319'!$B:$H,7,0),0)</f>
        <v>0</v>
      </c>
      <c r="G8074" s="34" t="n">
        <f aca="false">SUMIFS('12.326ana'!$C:$C,'12.326ana'!$M:$M,redes!A8074)</f>
        <v>0</v>
      </c>
    </row>
    <row r="8075" customFormat="false" ht="14.4" hidden="true" customHeight="false" outlineLevel="0" collapsed="false">
      <c r="A8075" s="34" t="n">
        <v>3802864000115</v>
      </c>
      <c r="B8075" s="34" t="s">
        <v>16986</v>
      </c>
      <c r="C8075" s="34" t="s">
        <v>1680</v>
      </c>
      <c r="D8075" s="34" t="s">
        <v>14249</v>
      </c>
      <c r="E8075" s="30" t="s">
        <v>16987</v>
      </c>
      <c r="F8075" s="34" t="n">
        <f aca="false">IFERROR(VLOOKUP($A8075,'319'!$B:$H,7,0),0)</f>
        <v>0</v>
      </c>
      <c r="G8075" s="34" t="n">
        <f aca="false">SUMIFS('12.326ana'!$C:$C,'12.326ana'!$M:$M,redes!A8075)</f>
        <v>0</v>
      </c>
    </row>
    <row r="8076" customFormat="false" ht="14.4" hidden="true" customHeight="false" outlineLevel="0" collapsed="false">
      <c r="A8076" s="34" t="n">
        <v>3803624000135</v>
      </c>
      <c r="B8076" s="34" t="s">
        <v>1399</v>
      </c>
      <c r="C8076" s="34" t="s">
        <v>1306</v>
      </c>
      <c r="E8076" s="30" t="s">
        <v>16988</v>
      </c>
      <c r="F8076" s="34" t="n">
        <f aca="false">IFERROR(VLOOKUP($A8076,'319'!$B:$H,7,0),0)</f>
        <v>229.32</v>
      </c>
      <c r="G8076" s="34" t="n">
        <f aca="false">SUMIFS('12.326ana'!$C:$C,'12.326ana'!$M:$M,redes!A8076)</f>
        <v>0</v>
      </c>
    </row>
    <row r="8077" customFormat="false" ht="14.4" hidden="true" customHeight="false" outlineLevel="0" collapsed="false">
      <c r="A8077" s="34" t="n">
        <v>3804649000153</v>
      </c>
      <c r="B8077" s="34" t="s">
        <v>16989</v>
      </c>
      <c r="C8077" s="34" t="s">
        <v>89</v>
      </c>
      <c r="E8077" s="30" t="s">
        <v>16990</v>
      </c>
      <c r="F8077" s="34" t="n">
        <f aca="false">IFERROR(VLOOKUP($A8077,'319'!$B:$H,7,0),0)</f>
        <v>0</v>
      </c>
      <c r="G8077" s="34" t="n">
        <f aca="false">SUMIFS('12.326ana'!$C:$C,'12.326ana'!$M:$M,redes!A8077)</f>
        <v>0</v>
      </c>
    </row>
    <row r="8078" customFormat="false" ht="14.4" hidden="true" customHeight="false" outlineLevel="0" collapsed="false">
      <c r="A8078" s="34" t="n">
        <v>3805865000113</v>
      </c>
      <c r="B8078" s="34" t="s">
        <v>16991</v>
      </c>
      <c r="C8078" s="34" t="s">
        <v>2998</v>
      </c>
      <c r="E8078" s="30" t="s">
        <v>16992</v>
      </c>
      <c r="F8078" s="34" t="n">
        <f aca="false">IFERROR(VLOOKUP($A8078,'319'!$B:$H,7,0),0)</f>
        <v>0</v>
      </c>
      <c r="G8078" s="34" t="n">
        <f aca="false">SUMIFS('12.326ana'!$C:$C,'12.326ana'!$M:$M,redes!A8078)</f>
        <v>0</v>
      </c>
    </row>
    <row r="8079" customFormat="false" ht="14.4" hidden="true" customHeight="false" outlineLevel="0" collapsed="false">
      <c r="A8079" s="34" t="n">
        <v>3806448000195</v>
      </c>
      <c r="B8079" s="34" t="s">
        <v>16993</v>
      </c>
      <c r="C8079" s="34" t="s">
        <v>77</v>
      </c>
      <c r="E8079" s="30" t="s">
        <v>16994</v>
      </c>
      <c r="F8079" s="34" t="n">
        <f aca="false">IFERROR(VLOOKUP($A8079,'319'!$B:$H,7,0),0)</f>
        <v>0</v>
      </c>
      <c r="G8079" s="34" t="n">
        <f aca="false">SUMIFS('12.326ana'!$C:$C,'12.326ana'!$M:$M,redes!A8079)</f>
        <v>0</v>
      </c>
    </row>
    <row r="8080" customFormat="false" ht="14.4" hidden="true" customHeight="false" outlineLevel="0" collapsed="false">
      <c r="A8080" s="34" t="n">
        <v>3807098000181</v>
      </c>
      <c r="B8080" s="34" t="s">
        <v>16995</v>
      </c>
      <c r="C8080" s="34" t="s">
        <v>967</v>
      </c>
      <c r="E8080" s="30" t="s">
        <v>11747</v>
      </c>
      <c r="F8080" s="34" t="n">
        <f aca="false">IFERROR(VLOOKUP($A8080,'319'!$B:$H,7,0),0)</f>
        <v>0</v>
      </c>
      <c r="G8080" s="34" t="n">
        <f aca="false">SUMIFS('12.326ana'!$C:$C,'12.326ana'!$M:$M,redes!A8080)</f>
        <v>0</v>
      </c>
    </row>
    <row r="8081" customFormat="false" ht="14.4" hidden="true" customHeight="false" outlineLevel="0" collapsed="false">
      <c r="A8081" s="34" t="n">
        <v>3808469000140</v>
      </c>
      <c r="B8081" s="34" t="s">
        <v>16996</v>
      </c>
      <c r="C8081" s="34" t="s">
        <v>935</v>
      </c>
      <c r="E8081" s="30" t="s">
        <v>16997</v>
      </c>
      <c r="F8081" s="34" t="n">
        <f aca="false">IFERROR(VLOOKUP($A8081,'319'!$B:$H,7,0),0)</f>
        <v>0</v>
      </c>
      <c r="G8081" s="34" t="n">
        <f aca="false">SUMIFS('12.326ana'!$C:$C,'12.326ana'!$M:$M,redes!A8081)</f>
        <v>0</v>
      </c>
    </row>
    <row r="8082" customFormat="false" ht="14.4" hidden="true" customHeight="false" outlineLevel="0" collapsed="false">
      <c r="A8082" s="34" t="n">
        <v>3809574000101</v>
      </c>
      <c r="B8082" s="34" t="s">
        <v>16998</v>
      </c>
      <c r="C8082" s="34" t="s">
        <v>77</v>
      </c>
      <c r="E8082" s="30" t="s">
        <v>16999</v>
      </c>
      <c r="F8082" s="34" t="n">
        <f aca="false">IFERROR(VLOOKUP($A8082,'319'!$B:$H,7,0),0)</f>
        <v>0</v>
      </c>
      <c r="G8082" s="34" t="n">
        <f aca="false">SUMIFS('12.326ana'!$C:$C,'12.326ana'!$M:$M,redes!A8082)</f>
        <v>0</v>
      </c>
    </row>
    <row r="8083" customFormat="false" ht="14.4" hidden="true" customHeight="false" outlineLevel="0" collapsed="false">
      <c r="A8083" s="34" t="n">
        <v>3811579000160</v>
      </c>
      <c r="B8083" s="34" t="s">
        <v>17000</v>
      </c>
      <c r="C8083" s="34" t="s">
        <v>207</v>
      </c>
      <c r="E8083" s="30" t="s">
        <v>17001</v>
      </c>
      <c r="F8083" s="34" t="n">
        <f aca="false">IFERROR(VLOOKUP($A8083,'319'!$B:$H,7,0),0)</f>
        <v>0</v>
      </c>
      <c r="G8083" s="34" t="n">
        <f aca="false">SUMIFS('12.326ana'!$C:$C,'12.326ana'!$M:$M,redes!A8083)</f>
        <v>0</v>
      </c>
    </row>
    <row r="8084" customFormat="false" ht="14.4" hidden="true" customHeight="false" outlineLevel="0" collapsed="false">
      <c r="A8084" s="34" t="n">
        <v>3812439000107</v>
      </c>
      <c r="B8084" s="34" t="s">
        <v>17002</v>
      </c>
      <c r="C8084" s="34" t="s">
        <v>77</v>
      </c>
      <c r="E8084" s="30" t="s">
        <v>17003</v>
      </c>
      <c r="F8084" s="34" t="n">
        <f aca="false">IFERROR(VLOOKUP($A8084,'319'!$B:$H,7,0),0)</f>
        <v>0</v>
      </c>
      <c r="G8084" s="34" t="n">
        <f aca="false">SUMIFS('12.326ana'!$C:$C,'12.326ana'!$M:$M,redes!A8084)</f>
        <v>0</v>
      </c>
    </row>
    <row r="8085" customFormat="false" ht="14.4" hidden="true" customHeight="false" outlineLevel="0" collapsed="false">
      <c r="A8085" s="34" t="n">
        <v>3813381000116</v>
      </c>
      <c r="B8085" s="34" t="s">
        <v>17004</v>
      </c>
      <c r="C8085" s="34" t="s">
        <v>89</v>
      </c>
      <c r="E8085" s="30" t="s">
        <v>17005</v>
      </c>
      <c r="F8085" s="34" t="n">
        <f aca="false">IFERROR(VLOOKUP($A8085,'319'!$B:$H,7,0),0)</f>
        <v>0</v>
      </c>
      <c r="G8085" s="34" t="n">
        <f aca="false">SUMIFS('12.326ana'!$C:$C,'12.326ana'!$M:$M,redes!A8085)</f>
        <v>0</v>
      </c>
    </row>
    <row r="8086" customFormat="false" ht="14.4" hidden="true" customHeight="false" outlineLevel="0" collapsed="false">
      <c r="A8086" s="34" t="n">
        <v>3815374000153</v>
      </c>
      <c r="B8086" s="34" t="s">
        <v>17006</v>
      </c>
      <c r="C8086" s="34" t="s">
        <v>77</v>
      </c>
      <c r="D8086" s="34" t="s">
        <v>17007</v>
      </c>
      <c r="E8086" s="30" t="s">
        <v>17008</v>
      </c>
      <c r="F8086" s="34" t="n">
        <f aca="false">IFERROR(VLOOKUP($A8086,'319'!$B:$H,7,0),0)</f>
        <v>0</v>
      </c>
      <c r="G8086" s="34" t="n">
        <f aca="false">SUMIFS('12.326ana'!$C:$C,'12.326ana'!$M:$M,redes!A8086)</f>
        <v>0</v>
      </c>
    </row>
    <row r="8087" customFormat="false" ht="14.4" hidden="true" customHeight="false" outlineLevel="0" collapsed="false">
      <c r="A8087" s="34" t="n">
        <v>3821717000192</v>
      </c>
      <c r="B8087" s="34" t="s">
        <v>17009</v>
      </c>
      <c r="C8087" s="34" t="s">
        <v>77</v>
      </c>
      <c r="E8087" s="30" t="s">
        <v>17010</v>
      </c>
      <c r="F8087" s="34" t="n">
        <f aca="false">IFERROR(VLOOKUP($A8087,'319'!$B:$H,7,0),0)</f>
        <v>0</v>
      </c>
      <c r="G8087" s="34" t="n">
        <f aca="false">SUMIFS('12.326ana'!$C:$C,'12.326ana'!$M:$M,redes!A8087)</f>
        <v>0</v>
      </c>
    </row>
    <row r="8088" customFormat="false" ht="14.4" hidden="true" customHeight="false" outlineLevel="0" collapsed="false">
      <c r="A8088" s="34" t="n">
        <v>3822624000182</v>
      </c>
      <c r="B8088" s="34" t="s">
        <v>17011</v>
      </c>
      <c r="C8088" s="34" t="s">
        <v>328</v>
      </c>
      <c r="E8088" s="30" t="s">
        <v>17012</v>
      </c>
      <c r="F8088" s="34" t="n">
        <f aca="false">IFERROR(VLOOKUP($A8088,'319'!$B:$H,7,0),0)</f>
        <v>0</v>
      </c>
      <c r="G8088" s="34" t="n">
        <f aca="false">SUMIFS('12.326ana'!$C:$C,'12.326ana'!$M:$M,redes!A8088)</f>
        <v>0</v>
      </c>
    </row>
    <row r="8089" customFormat="false" ht="14.4" hidden="true" customHeight="false" outlineLevel="0" collapsed="false">
      <c r="A8089" s="34" t="n">
        <v>3824804000101</v>
      </c>
      <c r="B8089" s="34" t="s">
        <v>17013</v>
      </c>
      <c r="C8089" s="34" t="s">
        <v>77</v>
      </c>
      <c r="E8089" s="30" t="s">
        <v>17014</v>
      </c>
      <c r="F8089" s="34" t="n">
        <f aca="false">IFERROR(VLOOKUP($A8089,'319'!$B:$H,7,0),0)</f>
        <v>0</v>
      </c>
      <c r="G8089" s="34" t="n">
        <f aca="false">SUMIFS('12.326ana'!$C:$C,'12.326ana'!$M:$M,redes!A8089)</f>
        <v>0</v>
      </c>
    </row>
    <row r="8090" customFormat="false" ht="14.4" hidden="true" customHeight="false" outlineLevel="0" collapsed="false">
      <c r="A8090" s="34" t="n">
        <v>3825361000165</v>
      </c>
      <c r="B8090" s="34" t="s">
        <v>17015</v>
      </c>
      <c r="C8090" s="34" t="s">
        <v>89</v>
      </c>
      <c r="E8090" s="30" t="s">
        <v>17016</v>
      </c>
      <c r="F8090" s="34" t="n">
        <f aca="false">IFERROR(VLOOKUP($A8090,'319'!$B:$H,7,0),0)</f>
        <v>0</v>
      </c>
      <c r="G8090" s="34" t="n">
        <f aca="false">SUMIFS('12.326ana'!$C:$C,'12.326ana'!$M:$M,redes!A8090)</f>
        <v>0</v>
      </c>
    </row>
    <row r="8091" customFormat="false" ht="14.4" hidden="true" customHeight="false" outlineLevel="0" collapsed="false">
      <c r="A8091" s="34" t="n">
        <v>3825600001078</v>
      </c>
      <c r="B8091" s="34" t="s">
        <v>17017</v>
      </c>
      <c r="C8091" s="34" t="s">
        <v>77</v>
      </c>
      <c r="D8091" s="34" t="s">
        <v>17018</v>
      </c>
      <c r="E8091" s="30" t="s">
        <v>17019</v>
      </c>
      <c r="F8091" s="34" t="n">
        <f aca="false">IFERROR(VLOOKUP($A8091,'319'!$B:$H,7,0),0)</f>
        <v>0</v>
      </c>
      <c r="G8091" s="34" t="n">
        <f aca="false">SUMIFS('12.326ana'!$C:$C,'12.326ana'!$M:$M,redes!A8091)</f>
        <v>0</v>
      </c>
    </row>
    <row r="8092" customFormat="false" ht="14.4" hidden="true" customHeight="false" outlineLevel="0" collapsed="false">
      <c r="A8092" s="34" t="n">
        <v>3825600001663</v>
      </c>
      <c r="B8092" s="34" t="s">
        <v>17020</v>
      </c>
      <c r="C8092" s="34" t="s">
        <v>77</v>
      </c>
      <c r="D8092" s="34" t="s">
        <v>17018</v>
      </c>
      <c r="E8092" s="30" t="s">
        <v>17019</v>
      </c>
      <c r="F8092" s="34" t="n">
        <f aca="false">IFERROR(VLOOKUP($A8092,'319'!$B:$H,7,0),0)</f>
        <v>0</v>
      </c>
      <c r="G8092" s="34" t="n">
        <f aca="false">SUMIFS('12.326ana'!$C:$C,'12.326ana'!$M:$M,redes!A8092)</f>
        <v>0</v>
      </c>
    </row>
    <row r="8093" customFormat="false" ht="14.4" hidden="true" customHeight="false" outlineLevel="0" collapsed="false">
      <c r="A8093" s="34" t="n">
        <v>3826286000157</v>
      </c>
      <c r="B8093" s="34" t="s">
        <v>17021</v>
      </c>
      <c r="C8093" s="34" t="s">
        <v>89</v>
      </c>
      <c r="E8093" s="30" t="s">
        <v>17022</v>
      </c>
      <c r="F8093" s="34" t="n">
        <f aca="false">IFERROR(VLOOKUP($A8093,'319'!$B:$H,7,0),0)</f>
        <v>0</v>
      </c>
      <c r="G8093" s="34" t="n">
        <f aca="false">SUMIFS('12.326ana'!$C:$C,'12.326ana'!$M:$M,redes!A8093)</f>
        <v>0</v>
      </c>
    </row>
    <row r="8094" customFormat="false" ht="14.4" hidden="true" customHeight="false" outlineLevel="0" collapsed="false">
      <c r="A8094" s="34" t="n">
        <v>3827469000197</v>
      </c>
      <c r="B8094" s="34" t="s">
        <v>17023</v>
      </c>
      <c r="C8094" s="34" t="s">
        <v>764</v>
      </c>
      <c r="E8094" s="30" t="s">
        <v>17024</v>
      </c>
      <c r="F8094" s="34" t="n">
        <f aca="false">IFERROR(VLOOKUP($A8094,'319'!$B:$H,7,0),0)</f>
        <v>0</v>
      </c>
      <c r="G8094" s="34" t="n">
        <f aca="false">SUMIFS('12.326ana'!$C:$C,'12.326ana'!$M:$M,redes!A8094)</f>
        <v>0</v>
      </c>
    </row>
    <row r="8095" customFormat="false" ht="14.4" hidden="true" customHeight="false" outlineLevel="0" collapsed="false">
      <c r="A8095" s="34" t="n">
        <v>3827714000166</v>
      </c>
      <c r="B8095" s="34" t="s">
        <v>17025</v>
      </c>
      <c r="C8095" s="34" t="s">
        <v>565</v>
      </c>
      <c r="E8095" s="30" t="s">
        <v>17026</v>
      </c>
      <c r="F8095" s="34" t="n">
        <f aca="false">IFERROR(VLOOKUP($A8095,'319'!$B:$H,7,0),0)</f>
        <v>0</v>
      </c>
      <c r="G8095" s="34" t="n">
        <f aca="false">SUMIFS('12.326ana'!$C:$C,'12.326ana'!$M:$M,redes!A8095)</f>
        <v>0</v>
      </c>
    </row>
    <row r="8096" customFormat="false" ht="14.4" hidden="true" customHeight="false" outlineLevel="0" collapsed="false">
      <c r="A8096" s="34" t="n">
        <v>3827727000135</v>
      </c>
      <c r="B8096" s="34" t="s">
        <v>17027</v>
      </c>
      <c r="C8096" s="34" t="s">
        <v>389</v>
      </c>
      <c r="E8096" s="30" t="s">
        <v>17028</v>
      </c>
      <c r="F8096" s="34" t="n">
        <f aca="false">IFERROR(VLOOKUP($A8096,'319'!$B:$H,7,0),0)</f>
        <v>0</v>
      </c>
      <c r="G8096" s="34" t="n">
        <f aca="false">SUMIFS('12.326ana'!$C:$C,'12.326ana'!$M:$M,redes!A8096)</f>
        <v>0</v>
      </c>
    </row>
    <row r="8097" customFormat="false" ht="14.4" hidden="true" customHeight="false" outlineLevel="0" collapsed="false">
      <c r="A8097" s="34" t="n">
        <v>3827841000165</v>
      </c>
      <c r="B8097" s="34" t="s">
        <v>17029</v>
      </c>
      <c r="C8097" s="34" t="s">
        <v>89</v>
      </c>
      <c r="E8097" s="30"/>
      <c r="F8097" s="34" t="n">
        <f aca="false">IFERROR(VLOOKUP($A8097,'319'!$B:$H,7,0),0)</f>
        <v>0</v>
      </c>
      <c r="G8097" s="34" t="n">
        <f aca="false">SUMIFS('12.326ana'!$C:$C,'12.326ana'!$M:$M,redes!A8097)</f>
        <v>0</v>
      </c>
    </row>
    <row r="8098" customFormat="false" ht="14.4" hidden="true" customHeight="false" outlineLevel="0" collapsed="false">
      <c r="A8098" s="34" t="n">
        <v>3830814000141</v>
      </c>
      <c r="B8098" s="34" t="s">
        <v>17030</v>
      </c>
      <c r="C8098" s="34" t="s">
        <v>309</v>
      </c>
      <c r="E8098" s="30" t="s">
        <v>17031</v>
      </c>
      <c r="F8098" s="34" t="n">
        <f aca="false">IFERROR(VLOOKUP($A8098,'319'!$B:$H,7,0),0)</f>
        <v>0</v>
      </c>
      <c r="G8098" s="34" t="n">
        <f aca="false">SUMIFS('12.326ana'!$C:$C,'12.326ana'!$M:$M,redes!A8098)</f>
        <v>0</v>
      </c>
    </row>
    <row r="8099" customFormat="false" ht="14.4" hidden="true" customHeight="false" outlineLevel="0" collapsed="false">
      <c r="A8099" s="34" t="n">
        <v>3830897000179</v>
      </c>
      <c r="B8099" s="34" t="s">
        <v>17032</v>
      </c>
      <c r="C8099" s="34" t="s">
        <v>478</v>
      </c>
      <c r="E8099" s="30" t="s">
        <v>17033</v>
      </c>
      <c r="F8099" s="34" t="n">
        <f aca="false">IFERROR(VLOOKUP($A8099,'319'!$B:$H,7,0),0)</f>
        <v>0</v>
      </c>
      <c r="G8099" s="34" t="n">
        <f aca="false">SUMIFS('12.326ana'!$C:$C,'12.326ana'!$M:$M,redes!A8099)</f>
        <v>0</v>
      </c>
    </row>
    <row r="8100" customFormat="false" ht="14.4" hidden="true" customHeight="false" outlineLevel="0" collapsed="false">
      <c r="A8100" s="34" t="n">
        <v>3831159000146</v>
      </c>
      <c r="B8100" s="34" t="s">
        <v>17034</v>
      </c>
      <c r="C8100" s="34" t="s">
        <v>581</v>
      </c>
      <c r="E8100" s="30" t="s">
        <v>17035</v>
      </c>
      <c r="F8100" s="34" t="n">
        <f aca="false">IFERROR(VLOOKUP($A8100,'319'!$B:$H,7,0),0)</f>
        <v>0</v>
      </c>
      <c r="G8100" s="34" t="n">
        <f aca="false">SUMIFS('12.326ana'!$C:$C,'12.326ana'!$M:$M,redes!A8100)</f>
        <v>0</v>
      </c>
    </row>
    <row r="8101" customFormat="false" ht="14.4" hidden="true" customHeight="false" outlineLevel="0" collapsed="false">
      <c r="A8101" s="34" t="n">
        <v>3834058000129</v>
      </c>
      <c r="B8101" s="34" t="s">
        <v>17036</v>
      </c>
      <c r="C8101" s="34" t="s">
        <v>77</v>
      </c>
      <c r="E8101" s="30" t="s">
        <v>17037</v>
      </c>
      <c r="F8101" s="34" t="n">
        <f aca="false">IFERROR(VLOOKUP($A8101,'319'!$B:$H,7,0),0)</f>
        <v>0</v>
      </c>
      <c r="G8101" s="34" t="n">
        <f aca="false">SUMIFS('12.326ana'!$C:$C,'12.326ana'!$M:$M,redes!A8101)</f>
        <v>0</v>
      </c>
    </row>
    <row r="8102" customFormat="false" ht="14.4" hidden="true" customHeight="false" outlineLevel="0" collapsed="false">
      <c r="A8102" s="34" t="n">
        <v>3834417000148</v>
      </c>
      <c r="B8102" s="34" t="s">
        <v>17038</v>
      </c>
      <c r="C8102" s="34" t="s">
        <v>77</v>
      </c>
      <c r="D8102" s="34" t="s">
        <v>3324</v>
      </c>
      <c r="E8102" s="30" t="s">
        <v>17039</v>
      </c>
      <c r="F8102" s="34" t="n">
        <f aca="false">IFERROR(VLOOKUP($A8102,'319'!$B:$H,7,0),0)</f>
        <v>0</v>
      </c>
      <c r="G8102" s="34" t="n">
        <f aca="false">SUMIFS('12.326ana'!$C:$C,'12.326ana'!$M:$M,redes!A8102)</f>
        <v>0</v>
      </c>
    </row>
    <row r="8103" customFormat="false" ht="14.4" hidden="true" customHeight="false" outlineLevel="0" collapsed="false">
      <c r="A8103" s="34" t="n">
        <v>3836752000185</v>
      </c>
      <c r="B8103" s="34" t="s">
        <v>17040</v>
      </c>
      <c r="C8103" s="34" t="s">
        <v>107</v>
      </c>
      <c r="E8103" s="30" t="s">
        <v>17041</v>
      </c>
      <c r="F8103" s="34" t="n">
        <f aca="false">IFERROR(VLOOKUP($A8103,'319'!$B:$H,7,0),0)</f>
        <v>0</v>
      </c>
      <c r="G8103" s="34" t="n">
        <f aca="false">SUMIFS('12.326ana'!$C:$C,'12.326ana'!$M:$M,redes!A8103)</f>
        <v>0</v>
      </c>
    </row>
    <row r="8104" customFormat="false" ht="14.4" hidden="true" customHeight="false" outlineLevel="0" collapsed="false">
      <c r="A8104" s="34" t="n">
        <v>3836828000172</v>
      </c>
      <c r="B8104" s="34" t="s">
        <v>17042</v>
      </c>
      <c r="C8104" s="34" t="s">
        <v>107</v>
      </c>
      <c r="E8104" s="30" t="s">
        <v>17043</v>
      </c>
      <c r="F8104" s="34" t="n">
        <f aca="false">IFERROR(VLOOKUP($A8104,'319'!$B:$H,7,0),0)</f>
        <v>0</v>
      </c>
      <c r="G8104" s="34" t="n">
        <f aca="false">SUMIFS('12.326ana'!$C:$C,'12.326ana'!$M:$M,redes!A8104)</f>
        <v>0</v>
      </c>
    </row>
    <row r="8105" customFormat="false" ht="14.4" hidden="true" customHeight="false" outlineLevel="0" collapsed="false">
      <c r="A8105" s="34" t="n">
        <v>3836829000117</v>
      </c>
      <c r="B8105" s="34" t="s">
        <v>17044</v>
      </c>
      <c r="C8105" s="34" t="s">
        <v>848</v>
      </c>
      <c r="E8105" s="30" t="s">
        <v>17045</v>
      </c>
      <c r="F8105" s="34" t="n">
        <f aca="false">IFERROR(VLOOKUP($A8105,'319'!$B:$H,7,0),0)</f>
        <v>0</v>
      </c>
      <c r="G8105" s="34" t="n">
        <f aca="false">SUMIFS('12.326ana'!$C:$C,'12.326ana'!$M:$M,redes!A8105)</f>
        <v>0</v>
      </c>
    </row>
    <row r="8106" customFormat="false" ht="14.4" hidden="true" customHeight="false" outlineLevel="0" collapsed="false">
      <c r="A8106" s="34" t="n">
        <v>3841930000166</v>
      </c>
      <c r="B8106" s="34" t="s">
        <v>17046</v>
      </c>
      <c r="C8106" s="34" t="s">
        <v>127</v>
      </c>
      <c r="E8106" s="30" t="s">
        <v>13293</v>
      </c>
      <c r="F8106" s="34" t="n">
        <f aca="false">IFERROR(VLOOKUP($A8106,'319'!$B:$H,7,0),0)</f>
        <v>0</v>
      </c>
      <c r="G8106" s="34" t="n">
        <f aca="false">SUMIFS('12.326ana'!$C:$C,'12.326ana'!$M:$M,redes!A8106)</f>
        <v>0</v>
      </c>
    </row>
    <row r="8107" customFormat="false" ht="14.4" hidden="true" customHeight="false" outlineLevel="0" collapsed="false">
      <c r="A8107" s="34" t="n">
        <v>3843180000161</v>
      </c>
      <c r="B8107" s="34" t="s">
        <v>17047</v>
      </c>
      <c r="C8107" s="34" t="s">
        <v>77</v>
      </c>
      <c r="E8107" s="30" t="s">
        <v>17048</v>
      </c>
      <c r="F8107" s="34" t="n">
        <f aca="false">IFERROR(VLOOKUP($A8107,'319'!$B:$H,7,0),0)</f>
        <v>0</v>
      </c>
      <c r="G8107" s="34" t="n">
        <f aca="false">SUMIFS('12.326ana'!$C:$C,'12.326ana'!$M:$M,redes!A8107)</f>
        <v>0</v>
      </c>
    </row>
    <row r="8108" customFormat="false" ht="14.4" hidden="true" customHeight="false" outlineLevel="0" collapsed="false">
      <c r="A8108" s="34" t="n">
        <v>3846134000116</v>
      </c>
      <c r="B8108" s="34" t="s">
        <v>17049</v>
      </c>
      <c r="C8108" s="34" t="s">
        <v>107</v>
      </c>
      <c r="E8108" s="30" t="s">
        <v>3714</v>
      </c>
      <c r="F8108" s="34" t="n">
        <f aca="false">IFERROR(VLOOKUP($A8108,'319'!$B:$H,7,0),0)</f>
        <v>0</v>
      </c>
      <c r="G8108" s="34" t="n">
        <f aca="false">SUMIFS('12.326ana'!$C:$C,'12.326ana'!$M:$M,redes!A8108)</f>
        <v>0</v>
      </c>
    </row>
    <row r="8109" customFormat="false" ht="14.4" hidden="true" customHeight="false" outlineLevel="0" collapsed="false">
      <c r="A8109" s="34" t="n">
        <v>3846225000151</v>
      </c>
      <c r="B8109" s="34" t="s">
        <v>17050</v>
      </c>
      <c r="C8109" s="34" t="s">
        <v>77</v>
      </c>
      <c r="E8109" s="30" t="s">
        <v>17051</v>
      </c>
      <c r="F8109" s="34" t="n">
        <f aca="false">IFERROR(VLOOKUP($A8109,'319'!$B:$H,7,0),0)</f>
        <v>0</v>
      </c>
      <c r="G8109" s="34" t="n">
        <f aca="false">SUMIFS('12.326ana'!$C:$C,'12.326ana'!$M:$M,redes!A8109)</f>
        <v>0</v>
      </c>
    </row>
    <row r="8110" customFormat="false" ht="14.4" hidden="true" customHeight="false" outlineLevel="0" collapsed="false">
      <c r="A8110" s="34" t="n">
        <v>3846285000174</v>
      </c>
      <c r="B8110" s="34" t="s">
        <v>17052</v>
      </c>
      <c r="C8110" s="34" t="s">
        <v>77</v>
      </c>
      <c r="E8110" s="30" t="s">
        <v>17053</v>
      </c>
      <c r="F8110" s="34" t="n">
        <f aca="false">IFERROR(VLOOKUP($A8110,'319'!$B:$H,7,0),0)</f>
        <v>0</v>
      </c>
      <c r="G8110" s="34" t="n">
        <f aca="false">SUMIFS('12.326ana'!$C:$C,'12.326ana'!$M:$M,redes!A8110)</f>
        <v>0</v>
      </c>
    </row>
    <row r="8111" customFormat="false" ht="14.4" hidden="true" customHeight="false" outlineLevel="0" collapsed="false">
      <c r="A8111" s="34" t="n">
        <v>3848440000191</v>
      </c>
      <c r="B8111" s="34" t="s">
        <v>17054</v>
      </c>
      <c r="C8111" s="34" t="s">
        <v>77</v>
      </c>
      <c r="E8111" s="30" t="s">
        <v>17055</v>
      </c>
      <c r="F8111" s="34" t="n">
        <f aca="false">IFERROR(VLOOKUP($A8111,'319'!$B:$H,7,0),0)</f>
        <v>0</v>
      </c>
      <c r="G8111" s="34" t="n">
        <f aca="false">SUMIFS('12.326ana'!$C:$C,'12.326ana'!$M:$M,redes!A8111)</f>
        <v>0</v>
      </c>
    </row>
    <row r="8112" customFormat="false" ht="14.4" hidden="true" customHeight="false" outlineLevel="0" collapsed="false">
      <c r="A8112" s="34" t="n">
        <v>3851833000154</v>
      </c>
      <c r="B8112" s="34" t="s">
        <v>17056</v>
      </c>
      <c r="C8112" s="34" t="s">
        <v>979</v>
      </c>
      <c r="E8112" s="30" t="s">
        <v>9902</v>
      </c>
      <c r="F8112" s="34" t="n">
        <f aca="false">IFERROR(VLOOKUP($A8112,'319'!$B:$H,7,0),0)</f>
        <v>0</v>
      </c>
      <c r="G8112" s="34" t="n">
        <f aca="false">SUMIFS('12.326ana'!$C:$C,'12.326ana'!$M:$M,redes!A8112)</f>
        <v>0</v>
      </c>
    </row>
    <row r="8113" customFormat="false" ht="14.4" hidden="true" customHeight="false" outlineLevel="0" collapsed="false">
      <c r="A8113" s="34" t="n">
        <v>3853569000198</v>
      </c>
      <c r="B8113" s="34" t="s">
        <v>17057</v>
      </c>
      <c r="C8113" s="34" t="s">
        <v>604</v>
      </c>
      <c r="E8113" s="30" t="s">
        <v>17058</v>
      </c>
      <c r="F8113" s="34" t="n">
        <f aca="false">IFERROR(VLOOKUP($A8113,'319'!$B:$H,7,0),0)</f>
        <v>0</v>
      </c>
      <c r="G8113" s="34" t="n">
        <f aca="false">SUMIFS('12.326ana'!$C:$C,'12.326ana'!$M:$M,redes!A8113)</f>
        <v>0</v>
      </c>
    </row>
    <row r="8114" customFormat="false" ht="14.4" hidden="true" customHeight="false" outlineLevel="0" collapsed="false">
      <c r="A8114" s="34" t="n">
        <v>3854444000182</v>
      </c>
      <c r="B8114" s="34" t="s">
        <v>17059</v>
      </c>
      <c r="C8114" s="34" t="s">
        <v>17060</v>
      </c>
      <c r="E8114" s="30"/>
      <c r="F8114" s="34" t="n">
        <f aca="false">IFERROR(VLOOKUP($A8114,'319'!$B:$H,7,0),0)</f>
        <v>0</v>
      </c>
      <c r="G8114" s="34" t="n">
        <f aca="false">SUMIFS('12.326ana'!$C:$C,'12.326ana'!$M:$M,redes!A8114)</f>
        <v>0</v>
      </c>
    </row>
    <row r="8115" customFormat="false" ht="14.4" hidden="true" customHeight="false" outlineLevel="0" collapsed="false">
      <c r="A8115" s="34" t="n">
        <v>3854727000124</v>
      </c>
      <c r="B8115" s="34" t="s">
        <v>17061</v>
      </c>
      <c r="C8115" s="34" t="s">
        <v>77</v>
      </c>
      <c r="E8115" s="30" t="s">
        <v>17062</v>
      </c>
      <c r="F8115" s="34" t="n">
        <f aca="false">IFERROR(VLOOKUP($A8115,'319'!$B:$H,7,0),0)</f>
        <v>0</v>
      </c>
      <c r="G8115" s="34" t="n">
        <f aca="false">SUMIFS('12.326ana'!$C:$C,'12.326ana'!$M:$M,redes!A8115)</f>
        <v>0</v>
      </c>
    </row>
    <row r="8116" customFormat="false" ht="14.4" hidden="true" customHeight="false" outlineLevel="0" collapsed="false">
      <c r="A8116" s="34" t="n">
        <v>3854830000174</v>
      </c>
      <c r="B8116" s="34" t="s">
        <v>17063</v>
      </c>
      <c r="C8116" s="34" t="s">
        <v>377</v>
      </c>
      <c r="E8116" s="30" t="s">
        <v>17064</v>
      </c>
      <c r="F8116" s="34" t="n">
        <f aca="false">IFERROR(VLOOKUP($A8116,'319'!$B:$H,7,0),0)</f>
        <v>0</v>
      </c>
      <c r="G8116" s="34" t="n">
        <f aca="false">SUMIFS('12.326ana'!$C:$C,'12.326ana'!$M:$M,redes!A8116)</f>
        <v>0</v>
      </c>
    </row>
    <row r="8117" customFormat="false" ht="14.4" hidden="true" customHeight="false" outlineLevel="0" collapsed="false">
      <c r="A8117" s="35" t="n">
        <v>3854840000100</v>
      </c>
      <c r="B8117" s="34" t="s">
        <v>17065</v>
      </c>
      <c r="C8117" s="34" t="s">
        <v>213</v>
      </c>
      <c r="E8117" s="30" t="s">
        <v>17066</v>
      </c>
      <c r="F8117" s="34" t="n">
        <f aca="false">IFERROR(VLOOKUP($A8117,'319'!$B:$H,7,0),0)</f>
        <v>0</v>
      </c>
      <c r="G8117" s="34" t="n">
        <f aca="false">SUMIFS('12.326ana'!$C:$C,'12.326ana'!$M:$M,redes!A8117)</f>
        <v>0</v>
      </c>
    </row>
    <row r="8118" customFormat="false" ht="14.4" hidden="true" customHeight="false" outlineLevel="0" collapsed="false">
      <c r="A8118" s="34" t="n">
        <v>3856643000120</v>
      </c>
      <c r="B8118" s="34" t="s">
        <v>17067</v>
      </c>
      <c r="C8118" s="34" t="s">
        <v>154</v>
      </c>
      <c r="E8118" s="30" t="s">
        <v>5548</v>
      </c>
      <c r="F8118" s="34" t="n">
        <f aca="false">IFERROR(VLOOKUP($A8118,'319'!$B:$H,7,0),0)</f>
        <v>0</v>
      </c>
      <c r="G8118" s="34" t="n">
        <f aca="false">SUMIFS('12.326ana'!$C:$C,'12.326ana'!$M:$M,redes!A8118)</f>
        <v>0</v>
      </c>
    </row>
    <row r="8119" customFormat="false" ht="14.4" hidden="true" customHeight="false" outlineLevel="0" collapsed="false">
      <c r="A8119" s="34" t="n">
        <v>3857291000127</v>
      </c>
      <c r="B8119" s="34" t="s">
        <v>17068</v>
      </c>
      <c r="C8119" s="34" t="s">
        <v>207</v>
      </c>
      <c r="E8119" s="30" t="s">
        <v>17069</v>
      </c>
      <c r="F8119" s="34" t="n">
        <f aca="false">IFERROR(VLOOKUP($A8119,'319'!$B:$H,7,0),0)</f>
        <v>0</v>
      </c>
      <c r="G8119" s="34" t="n">
        <f aca="false">SUMIFS('12.326ana'!$C:$C,'12.326ana'!$M:$M,redes!A8119)</f>
        <v>0</v>
      </c>
    </row>
    <row r="8120" customFormat="false" ht="14.4" hidden="true" customHeight="false" outlineLevel="0" collapsed="false">
      <c r="A8120" s="34" t="n">
        <v>3858817000193</v>
      </c>
      <c r="B8120" s="34" t="s">
        <v>17070</v>
      </c>
      <c r="C8120" s="34" t="s">
        <v>107</v>
      </c>
      <c r="E8120" s="30"/>
      <c r="F8120" s="34" t="n">
        <f aca="false">IFERROR(VLOOKUP($A8120,'319'!$B:$H,7,0),0)</f>
        <v>0</v>
      </c>
      <c r="G8120" s="34" t="n">
        <f aca="false">SUMIFS('12.326ana'!$C:$C,'12.326ana'!$M:$M,redes!A8120)</f>
        <v>0</v>
      </c>
    </row>
    <row r="8121" customFormat="false" ht="14.4" hidden="true" customHeight="false" outlineLevel="0" collapsed="false">
      <c r="A8121" s="34" t="n">
        <v>3859154000121</v>
      </c>
      <c r="B8121" s="34" t="s">
        <v>17071</v>
      </c>
      <c r="C8121" s="34" t="s">
        <v>604</v>
      </c>
      <c r="E8121" s="30" t="s">
        <v>17072</v>
      </c>
      <c r="F8121" s="34" t="n">
        <f aca="false">IFERROR(VLOOKUP($A8121,'319'!$B:$H,7,0),0)</f>
        <v>0</v>
      </c>
      <c r="G8121" s="34" t="n">
        <f aca="false">SUMIFS('12.326ana'!$C:$C,'12.326ana'!$M:$M,redes!A8121)</f>
        <v>0</v>
      </c>
    </row>
    <row r="8122" customFormat="false" ht="14.4" hidden="true" customHeight="false" outlineLevel="0" collapsed="false">
      <c r="A8122" s="34" t="n">
        <v>3859196000162</v>
      </c>
      <c r="B8122" s="34" t="s">
        <v>17073</v>
      </c>
      <c r="C8122" s="34" t="s">
        <v>604</v>
      </c>
      <c r="E8122" s="30" t="s">
        <v>17074</v>
      </c>
      <c r="F8122" s="34" t="n">
        <f aca="false">IFERROR(VLOOKUP($A8122,'319'!$B:$H,7,0),0)</f>
        <v>0</v>
      </c>
      <c r="G8122" s="34" t="n">
        <f aca="false">SUMIFS('12.326ana'!$C:$C,'12.326ana'!$M:$M,redes!A8122)</f>
        <v>0</v>
      </c>
    </row>
    <row r="8123" customFormat="false" ht="14.4" hidden="true" customHeight="false" outlineLevel="0" collapsed="false">
      <c r="A8123" s="34" t="n">
        <v>3859204000170</v>
      </c>
      <c r="B8123" s="34" t="s">
        <v>17075</v>
      </c>
      <c r="C8123" s="34" t="s">
        <v>604</v>
      </c>
      <c r="E8123" s="30" t="s">
        <v>3325</v>
      </c>
      <c r="F8123" s="34" t="n">
        <f aca="false">IFERROR(VLOOKUP($A8123,'319'!$B:$H,7,0),0)</f>
        <v>0</v>
      </c>
      <c r="G8123" s="34" t="n">
        <f aca="false">SUMIFS('12.326ana'!$C:$C,'12.326ana'!$M:$M,redes!A8123)</f>
        <v>0</v>
      </c>
    </row>
    <row r="8124" customFormat="false" ht="14.4" hidden="true" customHeight="false" outlineLevel="0" collapsed="false">
      <c r="A8124" s="34" t="n">
        <v>3859337000147</v>
      </c>
      <c r="B8124" s="34" t="s">
        <v>17076</v>
      </c>
      <c r="C8124" s="34" t="s">
        <v>604</v>
      </c>
      <c r="E8124" s="30" t="s">
        <v>17077</v>
      </c>
      <c r="F8124" s="34" t="n">
        <f aca="false">IFERROR(VLOOKUP($A8124,'319'!$B:$H,7,0),0)</f>
        <v>0</v>
      </c>
      <c r="G8124" s="34" t="n">
        <f aca="false">SUMIFS('12.326ana'!$C:$C,'12.326ana'!$M:$M,redes!A8124)</f>
        <v>0</v>
      </c>
    </row>
    <row r="8125" customFormat="false" ht="14.4" hidden="true" customHeight="false" outlineLevel="0" collapsed="false">
      <c r="A8125" s="34" t="n">
        <v>3860293000175</v>
      </c>
      <c r="B8125" s="34" t="s">
        <v>17078</v>
      </c>
      <c r="C8125" s="34" t="s">
        <v>935</v>
      </c>
      <c r="E8125" s="30" t="s">
        <v>2912</v>
      </c>
      <c r="F8125" s="34" t="n">
        <f aca="false">IFERROR(VLOOKUP($A8125,'319'!$B:$H,7,0),0)</f>
        <v>0</v>
      </c>
      <c r="G8125" s="34" t="n">
        <f aca="false">SUMIFS('12.326ana'!$C:$C,'12.326ana'!$M:$M,redes!A8125)</f>
        <v>0</v>
      </c>
    </row>
    <row r="8126" customFormat="false" ht="14.4" hidden="true" customHeight="false" outlineLevel="0" collapsed="false">
      <c r="A8126" s="34" t="n">
        <v>3860665000163</v>
      </c>
      <c r="B8126" s="34" t="s">
        <v>4928</v>
      </c>
      <c r="C8126" s="34" t="s">
        <v>721</v>
      </c>
      <c r="E8126" s="30" t="s">
        <v>4929</v>
      </c>
      <c r="F8126" s="34" t="n">
        <f aca="false">IFERROR(VLOOKUP($A8126,'319'!$B:$H,7,0),0)</f>
        <v>0</v>
      </c>
      <c r="G8126" s="34" t="n">
        <f aca="false">SUMIFS('12.326ana'!$C:$C,'12.326ana'!$M:$M,redes!A8126)</f>
        <v>0</v>
      </c>
    </row>
    <row r="8127" customFormat="false" ht="14.4" hidden="true" customHeight="false" outlineLevel="0" collapsed="false">
      <c r="A8127" s="34" t="n">
        <v>3861323000168</v>
      </c>
      <c r="B8127" s="34" t="s">
        <v>17079</v>
      </c>
      <c r="C8127" s="34" t="s">
        <v>473</v>
      </c>
      <c r="D8127" s="34" t="s">
        <v>4797</v>
      </c>
      <c r="E8127" s="30" t="s">
        <v>17080</v>
      </c>
      <c r="F8127" s="34" t="n">
        <f aca="false">IFERROR(VLOOKUP($A8127,'319'!$B:$H,7,0),0)</f>
        <v>0</v>
      </c>
      <c r="G8127" s="34" t="n">
        <f aca="false">SUMIFS('12.326ana'!$C:$C,'12.326ana'!$M:$M,redes!A8127)</f>
        <v>0</v>
      </c>
    </row>
    <row r="8128" customFormat="false" ht="14.4" hidden="true" customHeight="false" outlineLevel="0" collapsed="false">
      <c r="A8128" s="34" t="n">
        <v>3861960000134</v>
      </c>
      <c r="B8128" s="34" t="s">
        <v>17081</v>
      </c>
      <c r="C8128" s="34" t="s">
        <v>107</v>
      </c>
      <c r="E8128" s="30" t="s">
        <v>9155</v>
      </c>
      <c r="F8128" s="34" t="n">
        <f aca="false">IFERROR(VLOOKUP($A8128,'319'!$B:$H,7,0),0)</f>
        <v>0</v>
      </c>
      <c r="G8128" s="34" t="n">
        <f aca="false">SUMIFS('12.326ana'!$C:$C,'12.326ana'!$M:$M,redes!A8128)</f>
        <v>0</v>
      </c>
    </row>
    <row r="8129" customFormat="false" ht="14.4" hidden="true" customHeight="false" outlineLevel="0" collapsed="false">
      <c r="A8129" s="34" t="n">
        <v>3862547000194</v>
      </c>
      <c r="B8129" s="34" t="s">
        <v>17082</v>
      </c>
      <c r="C8129" s="34" t="s">
        <v>604</v>
      </c>
      <c r="E8129" s="30" t="s">
        <v>17083</v>
      </c>
      <c r="F8129" s="34" t="n">
        <f aca="false">IFERROR(VLOOKUP($A8129,'319'!$B:$H,7,0),0)</f>
        <v>0</v>
      </c>
      <c r="G8129" s="34" t="n">
        <f aca="false">SUMIFS('12.326ana'!$C:$C,'12.326ana'!$M:$M,redes!A8129)</f>
        <v>0</v>
      </c>
    </row>
    <row r="8130" customFormat="false" ht="14.4" hidden="true" customHeight="false" outlineLevel="0" collapsed="false">
      <c r="A8130" s="34" t="n">
        <v>3862675000138</v>
      </c>
      <c r="B8130" s="34" t="s">
        <v>17084</v>
      </c>
      <c r="C8130" s="34" t="s">
        <v>139</v>
      </c>
      <c r="E8130" s="30" t="s">
        <v>17085</v>
      </c>
      <c r="F8130" s="34" t="n">
        <f aca="false">IFERROR(VLOOKUP($A8130,'319'!$B:$H,7,0),0)</f>
        <v>0</v>
      </c>
      <c r="G8130" s="34" t="n">
        <f aca="false">SUMIFS('12.326ana'!$C:$C,'12.326ana'!$M:$M,redes!A8130)</f>
        <v>0</v>
      </c>
    </row>
    <row r="8131" customFormat="false" ht="14.4" hidden="true" customHeight="false" outlineLevel="0" collapsed="false">
      <c r="A8131" s="34" t="n">
        <v>3862682000130</v>
      </c>
      <c r="B8131" s="34" t="s">
        <v>17086</v>
      </c>
      <c r="C8131" s="34" t="s">
        <v>139</v>
      </c>
      <c r="E8131" s="30" t="s">
        <v>17087</v>
      </c>
      <c r="F8131" s="34" t="n">
        <f aca="false">IFERROR(VLOOKUP($A8131,'319'!$B:$H,7,0),0)</f>
        <v>0</v>
      </c>
      <c r="G8131" s="34" t="n">
        <f aca="false">SUMIFS('12.326ana'!$C:$C,'12.326ana'!$M:$M,redes!A8131)</f>
        <v>0</v>
      </c>
    </row>
    <row r="8132" customFormat="false" ht="14.4" hidden="true" customHeight="false" outlineLevel="0" collapsed="false">
      <c r="A8132" s="34" t="n">
        <v>3863081000141</v>
      </c>
      <c r="B8132" s="34" t="s">
        <v>2789</v>
      </c>
      <c r="C8132" s="34" t="s">
        <v>107</v>
      </c>
      <c r="D8132" s="34" t="s">
        <v>33</v>
      </c>
      <c r="E8132" s="30" t="s">
        <v>2790</v>
      </c>
      <c r="F8132" s="34" t="n">
        <f aca="false">IFERROR(VLOOKUP($A8132,'319'!$B:$H,7,0),0)</f>
        <v>0</v>
      </c>
      <c r="G8132" s="34" t="n">
        <f aca="false">SUMIFS('12.326ana'!$C:$C,'12.326ana'!$M:$M,redes!A8132)</f>
        <v>0</v>
      </c>
    </row>
    <row r="8133" customFormat="false" ht="14.4" hidden="true" customHeight="false" outlineLevel="0" collapsed="false">
      <c r="A8133" s="34" t="n">
        <v>3863081000222</v>
      </c>
      <c r="B8133" s="34" t="s">
        <v>17088</v>
      </c>
      <c r="C8133" s="34" t="s">
        <v>594</v>
      </c>
      <c r="E8133" s="30" t="s">
        <v>17089</v>
      </c>
      <c r="F8133" s="34" t="n">
        <f aca="false">IFERROR(VLOOKUP($A8133,'319'!$B:$H,7,0),0)</f>
        <v>0</v>
      </c>
      <c r="G8133" s="34" t="n">
        <f aca="false">SUMIFS('12.326ana'!$C:$C,'12.326ana'!$M:$M,redes!A8133)</f>
        <v>0</v>
      </c>
    </row>
    <row r="8134" customFormat="false" ht="14.4" hidden="true" customHeight="false" outlineLevel="0" collapsed="false">
      <c r="A8134" s="34" t="n">
        <v>3863081000303</v>
      </c>
      <c r="B8134" s="34" t="s">
        <v>17090</v>
      </c>
      <c r="C8134" s="34" t="s">
        <v>594</v>
      </c>
      <c r="E8134" s="30" t="s">
        <v>17091</v>
      </c>
      <c r="F8134" s="34" t="n">
        <f aca="false">IFERROR(VLOOKUP($A8134,'319'!$B:$H,7,0),0)</f>
        <v>0</v>
      </c>
      <c r="G8134" s="34" t="n">
        <f aca="false">SUMIFS('12.326ana'!$C:$C,'12.326ana'!$M:$M,redes!A8134)</f>
        <v>0</v>
      </c>
    </row>
    <row r="8135" customFormat="false" ht="14.4" hidden="true" customHeight="false" outlineLevel="0" collapsed="false">
      <c r="A8135" s="34" t="n">
        <v>3863081000494</v>
      </c>
      <c r="B8135" s="34" t="s">
        <v>17092</v>
      </c>
      <c r="C8135" s="34" t="s">
        <v>107</v>
      </c>
      <c r="E8135" s="30" t="s">
        <v>17093</v>
      </c>
      <c r="F8135" s="34" t="n">
        <f aca="false">IFERROR(VLOOKUP($A8135,'319'!$B:$H,7,0),0)</f>
        <v>0</v>
      </c>
      <c r="G8135" s="34" t="n">
        <f aca="false">SUMIFS('12.326ana'!$C:$C,'12.326ana'!$M:$M,redes!A8135)</f>
        <v>0</v>
      </c>
    </row>
    <row r="8136" customFormat="false" ht="14.4" hidden="true" customHeight="false" outlineLevel="0" collapsed="false">
      <c r="A8136" s="34" t="n">
        <v>3865649000163</v>
      </c>
      <c r="B8136" s="34" t="s">
        <v>17094</v>
      </c>
      <c r="C8136" s="34" t="s">
        <v>957</v>
      </c>
      <c r="E8136" s="30" t="s">
        <v>17095</v>
      </c>
      <c r="F8136" s="34" t="n">
        <f aca="false">IFERROR(VLOOKUP($A8136,'319'!$B:$H,7,0),0)</f>
        <v>0</v>
      </c>
      <c r="G8136" s="34" t="n">
        <f aca="false">SUMIFS('12.326ana'!$C:$C,'12.326ana'!$M:$M,redes!A8136)</f>
        <v>0</v>
      </c>
    </row>
    <row r="8137" customFormat="false" ht="14.4" hidden="true" customHeight="false" outlineLevel="0" collapsed="false">
      <c r="A8137" s="34" t="n">
        <v>3866048000175</v>
      </c>
      <c r="B8137" s="34" t="s">
        <v>17096</v>
      </c>
      <c r="C8137" s="34" t="s">
        <v>107</v>
      </c>
      <c r="D8137" s="34" t="s">
        <v>4797</v>
      </c>
      <c r="E8137" s="30" t="s">
        <v>17097</v>
      </c>
      <c r="F8137" s="34" t="n">
        <f aca="false">IFERROR(VLOOKUP($A8137,'319'!$B:$H,7,0),0)</f>
        <v>0</v>
      </c>
      <c r="G8137" s="34" t="n">
        <f aca="false">SUMIFS('12.326ana'!$C:$C,'12.326ana'!$M:$M,redes!A8137)</f>
        <v>0</v>
      </c>
    </row>
    <row r="8138" customFormat="false" ht="14.4" hidden="true" customHeight="false" outlineLevel="0" collapsed="false">
      <c r="A8138" s="34" t="n">
        <v>3866555000109</v>
      </c>
      <c r="B8138" s="34" t="s">
        <v>17098</v>
      </c>
      <c r="C8138" s="34" t="s">
        <v>192</v>
      </c>
      <c r="E8138" s="30" t="s">
        <v>17099</v>
      </c>
      <c r="F8138" s="34" t="n">
        <f aca="false">IFERROR(VLOOKUP($A8138,'319'!$B:$H,7,0),0)</f>
        <v>0</v>
      </c>
      <c r="G8138" s="34" t="n">
        <f aca="false">SUMIFS('12.326ana'!$C:$C,'12.326ana'!$M:$M,redes!A8138)</f>
        <v>0</v>
      </c>
    </row>
    <row r="8139" customFormat="false" ht="14.4" hidden="true" customHeight="false" outlineLevel="0" collapsed="false">
      <c r="A8139" s="34" t="n">
        <v>3868999000183</v>
      </c>
      <c r="B8139" s="34" t="s">
        <v>17100</v>
      </c>
      <c r="C8139" s="34" t="s">
        <v>89</v>
      </c>
      <c r="E8139" s="30" t="s">
        <v>17101</v>
      </c>
      <c r="F8139" s="34" t="n">
        <f aca="false">IFERROR(VLOOKUP($A8139,'319'!$B:$H,7,0),0)</f>
        <v>0</v>
      </c>
      <c r="G8139" s="34" t="n">
        <f aca="false">SUMIFS('12.326ana'!$C:$C,'12.326ana'!$M:$M,redes!A8139)</f>
        <v>0</v>
      </c>
    </row>
    <row r="8140" customFormat="false" ht="14.4" hidden="true" customHeight="false" outlineLevel="0" collapsed="false">
      <c r="A8140" s="34" t="n">
        <v>3870779000194</v>
      </c>
      <c r="B8140" s="34" t="s">
        <v>17102</v>
      </c>
      <c r="C8140" s="34" t="s">
        <v>77</v>
      </c>
      <c r="E8140" s="30" t="s">
        <v>17103</v>
      </c>
      <c r="F8140" s="34" t="n">
        <f aca="false">IFERROR(VLOOKUP($A8140,'319'!$B:$H,7,0),0)</f>
        <v>0</v>
      </c>
      <c r="G8140" s="34" t="n">
        <f aca="false">SUMIFS('12.326ana'!$C:$C,'12.326ana'!$M:$M,redes!A8140)</f>
        <v>0</v>
      </c>
    </row>
    <row r="8141" customFormat="false" ht="14.4" hidden="true" customHeight="false" outlineLevel="0" collapsed="false">
      <c r="A8141" s="34" t="n">
        <v>3872414000107</v>
      </c>
      <c r="B8141" s="34" t="s">
        <v>17104</v>
      </c>
      <c r="C8141" s="34" t="s">
        <v>77</v>
      </c>
      <c r="D8141" s="34" t="s">
        <v>5602</v>
      </c>
      <c r="E8141" s="30" t="s">
        <v>17105</v>
      </c>
      <c r="F8141" s="34" t="n">
        <f aca="false">IFERROR(VLOOKUP($A8141,'319'!$B:$H,7,0),0)</f>
        <v>0</v>
      </c>
      <c r="G8141" s="34" t="n">
        <f aca="false">SUMIFS('12.326ana'!$C:$C,'12.326ana'!$M:$M,redes!A8141)</f>
        <v>0</v>
      </c>
    </row>
    <row r="8142" customFormat="false" ht="14.4" hidden="true" customHeight="false" outlineLevel="0" collapsed="false">
      <c r="A8142" s="34" t="n">
        <v>3875378000127</v>
      </c>
      <c r="B8142" s="34" t="s">
        <v>17106</v>
      </c>
      <c r="C8142" s="34" t="s">
        <v>77</v>
      </c>
      <c r="E8142" s="30" t="s">
        <v>17107</v>
      </c>
      <c r="F8142" s="34" t="n">
        <f aca="false">IFERROR(VLOOKUP($A8142,'319'!$B:$H,7,0),0)</f>
        <v>0</v>
      </c>
      <c r="G8142" s="34" t="n">
        <f aca="false">SUMIFS('12.326ana'!$C:$C,'12.326ana'!$M:$M,redes!A8142)</f>
        <v>0</v>
      </c>
    </row>
    <row r="8143" customFormat="false" ht="14.4" hidden="true" customHeight="false" outlineLevel="0" collapsed="false">
      <c r="A8143" s="34" t="n">
        <v>3875378000208</v>
      </c>
      <c r="B8143" s="34" t="s">
        <v>17108</v>
      </c>
      <c r="C8143" s="34" t="s">
        <v>77</v>
      </c>
      <c r="E8143" s="30" t="s">
        <v>17109</v>
      </c>
      <c r="F8143" s="34" t="n">
        <f aca="false">IFERROR(VLOOKUP($A8143,'319'!$B:$H,7,0),0)</f>
        <v>0</v>
      </c>
      <c r="G8143" s="34" t="n">
        <f aca="false">SUMIFS('12.326ana'!$C:$C,'12.326ana'!$M:$M,redes!A8143)</f>
        <v>0</v>
      </c>
    </row>
    <row r="8144" customFormat="false" ht="14.4" hidden="true" customHeight="false" outlineLevel="0" collapsed="false">
      <c r="A8144" s="34" t="n">
        <v>3876489000158</v>
      </c>
      <c r="B8144" s="34" t="s">
        <v>17110</v>
      </c>
      <c r="C8144" s="34" t="s">
        <v>89</v>
      </c>
      <c r="E8144" s="30" t="s">
        <v>17111</v>
      </c>
      <c r="F8144" s="34" t="n">
        <f aca="false">IFERROR(VLOOKUP($A8144,'319'!$B:$H,7,0),0)</f>
        <v>0</v>
      </c>
      <c r="G8144" s="34" t="n">
        <f aca="false">SUMIFS('12.326ana'!$C:$C,'12.326ana'!$M:$M,redes!A8144)</f>
        <v>0</v>
      </c>
    </row>
    <row r="8145" customFormat="false" ht="14.4" hidden="true" customHeight="false" outlineLevel="0" collapsed="false">
      <c r="A8145" s="34" t="n">
        <v>3876978000100</v>
      </c>
      <c r="B8145" s="34" t="s">
        <v>17112</v>
      </c>
      <c r="C8145" s="34" t="s">
        <v>1680</v>
      </c>
      <c r="D8145" s="34" t="s">
        <v>3324</v>
      </c>
      <c r="E8145" s="30" t="s">
        <v>16771</v>
      </c>
      <c r="F8145" s="34" t="n">
        <f aca="false">IFERROR(VLOOKUP($A8145,'319'!$B:$H,7,0),0)</f>
        <v>0</v>
      </c>
      <c r="G8145" s="34" t="n">
        <f aca="false">SUMIFS('12.326ana'!$C:$C,'12.326ana'!$M:$M,redes!A8145)</f>
        <v>0</v>
      </c>
    </row>
    <row r="8146" customFormat="false" ht="14.4" hidden="true" customHeight="false" outlineLevel="0" collapsed="false">
      <c r="A8146" s="34" t="n">
        <v>3877417000125</v>
      </c>
      <c r="B8146" s="34" t="s">
        <v>17113</v>
      </c>
      <c r="C8146" s="34" t="s">
        <v>14155</v>
      </c>
      <c r="E8146" s="30" t="s">
        <v>17114</v>
      </c>
      <c r="F8146" s="34" t="n">
        <f aca="false">IFERROR(VLOOKUP($A8146,'319'!$B:$H,7,0),0)</f>
        <v>0</v>
      </c>
      <c r="G8146" s="34" t="n">
        <f aca="false">SUMIFS('12.326ana'!$C:$C,'12.326ana'!$M:$M,redes!A8146)</f>
        <v>0</v>
      </c>
    </row>
    <row r="8147" customFormat="false" ht="14.4" hidden="true" customHeight="false" outlineLevel="0" collapsed="false">
      <c r="A8147" s="34" t="n">
        <v>3880880000126</v>
      </c>
      <c r="B8147" s="34" t="s">
        <v>17115</v>
      </c>
      <c r="C8147" s="34" t="s">
        <v>77</v>
      </c>
      <c r="E8147" s="30" t="s">
        <v>17116</v>
      </c>
      <c r="F8147" s="34" t="n">
        <f aca="false">IFERROR(VLOOKUP($A8147,'319'!$B:$H,7,0),0)</f>
        <v>542.07</v>
      </c>
      <c r="G8147" s="34" t="n">
        <f aca="false">SUMIFS('12.326ana'!$C:$C,'12.326ana'!$M:$M,redes!A8147)</f>
        <v>0</v>
      </c>
    </row>
    <row r="8148" customFormat="false" ht="14.4" hidden="true" customHeight="false" outlineLevel="0" collapsed="false">
      <c r="A8148" s="34" t="n">
        <v>3880951000190</v>
      </c>
      <c r="B8148" s="34" t="s">
        <v>17117</v>
      </c>
      <c r="C8148" s="34" t="s">
        <v>77</v>
      </c>
      <c r="E8148" s="30" t="s">
        <v>17118</v>
      </c>
      <c r="F8148" s="34" t="n">
        <f aca="false">IFERROR(VLOOKUP($A8148,'319'!$B:$H,7,0),0)</f>
        <v>0</v>
      </c>
      <c r="G8148" s="34" t="n">
        <f aca="false">SUMIFS('12.326ana'!$C:$C,'12.326ana'!$M:$M,redes!A8148)</f>
        <v>0</v>
      </c>
    </row>
    <row r="8149" customFormat="false" ht="14.4" hidden="true" customHeight="false" outlineLevel="0" collapsed="false">
      <c r="A8149" s="34" t="n">
        <v>3883358000106</v>
      </c>
      <c r="B8149" s="34" t="s">
        <v>17119</v>
      </c>
      <c r="C8149" s="34" t="s">
        <v>77</v>
      </c>
      <c r="E8149" s="30" t="s">
        <v>4741</v>
      </c>
      <c r="F8149" s="34" t="n">
        <f aca="false">IFERROR(VLOOKUP($A8149,'319'!$B:$H,7,0),0)</f>
        <v>0</v>
      </c>
      <c r="G8149" s="34" t="n">
        <f aca="false">SUMIFS('12.326ana'!$C:$C,'12.326ana'!$M:$M,redes!A8149)</f>
        <v>0</v>
      </c>
    </row>
    <row r="8150" customFormat="false" ht="14.4" hidden="true" customHeight="false" outlineLevel="0" collapsed="false">
      <c r="A8150" s="34" t="n">
        <v>3883715000128</v>
      </c>
      <c r="B8150" s="34" t="s">
        <v>17120</v>
      </c>
      <c r="C8150" s="34" t="s">
        <v>197</v>
      </c>
      <c r="E8150" s="30" t="s">
        <v>17121</v>
      </c>
      <c r="F8150" s="34" t="n">
        <f aca="false">IFERROR(VLOOKUP($A8150,'319'!$B:$H,7,0),0)</f>
        <v>0</v>
      </c>
      <c r="G8150" s="34" t="n">
        <f aca="false">SUMIFS('12.326ana'!$C:$C,'12.326ana'!$M:$M,redes!A8150)</f>
        <v>0</v>
      </c>
    </row>
    <row r="8151" customFormat="false" ht="14.4" hidden="true" customHeight="false" outlineLevel="0" collapsed="false">
      <c r="A8151" s="34" t="n">
        <v>3884013000169</v>
      </c>
      <c r="B8151" s="34" t="s">
        <v>17122</v>
      </c>
      <c r="C8151" s="34" t="s">
        <v>77</v>
      </c>
      <c r="E8151" s="30" t="s">
        <v>17123</v>
      </c>
      <c r="F8151" s="34" t="n">
        <f aca="false">IFERROR(VLOOKUP($A8151,'319'!$B:$H,7,0),0)</f>
        <v>0</v>
      </c>
      <c r="G8151" s="34" t="n">
        <f aca="false">SUMIFS('12.326ana'!$C:$C,'12.326ana'!$M:$M,redes!A8151)</f>
        <v>0</v>
      </c>
    </row>
    <row r="8152" customFormat="false" ht="14.4" hidden="true" customHeight="false" outlineLevel="0" collapsed="false">
      <c r="A8152" s="34" t="n">
        <v>3884947000109</v>
      </c>
      <c r="B8152" s="34" t="s">
        <v>17124</v>
      </c>
      <c r="C8152" s="34" t="s">
        <v>192</v>
      </c>
      <c r="E8152" s="30" t="s">
        <v>17125</v>
      </c>
      <c r="F8152" s="34" t="n">
        <f aca="false">IFERROR(VLOOKUP($A8152,'319'!$B:$H,7,0),0)</f>
        <v>0</v>
      </c>
      <c r="G8152" s="34" t="n">
        <f aca="false">SUMIFS('12.326ana'!$C:$C,'12.326ana'!$M:$M,redes!A8152)</f>
        <v>0</v>
      </c>
    </row>
    <row r="8153" customFormat="false" ht="14.4" hidden="true" customHeight="false" outlineLevel="0" collapsed="false">
      <c r="A8153" s="34" t="n">
        <v>3886056000183</v>
      </c>
      <c r="B8153" s="34" t="s">
        <v>17126</v>
      </c>
      <c r="C8153" s="34" t="s">
        <v>1680</v>
      </c>
      <c r="E8153" s="30" t="s">
        <v>17127</v>
      </c>
      <c r="F8153" s="34" t="n">
        <f aca="false">IFERROR(VLOOKUP($A8153,'319'!$B:$H,7,0),0)</f>
        <v>0</v>
      </c>
      <c r="G8153" s="34" t="n">
        <f aca="false">SUMIFS('12.326ana'!$C:$C,'12.326ana'!$M:$M,redes!A8153)</f>
        <v>0</v>
      </c>
    </row>
    <row r="8154" customFormat="false" ht="14.4" hidden="true" customHeight="false" outlineLevel="0" collapsed="false">
      <c r="A8154" s="34" t="n">
        <v>3886067000163</v>
      </c>
      <c r="B8154" s="34" t="s">
        <v>17128</v>
      </c>
      <c r="C8154" s="34" t="s">
        <v>103</v>
      </c>
      <c r="E8154" s="30" t="s">
        <v>17129</v>
      </c>
      <c r="F8154" s="34" t="n">
        <f aca="false">IFERROR(VLOOKUP($A8154,'319'!$B:$H,7,0),0)</f>
        <v>0</v>
      </c>
      <c r="G8154" s="34" t="n">
        <f aca="false">SUMIFS('12.326ana'!$C:$C,'12.326ana'!$M:$M,redes!A8154)</f>
        <v>0</v>
      </c>
    </row>
    <row r="8155" customFormat="false" ht="14.4" hidden="true" customHeight="false" outlineLevel="0" collapsed="false">
      <c r="A8155" s="34" t="n">
        <v>3888791000126</v>
      </c>
      <c r="B8155" s="34" t="s">
        <v>17130</v>
      </c>
      <c r="C8155" s="34" t="s">
        <v>296</v>
      </c>
      <c r="E8155" s="30" t="s">
        <v>17131</v>
      </c>
      <c r="F8155" s="34" t="n">
        <f aca="false">IFERROR(VLOOKUP($A8155,'319'!$B:$H,7,0),0)</f>
        <v>0</v>
      </c>
      <c r="G8155" s="34" t="n">
        <f aca="false">SUMIFS('12.326ana'!$C:$C,'12.326ana'!$M:$M,redes!A8155)</f>
        <v>0</v>
      </c>
    </row>
    <row r="8156" customFormat="false" ht="14.4" hidden="true" customHeight="false" outlineLevel="0" collapsed="false">
      <c r="A8156" s="34" t="n">
        <v>3889371000164</v>
      </c>
      <c r="B8156" s="34" t="s">
        <v>17132</v>
      </c>
      <c r="C8156" s="34" t="s">
        <v>296</v>
      </c>
      <c r="E8156" s="30" t="s">
        <v>17133</v>
      </c>
      <c r="F8156" s="34" t="n">
        <f aca="false">IFERROR(VLOOKUP($A8156,'319'!$B:$H,7,0),0)</f>
        <v>0</v>
      </c>
      <c r="G8156" s="34" t="n">
        <f aca="false">SUMIFS('12.326ana'!$C:$C,'12.326ana'!$M:$M,redes!A8156)</f>
        <v>0</v>
      </c>
    </row>
    <row r="8157" customFormat="false" ht="14.4" hidden="true" customHeight="false" outlineLevel="0" collapsed="false">
      <c r="A8157" s="34" t="n">
        <v>3891151000256</v>
      </c>
      <c r="B8157" s="34" t="s">
        <v>17134</v>
      </c>
      <c r="C8157" s="34" t="s">
        <v>139</v>
      </c>
      <c r="E8157" s="30" t="s">
        <v>17135</v>
      </c>
      <c r="F8157" s="34" t="n">
        <f aca="false">IFERROR(VLOOKUP($A8157,'319'!$B:$H,7,0),0)</f>
        <v>0</v>
      </c>
      <c r="G8157" s="34" t="n">
        <f aca="false">SUMIFS('12.326ana'!$C:$C,'12.326ana'!$M:$M,redes!A8157)</f>
        <v>0</v>
      </c>
    </row>
    <row r="8158" customFormat="false" ht="14.4" hidden="true" customHeight="false" outlineLevel="0" collapsed="false">
      <c r="A8158" s="34" t="n">
        <v>3891157000142</v>
      </c>
      <c r="B8158" s="34" t="s">
        <v>17136</v>
      </c>
      <c r="C8158" s="34" t="s">
        <v>10103</v>
      </c>
      <c r="E8158" s="30" t="s">
        <v>17137</v>
      </c>
      <c r="F8158" s="34" t="n">
        <f aca="false">IFERROR(VLOOKUP($A8158,'319'!$B:$H,7,0),0)</f>
        <v>0</v>
      </c>
      <c r="G8158" s="34" t="n">
        <f aca="false">SUMIFS('12.326ana'!$C:$C,'12.326ana'!$M:$M,redes!A8158)</f>
        <v>0</v>
      </c>
    </row>
    <row r="8159" customFormat="false" ht="14.4" hidden="true" customHeight="false" outlineLevel="0" collapsed="false">
      <c r="A8159" s="34" t="n">
        <v>3891534000143</v>
      </c>
      <c r="B8159" s="34" t="s">
        <v>17138</v>
      </c>
      <c r="C8159" s="34" t="s">
        <v>77</v>
      </c>
      <c r="E8159" s="30" t="s">
        <v>17139</v>
      </c>
      <c r="F8159" s="34" t="n">
        <f aca="false">IFERROR(VLOOKUP($A8159,'319'!$B:$H,7,0),0)</f>
        <v>0</v>
      </c>
      <c r="G8159" s="34" t="n">
        <f aca="false">SUMIFS('12.326ana'!$C:$C,'12.326ana'!$M:$M,redes!A8159)</f>
        <v>0</v>
      </c>
    </row>
    <row r="8160" customFormat="false" ht="14.4" hidden="true" customHeight="false" outlineLevel="0" collapsed="false">
      <c r="A8160" s="34" t="n">
        <v>3893369000169</v>
      </c>
      <c r="B8160" s="34" t="s">
        <v>17140</v>
      </c>
      <c r="C8160" s="34" t="s">
        <v>103</v>
      </c>
      <c r="E8160" s="30" t="s">
        <v>17141</v>
      </c>
      <c r="F8160" s="34" t="n">
        <f aca="false">IFERROR(VLOOKUP($A8160,'319'!$B:$H,7,0),0)</f>
        <v>0</v>
      </c>
      <c r="G8160" s="34" t="n">
        <f aca="false">SUMIFS('12.326ana'!$C:$C,'12.326ana'!$M:$M,redes!A8160)</f>
        <v>0</v>
      </c>
    </row>
    <row r="8161" customFormat="false" ht="14.4" hidden="true" customHeight="false" outlineLevel="0" collapsed="false">
      <c r="A8161" s="34" t="n">
        <v>3893803000100</v>
      </c>
      <c r="B8161" s="34" t="s">
        <v>17142</v>
      </c>
      <c r="C8161" s="34" t="s">
        <v>77</v>
      </c>
      <c r="E8161" s="30" t="s">
        <v>17143</v>
      </c>
      <c r="F8161" s="34" t="n">
        <f aca="false">IFERROR(VLOOKUP($A8161,'319'!$B:$H,7,0),0)</f>
        <v>0</v>
      </c>
      <c r="G8161" s="34" t="n">
        <f aca="false">SUMIFS('12.326ana'!$C:$C,'12.326ana'!$M:$M,redes!A8161)</f>
        <v>0</v>
      </c>
    </row>
    <row r="8162" customFormat="false" ht="14.4" hidden="true" customHeight="false" outlineLevel="0" collapsed="false">
      <c r="A8162" s="34" t="n">
        <v>3894227000116</v>
      </c>
      <c r="B8162" s="34" t="s">
        <v>17144</v>
      </c>
      <c r="C8162" s="34" t="s">
        <v>103</v>
      </c>
      <c r="E8162" s="30" t="s">
        <v>17145</v>
      </c>
      <c r="F8162" s="34" t="n">
        <f aca="false">IFERROR(VLOOKUP($A8162,'319'!$B:$H,7,0),0)</f>
        <v>0</v>
      </c>
      <c r="G8162" s="34" t="n">
        <f aca="false">SUMIFS('12.326ana'!$C:$C,'12.326ana'!$M:$M,redes!A8162)</f>
        <v>0</v>
      </c>
    </row>
    <row r="8163" customFormat="false" ht="14.4" hidden="true" customHeight="false" outlineLevel="0" collapsed="false">
      <c r="A8163" s="34" t="n">
        <v>3894346000179</v>
      </c>
      <c r="B8163" s="34" t="s">
        <v>17146</v>
      </c>
      <c r="C8163" s="34" t="s">
        <v>1272</v>
      </c>
      <c r="E8163" s="30" t="s">
        <v>17147</v>
      </c>
      <c r="F8163" s="34" t="n">
        <f aca="false">IFERROR(VLOOKUP($A8163,'319'!$B:$H,7,0),0)</f>
        <v>0</v>
      </c>
      <c r="G8163" s="34" t="n">
        <f aca="false">SUMIFS('12.326ana'!$C:$C,'12.326ana'!$M:$M,redes!A8163)</f>
        <v>0</v>
      </c>
    </row>
    <row r="8164" customFormat="false" ht="14.4" hidden="true" customHeight="false" outlineLevel="0" collapsed="false">
      <c r="A8164" s="34" t="n">
        <v>3894615000105</v>
      </c>
      <c r="B8164" s="34" t="s">
        <v>17148</v>
      </c>
      <c r="C8164" s="34" t="s">
        <v>103</v>
      </c>
      <c r="E8164" s="30" t="s">
        <v>17149</v>
      </c>
      <c r="F8164" s="34" t="n">
        <f aca="false">IFERROR(VLOOKUP($A8164,'319'!$B:$H,7,0),0)</f>
        <v>0</v>
      </c>
      <c r="G8164" s="34" t="n">
        <f aca="false">SUMIFS('12.326ana'!$C:$C,'12.326ana'!$M:$M,redes!A8164)</f>
        <v>0</v>
      </c>
    </row>
    <row r="8165" customFormat="false" ht="14.4" hidden="true" customHeight="false" outlineLevel="0" collapsed="false">
      <c r="A8165" s="34" t="n">
        <v>3894667000173</v>
      </c>
      <c r="B8165" s="34" t="s">
        <v>17150</v>
      </c>
      <c r="C8165" s="34" t="s">
        <v>77</v>
      </c>
      <c r="E8165" s="30" t="s">
        <v>17151</v>
      </c>
      <c r="F8165" s="34" t="n">
        <f aca="false">IFERROR(VLOOKUP($A8165,'319'!$B:$H,7,0),0)</f>
        <v>0</v>
      </c>
      <c r="G8165" s="34" t="n">
        <f aca="false">SUMIFS('12.326ana'!$C:$C,'12.326ana'!$M:$M,redes!A8165)</f>
        <v>0</v>
      </c>
    </row>
    <row r="8166" customFormat="false" ht="14.4" hidden="true" customHeight="false" outlineLevel="0" collapsed="false">
      <c r="A8166" s="34" t="n">
        <v>3894866000181</v>
      </c>
      <c r="B8166" s="34" t="s">
        <v>17152</v>
      </c>
      <c r="C8166" s="34" t="s">
        <v>107</v>
      </c>
      <c r="E8166" s="30" t="s">
        <v>17153</v>
      </c>
      <c r="F8166" s="34" t="n">
        <f aca="false">IFERROR(VLOOKUP($A8166,'319'!$B:$H,7,0),0)</f>
        <v>0</v>
      </c>
      <c r="G8166" s="34" t="n">
        <f aca="false">SUMIFS('12.326ana'!$C:$C,'12.326ana'!$M:$M,redes!A8166)</f>
        <v>0</v>
      </c>
    </row>
    <row r="8167" customFormat="false" ht="14.4" hidden="true" customHeight="false" outlineLevel="0" collapsed="false">
      <c r="A8167" s="34" t="n">
        <v>3897833000195</v>
      </c>
      <c r="B8167" s="34" t="s">
        <v>17154</v>
      </c>
      <c r="C8167" s="34" t="s">
        <v>77</v>
      </c>
      <c r="E8167" s="30" t="s">
        <v>17155</v>
      </c>
      <c r="F8167" s="34" t="n">
        <f aca="false">IFERROR(VLOOKUP($A8167,'319'!$B:$H,7,0),0)</f>
        <v>0</v>
      </c>
      <c r="G8167" s="34" t="n">
        <f aca="false">SUMIFS('12.326ana'!$C:$C,'12.326ana'!$M:$M,redes!A8167)</f>
        <v>0</v>
      </c>
    </row>
    <row r="8168" customFormat="false" ht="14.4" hidden="true" customHeight="false" outlineLevel="0" collapsed="false">
      <c r="A8168" s="34" t="n">
        <v>3899663000188</v>
      </c>
      <c r="B8168" s="34" t="s">
        <v>17156</v>
      </c>
      <c r="C8168" s="34" t="s">
        <v>581</v>
      </c>
      <c r="E8168" s="30" t="s">
        <v>3440</v>
      </c>
      <c r="F8168" s="34" t="n">
        <f aca="false">IFERROR(VLOOKUP($A8168,'319'!$B:$H,7,0),0)</f>
        <v>161.73</v>
      </c>
      <c r="G8168" s="34" t="n">
        <f aca="false">SUMIFS('12.326ana'!$C:$C,'12.326ana'!$M:$M,redes!A8168)</f>
        <v>0</v>
      </c>
    </row>
    <row r="8169" customFormat="false" ht="14.4" hidden="true" customHeight="false" outlineLevel="0" collapsed="false">
      <c r="A8169" s="34" t="n">
        <v>3900214000102</v>
      </c>
      <c r="B8169" s="34" t="s">
        <v>17157</v>
      </c>
      <c r="C8169" s="34" t="s">
        <v>299</v>
      </c>
      <c r="E8169" s="30" t="s">
        <v>17158</v>
      </c>
      <c r="F8169" s="34" t="n">
        <f aca="false">IFERROR(VLOOKUP($A8169,'319'!$B:$H,7,0),0)</f>
        <v>0</v>
      </c>
      <c r="G8169" s="34" t="n">
        <f aca="false">SUMIFS('12.326ana'!$C:$C,'12.326ana'!$M:$M,redes!A8169)</f>
        <v>0</v>
      </c>
    </row>
    <row r="8170" customFormat="false" ht="14.4" hidden="true" customHeight="false" outlineLevel="0" collapsed="false">
      <c r="A8170" s="34" t="n">
        <v>3900456000368</v>
      </c>
      <c r="B8170" s="34" t="s">
        <v>17159</v>
      </c>
      <c r="C8170" s="34" t="s">
        <v>77</v>
      </c>
      <c r="E8170" s="30" t="s">
        <v>17160</v>
      </c>
      <c r="F8170" s="34" t="n">
        <f aca="false">IFERROR(VLOOKUP($A8170,'319'!$B:$H,7,0),0)</f>
        <v>0</v>
      </c>
      <c r="G8170" s="34" t="n">
        <f aca="false">SUMIFS('12.326ana'!$C:$C,'12.326ana'!$M:$M,redes!A8170)</f>
        <v>0</v>
      </c>
    </row>
    <row r="8171" customFormat="false" ht="14.4" hidden="true" customHeight="false" outlineLevel="0" collapsed="false">
      <c r="A8171" s="34" t="n">
        <v>3903464000104</v>
      </c>
      <c r="B8171" s="34" t="s">
        <v>17161</v>
      </c>
      <c r="C8171" s="34" t="s">
        <v>1680</v>
      </c>
      <c r="E8171" s="30" t="s">
        <v>17162</v>
      </c>
      <c r="F8171" s="34" t="n">
        <f aca="false">IFERROR(VLOOKUP($A8171,'319'!$B:$H,7,0),0)</f>
        <v>0</v>
      </c>
      <c r="G8171" s="34" t="n">
        <f aca="false">SUMIFS('12.326ana'!$C:$C,'12.326ana'!$M:$M,redes!A8171)</f>
        <v>0</v>
      </c>
    </row>
    <row r="8172" customFormat="false" ht="14.4" hidden="true" customHeight="false" outlineLevel="0" collapsed="false">
      <c r="A8172" s="34" t="n">
        <v>3903747000148</v>
      </c>
      <c r="B8172" s="34" t="s">
        <v>17163</v>
      </c>
      <c r="C8172" s="34" t="s">
        <v>299</v>
      </c>
      <c r="E8172" s="30" t="s">
        <v>17164</v>
      </c>
      <c r="F8172" s="34" t="n">
        <f aca="false">IFERROR(VLOOKUP($A8172,'319'!$B:$H,7,0),0)</f>
        <v>0</v>
      </c>
      <c r="G8172" s="34" t="n">
        <f aca="false">SUMIFS('12.326ana'!$C:$C,'12.326ana'!$M:$M,redes!A8172)</f>
        <v>0</v>
      </c>
    </row>
    <row r="8173" customFormat="false" ht="14.4" hidden="true" customHeight="false" outlineLevel="0" collapsed="false">
      <c r="A8173" s="34" t="n">
        <v>3903820000181</v>
      </c>
      <c r="B8173" s="34" t="s">
        <v>17165</v>
      </c>
      <c r="C8173" s="34" t="s">
        <v>309</v>
      </c>
      <c r="E8173" s="30" t="s">
        <v>17166</v>
      </c>
      <c r="F8173" s="34" t="n">
        <f aca="false">IFERROR(VLOOKUP($A8173,'319'!$B:$H,7,0),0)</f>
        <v>0</v>
      </c>
      <c r="G8173" s="34" t="n">
        <f aca="false">SUMIFS('12.326ana'!$C:$C,'12.326ana'!$M:$M,redes!A8173)</f>
        <v>0</v>
      </c>
    </row>
    <row r="8174" customFormat="false" ht="14.4" hidden="true" customHeight="false" outlineLevel="0" collapsed="false">
      <c r="A8174" s="34" t="n">
        <v>3905042000160</v>
      </c>
      <c r="B8174" s="34" t="s">
        <v>17167</v>
      </c>
      <c r="C8174" s="34" t="s">
        <v>351</v>
      </c>
      <c r="E8174" s="30" t="s">
        <v>17168</v>
      </c>
      <c r="F8174" s="34" t="n">
        <f aca="false">IFERROR(VLOOKUP($A8174,'319'!$B:$H,7,0),0)</f>
        <v>0</v>
      </c>
      <c r="G8174" s="34" t="n">
        <f aca="false">SUMIFS('12.326ana'!$C:$C,'12.326ana'!$M:$M,redes!A8174)</f>
        <v>0</v>
      </c>
    </row>
    <row r="8175" customFormat="false" ht="14.4" hidden="true" customHeight="false" outlineLevel="0" collapsed="false">
      <c r="A8175" s="34" t="n">
        <v>3905396000104</v>
      </c>
      <c r="B8175" s="34" t="s">
        <v>17169</v>
      </c>
      <c r="C8175" s="34" t="s">
        <v>77</v>
      </c>
      <c r="E8175" s="30" t="s">
        <v>17170</v>
      </c>
      <c r="F8175" s="34" t="n">
        <f aca="false">IFERROR(VLOOKUP($A8175,'319'!$B:$H,7,0),0)</f>
        <v>0</v>
      </c>
      <c r="G8175" s="34" t="n">
        <f aca="false">SUMIFS('12.326ana'!$C:$C,'12.326ana'!$M:$M,redes!A8175)</f>
        <v>0</v>
      </c>
    </row>
    <row r="8176" customFormat="false" ht="14.4" hidden="true" customHeight="false" outlineLevel="0" collapsed="false">
      <c r="A8176" s="34" t="n">
        <v>3906117000127</v>
      </c>
      <c r="B8176" s="34" t="s">
        <v>17171</v>
      </c>
      <c r="C8176" s="34" t="s">
        <v>77</v>
      </c>
      <c r="E8176" s="30" t="s">
        <v>6944</v>
      </c>
      <c r="F8176" s="34" t="n">
        <f aca="false">IFERROR(VLOOKUP($A8176,'319'!$B:$H,7,0),0)</f>
        <v>0</v>
      </c>
      <c r="G8176" s="34" t="n">
        <f aca="false">SUMIFS('12.326ana'!$C:$C,'12.326ana'!$M:$M,redes!A8176)</f>
        <v>0</v>
      </c>
    </row>
    <row r="8177" customFormat="false" ht="14.4" hidden="true" customHeight="false" outlineLevel="0" collapsed="false">
      <c r="A8177" s="34" t="n">
        <v>3911178000344</v>
      </c>
      <c r="B8177" s="34" t="s">
        <v>17172</v>
      </c>
      <c r="C8177" s="34" t="s">
        <v>77</v>
      </c>
      <c r="E8177" s="30" t="s">
        <v>17173</v>
      </c>
      <c r="F8177" s="34" t="n">
        <f aca="false">IFERROR(VLOOKUP($A8177,'319'!$B:$H,7,0),0)</f>
        <v>0</v>
      </c>
      <c r="G8177" s="34" t="n">
        <f aca="false">SUMIFS('12.326ana'!$C:$C,'12.326ana'!$M:$M,redes!A8177)</f>
        <v>0</v>
      </c>
    </row>
    <row r="8178" customFormat="false" ht="14.4" hidden="true" customHeight="false" outlineLevel="0" collapsed="false">
      <c r="A8178" s="34" t="n">
        <v>3911720000105</v>
      </c>
      <c r="B8178" s="34" t="s">
        <v>17174</v>
      </c>
      <c r="C8178" s="34" t="s">
        <v>192</v>
      </c>
      <c r="E8178" s="30" t="s">
        <v>10234</v>
      </c>
      <c r="F8178" s="34" t="n">
        <f aca="false">IFERROR(VLOOKUP($A8178,'319'!$B:$H,7,0),0)</f>
        <v>0</v>
      </c>
      <c r="G8178" s="34" t="n">
        <f aca="false">SUMIFS('12.326ana'!$C:$C,'12.326ana'!$M:$M,redes!A8178)</f>
        <v>0</v>
      </c>
    </row>
    <row r="8179" customFormat="false" ht="14.4" hidden="true" customHeight="false" outlineLevel="0" collapsed="false">
      <c r="A8179" s="34" t="n">
        <v>3912045000120</v>
      </c>
      <c r="B8179" s="34" t="s">
        <v>17175</v>
      </c>
      <c r="C8179" s="34" t="s">
        <v>77</v>
      </c>
      <c r="E8179" s="30" t="s">
        <v>6218</v>
      </c>
      <c r="F8179" s="34" t="n">
        <f aca="false">IFERROR(VLOOKUP($A8179,'319'!$B:$H,7,0),0)</f>
        <v>0</v>
      </c>
      <c r="G8179" s="34" t="n">
        <f aca="false">SUMIFS('12.326ana'!$C:$C,'12.326ana'!$M:$M,redes!A8179)</f>
        <v>0</v>
      </c>
    </row>
    <row r="8180" customFormat="false" ht="14.4" hidden="true" customHeight="false" outlineLevel="0" collapsed="false">
      <c r="A8180" s="34" t="n">
        <v>3913921000133</v>
      </c>
      <c r="B8180" s="34" t="s">
        <v>17176</v>
      </c>
      <c r="C8180" s="34" t="s">
        <v>197</v>
      </c>
      <c r="E8180" s="30" t="s">
        <v>14769</v>
      </c>
      <c r="F8180" s="34" t="n">
        <f aca="false">IFERROR(VLOOKUP($A8180,'319'!$B:$H,7,0),0)</f>
        <v>0</v>
      </c>
      <c r="G8180" s="34" t="n">
        <f aca="false">SUMIFS('12.326ana'!$C:$C,'12.326ana'!$M:$M,redes!A8180)</f>
        <v>0</v>
      </c>
    </row>
    <row r="8181" customFormat="false" ht="14.4" hidden="true" customHeight="false" outlineLevel="0" collapsed="false">
      <c r="A8181" s="34" t="n">
        <v>3914665000107</v>
      </c>
      <c r="B8181" s="34" t="s">
        <v>17177</v>
      </c>
      <c r="C8181" s="34" t="s">
        <v>107</v>
      </c>
      <c r="E8181" s="30" t="s">
        <v>17178</v>
      </c>
      <c r="F8181" s="34" t="n">
        <f aca="false">IFERROR(VLOOKUP($A8181,'319'!$B:$H,7,0),0)</f>
        <v>0</v>
      </c>
      <c r="G8181" s="34" t="n">
        <f aca="false">SUMIFS('12.326ana'!$C:$C,'12.326ana'!$M:$M,redes!A8181)</f>
        <v>0</v>
      </c>
    </row>
    <row r="8182" customFormat="false" ht="14.4" hidden="true" customHeight="false" outlineLevel="0" collapsed="false">
      <c r="A8182" s="34" t="n">
        <v>3914846000125</v>
      </c>
      <c r="B8182" s="34" t="s">
        <v>17179</v>
      </c>
      <c r="C8182" s="34" t="s">
        <v>103</v>
      </c>
      <c r="E8182" s="30" t="s">
        <v>17180</v>
      </c>
      <c r="F8182" s="34" t="n">
        <f aca="false">IFERROR(VLOOKUP($A8182,'319'!$B:$H,7,0),0)</f>
        <v>0</v>
      </c>
      <c r="G8182" s="34" t="n">
        <f aca="false">SUMIFS('12.326ana'!$C:$C,'12.326ana'!$M:$M,redes!A8182)</f>
        <v>0</v>
      </c>
    </row>
    <row r="8183" customFormat="false" ht="14.4" hidden="true" customHeight="false" outlineLevel="0" collapsed="false">
      <c r="A8183" s="34" t="n">
        <v>3914876000131</v>
      </c>
      <c r="B8183" s="34" t="s">
        <v>17181</v>
      </c>
      <c r="C8183" s="34" t="s">
        <v>77</v>
      </c>
      <c r="E8183" s="30" t="s">
        <v>17182</v>
      </c>
      <c r="F8183" s="34" t="n">
        <f aca="false">IFERROR(VLOOKUP($A8183,'319'!$B:$H,7,0),0)</f>
        <v>0</v>
      </c>
      <c r="G8183" s="34" t="n">
        <f aca="false">SUMIFS('12.326ana'!$C:$C,'12.326ana'!$M:$M,redes!A8183)</f>
        <v>0</v>
      </c>
    </row>
    <row r="8184" customFormat="false" ht="14.4" hidden="true" customHeight="false" outlineLevel="0" collapsed="false">
      <c r="A8184" s="34" t="n">
        <v>3916920000142</v>
      </c>
      <c r="B8184" s="34" t="s">
        <v>17183</v>
      </c>
      <c r="C8184" s="34" t="s">
        <v>77</v>
      </c>
      <c r="E8184" s="30" t="s">
        <v>17184</v>
      </c>
      <c r="F8184" s="34" t="n">
        <f aca="false">IFERROR(VLOOKUP($A8184,'319'!$B:$H,7,0),0)</f>
        <v>0</v>
      </c>
      <c r="G8184" s="34" t="n">
        <f aca="false">SUMIFS('12.326ana'!$C:$C,'12.326ana'!$M:$M,redes!A8184)</f>
        <v>0</v>
      </c>
    </row>
    <row r="8185" customFormat="false" ht="14.4" hidden="true" customHeight="false" outlineLevel="0" collapsed="false">
      <c r="A8185" s="34" t="n">
        <v>3917162000187</v>
      </c>
      <c r="B8185" s="34" t="s">
        <v>17185</v>
      </c>
      <c r="C8185" s="34" t="s">
        <v>77</v>
      </c>
      <c r="E8185" s="30" t="s">
        <v>11333</v>
      </c>
      <c r="F8185" s="34" t="n">
        <f aca="false">IFERROR(VLOOKUP($A8185,'319'!$B:$H,7,0),0)</f>
        <v>0</v>
      </c>
      <c r="G8185" s="34" t="n">
        <f aca="false">SUMIFS('12.326ana'!$C:$C,'12.326ana'!$M:$M,redes!A8185)</f>
        <v>0</v>
      </c>
    </row>
    <row r="8186" customFormat="false" ht="14.4" hidden="true" customHeight="false" outlineLevel="0" collapsed="false">
      <c r="A8186" s="34" t="n">
        <v>3917260000114</v>
      </c>
      <c r="B8186" s="34" t="s">
        <v>17186</v>
      </c>
      <c r="C8186" s="34" t="s">
        <v>77</v>
      </c>
      <c r="E8186" s="30" t="s">
        <v>17187</v>
      </c>
      <c r="F8186" s="34" t="n">
        <f aca="false">IFERROR(VLOOKUP($A8186,'319'!$B:$H,7,0),0)</f>
        <v>0</v>
      </c>
      <c r="G8186" s="34" t="n">
        <f aca="false">SUMIFS('12.326ana'!$C:$C,'12.326ana'!$M:$M,redes!A8186)</f>
        <v>0</v>
      </c>
    </row>
    <row r="8187" customFormat="false" ht="14.4" hidden="true" customHeight="false" outlineLevel="0" collapsed="false">
      <c r="A8187" s="34" t="n">
        <v>3917659000103</v>
      </c>
      <c r="B8187" s="34" t="s">
        <v>17188</v>
      </c>
      <c r="C8187" s="34" t="s">
        <v>107</v>
      </c>
      <c r="E8187" s="30" t="s">
        <v>17189</v>
      </c>
      <c r="F8187" s="34" t="n">
        <f aca="false">IFERROR(VLOOKUP($A8187,'319'!$B:$H,7,0),0)</f>
        <v>0</v>
      </c>
      <c r="G8187" s="34" t="n">
        <f aca="false">SUMIFS('12.326ana'!$C:$C,'12.326ana'!$M:$M,redes!A8187)</f>
        <v>0</v>
      </c>
    </row>
    <row r="8188" customFormat="false" ht="14.4" hidden="true" customHeight="false" outlineLevel="0" collapsed="false">
      <c r="A8188" s="34" t="n">
        <v>3920821000134</v>
      </c>
      <c r="B8188" s="34" t="s">
        <v>17190</v>
      </c>
      <c r="C8188" s="34" t="s">
        <v>77</v>
      </c>
      <c r="E8188" s="30" t="s">
        <v>17191</v>
      </c>
      <c r="F8188" s="34" t="n">
        <f aca="false">IFERROR(VLOOKUP($A8188,'319'!$B:$H,7,0),0)</f>
        <v>0</v>
      </c>
      <c r="G8188" s="34" t="n">
        <f aca="false">SUMIFS('12.326ana'!$C:$C,'12.326ana'!$M:$M,redes!A8188)</f>
        <v>0</v>
      </c>
    </row>
    <row r="8189" customFormat="false" ht="14.4" hidden="true" customHeight="false" outlineLevel="0" collapsed="false">
      <c r="A8189" s="34" t="n">
        <v>3920863000175</v>
      </c>
      <c r="B8189" s="34" t="s">
        <v>17192</v>
      </c>
      <c r="C8189" s="34" t="s">
        <v>77</v>
      </c>
      <c r="E8189" s="30" t="s">
        <v>17193</v>
      </c>
      <c r="F8189" s="34" t="n">
        <f aca="false">IFERROR(VLOOKUP($A8189,'319'!$B:$H,7,0),0)</f>
        <v>0</v>
      </c>
      <c r="G8189" s="34" t="n">
        <f aca="false">SUMIFS('12.326ana'!$C:$C,'12.326ana'!$M:$M,redes!A8189)</f>
        <v>0</v>
      </c>
    </row>
    <row r="8190" customFormat="false" ht="14.4" hidden="true" customHeight="false" outlineLevel="0" collapsed="false">
      <c r="A8190" s="34" t="n">
        <v>3921855000143</v>
      </c>
      <c r="B8190" s="34" t="s">
        <v>17194</v>
      </c>
      <c r="C8190" s="34" t="s">
        <v>328</v>
      </c>
      <c r="E8190" s="30" t="s">
        <v>17195</v>
      </c>
      <c r="F8190" s="34" t="n">
        <f aca="false">IFERROR(VLOOKUP($A8190,'319'!$B:$H,7,0),0)</f>
        <v>0</v>
      </c>
      <c r="G8190" s="34" t="n">
        <f aca="false">SUMIFS('12.326ana'!$C:$C,'12.326ana'!$M:$M,redes!A8190)</f>
        <v>0</v>
      </c>
    </row>
    <row r="8191" customFormat="false" ht="14.4" hidden="true" customHeight="false" outlineLevel="0" collapsed="false">
      <c r="A8191" s="34" t="n">
        <v>3921970000118</v>
      </c>
      <c r="B8191" s="34" t="s">
        <v>17196</v>
      </c>
      <c r="C8191" s="34" t="s">
        <v>336</v>
      </c>
      <c r="E8191" s="30" t="s">
        <v>17197</v>
      </c>
      <c r="F8191" s="34" t="n">
        <f aca="false">IFERROR(VLOOKUP($A8191,'319'!$B:$H,7,0),0)</f>
        <v>0</v>
      </c>
      <c r="G8191" s="34" t="n">
        <f aca="false">SUMIFS('12.326ana'!$C:$C,'12.326ana'!$M:$M,redes!A8191)</f>
        <v>0</v>
      </c>
    </row>
    <row r="8192" customFormat="false" ht="14.4" hidden="true" customHeight="false" outlineLevel="0" collapsed="false">
      <c r="A8192" s="34" t="n">
        <v>3922218000191</v>
      </c>
      <c r="B8192" s="34" t="s">
        <v>17198</v>
      </c>
      <c r="C8192" s="34" t="s">
        <v>809</v>
      </c>
      <c r="E8192" s="30" t="s">
        <v>17199</v>
      </c>
      <c r="F8192" s="34" t="n">
        <f aca="false">IFERROR(VLOOKUP($A8192,'319'!$B:$H,7,0),0)</f>
        <v>0</v>
      </c>
      <c r="G8192" s="34" t="n">
        <f aca="false">SUMIFS('12.326ana'!$C:$C,'12.326ana'!$M:$M,redes!A8192)</f>
        <v>0</v>
      </c>
    </row>
    <row r="8193" customFormat="false" ht="14.4" hidden="true" customHeight="false" outlineLevel="0" collapsed="false">
      <c r="A8193" s="34" t="n">
        <v>3923075000132</v>
      </c>
      <c r="B8193" s="34" t="s">
        <v>17200</v>
      </c>
      <c r="C8193" s="34" t="s">
        <v>336</v>
      </c>
      <c r="E8193" s="30" t="s">
        <v>17201</v>
      </c>
      <c r="F8193" s="34" t="n">
        <f aca="false">IFERROR(VLOOKUP($A8193,'319'!$B:$H,7,0),0)</f>
        <v>0</v>
      </c>
      <c r="G8193" s="34" t="n">
        <f aca="false">SUMIFS('12.326ana'!$C:$C,'12.326ana'!$M:$M,redes!A8193)</f>
        <v>0</v>
      </c>
    </row>
    <row r="8194" customFormat="false" ht="14.4" hidden="true" customHeight="false" outlineLevel="0" collapsed="false">
      <c r="A8194" s="34" t="n">
        <v>3923252000180</v>
      </c>
      <c r="B8194" s="34" t="s">
        <v>17202</v>
      </c>
      <c r="C8194" s="34" t="s">
        <v>77</v>
      </c>
      <c r="E8194" s="30" t="s">
        <v>11437</v>
      </c>
      <c r="F8194" s="34" t="n">
        <f aca="false">IFERROR(VLOOKUP($A8194,'319'!$B:$H,7,0),0)</f>
        <v>0</v>
      </c>
      <c r="G8194" s="34" t="n">
        <f aca="false">SUMIFS('12.326ana'!$C:$C,'12.326ana'!$M:$M,redes!A8194)</f>
        <v>0</v>
      </c>
    </row>
    <row r="8195" customFormat="false" ht="14.4" hidden="true" customHeight="false" outlineLevel="0" collapsed="false">
      <c r="A8195" s="34" t="n">
        <v>3923455000177</v>
      </c>
      <c r="B8195" s="34" t="s">
        <v>17203</v>
      </c>
      <c r="C8195" s="34" t="s">
        <v>1306</v>
      </c>
      <c r="E8195" s="30" t="s">
        <v>8490</v>
      </c>
      <c r="F8195" s="34" t="n">
        <f aca="false">IFERROR(VLOOKUP($A8195,'319'!$B:$H,7,0),0)</f>
        <v>0</v>
      </c>
      <c r="G8195" s="34" t="n">
        <f aca="false">SUMIFS('12.326ana'!$C:$C,'12.326ana'!$M:$M,redes!A8195)</f>
        <v>0</v>
      </c>
    </row>
    <row r="8196" customFormat="false" ht="14.4" hidden="true" customHeight="false" outlineLevel="0" collapsed="false">
      <c r="A8196" s="34" t="n">
        <v>3926127000124</v>
      </c>
      <c r="B8196" s="34" t="s">
        <v>17204</v>
      </c>
      <c r="C8196" s="34" t="s">
        <v>77</v>
      </c>
      <c r="E8196" s="30" t="s">
        <v>17205</v>
      </c>
      <c r="F8196" s="34" t="n">
        <f aca="false">IFERROR(VLOOKUP($A8196,'319'!$B:$H,7,0),0)</f>
        <v>0</v>
      </c>
      <c r="G8196" s="34" t="n">
        <f aca="false">SUMIFS('12.326ana'!$C:$C,'12.326ana'!$M:$M,redes!A8196)</f>
        <v>0</v>
      </c>
    </row>
    <row r="8197" customFormat="false" ht="14.4" hidden="true" customHeight="false" outlineLevel="0" collapsed="false">
      <c r="A8197" s="34" t="n">
        <v>3926643000159</v>
      </c>
      <c r="B8197" s="34" t="s">
        <v>17206</v>
      </c>
      <c r="C8197" s="34" t="s">
        <v>77</v>
      </c>
      <c r="E8197" s="30" t="s">
        <v>17207</v>
      </c>
      <c r="F8197" s="34" t="n">
        <f aca="false">IFERROR(VLOOKUP($A8197,'319'!$B:$H,7,0),0)</f>
        <v>0</v>
      </c>
      <c r="G8197" s="34" t="n">
        <f aca="false">SUMIFS('12.326ana'!$C:$C,'12.326ana'!$M:$M,redes!A8197)</f>
        <v>0</v>
      </c>
    </row>
    <row r="8198" customFormat="false" ht="14.4" hidden="true" customHeight="false" outlineLevel="0" collapsed="false">
      <c r="A8198" s="34" t="n">
        <v>3932152000110</v>
      </c>
      <c r="B8198" s="34" t="s">
        <v>17208</v>
      </c>
      <c r="C8198" s="34" t="s">
        <v>77</v>
      </c>
      <c r="E8198" s="30" t="s">
        <v>17209</v>
      </c>
      <c r="F8198" s="34" t="n">
        <f aca="false">IFERROR(VLOOKUP($A8198,'319'!$B:$H,7,0),0)</f>
        <v>0</v>
      </c>
      <c r="G8198" s="34" t="n">
        <f aca="false">SUMIFS('12.326ana'!$C:$C,'12.326ana'!$M:$M,redes!A8198)</f>
        <v>0</v>
      </c>
    </row>
    <row r="8199" customFormat="false" ht="14.4" hidden="true" customHeight="false" outlineLevel="0" collapsed="false">
      <c r="A8199" s="34" t="n">
        <v>3932152000200</v>
      </c>
      <c r="B8199" s="34" t="s">
        <v>17208</v>
      </c>
      <c r="C8199" s="34" t="s">
        <v>77</v>
      </c>
      <c r="E8199" s="30" t="s">
        <v>17210</v>
      </c>
      <c r="F8199" s="34" t="n">
        <f aca="false">IFERROR(VLOOKUP($A8199,'319'!$B:$H,7,0),0)</f>
        <v>0</v>
      </c>
      <c r="G8199" s="34" t="n">
        <f aca="false">SUMIFS('12.326ana'!$C:$C,'12.326ana'!$M:$M,redes!A8199)</f>
        <v>0</v>
      </c>
    </row>
    <row r="8200" customFormat="false" ht="14.4" hidden="true" customHeight="false" outlineLevel="0" collapsed="false">
      <c r="A8200" s="34" t="n">
        <v>3935235000163</v>
      </c>
      <c r="B8200" s="34" t="s">
        <v>17211</v>
      </c>
      <c r="C8200" s="34" t="s">
        <v>154</v>
      </c>
      <c r="E8200" s="30" t="s">
        <v>17212</v>
      </c>
      <c r="F8200" s="34" t="n">
        <f aca="false">IFERROR(VLOOKUP($A8200,'319'!$B:$H,7,0),0)</f>
        <v>0</v>
      </c>
      <c r="G8200" s="34" t="n">
        <f aca="false">SUMIFS('12.326ana'!$C:$C,'12.326ana'!$M:$M,redes!A8200)</f>
        <v>0</v>
      </c>
    </row>
    <row r="8201" customFormat="false" ht="14.4" hidden="true" customHeight="false" outlineLevel="0" collapsed="false">
      <c r="A8201" s="34" t="n">
        <v>3937719000141</v>
      </c>
      <c r="B8201" s="34" t="s">
        <v>17213</v>
      </c>
      <c r="C8201" s="34" t="s">
        <v>781</v>
      </c>
      <c r="E8201" s="30" t="s">
        <v>17214</v>
      </c>
      <c r="F8201" s="34" t="n">
        <f aca="false">IFERROR(VLOOKUP($A8201,'319'!$B:$H,7,0),0)</f>
        <v>0</v>
      </c>
      <c r="G8201" s="34" t="n">
        <f aca="false">SUMIFS('12.326ana'!$C:$C,'12.326ana'!$M:$M,redes!A8201)</f>
        <v>0</v>
      </c>
    </row>
    <row r="8202" customFormat="false" ht="14.4" hidden="true" customHeight="false" outlineLevel="0" collapsed="false">
      <c r="A8202" s="34" t="n">
        <v>3939349000181</v>
      </c>
      <c r="B8202" s="34" t="s">
        <v>17215</v>
      </c>
      <c r="C8202" s="34" t="s">
        <v>77</v>
      </c>
      <c r="E8202" s="30" t="s">
        <v>17216</v>
      </c>
      <c r="F8202" s="34" t="n">
        <f aca="false">IFERROR(VLOOKUP($A8202,'319'!$B:$H,7,0),0)</f>
        <v>0</v>
      </c>
      <c r="G8202" s="34" t="n">
        <f aca="false">SUMIFS('12.326ana'!$C:$C,'12.326ana'!$M:$M,redes!A8202)</f>
        <v>0</v>
      </c>
    </row>
    <row r="8203" customFormat="false" ht="14.4" hidden="true" customHeight="false" outlineLevel="0" collapsed="false">
      <c r="A8203" s="34" t="n">
        <v>3939977000167</v>
      </c>
      <c r="B8203" s="34" t="s">
        <v>17217</v>
      </c>
      <c r="C8203" s="34" t="s">
        <v>77</v>
      </c>
      <c r="E8203" s="30" t="s">
        <v>17218</v>
      </c>
      <c r="F8203" s="34" t="n">
        <f aca="false">IFERROR(VLOOKUP($A8203,'319'!$B:$H,7,0),0)</f>
        <v>0</v>
      </c>
      <c r="G8203" s="34" t="n">
        <f aca="false">SUMIFS('12.326ana'!$C:$C,'12.326ana'!$M:$M,redes!A8203)</f>
        <v>0</v>
      </c>
    </row>
    <row r="8204" customFormat="false" ht="14.4" hidden="true" customHeight="false" outlineLevel="0" collapsed="false">
      <c r="A8204" s="34" t="n">
        <v>3940124000145</v>
      </c>
      <c r="B8204" s="34" t="s">
        <v>17219</v>
      </c>
      <c r="C8204" s="34" t="s">
        <v>103</v>
      </c>
      <c r="E8204" s="30" t="s">
        <v>17220</v>
      </c>
      <c r="F8204" s="34" t="n">
        <f aca="false">IFERROR(VLOOKUP($A8204,'319'!$B:$H,7,0),0)</f>
        <v>0</v>
      </c>
      <c r="G8204" s="34" t="n">
        <f aca="false">SUMIFS('12.326ana'!$C:$C,'12.326ana'!$M:$M,redes!A8204)</f>
        <v>0</v>
      </c>
    </row>
    <row r="8205" customFormat="false" ht="14.4" hidden="true" customHeight="false" outlineLevel="0" collapsed="false">
      <c r="A8205" s="34" t="n">
        <v>3940486000136</v>
      </c>
      <c r="B8205" s="34" t="s">
        <v>17221</v>
      </c>
      <c r="C8205" s="34" t="s">
        <v>464</v>
      </c>
      <c r="E8205" s="30" t="s">
        <v>17222</v>
      </c>
      <c r="F8205" s="34" t="n">
        <f aca="false">IFERROR(VLOOKUP($A8205,'319'!$B:$H,7,0),0)</f>
        <v>0</v>
      </c>
      <c r="G8205" s="34" t="n">
        <f aca="false">SUMIFS('12.326ana'!$C:$C,'12.326ana'!$M:$M,redes!A8205)</f>
        <v>0</v>
      </c>
    </row>
    <row r="8206" customFormat="false" ht="14.4" hidden="true" customHeight="false" outlineLevel="0" collapsed="false">
      <c r="A8206" s="34" t="n">
        <v>3941045000159</v>
      </c>
      <c r="B8206" s="34" t="s">
        <v>17223</v>
      </c>
      <c r="C8206" s="34" t="s">
        <v>77</v>
      </c>
      <c r="E8206" s="30" t="s">
        <v>17224</v>
      </c>
      <c r="F8206" s="34" t="n">
        <f aca="false">IFERROR(VLOOKUP($A8206,'319'!$B:$H,7,0),0)</f>
        <v>0</v>
      </c>
      <c r="G8206" s="34" t="n">
        <f aca="false">SUMIFS('12.326ana'!$C:$C,'12.326ana'!$M:$M,redes!A8206)</f>
        <v>0</v>
      </c>
    </row>
    <row r="8207" customFormat="false" ht="14.4" hidden="true" customHeight="false" outlineLevel="0" collapsed="false">
      <c r="A8207" s="34" t="n">
        <v>3943086000184</v>
      </c>
      <c r="B8207" s="34" t="s">
        <v>17225</v>
      </c>
      <c r="C8207" s="34" t="s">
        <v>562</v>
      </c>
      <c r="E8207" s="30" t="s">
        <v>17226</v>
      </c>
      <c r="F8207" s="34" t="n">
        <f aca="false">IFERROR(VLOOKUP($A8207,'319'!$B:$H,7,0),0)</f>
        <v>0</v>
      </c>
      <c r="G8207" s="34" t="n">
        <f aca="false">SUMIFS('12.326ana'!$C:$C,'12.326ana'!$M:$M,redes!A8207)</f>
        <v>0</v>
      </c>
    </row>
    <row r="8208" customFormat="false" ht="14.4" hidden="true" customHeight="false" outlineLevel="0" collapsed="false">
      <c r="A8208" s="34" t="n">
        <v>3943439000146</v>
      </c>
      <c r="B8208" s="34" t="s">
        <v>17227</v>
      </c>
      <c r="C8208" s="34" t="s">
        <v>89</v>
      </c>
      <c r="E8208" s="30" t="s">
        <v>17228</v>
      </c>
      <c r="F8208" s="34" t="n">
        <f aca="false">IFERROR(VLOOKUP($A8208,'319'!$B:$H,7,0),0)</f>
        <v>0</v>
      </c>
      <c r="G8208" s="34" t="n">
        <f aca="false">SUMIFS('12.326ana'!$C:$C,'12.326ana'!$M:$M,redes!A8208)</f>
        <v>0</v>
      </c>
    </row>
    <row r="8209" customFormat="false" ht="14.4" hidden="true" customHeight="false" outlineLevel="0" collapsed="false">
      <c r="A8209" s="34" t="n">
        <v>3943810000170</v>
      </c>
      <c r="B8209" s="34" t="s">
        <v>17229</v>
      </c>
      <c r="C8209" s="34" t="s">
        <v>77</v>
      </c>
      <c r="E8209" s="30" t="s">
        <v>17230</v>
      </c>
      <c r="F8209" s="34" t="n">
        <f aca="false">IFERROR(VLOOKUP($A8209,'319'!$B:$H,7,0),0)</f>
        <v>0</v>
      </c>
      <c r="G8209" s="34" t="n">
        <f aca="false">SUMIFS('12.326ana'!$C:$C,'12.326ana'!$M:$M,redes!A8209)</f>
        <v>0</v>
      </c>
    </row>
    <row r="8210" customFormat="false" ht="14.4" hidden="true" customHeight="false" outlineLevel="0" collapsed="false">
      <c r="A8210" s="34" t="n">
        <v>3944569000101</v>
      </c>
      <c r="B8210" s="34" t="s">
        <v>17231</v>
      </c>
      <c r="C8210" s="34" t="s">
        <v>77</v>
      </c>
      <c r="E8210" s="30" t="s">
        <v>17232</v>
      </c>
      <c r="F8210" s="34" t="n">
        <f aca="false">IFERROR(VLOOKUP($A8210,'319'!$B:$H,7,0),0)</f>
        <v>0</v>
      </c>
      <c r="G8210" s="34" t="n">
        <f aca="false">SUMIFS('12.326ana'!$C:$C,'12.326ana'!$M:$M,redes!A8210)</f>
        <v>0</v>
      </c>
    </row>
    <row r="8211" customFormat="false" ht="14.4" hidden="true" customHeight="false" outlineLevel="0" collapsed="false">
      <c r="A8211" s="34" t="n">
        <v>3946156000158</v>
      </c>
      <c r="B8211" s="34" t="s">
        <v>17233</v>
      </c>
      <c r="C8211" s="34" t="s">
        <v>328</v>
      </c>
      <c r="E8211" s="30" t="s">
        <v>17234</v>
      </c>
      <c r="F8211" s="34" t="n">
        <f aca="false">IFERROR(VLOOKUP($A8211,'319'!$B:$H,7,0),0)</f>
        <v>0</v>
      </c>
      <c r="G8211" s="34" t="n">
        <f aca="false">SUMIFS('12.326ana'!$C:$C,'12.326ana'!$M:$M,redes!A8211)</f>
        <v>0</v>
      </c>
    </row>
    <row r="8212" customFormat="false" ht="14.4" hidden="true" customHeight="false" outlineLevel="0" collapsed="false">
      <c r="A8212" s="34" t="n">
        <v>3948107000154</v>
      </c>
      <c r="B8212" s="34" t="s">
        <v>17235</v>
      </c>
      <c r="C8212" s="34" t="s">
        <v>139</v>
      </c>
      <c r="E8212" s="30" t="s">
        <v>17236</v>
      </c>
      <c r="F8212" s="34" t="n">
        <f aca="false">IFERROR(VLOOKUP($A8212,'319'!$B:$H,7,0),0)</f>
        <v>0</v>
      </c>
      <c r="G8212" s="34" t="n">
        <f aca="false">SUMIFS('12.326ana'!$C:$C,'12.326ana'!$M:$M,redes!A8212)</f>
        <v>0</v>
      </c>
    </row>
    <row r="8213" customFormat="false" ht="14.4" hidden="true" customHeight="false" outlineLevel="0" collapsed="false">
      <c r="A8213" s="34" t="n">
        <v>3949810000187</v>
      </c>
      <c r="B8213" s="34" t="s">
        <v>17237</v>
      </c>
      <c r="C8213" s="34" t="s">
        <v>77</v>
      </c>
      <c r="E8213" s="30" t="s">
        <v>17238</v>
      </c>
      <c r="F8213" s="34" t="n">
        <f aca="false">IFERROR(VLOOKUP($A8213,'319'!$B:$H,7,0),0)</f>
        <v>0</v>
      </c>
      <c r="G8213" s="34" t="n">
        <f aca="false">SUMIFS('12.326ana'!$C:$C,'12.326ana'!$M:$M,redes!A8213)</f>
        <v>0</v>
      </c>
    </row>
    <row r="8214" customFormat="false" ht="14.4" hidden="true" customHeight="false" outlineLevel="0" collapsed="false">
      <c r="A8214" s="34" t="n">
        <v>3953892000214</v>
      </c>
      <c r="B8214" s="34" t="s">
        <v>17239</v>
      </c>
      <c r="C8214" s="34" t="s">
        <v>644</v>
      </c>
      <c r="E8214" s="30" t="s">
        <v>17240</v>
      </c>
      <c r="F8214" s="34" t="n">
        <f aca="false">IFERROR(VLOOKUP($A8214,'319'!$B:$H,7,0),0)</f>
        <v>0</v>
      </c>
      <c r="G8214" s="34" t="n">
        <f aca="false">SUMIFS('12.326ana'!$C:$C,'12.326ana'!$M:$M,redes!A8214)</f>
        <v>0</v>
      </c>
    </row>
    <row r="8215" customFormat="false" ht="14.4" hidden="true" customHeight="false" outlineLevel="0" collapsed="false">
      <c r="A8215" s="34" t="n">
        <v>3953892000303</v>
      </c>
      <c r="B8215" s="34" t="s">
        <v>17241</v>
      </c>
      <c r="C8215" s="34" t="s">
        <v>644</v>
      </c>
      <c r="E8215" s="30" t="s">
        <v>17240</v>
      </c>
      <c r="F8215" s="34" t="n">
        <f aca="false">IFERROR(VLOOKUP($A8215,'319'!$B:$H,7,0),0)</f>
        <v>0</v>
      </c>
      <c r="G8215" s="34" t="n">
        <f aca="false">SUMIFS('12.326ana'!$C:$C,'12.326ana'!$M:$M,redes!A8215)</f>
        <v>0</v>
      </c>
    </row>
    <row r="8216" customFormat="false" ht="14.4" hidden="true" customHeight="false" outlineLevel="0" collapsed="false">
      <c r="A8216" s="34" t="n">
        <v>3955844000184</v>
      </c>
      <c r="B8216" s="34" t="s">
        <v>17242</v>
      </c>
      <c r="C8216" s="34" t="s">
        <v>296</v>
      </c>
      <c r="E8216" s="30" t="s">
        <v>17243</v>
      </c>
      <c r="F8216" s="34" t="n">
        <f aca="false">IFERROR(VLOOKUP($A8216,'319'!$B:$H,7,0),0)</f>
        <v>0</v>
      </c>
      <c r="G8216" s="34" t="n">
        <f aca="false">SUMIFS('12.326ana'!$C:$C,'12.326ana'!$M:$M,redes!A8216)</f>
        <v>0</v>
      </c>
    </row>
    <row r="8217" customFormat="false" ht="14.4" hidden="true" customHeight="false" outlineLevel="0" collapsed="false">
      <c r="A8217" s="34" t="n">
        <v>3956143000160</v>
      </c>
      <c r="B8217" s="34" t="s">
        <v>17244</v>
      </c>
      <c r="C8217" s="34" t="s">
        <v>464</v>
      </c>
      <c r="E8217" s="30" t="s">
        <v>17245</v>
      </c>
      <c r="F8217" s="34" t="n">
        <f aca="false">IFERROR(VLOOKUP($A8217,'319'!$B:$H,7,0),0)</f>
        <v>0</v>
      </c>
      <c r="G8217" s="34" t="n">
        <f aca="false">SUMIFS('12.326ana'!$C:$C,'12.326ana'!$M:$M,redes!A8217)</f>
        <v>0</v>
      </c>
    </row>
    <row r="8218" customFormat="false" ht="14.4" hidden="true" customHeight="false" outlineLevel="0" collapsed="false">
      <c r="A8218" s="34" t="n">
        <v>3956276000136</v>
      </c>
      <c r="B8218" s="34" t="s">
        <v>17246</v>
      </c>
      <c r="C8218" s="34" t="s">
        <v>77</v>
      </c>
      <c r="E8218" s="30" t="s">
        <v>11517</v>
      </c>
      <c r="F8218" s="34" t="n">
        <f aca="false">IFERROR(VLOOKUP($A8218,'319'!$B:$H,7,0),0)</f>
        <v>0</v>
      </c>
      <c r="G8218" s="34" t="n">
        <f aca="false">SUMIFS('12.326ana'!$C:$C,'12.326ana'!$M:$M,redes!A8218)</f>
        <v>0</v>
      </c>
    </row>
    <row r="8219" customFormat="false" ht="14.4" hidden="true" customHeight="false" outlineLevel="0" collapsed="false">
      <c r="A8219" s="34" t="n">
        <v>3958211000120</v>
      </c>
      <c r="B8219" s="34" t="s">
        <v>17247</v>
      </c>
      <c r="C8219" s="34" t="s">
        <v>154</v>
      </c>
      <c r="E8219" s="30" t="s">
        <v>13093</v>
      </c>
      <c r="F8219" s="34" t="n">
        <f aca="false">IFERROR(VLOOKUP($A8219,'319'!$B:$H,7,0),0)</f>
        <v>0</v>
      </c>
      <c r="G8219" s="34" t="n">
        <f aca="false">SUMIFS('12.326ana'!$C:$C,'12.326ana'!$M:$M,redes!A8219)</f>
        <v>0</v>
      </c>
    </row>
    <row r="8220" customFormat="false" ht="14.4" hidden="true" customHeight="false" outlineLevel="0" collapsed="false">
      <c r="A8220" s="34" t="n">
        <v>3958512000153</v>
      </c>
      <c r="B8220" s="34" t="s">
        <v>17248</v>
      </c>
      <c r="C8220" s="34" t="s">
        <v>117</v>
      </c>
      <c r="E8220" s="30" t="s">
        <v>17249</v>
      </c>
      <c r="F8220" s="34" t="n">
        <f aca="false">IFERROR(VLOOKUP($A8220,'319'!$B:$H,7,0),0)</f>
        <v>0</v>
      </c>
      <c r="G8220" s="34" t="n">
        <f aca="false">SUMIFS('12.326ana'!$C:$C,'12.326ana'!$M:$M,redes!A8220)</f>
        <v>0</v>
      </c>
    </row>
    <row r="8221" customFormat="false" ht="14.4" hidden="true" customHeight="false" outlineLevel="0" collapsed="false">
      <c r="A8221" s="34" t="n">
        <v>3959036000195</v>
      </c>
      <c r="B8221" s="34" t="s">
        <v>17250</v>
      </c>
      <c r="C8221" s="34" t="s">
        <v>192</v>
      </c>
      <c r="E8221" s="30" t="s">
        <v>17251</v>
      </c>
      <c r="F8221" s="34" t="n">
        <f aca="false">IFERROR(VLOOKUP($A8221,'319'!$B:$H,7,0),0)</f>
        <v>0</v>
      </c>
      <c r="G8221" s="34" t="n">
        <f aca="false">SUMIFS('12.326ana'!$C:$C,'12.326ana'!$M:$M,redes!A8221)</f>
        <v>0</v>
      </c>
    </row>
    <row r="8222" customFormat="false" ht="14.4" hidden="true" customHeight="false" outlineLevel="0" collapsed="false">
      <c r="A8222" s="34" t="n">
        <v>3959382000173</v>
      </c>
      <c r="B8222" s="34" t="s">
        <v>17252</v>
      </c>
      <c r="C8222" s="34" t="s">
        <v>464</v>
      </c>
      <c r="E8222" s="30" t="s">
        <v>17253</v>
      </c>
      <c r="F8222" s="34" t="n">
        <f aca="false">IFERROR(VLOOKUP($A8222,'319'!$B:$H,7,0),0)</f>
        <v>0</v>
      </c>
      <c r="G8222" s="34" t="n">
        <f aca="false">SUMIFS('12.326ana'!$C:$C,'12.326ana'!$M:$M,redes!A8222)</f>
        <v>0</v>
      </c>
    </row>
    <row r="8223" customFormat="false" ht="14.4" hidden="true" customHeight="false" outlineLevel="0" collapsed="false">
      <c r="A8223" s="34" t="n">
        <v>3959527000136</v>
      </c>
      <c r="B8223" s="34" t="s">
        <v>17254</v>
      </c>
      <c r="C8223" s="34" t="s">
        <v>1054</v>
      </c>
      <c r="E8223" s="30" t="s">
        <v>17255</v>
      </c>
      <c r="F8223" s="34" t="n">
        <f aca="false">IFERROR(VLOOKUP($A8223,'319'!$B:$H,7,0),0)</f>
        <v>0</v>
      </c>
      <c r="G8223" s="34" t="n">
        <f aca="false">SUMIFS('12.326ana'!$C:$C,'12.326ana'!$M:$M,redes!A8223)</f>
        <v>0</v>
      </c>
    </row>
    <row r="8224" customFormat="false" ht="14.4" hidden="true" customHeight="false" outlineLevel="0" collapsed="false">
      <c r="A8224" s="34" t="n">
        <v>3960751000148</v>
      </c>
      <c r="B8224" s="34" t="s">
        <v>17256</v>
      </c>
      <c r="C8224" s="34" t="s">
        <v>77</v>
      </c>
      <c r="E8224" s="30" t="s">
        <v>17257</v>
      </c>
      <c r="F8224" s="34" t="n">
        <f aca="false">IFERROR(VLOOKUP($A8224,'319'!$B:$H,7,0),0)</f>
        <v>0</v>
      </c>
      <c r="G8224" s="34" t="n">
        <f aca="false">SUMIFS('12.326ana'!$C:$C,'12.326ana'!$M:$M,redes!A8224)</f>
        <v>0</v>
      </c>
    </row>
    <row r="8225" customFormat="false" ht="14.4" hidden="true" customHeight="false" outlineLevel="0" collapsed="false">
      <c r="A8225" s="34" t="n">
        <v>3961513000157</v>
      </c>
      <c r="B8225" s="34" t="s">
        <v>17258</v>
      </c>
      <c r="C8225" s="34" t="s">
        <v>881</v>
      </c>
      <c r="E8225" s="30" t="s">
        <v>8698</v>
      </c>
      <c r="F8225" s="34" t="n">
        <f aca="false">IFERROR(VLOOKUP($A8225,'319'!$B:$H,7,0),0)</f>
        <v>0</v>
      </c>
      <c r="G8225" s="34" t="n">
        <f aca="false">SUMIFS('12.326ana'!$C:$C,'12.326ana'!$M:$M,redes!A8225)</f>
        <v>0</v>
      </c>
    </row>
    <row r="8226" customFormat="false" ht="14.4" hidden="true" customHeight="false" outlineLevel="0" collapsed="false">
      <c r="A8226" s="34" t="n">
        <v>3963402000180</v>
      </c>
      <c r="B8226" s="34" t="s">
        <v>17259</v>
      </c>
      <c r="C8226" s="34" t="s">
        <v>77</v>
      </c>
      <c r="E8226" s="30" t="s">
        <v>17259</v>
      </c>
      <c r="F8226" s="34" t="n">
        <f aca="false">IFERROR(VLOOKUP($A8226,'319'!$B:$H,7,0),0)</f>
        <v>0</v>
      </c>
      <c r="G8226" s="34" t="n">
        <f aca="false">SUMIFS('12.326ana'!$C:$C,'12.326ana'!$M:$M,redes!A8226)</f>
        <v>0</v>
      </c>
    </row>
    <row r="8227" customFormat="false" ht="14.4" hidden="true" customHeight="false" outlineLevel="0" collapsed="false">
      <c r="A8227" s="34" t="n">
        <v>3964111000106</v>
      </c>
      <c r="B8227" s="34" t="s">
        <v>17260</v>
      </c>
      <c r="C8227" s="34" t="s">
        <v>77</v>
      </c>
      <c r="E8227" s="30" t="s">
        <v>6570</v>
      </c>
      <c r="F8227" s="34" t="n">
        <f aca="false">IFERROR(VLOOKUP($A8227,'319'!$B:$H,7,0),0)</f>
        <v>0</v>
      </c>
      <c r="G8227" s="34" t="n">
        <f aca="false">SUMIFS('12.326ana'!$C:$C,'12.326ana'!$M:$M,redes!A8227)</f>
        <v>0</v>
      </c>
    </row>
    <row r="8228" customFormat="false" ht="14.4" hidden="true" customHeight="false" outlineLevel="0" collapsed="false">
      <c r="A8228" s="34" t="n">
        <v>3964327000171</v>
      </c>
      <c r="B8228" s="34" t="s">
        <v>17261</v>
      </c>
      <c r="C8228" s="34" t="s">
        <v>77</v>
      </c>
      <c r="E8228" s="30" t="s">
        <v>17262</v>
      </c>
      <c r="F8228" s="34" t="n">
        <f aca="false">IFERROR(VLOOKUP($A8228,'319'!$B:$H,7,0),0)</f>
        <v>0</v>
      </c>
      <c r="G8228" s="34" t="n">
        <f aca="false">SUMIFS('12.326ana'!$C:$C,'12.326ana'!$M:$M,redes!A8228)</f>
        <v>0</v>
      </c>
    </row>
    <row r="8229" customFormat="false" ht="14.4" hidden="true" customHeight="false" outlineLevel="0" collapsed="false">
      <c r="A8229" s="34" t="n">
        <v>3964707000106</v>
      </c>
      <c r="B8229" s="34" t="s">
        <v>17263</v>
      </c>
      <c r="C8229" s="34" t="s">
        <v>77</v>
      </c>
      <c r="E8229" s="30" t="s">
        <v>17264</v>
      </c>
      <c r="F8229" s="34" t="n">
        <f aca="false">IFERROR(VLOOKUP($A8229,'319'!$B:$H,7,0),0)</f>
        <v>0</v>
      </c>
      <c r="G8229" s="34" t="n">
        <f aca="false">SUMIFS('12.326ana'!$C:$C,'12.326ana'!$M:$M,redes!A8229)</f>
        <v>0</v>
      </c>
    </row>
    <row r="8230" customFormat="false" ht="14.4" hidden="true" customHeight="false" outlineLevel="0" collapsed="false">
      <c r="A8230" s="34" t="n">
        <v>3965779000178</v>
      </c>
      <c r="B8230" s="34" t="s">
        <v>17265</v>
      </c>
      <c r="C8230" s="34" t="s">
        <v>77</v>
      </c>
      <c r="E8230" s="30" t="s">
        <v>17266</v>
      </c>
      <c r="F8230" s="34" t="n">
        <f aca="false">IFERROR(VLOOKUP($A8230,'319'!$B:$H,7,0),0)</f>
        <v>0</v>
      </c>
      <c r="G8230" s="34" t="n">
        <f aca="false">SUMIFS('12.326ana'!$C:$C,'12.326ana'!$M:$M,redes!A8230)</f>
        <v>0</v>
      </c>
    </row>
    <row r="8231" customFormat="false" ht="14.4" hidden="true" customHeight="false" outlineLevel="0" collapsed="false">
      <c r="A8231" s="34" t="n">
        <v>3965829000117</v>
      </c>
      <c r="B8231" s="34" t="s">
        <v>17267</v>
      </c>
      <c r="C8231" s="34" t="s">
        <v>77</v>
      </c>
      <c r="E8231" s="30" t="s">
        <v>4585</v>
      </c>
      <c r="F8231" s="34" t="n">
        <f aca="false">IFERROR(VLOOKUP($A8231,'319'!$B:$H,7,0),0)</f>
        <v>0</v>
      </c>
      <c r="G8231" s="34" t="n">
        <f aca="false">SUMIFS('12.326ana'!$C:$C,'12.326ana'!$M:$M,redes!A8231)</f>
        <v>0</v>
      </c>
    </row>
    <row r="8232" customFormat="false" ht="14.4" hidden="true" customHeight="false" outlineLevel="0" collapsed="false">
      <c r="A8232" s="34" t="n">
        <v>3966530000187</v>
      </c>
      <c r="B8232" s="34" t="s">
        <v>17268</v>
      </c>
      <c r="C8232" s="34" t="s">
        <v>77</v>
      </c>
      <c r="E8232" s="30" t="s">
        <v>17269</v>
      </c>
      <c r="F8232" s="34" t="n">
        <f aca="false">IFERROR(VLOOKUP($A8232,'319'!$B:$H,7,0),0)</f>
        <v>0</v>
      </c>
      <c r="G8232" s="34" t="n">
        <f aca="false">SUMIFS('12.326ana'!$C:$C,'12.326ana'!$M:$M,redes!A8232)</f>
        <v>0</v>
      </c>
    </row>
    <row r="8233" customFormat="false" ht="14.4" hidden="true" customHeight="false" outlineLevel="0" collapsed="false">
      <c r="A8233" s="34" t="n">
        <v>3966702000112</v>
      </c>
      <c r="B8233" s="34" t="s">
        <v>17270</v>
      </c>
      <c r="C8233" s="34" t="s">
        <v>463</v>
      </c>
      <c r="D8233" s="34" t="s">
        <v>14670</v>
      </c>
      <c r="E8233" s="30" t="s">
        <v>17271</v>
      </c>
      <c r="F8233" s="34" t="n">
        <f aca="false">IFERROR(VLOOKUP($A8233,'319'!$B:$H,7,0),0)</f>
        <v>0</v>
      </c>
      <c r="G8233" s="34" t="n">
        <f aca="false">SUMIFS('12.326ana'!$C:$C,'12.326ana'!$M:$M,redes!A8233)</f>
        <v>0</v>
      </c>
    </row>
    <row r="8234" customFormat="false" ht="14.4" hidden="true" customHeight="false" outlineLevel="0" collapsed="false">
      <c r="A8234" s="34" t="n">
        <v>3967426000107</v>
      </c>
      <c r="B8234" s="34" t="s">
        <v>17272</v>
      </c>
      <c r="C8234" s="34" t="s">
        <v>77</v>
      </c>
      <c r="E8234" s="30" t="s">
        <v>17273</v>
      </c>
      <c r="F8234" s="34" t="n">
        <f aca="false">IFERROR(VLOOKUP($A8234,'319'!$B:$H,7,0),0)</f>
        <v>0</v>
      </c>
      <c r="G8234" s="34" t="n">
        <f aca="false">SUMIFS('12.326ana'!$C:$C,'12.326ana'!$M:$M,redes!A8234)</f>
        <v>0</v>
      </c>
    </row>
    <row r="8235" customFormat="false" ht="14.4" hidden="true" customHeight="false" outlineLevel="0" collapsed="false">
      <c r="A8235" s="34" t="n">
        <v>3970016000115</v>
      </c>
      <c r="B8235" s="34" t="s">
        <v>17274</v>
      </c>
      <c r="C8235" s="34" t="s">
        <v>77</v>
      </c>
      <c r="E8235" s="30" t="s">
        <v>17275</v>
      </c>
      <c r="F8235" s="34" t="n">
        <f aca="false">IFERROR(VLOOKUP($A8235,'319'!$B:$H,7,0),0)</f>
        <v>0</v>
      </c>
      <c r="G8235" s="34" t="n">
        <f aca="false">SUMIFS('12.326ana'!$C:$C,'12.326ana'!$M:$M,redes!A8235)</f>
        <v>0</v>
      </c>
    </row>
    <row r="8236" customFormat="false" ht="14.4" hidden="true" customHeight="false" outlineLevel="0" collapsed="false">
      <c r="A8236" s="34" t="n">
        <v>3970407000130</v>
      </c>
      <c r="B8236" s="34" t="s">
        <v>17276</v>
      </c>
      <c r="C8236" s="34" t="s">
        <v>77</v>
      </c>
      <c r="E8236" s="30" t="s">
        <v>17277</v>
      </c>
      <c r="F8236" s="34" t="n">
        <f aca="false">IFERROR(VLOOKUP($A8236,'319'!$B:$H,7,0),0)</f>
        <v>0</v>
      </c>
      <c r="G8236" s="34" t="n">
        <f aca="false">SUMIFS('12.326ana'!$C:$C,'12.326ana'!$M:$M,redes!A8236)</f>
        <v>0</v>
      </c>
    </row>
    <row r="8237" customFormat="false" ht="14.4" hidden="true" customHeight="false" outlineLevel="0" collapsed="false">
      <c r="A8237" s="34" t="n">
        <v>3971108000110</v>
      </c>
      <c r="B8237" s="34" t="s">
        <v>17278</v>
      </c>
      <c r="C8237" s="34" t="s">
        <v>77</v>
      </c>
      <c r="E8237" s="30" t="s">
        <v>17279</v>
      </c>
      <c r="F8237" s="34" t="n">
        <f aca="false">IFERROR(VLOOKUP($A8237,'319'!$B:$H,7,0),0)</f>
        <v>0</v>
      </c>
      <c r="G8237" s="34" t="n">
        <f aca="false">SUMIFS('12.326ana'!$C:$C,'12.326ana'!$M:$M,redes!A8237)</f>
        <v>0</v>
      </c>
    </row>
    <row r="8238" customFormat="false" ht="14.4" hidden="true" customHeight="false" outlineLevel="0" collapsed="false">
      <c r="A8238" s="34" t="n">
        <v>3972171000170</v>
      </c>
      <c r="B8238" s="34" t="s">
        <v>17280</v>
      </c>
      <c r="C8238" s="34" t="s">
        <v>103</v>
      </c>
      <c r="D8238" s="34" t="s">
        <v>4797</v>
      </c>
      <c r="E8238" s="30" t="s">
        <v>17281</v>
      </c>
      <c r="F8238" s="34" t="n">
        <f aca="false">IFERROR(VLOOKUP($A8238,'319'!$B:$H,7,0),0)</f>
        <v>0</v>
      </c>
      <c r="G8238" s="34" t="n">
        <f aca="false">SUMIFS('12.326ana'!$C:$C,'12.326ana'!$M:$M,redes!A8238)</f>
        <v>0</v>
      </c>
    </row>
    <row r="8239" customFormat="false" ht="14.4" hidden="true" customHeight="false" outlineLevel="0" collapsed="false">
      <c r="A8239" s="34" t="n">
        <v>3972437000185</v>
      </c>
      <c r="B8239" s="34" t="s">
        <v>17282</v>
      </c>
      <c r="C8239" s="34" t="s">
        <v>77</v>
      </c>
      <c r="E8239" s="30" t="s">
        <v>17283</v>
      </c>
      <c r="F8239" s="34" t="n">
        <f aca="false">IFERROR(VLOOKUP($A8239,'319'!$B:$H,7,0),0)</f>
        <v>0</v>
      </c>
      <c r="G8239" s="34" t="n">
        <f aca="false">SUMIFS('12.326ana'!$C:$C,'12.326ana'!$M:$M,redes!A8239)</f>
        <v>0</v>
      </c>
    </row>
    <row r="8240" customFormat="false" ht="14.4" hidden="true" customHeight="false" outlineLevel="0" collapsed="false">
      <c r="A8240" s="34" t="n">
        <v>3973134000187</v>
      </c>
      <c r="B8240" s="34" t="s">
        <v>17284</v>
      </c>
      <c r="C8240" s="34" t="s">
        <v>336</v>
      </c>
      <c r="E8240" s="30" t="s">
        <v>17285</v>
      </c>
      <c r="F8240" s="34" t="n">
        <f aca="false">IFERROR(VLOOKUP($A8240,'319'!$B:$H,7,0),0)</f>
        <v>0</v>
      </c>
      <c r="G8240" s="34" t="n">
        <f aca="false">SUMIFS('12.326ana'!$C:$C,'12.326ana'!$M:$M,redes!A8240)</f>
        <v>0</v>
      </c>
    </row>
    <row r="8241" customFormat="false" ht="14.4" hidden="true" customHeight="false" outlineLevel="0" collapsed="false">
      <c r="A8241" s="34" t="n">
        <v>3973841000173</v>
      </c>
      <c r="B8241" s="34" t="s">
        <v>17286</v>
      </c>
      <c r="C8241" s="34" t="s">
        <v>197</v>
      </c>
      <c r="E8241" s="30" t="s">
        <v>17287</v>
      </c>
      <c r="F8241" s="34" t="n">
        <f aca="false">IFERROR(VLOOKUP($A8241,'319'!$B:$H,7,0),0)</f>
        <v>0</v>
      </c>
      <c r="G8241" s="34" t="n">
        <f aca="false">SUMIFS('12.326ana'!$C:$C,'12.326ana'!$M:$M,redes!A8241)</f>
        <v>0</v>
      </c>
    </row>
    <row r="8242" customFormat="false" ht="14.4" hidden="true" customHeight="false" outlineLevel="0" collapsed="false">
      <c r="A8242" s="35" t="n">
        <v>3974467000120</v>
      </c>
      <c r="B8242" s="34" t="s">
        <v>17288</v>
      </c>
      <c r="C8242" s="34" t="s">
        <v>103</v>
      </c>
      <c r="E8242" s="30" t="s">
        <v>17289</v>
      </c>
      <c r="F8242" s="34" t="n">
        <f aca="false">IFERROR(VLOOKUP($A8242,'319'!$B:$H,7,0),0)</f>
        <v>0</v>
      </c>
      <c r="G8242" s="34" t="n">
        <f aca="false">SUMIFS('12.326ana'!$C:$C,'12.326ana'!$M:$M,redes!A8242)</f>
        <v>0</v>
      </c>
    </row>
    <row r="8243" customFormat="false" ht="14.4" hidden="true" customHeight="false" outlineLevel="0" collapsed="false">
      <c r="A8243" s="34" t="n">
        <v>3975445000185</v>
      </c>
      <c r="B8243" s="34" t="s">
        <v>17290</v>
      </c>
      <c r="C8243" s="34" t="s">
        <v>89</v>
      </c>
      <c r="E8243" s="30" t="s">
        <v>17291</v>
      </c>
      <c r="F8243" s="34" t="n">
        <f aca="false">IFERROR(VLOOKUP($A8243,'319'!$B:$H,7,0),0)</f>
        <v>0</v>
      </c>
      <c r="G8243" s="34" t="n">
        <f aca="false">SUMIFS('12.326ana'!$C:$C,'12.326ana'!$M:$M,redes!A8243)</f>
        <v>0</v>
      </c>
    </row>
    <row r="8244" customFormat="false" ht="14.4" hidden="true" customHeight="false" outlineLevel="0" collapsed="false">
      <c r="A8244" s="34" t="n">
        <v>3976548000160</v>
      </c>
      <c r="B8244" s="34" t="s">
        <v>17292</v>
      </c>
      <c r="C8244" s="34" t="s">
        <v>77</v>
      </c>
      <c r="E8244" s="30" t="s">
        <v>17293</v>
      </c>
      <c r="F8244" s="34" t="n">
        <f aca="false">IFERROR(VLOOKUP($A8244,'319'!$B:$H,7,0),0)</f>
        <v>0</v>
      </c>
      <c r="G8244" s="34" t="n">
        <f aca="false">SUMIFS('12.326ana'!$C:$C,'12.326ana'!$M:$M,redes!A8244)</f>
        <v>0</v>
      </c>
    </row>
    <row r="8245" customFormat="false" ht="14.4" hidden="true" customHeight="false" outlineLevel="0" collapsed="false">
      <c r="A8245" s="34" t="n">
        <v>3976876000166</v>
      </c>
      <c r="B8245" s="34" t="s">
        <v>17294</v>
      </c>
      <c r="C8245" s="34" t="s">
        <v>604</v>
      </c>
      <c r="E8245" s="30" t="s">
        <v>17295</v>
      </c>
      <c r="F8245" s="34" t="n">
        <f aca="false">IFERROR(VLOOKUP($A8245,'319'!$B:$H,7,0),0)</f>
        <v>0</v>
      </c>
      <c r="G8245" s="34" t="n">
        <f aca="false">SUMIFS('12.326ana'!$C:$C,'12.326ana'!$M:$M,redes!A8245)</f>
        <v>0</v>
      </c>
    </row>
    <row r="8246" customFormat="false" ht="14.4" hidden="true" customHeight="false" outlineLevel="0" collapsed="false">
      <c r="A8246" s="34" t="n">
        <v>3978517000148</v>
      </c>
      <c r="B8246" s="34" t="s">
        <v>17296</v>
      </c>
      <c r="C8246" s="34" t="s">
        <v>77</v>
      </c>
      <c r="E8246" s="30" t="s">
        <v>17297</v>
      </c>
      <c r="F8246" s="34" t="n">
        <f aca="false">IFERROR(VLOOKUP($A8246,'319'!$B:$H,7,0),0)</f>
        <v>0</v>
      </c>
      <c r="G8246" s="34" t="n">
        <f aca="false">SUMIFS('12.326ana'!$C:$C,'12.326ana'!$M:$M,redes!A8246)</f>
        <v>0</v>
      </c>
    </row>
    <row r="8247" customFormat="false" ht="14.4" hidden="true" customHeight="false" outlineLevel="0" collapsed="false">
      <c r="A8247" s="34" t="n">
        <v>3978756000106</v>
      </c>
      <c r="B8247" s="34" t="s">
        <v>17298</v>
      </c>
      <c r="C8247" s="34" t="s">
        <v>77</v>
      </c>
      <c r="E8247" s="30" t="s">
        <v>17299</v>
      </c>
      <c r="F8247" s="34" t="n">
        <f aca="false">IFERROR(VLOOKUP($A8247,'319'!$B:$H,7,0),0)</f>
        <v>0</v>
      </c>
      <c r="G8247" s="34" t="n">
        <f aca="false">SUMIFS('12.326ana'!$C:$C,'12.326ana'!$M:$M,redes!A8247)</f>
        <v>0</v>
      </c>
    </row>
    <row r="8248" customFormat="false" ht="14.4" hidden="true" customHeight="false" outlineLevel="0" collapsed="false">
      <c r="A8248" s="34" t="n">
        <v>3979336000136</v>
      </c>
      <c r="B8248" s="34" t="s">
        <v>17300</v>
      </c>
      <c r="C8248" s="34" t="s">
        <v>77</v>
      </c>
      <c r="E8248" s="30" t="s">
        <v>12275</v>
      </c>
      <c r="F8248" s="34" t="n">
        <f aca="false">IFERROR(VLOOKUP($A8248,'319'!$B:$H,7,0),0)</f>
        <v>0</v>
      </c>
      <c r="G8248" s="34" t="n">
        <f aca="false">SUMIFS('12.326ana'!$C:$C,'12.326ana'!$M:$M,redes!A8248)</f>
        <v>0</v>
      </c>
    </row>
    <row r="8249" customFormat="false" ht="14.4" hidden="true" customHeight="false" outlineLevel="0" collapsed="false">
      <c r="A8249" s="34" t="n">
        <v>3979544000135</v>
      </c>
      <c r="B8249" s="34" t="s">
        <v>17301</v>
      </c>
      <c r="C8249" s="34" t="s">
        <v>77</v>
      </c>
      <c r="E8249" s="30" t="s">
        <v>5750</v>
      </c>
      <c r="F8249" s="34" t="n">
        <f aca="false">IFERROR(VLOOKUP($A8249,'319'!$B:$H,7,0),0)</f>
        <v>0</v>
      </c>
      <c r="G8249" s="34" t="n">
        <f aca="false">SUMIFS('12.326ana'!$C:$C,'12.326ana'!$M:$M,redes!A8249)</f>
        <v>0</v>
      </c>
    </row>
    <row r="8250" customFormat="false" ht="14.4" hidden="true" customHeight="false" outlineLevel="0" collapsed="false">
      <c r="A8250" s="34" t="n">
        <v>3979621000157</v>
      </c>
      <c r="B8250" s="34" t="s">
        <v>17302</v>
      </c>
      <c r="C8250" s="34" t="s">
        <v>604</v>
      </c>
      <c r="E8250" s="30"/>
      <c r="F8250" s="34" t="n">
        <f aca="false">IFERROR(VLOOKUP($A8250,'319'!$B:$H,7,0),0)</f>
        <v>0</v>
      </c>
      <c r="G8250" s="34" t="n">
        <f aca="false">SUMIFS('12.326ana'!$C:$C,'12.326ana'!$M:$M,redes!A8250)</f>
        <v>0</v>
      </c>
    </row>
    <row r="8251" customFormat="false" ht="14.4" hidden="true" customHeight="false" outlineLevel="0" collapsed="false">
      <c r="A8251" s="34" t="n">
        <v>3979663000511</v>
      </c>
      <c r="B8251" s="34" t="s">
        <v>17303</v>
      </c>
      <c r="C8251" s="34" t="s">
        <v>77</v>
      </c>
      <c r="E8251" s="30"/>
      <c r="F8251" s="34" t="n">
        <f aca="false">IFERROR(VLOOKUP($A8251,'319'!$B:$H,7,0),0)</f>
        <v>0</v>
      </c>
      <c r="G8251" s="34" t="n">
        <f aca="false">SUMIFS('12.326ana'!$C:$C,'12.326ana'!$M:$M,redes!A8251)</f>
        <v>0</v>
      </c>
    </row>
    <row r="8252" customFormat="false" ht="14.4" hidden="true" customHeight="false" outlineLevel="0" collapsed="false">
      <c r="A8252" s="34" t="n">
        <v>3979934000105</v>
      </c>
      <c r="B8252" s="34" t="s">
        <v>17304</v>
      </c>
      <c r="C8252" s="34" t="s">
        <v>351</v>
      </c>
      <c r="E8252" s="30" t="s">
        <v>17305</v>
      </c>
      <c r="F8252" s="34" t="n">
        <f aca="false">IFERROR(VLOOKUP($A8252,'319'!$B:$H,7,0),0)</f>
        <v>0</v>
      </c>
      <c r="G8252" s="34" t="n">
        <f aca="false">SUMIFS('12.326ana'!$C:$C,'12.326ana'!$M:$M,redes!A8252)</f>
        <v>0</v>
      </c>
    </row>
    <row r="8253" customFormat="false" ht="14.4" hidden="true" customHeight="false" outlineLevel="0" collapsed="false">
      <c r="A8253" s="34" t="n">
        <v>3980224000103</v>
      </c>
      <c r="B8253" s="34" t="s">
        <v>17306</v>
      </c>
      <c r="C8253" s="34" t="s">
        <v>89</v>
      </c>
      <c r="E8253" s="30" t="s">
        <v>17307</v>
      </c>
      <c r="F8253" s="34" t="n">
        <f aca="false">IFERROR(VLOOKUP($A8253,'319'!$B:$H,7,0),0)</f>
        <v>0</v>
      </c>
      <c r="G8253" s="34" t="n">
        <f aca="false">SUMIFS('12.326ana'!$C:$C,'12.326ana'!$M:$M,redes!A8253)</f>
        <v>0</v>
      </c>
    </row>
    <row r="8254" customFormat="false" ht="14.4" hidden="true" customHeight="false" outlineLevel="0" collapsed="false">
      <c r="A8254" s="34" t="n">
        <v>3980810000140</v>
      </c>
      <c r="B8254" s="34" t="s">
        <v>17308</v>
      </c>
      <c r="C8254" s="34" t="s">
        <v>89</v>
      </c>
      <c r="E8254" s="30" t="s">
        <v>13908</v>
      </c>
      <c r="F8254" s="34" t="n">
        <f aca="false">IFERROR(VLOOKUP($A8254,'319'!$B:$H,7,0),0)</f>
        <v>0</v>
      </c>
      <c r="G8254" s="34" t="n">
        <f aca="false">SUMIFS('12.326ana'!$C:$C,'12.326ana'!$M:$M,redes!A8254)</f>
        <v>0</v>
      </c>
    </row>
    <row r="8255" customFormat="false" ht="14.4" hidden="true" customHeight="false" outlineLevel="0" collapsed="false">
      <c r="A8255" s="34" t="n">
        <v>3980976000166</v>
      </c>
      <c r="B8255" s="34" t="s">
        <v>17309</v>
      </c>
      <c r="C8255" s="34" t="s">
        <v>77</v>
      </c>
      <c r="E8255" s="30"/>
      <c r="F8255" s="34" t="n">
        <f aca="false">IFERROR(VLOOKUP($A8255,'319'!$B:$H,7,0),0)</f>
        <v>0</v>
      </c>
      <c r="G8255" s="34" t="n">
        <f aca="false">SUMIFS('12.326ana'!$C:$C,'12.326ana'!$M:$M,redes!A8255)</f>
        <v>0</v>
      </c>
    </row>
    <row r="8256" customFormat="false" ht="14.4" hidden="true" customHeight="false" outlineLevel="0" collapsed="false">
      <c r="A8256" s="34" t="n">
        <v>3981318000199</v>
      </c>
      <c r="B8256" s="34" t="s">
        <v>17310</v>
      </c>
      <c r="C8256" s="34" t="s">
        <v>631</v>
      </c>
      <c r="E8256" s="30" t="s">
        <v>17311</v>
      </c>
      <c r="F8256" s="34" t="n">
        <f aca="false">IFERROR(VLOOKUP($A8256,'319'!$B:$H,7,0),0)</f>
        <v>0</v>
      </c>
      <c r="G8256" s="34" t="n">
        <f aca="false">SUMIFS('12.326ana'!$C:$C,'12.326ana'!$M:$M,redes!A8256)</f>
        <v>0</v>
      </c>
    </row>
    <row r="8257" customFormat="false" ht="14.4" hidden="true" customHeight="false" outlineLevel="0" collapsed="false">
      <c r="A8257" s="34" t="n">
        <v>3981325000190</v>
      </c>
      <c r="B8257" s="34" t="s">
        <v>17312</v>
      </c>
      <c r="C8257" s="34" t="s">
        <v>1272</v>
      </c>
      <c r="E8257" s="30" t="s">
        <v>7826</v>
      </c>
      <c r="F8257" s="34" t="n">
        <f aca="false">IFERROR(VLOOKUP($A8257,'319'!$B:$H,7,0),0)</f>
        <v>0</v>
      </c>
      <c r="G8257" s="34" t="n">
        <f aca="false">SUMIFS('12.326ana'!$C:$C,'12.326ana'!$M:$M,redes!A8257)</f>
        <v>0</v>
      </c>
    </row>
    <row r="8258" customFormat="false" ht="14.4" hidden="true" customHeight="false" outlineLevel="0" collapsed="false">
      <c r="A8258" s="34" t="n">
        <v>3982501000109</v>
      </c>
      <c r="B8258" s="34" t="s">
        <v>17313</v>
      </c>
      <c r="C8258" s="34" t="s">
        <v>154</v>
      </c>
      <c r="D8258" s="34" t="s">
        <v>33</v>
      </c>
      <c r="E8258" s="30" t="s">
        <v>13293</v>
      </c>
      <c r="F8258" s="34" t="n">
        <f aca="false">IFERROR(VLOOKUP($A8258,'319'!$B:$H,7,0),0)</f>
        <v>0</v>
      </c>
      <c r="G8258" s="34" t="n">
        <f aca="false">SUMIFS('12.326ana'!$C:$C,'12.326ana'!$M:$M,redes!A8258)</f>
        <v>0</v>
      </c>
    </row>
    <row r="8259" customFormat="false" ht="14.4" hidden="true" customHeight="false" outlineLevel="0" collapsed="false">
      <c r="A8259" s="34" t="n">
        <v>3983541000175</v>
      </c>
      <c r="B8259" s="34" t="s">
        <v>17314</v>
      </c>
      <c r="C8259" s="34" t="s">
        <v>77</v>
      </c>
      <c r="E8259" s="30" t="s">
        <v>17315</v>
      </c>
      <c r="F8259" s="34" t="n">
        <f aca="false">IFERROR(VLOOKUP($A8259,'319'!$B:$H,7,0),0)</f>
        <v>0</v>
      </c>
      <c r="G8259" s="34" t="n">
        <f aca="false">SUMIFS('12.326ana'!$C:$C,'12.326ana'!$M:$M,redes!A8259)</f>
        <v>0</v>
      </c>
    </row>
    <row r="8260" customFormat="false" ht="14.4" hidden="true" customHeight="false" outlineLevel="0" collapsed="false">
      <c r="A8260" s="34" t="n">
        <v>3983632000100</v>
      </c>
      <c r="B8260" s="34" t="s">
        <v>17316</v>
      </c>
      <c r="C8260" s="34" t="s">
        <v>77</v>
      </c>
      <c r="E8260" s="30" t="s">
        <v>17317</v>
      </c>
      <c r="F8260" s="34" t="n">
        <f aca="false">IFERROR(VLOOKUP($A8260,'319'!$B:$H,7,0),0)</f>
        <v>0</v>
      </c>
      <c r="G8260" s="34" t="n">
        <f aca="false">SUMIFS('12.326ana'!$C:$C,'12.326ana'!$M:$M,redes!A8260)</f>
        <v>0</v>
      </c>
    </row>
    <row r="8261" customFormat="false" ht="14.4" hidden="true" customHeight="false" outlineLevel="0" collapsed="false">
      <c r="A8261" s="34" t="n">
        <v>3983632000453</v>
      </c>
      <c r="B8261" s="34" t="s">
        <v>17316</v>
      </c>
      <c r="C8261" s="34" t="s">
        <v>77</v>
      </c>
      <c r="E8261" s="30" t="s">
        <v>17318</v>
      </c>
      <c r="F8261" s="34" t="n">
        <f aca="false">IFERROR(VLOOKUP($A8261,'319'!$B:$H,7,0),0)</f>
        <v>0</v>
      </c>
      <c r="G8261" s="34" t="n">
        <f aca="false">SUMIFS('12.326ana'!$C:$C,'12.326ana'!$M:$M,redes!A8261)</f>
        <v>0</v>
      </c>
    </row>
    <row r="8262" customFormat="false" ht="14.4" hidden="true" customHeight="false" outlineLevel="0" collapsed="false">
      <c r="A8262" s="34" t="n">
        <v>3983996000190</v>
      </c>
      <c r="B8262" s="34" t="s">
        <v>17319</v>
      </c>
      <c r="C8262" s="34" t="s">
        <v>77</v>
      </c>
      <c r="E8262" s="30" t="s">
        <v>13816</v>
      </c>
      <c r="F8262" s="34" t="n">
        <f aca="false">IFERROR(VLOOKUP($A8262,'319'!$B:$H,7,0),0)</f>
        <v>0</v>
      </c>
      <c r="G8262" s="34" t="n">
        <f aca="false">SUMIFS('12.326ana'!$C:$C,'12.326ana'!$M:$M,redes!A8262)</f>
        <v>0</v>
      </c>
    </row>
    <row r="8263" customFormat="false" ht="14.4" hidden="true" customHeight="false" outlineLevel="0" collapsed="false">
      <c r="A8263" s="34" t="n">
        <v>3986449000169</v>
      </c>
      <c r="B8263" s="34" t="s">
        <v>17320</v>
      </c>
      <c r="C8263" s="34" t="s">
        <v>89</v>
      </c>
      <c r="E8263" s="30"/>
      <c r="F8263" s="34" t="n">
        <f aca="false">IFERROR(VLOOKUP($A8263,'319'!$B:$H,7,0),0)</f>
        <v>0</v>
      </c>
      <c r="G8263" s="34" t="n">
        <f aca="false">SUMIFS('12.326ana'!$C:$C,'12.326ana'!$M:$M,redes!A8263)</f>
        <v>0</v>
      </c>
    </row>
    <row r="8264" customFormat="false" ht="14.4" hidden="true" customHeight="false" outlineLevel="0" collapsed="false">
      <c r="A8264" s="34" t="n">
        <v>3987145000116</v>
      </c>
      <c r="B8264" s="34" t="s">
        <v>17321</v>
      </c>
      <c r="C8264" s="34" t="s">
        <v>77</v>
      </c>
      <c r="E8264" s="30" t="s">
        <v>17322</v>
      </c>
      <c r="F8264" s="34" t="n">
        <f aca="false">IFERROR(VLOOKUP($A8264,'319'!$B:$H,7,0),0)</f>
        <v>0</v>
      </c>
      <c r="G8264" s="34" t="n">
        <f aca="false">SUMIFS('12.326ana'!$C:$C,'12.326ana'!$M:$M,redes!A8264)</f>
        <v>0</v>
      </c>
    </row>
    <row r="8265" customFormat="false" ht="14.4" hidden="true" customHeight="false" outlineLevel="0" collapsed="false">
      <c r="A8265" s="34" t="n">
        <v>3987163000106</v>
      </c>
      <c r="B8265" s="34" t="s">
        <v>17323</v>
      </c>
      <c r="C8265" s="34" t="s">
        <v>7250</v>
      </c>
      <c r="E8265" s="30" t="s">
        <v>17324</v>
      </c>
      <c r="F8265" s="34" t="n">
        <f aca="false">IFERROR(VLOOKUP($A8265,'319'!$B:$H,7,0),0)</f>
        <v>0</v>
      </c>
      <c r="G8265" s="34" t="n">
        <f aca="false">SUMIFS('12.326ana'!$C:$C,'12.326ana'!$M:$M,redes!A8265)</f>
        <v>0</v>
      </c>
    </row>
    <row r="8266" customFormat="false" ht="14.4" hidden="true" customHeight="false" outlineLevel="0" collapsed="false">
      <c r="A8266" s="34" t="n">
        <v>3989280000109</v>
      </c>
      <c r="B8266" s="34" t="s">
        <v>17325</v>
      </c>
      <c r="C8266" s="34" t="s">
        <v>842</v>
      </c>
      <c r="E8266" s="30" t="s">
        <v>17326</v>
      </c>
      <c r="F8266" s="34" t="n">
        <f aca="false">IFERROR(VLOOKUP($A8266,'319'!$B:$H,7,0),0)</f>
        <v>0</v>
      </c>
      <c r="G8266" s="34" t="n">
        <f aca="false">SUMIFS('12.326ana'!$C:$C,'12.326ana'!$M:$M,redes!A8266)</f>
        <v>0</v>
      </c>
    </row>
    <row r="8267" customFormat="false" ht="14.4" hidden="true" customHeight="false" outlineLevel="0" collapsed="false">
      <c r="A8267" s="34" t="n">
        <v>3989283000134</v>
      </c>
      <c r="B8267" s="34" t="s">
        <v>17327</v>
      </c>
      <c r="C8267" s="34" t="s">
        <v>842</v>
      </c>
      <c r="E8267" s="30" t="s">
        <v>17328</v>
      </c>
      <c r="F8267" s="34" t="n">
        <f aca="false">IFERROR(VLOOKUP($A8267,'319'!$B:$H,7,0),0)</f>
        <v>0</v>
      </c>
      <c r="G8267" s="34" t="n">
        <f aca="false">SUMIFS('12.326ana'!$C:$C,'12.326ana'!$M:$M,redes!A8267)</f>
        <v>0</v>
      </c>
    </row>
    <row r="8268" customFormat="false" ht="14.4" hidden="true" customHeight="false" outlineLevel="0" collapsed="false">
      <c r="A8268" s="34" t="n">
        <v>3991712000108</v>
      </c>
      <c r="B8268" s="34" t="s">
        <v>17329</v>
      </c>
      <c r="C8268" s="34" t="s">
        <v>604</v>
      </c>
      <c r="E8268" s="30" t="s">
        <v>17330</v>
      </c>
      <c r="F8268" s="34" t="n">
        <f aca="false">IFERROR(VLOOKUP($A8268,'319'!$B:$H,7,0),0)</f>
        <v>0</v>
      </c>
      <c r="G8268" s="34" t="n">
        <f aca="false">SUMIFS('12.326ana'!$C:$C,'12.326ana'!$M:$M,redes!A8268)</f>
        <v>0</v>
      </c>
    </row>
    <row r="8269" customFormat="false" ht="14.4" hidden="true" customHeight="false" outlineLevel="0" collapsed="false">
      <c r="A8269" s="34" t="n">
        <v>3992977000120</v>
      </c>
      <c r="B8269" s="34" t="s">
        <v>17331</v>
      </c>
      <c r="C8269" s="34" t="s">
        <v>213</v>
      </c>
      <c r="E8269" s="30" t="s">
        <v>11072</v>
      </c>
      <c r="F8269" s="34" t="n">
        <f aca="false">IFERROR(VLOOKUP($A8269,'319'!$B:$H,7,0),0)</f>
        <v>0</v>
      </c>
      <c r="G8269" s="34" t="n">
        <f aca="false">SUMIFS('12.326ana'!$C:$C,'12.326ana'!$M:$M,redes!A8269)</f>
        <v>0</v>
      </c>
    </row>
    <row r="8270" customFormat="false" ht="14.4" hidden="true" customHeight="false" outlineLevel="0" collapsed="false">
      <c r="A8270" s="34" t="n">
        <v>3994375000102</v>
      </c>
      <c r="B8270" s="34" t="s">
        <v>17332</v>
      </c>
      <c r="C8270" s="34" t="s">
        <v>463</v>
      </c>
      <c r="E8270" s="30" t="s">
        <v>17333</v>
      </c>
      <c r="F8270" s="34" t="n">
        <f aca="false">IFERROR(VLOOKUP($A8270,'319'!$B:$H,7,0),0)</f>
        <v>0</v>
      </c>
      <c r="G8270" s="34" t="n">
        <f aca="false">SUMIFS('12.326ana'!$C:$C,'12.326ana'!$M:$M,redes!A8270)</f>
        <v>0</v>
      </c>
    </row>
    <row r="8271" customFormat="false" ht="14.4" hidden="true" customHeight="false" outlineLevel="0" collapsed="false">
      <c r="A8271" s="34" t="n">
        <v>3994411000138</v>
      </c>
      <c r="B8271" s="34" t="s">
        <v>17334</v>
      </c>
      <c r="C8271" s="34" t="s">
        <v>994</v>
      </c>
      <c r="E8271" s="30" t="s">
        <v>17335</v>
      </c>
      <c r="F8271" s="34" t="n">
        <f aca="false">IFERROR(VLOOKUP($A8271,'319'!$B:$H,7,0),0)</f>
        <v>0</v>
      </c>
      <c r="G8271" s="34" t="n">
        <f aca="false">SUMIFS('12.326ana'!$C:$C,'12.326ana'!$M:$M,redes!A8271)</f>
        <v>0</v>
      </c>
    </row>
    <row r="8272" customFormat="false" ht="14.4" hidden="true" customHeight="false" outlineLevel="0" collapsed="false">
      <c r="A8272" s="34" t="n">
        <v>3995123000106</v>
      </c>
      <c r="B8272" s="34" t="s">
        <v>17336</v>
      </c>
      <c r="C8272" s="34" t="s">
        <v>77</v>
      </c>
      <c r="E8272" s="30" t="s">
        <v>17337</v>
      </c>
      <c r="F8272" s="34" t="n">
        <f aca="false">IFERROR(VLOOKUP($A8272,'319'!$B:$H,7,0),0)</f>
        <v>0</v>
      </c>
      <c r="G8272" s="34" t="n">
        <f aca="false">SUMIFS('12.326ana'!$C:$C,'12.326ana'!$M:$M,redes!A8272)</f>
        <v>0</v>
      </c>
    </row>
    <row r="8273" customFormat="false" ht="14.4" hidden="true" customHeight="false" outlineLevel="0" collapsed="false">
      <c r="A8273" s="34" t="n">
        <v>3995319000192</v>
      </c>
      <c r="B8273" s="34" t="s">
        <v>17338</v>
      </c>
      <c r="C8273" s="34" t="s">
        <v>77</v>
      </c>
      <c r="E8273" s="30" t="s">
        <v>17339</v>
      </c>
      <c r="F8273" s="34" t="n">
        <f aca="false">IFERROR(VLOOKUP($A8273,'319'!$B:$H,7,0),0)</f>
        <v>0</v>
      </c>
      <c r="G8273" s="34" t="n">
        <f aca="false">SUMIFS('12.326ana'!$C:$C,'12.326ana'!$M:$M,redes!A8273)</f>
        <v>0</v>
      </c>
    </row>
    <row r="8274" customFormat="false" ht="14.4" hidden="true" customHeight="false" outlineLevel="0" collapsed="false">
      <c r="A8274" s="34" t="n">
        <v>3995527000191</v>
      </c>
      <c r="B8274" s="34" t="s">
        <v>17340</v>
      </c>
      <c r="C8274" s="34" t="s">
        <v>804</v>
      </c>
      <c r="E8274" s="30" t="s">
        <v>17341</v>
      </c>
      <c r="F8274" s="34" t="n">
        <f aca="false">IFERROR(VLOOKUP($A8274,'319'!$B:$H,7,0),0)</f>
        <v>0</v>
      </c>
      <c r="G8274" s="34" t="n">
        <f aca="false">SUMIFS('12.326ana'!$C:$C,'12.326ana'!$M:$M,redes!A8274)</f>
        <v>0</v>
      </c>
    </row>
    <row r="8275" customFormat="false" ht="14.4" hidden="true" customHeight="false" outlineLevel="0" collapsed="false">
      <c r="A8275" s="34" t="n">
        <v>3997244000189</v>
      </c>
      <c r="B8275" s="34" t="s">
        <v>17342</v>
      </c>
      <c r="C8275" s="34" t="s">
        <v>77</v>
      </c>
      <c r="E8275" s="30" t="s">
        <v>17343</v>
      </c>
      <c r="F8275" s="34" t="n">
        <f aca="false">IFERROR(VLOOKUP($A8275,'319'!$B:$H,7,0),0)</f>
        <v>0</v>
      </c>
      <c r="G8275" s="34" t="n">
        <f aca="false">SUMIFS('12.326ana'!$C:$C,'12.326ana'!$M:$M,redes!A8275)</f>
        <v>0</v>
      </c>
    </row>
    <row r="8276" customFormat="false" ht="14.4" hidden="true" customHeight="false" outlineLevel="0" collapsed="false">
      <c r="A8276" s="34" t="n">
        <v>3997330000191</v>
      </c>
      <c r="B8276" s="34" t="s">
        <v>17344</v>
      </c>
      <c r="C8276" s="34" t="s">
        <v>207</v>
      </c>
      <c r="E8276" s="30" t="s">
        <v>4604</v>
      </c>
      <c r="F8276" s="34" t="n">
        <f aca="false">IFERROR(VLOOKUP($A8276,'319'!$B:$H,7,0),0)</f>
        <v>0</v>
      </c>
      <c r="G8276" s="34" t="n">
        <f aca="false">SUMIFS('12.326ana'!$C:$C,'12.326ana'!$M:$M,redes!A8276)</f>
        <v>0</v>
      </c>
    </row>
    <row r="8277" customFormat="false" ht="14.4" hidden="true" customHeight="false" outlineLevel="0" collapsed="false">
      <c r="A8277" s="34" t="n">
        <v>4002849000155</v>
      </c>
      <c r="B8277" s="34" t="s">
        <v>17345</v>
      </c>
      <c r="C8277" s="34" t="s">
        <v>562</v>
      </c>
      <c r="E8277" s="30" t="s">
        <v>17346</v>
      </c>
      <c r="F8277" s="34" t="n">
        <f aca="false">IFERROR(VLOOKUP($A8277,'319'!$B:$H,7,0),0)</f>
        <v>0</v>
      </c>
      <c r="G8277" s="34" t="n">
        <f aca="false">SUMIFS('12.326ana'!$C:$C,'12.326ana'!$M:$M,redes!A8277)</f>
        <v>0</v>
      </c>
    </row>
    <row r="8278" customFormat="false" ht="14.4" hidden="true" customHeight="false" outlineLevel="0" collapsed="false">
      <c r="A8278" s="34" t="n">
        <v>4003474000148</v>
      </c>
      <c r="B8278" s="34" t="s">
        <v>17347</v>
      </c>
      <c r="C8278" s="34" t="s">
        <v>77</v>
      </c>
      <c r="E8278" s="30" t="s">
        <v>13574</v>
      </c>
      <c r="F8278" s="34" t="n">
        <f aca="false">IFERROR(VLOOKUP($A8278,'319'!$B:$H,7,0),0)</f>
        <v>0</v>
      </c>
      <c r="G8278" s="34" t="n">
        <f aca="false">SUMIFS('12.326ana'!$C:$C,'12.326ana'!$M:$M,redes!A8278)</f>
        <v>0</v>
      </c>
    </row>
    <row r="8279" customFormat="false" ht="14.4" hidden="true" customHeight="false" outlineLevel="0" collapsed="false">
      <c r="A8279" s="34" t="n">
        <v>4006266000100</v>
      </c>
      <c r="B8279" s="34" t="s">
        <v>17348</v>
      </c>
      <c r="C8279" s="34" t="s">
        <v>296</v>
      </c>
      <c r="E8279" s="30" t="s">
        <v>11228</v>
      </c>
      <c r="F8279" s="34" t="n">
        <f aca="false">IFERROR(VLOOKUP($A8279,'319'!$B:$H,7,0),0)</f>
        <v>0</v>
      </c>
      <c r="G8279" s="34" t="n">
        <f aca="false">SUMIFS('12.326ana'!$C:$C,'12.326ana'!$M:$M,redes!A8279)</f>
        <v>0</v>
      </c>
    </row>
    <row r="8280" customFormat="false" ht="14.4" hidden="true" customHeight="false" outlineLevel="0" collapsed="false">
      <c r="A8280" s="34" t="n">
        <v>4006288000162</v>
      </c>
      <c r="B8280" s="34" t="s">
        <v>17349</v>
      </c>
      <c r="C8280" s="34" t="s">
        <v>309</v>
      </c>
      <c r="E8280" s="30" t="s">
        <v>17350</v>
      </c>
      <c r="F8280" s="34" t="n">
        <f aca="false">IFERROR(VLOOKUP($A8280,'319'!$B:$H,7,0),0)</f>
        <v>0</v>
      </c>
      <c r="G8280" s="34" t="n">
        <f aca="false">SUMIFS('12.326ana'!$C:$C,'12.326ana'!$M:$M,redes!A8280)</f>
        <v>0</v>
      </c>
    </row>
    <row r="8281" customFormat="false" ht="14.4" hidden="true" customHeight="false" outlineLevel="0" collapsed="false">
      <c r="A8281" s="34" t="n">
        <v>4006313000108</v>
      </c>
      <c r="B8281" s="34" t="s">
        <v>17351</v>
      </c>
      <c r="C8281" s="34" t="s">
        <v>77</v>
      </c>
      <c r="E8281" s="30" t="s">
        <v>14034</v>
      </c>
      <c r="F8281" s="34" t="n">
        <f aca="false">IFERROR(VLOOKUP($A8281,'319'!$B:$H,7,0),0)</f>
        <v>0</v>
      </c>
      <c r="G8281" s="34" t="n">
        <f aca="false">SUMIFS('12.326ana'!$C:$C,'12.326ana'!$M:$M,redes!A8281)</f>
        <v>0</v>
      </c>
    </row>
    <row r="8282" customFormat="false" ht="14.4" hidden="true" customHeight="false" outlineLevel="0" collapsed="false">
      <c r="A8282" s="34" t="n">
        <v>4009315000150</v>
      </c>
      <c r="B8282" s="34" t="s">
        <v>17352</v>
      </c>
      <c r="C8282" s="34" t="s">
        <v>1591</v>
      </c>
      <c r="E8282" s="30" t="s">
        <v>17353</v>
      </c>
      <c r="F8282" s="34" t="n">
        <f aca="false">IFERROR(VLOOKUP($A8282,'319'!$B:$H,7,0),0)</f>
        <v>0</v>
      </c>
      <c r="G8282" s="34" t="n">
        <f aca="false">SUMIFS('12.326ana'!$C:$C,'12.326ana'!$M:$M,redes!A8282)</f>
        <v>0</v>
      </c>
    </row>
    <row r="8283" customFormat="false" ht="14.4" hidden="true" customHeight="false" outlineLevel="0" collapsed="false">
      <c r="A8283" s="35" t="n">
        <v>4010913000140</v>
      </c>
      <c r="B8283" s="34" t="s">
        <v>17354</v>
      </c>
      <c r="C8283" s="34" t="s">
        <v>342</v>
      </c>
      <c r="E8283" s="30" t="s">
        <v>17355</v>
      </c>
      <c r="F8283" s="34" t="n">
        <f aca="false">IFERROR(VLOOKUP($A8283,'319'!$B:$H,7,0),0)</f>
        <v>0</v>
      </c>
      <c r="G8283" s="34" t="n">
        <f aca="false">SUMIFS('12.326ana'!$C:$C,'12.326ana'!$M:$M,redes!A8283)</f>
        <v>0</v>
      </c>
    </row>
    <row r="8284" customFormat="false" ht="14.4" hidden="true" customHeight="false" outlineLevel="0" collapsed="false">
      <c r="A8284" s="34" t="n">
        <v>4011133000114</v>
      </c>
      <c r="B8284" s="34" t="s">
        <v>17356</v>
      </c>
      <c r="C8284" s="34" t="s">
        <v>604</v>
      </c>
      <c r="E8284" s="30" t="s">
        <v>17357</v>
      </c>
      <c r="F8284" s="34" t="n">
        <f aca="false">IFERROR(VLOOKUP($A8284,'319'!$B:$H,7,0),0)</f>
        <v>0</v>
      </c>
      <c r="G8284" s="34" t="n">
        <f aca="false">SUMIFS('12.326ana'!$C:$C,'12.326ana'!$M:$M,redes!A8284)</f>
        <v>0</v>
      </c>
    </row>
    <row r="8285" customFormat="false" ht="14.4" hidden="true" customHeight="false" outlineLevel="0" collapsed="false">
      <c r="A8285" s="34" t="n">
        <v>4011208000167</v>
      </c>
      <c r="B8285" s="34" t="s">
        <v>17358</v>
      </c>
      <c r="C8285" s="34" t="s">
        <v>721</v>
      </c>
      <c r="E8285" s="30" t="s">
        <v>10574</v>
      </c>
      <c r="F8285" s="34" t="n">
        <f aca="false">IFERROR(VLOOKUP($A8285,'319'!$B:$H,7,0),0)</f>
        <v>0</v>
      </c>
      <c r="G8285" s="34" t="n">
        <f aca="false">SUMIFS('12.326ana'!$C:$C,'12.326ana'!$M:$M,redes!A8285)</f>
        <v>0</v>
      </c>
    </row>
    <row r="8286" customFormat="false" ht="14.4" hidden="true" customHeight="false" outlineLevel="0" collapsed="false">
      <c r="A8286" s="34" t="n">
        <v>4013899000138</v>
      </c>
      <c r="B8286" s="34" t="s">
        <v>17359</v>
      </c>
      <c r="C8286" s="34" t="s">
        <v>3594</v>
      </c>
      <c r="E8286" s="30" t="s">
        <v>17360</v>
      </c>
      <c r="F8286" s="34" t="n">
        <f aca="false">IFERROR(VLOOKUP($A8286,'319'!$B:$H,7,0),0)</f>
        <v>0</v>
      </c>
      <c r="G8286" s="34" t="n">
        <f aca="false">SUMIFS('12.326ana'!$C:$C,'12.326ana'!$M:$M,redes!A8286)</f>
        <v>0</v>
      </c>
    </row>
    <row r="8287" customFormat="false" ht="14.4" hidden="true" customHeight="false" outlineLevel="0" collapsed="false">
      <c r="A8287" s="34" t="n">
        <v>4016038000103</v>
      </c>
      <c r="B8287" s="34" t="s">
        <v>17361</v>
      </c>
      <c r="C8287" s="34" t="s">
        <v>546</v>
      </c>
      <c r="E8287" s="30" t="s">
        <v>3465</v>
      </c>
      <c r="F8287" s="34" t="n">
        <f aca="false">IFERROR(VLOOKUP($A8287,'319'!$B:$H,7,0),0)</f>
        <v>0</v>
      </c>
      <c r="G8287" s="34" t="n">
        <f aca="false">SUMIFS('12.326ana'!$C:$C,'12.326ana'!$M:$M,redes!A8287)</f>
        <v>0</v>
      </c>
    </row>
    <row r="8288" customFormat="false" ht="14.4" hidden="true" customHeight="false" outlineLevel="0" collapsed="false">
      <c r="A8288" s="34" t="n">
        <v>4019338000146</v>
      </c>
      <c r="B8288" s="34" t="s">
        <v>17362</v>
      </c>
      <c r="C8288" s="34" t="s">
        <v>737</v>
      </c>
      <c r="E8288" s="30" t="s">
        <v>17363</v>
      </c>
      <c r="F8288" s="34" t="n">
        <f aca="false">IFERROR(VLOOKUP($A8288,'319'!$B:$H,7,0),0)</f>
        <v>0</v>
      </c>
      <c r="G8288" s="34" t="n">
        <f aca="false">SUMIFS('12.326ana'!$C:$C,'12.326ana'!$M:$M,redes!A8288)</f>
        <v>0</v>
      </c>
    </row>
    <row r="8289" customFormat="false" ht="14.4" hidden="true" customHeight="false" outlineLevel="0" collapsed="false">
      <c r="A8289" s="34" t="n">
        <v>4019807000127</v>
      </c>
      <c r="B8289" s="34" t="s">
        <v>17364</v>
      </c>
      <c r="C8289" s="34" t="s">
        <v>342</v>
      </c>
      <c r="E8289" s="30" t="s">
        <v>4071</v>
      </c>
      <c r="F8289" s="34" t="n">
        <f aca="false">IFERROR(VLOOKUP($A8289,'319'!$B:$H,7,0),0)</f>
        <v>0</v>
      </c>
      <c r="G8289" s="34" t="n">
        <f aca="false">SUMIFS('12.326ana'!$C:$C,'12.326ana'!$M:$M,redes!A8289)</f>
        <v>0</v>
      </c>
    </row>
    <row r="8290" customFormat="false" ht="14.4" hidden="true" customHeight="false" outlineLevel="0" collapsed="false">
      <c r="A8290" s="34" t="n">
        <v>4021587000176</v>
      </c>
      <c r="B8290" s="34" t="s">
        <v>17365</v>
      </c>
      <c r="C8290" s="34" t="s">
        <v>594</v>
      </c>
      <c r="E8290" s="30" t="s">
        <v>17366</v>
      </c>
      <c r="F8290" s="34" t="n">
        <f aca="false">IFERROR(VLOOKUP($A8290,'319'!$B:$H,7,0),0)</f>
        <v>0</v>
      </c>
      <c r="G8290" s="34" t="n">
        <f aca="false">SUMIFS('12.326ana'!$C:$C,'12.326ana'!$M:$M,redes!A8290)</f>
        <v>0</v>
      </c>
    </row>
    <row r="8291" customFormat="false" ht="14.4" hidden="true" customHeight="false" outlineLevel="0" collapsed="false">
      <c r="A8291" s="34" t="n">
        <v>4022498000144</v>
      </c>
      <c r="B8291" s="34" t="s">
        <v>17367</v>
      </c>
      <c r="C8291" s="34" t="s">
        <v>77</v>
      </c>
      <c r="E8291" s="30" t="s">
        <v>17368</v>
      </c>
      <c r="F8291" s="34" t="n">
        <f aca="false">IFERROR(VLOOKUP($A8291,'319'!$B:$H,7,0),0)</f>
        <v>0</v>
      </c>
      <c r="G8291" s="34" t="n">
        <f aca="false">SUMIFS('12.326ana'!$C:$C,'12.326ana'!$M:$M,redes!A8291)</f>
        <v>0</v>
      </c>
    </row>
    <row r="8292" customFormat="false" ht="14.4" hidden="true" customHeight="false" outlineLevel="0" collapsed="false">
      <c r="A8292" s="34" t="n">
        <v>4022908000157</v>
      </c>
      <c r="B8292" s="34" t="s">
        <v>17369</v>
      </c>
      <c r="C8292" s="34" t="s">
        <v>89</v>
      </c>
      <c r="E8292" s="30" t="s">
        <v>17370</v>
      </c>
      <c r="F8292" s="34" t="n">
        <f aca="false">IFERROR(VLOOKUP($A8292,'319'!$B:$H,7,0),0)</f>
        <v>0</v>
      </c>
      <c r="G8292" s="34" t="n">
        <f aca="false">SUMIFS('12.326ana'!$C:$C,'12.326ana'!$M:$M,redes!A8292)</f>
        <v>0</v>
      </c>
    </row>
    <row r="8293" customFormat="false" ht="14.4" hidden="true" customHeight="false" outlineLevel="0" collapsed="false">
      <c r="A8293" s="34" t="n">
        <v>4024074000119</v>
      </c>
      <c r="B8293" s="34" t="s">
        <v>17371</v>
      </c>
      <c r="C8293" s="34" t="s">
        <v>103</v>
      </c>
      <c r="E8293" s="30" t="s">
        <v>17372</v>
      </c>
      <c r="F8293" s="34" t="n">
        <f aca="false">IFERROR(VLOOKUP($A8293,'319'!$B:$H,7,0),0)</f>
        <v>0</v>
      </c>
      <c r="G8293" s="34" t="n">
        <f aca="false">SUMIFS('12.326ana'!$C:$C,'12.326ana'!$M:$M,redes!A8293)</f>
        <v>0</v>
      </c>
    </row>
    <row r="8294" customFormat="false" ht="14.4" hidden="true" customHeight="false" outlineLevel="0" collapsed="false">
      <c r="A8294" s="34" t="n">
        <v>4024320000132</v>
      </c>
      <c r="B8294" s="34" t="s">
        <v>17373</v>
      </c>
      <c r="C8294" s="34" t="s">
        <v>3594</v>
      </c>
      <c r="E8294" s="30" t="s">
        <v>17374</v>
      </c>
      <c r="F8294" s="34" t="n">
        <f aca="false">IFERROR(VLOOKUP($A8294,'319'!$B:$H,7,0),0)</f>
        <v>0</v>
      </c>
      <c r="G8294" s="34" t="n">
        <f aca="false">SUMIFS('12.326ana'!$C:$C,'12.326ana'!$M:$M,redes!A8294)</f>
        <v>0</v>
      </c>
    </row>
    <row r="8295" customFormat="false" ht="14.4" hidden="true" customHeight="false" outlineLevel="0" collapsed="false">
      <c r="A8295" s="34" t="n">
        <v>4026934000153</v>
      </c>
      <c r="B8295" s="34" t="s">
        <v>17375</v>
      </c>
      <c r="C8295" s="34" t="s">
        <v>77</v>
      </c>
      <c r="E8295" s="30" t="s">
        <v>17376</v>
      </c>
      <c r="F8295" s="34" t="n">
        <f aca="false">IFERROR(VLOOKUP($A8295,'319'!$B:$H,7,0),0)</f>
        <v>0</v>
      </c>
      <c r="G8295" s="34" t="n">
        <f aca="false">SUMIFS('12.326ana'!$C:$C,'12.326ana'!$M:$M,redes!A8295)</f>
        <v>0</v>
      </c>
    </row>
    <row r="8296" customFormat="false" ht="14.4" hidden="true" customHeight="false" outlineLevel="0" collapsed="false">
      <c r="A8296" s="34" t="n">
        <v>4027261000156</v>
      </c>
      <c r="B8296" s="34" t="s">
        <v>17377</v>
      </c>
      <c r="C8296" s="34" t="s">
        <v>1341</v>
      </c>
      <c r="E8296" s="30" t="s">
        <v>17378</v>
      </c>
      <c r="F8296" s="34" t="n">
        <f aca="false">IFERROR(VLOOKUP($A8296,'319'!$B:$H,7,0),0)</f>
        <v>0</v>
      </c>
      <c r="G8296" s="34" t="n">
        <f aca="false">SUMIFS('12.326ana'!$C:$C,'12.326ana'!$M:$M,redes!A8296)</f>
        <v>0</v>
      </c>
    </row>
    <row r="8297" customFormat="false" ht="14.4" hidden="true" customHeight="false" outlineLevel="0" collapsed="false">
      <c r="A8297" s="34" t="n">
        <v>4029048000183</v>
      </c>
      <c r="B8297" s="34" t="s">
        <v>17379</v>
      </c>
      <c r="C8297" s="34" t="s">
        <v>77</v>
      </c>
      <c r="E8297" s="30" t="s">
        <v>17380</v>
      </c>
      <c r="F8297" s="34" t="n">
        <f aca="false">IFERROR(VLOOKUP($A8297,'319'!$B:$H,7,0),0)</f>
        <v>0</v>
      </c>
      <c r="G8297" s="34" t="n">
        <f aca="false">SUMIFS('12.326ana'!$C:$C,'12.326ana'!$M:$M,redes!A8297)</f>
        <v>0</v>
      </c>
    </row>
    <row r="8298" customFormat="false" ht="14.4" hidden="true" customHeight="false" outlineLevel="0" collapsed="false">
      <c r="A8298" s="34" t="n">
        <v>4029381000192</v>
      </c>
      <c r="B8298" s="34" t="s">
        <v>17381</v>
      </c>
      <c r="C8298" s="34" t="s">
        <v>213</v>
      </c>
      <c r="E8298" s="30" t="s">
        <v>17382</v>
      </c>
      <c r="F8298" s="34" t="n">
        <f aca="false">IFERROR(VLOOKUP($A8298,'319'!$B:$H,7,0),0)</f>
        <v>0</v>
      </c>
      <c r="G8298" s="34" t="n">
        <f aca="false">SUMIFS('12.326ana'!$C:$C,'12.326ana'!$M:$M,redes!A8298)</f>
        <v>0</v>
      </c>
    </row>
    <row r="8299" customFormat="false" ht="14.4" hidden="true" customHeight="false" outlineLevel="0" collapsed="false">
      <c r="A8299" s="34" t="n">
        <v>4029529000199</v>
      </c>
      <c r="B8299" s="34" t="s">
        <v>17383</v>
      </c>
      <c r="C8299" s="34" t="s">
        <v>77</v>
      </c>
      <c r="D8299" s="34" t="s">
        <v>23</v>
      </c>
      <c r="E8299" s="30" t="s">
        <v>17384</v>
      </c>
      <c r="F8299" s="34" t="n">
        <f aca="false">IFERROR(VLOOKUP($A8299,'319'!$B:$H,7,0),0)</f>
        <v>0</v>
      </c>
      <c r="G8299" s="34" t="n">
        <f aca="false">SUMIFS('12.326ana'!$C:$C,'12.326ana'!$M:$M,redes!A8299)</f>
        <v>0</v>
      </c>
    </row>
    <row r="8300" customFormat="false" ht="14.4" hidden="true" customHeight="false" outlineLevel="0" collapsed="false">
      <c r="A8300" s="34" t="n">
        <v>4029855000104</v>
      </c>
      <c r="B8300" s="34" t="s">
        <v>17385</v>
      </c>
      <c r="C8300" s="34" t="s">
        <v>77</v>
      </c>
      <c r="E8300" s="30" t="s">
        <v>17386</v>
      </c>
      <c r="F8300" s="34" t="n">
        <f aca="false">IFERROR(VLOOKUP($A8300,'319'!$B:$H,7,0),0)</f>
        <v>0</v>
      </c>
      <c r="G8300" s="34" t="n">
        <f aca="false">SUMIFS('12.326ana'!$C:$C,'12.326ana'!$M:$M,redes!A8300)</f>
        <v>0</v>
      </c>
    </row>
    <row r="8301" customFormat="false" ht="14.4" hidden="true" customHeight="false" outlineLevel="0" collapsed="false">
      <c r="A8301" s="34" t="n">
        <v>4031186000105</v>
      </c>
      <c r="B8301" s="34" t="s">
        <v>17387</v>
      </c>
      <c r="C8301" s="34" t="s">
        <v>107</v>
      </c>
      <c r="D8301" s="34" t="s">
        <v>4797</v>
      </c>
      <c r="E8301" s="30" t="s">
        <v>17388</v>
      </c>
      <c r="F8301" s="34" t="n">
        <f aca="false">IFERROR(VLOOKUP($A8301,'319'!$B:$H,7,0),0)</f>
        <v>0</v>
      </c>
      <c r="G8301" s="34" t="n">
        <f aca="false">SUMIFS('12.326ana'!$C:$C,'12.326ana'!$M:$M,redes!A8301)</f>
        <v>0</v>
      </c>
    </row>
    <row r="8302" customFormat="false" ht="14.4" hidden="true" customHeight="false" outlineLevel="0" collapsed="false">
      <c r="A8302" s="34" t="n">
        <v>4033493000117</v>
      </c>
      <c r="B8302" s="34" t="s">
        <v>17389</v>
      </c>
      <c r="C8302" s="34" t="s">
        <v>107</v>
      </c>
      <c r="E8302" s="30" t="s">
        <v>17390</v>
      </c>
      <c r="F8302" s="34" t="n">
        <f aca="false">IFERROR(VLOOKUP($A8302,'319'!$B:$H,7,0),0)</f>
        <v>0</v>
      </c>
      <c r="G8302" s="34" t="n">
        <f aca="false">SUMIFS('12.326ana'!$C:$C,'12.326ana'!$M:$M,redes!A8302)</f>
        <v>0</v>
      </c>
    </row>
    <row r="8303" customFormat="false" ht="14.4" hidden="true" customHeight="false" outlineLevel="0" collapsed="false">
      <c r="A8303" s="34" t="n">
        <v>4033495000106</v>
      </c>
      <c r="B8303" s="34" t="s">
        <v>17391</v>
      </c>
      <c r="C8303" s="34" t="s">
        <v>77</v>
      </c>
      <c r="E8303" s="30" t="s">
        <v>17392</v>
      </c>
      <c r="F8303" s="34" t="n">
        <f aca="false">IFERROR(VLOOKUP($A8303,'319'!$B:$H,7,0),0)</f>
        <v>0</v>
      </c>
      <c r="G8303" s="34" t="n">
        <f aca="false">SUMIFS('12.326ana'!$C:$C,'12.326ana'!$M:$M,redes!A8303)</f>
        <v>0</v>
      </c>
    </row>
    <row r="8304" customFormat="false" ht="14.4" hidden="true" customHeight="false" outlineLevel="0" collapsed="false">
      <c r="A8304" s="34" t="n">
        <v>4033495000297</v>
      </c>
      <c r="B8304" s="34" t="s">
        <v>17393</v>
      </c>
      <c r="C8304" s="34" t="s">
        <v>77</v>
      </c>
      <c r="E8304" s="30" t="s">
        <v>10260</v>
      </c>
      <c r="F8304" s="34" t="n">
        <f aca="false">IFERROR(VLOOKUP($A8304,'319'!$B:$H,7,0),0)</f>
        <v>0</v>
      </c>
      <c r="G8304" s="34" t="n">
        <f aca="false">SUMIFS('12.326ana'!$C:$C,'12.326ana'!$M:$M,redes!A8304)</f>
        <v>0</v>
      </c>
    </row>
    <row r="8305" customFormat="false" ht="14.4" hidden="true" customHeight="false" outlineLevel="0" collapsed="false">
      <c r="A8305" s="34" t="n">
        <v>4034101000134</v>
      </c>
      <c r="B8305" s="34" t="s">
        <v>17394</v>
      </c>
      <c r="C8305" s="34" t="s">
        <v>598</v>
      </c>
      <c r="E8305" s="30" t="s">
        <v>17395</v>
      </c>
      <c r="F8305" s="34" t="n">
        <f aca="false">IFERROR(VLOOKUP($A8305,'319'!$B:$H,7,0),0)</f>
        <v>0</v>
      </c>
      <c r="G8305" s="34" t="n">
        <f aca="false">SUMIFS('12.326ana'!$C:$C,'12.326ana'!$M:$M,redes!A8305)</f>
        <v>0</v>
      </c>
    </row>
    <row r="8306" customFormat="false" ht="14.4" hidden="true" customHeight="false" outlineLevel="0" collapsed="false">
      <c r="A8306" s="34" t="n">
        <v>4036124000188</v>
      </c>
      <c r="B8306" s="34" t="s">
        <v>17396</v>
      </c>
      <c r="C8306" s="34" t="s">
        <v>77</v>
      </c>
      <c r="E8306" s="30" t="s">
        <v>17397</v>
      </c>
      <c r="F8306" s="34" t="n">
        <f aca="false">IFERROR(VLOOKUP($A8306,'319'!$B:$H,7,0),0)</f>
        <v>0</v>
      </c>
      <c r="G8306" s="34" t="n">
        <f aca="false">SUMIFS('12.326ana'!$C:$C,'12.326ana'!$M:$M,redes!A8306)</f>
        <v>0</v>
      </c>
    </row>
    <row r="8307" customFormat="false" ht="14.4" hidden="true" customHeight="false" outlineLevel="0" collapsed="false">
      <c r="A8307" s="34" t="n">
        <v>4043787000120</v>
      </c>
      <c r="B8307" s="34" t="s">
        <v>17398</v>
      </c>
      <c r="C8307" s="34" t="s">
        <v>342</v>
      </c>
      <c r="E8307" s="30" t="s">
        <v>17399</v>
      </c>
      <c r="F8307" s="34" t="n">
        <f aca="false">IFERROR(VLOOKUP($A8307,'319'!$B:$H,7,0),0)</f>
        <v>0</v>
      </c>
      <c r="G8307" s="34" t="n">
        <f aca="false">SUMIFS('12.326ana'!$C:$C,'12.326ana'!$M:$M,redes!A8307)</f>
        <v>0</v>
      </c>
    </row>
    <row r="8308" customFormat="false" ht="14.4" hidden="true" customHeight="false" outlineLevel="0" collapsed="false">
      <c r="A8308" s="34" t="n">
        <v>4043913000146</v>
      </c>
      <c r="B8308" s="34" t="s">
        <v>17400</v>
      </c>
      <c r="C8308" s="34" t="s">
        <v>77</v>
      </c>
      <c r="E8308" s="30" t="s">
        <v>17401</v>
      </c>
      <c r="F8308" s="34" t="n">
        <f aca="false">IFERROR(VLOOKUP($A8308,'319'!$B:$H,7,0),0)</f>
        <v>0</v>
      </c>
      <c r="G8308" s="34" t="n">
        <f aca="false">SUMIFS('12.326ana'!$C:$C,'12.326ana'!$M:$M,redes!A8308)</f>
        <v>0</v>
      </c>
    </row>
    <row r="8309" customFormat="false" ht="14.4" hidden="true" customHeight="false" outlineLevel="0" collapsed="false">
      <c r="A8309" s="34" t="n">
        <v>4045528000219</v>
      </c>
      <c r="B8309" s="34" t="s">
        <v>17402</v>
      </c>
      <c r="C8309" s="34" t="s">
        <v>77</v>
      </c>
      <c r="E8309" s="30" t="s">
        <v>17403</v>
      </c>
      <c r="F8309" s="34" t="n">
        <f aca="false">IFERROR(VLOOKUP($A8309,'319'!$B:$H,7,0),0)</f>
        <v>0</v>
      </c>
      <c r="G8309" s="34" t="n">
        <f aca="false">SUMIFS('12.326ana'!$C:$C,'12.326ana'!$M:$M,redes!A8309)</f>
        <v>0</v>
      </c>
    </row>
    <row r="8310" customFormat="false" ht="14.4" hidden="true" customHeight="false" outlineLevel="0" collapsed="false">
      <c r="A8310" s="34" t="n">
        <v>4046432000194</v>
      </c>
      <c r="B8310" s="34" t="s">
        <v>17404</v>
      </c>
      <c r="C8310" s="34" t="s">
        <v>77</v>
      </c>
      <c r="E8310" s="30" t="s">
        <v>3933</v>
      </c>
      <c r="F8310" s="34" t="n">
        <f aca="false">IFERROR(VLOOKUP($A8310,'319'!$B:$H,7,0),0)</f>
        <v>0</v>
      </c>
      <c r="G8310" s="34" t="n">
        <f aca="false">SUMIFS('12.326ana'!$C:$C,'12.326ana'!$M:$M,redes!A8310)</f>
        <v>0</v>
      </c>
    </row>
    <row r="8311" customFormat="false" ht="14.4" hidden="true" customHeight="false" outlineLevel="0" collapsed="false">
      <c r="A8311" s="34" t="n">
        <v>4046754000133</v>
      </c>
      <c r="B8311" s="34" t="s">
        <v>17405</v>
      </c>
      <c r="C8311" s="34" t="s">
        <v>103</v>
      </c>
      <c r="D8311" s="34" t="s">
        <v>4797</v>
      </c>
      <c r="E8311" s="30" t="s">
        <v>17406</v>
      </c>
      <c r="F8311" s="34" t="n">
        <f aca="false">IFERROR(VLOOKUP($A8311,'319'!$B:$H,7,0),0)</f>
        <v>0</v>
      </c>
      <c r="G8311" s="34" t="n">
        <f aca="false">SUMIFS('12.326ana'!$C:$C,'12.326ana'!$M:$M,redes!A8311)</f>
        <v>0</v>
      </c>
    </row>
    <row r="8312" customFormat="false" ht="14.4" hidden="true" customHeight="false" outlineLevel="0" collapsed="false">
      <c r="A8312" s="34" t="n">
        <v>4048928000105</v>
      </c>
      <c r="B8312" s="34" t="s">
        <v>17407</v>
      </c>
      <c r="C8312" s="34" t="s">
        <v>594</v>
      </c>
      <c r="E8312" s="30" t="s">
        <v>17408</v>
      </c>
      <c r="F8312" s="34" t="n">
        <f aca="false">IFERROR(VLOOKUP($A8312,'319'!$B:$H,7,0),0)</f>
        <v>0</v>
      </c>
      <c r="G8312" s="34" t="n">
        <f aca="false">SUMIFS('12.326ana'!$C:$C,'12.326ana'!$M:$M,redes!A8312)</f>
        <v>0</v>
      </c>
    </row>
    <row r="8313" customFormat="false" ht="14.4" hidden="true" customHeight="false" outlineLevel="0" collapsed="false">
      <c r="A8313" s="34" t="n">
        <v>4049114000187</v>
      </c>
      <c r="B8313" s="34" t="s">
        <v>17409</v>
      </c>
      <c r="C8313" s="34" t="s">
        <v>336</v>
      </c>
      <c r="E8313" s="30" t="s">
        <v>3066</v>
      </c>
      <c r="F8313" s="34" t="n">
        <f aca="false">IFERROR(VLOOKUP($A8313,'319'!$B:$H,7,0),0)</f>
        <v>0</v>
      </c>
      <c r="G8313" s="34" t="n">
        <f aca="false">SUMIFS('12.326ana'!$C:$C,'12.326ana'!$M:$M,redes!A8313)</f>
        <v>0</v>
      </c>
    </row>
    <row r="8314" customFormat="false" ht="14.4" hidden="true" customHeight="false" outlineLevel="0" collapsed="false">
      <c r="A8314" s="34" t="n">
        <v>4050583000116</v>
      </c>
      <c r="B8314" s="34" t="s">
        <v>17410</v>
      </c>
      <c r="C8314" s="34" t="s">
        <v>299</v>
      </c>
      <c r="E8314" s="30" t="s">
        <v>17411</v>
      </c>
      <c r="F8314" s="34" t="n">
        <f aca="false">IFERROR(VLOOKUP($A8314,'319'!$B:$H,7,0),0)</f>
        <v>0</v>
      </c>
      <c r="G8314" s="34" t="n">
        <f aca="false">SUMIFS('12.326ana'!$C:$C,'12.326ana'!$M:$M,redes!A8314)</f>
        <v>0</v>
      </c>
    </row>
    <row r="8315" customFormat="false" ht="14.4" hidden="true" customHeight="false" outlineLevel="0" collapsed="false">
      <c r="A8315" s="34" t="n">
        <v>4050862000180</v>
      </c>
      <c r="B8315" s="34" t="s">
        <v>17412</v>
      </c>
      <c r="C8315" s="34" t="s">
        <v>77</v>
      </c>
      <c r="D8315" s="34" t="s">
        <v>12694</v>
      </c>
      <c r="E8315" s="30" t="s">
        <v>13216</v>
      </c>
      <c r="F8315" s="34" t="n">
        <f aca="false">IFERROR(VLOOKUP($A8315,'319'!$B:$H,7,0),0)</f>
        <v>0</v>
      </c>
      <c r="G8315" s="34" t="n">
        <f aca="false">SUMIFS('12.326ana'!$C:$C,'12.326ana'!$M:$M,redes!A8315)</f>
        <v>0</v>
      </c>
    </row>
    <row r="8316" customFormat="false" ht="14.4" hidden="true" customHeight="false" outlineLevel="0" collapsed="false">
      <c r="A8316" s="34" t="n">
        <v>4050862000260</v>
      </c>
      <c r="B8316" s="34" t="s">
        <v>17413</v>
      </c>
      <c r="C8316" s="34" t="s">
        <v>77</v>
      </c>
      <c r="D8316" s="34" t="s">
        <v>14249</v>
      </c>
      <c r="E8316" s="30" t="s">
        <v>17414</v>
      </c>
      <c r="F8316" s="34" t="n">
        <f aca="false">IFERROR(VLOOKUP($A8316,'319'!$B:$H,7,0),0)</f>
        <v>0</v>
      </c>
      <c r="G8316" s="34" t="n">
        <f aca="false">SUMIFS('12.326ana'!$C:$C,'12.326ana'!$M:$M,redes!A8316)</f>
        <v>0</v>
      </c>
    </row>
    <row r="8317" customFormat="false" ht="14.4" hidden="true" customHeight="false" outlineLevel="0" collapsed="false">
      <c r="A8317" s="34" t="n">
        <v>4050862000341</v>
      </c>
      <c r="B8317" s="34" t="s">
        <v>17413</v>
      </c>
      <c r="C8317" s="34" t="s">
        <v>77</v>
      </c>
      <c r="D8317" s="34" t="s">
        <v>14249</v>
      </c>
      <c r="E8317" s="30" t="s">
        <v>17414</v>
      </c>
      <c r="F8317" s="34" t="n">
        <f aca="false">IFERROR(VLOOKUP($A8317,'319'!$B:$H,7,0),0)</f>
        <v>0</v>
      </c>
      <c r="G8317" s="34" t="n">
        <f aca="false">SUMIFS('12.326ana'!$C:$C,'12.326ana'!$M:$M,redes!A8317)</f>
        <v>0</v>
      </c>
    </row>
    <row r="8318" customFormat="false" ht="14.4" hidden="true" customHeight="false" outlineLevel="0" collapsed="false">
      <c r="A8318" s="34" t="n">
        <v>4050862000422</v>
      </c>
      <c r="B8318" s="34" t="s">
        <v>17413</v>
      </c>
      <c r="C8318" s="34" t="s">
        <v>77</v>
      </c>
      <c r="D8318" s="34" t="s">
        <v>17415</v>
      </c>
      <c r="E8318" s="30" t="s">
        <v>17416</v>
      </c>
      <c r="F8318" s="34" t="n">
        <f aca="false">IFERROR(VLOOKUP($A8318,'319'!$B:$H,7,0),0)</f>
        <v>0</v>
      </c>
      <c r="G8318" s="34" t="n">
        <f aca="false">SUMIFS('12.326ana'!$C:$C,'12.326ana'!$M:$M,redes!A8318)</f>
        <v>0</v>
      </c>
    </row>
    <row r="8319" customFormat="false" ht="14.4" hidden="true" customHeight="false" outlineLevel="0" collapsed="false">
      <c r="A8319" s="34" t="n">
        <v>4050862000694</v>
      </c>
      <c r="B8319" s="34" t="s">
        <v>17413</v>
      </c>
      <c r="C8319" s="34" t="s">
        <v>77</v>
      </c>
      <c r="E8319" s="30" t="s">
        <v>17417</v>
      </c>
      <c r="F8319" s="34" t="n">
        <f aca="false">IFERROR(VLOOKUP($A8319,'319'!$B:$H,7,0),0)</f>
        <v>0</v>
      </c>
      <c r="G8319" s="34" t="n">
        <f aca="false">SUMIFS('12.326ana'!$C:$C,'12.326ana'!$M:$M,redes!A8319)</f>
        <v>0</v>
      </c>
    </row>
    <row r="8320" customFormat="false" ht="14.4" hidden="true" customHeight="false" outlineLevel="0" collapsed="false">
      <c r="A8320" s="34" t="n">
        <v>4052011000176</v>
      </c>
      <c r="B8320" s="34" t="s">
        <v>17418</v>
      </c>
      <c r="C8320" s="34" t="s">
        <v>17419</v>
      </c>
      <c r="E8320" s="30" t="s">
        <v>17420</v>
      </c>
      <c r="F8320" s="34" t="n">
        <f aca="false">IFERROR(VLOOKUP($A8320,'319'!$B:$H,7,0),0)</f>
        <v>0</v>
      </c>
      <c r="G8320" s="34" t="n">
        <f aca="false">SUMIFS('12.326ana'!$C:$C,'12.326ana'!$M:$M,redes!A8320)</f>
        <v>0</v>
      </c>
    </row>
    <row r="8321" customFormat="false" ht="14.4" hidden="true" customHeight="false" outlineLevel="0" collapsed="false">
      <c r="A8321" s="34" t="n">
        <v>4052604000132</v>
      </c>
      <c r="B8321" s="34" t="s">
        <v>17421</v>
      </c>
      <c r="C8321" s="34" t="s">
        <v>77</v>
      </c>
      <c r="E8321" s="30" t="s">
        <v>17422</v>
      </c>
      <c r="F8321" s="34" t="n">
        <f aca="false">IFERROR(VLOOKUP($A8321,'319'!$B:$H,7,0),0)</f>
        <v>0</v>
      </c>
      <c r="G8321" s="34" t="n">
        <f aca="false">SUMIFS('12.326ana'!$C:$C,'12.326ana'!$M:$M,redes!A8321)</f>
        <v>0</v>
      </c>
    </row>
    <row r="8322" customFormat="false" ht="14.4" hidden="true" customHeight="false" outlineLevel="0" collapsed="false">
      <c r="A8322" s="34" t="n">
        <v>4053843000107</v>
      </c>
      <c r="B8322" s="34" t="s">
        <v>17423</v>
      </c>
      <c r="C8322" s="34" t="s">
        <v>721</v>
      </c>
      <c r="E8322" s="30" t="s">
        <v>17424</v>
      </c>
      <c r="F8322" s="34" t="n">
        <f aca="false">IFERROR(VLOOKUP($A8322,'319'!$B:$H,7,0),0)</f>
        <v>0</v>
      </c>
      <c r="G8322" s="34" t="n">
        <f aca="false">SUMIFS('12.326ana'!$C:$C,'12.326ana'!$M:$M,redes!A8322)</f>
        <v>0</v>
      </c>
    </row>
    <row r="8323" customFormat="false" ht="14.4" hidden="true" customHeight="false" outlineLevel="0" collapsed="false">
      <c r="A8323" s="34" t="n">
        <v>4055990000116</v>
      </c>
      <c r="B8323" s="34" t="s">
        <v>17425</v>
      </c>
      <c r="C8323" s="34" t="s">
        <v>77</v>
      </c>
      <c r="D8323" s="34" t="s">
        <v>5602</v>
      </c>
      <c r="E8323" s="30" t="s">
        <v>17426</v>
      </c>
      <c r="F8323" s="34" t="n">
        <f aca="false">IFERROR(VLOOKUP($A8323,'319'!$B:$H,7,0),0)</f>
        <v>0</v>
      </c>
      <c r="G8323" s="34" t="n">
        <f aca="false">SUMIFS('12.326ana'!$C:$C,'12.326ana'!$M:$M,redes!A8323)</f>
        <v>0</v>
      </c>
    </row>
    <row r="8324" customFormat="false" ht="14.4" hidden="true" customHeight="false" outlineLevel="0" collapsed="false">
      <c r="A8324" s="34" t="n">
        <v>4056703000192</v>
      </c>
      <c r="B8324" s="34" t="s">
        <v>17427</v>
      </c>
      <c r="C8324" s="34" t="s">
        <v>328</v>
      </c>
      <c r="E8324" s="30" t="s">
        <v>17428</v>
      </c>
      <c r="F8324" s="34" t="n">
        <f aca="false">IFERROR(VLOOKUP($A8324,'319'!$B:$H,7,0),0)</f>
        <v>0</v>
      </c>
      <c r="G8324" s="34" t="n">
        <f aca="false">SUMIFS('12.326ana'!$C:$C,'12.326ana'!$M:$M,redes!A8324)</f>
        <v>0</v>
      </c>
    </row>
    <row r="8325" customFormat="false" ht="14.4" hidden="true" customHeight="false" outlineLevel="0" collapsed="false">
      <c r="A8325" s="34" t="n">
        <v>4056864000186</v>
      </c>
      <c r="B8325" s="34" t="s">
        <v>17429</v>
      </c>
      <c r="C8325" s="34" t="s">
        <v>77</v>
      </c>
      <c r="E8325" s="30" t="s">
        <v>17430</v>
      </c>
      <c r="F8325" s="34" t="n">
        <f aca="false">IFERROR(VLOOKUP($A8325,'319'!$B:$H,7,0),0)</f>
        <v>0</v>
      </c>
      <c r="G8325" s="34" t="n">
        <f aca="false">SUMIFS('12.326ana'!$C:$C,'12.326ana'!$M:$M,redes!A8325)</f>
        <v>0</v>
      </c>
    </row>
    <row r="8326" customFormat="false" ht="14.4" hidden="true" customHeight="false" outlineLevel="0" collapsed="false">
      <c r="A8326" s="34" t="n">
        <v>4058551000167</v>
      </c>
      <c r="B8326" s="34" t="s">
        <v>17431</v>
      </c>
      <c r="C8326" s="34" t="s">
        <v>328</v>
      </c>
      <c r="E8326" s="30" t="s">
        <v>17432</v>
      </c>
      <c r="F8326" s="34" t="n">
        <f aca="false">IFERROR(VLOOKUP($A8326,'319'!$B:$H,7,0),0)</f>
        <v>0</v>
      </c>
      <c r="G8326" s="34" t="n">
        <f aca="false">SUMIFS('12.326ana'!$C:$C,'12.326ana'!$M:$M,redes!A8326)</f>
        <v>0</v>
      </c>
    </row>
    <row r="8327" customFormat="false" ht="14.4" hidden="true" customHeight="false" outlineLevel="0" collapsed="false">
      <c r="A8327" s="34" t="n">
        <v>4059008000184</v>
      </c>
      <c r="B8327" s="34" t="s">
        <v>17433</v>
      </c>
      <c r="C8327" s="34" t="s">
        <v>77</v>
      </c>
      <c r="E8327" s="30" t="s">
        <v>17434</v>
      </c>
      <c r="F8327" s="34" t="n">
        <f aca="false">IFERROR(VLOOKUP($A8327,'319'!$B:$H,7,0),0)</f>
        <v>0</v>
      </c>
      <c r="G8327" s="34" t="n">
        <f aca="false">SUMIFS('12.326ana'!$C:$C,'12.326ana'!$M:$M,redes!A8327)</f>
        <v>0</v>
      </c>
    </row>
    <row r="8328" customFormat="false" ht="14.4" hidden="true" customHeight="false" outlineLevel="0" collapsed="false">
      <c r="A8328" s="34" t="n">
        <v>4059170000100</v>
      </c>
      <c r="B8328" s="34" t="s">
        <v>17435</v>
      </c>
      <c r="C8328" s="34" t="s">
        <v>594</v>
      </c>
      <c r="E8328" s="30" t="s">
        <v>17436</v>
      </c>
      <c r="F8328" s="34" t="n">
        <f aca="false">IFERROR(VLOOKUP($A8328,'319'!$B:$H,7,0),0)</f>
        <v>0</v>
      </c>
      <c r="G8328" s="34" t="n">
        <f aca="false">SUMIFS('12.326ana'!$C:$C,'12.326ana'!$M:$M,redes!A8328)</f>
        <v>0</v>
      </c>
    </row>
    <row r="8329" customFormat="false" ht="14.4" hidden="true" customHeight="false" outlineLevel="0" collapsed="false">
      <c r="A8329" s="34" t="n">
        <v>4061240000157</v>
      </c>
      <c r="B8329" s="34" t="s">
        <v>17437</v>
      </c>
      <c r="C8329" s="34" t="s">
        <v>77</v>
      </c>
      <c r="E8329" s="30" t="s">
        <v>17438</v>
      </c>
      <c r="F8329" s="34" t="n">
        <f aca="false">IFERROR(VLOOKUP($A8329,'319'!$B:$H,7,0),0)</f>
        <v>0</v>
      </c>
      <c r="G8329" s="34" t="n">
        <f aca="false">SUMIFS('12.326ana'!$C:$C,'12.326ana'!$M:$M,redes!A8329)</f>
        <v>0</v>
      </c>
    </row>
    <row r="8330" customFormat="false" ht="14.4" hidden="true" customHeight="false" outlineLevel="0" collapsed="false">
      <c r="A8330" s="34" t="n">
        <v>4062005000108</v>
      </c>
      <c r="B8330" s="34" t="s">
        <v>17439</v>
      </c>
      <c r="C8330" s="34" t="s">
        <v>77</v>
      </c>
      <c r="E8330" s="30" t="s">
        <v>17440</v>
      </c>
      <c r="F8330" s="34" t="n">
        <f aca="false">IFERROR(VLOOKUP($A8330,'319'!$B:$H,7,0),0)</f>
        <v>0</v>
      </c>
      <c r="G8330" s="34" t="n">
        <f aca="false">SUMIFS('12.326ana'!$C:$C,'12.326ana'!$M:$M,redes!A8330)</f>
        <v>0</v>
      </c>
    </row>
    <row r="8331" customFormat="false" ht="14.4" hidden="true" customHeight="false" outlineLevel="0" collapsed="false">
      <c r="A8331" s="34" t="n">
        <v>4062012000100</v>
      </c>
      <c r="B8331" s="34" t="s">
        <v>17441</v>
      </c>
      <c r="C8331" s="34" t="s">
        <v>77</v>
      </c>
      <c r="E8331" s="30" t="s">
        <v>17442</v>
      </c>
      <c r="F8331" s="34" t="n">
        <f aca="false">IFERROR(VLOOKUP($A8331,'319'!$B:$H,7,0),0)</f>
        <v>0</v>
      </c>
      <c r="G8331" s="34" t="n">
        <f aca="false">SUMIFS('12.326ana'!$C:$C,'12.326ana'!$M:$M,redes!A8331)</f>
        <v>0</v>
      </c>
    </row>
    <row r="8332" customFormat="false" ht="14.4" hidden="true" customHeight="false" outlineLevel="0" collapsed="false">
      <c r="A8332" s="34" t="n">
        <v>4063611000130</v>
      </c>
      <c r="B8332" s="34" t="s">
        <v>17443</v>
      </c>
      <c r="C8332" s="34" t="s">
        <v>77</v>
      </c>
      <c r="D8332" s="34" t="s">
        <v>3324</v>
      </c>
      <c r="E8332" s="30" t="s">
        <v>17444</v>
      </c>
      <c r="F8332" s="34" t="n">
        <f aca="false">IFERROR(VLOOKUP($A8332,'319'!$B:$H,7,0),0)</f>
        <v>0</v>
      </c>
      <c r="G8332" s="34" t="n">
        <f aca="false">SUMIFS('12.326ana'!$C:$C,'12.326ana'!$M:$M,redes!A8332)</f>
        <v>0</v>
      </c>
    </row>
    <row r="8333" customFormat="false" ht="14.4" hidden="true" customHeight="false" outlineLevel="0" collapsed="false">
      <c r="A8333" s="34" t="n">
        <v>4064005000139</v>
      </c>
      <c r="B8333" s="34" t="s">
        <v>17445</v>
      </c>
      <c r="C8333" s="34" t="s">
        <v>77</v>
      </c>
      <c r="E8333" s="30" t="s">
        <v>15172</v>
      </c>
      <c r="F8333" s="34" t="n">
        <f aca="false">IFERROR(VLOOKUP($A8333,'319'!$B:$H,7,0),0)</f>
        <v>0</v>
      </c>
      <c r="G8333" s="34" t="n">
        <f aca="false">SUMIFS('12.326ana'!$C:$C,'12.326ana'!$M:$M,redes!A8333)</f>
        <v>0</v>
      </c>
    </row>
    <row r="8334" customFormat="false" ht="14.4" hidden="true" customHeight="false" outlineLevel="0" collapsed="false">
      <c r="A8334" s="34" t="n">
        <v>4064521000163</v>
      </c>
      <c r="B8334" s="34" t="s">
        <v>17446</v>
      </c>
      <c r="C8334" s="34" t="s">
        <v>77</v>
      </c>
      <c r="E8334" s="30" t="s">
        <v>17447</v>
      </c>
      <c r="F8334" s="34" t="n">
        <f aca="false">IFERROR(VLOOKUP($A8334,'319'!$B:$H,7,0),0)</f>
        <v>0</v>
      </c>
      <c r="G8334" s="34" t="n">
        <f aca="false">SUMIFS('12.326ana'!$C:$C,'12.326ana'!$M:$M,redes!A8334)</f>
        <v>0</v>
      </c>
    </row>
    <row r="8335" customFormat="false" ht="14.4" hidden="true" customHeight="false" outlineLevel="0" collapsed="false">
      <c r="A8335" s="34" t="n">
        <v>4066548000195</v>
      </c>
      <c r="B8335" s="34" t="s">
        <v>17448</v>
      </c>
      <c r="C8335" s="34" t="s">
        <v>328</v>
      </c>
      <c r="E8335" s="30" t="s">
        <v>17449</v>
      </c>
      <c r="F8335" s="34" t="n">
        <f aca="false">IFERROR(VLOOKUP($A8335,'319'!$B:$H,7,0),0)</f>
        <v>0</v>
      </c>
      <c r="G8335" s="34" t="n">
        <f aca="false">SUMIFS('12.326ana'!$C:$C,'12.326ana'!$M:$M,redes!A8335)</f>
        <v>0</v>
      </c>
    </row>
    <row r="8336" customFormat="false" ht="14.4" hidden="true" customHeight="false" outlineLevel="0" collapsed="false">
      <c r="A8336" s="34" t="n">
        <v>4066863000112</v>
      </c>
      <c r="B8336" s="34" t="s">
        <v>17450</v>
      </c>
      <c r="C8336" s="34" t="s">
        <v>631</v>
      </c>
      <c r="E8336" s="30" t="s">
        <v>17451</v>
      </c>
      <c r="F8336" s="34" t="n">
        <f aca="false">IFERROR(VLOOKUP($A8336,'319'!$B:$H,7,0),0)</f>
        <v>0</v>
      </c>
      <c r="G8336" s="34" t="n">
        <f aca="false">SUMIFS('12.326ana'!$C:$C,'12.326ana'!$M:$M,redes!A8336)</f>
        <v>0</v>
      </c>
    </row>
    <row r="8337" customFormat="false" ht="14.4" hidden="true" customHeight="false" outlineLevel="0" collapsed="false">
      <c r="A8337" s="34" t="n">
        <v>4068545000190</v>
      </c>
      <c r="B8337" s="34" t="s">
        <v>17452</v>
      </c>
      <c r="C8337" s="34" t="s">
        <v>127</v>
      </c>
      <c r="E8337" s="30" t="s">
        <v>17453</v>
      </c>
      <c r="F8337" s="34" t="n">
        <f aca="false">IFERROR(VLOOKUP($A8337,'319'!$B:$H,7,0),0)</f>
        <v>0</v>
      </c>
      <c r="G8337" s="34" t="n">
        <f aca="false">SUMIFS('12.326ana'!$C:$C,'12.326ana'!$M:$M,redes!A8337)</f>
        <v>0</v>
      </c>
    </row>
    <row r="8338" customFormat="false" ht="14.4" hidden="true" customHeight="false" outlineLevel="0" collapsed="false">
      <c r="A8338" s="34" t="n">
        <v>4068949000184</v>
      </c>
      <c r="B8338" s="34" t="s">
        <v>17454</v>
      </c>
      <c r="C8338" s="34" t="s">
        <v>77</v>
      </c>
      <c r="E8338" s="30" t="s">
        <v>14092</v>
      </c>
      <c r="F8338" s="34" t="n">
        <f aca="false">IFERROR(VLOOKUP($A8338,'319'!$B:$H,7,0),0)</f>
        <v>0</v>
      </c>
      <c r="G8338" s="34" t="n">
        <f aca="false">SUMIFS('12.326ana'!$C:$C,'12.326ana'!$M:$M,redes!A8338)</f>
        <v>0</v>
      </c>
    </row>
    <row r="8339" customFormat="false" ht="14.4" hidden="true" customHeight="false" outlineLevel="0" collapsed="false">
      <c r="A8339" s="34" t="n">
        <v>4068949000265</v>
      </c>
      <c r="B8339" s="34" t="s">
        <v>17454</v>
      </c>
      <c r="C8339" s="34" t="s">
        <v>77</v>
      </c>
      <c r="E8339" s="30" t="s">
        <v>14092</v>
      </c>
      <c r="F8339" s="34" t="n">
        <f aca="false">IFERROR(VLOOKUP($A8339,'319'!$B:$H,7,0),0)</f>
        <v>0</v>
      </c>
      <c r="G8339" s="34" t="n">
        <f aca="false">SUMIFS('12.326ana'!$C:$C,'12.326ana'!$M:$M,redes!A8339)</f>
        <v>0</v>
      </c>
    </row>
    <row r="8340" customFormat="false" ht="14.4" hidden="true" customHeight="false" outlineLevel="0" collapsed="false">
      <c r="A8340" s="34" t="n">
        <v>4068949000346</v>
      </c>
      <c r="B8340" s="34" t="s">
        <v>17454</v>
      </c>
      <c r="C8340" s="34" t="s">
        <v>77</v>
      </c>
      <c r="E8340" s="30" t="s">
        <v>14092</v>
      </c>
      <c r="F8340" s="34" t="n">
        <f aca="false">IFERROR(VLOOKUP($A8340,'319'!$B:$H,7,0),0)</f>
        <v>0</v>
      </c>
      <c r="G8340" s="34" t="n">
        <f aca="false">SUMIFS('12.326ana'!$C:$C,'12.326ana'!$M:$M,redes!A8340)</f>
        <v>0</v>
      </c>
    </row>
    <row r="8341" customFormat="false" ht="14.4" hidden="true" customHeight="false" outlineLevel="0" collapsed="false">
      <c r="A8341" s="34" t="n">
        <v>4068949000427</v>
      </c>
      <c r="B8341" s="34" t="s">
        <v>17454</v>
      </c>
      <c r="C8341" s="34" t="s">
        <v>77</v>
      </c>
      <c r="E8341" s="30" t="s">
        <v>14092</v>
      </c>
      <c r="F8341" s="34" t="n">
        <f aca="false">IFERROR(VLOOKUP($A8341,'319'!$B:$H,7,0),0)</f>
        <v>0</v>
      </c>
      <c r="G8341" s="34" t="n">
        <f aca="false">SUMIFS('12.326ana'!$C:$C,'12.326ana'!$M:$M,redes!A8341)</f>
        <v>0</v>
      </c>
    </row>
    <row r="8342" customFormat="false" ht="14.4" hidden="true" customHeight="false" outlineLevel="0" collapsed="false">
      <c r="A8342" s="34" t="n">
        <v>4068949000508</v>
      </c>
      <c r="B8342" s="34" t="s">
        <v>17454</v>
      </c>
      <c r="C8342" s="34" t="s">
        <v>77</v>
      </c>
      <c r="E8342" s="30" t="s">
        <v>14092</v>
      </c>
      <c r="F8342" s="34" t="n">
        <f aca="false">IFERROR(VLOOKUP($A8342,'319'!$B:$H,7,0),0)</f>
        <v>0</v>
      </c>
      <c r="G8342" s="34" t="n">
        <f aca="false">SUMIFS('12.326ana'!$C:$C,'12.326ana'!$M:$M,redes!A8342)</f>
        <v>0</v>
      </c>
    </row>
    <row r="8343" customFormat="false" ht="14.4" hidden="true" customHeight="false" outlineLevel="0" collapsed="false">
      <c r="A8343" s="34" t="n">
        <v>4068949000699</v>
      </c>
      <c r="B8343" s="34" t="s">
        <v>17454</v>
      </c>
      <c r="C8343" s="34" t="s">
        <v>77</v>
      </c>
      <c r="E8343" s="30" t="s">
        <v>14092</v>
      </c>
      <c r="F8343" s="34" t="n">
        <f aca="false">IFERROR(VLOOKUP($A8343,'319'!$B:$H,7,0),0)</f>
        <v>0</v>
      </c>
      <c r="G8343" s="34" t="n">
        <f aca="false">SUMIFS('12.326ana'!$C:$C,'12.326ana'!$M:$M,redes!A8343)</f>
        <v>0</v>
      </c>
    </row>
    <row r="8344" customFormat="false" ht="14.4" hidden="true" customHeight="false" outlineLevel="0" collapsed="false">
      <c r="A8344" s="34" t="n">
        <v>4068949000770</v>
      </c>
      <c r="B8344" s="34" t="s">
        <v>17454</v>
      </c>
      <c r="C8344" s="34" t="s">
        <v>77</v>
      </c>
      <c r="E8344" s="30" t="s">
        <v>14092</v>
      </c>
      <c r="F8344" s="34" t="n">
        <f aca="false">IFERROR(VLOOKUP($A8344,'319'!$B:$H,7,0),0)</f>
        <v>0</v>
      </c>
      <c r="G8344" s="34" t="n">
        <f aca="false">SUMIFS('12.326ana'!$C:$C,'12.326ana'!$M:$M,redes!A8344)</f>
        <v>0</v>
      </c>
    </row>
    <row r="8345" customFormat="false" ht="14.4" hidden="true" customHeight="false" outlineLevel="0" collapsed="false">
      <c r="A8345" s="34" t="n">
        <v>4068949000850</v>
      </c>
      <c r="B8345" s="34" t="s">
        <v>17454</v>
      </c>
      <c r="C8345" s="34" t="s">
        <v>77</v>
      </c>
      <c r="E8345" s="30" t="s">
        <v>14092</v>
      </c>
      <c r="F8345" s="34" t="n">
        <f aca="false">IFERROR(VLOOKUP($A8345,'319'!$B:$H,7,0),0)</f>
        <v>0</v>
      </c>
      <c r="G8345" s="34" t="n">
        <f aca="false">SUMIFS('12.326ana'!$C:$C,'12.326ana'!$M:$M,redes!A8345)</f>
        <v>0</v>
      </c>
    </row>
    <row r="8346" customFormat="false" ht="14.4" hidden="true" customHeight="false" outlineLevel="0" collapsed="false">
      <c r="A8346" s="34" t="n">
        <v>4069586000100</v>
      </c>
      <c r="B8346" s="34" t="s">
        <v>17455</v>
      </c>
      <c r="C8346" s="34" t="s">
        <v>107</v>
      </c>
      <c r="E8346" s="30" t="s">
        <v>17456</v>
      </c>
      <c r="F8346" s="34" t="n">
        <f aca="false">IFERROR(VLOOKUP($A8346,'319'!$B:$H,7,0),0)</f>
        <v>0</v>
      </c>
      <c r="G8346" s="34" t="n">
        <f aca="false">SUMIFS('12.326ana'!$C:$C,'12.326ana'!$M:$M,redes!A8346)</f>
        <v>0</v>
      </c>
    </row>
    <row r="8347" customFormat="false" ht="14.4" hidden="true" customHeight="false" outlineLevel="0" collapsed="false">
      <c r="A8347" s="34" t="n">
        <v>4073529000196</v>
      </c>
      <c r="B8347" s="34" t="s">
        <v>17457</v>
      </c>
      <c r="C8347" s="34" t="s">
        <v>77</v>
      </c>
      <c r="E8347" s="30" t="s">
        <v>10519</v>
      </c>
      <c r="F8347" s="34" t="n">
        <f aca="false">IFERROR(VLOOKUP($A8347,'319'!$B:$H,7,0),0)</f>
        <v>0</v>
      </c>
      <c r="G8347" s="34" t="n">
        <f aca="false">SUMIFS('12.326ana'!$C:$C,'12.326ana'!$M:$M,redes!A8347)</f>
        <v>0</v>
      </c>
    </row>
    <row r="8348" customFormat="false" ht="14.4" hidden="true" customHeight="false" outlineLevel="0" collapsed="false">
      <c r="A8348" s="34" t="n">
        <v>4074186000184</v>
      </c>
      <c r="B8348" s="34" t="s">
        <v>17458</v>
      </c>
      <c r="C8348" s="34" t="s">
        <v>473</v>
      </c>
      <c r="E8348" s="30" t="s">
        <v>12494</v>
      </c>
      <c r="F8348" s="34" t="n">
        <f aca="false">IFERROR(VLOOKUP($A8348,'319'!$B:$H,7,0),0)</f>
        <v>0</v>
      </c>
      <c r="G8348" s="34" t="n">
        <f aca="false">SUMIFS('12.326ana'!$C:$C,'12.326ana'!$M:$M,redes!A8348)</f>
        <v>0</v>
      </c>
    </row>
    <row r="8349" customFormat="false" ht="14.4" hidden="true" customHeight="false" outlineLevel="0" collapsed="false">
      <c r="A8349" s="34" t="n">
        <v>4074186000265</v>
      </c>
      <c r="B8349" s="34" t="s">
        <v>17458</v>
      </c>
      <c r="C8349" s="34" t="s">
        <v>1602</v>
      </c>
      <c r="E8349" s="30" t="s">
        <v>17459</v>
      </c>
      <c r="F8349" s="34" t="n">
        <f aca="false">IFERROR(VLOOKUP($A8349,'319'!$B:$H,7,0),0)</f>
        <v>0</v>
      </c>
      <c r="G8349" s="34" t="n">
        <f aca="false">SUMIFS('12.326ana'!$C:$C,'12.326ana'!$M:$M,redes!A8349)</f>
        <v>0</v>
      </c>
    </row>
    <row r="8350" customFormat="false" ht="14.4" hidden="true" customHeight="false" outlineLevel="0" collapsed="false">
      <c r="A8350" s="34" t="n">
        <v>4075562000155</v>
      </c>
      <c r="B8350" s="34" t="s">
        <v>17460</v>
      </c>
      <c r="C8350" s="34" t="s">
        <v>448</v>
      </c>
      <c r="E8350" s="30" t="s">
        <v>8048</v>
      </c>
      <c r="F8350" s="34" t="n">
        <f aca="false">IFERROR(VLOOKUP($A8350,'319'!$B:$H,7,0),0)</f>
        <v>0</v>
      </c>
      <c r="G8350" s="34" t="n">
        <f aca="false">SUMIFS('12.326ana'!$C:$C,'12.326ana'!$M:$M,redes!A8350)</f>
        <v>0</v>
      </c>
    </row>
    <row r="8351" customFormat="false" ht="14.4" hidden="true" customHeight="false" outlineLevel="0" collapsed="false">
      <c r="A8351" s="34" t="n">
        <v>4076102000141</v>
      </c>
      <c r="B8351" s="34" t="s">
        <v>17461</v>
      </c>
      <c r="C8351" s="34" t="s">
        <v>309</v>
      </c>
      <c r="E8351" s="30" t="s">
        <v>11517</v>
      </c>
      <c r="F8351" s="34" t="n">
        <f aca="false">IFERROR(VLOOKUP($A8351,'319'!$B:$H,7,0),0)</f>
        <v>0</v>
      </c>
      <c r="G8351" s="34" t="n">
        <f aca="false">SUMIFS('12.326ana'!$C:$C,'12.326ana'!$M:$M,redes!A8351)</f>
        <v>0</v>
      </c>
    </row>
    <row r="8352" customFormat="false" ht="14.4" hidden="true" customHeight="false" outlineLevel="0" collapsed="false">
      <c r="A8352" s="34" t="n">
        <v>4076297000120</v>
      </c>
      <c r="B8352" s="34" t="s">
        <v>815</v>
      </c>
      <c r="C8352" s="34" t="s">
        <v>192</v>
      </c>
      <c r="E8352" s="30" t="s">
        <v>17462</v>
      </c>
      <c r="F8352" s="34" t="n">
        <f aca="false">IFERROR(VLOOKUP($A8352,'319'!$B:$H,7,0),0)</f>
        <v>2449.61</v>
      </c>
      <c r="G8352" s="34" t="n">
        <f aca="false">SUMIFS('12.326ana'!$C:$C,'12.326ana'!$M:$M,redes!A8352)</f>
        <v>0</v>
      </c>
    </row>
    <row r="8353" customFormat="false" ht="14.4" hidden="true" customHeight="false" outlineLevel="0" collapsed="false">
      <c r="A8353" s="34" t="n">
        <v>4076297000200</v>
      </c>
      <c r="B8353" s="34" t="s">
        <v>17463</v>
      </c>
      <c r="C8353" s="34" t="s">
        <v>192</v>
      </c>
      <c r="E8353" s="30" t="s">
        <v>17462</v>
      </c>
      <c r="F8353" s="34" t="n">
        <f aca="false">IFERROR(VLOOKUP($A8353,'319'!$B:$H,7,0),0)</f>
        <v>0</v>
      </c>
      <c r="G8353" s="34" t="n">
        <f aca="false">SUMIFS('12.326ana'!$C:$C,'12.326ana'!$M:$M,redes!A8353)</f>
        <v>0</v>
      </c>
    </row>
    <row r="8354" customFormat="false" ht="14.4" hidden="true" customHeight="false" outlineLevel="0" collapsed="false">
      <c r="A8354" s="34" t="n">
        <v>4077250000180</v>
      </c>
      <c r="B8354" s="34" t="s">
        <v>17464</v>
      </c>
      <c r="C8354" s="34" t="s">
        <v>1272</v>
      </c>
      <c r="E8354" s="30" t="s">
        <v>17465</v>
      </c>
      <c r="F8354" s="34" t="n">
        <f aca="false">IFERROR(VLOOKUP($A8354,'319'!$B:$H,7,0),0)</f>
        <v>0</v>
      </c>
      <c r="G8354" s="34" t="n">
        <f aca="false">SUMIFS('12.326ana'!$C:$C,'12.326ana'!$M:$M,redes!A8354)</f>
        <v>0</v>
      </c>
    </row>
    <row r="8355" customFormat="false" ht="14.4" hidden="true" customHeight="false" outlineLevel="0" collapsed="false">
      <c r="A8355" s="34" t="n">
        <v>4078272000165</v>
      </c>
      <c r="B8355" s="34" t="s">
        <v>17466</v>
      </c>
      <c r="C8355" s="34" t="s">
        <v>744</v>
      </c>
      <c r="E8355" s="30" t="s">
        <v>17467</v>
      </c>
      <c r="F8355" s="34" t="n">
        <f aca="false">IFERROR(VLOOKUP($A8355,'319'!$B:$H,7,0),0)</f>
        <v>0</v>
      </c>
      <c r="G8355" s="34" t="n">
        <f aca="false">SUMIFS('12.326ana'!$C:$C,'12.326ana'!$M:$M,redes!A8355)</f>
        <v>0</v>
      </c>
    </row>
    <row r="8356" customFormat="false" ht="14.4" hidden="true" customHeight="false" outlineLevel="0" collapsed="false">
      <c r="A8356" s="34" t="n">
        <v>4078672000170</v>
      </c>
      <c r="B8356" s="34" t="s">
        <v>17468</v>
      </c>
      <c r="C8356" s="34" t="s">
        <v>192</v>
      </c>
      <c r="E8356" s="30" t="s">
        <v>17469</v>
      </c>
      <c r="F8356" s="34" t="n">
        <f aca="false">IFERROR(VLOOKUP($A8356,'319'!$B:$H,7,0),0)</f>
        <v>0</v>
      </c>
      <c r="G8356" s="34" t="n">
        <f aca="false">SUMIFS('12.326ana'!$C:$C,'12.326ana'!$M:$M,redes!A8356)</f>
        <v>0</v>
      </c>
    </row>
    <row r="8357" customFormat="false" ht="14.4" hidden="true" customHeight="false" outlineLevel="0" collapsed="false">
      <c r="A8357" s="34" t="n">
        <v>4079121000121</v>
      </c>
      <c r="B8357" s="34" t="s">
        <v>17470</v>
      </c>
      <c r="C8357" s="34" t="s">
        <v>1602</v>
      </c>
      <c r="E8357" s="30" t="s">
        <v>17471</v>
      </c>
      <c r="F8357" s="34" t="n">
        <f aca="false">IFERROR(VLOOKUP($A8357,'319'!$B:$H,7,0),0)</f>
        <v>0</v>
      </c>
      <c r="G8357" s="34" t="n">
        <f aca="false">SUMIFS('12.326ana'!$C:$C,'12.326ana'!$M:$M,redes!A8357)</f>
        <v>0</v>
      </c>
    </row>
    <row r="8358" customFormat="false" ht="14.4" hidden="true" customHeight="false" outlineLevel="0" collapsed="false">
      <c r="A8358" s="34" t="n">
        <v>4080375000160</v>
      </c>
      <c r="B8358" s="34" t="s">
        <v>17472</v>
      </c>
      <c r="C8358" s="34" t="s">
        <v>475</v>
      </c>
      <c r="E8358" s="30" t="s">
        <v>17473</v>
      </c>
      <c r="F8358" s="34" t="n">
        <f aca="false">IFERROR(VLOOKUP($A8358,'319'!$B:$H,7,0),0)</f>
        <v>0</v>
      </c>
      <c r="G8358" s="34" t="n">
        <f aca="false">SUMIFS('12.326ana'!$C:$C,'12.326ana'!$M:$M,redes!A8358)</f>
        <v>0</v>
      </c>
    </row>
    <row r="8359" customFormat="false" ht="14.4" hidden="true" customHeight="false" outlineLevel="0" collapsed="false">
      <c r="A8359" s="34" t="n">
        <v>4080757000193</v>
      </c>
      <c r="B8359" s="34" t="s">
        <v>17474</v>
      </c>
      <c r="C8359" s="34" t="s">
        <v>464</v>
      </c>
      <c r="E8359" s="30" t="s">
        <v>17475</v>
      </c>
      <c r="F8359" s="34" t="n">
        <f aca="false">IFERROR(VLOOKUP($A8359,'319'!$B:$H,7,0),0)</f>
        <v>0</v>
      </c>
      <c r="G8359" s="34" t="n">
        <f aca="false">SUMIFS('12.326ana'!$C:$C,'12.326ana'!$M:$M,redes!A8359)</f>
        <v>0</v>
      </c>
    </row>
    <row r="8360" customFormat="false" ht="14.4" hidden="true" customHeight="false" outlineLevel="0" collapsed="false">
      <c r="A8360" s="34" t="n">
        <v>4080869000144</v>
      </c>
      <c r="B8360" s="34" t="s">
        <v>17476</v>
      </c>
      <c r="C8360" s="34" t="s">
        <v>77</v>
      </c>
      <c r="E8360" s="30" t="s">
        <v>17477</v>
      </c>
      <c r="F8360" s="34" t="n">
        <f aca="false">IFERROR(VLOOKUP($A8360,'319'!$B:$H,7,0),0)</f>
        <v>0</v>
      </c>
      <c r="G8360" s="34" t="n">
        <f aca="false">SUMIFS('12.326ana'!$C:$C,'12.326ana'!$M:$M,redes!A8360)</f>
        <v>0</v>
      </c>
    </row>
    <row r="8361" customFormat="false" ht="14.4" hidden="true" customHeight="false" outlineLevel="0" collapsed="false">
      <c r="A8361" s="34" t="n">
        <v>4081241000163</v>
      </c>
      <c r="B8361" s="34" t="s">
        <v>17478</v>
      </c>
      <c r="C8361" s="34" t="s">
        <v>604</v>
      </c>
      <c r="E8361" s="30" t="s">
        <v>3066</v>
      </c>
      <c r="F8361" s="34" t="n">
        <f aca="false">IFERROR(VLOOKUP($A8361,'319'!$B:$H,7,0),0)</f>
        <v>0</v>
      </c>
      <c r="G8361" s="34" t="n">
        <f aca="false">SUMIFS('12.326ana'!$C:$C,'12.326ana'!$M:$M,redes!A8361)</f>
        <v>0</v>
      </c>
    </row>
    <row r="8362" customFormat="false" ht="14.4" hidden="true" customHeight="false" outlineLevel="0" collapsed="false">
      <c r="A8362" s="34" t="n">
        <v>4083222000176</v>
      </c>
      <c r="B8362" s="34" t="s">
        <v>17479</v>
      </c>
      <c r="C8362" s="34" t="s">
        <v>77</v>
      </c>
      <c r="E8362" s="30" t="s">
        <v>17480</v>
      </c>
      <c r="F8362" s="34" t="n">
        <f aca="false">IFERROR(VLOOKUP($A8362,'319'!$B:$H,7,0),0)</f>
        <v>0</v>
      </c>
      <c r="G8362" s="34" t="n">
        <f aca="false">SUMIFS('12.326ana'!$C:$C,'12.326ana'!$M:$M,redes!A8362)</f>
        <v>0</v>
      </c>
    </row>
    <row r="8363" customFormat="false" ht="14.4" hidden="true" customHeight="false" outlineLevel="0" collapsed="false">
      <c r="A8363" s="34" t="n">
        <v>4083576000110</v>
      </c>
      <c r="B8363" s="34" t="s">
        <v>17481</v>
      </c>
      <c r="C8363" s="34" t="s">
        <v>478</v>
      </c>
      <c r="E8363" s="30" t="s">
        <v>17482</v>
      </c>
      <c r="F8363" s="34" t="n">
        <f aca="false">IFERROR(VLOOKUP($A8363,'319'!$B:$H,7,0),0)</f>
        <v>0</v>
      </c>
      <c r="G8363" s="34" t="n">
        <f aca="false">SUMIFS('12.326ana'!$C:$C,'12.326ana'!$M:$M,redes!A8363)</f>
        <v>0</v>
      </c>
    </row>
    <row r="8364" customFormat="false" ht="14.4" hidden="true" customHeight="false" outlineLevel="0" collapsed="false">
      <c r="A8364" s="34" t="n">
        <v>4089570000150</v>
      </c>
      <c r="B8364" s="34" t="s">
        <v>17483</v>
      </c>
      <c r="C8364" s="34" t="s">
        <v>77</v>
      </c>
      <c r="E8364" s="30" t="s">
        <v>8408</v>
      </c>
      <c r="F8364" s="34" t="n">
        <f aca="false">IFERROR(VLOOKUP($A8364,'319'!$B:$H,7,0),0)</f>
        <v>0</v>
      </c>
      <c r="G8364" s="34" t="n">
        <f aca="false">SUMIFS('12.326ana'!$C:$C,'12.326ana'!$M:$M,redes!A8364)</f>
        <v>0</v>
      </c>
    </row>
    <row r="8365" customFormat="false" ht="14.4" hidden="true" customHeight="false" outlineLevel="0" collapsed="false">
      <c r="A8365" s="34" t="n">
        <v>4092220000143</v>
      </c>
      <c r="B8365" s="34" t="s">
        <v>17484</v>
      </c>
      <c r="C8365" s="34" t="s">
        <v>77</v>
      </c>
      <c r="E8365" s="30" t="s">
        <v>17485</v>
      </c>
      <c r="F8365" s="34" t="n">
        <f aca="false">IFERROR(VLOOKUP($A8365,'319'!$B:$H,7,0),0)</f>
        <v>0</v>
      </c>
      <c r="G8365" s="34" t="n">
        <f aca="false">SUMIFS('12.326ana'!$C:$C,'12.326ana'!$M:$M,redes!A8365)</f>
        <v>0</v>
      </c>
    </row>
    <row r="8366" customFormat="false" ht="14.4" hidden="true" customHeight="false" outlineLevel="0" collapsed="false">
      <c r="A8366" s="34" t="n">
        <v>4092405000158</v>
      </c>
      <c r="B8366" s="34" t="s">
        <v>17486</v>
      </c>
      <c r="C8366" s="34" t="s">
        <v>475</v>
      </c>
      <c r="E8366" s="30" t="s">
        <v>12960</v>
      </c>
      <c r="F8366" s="34" t="n">
        <f aca="false">IFERROR(VLOOKUP($A8366,'319'!$B:$H,7,0),0)</f>
        <v>0</v>
      </c>
      <c r="G8366" s="34" t="n">
        <f aca="false">SUMIFS('12.326ana'!$C:$C,'12.326ana'!$M:$M,redes!A8366)</f>
        <v>0</v>
      </c>
    </row>
    <row r="8367" customFormat="false" ht="14.4" hidden="true" customHeight="false" outlineLevel="0" collapsed="false">
      <c r="A8367" s="34" t="n">
        <v>4092438000106</v>
      </c>
      <c r="B8367" s="34" t="s">
        <v>17487</v>
      </c>
      <c r="C8367" s="34" t="s">
        <v>77</v>
      </c>
      <c r="D8367" s="34" t="s">
        <v>5602</v>
      </c>
      <c r="E8367" s="30" t="s">
        <v>17488</v>
      </c>
      <c r="F8367" s="34" t="n">
        <f aca="false">IFERROR(VLOOKUP($A8367,'319'!$B:$H,7,0),0)</f>
        <v>0</v>
      </c>
      <c r="G8367" s="34" t="n">
        <f aca="false">SUMIFS('12.326ana'!$C:$C,'12.326ana'!$M:$M,redes!A8367)</f>
        <v>0</v>
      </c>
    </row>
    <row r="8368" customFormat="false" ht="14.4" hidden="true" customHeight="false" outlineLevel="0" collapsed="false">
      <c r="A8368" s="34" t="n">
        <v>4094845000144</v>
      </c>
      <c r="B8368" s="34" t="s">
        <v>17489</v>
      </c>
      <c r="C8368" s="34" t="s">
        <v>299</v>
      </c>
      <c r="E8368" s="30" t="s">
        <v>3066</v>
      </c>
      <c r="F8368" s="34" t="n">
        <f aca="false">IFERROR(VLOOKUP($A8368,'319'!$B:$H,7,0),0)</f>
        <v>0</v>
      </c>
      <c r="G8368" s="34" t="n">
        <f aca="false">SUMIFS('12.326ana'!$C:$C,'12.326ana'!$M:$M,redes!A8368)</f>
        <v>0</v>
      </c>
    </row>
    <row r="8369" customFormat="false" ht="14.4" hidden="true" customHeight="false" outlineLevel="0" collapsed="false">
      <c r="A8369" s="34" t="n">
        <v>4094867000104</v>
      </c>
      <c r="B8369" s="34" t="s">
        <v>17490</v>
      </c>
      <c r="C8369" s="34" t="s">
        <v>192</v>
      </c>
      <c r="E8369" s="30" t="s">
        <v>17491</v>
      </c>
      <c r="F8369" s="34" t="n">
        <f aca="false">IFERROR(VLOOKUP($A8369,'319'!$B:$H,7,0),0)</f>
        <v>0</v>
      </c>
      <c r="G8369" s="34" t="n">
        <f aca="false">SUMIFS('12.326ana'!$C:$C,'12.326ana'!$M:$M,redes!A8369)</f>
        <v>0</v>
      </c>
    </row>
    <row r="8370" customFormat="false" ht="14.4" hidden="true" customHeight="false" outlineLevel="0" collapsed="false">
      <c r="A8370" s="34" t="n">
        <v>4096316000180</v>
      </c>
      <c r="B8370" s="34" t="s">
        <v>17492</v>
      </c>
      <c r="C8370" s="34" t="s">
        <v>77</v>
      </c>
      <c r="D8370" s="34" t="s">
        <v>4797</v>
      </c>
      <c r="E8370" s="30" t="s">
        <v>17493</v>
      </c>
      <c r="F8370" s="34" t="n">
        <f aca="false">IFERROR(VLOOKUP($A8370,'319'!$B:$H,7,0),0)</f>
        <v>0</v>
      </c>
      <c r="G8370" s="34" t="n">
        <f aca="false">SUMIFS('12.326ana'!$C:$C,'12.326ana'!$M:$M,redes!A8370)</f>
        <v>0</v>
      </c>
    </row>
    <row r="8371" customFormat="false" ht="14.4" hidden="true" customHeight="false" outlineLevel="0" collapsed="false">
      <c r="A8371" s="34" t="n">
        <v>4096678000170</v>
      </c>
      <c r="B8371" s="34" t="s">
        <v>17494</v>
      </c>
      <c r="C8371" s="34" t="s">
        <v>103</v>
      </c>
      <c r="E8371" s="30" t="s">
        <v>17495</v>
      </c>
      <c r="F8371" s="34" t="n">
        <f aca="false">IFERROR(VLOOKUP($A8371,'319'!$B:$H,7,0),0)</f>
        <v>0</v>
      </c>
      <c r="G8371" s="34" t="n">
        <f aca="false">SUMIFS('12.326ana'!$C:$C,'12.326ana'!$M:$M,redes!A8371)</f>
        <v>0</v>
      </c>
    </row>
    <row r="8372" customFormat="false" ht="14.4" hidden="true" customHeight="false" outlineLevel="0" collapsed="false">
      <c r="A8372" s="34" t="n">
        <v>4097388000141</v>
      </c>
      <c r="B8372" s="34" t="s">
        <v>17496</v>
      </c>
      <c r="C8372" s="34" t="s">
        <v>4462</v>
      </c>
      <c r="E8372" s="30" t="s">
        <v>12943</v>
      </c>
      <c r="F8372" s="34" t="n">
        <f aca="false">IFERROR(VLOOKUP($A8372,'319'!$B:$H,7,0),0)</f>
        <v>0</v>
      </c>
      <c r="G8372" s="34" t="n">
        <f aca="false">SUMIFS('12.326ana'!$C:$C,'12.326ana'!$M:$M,redes!A8372)</f>
        <v>0</v>
      </c>
    </row>
    <row r="8373" customFormat="false" ht="14.4" hidden="true" customHeight="false" outlineLevel="0" collapsed="false">
      <c r="A8373" s="34" t="n">
        <v>4098658000139</v>
      </c>
      <c r="B8373" s="34" t="s">
        <v>17497</v>
      </c>
      <c r="C8373" s="34" t="s">
        <v>357</v>
      </c>
      <c r="E8373" s="30" t="s">
        <v>17498</v>
      </c>
      <c r="F8373" s="34" t="n">
        <f aca="false">IFERROR(VLOOKUP($A8373,'319'!$B:$H,7,0),0)</f>
        <v>0</v>
      </c>
      <c r="G8373" s="34" t="n">
        <f aca="false">SUMIFS('12.326ana'!$C:$C,'12.326ana'!$M:$M,redes!A8373)</f>
        <v>0</v>
      </c>
    </row>
    <row r="8374" customFormat="false" ht="14.4" hidden="true" customHeight="false" outlineLevel="0" collapsed="false">
      <c r="A8374" s="34" t="n">
        <v>4099780000120</v>
      </c>
      <c r="B8374" s="34" t="s">
        <v>17499</v>
      </c>
      <c r="C8374" s="34" t="s">
        <v>594</v>
      </c>
      <c r="E8374" s="30" t="s">
        <v>17500</v>
      </c>
      <c r="F8374" s="34" t="n">
        <f aca="false">IFERROR(VLOOKUP($A8374,'319'!$B:$H,7,0),0)</f>
        <v>0</v>
      </c>
      <c r="G8374" s="34" t="n">
        <f aca="false">SUMIFS('12.326ana'!$C:$C,'12.326ana'!$M:$M,redes!A8374)</f>
        <v>0</v>
      </c>
    </row>
    <row r="8375" customFormat="false" ht="14.4" hidden="true" customHeight="false" outlineLevel="0" collapsed="false">
      <c r="A8375" s="34" t="n">
        <v>4100336000187</v>
      </c>
      <c r="B8375" s="34" t="s">
        <v>17501</v>
      </c>
      <c r="C8375" s="34" t="s">
        <v>213</v>
      </c>
      <c r="E8375" s="30" t="s">
        <v>17502</v>
      </c>
      <c r="F8375" s="34" t="n">
        <f aca="false">IFERROR(VLOOKUP($A8375,'319'!$B:$H,7,0),0)</f>
        <v>0</v>
      </c>
      <c r="G8375" s="34" t="n">
        <f aca="false">SUMIFS('12.326ana'!$C:$C,'12.326ana'!$M:$M,redes!A8375)</f>
        <v>0</v>
      </c>
    </row>
    <row r="8376" customFormat="false" ht="14.4" hidden="true" customHeight="false" outlineLevel="0" collapsed="false">
      <c r="A8376" s="34" t="n">
        <v>4102253000127</v>
      </c>
      <c r="B8376" s="34" t="s">
        <v>17503</v>
      </c>
      <c r="C8376" s="34" t="s">
        <v>213</v>
      </c>
      <c r="E8376" s="30" t="s">
        <v>17504</v>
      </c>
      <c r="F8376" s="34" t="n">
        <f aca="false">IFERROR(VLOOKUP($A8376,'319'!$B:$H,7,0),0)</f>
        <v>0</v>
      </c>
      <c r="G8376" s="34" t="n">
        <f aca="false">SUMIFS('12.326ana'!$C:$C,'12.326ana'!$M:$M,redes!A8376)</f>
        <v>0</v>
      </c>
    </row>
    <row r="8377" customFormat="false" ht="14.4" hidden="true" customHeight="false" outlineLevel="0" collapsed="false">
      <c r="A8377" s="34" t="n">
        <v>4102266000104</v>
      </c>
      <c r="B8377" s="34" t="s">
        <v>17505</v>
      </c>
      <c r="C8377" s="34" t="s">
        <v>631</v>
      </c>
      <c r="E8377" s="30" t="s">
        <v>17506</v>
      </c>
      <c r="F8377" s="34" t="n">
        <f aca="false">IFERROR(VLOOKUP($A8377,'319'!$B:$H,7,0),0)</f>
        <v>0</v>
      </c>
      <c r="G8377" s="34" t="n">
        <f aca="false">SUMIFS('12.326ana'!$C:$C,'12.326ana'!$M:$M,redes!A8377)</f>
        <v>0</v>
      </c>
    </row>
    <row r="8378" customFormat="false" ht="14.4" hidden="true" customHeight="false" outlineLevel="0" collapsed="false">
      <c r="A8378" s="34" t="n">
        <v>4102314000156</v>
      </c>
      <c r="B8378" s="34" t="s">
        <v>17507</v>
      </c>
      <c r="C8378" s="34" t="s">
        <v>342</v>
      </c>
      <c r="E8378" s="30" t="s">
        <v>17508</v>
      </c>
      <c r="F8378" s="34" t="n">
        <f aca="false">IFERROR(VLOOKUP($A8378,'319'!$B:$H,7,0),0)</f>
        <v>0</v>
      </c>
      <c r="G8378" s="34" t="n">
        <f aca="false">SUMIFS('12.326ana'!$C:$C,'12.326ana'!$M:$M,redes!A8378)</f>
        <v>0</v>
      </c>
    </row>
    <row r="8379" customFormat="false" ht="14.4" hidden="true" customHeight="false" outlineLevel="0" collapsed="false">
      <c r="A8379" s="34" t="n">
        <v>4102553000106</v>
      </c>
      <c r="B8379" s="34" t="s">
        <v>17509</v>
      </c>
      <c r="C8379" s="34" t="s">
        <v>89</v>
      </c>
      <c r="E8379" s="30" t="s">
        <v>17510</v>
      </c>
      <c r="F8379" s="34" t="n">
        <f aca="false">IFERROR(VLOOKUP($A8379,'319'!$B:$H,7,0),0)</f>
        <v>0</v>
      </c>
      <c r="G8379" s="34" t="n">
        <f aca="false">SUMIFS('12.326ana'!$C:$C,'12.326ana'!$M:$M,redes!A8379)</f>
        <v>0</v>
      </c>
    </row>
    <row r="8380" customFormat="false" ht="14.4" hidden="true" customHeight="false" outlineLevel="0" collapsed="false">
      <c r="A8380" s="34" t="n">
        <v>4104002000181</v>
      </c>
      <c r="B8380" s="34" t="s">
        <v>17511</v>
      </c>
      <c r="C8380" s="34" t="s">
        <v>117</v>
      </c>
      <c r="E8380" s="30" t="s">
        <v>17512</v>
      </c>
      <c r="F8380" s="34" t="n">
        <f aca="false">IFERROR(VLOOKUP($A8380,'319'!$B:$H,7,0),0)</f>
        <v>0</v>
      </c>
      <c r="G8380" s="34" t="n">
        <f aca="false">SUMIFS('12.326ana'!$C:$C,'12.326ana'!$M:$M,redes!A8380)</f>
        <v>0</v>
      </c>
    </row>
    <row r="8381" customFormat="false" ht="14.4" hidden="true" customHeight="false" outlineLevel="0" collapsed="false">
      <c r="A8381" s="34" t="n">
        <v>4104473000190</v>
      </c>
      <c r="B8381" s="34" t="s">
        <v>17513</v>
      </c>
      <c r="C8381" s="34" t="s">
        <v>77</v>
      </c>
      <c r="E8381" s="30" t="s">
        <v>17514</v>
      </c>
      <c r="F8381" s="34" t="n">
        <f aca="false">IFERROR(VLOOKUP($A8381,'319'!$B:$H,7,0),0)</f>
        <v>0</v>
      </c>
      <c r="G8381" s="34" t="n">
        <f aca="false">SUMIFS('12.326ana'!$C:$C,'12.326ana'!$M:$M,redes!A8381)</f>
        <v>0</v>
      </c>
    </row>
    <row r="8382" customFormat="false" ht="14.4" hidden="true" customHeight="false" outlineLevel="0" collapsed="false">
      <c r="A8382" s="34" t="n">
        <v>4104508000190</v>
      </c>
      <c r="B8382" s="34" t="s">
        <v>17515</v>
      </c>
      <c r="C8382" s="34" t="s">
        <v>107</v>
      </c>
      <c r="E8382" s="30" t="s">
        <v>17516</v>
      </c>
      <c r="F8382" s="34" t="n">
        <f aca="false">IFERROR(VLOOKUP($A8382,'319'!$B:$H,7,0),0)</f>
        <v>0</v>
      </c>
      <c r="G8382" s="34" t="n">
        <f aca="false">SUMIFS('12.326ana'!$C:$C,'12.326ana'!$M:$M,redes!A8382)</f>
        <v>0</v>
      </c>
    </row>
    <row r="8383" customFormat="false" ht="14.4" hidden="true" customHeight="false" outlineLevel="0" collapsed="false">
      <c r="A8383" s="34" t="n">
        <v>4107097000197</v>
      </c>
      <c r="B8383" s="34" t="s">
        <v>17517</v>
      </c>
      <c r="C8383" s="34" t="s">
        <v>77</v>
      </c>
      <c r="E8383" s="30" t="s">
        <v>17518</v>
      </c>
      <c r="F8383" s="34" t="n">
        <f aca="false">IFERROR(VLOOKUP($A8383,'319'!$B:$H,7,0),0)</f>
        <v>0</v>
      </c>
      <c r="G8383" s="34" t="n">
        <f aca="false">SUMIFS('12.326ana'!$C:$C,'12.326ana'!$M:$M,redes!A8383)</f>
        <v>0</v>
      </c>
    </row>
    <row r="8384" customFormat="false" ht="14.4" hidden="true" customHeight="false" outlineLevel="0" collapsed="false">
      <c r="A8384" s="34" t="n">
        <v>4107113000141</v>
      </c>
      <c r="B8384" s="34" t="s">
        <v>17519</v>
      </c>
      <c r="C8384" s="34" t="s">
        <v>77</v>
      </c>
      <c r="D8384" s="34" t="s">
        <v>17415</v>
      </c>
      <c r="E8384" s="30" t="s">
        <v>17416</v>
      </c>
      <c r="F8384" s="34" t="n">
        <f aca="false">IFERROR(VLOOKUP($A8384,'319'!$B:$H,7,0),0)</f>
        <v>0</v>
      </c>
      <c r="G8384" s="34" t="n">
        <f aca="false">SUMIFS('12.326ana'!$C:$C,'12.326ana'!$M:$M,redes!A8384)</f>
        <v>0</v>
      </c>
    </row>
    <row r="8385" customFormat="false" ht="14.4" hidden="true" customHeight="false" outlineLevel="0" collapsed="false">
      <c r="A8385" s="34" t="n">
        <v>4107113000222</v>
      </c>
      <c r="B8385" s="34" t="s">
        <v>17519</v>
      </c>
      <c r="C8385" s="34" t="s">
        <v>77</v>
      </c>
      <c r="D8385" s="34" t="s">
        <v>17415</v>
      </c>
      <c r="E8385" s="30" t="s">
        <v>17416</v>
      </c>
      <c r="F8385" s="34" t="n">
        <f aca="false">IFERROR(VLOOKUP($A8385,'319'!$B:$H,7,0),0)</f>
        <v>0</v>
      </c>
      <c r="G8385" s="34" t="n">
        <f aca="false">SUMIFS('12.326ana'!$C:$C,'12.326ana'!$M:$M,redes!A8385)</f>
        <v>0</v>
      </c>
    </row>
    <row r="8386" customFormat="false" ht="14.4" hidden="true" customHeight="false" outlineLevel="0" collapsed="false">
      <c r="A8386" s="34" t="n">
        <v>4109579000186</v>
      </c>
      <c r="B8386" s="34" t="s">
        <v>17520</v>
      </c>
      <c r="C8386" s="34" t="s">
        <v>77</v>
      </c>
      <c r="D8386" s="34" t="s">
        <v>3324</v>
      </c>
      <c r="E8386" s="30" t="s">
        <v>17521</v>
      </c>
      <c r="F8386" s="34" t="n">
        <f aca="false">IFERROR(VLOOKUP($A8386,'319'!$B:$H,7,0),0)</f>
        <v>0</v>
      </c>
      <c r="G8386" s="34" t="n">
        <f aca="false">SUMIFS('12.326ana'!$C:$C,'12.326ana'!$M:$M,redes!A8386)</f>
        <v>0</v>
      </c>
    </row>
    <row r="8387" customFormat="false" ht="14.4" hidden="true" customHeight="false" outlineLevel="0" collapsed="false">
      <c r="A8387" s="34" t="n">
        <v>4111731000165</v>
      </c>
      <c r="B8387" s="34" t="s">
        <v>17522</v>
      </c>
      <c r="C8387" s="34" t="s">
        <v>154</v>
      </c>
      <c r="E8387" s="30" t="s">
        <v>17523</v>
      </c>
      <c r="F8387" s="34" t="n">
        <f aca="false">IFERROR(VLOOKUP($A8387,'319'!$B:$H,7,0),0)</f>
        <v>0</v>
      </c>
      <c r="G8387" s="34" t="n">
        <f aca="false">SUMIFS('12.326ana'!$C:$C,'12.326ana'!$M:$M,redes!A8387)</f>
        <v>0</v>
      </c>
    </row>
    <row r="8388" customFormat="false" ht="14.4" hidden="true" customHeight="false" outlineLevel="0" collapsed="false">
      <c r="A8388" s="34" t="n">
        <v>4112072000181</v>
      </c>
      <c r="B8388" s="34" t="s">
        <v>17524</v>
      </c>
      <c r="C8388" s="34" t="s">
        <v>77</v>
      </c>
      <c r="D8388" s="34" t="s">
        <v>17415</v>
      </c>
      <c r="E8388" s="30" t="s">
        <v>17525</v>
      </c>
      <c r="F8388" s="34" t="n">
        <f aca="false">IFERROR(VLOOKUP($A8388,'319'!$B:$H,7,0),0)</f>
        <v>0</v>
      </c>
      <c r="G8388" s="34" t="n">
        <f aca="false">SUMIFS('12.326ana'!$C:$C,'12.326ana'!$M:$M,redes!A8388)</f>
        <v>0</v>
      </c>
    </row>
    <row r="8389" customFormat="false" ht="14.4" hidden="true" customHeight="false" outlineLevel="0" collapsed="false">
      <c r="A8389" s="34" t="n">
        <v>4112309000124</v>
      </c>
      <c r="B8389" s="34" t="s">
        <v>17526</v>
      </c>
      <c r="C8389" s="34" t="s">
        <v>77</v>
      </c>
      <c r="E8389" s="30" t="s">
        <v>17527</v>
      </c>
      <c r="F8389" s="34" t="n">
        <f aca="false">IFERROR(VLOOKUP($A8389,'319'!$B:$H,7,0),0)</f>
        <v>0</v>
      </c>
      <c r="G8389" s="34" t="n">
        <f aca="false">SUMIFS('12.326ana'!$C:$C,'12.326ana'!$M:$M,redes!A8389)</f>
        <v>0</v>
      </c>
    </row>
    <row r="8390" customFormat="false" ht="14.4" hidden="true" customHeight="false" outlineLevel="0" collapsed="false">
      <c r="A8390" s="34" t="n">
        <v>4114428000116</v>
      </c>
      <c r="B8390" s="34" t="s">
        <v>17528</v>
      </c>
      <c r="C8390" s="34" t="s">
        <v>463</v>
      </c>
      <c r="E8390" s="30" t="s">
        <v>17529</v>
      </c>
      <c r="F8390" s="34" t="n">
        <f aca="false">IFERROR(VLOOKUP($A8390,'319'!$B:$H,7,0),0)</f>
        <v>0</v>
      </c>
      <c r="G8390" s="34" t="n">
        <f aca="false">SUMIFS('12.326ana'!$C:$C,'12.326ana'!$M:$M,redes!A8390)</f>
        <v>0</v>
      </c>
    </row>
    <row r="8391" customFormat="false" ht="14.4" hidden="true" customHeight="false" outlineLevel="0" collapsed="false">
      <c r="A8391" s="34" t="n">
        <v>4115053000109</v>
      </c>
      <c r="B8391" s="34" t="s">
        <v>17530</v>
      </c>
      <c r="C8391" s="34" t="s">
        <v>781</v>
      </c>
      <c r="E8391" s="30" t="s">
        <v>17531</v>
      </c>
      <c r="F8391" s="34" t="n">
        <f aca="false">IFERROR(VLOOKUP($A8391,'319'!$B:$H,7,0),0)</f>
        <v>0</v>
      </c>
      <c r="G8391" s="34" t="n">
        <f aca="false">SUMIFS('12.326ana'!$C:$C,'12.326ana'!$M:$M,redes!A8391)</f>
        <v>0</v>
      </c>
    </row>
    <row r="8392" customFormat="false" ht="14.4" hidden="true" customHeight="false" outlineLevel="0" collapsed="false">
      <c r="A8392" s="34" t="n">
        <v>4115660000179</v>
      </c>
      <c r="B8392" s="34" t="s">
        <v>17532</v>
      </c>
      <c r="C8392" s="34" t="s">
        <v>764</v>
      </c>
      <c r="E8392" s="30" t="s">
        <v>17533</v>
      </c>
      <c r="F8392" s="34" t="n">
        <f aca="false">IFERROR(VLOOKUP($A8392,'319'!$B:$H,7,0),0)</f>
        <v>0</v>
      </c>
      <c r="G8392" s="34" t="n">
        <f aca="false">SUMIFS('12.326ana'!$C:$C,'12.326ana'!$M:$M,redes!A8392)</f>
        <v>0</v>
      </c>
    </row>
    <row r="8393" customFormat="false" ht="14.4" hidden="true" customHeight="false" outlineLevel="0" collapsed="false">
      <c r="A8393" s="34" t="n">
        <v>4117152000120</v>
      </c>
      <c r="B8393" s="34" t="s">
        <v>17534</v>
      </c>
      <c r="C8393" s="34" t="s">
        <v>713</v>
      </c>
      <c r="E8393" s="30"/>
      <c r="F8393" s="34" t="n">
        <f aca="false">IFERROR(VLOOKUP($A8393,'319'!$B:$H,7,0),0)</f>
        <v>0</v>
      </c>
      <c r="G8393" s="34" t="n">
        <f aca="false">SUMIFS('12.326ana'!$C:$C,'12.326ana'!$M:$M,redes!A8393)</f>
        <v>0</v>
      </c>
    </row>
    <row r="8394" customFormat="false" ht="14.4" hidden="true" customHeight="false" outlineLevel="0" collapsed="false">
      <c r="A8394" s="34" t="n">
        <v>4118639000127</v>
      </c>
      <c r="B8394" s="34" t="s">
        <v>17535</v>
      </c>
      <c r="C8394" s="34" t="s">
        <v>103</v>
      </c>
      <c r="E8394" s="30"/>
      <c r="F8394" s="34" t="n">
        <f aca="false">IFERROR(VLOOKUP($A8394,'319'!$B:$H,7,0),0)</f>
        <v>0</v>
      </c>
      <c r="G8394" s="34" t="n">
        <f aca="false">SUMIFS('12.326ana'!$C:$C,'12.326ana'!$M:$M,redes!A8394)</f>
        <v>0</v>
      </c>
    </row>
    <row r="8395" customFormat="false" ht="14.4" hidden="true" customHeight="false" outlineLevel="0" collapsed="false">
      <c r="A8395" s="34" t="n">
        <v>4120112000137</v>
      </c>
      <c r="B8395" s="34" t="s">
        <v>17536</v>
      </c>
      <c r="C8395" s="34" t="s">
        <v>448</v>
      </c>
      <c r="E8395" s="30" t="s">
        <v>15045</v>
      </c>
      <c r="F8395" s="34" t="n">
        <f aca="false">IFERROR(VLOOKUP($A8395,'319'!$B:$H,7,0),0)</f>
        <v>0</v>
      </c>
      <c r="G8395" s="34" t="n">
        <f aca="false">SUMIFS('12.326ana'!$C:$C,'12.326ana'!$M:$M,redes!A8395)</f>
        <v>0</v>
      </c>
    </row>
    <row r="8396" customFormat="false" ht="14.4" hidden="true" customHeight="false" outlineLevel="0" collapsed="false">
      <c r="A8396" s="34" t="n">
        <v>4121631000110</v>
      </c>
      <c r="B8396" s="34" t="s">
        <v>17537</v>
      </c>
      <c r="C8396" s="34" t="s">
        <v>77</v>
      </c>
      <c r="E8396" s="30" t="s">
        <v>17538</v>
      </c>
      <c r="F8396" s="34" t="n">
        <f aca="false">IFERROR(VLOOKUP($A8396,'319'!$B:$H,7,0),0)</f>
        <v>0</v>
      </c>
      <c r="G8396" s="34" t="n">
        <f aca="false">SUMIFS('12.326ana'!$C:$C,'12.326ana'!$M:$M,redes!A8396)</f>
        <v>0</v>
      </c>
    </row>
    <row r="8397" customFormat="false" ht="14.4" hidden="true" customHeight="false" outlineLevel="0" collapsed="false">
      <c r="A8397" s="34" t="n">
        <v>4121797000136</v>
      </c>
      <c r="B8397" s="34" t="s">
        <v>17539</v>
      </c>
      <c r="C8397" s="34" t="s">
        <v>464</v>
      </c>
      <c r="E8397" s="30" t="s">
        <v>5585</v>
      </c>
      <c r="F8397" s="34" t="n">
        <f aca="false">IFERROR(VLOOKUP($A8397,'319'!$B:$H,7,0),0)</f>
        <v>0</v>
      </c>
      <c r="G8397" s="34" t="n">
        <f aca="false">SUMIFS('12.326ana'!$C:$C,'12.326ana'!$M:$M,redes!A8397)</f>
        <v>0</v>
      </c>
    </row>
    <row r="8398" customFormat="false" ht="14.4" hidden="true" customHeight="false" outlineLevel="0" collapsed="false">
      <c r="A8398" s="34" t="n">
        <v>4121804000108</v>
      </c>
      <c r="B8398" s="34" t="s">
        <v>17540</v>
      </c>
      <c r="C8398" s="34" t="s">
        <v>464</v>
      </c>
      <c r="E8398" s="30" t="s">
        <v>17541</v>
      </c>
      <c r="F8398" s="34" t="n">
        <f aca="false">IFERROR(VLOOKUP($A8398,'319'!$B:$H,7,0),0)</f>
        <v>0</v>
      </c>
      <c r="G8398" s="34" t="n">
        <f aca="false">SUMIFS('12.326ana'!$C:$C,'12.326ana'!$M:$M,redes!A8398)</f>
        <v>0</v>
      </c>
    </row>
    <row r="8399" customFormat="false" ht="14.4" hidden="true" customHeight="false" outlineLevel="0" collapsed="false">
      <c r="A8399" s="34" t="n">
        <v>4124605000145</v>
      </c>
      <c r="B8399" s="34" t="s">
        <v>17542</v>
      </c>
      <c r="C8399" s="34" t="s">
        <v>77</v>
      </c>
      <c r="E8399" s="30" t="s">
        <v>17543</v>
      </c>
      <c r="F8399" s="34" t="n">
        <f aca="false">IFERROR(VLOOKUP($A8399,'319'!$B:$H,7,0),0)</f>
        <v>0</v>
      </c>
      <c r="G8399" s="34" t="n">
        <f aca="false">SUMIFS('12.326ana'!$C:$C,'12.326ana'!$M:$M,redes!A8399)</f>
        <v>0</v>
      </c>
    </row>
    <row r="8400" customFormat="false" ht="14.4" hidden="true" customHeight="false" outlineLevel="0" collapsed="false">
      <c r="A8400" s="34" t="n">
        <v>4126453000110</v>
      </c>
      <c r="B8400" s="34" t="s">
        <v>17544</v>
      </c>
      <c r="C8400" s="34" t="s">
        <v>107</v>
      </c>
      <c r="D8400" s="34" t="s">
        <v>4797</v>
      </c>
      <c r="E8400" s="30" t="s">
        <v>17545</v>
      </c>
      <c r="F8400" s="34" t="n">
        <f aca="false">IFERROR(VLOOKUP($A8400,'319'!$B:$H,7,0),0)</f>
        <v>0</v>
      </c>
      <c r="G8400" s="34" t="n">
        <f aca="false">SUMIFS('12.326ana'!$C:$C,'12.326ana'!$M:$M,redes!A8400)</f>
        <v>0</v>
      </c>
    </row>
    <row r="8401" customFormat="false" ht="14.4" hidden="true" customHeight="false" outlineLevel="0" collapsed="false">
      <c r="A8401" s="34" t="n">
        <v>4127319000133</v>
      </c>
      <c r="B8401" s="34" t="s">
        <v>17546</v>
      </c>
      <c r="C8401" s="34" t="s">
        <v>77</v>
      </c>
      <c r="E8401" s="30" t="s">
        <v>17547</v>
      </c>
      <c r="F8401" s="34" t="n">
        <f aca="false">IFERROR(VLOOKUP($A8401,'319'!$B:$H,7,0),0)</f>
        <v>0</v>
      </c>
      <c r="G8401" s="34" t="n">
        <f aca="false">SUMIFS('12.326ana'!$C:$C,'12.326ana'!$M:$M,redes!A8401)</f>
        <v>0</v>
      </c>
    </row>
    <row r="8402" customFormat="false" ht="14.4" hidden="true" customHeight="false" outlineLevel="0" collapsed="false">
      <c r="A8402" s="34" t="n">
        <v>4127368000176</v>
      </c>
      <c r="B8402" s="34" t="s">
        <v>17548</v>
      </c>
      <c r="C8402" s="34" t="s">
        <v>77</v>
      </c>
      <c r="E8402" s="30" t="s">
        <v>17549</v>
      </c>
      <c r="F8402" s="34" t="n">
        <f aca="false">IFERROR(VLOOKUP($A8402,'319'!$B:$H,7,0),0)</f>
        <v>0</v>
      </c>
      <c r="G8402" s="34" t="n">
        <f aca="false">SUMIFS('12.326ana'!$C:$C,'12.326ana'!$M:$M,redes!A8402)</f>
        <v>0</v>
      </c>
    </row>
    <row r="8403" customFormat="false" ht="14.4" hidden="true" customHeight="false" outlineLevel="0" collapsed="false">
      <c r="A8403" s="34" t="n">
        <v>4128276000100</v>
      </c>
      <c r="B8403" s="34" t="s">
        <v>17550</v>
      </c>
      <c r="C8403" s="34" t="s">
        <v>89</v>
      </c>
      <c r="E8403" s="30" t="s">
        <v>17551</v>
      </c>
      <c r="F8403" s="34" t="n">
        <f aca="false">IFERROR(VLOOKUP($A8403,'319'!$B:$H,7,0),0)</f>
        <v>0</v>
      </c>
      <c r="G8403" s="34" t="n">
        <f aca="false">SUMIFS('12.326ana'!$C:$C,'12.326ana'!$M:$M,redes!A8403)</f>
        <v>0</v>
      </c>
    </row>
    <row r="8404" customFormat="false" ht="14.4" hidden="true" customHeight="false" outlineLevel="0" collapsed="false">
      <c r="A8404" s="34" t="n">
        <v>4128679000150</v>
      </c>
      <c r="B8404" s="34" t="s">
        <v>17552</v>
      </c>
      <c r="C8404" s="34" t="s">
        <v>77</v>
      </c>
      <c r="E8404" s="30" t="s">
        <v>17553</v>
      </c>
      <c r="F8404" s="34" t="n">
        <f aca="false">IFERROR(VLOOKUP($A8404,'319'!$B:$H,7,0),0)</f>
        <v>0</v>
      </c>
      <c r="G8404" s="34" t="n">
        <f aca="false">SUMIFS('12.326ana'!$C:$C,'12.326ana'!$M:$M,redes!A8404)</f>
        <v>0</v>
      </c>
    </row>
    <row r="8405" customFormat="false" ht="14.4" hidden="true" customHeight="false" outlineLevel="0" collapsed="false">
      <c r="A8405" s="34" t="n">
        <v>4129442000193</v>
      </c>
      <c r="B8405" s="34" t="s">
        <v>17554</v>
      </c>
      <c r="C8405" s="34" t="s">
        <v>77</v>
      </c>
      <c r="E8405" s="30" t="s">
        <v>17555</v>
      </c>
      <c r="F8405" s="34" t="n">
        <f aca="false">IFERROR(VLOOKUP($A8405,'319'!$B:$H,7,0),0)</f>
        <v>0</v>
      </c>
      <c r="G8405" s="34" t="n">
        <f aca="false">SUMIFS('12.326ana'!$C:$C,'12.326ana'!$M:$M,redes!A8405)</f>
        <v>0</v>
      </c>
    </row>
    <row r="8406" customFormat="false" ht="14.4" hidden="true" customHeight="false" outlineLevel="0" collapsed="false">
      <c r="A8406" s="34" t="n">
        <v>4130120000164</v>
      </c>
      <c r="B8406" s="34" t="s">
        <v>17556</v>
      </c>
      <c r="C8406" s="34" t="s">
        <v>309</v>
      </c>
      <c r="E8406" s="30" t="s">
        <v>17557</v>
      </c>
      <c r="F8406" s="34" t="n">
        <f aca="false">IFERROR(VLOOKUP($A8406,'319'!$B:$H,7,0),0)</f>
        <v>0</v>
      </c>
      <c r="G8406" s="34" t="n">
        <f aca="false">SUMIFS('12.326ana'!$C:$C,'12.326ana'!$M:$M,redes!A8406)</f>
        <v>0</v>
      </c>
    </row>
    <row r="8407" customFormat="false" ht="14.4" hidden="true" customHeight="false" outlineLevel="0" collapsed="false">
      <c r="A8407" s="34" t="n">
        <v>4130168000172</v>
      </c>
      <c r="B8407" s="34" t="s">
        <v>17558</v>
      </c>
      <c r="C8407" s="34" t="s">
        <v>77</v>
      </c>
      <c r="E8407" s="30" t="s">
        <v>17559</v>
      </c>
      <c r="F8407" s="34" t="n">
        <f aca="false">IFERROR(VLOOKUP($A8407,'319'!$B:$H,7,0),0)</f>
        <v>0</v>
      </c>
      <c r="G8407" s="34" t="n">
        <f aca="false">SUMIFS('12.326ana'!$C:$C,'12.326ana'!$M:$M,redes!A8407)</f>
        <v>0</v>
      </c>
    </row>
    <row r="8408" customFormat="false" ht="14.4" hidden="true" customHeight="false" outlineLevel="0" collapsed="false">
      <c r="A8408" s="34" t="n">
        <v>4132736000174</v>
      </c>
      <c r="B8408" s="34" t="s">
        <v>17560</v>
      </c>
      <c r="C8408" s="34" t="s">
        <v>594</v>
      </c>
      <c r="E8408" s="30" t="s">
        <v>16161</v>
      </c>
      <c r="F8408" s="34" t="n">
        <f aca="false">IFERROR(VLOOKUP($A8408,'319'!$B:$H,7,0),0)</f>
        <v>0</v>
      </c>
      <c r="G8408" s="34" t="n">
        <f aca="false">SUMIFS('12.326ana'!$C:$C,'12.326ana'!$M:$M,redes!A8408)</f>
        <v>0</v>
      </c>
    </row>
    <row r="8409" customFormat="false" ht="14.4" hidden="true" customHeight="false" outlineLevel="0" collapsed="false">
      <c r="A8409" s="34" t="n">
        <v>4132827000100</v>
      </c>
      <c r="B8409" s="34" t="s">
        <v>17561</v>
      </c>
      <c r="C8409" s="34" t="s">
        <v>77</v>
      </c>
      <c r="E8409" s="30" t="s">
        <v>17562</v>
      </c>
      <c r="F8409" s="34" t="n">
        <f aca="false">IFERROR(VLOOKUP($A8409,'319'!$B:$H,7,0),0)</f>
        <v>0</v>
      </c>
      <c r="G8409" s="34" t="n">
        <f aca="false">SUMIFS('12.326ana'!$C:$C,'12.326ana'!$M:$M,redes!A8409)</f>
        <v>0</v>
      </c>
    </row>
    <row r="8410" customFormat="false" ht="14.4" hidden="true" customHeight="false" outlineLevel="0" collapsed="false">
      <c r="A8410" s="34" t="n">
        <v>4137970000194</v>
      </c>
      <c r="B8410" s="34" t="s">
        <v>17563</v>
      </c>
      <c r="C8410" s="34" t="s">
        <v>103</v>
      </c>
      <c r="E8410" s="30" t="s">
        <v>5825</v>
      </c>
      <c r="F8410" s="34" t="n">
        <f aca="false">IFERROR(VLOOKUP($A8410,'319'!$B:$H,7,0),0)</f>
        <v>0</v>
      </c>
      <c r="G8410" s="34" t="n">
        <f aca="false">SUMIFS('12.326ana'!$C:$C,'12.326ana'!$M:$M,redes!A8410)</f>
        <v>0</v>
      </c>
    </row>
    <row r="8411" customFormat="false" ht="14.4" hidden="true" customHeight="false" outlineLevel="0" collapsed="false">
      <c r="A8411" s="34" t="n">
        <v>4139189000159</v>
      </c>
      <c r="B8411" s="34" t="s">
        <v>17564</v>
      </c>
      <c r="C8411" s="34" t="s">
        <v>881</v>
      </c>
      <c r="E8411" s="30" t="s">
        <v>4718</v>
      </c>
      <c r="F8411" s="34" t="n">
        <f aca="false">IFERROR(VLOOKUP($A8411,'319'!$B:$H,7,0),0)</f>
        <v>0</v>
      </c>
      <c r="G8411" s="34" t="n">
        <f aca="false">SUMIFS('12.326ana'!$C:$C,'12.326ana'!$M:$M,redes!A8411)</f>
        <v>0</v>
      </c>
    </row>
    <row r="8412" customFormat="false" ht="14.4" hidden="true" customHeight="false" outlineLevel="0" collapsed="false">
      <c r="A8412" s="34" t="n">
        <v>4139206000158</v>
      </c>
      <c r="B8412" s="34" t="s">
        <v>17565</v>
      </c>
      <c r="C8412" s="34" t="s">
        <v>107</v>
      </c>
      <c r="E8412" s="30" t="s">
        <v>17566</v>
      </c>
      <c r="F8412" s="34" t="n">
        <f aca="false">IFERROR(VLOOKUP($A8412,'319'!$B:$H,7,0),0)</f>
        <v>0</v>
      </c>
      <c r="G8412" s="34" t="n">
        <f aca="false">SUMIFS('12.326ana'!$C:$C,'12.326ana'!$M:$M,redes!A8412)</f>
        <v>0</v>
      </c>
    </row>
    <row r="8413" customFormat="false" ht="14.4" hidden="true" customHeight="false" outlineLevel="0" collapsed="false">
      <c r="A8413" s="34" t="n">
        <v>4142213000109</v>
      </c>
      <c r="B8413" s="34" t="s">
        <v>17567</v>
      </c>
      <c r="C8413" s="34" t="s">
        <v>77</v>
      </c>
      <c r="E8413" s="30" t="s">
        <v>6334</v>
      </c>
      <c r="F8413" s="34" t="n">
        <f aca="false">IFERROR(VLOOKUP($A8413,'319'!$B:$H,7,0),0)</f>
        <v>0</v>
      </c>
      <c r="G8413" s="34" t="n">
        <f aca="false">SUMIFS('12.326ana'!$C:$C,'12.326ana'!$M:$M,redes!A8413)</f>
        <v>0</v>
      </c>
    </row>
    <row r="8414" customFormat="false" ht="14.4" hidden="true" customHeight="false" outlineLevel="0" collapsed="false">
      <c r="A8414" s="34" t="n">
        <v>4142284000101</v>
      </c>
      <c r="B8414" s="34" t="s">
        <v>17568</v>
      </c>
      <c r="C8414" s="34" t="s">
        <v>103</v>
      </c>
      <c r="E8414" s="30" t="s">
        <v>17569</v>
      </c>
      <c r="F8414" s="34" t="n">
        <f aca="false">IFERROR(VLOOKUP($A8414,'319'!$B:$H,7,0),0)</f>
        <v>0</v>
      </c>
      <c r="G8414" s="34" t="n">
        <f aca="false">SUMIFS('12.326ana'!$C:$C,'12.326ana'!$M:$M,redes!A8414)</f>
        <v>0</v>
      </c>
    </row>
    <row r="8415" customFormat="false" ht="14.4" hidden="true" customHeight="false" outlineLevel="0" collapsed="false">
      <c r="A8415" s="34" t="n">
        <v>4142819000144</v>
      </c>
      <c r="B8415" s="34" t="s">
        <v>17570</v>
      </c>
      <c r="C8415" s="34" t="s">
        <v>107</v>
      </c>
      <c r="E8415" s="30" t="s">
        <v>17571</v>
      </c>
      <c r="F8415" s="34" t="n">
        <f aca="false">IFERROR(VLOOKUP($A8415,'319'!$B:$H,7,0),0)</f>
        <v>0</v>
      </c>
      <c r="G8415" s="34" t="n">
        <f aca="false">SUMIFS('12.326ana'!$C:$C,'12.326ana'!$M:$M,redes!A8415)</f>
        <v>0</v>
      </c>
    </row>
    <row r="8416" customFormat="false" ht="14.4" hidden="true" customHeight="false" outlineLevel="0" collapsed="false">
      <c r="A8416" s="34" t="n">
        <v>4142829000180</v>
      </c>
      <c r="B8416" s="34" t="s">
        <v>17572</v>
      </c>
      <c r="C8416" s="34" t="s">
        <v>336</v>
      </c>
      <c r="E8416" s="30" t="s">
        <v>5050</v>
      </c>
      <c r="F8416" s="34" t="n">
        <f aca="false">IFERROR(VLOOKUP($A8416,'319'!$B:$H,7,0),0)</f>
        <v>0</v>
      </c>
      <c r="G8416" s="34" t="n">
        <f aca="false">SUMIFS('12.326ana'!$C:$C,'12.326ana'!$M:$M,redes!A8416)</f>
        <v>0</v>
      </c>
    </row>
    <row r="8417" customFormat="false" ht="14.4" hidden="true" customHeight="false" outlineLevel="0" collapsed="false">
      <c r="A8417" s="34" t="n">
        <v>4143170000186</v>
      </c>
      <c r="B8417" s="34" t="s">
        <v>17573</v>
      </c>
      <c r="C8417" s="34" t="s">
        <v>77</v>
      </c>
      <c r="E8417" s="30" t="s">
        <v>17574</v>
      </c>
      <c r="F8417" s="34" t="n">
        <f aca="false">IFERROR(VLOOKUP($A8417,'319'!$B:$H,7,0),0)</f>
        <v>0</v>
      </c>
      <c r="G8417" s="34" t="n">
        <f aca="false">SUMIFS('12.326ana'!$C:$C,'12.326ana'!$M:$M,redes!A8417)</f>
        <v>0</v>
      </c>
    </row>
    <row r="8418" customFormat="false" ht="14.4" hidden="true" customHeight="false" outlineLevel="0" collapsed="false">
      <c r="A8418" s="34" t="n">
        <v>4143446000126</v>
      </c>
      <c r="B8418" s="34" t="s">
        <v>4226</v>
      </c>
      <c r="C8418" s="34" t="s">
        <v>89</v>
      </c>
      <c r="E8418" s="30" t="s">
        <v>17575</v>
      </c>
      <c r="F8418" s="34" t="n">
        <f aca="false">IFERROR(VLOOKUP($A8418,'319'!$B:$H,7,0),0)</f>
        <v>0</v>
      </c>
      <c r="G8418" s="34" t="n">
        <f aca="false">SUMIFS('12.326ana'!$C:$C,'12.326ana'!$M:$M,redes!A8418)</f>
        <v>0</v>
      </c>
    </row>
    <row r="8419" customFormat="false" ht="14.4" hidden="true" customHeight="false" outlineLevel="0" collapsed="false">
      <c r="A8419" s="34" t="n">
        <v>4143955000159</v>
      </c>
      <c r="B8419" s="34" t="s">
        <v>17576</v>
      </c>
      <c r="C8419" s="34" t="s">
        <v>737</v>
      </c>
      <c r="E8419" s="30" t="s">
        <v>4799</v>
      </c>
      <c r="F8419" s="34" t="n">
        <f aca="false">IFERROR(VLOOKUP($A8419,'319'!$B:$H,7,0),0)</f>
        <v>0</v>
      </c>
      <c r="G8419" s="34" t="n">
        <f aca="false">SUMIFS('12.326ana'!$C:$C,'12.326ana'!$M:$M,redes!A8419)</f>
        <v>0</v>
      </c>
    </row>
    <row r="8420" customFormat="false" ht="14.4" hidden="true" customHeight="false" outlineLevel="0" collapsed="false">
      <c r="A8420" s="34" t="n">
        <v>4145618000109</v>
      </c>
      <c r="B8420" s="34" t="s">
        <v>17577</v>
      </c>
      <c r="C8420" s="34" t="s">
        <v>107</v>
      </c>
      <c r="E8420" s="30" t="s">
        <v>8768</v>
      </c>
      <c r="F8420" s="34" t="n">
        <f aca="false">IFERROR(VLOOKUP($A8420,'319'!$B:$H,7,0),0)</f>
        <v>0</v>
      </c>
      <c r="G8420" s="34" t="n">
        <f aca="false">SUMIFS('12.326ana'!$C:$C,'12.326ana'!$M:$M,redes!A8420)</f>
        <v>0</v>
      </c>
    </row>
    <row r="8421" customFormat="false" ht="14.4" hidden="true" customHeight="false" outlineLevel="0" collapsed="false">
      <c r="A8421" s="34" t="n">
        <v>4150001000173</v>
      </c>
      <c r="B8421" s="34" t="s">
        <v>17578</v>
      </c>
      <c r="C8421" s="34" t="s">
        <v>631</v>
      </c>
      <c r="E8421" s="30" t="s">
        <v>17579</v>
      </c>
      <c r="F8421" s="34" t="n">
        <f aca="false">IFERROR(VLOOKUP($A8421,'319'!$B:$H,7,0),0)</f>
        <v>0</v>
      </c>
      <c r="G8421" s="34" t="n">
        <f aca="false">SUMIFS('12.326ana'!$C:$C,'12.326ana'!$M:$M,redes!A8421)</f>
        <v>0</v>
      </c>
    </row>
    <row r="8422" customFormat="false" ht="14.4" hidden="true" customHeight="false" outlineLevel="0" collapsed="false">
      <c r="A8422" s="34" t="n">
        <v>4150527000153</v>
      </c>
      <c r="B8422" s="34" t="s">
        <v>17580</v>
      </c>
      <c r="C8422" s="34" t="s">
        <v>77</v>
      </c>
      <c r="E8422" s="30" t="s">
        <v>17581</v>
      </c>
      <c r="F8422" s="34" t="n">
        <f aca="false">IFERROR(VLOOKUP($A8422,'319'!$B:$H,7,0),0)</f>
        <v>0</v>
      </c>
      <c r="G8422" s="34" t="n">
        <f aca="false">SUMIFS('12.326ana'!$C:$C,'12.326ana'!$M:$M,redes!A8422)</f>
        <v>0</v>
      </c>
    </row>
    <row r="8423" customFormat="false" ht="14.4" hidden="true" customHeight="false" outlineLevel="0" collapsed="false">
      <c r="A8423" s="34" t="n">
        <v>4154564000130</v>
      </c>
      <c r="B8423" s="34" t="s">
        <v>17582</v>
      </c>
      <c r="C8423" s="34" t="s">
        <v>631</v>
      </c>
      <c r="E8423" s="30" t="s">
        <v>17583</v>
      </c>
      <c r="F8423" s="34" t="n">
        <f aca="false">IFERROR(VLOOKUP($A8423,'319'!$B:$H,7,0),0)</f>
        <v>0</v>
      </c>
      <c r="G8423" s="34" t="n">
        <f aca="false">SUMIFS('12.326ana'!$C:$C,'12.326ana'!$M:$M,redes!A8423)</f>
        <v>0</v>
      </c>
    </row>
    <row r="8424" customFormat="false" ht="14.4" hidden="true" customHeight="false" outlineLevel="0" collapsed="false">
      <c r="A8424" s="34" t="n">
        <v>4157342000170</v>
      </c>
      <c r="B8424" s="34" t="s">
        <v>17584</v>
      </c>
      <c r="C8424" s="34" t="s">
        <v>463</v>
      </c>
      <c r="E8424" s="30" t="s">
        <v>17585</v>
      </c>
      <c r="F8424" s="34" t="n">
        <f aca="false">IFERROR(VLOOKUP($A8424,'319'!$B:$H,7,0),0)</f>
        <v>0</v>
      </c>
      <c r="G8424" s="34" t="n">
        <f aca="false">SUMIFS('12.326ana'!$C:$C,'12.326ana'!$M:$M,redes!A8424)</f>
        <v>0</v>
      </c>
    </row>
    <row r="8425" customFormat="false" ht="14.4" hidden="true" customHeight="false" outlineLevel="0" collapsed="false">
      <c r="A8425" s="34" t="n">
        <v>4157875000152</v>
      </c>
      <c r="B8425" s="34" t="s">
        <v>17586</v>
      </c>
      <c r="C8425" s="34" t="s">
        <v>107</v>
      </c>
      <c r="E8425" s="30" t="s">
        <v>17587</v>
      </c>
      <c r="F8425" s="34" t="n">
        <f aca="false">IFERROR(VLOOKUP($A8425,'319'!$B:$H,7,0),0)</f>
        <v>0</v>
      </c>
      <c r="G8425" s="34" t="n">
        <f aca="false">SUMIFS('12.326ana'!$C:$C,'12.326ana'!$M:$M,redes!A8425)</f>
        <v>0</v>
      </c>
    </row>
    <row r="8426" customFormat="false" ht="14.4" hidden="true" customHeight="false" outlineLevel="0" collapsed="false">
      <c r="A8426" s="34" t="n">
        <v>4158292000146</v>
      </c>
      <c r="B8426" s="34" t="s">
        <v>17588</v>
      </c>
      <c r="C8426" s="34" t="s">
        <v>154</v>
      </c>
      <c r="E8426" s="30" t="s">
        <v>13648</v>
      </c>
      <c r="F8426" s="34" t="n">
        <f aca="false">IFERROR(VLOOKUP($A8426,'319'!$B:$H,7,0),0)</f>
        <v>0</v>
      </c>
      <c r="G8426" s="34" t="n">
        <f aca="false">SUMIFS('12.326ana'!$C:$C,'12.326ana'!$M:$M,redes!A8426)</f>
        <v>0</v>
      </c>
    </row>
    <row r="8427" customFormat="false" ht="14.4" hidden="true" customHeight="false" outlineLevel="0" collapsed="false">
      <c r="A8427" s="34" t="n">
        <v>4159690000187</v>
      </c>
      <c r="B8427" s="34" t="s">
        <v>17589</v>
      </c>
      <c r="C8427" s="34" t="s">
        <v>89</v>
      </c>
      <c r="E8427" s="30" t="s">
        <v>17590</v>
      </c>
      <c r="F8427" s="34" t="n">
        <f aca="false">IFERROR(VLOOKUP($A8427,'319'!$B:$H,7,0),0)</f>
        <v>0</v>
      </c>
      <c r="G8427" s="34" t="n">
        <f aca="false">SUMIFS('12.326ana'!$C:$C,'12.326ana'!$M:$M,redes!A8427)</f>
        <v>0</v>
      </c>
    </row>
    <row r="8428" customFormat="false" ht="14.4" hidden="true" customHeight="false" outlineLevel="0" collapsed="false">
      <c r="A8428" s="34" t="n">
        <v>4161120000121</v>
      </c>
      <c r="B8428" s="34" t="s">
        <v>17591</v>
      </c>
      <c r="C8428" s="34" t="s">
        <v>631</v>
      </c>
      <c r="E8428" s="30" t="s">
        <v>17592</v>
      </c>
      <c r="F8428" s="34" t="n">
        <f aca="false">IFERROR(VLOOKUP($A8428,'319'!$B:$H,7,0),0)</f>
        <v>0</v>
      </c>
      <c r="G8428" s="34" t="n">
        <f aca="false">SUMIFS('12.326ana'!$C:$C,'12.326ana'!$M:$M,redes!A8428)</f>
        <v>0</v>
      </c>
    </row>
    <row r="8429" customFormat="false" ht="14.4" hidden="true" customHeight="false" outlineLevel="0" collapsed="false">
      <c r="A8429" s="34" t="n">
        <v>4162175000156</v>
      </c>
      <c r="B8429" s="34" t="s">
        <v>17593</v>
      </c>
      <c r="C8429" s="34" t="s">
        <v>89</v>
      </c>
      <c r="E8429" s="30" t="s">
        <v>5996</v>
      </c>
      <c r="F8429" s="34" t="n">
        <f aca="false">IFERROR(VLOOKUP($A8429,'319'!$B:$H,7,0),0)</f>
        <v>0</v>
      </c>
      <c r="G8429" s="34" t="n">
        <f aca="false">SUMIFS('12.326ana'!$C:$C,'12.326ana'!$M:$M,redes!A8429)</f>
        <v>0</v>
      </c>
    </row>
    <row r="8430" customFormat="false" ht="14.4" hidden="true" customHeight="false" outlineLevel="0" collapsed="false">
      <c r="A8430" s="34" t="n">
        <v>4163388000100</v>
      </c>
      <c r="B8430" s="34" t="s">
        <v>17594</v>
      </c>
      <c r="C8430" s="34" t="s">
        <v>129</v>
      </c>
      <c r="E8430" s="30" t="s">
        <v>17595</v>
      </c>
      <c r="F8430" s="34" t="n">
        <f aca="false">IFERROR(VLOOKUP($A8430,'319'!$B:$H,7,0),0)</f>
        <v>0</v>
      </c>
      <c r="G8430" s="34" t="n">
        <f aca="false">SUMIFS('12.326ana'!$C:$C,'12.326ana'!$M:$M,redes!A8430)</f>
        <v>0</v>
      </c>
    </row>
    <row r="8431" customFormat="false" ht="14.4" hidden="true" customHeight="false" outlineLevel="0" collapsed="false">
      <c r="A8431" s="34" t="n">
        <v>4163420000140</v>
      </c>
      <c r="B8431" s="34" t="s">
        <v>17596</v>
      </c>
      <c r="C8431" s="34" t="s">
        <v>192</v>
      </c>
      <c r="E8431" s="30" t="s">
        <v>17597</v>
      </c>
      <c r="F8431" s="34" t="n">
        <f aca="false">IFERROR(VLOOKUP($A8431,'319'!$B:$H,7,0),0)</f>
        <v>0</v>
      </c>
      <c r="G8431" s="34" t="n">
        <f aca="false">SUMIFS('12.326ana'!$C:$C,'12.326ana'!$M:$M,redes!A8431)</f>
        <v>0</v>
      </c>
    </row>
    <row r="8432" customFormat="false" ht="14.4" hidden="true" customHeight="false" outlineLevel="0" collapsed="false">
      <c r="A8432" s="34" t="n">
        <v>4163659000110</v>
      </c>
      <c r="B8432" s="34" t="s">
        <v>17598</v>
      </c>
      <c r="C8432" s="34" t="s">
        <v>107</v>
      </c>
      <c r="E8432" s="30"/>
      <c r="F8432" s="34" t="n">
        <f aca="false">IFERROR(VLOOKUP($A8432,'319'!$B:$H,7,0),0)</f>
        <v>0</v>
      </c>
      <c r="G8432" s="34" t="n">
        <f aca="false">SUMIFS('12.326ana'!$C:$C,'12.326ana'!$M:$M,redes!A8432)</f>
        <v>0</v>
      </c>
    </row>
    <row r="8433" customFormat="false" ht="14.4" hidden="true" customHeight="false" outlineLevel="0" collapsed="false">
      <c r="A8433" s="34" t="n">
        <v>4163781000196</v>
      </c>
      <c r="B8433" s="34" t="s">
        <v>17599</v>
      </c>
      <c r="C8433" s="34" t="s">
        <v>77</v>
      </c>
      <c r="E8433" s="30"/>
      <c r="F8433" s="34" t="n">
        <f aca="false">IFERROR(VLOOKUP($A8433,'319'!$B:$H,7,0),0)</f>
        <v>0</v>
      </c>
      <c r="G8433" s="34" t="n">
        <f aca="false">SUMIFS('12.326ana'!$C:$C,'12.326ana'!$M:$M,redes!A8433)</f>
        <v>0</v>
      </c>
    </row>
    <row r="8434" customFormat="false" ht="14.4" hidden="true" customHeight="false" outlineLevel="0" collapsed="false">
      <c r="A8434" s="34" t="n">
        <v>4163859000172</v>
      </c>
      <c r="B8434" s="34" t="s">
        <v>17600</v>
      </c>
      <c r="C8434" s="34" t="s">
        <v>77</v>
      </c>
      <c r="E8434" s="30" t="s">
        <v>3112</v>
      </c>
      <c r="F8434" s="34" t="n">
        <f aca="false">IFERROR(VLOOKUP($A8434,'319'!$B:$H,7,0),0)</f>
        <v>0</v>
      </c>
      <c r="G8434" s="34" t="n">
        <f aca="false">SUMIFS('12.326ana'!$C:$C,'12.326ana'!$M:$M,redes!A8434)</f>
        <v>0</v>
      </c>
    </row>
    <row r="8435" customFormat="false" ht="14.4" hidden="true" customHeight="false" outlineLevel="0" collapsed="false">
      <c r="A8435" s="34" t="n">
        <v>4164137000132</v>
      </c>
      <c r="B8435" s="34" t="s">
        <v>17601</v>
      </c>
      <c r="C8435" s="34" t="s">
        <v>77</v>
      </c>
      <c r="E8435" s="30" t="s">
        <v>17602</v>
      </c>
      <c r="F8435" s="34" t="n">
        <f aca="false">IFERROR(VLOOKUP($A8435,'319'!$B:$H,7,0),0)</f>
        <v>0</v>
      </c>
      <c r="G8435" s="34" t="n">
        <f aca="false">SUMIFS('12.326ana'!$C:$C,'12.326ana'!$M:$M,redes!A8435)</f>
        <v>0</v>
      </c>
    </row>
    <row r="8436" customFormat="false" ht="14.4" hidden="true" customHeight="false" outlineLevel="0" collapsed="false">
      <c r="A8436" s="34" t="n">
        <v>4165913000119</v>
      </c>
      <c r="B8436" s="34" t="s">
        <v>17603</v>
      </c>
      <c r="C8436" s="34" t="s">
        <v>464</v>
      </c>
      <c r="E8436" s="30" t="s">
        <v>16783</v>
      </c>
      <c r="F8436" s="34" t="n">
        <f aca="false">IFERROR(VLOOKUP($A8436,'319'!$B:$H,7,0),0)</f>
        <v>0</v>
      </c>
      <c r="G8436" s="34" t="n">
        <f aca="false">SUMIFS('12.326ana'!$C:$C,'12.326ana'!$M:$M,redes!A8436)</f>
        <v>0</v>
      </c>
    </row>
    <row r="8437" customFormat="false" ht="14.4" hidden="true" customHeight="false" outlineLevel="0" collapsed="false">
      <c r="A8437" s="34" t="n">
        <v>4169972000165</v>
      </c>
      <c r="B8437" s="34" t="s">
        <v>17604</v>
      </c>
      <c r="C8437" s="34" t="s">
        <v>77</v>
      </c>
      <c r="E8437" s="30" t="s">
        <v>17605</v>
      </c>
      <c r="F8437" s="34" t="n">
        <f aca="false">IFERROR(VLOOKUP($A8437,'319'!$B:$H,7,0),0)</f>
        <v>0</v>
      </c>
      <c r="G8437" s="34" t="n">
        <f aca="false">SUMIFS('12.326ana'!$C:$C,'12.326ana'!$M:$M,redes!A8437)</f>
        <v>0</v>
      </c>
    </row>
    <row r="8438" customFormat="false" ht="14.4" hidden="true" customHeight="false" outlineLevel="0" collapsed="false">
      <c r="A8438" s="34" t="n">
        <v>4170276000179</v>
      </c>
      <c r="B8438" s="34" t="s">
        <v>17606</v>
      </c>
      <c r="C8438" s="34" t="s">
        <v>463</v>
      </c>
      <c r="D8438" s="34" t="s">
        <v>4797</v>
      </c>
      <c r="E8438" s="30" t="s">
        <v>10099</v>
      </c>
      <c r="F8438" s="34" t="n">
        <f aca="false">IFERROR(VLOOKUP($A8438,'319'!$B:$H,7,0),0)</f>
        <v>0</v>
      </c>
      <c r="G8438" s="34" t="n">
        <f aca="false">SUMIFS('12.326ana'!$C:$C,'12.326ana'!$M:$M,redes!A8438)</f>
        <v>0</v>
      </c>
    </row>
    <row r="8439" customFormat="false" ht="14.4" hidden="true" customHeight="false" outlineLevel="0" collapsed="false">
      <c r="A8439" s="34" t="n">
        <v>4171189000136</v>
      </c>
      <c r="B8439" s="34" t="s">
        <v>17607</v>
      </c>
      <c r="C8439" s="34" t="s">
        <v>1680</v>
      </c>
      <c r="E8439" s="30" t="s">
        <v>17608</v>
      </c>
      <c r="F8439" s="34" t="n">
        <f aca="false">IFERROR(VLOOKUP($A8439,'319'!$B:$H,7,0),0)</f>
        <v>0</v>
      </c>
      <c r="G8439" s="34" t="n">
        <f aca="false">SUMIFS('12.326ana'!$C:$C,'12.326ana'!$M:$M,redes!A8439)</f>
        <v>0</v>
      </c>
    </row>
    <row r="8440" customFormat="false" ht="14.4" hidden="true" customHeight="false" outlineLevel="0" collapsed="false">
      <c r="A8440" s="34" t="n">
        <v>4171264000169</v>
      </c>
      <c r="B8440" s="34" t="s">
        <v>17609</v>
      </c>
      <c r="C8440" s="34" t="s">
        <v>192</v>
      </c>
      <c r="D8440" s="34" t="s">
        <v>9598</v>
      </c>
      <c r="E8440" s="30" t="s">
        <v>778</v>
      </c>
      <c r="F8440" s="34" t="n">
        <f aca="false">IFERROR(VLOOKUP($A8440,'319'!$B:$H,7,0),0)</f>
        <v>0</v>
      </c>
      <c r="G8440" s="34" t="n">
        <f aca="false">SUMIFS('12.326ana'!$C:$C,'12.326ana'!$M:$M,redes!A8440)</f>
        <v>0</v>
      </c>
    </row>
    <row r="8441" customFormat="false" ht="14.4" hidden="true" customHeight="false" outlineLevel="0" collapsed="false">
      <c r="A8441" s="34" t="n">
        <v>4171264000240</v>
      </c>
      <c r="B8441" s="34" t="s">
        <v>17610</v>
      </c>
      <c r="C8441" s="34" t="s">
        <v>197</v>
      </c>
      <c r="D8441" s="34" t="s">
        <v>9598</v>
      </c>
      <c r="E8441" s="30" t="s">
        <v>778</v>
      </c>
      <c r="F8441" s="34" t="n">
        <f aca="false">IFERROR(VLOOKUP($A8441,'319'!$B:$H,7,0),0)</f>
        <v>0</v>
      </c>
      <c r="G8441" s="34" t="n">
        <f aca="false">SUMIFS('12.326ana'!$C:$C,'12.326ana'!$M:$M,redes!A8441)</f>
        <v>0</v>
      </c>
    </row>
    <row r="8442" customFormat="false" ht="14.4" hidden="true" customHeight="false" outlineLevel="0" collapsed="false">
      <c r="A8442" s="34" t="n">
        <v>4171287000173</v>
      </c>
      <c r="B8442" s="34" t="s">
        <v>17611</v>
      </c>
      <c r="C8442" s="34" t="s">
        <v>77</v>
      </c>
      <c r="E8442" s="30" t="s">
        <v>17612</v>
      </c>
      <c r="F8442" s="34" t="n">
        <f aca="false">IFERROR(VLOOKUP($A8442,'319'!$B:$H,7,0),0)</f>
        <v>0</v>
      </c>
      <c r="G8442" s="34" t="n">
        <f aca="false">SUMIFS('12.326ana'!$C:$C,'12.326ana'!$M:$M,redes!A8442)</f>
        <v>0</v>
      </c>
    </row>
    <row r="8443" customFormat="false" ht="14.4" hidden="true" customHeight="false" outlineLevel="0" collapsed="false">
      <c r="A8443" s="34" t="n">
        <v>4176205000183</v>
      </c>
      <c r="B8443" s="34" t="s">
        <v>17613</v>
      </c>
      <c r="C8443" s="34" t="s">
        <v>17614</v>
      </c>
      <c r="E8443" s="30" t="s">
        <v>17615</v>
      </c>
      <c r="F8443" s="34" t="n">
        <f aca="false">IFERROR(VLOOKUP($A8443,'319'!$B:$H,7,0),0)</f>
        <v>0</v>
      </c>
      <c r="G8443" s="34" t="n">
        <f aca="false">SUMIFS('12.326ana'!$C:$C,'12.326ana'!$M:$M,redes!A8443)</f>
        <v>0</v>
      </c>
    </row>
    <row r="8444" customFormat="false" ht="14.4" hidden="true" customHeight="false" outlineLevel="0" collapsed="false">
      <c r="A8444" s="34" t="n">
        <v>4176671000169</v>
      </c>
      <c r="B8444" s="34" t="s">
        <v>17616</v>
      </c>
      <c r="C8444" s="34" t="s">
        <v>77</v>
      </c>
      <c r="E8444" s="30" t="s">
        <v>17617</v>
      </c>
      <c r="F8444" s="34" t="n">
        <f aca="false">IFERROR(VLOOKUP($A8444,'319'!$B:$H,7,0),0)</f>
        <v>0</v>
      </c>
      <c r="G8444" s="34" t="n">
        <f aca="false">SUMIFS('12.326ana'!$C:$C,'12.326ana'!$M:$M,redes!A8444)</f>
        <v>0</v>
      </c>
    </row>
    <row r="8445" customFormat="false" ht="14.4" hidden="true" customHeight="false" outlineLevel="0" collapsed="false">
      <c r="A8445" s="34" t="n">
        <v>4176838000191</v>
      </c>
      <c r="B8445" s="34" t="s">
        <v>17618</v>
      </c>
      <c r="C8445" s="34" t="s">
        <v>473</v>
      </c>
      <c r="E8445" s="30" t="s">
        <v>17619</v>
      </c>
      <c r="F8445" s="34" t="n">
        <f aca="false">IFERROR(VLOOKUP($A8445,'319'!$B:$H,7,0),0)</f>
        <v>0</v>
      </c>
      <c r="G8445" s="34" t="n">
        <f aca="false">SUMIFS('12.326ana'!$C:$C,'12.326ana'!$M:$M,redes!A8445)</f>
        <v>0</v>
      </c>
    </row>
    <row r="8446" customFormat="false" ht="14.4" hidden="true" customHeight="false" outlineLevel="0" collapsed="false">
      <c r="A8446" s="34" t="n">
        <v>4176925000149</v>
      </c>
      <c r="B8446" s="34" t="s">
        <v>17620</v>
      </c>
      <c r="C8446" s="34" t="s">
        <v>77</v>
      </c>
      <c r="E8446" s="30" t="s">
        <v>17621</v>
      </c>
      <c r="F8446" s="34" t="n">
        <f aca="false">IFERROR(VLOOKUP($A8446,'319'!$B:$H,7,0),0)</f>
        <v>0</v>
      </c>
      <c r="G8446" s="34" t="n">
        <f aca="false">SUMIFS('12.326ana'!$C:$C,'12.326ana'!$M:$M,redes!A8446)</f>
        <v>0</v>
      </c>
    </row>
    <row r="8447" customFormat="false" ht="14.4" hidden="true" customHeight="false" outlineLevel="0" collapsed="false">
      <c r="A8447" s="34" t="n">
        <v>4177616000193</v>
      </c>
      <c r="B8447" s="34" t="s">
        <v>17622</v>
      </c>
      <c r="C8447" s="34" t="s">
        <v>89</v>
      </c>
      <c r="E8447" s="30" t="s">
        <v>17623</v>
      </c>
      <c r="F8447" s="34" t="n">
        <f aca="false">IFERROR(VLOOKUP($A8447,'319'!$B:$H,7,0),0)</f>
        <v>0</v>
      </c>
      <c r="G8447" s="34" t="n">
        <f aca="false">SUMIFS('12.326ana'!$C:$C,'12.326ana'!$M:$M,redes!A8447)</f>
        <v>0</v>
      </c>
    </row>
    <row r="8448" customFormat="false" ht="14.4" hidden="true" customHeight="false" outlineLevel="0" collapsed="false">
      <c r="A8448" s="34" t="n">
        <v>4178527000161</v>
      </c>
      <c r="B8448" s="34" t="s">
        <v>17624</v>
      </c>
      <c r="C8448" s="34" t="s">
        <v>192</v>
      </c>
      <c r="E8448" s="30" t="s">
        <v>17625</v>
      </c>
      <c r="F8448" s="34" t="n">
        <f aca="false">IFERROR(VLOOKUP($A8448,'319'!$B:$H,7,0),0)</f>
        <v>0</v>
      </c>
      <c r="G8448" s="34" t="n">
        <f aca="false">SUMIFS('12.326ana'!$C:$C,'12.326ana'!$M:$M,redes!A8448)</f>
        <v>0</v>
      </c>
    </row>
    <row r="8449" customFormat="false" ht="14.4" hidden="true" customHeight="false" outlineLevel="0" collapsed="false">
      <c r="A8449" s="34" t="n">
        <v>4180707000188</v>
      </c>
      <c r="B8449" s="34" t="s">
        <v>17626</v>
      </c>
      <c r="C8449" s="34" t="s">
        <v>77</v>
      </c>
      <c r="E8449" s="30" t="s">
        <v>17627</v>
      </c>
      <c r="F8449" s="34" t="n">
        <f aca="false">IFERROR(VLOOKUP($A8449,'319'!$B:$H,7,0),0)</f>
        <v>0</v>
      </c>
      <c r="G8449" s="34" t="n">
        <f aca="false">SUMIFS('12.326ana'!$C:$C,'12.326ana'!$M:$M,redes!A8449)</f>
        <v>0</v>
      </c>
    </row>
    <row r="8450" customFormat="false" ht="14.4" hidden="true" customHeight="false" outlineLevel="0" collapsed="false">
      <c r="A8450" s="34" t="n">
        <v>4181141000109</v>
      </c>
      <c r="B8450" s="34" t="s">
        <v>17628</v>
      </c>
      <c r="C8450" s="34" t="s">
        <v>357</v>
      </c>
      <c r="E8450" s="30" t="s">
        <v>17449</v>
      </c>
      <c r="F8450" s="34" t="n">
        <f aca="false">IFERROR(VLOOKUP($A8450,'319'!$B:$H,7,0),0)</f>
        <v>0</v>
      </c>
      <c r="G8450" s="34" t="n">
        <f aca="false">SUMIFS('12.326ana'!$C:$C,'12.326ana'!$M:$M,redes!A8450)</f>
        <v>0</v>
      </c>
    </row>
    <row r="8451" customFormat="false" ht="14.4" hidden="true" customHeight="false" outlineLevel="0" collapsed="false">
      <c r="A8451" s="34" t="n">
        <v>4185713000128</v>
      </c>
      <c r="B8451" s="34" t="s">
        <v>17629</v>
      </c>
      <c r="C8451" s="34" t="s">
        <v>581</v>
      </c>
      <c r="E8451" s="30" t="s">
        <v>17630</v>
      </c>
      <c r="F8451" s="34" t="n">
        <f aca="false">IFERROR(VLOOKUP($A8451,'319'!$B:$H,7,0),0)</f>
        <v>0</v>
      </c>
      <c r="G8451" s="34" t="n">
        <f aca="false">SUMIFS('12.326ana'!$C:$C,'12.326ana'!$M:$M,redes!A8451)</f>
        <v>0</v>
      </c>
    </row>
    <row r="8452" customFormat="false" ht="14.4" hidden="true" customHeight="false" outlineLevel="0" collapsed="false">
      <c r="A8452" s="34" t="n">
        <v>4185926000150</v>
      </c>
      <c r="B8452" s="34" t="s">
        <v>17631</v>
      </c>
      <c r="C8452" s="34" t="s">
        <v>77</v>
      </c>
      <c r="D8452" s="34" t="s">
        <v>3324</v>
      </c>
      <c r="E8452" s="30" t="s">
        <v>17632</v>
      </c>
      <c r="F8452" s="34" t="n">
        <f aca="false">IFERROR(VLOOKUP($A8452,'319'!$B:$H,7,0),0)</f>
        <v>0</v>
      </c>
      <c r="G8452" s="34" t="n">
        <f aca="false">SUMIFS('12.326ana'!$C:$C,'12.326ana'!$M:$M,redes!A8452)</f>
        <v>0</v>
      </c>
    </row>
    <row r="8453" customFormat="false" ht="14.4" hidden="true" customHeight="false" outlineLevel="0" collapsed="false">
      <c r="A8453" s="34" t="n">
        <v>4188377000177</v>
      </c>
      <c r="B8453" s="34" t="s">
        <v>17633</v>
      </c>
      <c r="C8453" s="34" t="s">
        <v>77</v>
      </c>
      <c r="E8453" s="30" t="s">
        <v>17634</v>
      </c>
      <c r="F8453" s="34" t="n">
        <f aca="false">IFERROR(VLOOKUP($A8453,'319'!$B:$H,7,0),0)</f>
        <v>0</v>
      </c>
      <c r="G8453" s="34" t="n">
        <f aca="false">SUMIFS('12.326ana'!$C:$C,'12.326ana'!$M:$M,redes!A8453)</f>
        <v>0</v>
      </c>
    </row>
    <row r="8454" customFormat="false" ht="14.4" hidden="true" customHeight="false" outlineLevel="0" collapsed="false">
      <c r="A8454" s="34" t="n">
        <v>4190850000150</v>
      </c>
      <c r="B8454" s="34" t="s">
        <v>17635</v>
      </c>
      <c r="C8454" s="34" t="s">
        <v>139</v>
      </c>
      <c r="E8454" s="30" t="s">
        <v>17636</v>
      </c>
      <c r="F8454" s="34" t="n">
        <f aca="false">IFERROR(VLOOKUP($A8454,'319'!$B:$H,7,0),0)</f>
        <v>0</v>
      </c>
      <c r="G8454" s="34" t="n">
        <f aca="false">SUMIFS('12.326ana'!$C:$C,'12.326ana'!$M:$M,redes!A8454)</f>
        <v>0</v>
      </c>
    </row>
    <row r="8455" customFormat="false" ht="14.4" hidden="true" customHeight="false" outlineLevel="0" collapsed="false">
      <c r="A8455" s="34" t="n">
        <v>4191944000144</v>
      </c>
      <c r="B8455" s="34" t="s">
        <v>17637</v>
      </c>
      <c r="C8455" s="34" t="s">
        <v>154</v>
      </c>
      <c r="E8455" s="30" t="s">
        <v>13150</v>
      </c>
      <c r="F8455" s="34" t="n">
        <f aca="false">IFERROR(VLOOKUP($A8455,'319'!$B:$H,7,0),0)</f>
        <v>0</v>
      </c>
      <c r="G8455" s="34" t="n">
        <f aca="false">SUMIFS('12.326ana'!$C:$C,'12.326ana'!$M:$M,redes!A8455)</f>
        <v>0</v>
      </c>
    </row>
    <row r="8456" customFormat="false" ht="14.4" hidden="true" customHeight="false" outlineLevel="0" collapsed="false">
      <c r="A8456" s="34" t="n">
        <v>4195520000158</v>
      </c>
      <c r="B8456" s="34" t="s">
        <v>17638</v>
      </c>
      <c r="C8456" s="34" t="s">
        <v>464</v>
      </c>
      <c r="E8456" s="30" t="s">
        <v>4445</v>
      </c>
      <c r="F8456" s="34" t="n">
        <f aca="false">IFERROR(VLOOKUP($A8456,'319'!$B:$H,7,0),0)</f>
        <v>0</v>
      </c>
      <c r="G8456" s="34" t="n">
        <f aca="false">SUMIFS('12.326ana'!$C:$C,'12.326ana'!$M:$M,redes!A8456)</f>
        <v>0</v>
      </c>
    </row>
    <row r="8457" customFormat="false" ht="14.4" hidden="true" customHeight="false" outlineLevel="0" collapsed="false">
      <c r="A8457" s="34" t="n">
        <v>4195544000107</v>
      </c>
      <c r="B8457" s="34" t="s">
        <v>5567</v>
      </c>
      <c r="C8457" s="34" t="s">
        <v>77</v>
      </c>
      <c r="E8457" s="30" t="s">
        <v>17639</v>
      </c>
      <c r="F8457" s="34" t="n">
        <f aca="false">IFERROR(VLOOKUP($A8457,'319'!$B:$H,7,0),0)</f>
        <v>0</v>
      </c>
      <c r="G8457" s="34" t="n">
        <f aca="false">SUMIFS('12.326ana'!$C:$C,'12.326ana'!$M:$M,redes!A8457)</f>
        <v>0</v>
      </c>
    </row>
    <row r="8458" customFormat="false" ht="14.4" hidden="true" customHeight="false" outlineLevel="0" collapsed="false">
      <c r="A8458" s="34" t="n">
        <v>4195635000142</v>
      </c>
      <c r="B8458" s="34" t="s">
        <v>17640</v>
      </c>
      <c r="C8458" s="34" t="s">
        <v>127</v>
      </c>
      <c r="E8458" s="30" t="s">
        <v>17641</v>
      </c>
      <c r="F8458" s="34" t="n">
        <f aca="false">IFERROR(VLOOKUP($A8458,'319'!$B:$H,7,0),0)</f>
        <v>0</v>
      </c>
      <c r="G8458" s="34" t="n">
        <f aca="false">SUMIFS('12.326ana'!$C:$C,'12.326ana'!$M:$M,redes!A8458)</f>
        <v>0</v>
      </c>
    </row>
    <row r="8459" customFormat="false" ht="14.4" hidden="true" customHeight="false" outlineLevel="0" collapsed="false">
      <c r="A8459" s="34" t="n">
        <v>4195969000116</v>
      </c>
      <c r="B8459" s="34" t="s">
        <v>17642</v>
      </c>
      <c r="C8459" s="34" t="s">
        <v>77</v>
      </c>
      <c r="E8459" s="30" t="s">
        <v>17643</v>
      </c>
      <c r="F8459" s="34" t="n">
        <f aca="false">IFERROR(VLOOKUP($A8459,'319'!$B:$H,7,0),0)</f>
        <v>0</v>
      </c>
      <c r="G8459" s="34" t="n">
        <f aca="false">SUMIFS('12.326ana'!$C:$C,'12.326ana'!$M:$M,redes!A8459)</f>
        <v>0</v>
      </c>
    </row>
    <row r="8460" customFormat="false" ht="14.4" hidden="true" customHeight="false" outlineLevel="0" collapsed="false">
      <c r="A8460" s="34" t="n">
        <v>4199060000136</v>
      </c>
      <c r="B8460" s="34" t="s">
        <v>17644</v>
      </c>
      <c r="C8460" s="34" t="s">
        <v>631</v>
      </c>
      <c r="E8460" s="30" t="s">
        <v>17645</v>
      </c>
      <c r="F8460" s="34" t="n">
        <f aca="false">IFERROR(VLOOKUP($A8460,'319'!$B:$H,7,0),0)</f>
        <v>0</v>
      </c>
      <c r="G8460" s="34" t="n">
        <f aca="false">SUMIFS('12.326ana'!$C:$C,'12.326ana'!$M:$M,redes!A8460)</f>
        <v>0</v>
      </c>
    </row>
    <row r="8461" customFormat="false" ht="14.4" hidden="true" customHeight="false" outlineLevel="0" collapsed="false">
      <c r="A8461" s="34" t="n">
        <v>4199298000161</v>
      </c>
      <c r="B8461" s="34" t="s">
        <v>17646</v>
      </c>
      <c r="C8461" s="34" t="s">
        <v>1272</v>
      </c>
      <c r="E8461" s="30" t="s">
        <v>17647</v>
      </c>
      <c r="F8461" s="34" t="n">
        <f aca="false">IFERROR(VLOOKUP($A8461,'319'!$B:$H,7,0),0)</f>
        <v>0</v>
      </c>
      <c r="G8461" s="34" t="n">
        <f aca="false">SUMIFS('12.326ana'!$C:$C,'12.326ana'!$M:$M,redes!A8461)</f>
        <v>0</v>
      </c>
    </row>
    <row r="8462" customFormat="false" ht="14.4" hidden="true" customHeight="false" outlineLevel="0" collapsed="false">
      <c r="A8462" s="34" t="n">
        <v>4199809000145</v>
      </c>
      <c r="B8462" s="34" t="s">
        <v>17648</v>
      </c>
      <c r="C8462" s="34" t="s">
        <v>631</v>
      </c>
      <c r="E8462" s="30" t="s">
        <v>14285</v>
      </c>
      <c r="F8462" s="34" t="n">
        <f aca="false">IFERROR(VLOOKUP($A8462,'319'!$B:$H,7,0),0)</f>
        <v>0</v>
      </c>
      <c r="G8462" s="34" t="n">
        <f aca="false">SUMIFS('12.326ana'!$C:$C,'12.326ana'!$M:$M,redes!A8462)</f>
        <v>0</v>
      </c>
    </row>
    <row r="8463" customFormat="false" ht="14.4" hidden="true" customHeight="false" outlineLevel="0" collapsed="false">
      <c r="A8463" s="34" t="n">
        <v>4200233000199</v>
      </c>
      <c r="B8463" s="34" t="s">
        <v>17649</v>
      </c>
      <c r="C8463" s="34" t="s">
        <v>139</v>
      </c>
      <c r="E8463" s="30" t="s">
        <v>17650</v>
      </c>
      <c r="F8463" s="34" t="n">
        <f aca="false">IFERROR(VLOOKUP($A8463,'319'!$B:$H,7,0),0)</f>
        <v>0</v>
      </c>
      <c r="G8463" s="34" t="n">
        <f aca="false">SUMIFS('12.326ana'!$C:$C,'12.326ana'!$M:$M,redes!A8463)</f>
        <v>0</v>
      </c>
    </row>
    <row r="8464" customFormat="false" ht="14.4" hidden="true" customHeight="false" outlineLevel="0" collapsed="false">
      <c r="A8464" s="34" t="n">
        <v>4201286000124</v>
      </c>
      <c r="B8464" s="34" t="s">
        <v>17651</v>
      </c>
      <c r="C8464" s="34" t="s">
        <v>357</v>
      </c>
      <c r="E8464" s="30" t="s">
        <v>17652</v>
      </c>
      <c r="F8464" s="34" t="n">
        <f aca="false">IFERROR(VLOOKUP($A8464,'319'!$B:$H,7,0),0)</f>
        <v>0</v>
      </c>
      <c r="G8464" s="34" t="n">
        <f aca="false">SUMIFS('12.326ana'!$C:$C,'12.326ana'!$M:$M,redes!A8464)</f>
        <v>0</v>
      </c>
    </row>
    <row r="8465" customFormat="false" ht="14.4" hidden="true" customHeight="false" outlineLevel="0" collapsed="false">
      <c r="A8465" s="34" t="n">
        <v>4202550000144</v>
      </c>
      <c r="B8465" s="34" t="s">
        <v>17653</v>
      </c>
      <c r="C8465" s="34" t="s">
        <v>1272</v>
      </c>
      <c r="E8465" s="30" t="s">
        <v>17654</v>
      </c>
      <c r="F8465" s="34" t="n">
        <f aca="false">IFERROR(VLOOKUP($A8465,'319'!$B:$H,7,0),0)</f>
        <v>0</v>
      </c>
      <c r="G8465" s="34" t="n">
        <f aca="false">SUMIFS('12.326ana'!$C:$C,'12.326ana'!$M:$M,redes!A8465)</f>
        <v>0</v>
      </c>
    </row>
    <row r="8466" customFormat="false" ht="14.4" hidden="true" customHeight="false" outlineLevel="0" collapsed="false">
      <c r="A8466" s="34" t="n">
        <v>4202571000160</v>
      </c>
      <c r="B8466" s="34" t="s">
        <v>17655</v>
      </c>
      <c r="C8466" s="34" t="s">
        <v>77</v>
      </c>
      <c r="E8466" s="30" t="s">
        <v>17656</v>
      </c>
      <c r="F8466" s="34" t="n">
        <f aca="false">IFERROR(VLOOKUP($A8466,'319'!$B:$H,7,0),0)</f>
        <v>0</v>
      </c>
      <c r="G8466" s="34" t="n">
        <f aca="false">SUMIFS('12.326ana'!$C:$C,'12.326ana'!$M:$M,redes!A8466)</f>
        <v>0</v>
      </c>
    </row>
    <row r="8467" customFormat="false" ht="14.4" hidden="true" customHeight="false" outlineLevel="0" collapsed="false">
      <c r="A8467" s="34" t="n">
        <v>4203035000189</v>
      </c>
      <c r="B8467" s="34" t="s">
        <v>17657</v>
      </c>
      <c r="C8467" s="34" t="s">
        <v>7250</v>
      </c>
      <c r="E8467" s="30" t="s">
        <v>17658</v>
      </c>
      <c r="F8467" s="34" t="n">
        <f aca="false">IFERROR(VLOOKUP($A8467,'319'!$B:$H,7,0),0)</f>
        <v>0</v>
      </c>
      <c r="G8467" s="34" t="n">
        <f aca="false">SUMIFS('12.326ana'!$C:$C,'12.326ana'!$M:$M,redes!A8467)</f>
        <v>0</v>
      </c>
    </row>
    <row r="8468" customFormat="false" ht="14.4" hidden="true" customHeight="false" outlineLevel="0" collapsed="false">
      <c r="A8468" s="34" t="n">
        <v>4204197000131</v>
      </c>
      <c r="B8468" s="34" t="s">
        <v>17659</v>
      </c>
      <c r="C8468" s="34" t="s">
        <v>309</v>
      </c>
      <c r="E8468" s="30" t="s">
        <v>17660</v>
      </c>
      <c r="F8468" s="34" t="n">
        <f aca="false">IFERROR(VLOOKUP($A8468,'319'!$B:$H,7,0),0)</f>
        <v>0</v>
      </c>
      <c r="G8468" s="34" t="n">
        <f aca="false">SUMIFS('12.326ana'!$C:$C,'12.326ana'!$M:$M,redes!A8468)</f>
        <v>0</v>
      </c>
    </row>
    <row r="8469" customFormat="false" ht="14.4" hidden="true" customHeight="false" outlineLevel="0" collapsed="false">
      <c r="A8469" s="34" t="n">
        <v>4204920000182</v>
      </c>
      <c r="B8469" s="34" t="s">
        <v>17661</v>
      </c>
      <c r="C8469" s="34" t="s">
        <v>848</v>
      </c>
      <c r="E8469" s="30" t="s">
        <v>17662</v>
      </c>
      <c r="F8469" s="34" t="n">
        <f aca="false">IFERROR(VLOOKUP($A8469,'319'!$B:$H,7,0),0)</f>
        <v>0</v>
      </c>
      <c r="G8469" s="34" t="n">
        <f aca="false">SUMIFS('12.326ana'!$C:$C,'12.326ana'!$M:$M,redes!A8469)</f>
        <v>0</v>
      </c>
    </row>
    <row r="8470" customFormat="false" ht="14.4" hidden="true" customHeight="false" outlineLevel="0" collapsed="false">
      <c r="A8470" s="34" t="n">
        <v>4206945000115</v>
      </c>
      <c r="B8470" s="34" t="s">
        <v>17663</v>
      </c>
      <c r="C8470" s="34" t="s">
        <v>107</v>
      </c>
      <c r="E8470" s="30" t="s">
        <v>17664</v>
      </c>
      <c r="F8470" s="34" t="n">
        <f aca="false">IFERROR(VLOOKUP($A8470,'319'!$B:$H,7,0),0)</f>
        <v>0</v>
      </c>
      <c r="G8470" s="34" t="n">
        <f aca="false">SUMIFS('12.326ana'!$C:$C,'12.326ana'!$M:$M,redes!A8470)</f>
        <v>0</v>
      </c>
    </row>
    <row r="8471" customFormat="false" ht="14.4" hidden="true" customHeight="false" outlineLevel="0" collapsed="false">
      <c r="A8471" s="34" t="n">
        <v>4207481000161</v>
      </c>
      <c r="B8471" s="34" t="s">
        <v>17665</v>
      </c>
      <c r="C8471" s="34" t="s">
        <v>77</v>
      </c>
      <c r="E8471" s="30" t="s">
        <v>17666</v>
      </c>
      <c r="F8471" s="34" t="n">
        <f aca="false">IFERROR(VLOOKUP($A8471,'319'!$B:$H,7,0),0)</f>
        <v>0</v>
      </c>
      <c r="G8471" s="34" t="n">
        <f aca="false">SUMIFS('12.326ana'!$C:$C,'12.326ana'!$M:$M,redes!A8471)</f>
        <v>0</v>
      </c>
    </row>
    <row r="8472" customFormat="false" ht="14.4" hidden="true" customHeight="false" outlineLevel="0" collapsed="false">
      <c r="A8472" s="34" t="n">
        <v>4209861000135</v>
      </c>
      <c r="B8472" s="34" t="s">
        <v>17667</v>
      </c>
      <c r="C8472" s="34" t="s">
        <v>107</v>
      </c>
      <c r="E8472" s="30" t="s">
        <v>5266</v>
      </c>
      <c r="F8472" s="34" t="n">
        <f aca="false">IFERROR(VLOOKUP($A8472,'319'!$B:$H,7,0),0)</f>
        <v>0</v>
      </c>
      <c r="G8472" s="34" t="n">
        <f aca="false">SUMIFS('12.326ana'!$C:$C,'12.326ana'!$M:$M,redes!A8472)</f>
        <v>0</v>
      </c>
    </row>
    <row r="8473" customFormat="false" ht="14.4" hidden="true" customHeight="false" outlineLevel="0" collapsed="false">
      <c r="A8473" s="34" t="n">
        <v>4210796000168</v>
      </c>
      <c r="B8473" s="34" t="s">
        <v>17668</v>
      </c>
      <c r="C8473" s="34" t="s">
        <v>357</v>
      </c>
      <c r="E8473" s="30" t="s">
        <v>17669</v>
      </c>
      <c r="F8473" s="34" t="n">
        <f aca="false">IFERROR(VLOOKUP($A8473,'319'!$B:$H,7,0),0)</f>
        <v>0</v>
      </c>
      <c r="G8473" s="34" t="n">
        <f aca="false">SUMIFS('12.326ana'!$C:$C,'12.326ana'!$M:$M,redes!A8473)</f>
        <v>0</v>
      </c>
    </row>
    <row r="8474" customFormat="false" ht="14.4" hidden="true" customHeight="false" outlineLevel="0" collapsed="false">
      <c r="A8474" s="34" t="n">
        <v>4211486000168</v>
      </c>
      <c r="B8474" s="34" t="s">
        <v>17670</v>
      </c>
      <c r="C8474" s="34" t="s">
        <v>77</v>
      </c>
      <c r="E8474" s="30" t="s">
        <v>17671</v>
      </c>
      <c r="F8474" s="34" t="n">
        <f aca="false">IFERROR(VLOOKUP($A8474,'319'!$B:$H,7,0),0)</f>
        <v>0</v>
      </c>
      <c r="G8474" s="34" t="n">
        <f aca="false">SUMIFS('12.326ana'!$C:$C,'12.326ana'!$M:$M,redes!A8474)</f>
        <v>0</v>
      </c>
    </row>
    <row r="8475" customFormat="false" ht="14.4" hidden="true" customHeight="false" outlineLevel="0" collapsed="false">
      <c r="A8475" s="34" t="n">
        <v>4212134000127</v>
      </c>
      <c r="B8475" s="34" t="s">
        <v>17672</v>
      </c>
      <c r="C8475" s="34" t="s">
        <v>103</v>
      </c>
      <c r="E8475" s="30" t="s">
        <v>17673</v>
      </c>
      <c r="F8475" s="34" t="n">
        <f aca="false">IFERROR(VLOOKUP($A8475,'319'!$B:$H,7,0),0)</f>
        <v>0</v>
      </c>
      <c r="G8475" s="34" t="n">
        <f aca="false">SUMIFS('12.326ana'!$C:$C,'12.326ana'!$M:$M,redes!A8475)</f>
        <v>0</v>
      </c>
    </row>
    <row r="8476" customFormat="false" ht="14.4" hidden="true" customHeight="false" outlineLevel="0" collapsed="false">
      <c r="A8476" s="34" t="n">
        <v>4212149000195</v>
      </c>
      <c r="B8476" s="34" t="s">
        <v>17674</v>
      </c>
      <c r="C8476" s="34" t="s">
        <v>967</v>
      </c>
      <c r="E8476" s="30"/>
      <c r="F8476" s="34" t="n">
        <f aca="false">IFERROR(VLOOKUP($A8476,'319'!$B:$H,7,0),0)</f>
        <v>0</v>
      </c>
      <c r="G8476" s="34" t="n">
        <f aca="false">SUMIFS('12.326ana'!$C:$C,'12.326ana'!$M:$M,redes!A8476)</f>
        <v>0</v>
      </c>
    </row>
    <row r="8477" customFormat="false" ht="14.4" hidden="true" customHeight="false" outlineLevel="0" collapsed="false">
      <c r="A8477" s="34" t="n">
        <v>4215342000180</v>
      </c>
      <c r="B8477" s="34" t="s">
        <v>17675</v>
      </c>
      <c r="C8477" s="34" t="s">
        <v>475</v>
      </c>
      <c r="E8477" s="30" t="s">
        <v>17676</v>
      </c>
      <c r="F8477" s="34" t="n">
        <f aca="false">IFERROR(VLOOKUP($A8477,'319'!$B:$H,7,0),0)</f>
        <v>0</v>
      </c>
      <c r="G8477" s="34" t="n">
        <f aca="false">SUMIFS('12.326ana'!$C:$C,'12.326ana'!$M:$M,redes!A8477)</f>
        <v>0</v>
      </c>
    </row>
    <row r="8478" customFormat="false" ht="14.4" hidden="true" customHeight="false" outlineLevel="0" collapsed="false">
      <c r="A8478" s="34" t="n">
        <v>4215402000164</v>
      </c>
      <c r="B8478" s="34" t="s">
        <v>17677</v>
      </c>
      <c r="C8478" s="34" t="s">
        <v>562</v>
      </c>
      <c r="E8478" s="30" t="s">
        <v>17678</v>
      </c>
      <c r="F8478" s="34" t="n">
        <f aca="false">IFERROR(VLOOKUP($A8478,'319'!$B:$H,7,0),0)</f>
        <v>0</v>
      </c>
      <c r="G8478" s="34" t="n">
        <f aca="false">SUMIFS('12.326ana'!$C:$C,'12.326ana'!$M:$M,redes!A8478)</f>
        <v>0</v>
      </c>
    </row>
    <row r="8479" customFormat="false" ht="14.4" hidden="true" customHeight="false" outlineLevel="0" collapsed="false">
      <c r="A8479" s="34" t="n">
        <v>4217361000145</v>
      </c>
      <c r="B8479" s="34" t="s">
        <v>17679</v>
      </c>
      <c r="C8479" s="34" t="s">
        <v>127</v>
      </c>
      <c r="E8479" s="30" t="s">
        <v>17680</v>
      </c>
      <c r="F8479" s="34" t="n">
        <f aca="false">IFERROR(VLOOKUP($A8479,'319'!$B:$H,7,0),0)</f>
        <v>0</v>
      </c>
      <c r="G8479" s="34" t="n">
        <f aca="false">SUMIFS('12.326ana'!$C:$C,'12.326ana'!$M:$M,redes!A8479)</f>
        <v>0</v>
      </c>
    </row>
    <row r="8480" customFormat="false" ht="14.4" hidden="true" customHeight="false" outlineLevel="0" collapsed="false">
      <c r="A8480" s="34" t="n">
        <v>4225253000114</v>
      </c>
      <c r="B8480" s="34" t="s">
        <v>17681</v>
      </c>
      <c r="C8480" s="34" t="s">
        <v>77</v>
      </c>
      <c r="E8480" s="30" t="s">
        <v>17682</v>
      </c>
      <c r="F8480" s="34" t="n">
        <f aca="false">IFERROR(VLOOKUP($A8480,'319'!$B:$H,7,0),0)</f>
        <v>0</v>
      </c>
      <c r="G8480" s="34" t="n">
        <f aca="false">SUMIFS('12.326ana'!$C:$C,'12.326ana'!$M:$M,redes!A8480)</f>
        <v>0</v>
      </c>
    </row>
    <row r="8481" customFormat="false" ht="14.4" hidden="true" customHeight="false" outlineLevel="0" collapsed="false">
      <c r="A8481" s="34" t="n">
        <v>4226532000100</v>
      </c>
      <c r="B8481" s="34" t="s">
        <v>17683</v>
      </c>
      <c r="C8481" s="34" t="s">
        <v>77</v>
      </c>
      <c r="E8481" s="30" t="s">
        <v>17684</v>
      </c>
      <c r="F8481" s="34" t="n">
        <f aca="false">IFERROR(VLOOKUP($A8481,'319'!$B:$H,7,0),0)</f>
        <v>0</v>
      </c>
      <c r="G8481" s="34" t="n">
        <f aca="false">SUMIFS('12.326ana'!$C:$C,'12.326ana'!$M:$M,redes!A8481)</f>
        <v>0</v>
      </c>
    </row>
    <row r="8482" customFormat="false" ht="14.4" hidden="true" customHeight="false" outlineLevel="0" collapsed="false">
      <c r="A8482" s="34" t="n">
        <v>4227178000120</v>
      </c>
      <c r="B8482" s="34" t="s">
        <v>17685</v>
      </c>
      <c r="C8482" s="34" t="s">
        <v>357</v>
      </c>
      <c r="E8482" s="30" t="s">
        <v>17686</v>
      </c>
      <c r="F8482" s="34" t="n">
        <f aca="false">IFERROR(VLOOKUP($A8482,'319'!$B:$H,7,0),0)</f>
        <v>0</v>
      </c>
      <c r="G8482" s="34" t="n">
        <f aca="false">SUMIFS('12.326ana'!$C:$C,'12.326ana'!$M:$M,redes!A8482)</f>
        <v>0</v>
      </c>
    </row>
    <row r="8483" customFormat="false" ht="14.4" hidden="true" customHeight="false" outlineLevel="0" collapsed="false">
      <c r="A8483" s="34" t="n">
        <v>4228046000113</v>
      </c>
      <c r="B8483" s="34" t="s">
        <v>17687</v>
      </c>
      <c r="C8483" s="34" t="s">
        <v>89</v>
      </c>
      <c r="E8483" s="30" t="s">
        <v>17688</v>
      </c>
      <c r="F8483" s="34" t="n">
        <f aca="false">IFERROR(VLOOKUP($A8483,'319'!$B:$H,7,0),0)</f>
        <v>0</v>
      </c>
      <c r="G8483" s="34" t="n">
        <f aca="false">SUMIFS('12.326ana'!$C:$C,'12.326ana'!$M:$M,redes!A8483)</f>
        <v>0</v>
      </c>
    </row>
    <row r="8484" customFormat="false" ht="14.4" hidden="true" customHeight="false" outlineLevel="0" collapsed="false">
      <c r="A8484" s="34" t="n">
        <v>4229232000177</v>
      </c>
      <c r="B8484" s="34" t="s">
        <v>17689</v>
      </c>
      <c r="C8484" s="34" t="s">
        <v>342</v>
      </c>
      <c r="E8484" s="30" t="s">
        <v>13233</v>
      </c>
      <c r="F8484" s="34" t="n">
        <f aca="false">IFERROR(VLOOKUP($A8484,'319'!$B:$H,7,0),0)</f>
        <v>0</v>
      </c>
      <c r="G8484" s="34" t="n">
        <f aca="false">SUMIFS('12.326ana'!$C:$C,'12.326ana'!$M:$M,redes!A8484)</f>
        <v>0</v>
      </c>
    </row>
    <row r="8485" customFormat="false" ht="14.4" hidden="true" customHeight="false" outlineLevel="0" collapsed="false">
      <c r="A8485" s="34" t="n">
        <v>4229513000120</v>
      </c>
      <c r="B8485" s="34" t="s">
        <v>17690</v>
      </c>
      <c r="C8485" s="34" t="s">
        <v>77</v>
      </c>
      <c r="E8485" s="30" t="s">
        <v>4531</v>
      </c>
      <c r="F8485" s="34" t="n">
        <f aca="false">IFERROR(VLOOKUP($A8485,'319'!$B:$H,7,0),0)</f>
        <v>0</v>
      </c>
      <c r="G8485" s="34" t="n">
        <f aca="false">SUMIFS('12.326ana'!$C:$C,'12.326ana'!$M:$M,redes!A8485)</f>
        <v>0</v>
      </c>
    </row>
    <row r="8486" customFormat="false" ht="14.4" hidden="true" customHeight="false" outlineLevel="0" collapsed="false">
      <c r="A8486" s="34" t="n">
        <v>4230016000141</v>
      </c>
      <c r="B8486" s="34" t="s">
        <v>17691</v>
      </c>
      <c r="C8486" s="34" t="s">
        <v>842</v>
      </c>
      <c r="E8486" s="30" t="s">
        <v>17692</v>
      </c>
      <c r="F8486" s="34" t="n">
        <f aca="false">IFERROR(VLOOKUP($A8486,'319'!$B:$H,7,0),0)</f>
        <v>0</v>
      </c>
      <c r="G8486" s="34" t="n">
        <f aca="false">SUMIFS('12.326ana'!$C:$C,'12.326ana'!$M:$M,redes!A8486)</f>
        <v>0</v>
      </c>
    </row>
    <row r="8487" customFormat="false" ht="14.4" hidden="true" customHeight="false" outlineLevel="0" collapsed="false">
      <c r="A8487" s="34" t="n">
        <v>4231645000196</v>
      </c>
      <c r="B8487" s="34" t="s">
        <v>17693</v>
      </c>
      <c r="C8487" s="34" t="s">
        <v>77</v>
      </c>
      <c r="D8487" s="34" t="s">
        <v>4797</v>
      </c>
      <c r="E8487" s="30" t="s">
        <v>17694</v>
      </c>
      <c r="F8487" s="34" t="n">
        <f aca="false">IFERROR(VLOOKUP($A8487,'319'!$B:$H,7,0),0)</f>
        <v>0</v>
      </c>
      <c r="G8487" s="34" t="n">
        <f aca="false">SUMIFS('12.326ana'!$C:$C,'12.326ana'!$M:$M,redes!A8487)</f>
        <v>0</v>
      </c>
    </row>
    <row r="8488" customFormat="false" ht="14.4" hidden="true" customHeight="false" outlineLevel="0" collapsed="false">
      <c r="A8488" s="34" t="n">
        <v>4231995000152</v>
      </c>
      <c r="B8488" s="34" t="s">
        <v>17695</v>
      </c>
      <c r="C8488" s="34" t="s">
        <v>781</v>
      </c>
      <c r="E8488" s="30" t="s">
        <v>7826</v>
      </c>
      <c r="F8488" s="34" t="n">
        <f aca="false">IFERROR(VLOOKUP($A8488,'319'!$B:$H,7,0),0)</f>
        <v>0</v>
      </c>
      <c r="G8488" s="34" t="n">
        <f aca="false">SUMIFS('12.326ana'!$C:$C,'12.326ana'!$M:$M,redes!A8488)</f>
        <v>0</v>
      </c>
    </row>
    <row r="8489" customFormat="false" ht="14.4" hidden="true" customHeight="false" outlineLevel="0" collapsed="false">
      <c r="A8489" s="34" t="n">
        <v>4232156000159</v>
      </c>
      <c r="B8489" s="34" t="s">
        <v>17696</v>
      </c>
      <c r="C8489" s="34" t="s">
        <v>598</v>
      </c>
      <c r="E8489" s="30" t="s">
        <v>17697</v>
      </c>
      <c r="F8489" s="34" t="n">
        <f aca="false">IFERROR(VLOOKUP($A8489,'319'!$B:$H,7,0),0)</f>
        <v>0</v>
      </c>
      <c r="G8489" s="34" t="n">
        <f aca="false">SUMIFS('12.326ana'!$C:$C,'12.326ana'!$M:$M,redes!A8489)</f>
        <v>0</v>
      </c>
    </row>
    <row r="8490" customFormat="false" ht="14.4" hidden="true" customHeight="false" outlineLevel="0" collapsed="false">
      <c r="A8490" s="34" t="n">
        <v>4233251000177</v>
      </c>
      <c r="B8490" s="34" t="s">
        <v>17698</v>
      </c>
      <c r="C8490" s="34" t="s">
        <v>881</v>
      </c>
      <c r="E8490" s="30" t="s">
        <v>8490</v>
      </c>
      <c r="F8490" s="34" t="n">
        <f aca="false">IFERROR(VLOOKUP($A8490,'319'!$B:$H,7,0),0)</f>
        <v>0</v>
      </c>
      <c r="G8490" s="34" t="n">
        <f aca="false">SUMIFS('12.326ana'!$C:$C,'12.326ana'!$M:$M,redes!A8490)</f>
        <v>0</v>
      </c>
    </row>
    <row r="8491" customFormat="false" ht="14.4" hidden="true" customHeight="false" outlineLevel="0" collapsed="false">
      <c r="A8491" s="34" t="n">
        <v>4233865000159</v>
      </c>
      <c r="B8491" s="34" t="s">
        <v>17699</v>
      </c>
      <c r="C8491" s="34" t="s">
        <v>77</v>
      </c>
      <c r="E8491" s="30" t="s">
        <v>17700</v>
      </c>
      <c r="F8491" s="34" t="n">
        <f aca="false">IFERROR(VLOOKUP($A8491,'319'!$B:$H,7,0),0)</f>
        <v>0</v>
      </c>
      <c r="G8491" s="34" t="n">
        <f aca="false">SUMIFS('12.326ana'!$C:$C,'12.326ana'!$M:$M,redes!A8491)</f>
        <v>0</v>
      </c>
    </row>
    <row r="8492" customFormat="false" ht="14.4" hidden="true" customHeight="false" outlineLevel="0" collapsed="false">
      <c r="A8492" s="34" t="n">
        <v>4235544000193</v>
      </c>
      <c r="B8492" s="34" t="s">
        <v>17701</v>
      </c>
      <c r="C8492" s="34" t="s">
        <v>962</v>
      </c>
      <c r="E8492" s="30" t="s">
        <v>17702</v>
      </c>
      <c r="F8492" s="34" t="n">
        <f aca="false">IFERROR(VLOOKUP($A8492,'319'!$B:$H,7,0),0)</f>
        <v>0</v>
      </c>
      <c r="G8492" s="34" t="n">
        <f aca="false">SUMIFS('12.326ana'!$C:$C,'12.326ana'!$M:$M,redes!A8492)</f>
        <v>0</v>
      </c>
    </row>
    <row r="8493" customFormat="false" ht="14.4" hidden="true" customHeight="false" outlineLevel="0" collapsed="false">
      <c r="A8493" s="34" t="n">
        <v>4236277000179</v>
      </c>
      <c r="B8493" s="34" t="s">
        <v>17703</v>
      </c>
      <c r="C8493" s="34" t="s">
        <v>1341</v>
      </c>
      <c r="E8493" s="30" t="s">
        <v>17704</v>
      </c>
      <c r="F8493" s="34" t="n">
        <f aca="false">IFERROR(VLOOKUP($A8493,'319'!$B:$H,7,0),0)</f>
        <v>0</v>
      </c>
      <c r="G8493" s="34" t="n">
        <f aca="false">SUMIFS('12.326ana'!$C:$C,'12.326ana'!$M:$M,redes!A8493)</f>
        <v>0</v>
      </c>
    </row>
    <row r="8494" customFormat="false" ht="14.4" hidden="true" customHeight="false" outlineLevel="0" collapsed="false">
      <c r="A8494" s="34" t="n">
        <v>4237820000152</v>
      </c>
      <c r="B8494" s="34" t="s">
        <v>17705</v>
      </c>
      <c r="C8494" s="34" t="s">
        <v>604</v>
      </c>
      <c r="E8494" s="30" t="s">
        <v>17706</v>
      </c>
      <c r="F8494" s="34" t="n">
        <f aca="false">IFERROR(VLOOKUP($A8494,'319'!$B:$H,7,0),0)</f>
        <v>0</v>
      </c>
      <c r="G8494" s="34" t="n">
        <f aca="false">SUMIFS('12.326ana'!$C:$C,'12.326ana'!$M:$M,redes!A8494)</f>
        <v>0</v>
      </c>
    </row>
    <row r="8495" customFormat="false" ht="14.4" hidden="true" customHeight="false" outlineLevel="0" collapsed="false">
      <c r="A8495" s="34" t="n">
        <v>4237894000199</v>
      </c>
      <c r="B8495" s="34" t="s">
        <v>17707</v>
      </c>
      <c r="C8495" s="34" t="s">
        <v>77</v>
      </c>
      <c r="E8495" s="30" t="s">
        <v>7071</v>
      </c>
      <c r="F8495" s="34" t="n">
        <f aca="false">IFERROR(VLOOKUP($A8495,'319'!$B:$H,7,0),0)</f>
        <v>0</v>
      </c>
      <c r="G8495" s="34" t="n">
        <f aca="false">SUMIFS('12.326ana'!$C:$C,'12.326ana'!$M:$M,redes!A8495)</f>
        <v>0</v>
      </c>
    </row>
    <row r="8496" customFormat="false" ht="14.4" hidden="true" customHeight="false" outlineLevel="0" collapsed="false">
      <c r="A8496" s="34" t="n">
        <v>4238493000153</v>
      </c>
      <c r="B8496" s="34" t="s">
        <v>17708</v>
      </c>
      <c r="C8496" s="34" t="s">
        <v>77</v>
      </c>
      <c r="E8496" s="30" t="s">
        <v>17709</v>
      </c>
      <c r="F8496" s="34" t="n">
        <f aca="false">IFERROR(VLOOKUP($A8496,'319'!$B:$H,7,0),0)</f>
        <v>0</v>
      </c>
      <c r="G8496" s="34" t="n">
        <f aca="false">SUMIFS('12.326ana'!$C:$C,'12.326ana'!$M:$M,redes!A8496)</f>
        <v>0</v>
      </c>
    </row>
    <row r="8497" customFormat="false" ht="14.4" hidden="true" customHeight="false" outlineLevel="0" collapsed="false">
      <c r="A8497" s="34" t="n">
        <v>4239120000105</v>
      </c>
      <c r="B8497" s="34" t="s">
        <v>17710</v>
      </c>
      <c r="C8497" s="34" t="s">
        <v>842</v>
      </c>
      <c r="E8497" s="30" t="s">
        <v>17711</v>
      </c>
      <c r="F8497" s="34" t="n">
        <f aca="false">IFERROR(VLOOKUP($A8497,'319'!$B:$H,7,0),0)</f>
        <v>0</v>
      </c>
      <c r="G8497" s="34" t="n">
        <f aca="false">SUMIFS('12.326ana'!$C:$C,'12.326ana'!$M:$M,redes!A8497)</f>
        <v>0</v>
      </c>
    </row>
    <row r="8498" customFormat="false" ht="14.4" hidden="true" customHeight="false" outlineLevel="0" collapsed="false">
      <c r="A8498" s="34" t="n">
        <v>4240755000114</v>
      </c>
      <c r="B8498" s="34" t="s">
        <v>17712</v>
      </c>
      <c r="C8498" s="34" t="s">
        <v>77</v>
      </c>
      <c r="E8498" s="30" t="s">
        <v>17713</v>
      </c>
      <c r="F8498" s="34" t="n">
        <f aca="false">IFERROR(VLOOKUP($A8498,'319'!$B:$H,7,0),0)</f>
        <v>0</v>
      </c>
      <c r="G8498" s="34" t="n">
        <f aca="false">SUMIFS('12.326ana'!$C:$C,'12.326ana'!$M:$M,redes!A8498)</f>
        <v>0</v>
      </c>
    </row>
    <row r="8499" customFormat="false" ht="14.4" hidden="true" customHeight="false" outlineLevel="0" collapsed="false">
      <c r="A8499" s="34" t="n">
        <v>4242617000174</v>
      </c>
      <c r="B8499" s="34" t="s">
        <v>17714</v>
      </c>
      <c r="C8499" s="34" t="s">
        <v>77</v>
      </c>
      <c r="E8499" s="30"/>
      <c r="F8499" s="34" t="n">
        <f aca="false">IFERROR(VLOOKUP($A8499,'319'!$B:$H,7,0),0)</f>
        <v>0</v>
      </c>
      <c r="G8499" s="34" t="n">
        <f aca="false">SUMIFS('12.326ana'!$C:$C,'12.326ana'!$M:$M,redes!A8499)</f>
        <v>0</v>
      </c>
    </row>
    <row r="8500" customFormat="false" ht="14.4" hidden="true" customHeight="false" outlineLevel="0" collapsed="false">
      <c r="A8500" s="34" t="n">
        <v>4244076000113</v>
      </c>
      <c r="B8500" s="34" t="s">
        <v>17715</v>
      </c>
      <c r="C8500" s="34" t="s">
        <v>604</v>
      </c>
      <c r="E8500" s="30" t="s">
        <v>3001</v>
      </c>
      <c r="F8500" s="34" t="n">
        <f aca="false">IFERROR(VLOOKUP($A8500,'319'!$B:$H,7,0),0)</f>
        <v>0</v>
      </c>
      <c r="G8500" s="34" t="n">
        <f aca="false">SUMIFS('12.326ana'!$C:$C,'12.326ana'!$M:$M,redes!A8500)</f>
        <v>0</v>
      </c>
    </row>
    <row r="8501" customFormat="false" ht="14.4" hidden="true" customHeight="false" outlineLevel="0" collapsed="false">
      <c r="A8501" s="34" t="n">
        <v>4244586000190</v>
      </c>
      <c r="B8501" s="34" t="s">
        <v>17716</v>
      </c>
      <c r="C8501" s="34" t="s">
        <v>4829</v>
      </c>
      <c r="E8501" s="30" t="s">
        <v>11054</v>
      </c>
      <c r="F8501" s="34" t="n">
        <f aca="false">IFERROR(VLOOKUP($A8501,'319'!$B:$H,7,0),0)</f>
        <v>0</v>
      </c>
      <c r="G8501" s="34" t="n">
        <f aca="false">SUMIFS('12.326ana'!$C:$C,'12.326ana'!$M:$M,redes!A8501)</f>
        <v>0</v>
      </c>
    </row>
    <row r="8502" customFormat="false" ht="14.4" hidden="true" customHeight="false" outlineLevel="0" collapsed="false">
      <c r="A8502" s="34" t="n">
        <v>4244753000101</v>
      </c>
      <c r="B8502" s="34" t="s">
        <v>17717</v>
      </c>
      <c r="C8502" s="34" t="s">
        <v>721</v>
      </c>
      <c r="E8502" s="30" t="s">
        <v>17718</v>
      </c>
      <c r="F8502" s="34" t="n">
        <f aca="false">IFERROR(VLOOKUP($A8502,'319'!$B:$H,7,0),0)</f>
        <v>0</v>
      </c>
      <c r="G8502" s="34" t="n">
        <f aca="false">SUMIFS('12.326ana'!$C:$C,'12.326ana'!$M:$M,redes!A8502)</f>
        <v>0</v>
      </c>
    </row>
    <row r="8503" customFormat="false" ht="14.4" hidden="true" customHeight="false" outlineLevel="0" collapsed="false">
      <c r="A8503" s="35" t="n">
        <v>4245016000115</v>
      </c>
      <c r="B8503" s="34" t="s">
        <v>17719</v>
      </c>
      <c r="C8503" s="34" t="s">
        <v>77</v>
      </c>
      <c r="E8503" s="30" t="s">
        <v>17720</v>
      </c>
      <c r="F8503" s="34" t="n">
        <f aca="false">IFERROR(VLOOKUP($A8503,'319'!$B:$H,7,0),0)</f>
        <v>0</v>
      </c>
      <c r="G8503" s="34" t="n">
        <f aca="false">SUMIFS('12.326ana'!$C:$C,'12.326ana'!$M:$M,redes!A8503)</f>
        <v>0</v>
      </c>
    </row>
    <row r="8504" customFormat="false" ht="14.4" hidden="true" customHeight="false" outlineLevel="0" collapsed="false">
      <c r="A8504" s="34" t="n">
        <v>4245099000142</v>
      </c>
      <c r="B8504" s="34" t="s">
        <v>17721</v>
      </c>
      <c r="C8504" s="34" t="s">
        <v>1591</v>
      </c>
      <c r="E8504" s="30" t="s">
        <v>17722</v>
      </c>
      <c r="F8504" s="34" t="n">
        <f aca="false">IFERROR(VLOOKUP($A8504,'319'!$B:$H,7,0),0)</f>
        <v>0</v>
      </c>
      <c r="G8504" s="34" t="n">
        <f aca="false">SUMIFS('12.326ana'!$C:$C,'12.326ana'!$M:$M,redes!A8504)</f>
        <v>0</v>
      </c>
    </row>
    <row r="8505" customFormat="false" ht="14.4" hidden="true" customHeight="false" outlineLevel="0" collapsed="false">
      <c r="A8505" s="35" t="n">
        <v>4247107000190</v>
      </c>
      <c r="B8505" s="34" t="s">
        <v>17723</v>
      </c>
      <c r="C8505" s="34" t="s">
        <v>781</v>
      </c>
      <c r="E8505" s="30" t="s">
        <v>17724</v>
      </c>
      <c r="F8505" s="34" t="n">
        <f aca="false">IFERROR(VLOOKUP($A8505,'319'!$B:$H,7,0),0)</f>
        <v>0</v>
      </c>
      <c r="G8505" s="34" t="n">
        <f aca="false">SUMIFS('12.326ana'!$C:$C,'12.326ana'!$M:$M,redes!A8505)</f>
        <v>0</v>
      </c>
    </row>
    <row r="8506" customFormat="false" ht="14.4" hidden="true" customHeight="false" outlineLevel="0" collapsed="false">
      <c r="A8506" s="34" t="n">
        <v>4247695000161</v>
      </c>
      <c r="B8506" s="34" t="s">
        <v>17725</v>
      </c>
      <c r="C8506" s="34" t="s">
        <v>77</v>
      </c>
      <c r="E8506" s="30" t="s">
        <v>17726</v>
      </c>
      <c r="F8506" s="34" t="n">
        <f aca="false">IFERROR(VLOOKUP($A8506,'319'!$B:$H,7,0),0)</f>
        <v>0</v>
      </c>
      <c r="G8506" s="34" t="n">
        <f aca="false">SUMIFS('12.326ana'!$C:$C,'12.326ana'!$M:$M,redes!A8506)</f>
        <v>0</v>
      </c>
    </row>
    <row r="8507" customFormat="false" ht="14.4" hidden="true" customHeight="false" outlineLevel="0" collapsed="false">
      <c r="A8507" s="34" t="n">
        <v>4248248000127</v>
      </c>
      <c r="B8507" s="34" t="s">
        <v>17727</v>
      </c>
      <c r="C8507" s="34" t="s">
        <v>89</v>
      </c>
      <c r="E8507" s="30" t="s">
        <v>17728</v>
      </c>
      <c r="F8507" s="34" t="n">
        <f aca="false">IFERROR(VLOOKUP($A8507,'319'!$B:$H,7,0),0)</f>
        <v>0</v>
      </c>
      <c r="G8507" s="34" t="n">
        <f aca="false">SUMIFS('12.326ana'!$C:$C,'12.326ana'!$M:$M,redes!A8507)</f>
        <v>0</v>
      </c>
    </row>
    <row r="8508" customFormat="false" ht="14.4" hidden="true" customHeight="false" outlineLevel="0" collapsed="false">
      <c r="A8508" s="34" t="n">
        <v>4251519000101</v>
      </c>
      <c r="B8508" s="34" t="s">
        <v>768</v>
      </c>
      <c r="C8508" s="34" t="s">
        <v>351</v>
      </c>
      <c r="E8508" s="30" t="s">
        <v>17729</v>
      </c>
      <c r="F8508" s="34" t="n">
        <f aca="false">IFERROR(VLOOKUP($A8508,'319'!$B:$H,7,0),0)</f>
        <v>3556.41</v>
      </c>
      <c r="G8508" s="34" t="n">
        <f aca="false">SUMIFS('12.326ana'!$C:$C,'12.326ana'!$M:$M,redes!A8508)</f>
        <v>0</v>
      </c>
    </row>
    <row r="8509" customFormat="false" ht="14.4" hidden="true" customHeight="false" outlineLevel="0" collapsed="false">
      <c r="A8509" s="34" t="n">
        <v>4252548000180</v>
      </c>
      <c r="B8509" s="34" t="s">
        <v>17730</v>
      </c>
      <c r="C8509" s="34" t="s">
        <v>77</v>
      </c>
      <c r="E8509" s="30" t="s">
        <v>14046</v>
      </c>
      <c r="F8509" s="34" t="n">
        <f aca="false">IFERROR(VLOOKUP($A8509,'319'!$B:$H,7,0),0)</f>
        <v>0</v>
      </c>
      <c r="G8509" s="34" t="n">
        <f aca="false">SUMIFS('12.326ana'!$C:$C,'12.326ana'!$M:$M,redes!A8509)</f>
        <v>0</v>
      </c>
    </row>
    <row r="8510" customFormat="false" ht="14.4" hidden="true" customHeight="false" outlineLevel="0" collapsed="false">
      <c r="A8510" s="34" t="n">
        <v>4253842000106</v>
      </c>
      <c r="B8510" s="34" t="s">
        <v>17731</v>
      </c>
      <c r="C8510" s="34" t="s">
        <v>77</v>
      </c>
      <c r="E8510" s="30" t="s">
        <v>17732</v>
      </c>
      <c r="F8510" s="34" t="n">
        <f aca="false">IFERROR(VLOOKUP($A8510,'319'!$B:$H,7,0),0)</f>
        <v>0</v>
      </c>
      <c r="G8510" s="34" t="n">
        <f aca="false">SUMIFS('12.326ana'!$C:$C,'12.326ana'!$M:$M,redes!A8510)</f>
        <v>0</v>
      </c>
    </row>
    <row r="8511" customFormat="false" ht="14.4" hidden="true" customHeight="false" outlineLevel="0" collapsed="false">
      <c r="A8511" s="34" t="n">
        <v>4255479000168</v>
      </c>
      <c r="B8511" s="34" t="s">
        <v>17733</v>
      </c>
      <c r="C8511" s="34" t="s">
        <v>342</v>
      </c>
      <c r="E8511" s="30" t="s">
        <v>6631</v>
      </c>
      <c r="F8511" s="34" t="n">
        <f aca="false">IFERROR(VLOOKUP($A8511,'319'!$B:$H,7,0),0)</f>
        <v>0</v>
      </c>
      <c r="G8511" s="34" t="n">
        <f aca="false">SUMIFS('12.326ana'!$C:$C,'12.326ana'!$M:$M,redes!A8511)</f>
        <v>0</v>
      </c>
    </row>
    <row r="8512" customFormat="false" ht="14.4" hidden="true" customHeight="false" outlineLevel="0" collapsed="false">
      <c r="A8512" s="34" t="n">
        <v>4256482000104</v>
      </c>
      <c r="B8512" s="34" t="s">
        <v>17734</v>
      </c>
      <c r="C8512" s="34" t="s">
        <v>117</v>
      </c>
      <c r="E8512" s="30" t="s">
        <v>17735</v>
      </c>
      <c r="F8512" s="34" t="n">
        <f aca="false">IFERROR(VLOOKUP($A8512,'319'!$B:$H,7,0),0)</f>
        <v>0</v>
      </c>
      <c r="G8512" s="34" t="n">
        <f aca="false">SUMIFS('12.326ana'!$C:$C,'12.326ana'!$M:$M,redes!A8512)</f>
        <v>0</v>
      </c>
    </row>
    <row r="8513" customFormat="false" ht="14.4" hidden="true" customHeight="false" outlineLevel="0" collapsed="false">
      <c r="A8513" s="34" t="n">
        <v>4259166000188</v>
      </c>
      <c r="B8513" s="34" t="s">
        <v>17736</v>
      </c>
      <c r="C8513" s="34" t="s">
        <v>463</v>
      </c>
      <c r="E8513" s="30" t="s">
        <v>17737</v>
      </c>
      <c r="F8513" s="34" t="n">
        <f aca="false">IFERROR(VLOOKUP($A8513,'319'!$B:$H,7,0),0)</f>
        <v>0</v>
      </c>
      <c r="G8513" s="34" t="n">
        <f aca="false">SUMIFS('12.326ana'!$C:$C,'12.326ana'!$M:$M,redes!A8513)</f>
        <v>0</v>
      </c>
    </row>
    <row r="8514" customFormat="false" ht="14.4" hidden="true" customHeight="false" outlineLevel="0" collapsed="false">
      <c r="A8514" s="34" t="n">
        <v>4259166000269</v>
      </c>
      <c r="B8514" s="34" t="s">
        <v>17738</v>
      </c>
      <c r="C8514" s="34" t="s">
        <v>463</v>
      </c>
      <c r="E8514" s="30" t="s">
        <v>17739</v>
      </c>
      <c r="F8514" s="34" t="n">
        <f aca="false">IFERROR(VLOOKUP($A8514,'319'!$B:$H,7,0),0)</f>
        <v>0</v>
      </c>
      <c r="G8514" s="34" t="n">
        <f aca="false">SUMIFS('12.326ana'!$C:$C,'12.326ana'!$M:$M,redes!A8514)</f>
        <v>0</v>
      </c>
    </row>
    <row r="8515" customFormat="false" ht="14.4" hidden="true" customHeight="false" outlineLevel="0" collapsed="false">
      <c r="A8515" s="34" t="n">
        <v>4259723000160</v>
      </c>
      <c r="B8515" s="34" t="s">
        <v>17740</v>
      </c>
      <c r="C8515" s="34" t="s">
        <v>17741</v>
      </c>
      <c r="E8515" s="30" t="s">
        <v>17742</v>
      </c>
      <c r="F8515" s="34" t="n">
        <f aca="false">IFERROR(VLOOKUP($A8515,'319'!$B:$H,7,0),0)</f>
        <v>0</v>
      </c>
      <c r="G8515" s="34" t="n">
        <f aca="false">SUMIFS('12.326ana'!$C:$C,'12.326ana'!$M:$M,redes!A8515)</f>
        <v>0</v>
      </c>
    </row>
    <row r="8516" customFormat="false" ht="14.4" hidden="true" customHeight="false" outlineLevel="0" collapsed="false">
      <c r="A8516" s="34" t="n">
        <v>4261607000186</v>
      </c>
      <c r="B8516" s="34" t="s">
        <v>17743</v>
      </c>
      <c r="C8516" s="34" t="s">
        <v>77</v>
      </c>
      <c r="E8516" s="30" t="s">
        <v>5428</v>
      </c>
      <c r="F8516" s="34" t="n">
        <f aca="false">IFERROR(VLOOKUP($A8516,'319'!$B:$H,7,0),0)</f>
        <v>0</v>
      </c>
      <c r="G8516" s="34" t="n">
        <f aca="false">SUMIFS('12.326ana'!$C:$C,'12.326ana'!$M:$M,redes!A8516)</f>
        <v>0</v>
      </c>
    </row>
    <row r="8517" customFormat="false" ht="14.4" hidden="true" customHeight="false" outlineLevel="0" collapsed="false">
      <c r="A8517" s="34" t="n">
        <v>4261607000348</v>
      </c>
      <c r="B8517" s="34" t="s">
        <v>17743</v>
      </c>
      <c r="C8517" s="34" t="s">
        <v>77</v>
      </c>
      <c r="E8517" s="30" t="s">
        <v>17744</v>
      </c>
      <c r="F8517" s="34" t="n">
        <f aca="false">IFERROR(VLOOKUP($A8517,'319'!$B:$H,7,0),0)</f>
        <v>0</v>
      </c>
      <c r="G8517" s="34" t="n">
        <f aca="false">SUMIFS('12.326ana'!$C:$C,'12.326ana'!$M:$M,redes!A8517)</f>
        <v>0</v>
      </c>
    </row>
    <row r="8518" customFormat="false" ht="14.4" hidden="true" customHeight="false" outlineLevel="0" collapsed="false">
      <c r="A8518" s="34" t="n">
        <v>4263576000100</v>
      </c>
      <c r="B8518" s="34" t="s">
        <v>17745</v>
      </c>
      <c r="C8518" s="34" t="s">
        <v>881</v>
      </c>
      <c r="E8518" s="30" t="s">
        <v>17746</v>
      </c>
      <c r="F8518" s="34" t="n">
        <f aca="false">IFERROR(VLOOKUP($A8518,'319'!$B:$H,7,0),0)</f>
        <v>0</v>
      </c>
      <c r="G8518" s="34" t="n">
        <f aca="false">SUMIFS('12.326ana'!$C:$C,'12.326ana'!$M:$M,redes!A8518)</f>
        <v>0</v>
      </c>
    </row>
    <row r="8519" customFormat="false" ht="14.4" hidden="true" customHeight="false" outlineLevel="0" collapsed="false">
      <c r="A8519" s="34" t="n">
        <v>4265309000164</v>
      </c>
      <c r="B8519" s="34" t="s">
        <v>2791</v>
      </c>
      <c r="C8519" s="34" t="s">
        <v>213</v>
      </c>
      <c r="D8519" s="34" t="s">
        <v>28</v>
      </c>
      <c r="E8519" s="30" t="s">
        <v>2792</v>
      </c>
      <c r="F8519" s="34" t="n">
        <f aca="false">IFERROR(VLOOKUP($A8519,'319'!$B:$H,7,0),0)</f>
        <v>0</v>
      </c>
      <c r="G8519" s="34" t="n">
        <f aca="false">SUMIFS('12.326ana'!$C:$C,'12.326ana'!$M:$M,redes!A8519)</f>
        <v>0</v>
      </c>
    </row>
    <row r="8520" customFormat="false" ht="14.4" hidden="true" customHeight="false" outlineLevel="0" collapsed="false">
      <c r="A8520" s="34" t="n">
        <v>4265309000326</v>
      </c>
      <c r="B8520" s="34" t="s">
        <v>17747</v>
      </c>
      <c r="C8520" s="34" t="s">
        <v>213</v>
      </c>
      <c r="D8520" s="34" t="s">
        <v>12388</v>
      </c>
      <c r="E8520" s="30" t="s">
        <v>17748</v>
      </c>
      <c r="F8520" s="34" t="n">
        <f aca="false">IFERROR(VLOOKUP($A8520,'319'!$B:$H,7,0),0)</f>
        <v>0</v>
      </c>
      <c r="G8520" s="34" t="n">
        <f aca="false">SUMIFS('12.326ana'!$C:$C,'12.326ana'!$M:$M,redes!A8520)</f>
        <v>0</v>
      </c>
    </row>
    <row r="8521" customFormat="false" ht="14.4" hidden="true" customHeight="false" outlineLevel="0" collapsed="false">
      <c r="A8521" s="34" t="n">
        <v>4265309000407</v>
      </c>
      <c r="B8521" s="34" t="s">
        <v>2791</v>
      </c>
      <c r="C8521" s="34" t="s">
        <v>1272</v>
      </c>
      <c r="D8521" s="34" t="s">
        <v>28</v>
      </c>
      <c r="E8521" s="30" t="s">
        <v>2793</v>
      </c>
      <c r="F8521" s="34" t="n">
        <f aca="false">IFERROR(VLOOKUP($A8521,'319'!$B:$H,7,0),0)</f>
        <v>0</v>
      </c>
      <c r="G8521" s="34" t="n">
        <f aca="false">SUMIFS('12.326ana'!$C:$C,'12.326ana'!$M:$M,redes!A8521)</f>
        <v>0</v>
      </c>
    </row>
    <row r="8522" customFormat="false" ht="14.4" hidden="true" customHeight="false" outlineLevel="0" collapsed="false">
      <c r="A8522" s="34" t="n">
        <v>4265337000181</v>
      </c>
      <c r="B8522" s="34" t="s">
        <v>17749</v>
      </c>
      <c r="C8522" s="34" t="s">
        <v>77</v>
      </c>
      <c r="E8522" s="30" t="s">
        <v>17750</v>
      </c>
      <c r="F8522" s="34" t="n">
        <f aca="false">IFERROR(VLOOKUP($A8522,'319'!$B:$H,7,0),0)</f>
        <v>0</v>
      </c>
      <c r="G8522" s="34" t="n">
        <f aca="false">SUMIFS('12.326ana'!$C:$C,'12.326ana'!$M:$M,redes!A8522)</f>
        <v>0</v>
      </c>
    </row>
    <row r="8523" customFormat="false" ht="14.4" hidden="true" customHeight="false" outlineLevel="0" collapsed="false">
      <c r="A8523" s="34" t="n">
        <v>4266929000118</v>
      </c>
      <c r="B8523" s="34" t="s">
        <v>17751</v>
      </c>
      <c r="C8523" s="34" t="s">
        <v>89</v>
      </c>
      <c r="E8523" s="30" t="s">
        <v>17752</v>
      </c>
      <c r="F8523" s="34" t="n">
        <f aca="false">IFERROR(VLOOKUP($A8523,'319'!$B:$H,7,0),0)</f>
        <v>0</v>
      </c>
      <c r="G8523" s="34" t="n">
        <f aca="false">SUMIFS('12.326ana'!$C:$C,'12.326ana'!$M:$M,redes!A8523)</f>
        <v>0</v>
      </c>
    </row>
    <row r="8524" customFormat="false" ht="14.4" hidden="true" customHeight="false" outlineLevel="0" collapsed="false">
      <c r="A8524" s="34" t="n">
        <v>4268000000128</v>
      </c>
      <c r="B8524" s="34" t="s">
        <v>17753</v>
      </c>
      <c r="C8524" s="34" t="s">
        <v>103</v>
      </c>
      <c r="E8524" s="30" t="s">
        <v>17754</v>
      </c>
      <c r="F8524" s="34" t="n">
        <f aca="false">IFERROR(VLOOKUP($A8524,'319'!$B:$H,7,0),0)</f>
        <v>0</v>
      </c>
      <c r="G8524" s="34" t="n">
        <f aca="false">SUMIFS('12.326ana'!$C:$C,'12.326ana'!$M:$M,redes!A8524)</f>
        <v>0</v>
      </c>
    </row>
    <row r="8525" customFormat="false" ht="14.4" hidden="true" customHeight="false" outlineLevel="0" collapsed="false">
      <c r="A8525" s="34" t="n">
        <v>4268705000145</v>
      </c>
      <c r="B8525" s="34" t="s">
        <v>17755</v>
      </c>
      <c r="C8525" s="34" t="s">
        <v>604</v>
      </c>
      <c r="E8525" s="30" t="s">
        <v>17756</v>
      </c>
      <c r="F8525" s="34" t="n">
        <f aca="false">IFERROR(VLOOKUP($A8525,'319'!$B:$H,7,0),0)</f>
        <v>0</v>
      </c>
      <c r="G8525" s="34" t="n">
        <f aca="false">SUMIFS('12.326ana'!$C:$C,'12.326ana'!$M:$M,redes!A8525)</f>
        <v>0</v>
      </c>
    </row>
    <row r="8526" customFormat="false" ht="14.4" hidden="true" customHeight="false" outlineLevel="0" collapsed="false">
      <c r="A8526" s="34" t="n">
        <v>4269943000175</v>
      </c>
      <c r="B8526" s="34" t="s">
        <v>17757</v>
      </c>
      <c r="C8526" s="34" t="s">
        <v>77</v>
      </c>
      <c r="E8526" s="30"/>
      <c r="F8526" s="34" t="n">
        <f aca="false">IFERROR(VLOOKUP($A8526,'319'!$B:$H,7,0),0)</f>
        <v>0</v>
      </c>
      <c r="G8526" s="34" t="n">
        <f aca="false">SUMIFS('12.326ana'!$C:$C,'12.326ana'!$M:$M,redes!A8526)</f>
        <v>0</v>
      </c>
    </row>
    <row r="8527" customFormat="false" ht="14.4" hidden="true" customHeight="false" outlineLevel="0" collapsed="false">
      <c r="A8527" s="34" t="n">
        <v>4271266000120</v>
      </c>
      <c r="B8527" s="34" t="s">
        <v>17758</v>
      </c>
      <c r="C8527" s="34" t="s">
        <v>77</v>
      </c>
      <c r="E8527" s="30" t="s">
        <v>10056</v>
      </c>
      <c r="F8527" s="34" t="n">
        <f aca="false">IFERROR(VLOOKUP($A8527,'319'!$B:$H,7,0),0)</f>
        <v>0</v>
      </c>
      <c r="G8527" s="34" t="n">
        <f aca="false">SUMIFS('12.326ana'!$C:$C,'12.326ana'!$M:$M,redes!A8527)</f>
        <v>0</v>
      </c>
    </row>
    <row r="8528" customFormat="false" ht="14.4" hidden="true" customHeight="false" outlineLevel="0" collapsed="false">
      <c r="A8528" s="34" t="n">
        <v>4273859000125</v>
      </c>
      <c r="B8528" s="34" t="s">
        <v>17759</v>
      </c>
      <c r="C8528" s="34" t="s">
        <v>77</v>
      </c>
      <c r="E8528" s="30" t="s">
        <v>5028</v>
      </c>
      <c r="F8528" s="34" t="n">
        <f aca="false">IFERROR(VLOOKUP($A8528,'319'!$B:$H,7,0),0)</f>
        <v>0</v>
      </c>
      <c r="G8528" s="34" t="n">
        <f aca="false">SUMIFS('12.326ana'!$C:$C,'12.326ana'!$M:$M,redes!A8528)</f>
        <v>0</v>
      </c>
    </row>
    <row r="8529" customFormat="false" ht="14.4" hidden="true" customHeight="false" outlineLevel="0" collapsed="false">
      <c r="A8529" s="34" t="n">
        <v>4276363000105</v>
      </c>
      <c r="B8529" s="34" t="s">
        <v>10289</v>
      </c>
      <c r="C8529" s="34" t="s">
        <v>77</v>
      </c>
      <c r="E8529" s="30" t="s">
        <v>12267</v>
      </c>
      <c r="F8529" s="34" t="n">
        <f aca="false">IFERROR(VLOOKUP($A8529,'319'!$B:$H,7,0),0)</f>
        <v>0</v>
      </c>
      <c r="G8529" s="34" t="n">
        <f aca="false">SUMIFS('12.326ana'!$C:$C,'12.326ana'!$M:$M,redes!A8529)</f>
        <v>0</v>
      </c>
    </row>
    <row r="8530" customFormat="false" ht="14.4" hidden="true" customHeight="false" outlineLevel="0" collapsed="false">
      <c r="A8530" s="34" t="n">
        <v>4276526000150</v>
      </c>
      <c r="B8530" s="34" t="s">
        <v>17760</v>
      </c>
      <c r="C8530" s="34" t="s">
        <v>463</v>
      </c>
      <c r="E8530" s="30" t="s">
        <v>17761</v>
      </c>
      <c r="F8530" s="34" t="n">
        <f aca="false">IFERROR(VLOOKUP($A8530,'319'!$B:$H,7,0),0)</f>
        <v>0</v>
      </c>
      <c r="G8530" s="34" t="n">
        <f aca="false">SUMIFS('12.326ana'!$C:$C,'12.326ana'!$M:$M,redes!A8530)</f>
        <v>0</v>
      </c>
    </row>
    <row r="8531" customFormat="false" ht="14.4" hidden="true" customHeight="false" outlineLevel="0" collapsed="false">
      <c r="A8531" s="34" t="n">
        <v>4276532000298</v>
      </c>
      <c r="B8531" s="34" t="s">
        <v>17762</v>
      </c>
      <c r="C8531" s="34" t="s">
        <v>213</v>
      </c>
      <c r="E8531" s="30" t="s">
        <v>17763</v>
      </c>
      <c r="F8531" s="34" t="n">
        <f aca="false">IFERROR(VLOOKUP($A8531,'319'!$B:$H,7,0),0)</f>
        <v>0</v>
      </c>
      <c r="G8531" s="34" t="n">
        <f aca="false">SUMIFS('12.326ana'!$C:$C,'12.326ana'!$M:$M,redes!A8531)</f>
        <v>0</v>
      </c>
    </row>
    <row r="8532" customFormat="false" ht="14.4" hidden="true" customHeight="false" outlineLevel="0" collapsed="false">
      <c r="A8532" s="34" t="n">
        <v>4277647000116</v>
      </c>
      <c r="B8532" s="34" t="s">
        <v>17764</v>
      </c>
      <c r="C8532" s="34" t="s">
        <v>77</v>
      </c>
      <c r="D8532" s="34" t="s">
        <v>17415</v>
      </c>
      <c r="E8532" s="30" t="s">
        <v>17765</v>
      </c>
      <c r="F8532" s="34" t="n">
        <f aca="false">IFERROR(VLOOKUP($A8532,'319'!$B:$H,7,0),0)</f>
        <v>0</v>
      </c>
      <c r="G8532" s="34" t="n">
        <f aca="false">SUMIFS('12.326ana'!$C:$C,'12.326ana'!$M:$M,redes!A8532)</f>
        <v>0</v>
      </c>
    </row>
    <row r="8533" customFormat="false" ht="14.4" hidden="true" customHeight="false" outlineLevel="0" collapsed="false">
      <c r="A8533" s="34" t="n">
        <v>4277706000237</v>
      </c>
      <c r="B8533" s="34" t="s">
        <v>17766</v>
      </c>
      <c r="C8533" s="34" t="s">
        <v>17767</v>
      </c>
      <c r="E8533" s="30" t="s">
        <v>17768</v>
      </c>
      <c r="F8533" s="34" t="n">
        <f aca="false">IFERROR(VLOOKUP($A8533,'319'!$B:$H,7,0),0)</f>
        <v>0</v>
      </c>
      <c r="G8533" s="34" t="n">
        <f aca="false">SUMIFS('12.326ana'!$C:$C,'12.326ana'!$M:$M,redes!A8533)</f>
        <v>0</v>
      </c>
    </row>
    <row r="8534" customFormat="false" ht="14.4" hidden="true" customHeight="false" outlineLevel="0" collapsed="false">
      <c r="A8534" s="34" t="n">
        <v>4278425000207</v>
      </c>
      <c r="B8534" s="34" t="s">
        <v>17769</v>
      </c>
      <c r="C8534" s="34" t="s">
        <v>631</v>
      </c>
      <c r="E8534" s="30" t="s">
        <v>17770</v>
      </c>
      <c r="F8534" s="34" t="n">
        <f aca="false">IFERROR(VLOOKUP($A8534,'319'!$B:$H,7,0),0)</f>
        <v>0</v>
      </c>
      <c r="G8534" s="34" t="n">
        <f aca="false">SUMIFS('12.326ana'!$C:$C,'12.326ana'!$M:$M,redes!A8534)</f>
        <v>0</v>
      </c>
    </row>
    <row r="8535" customFormat="false" ht="14.4" hidden="true" customHeight="false" outlineLevel="0" collapsed="false">
      <c r="A8535" s="34" t="n">
        <v>4278523000155</v>
      </c>
      <c r="B8535" s="34" t="s">
        <v>17771</v>
      </c>
      <c r="C8535" s="34" t="s">
        <v>77</v>
      </c>
      <c r="E8535" s="30" t="s">
        <v>12164</v>
      </c>
      <c r="F8535" s="34" t="n">
        <f aca="false">IFERROR(VLOOKUP($A8535,'319'!$B:$H,7,0),0)</f>
        <v>0</v>
      </c>
      <c r="G8535" s="34" t="n">
        <f aca="false">SUMIFS('12.326ana'!$C:$C,'12.326ana'!$M:$M,redes!A8535)</f>
        <v>0</v>
      </c>
    </row>
    <row r="8536" customFormat="false" ht="14.4" hidden="true" customHeight="false" outlineLevel="0" collapsed="false">
      <c r="A8536" s="34" t="n">
        <v>4278536000124</v>
      </c>
      <c r="B8536" s="34" t="s">
        <v>17772</v>
      </c>
      <c r="C8536" s="34" t="s">
        <v>2998</v>
      </c>
      <c r="E8536" s="30" t="s">
        <v>5740</v>
      </c>
      <c r="F8536" s="34" t="n">
        <f aca="false">IFERROR(VLOOKUP($A8536,'319'!$B:$H,7,0),0)</f>
        <v>0</v>
      </c>
      <c r="G8536" s="34" t="n">
        <f aca="false">SUMIFS('12.326ana'!$C:$C,'12.326ana'!$M:$M,redes!A8536)</f>
        <v>0</v>
      </c>
    </row>
    <row r="8537" customFormat="false" ht="14.4" hidden="true" customHeight="false" outlineLevel="0" collapsed="false">
      <c r="A8537" s="34" t="n">
        <v>4278796000108</v>
      </c>
      <c r="B8537" s="34" t="s">
        <v>17773</v>
      </c>
      <c r="C8537" s="34" t="s">
        <v>77</v>
      </c>
      <c r="E8537" s="30" t="s">
        <v>5045</v>
      </c>
      <c r="F8537" s="34" t="n">
        <f aca="false">IFERROR(VLOOKUP($A8537,'319'!$B:$H,7,0),0)</f>
        <v>0</v>
      </c>
      <c r="G8537" s="34" t="n">
        <f aca="false">SUMIFS('12.326ana'!$C:$C,'12.326ana'!$M:$M,redes!A8537)</f>
        <v>0</v>
      </c>
    </row>
    <row r="8538" customFormat="false" ht="14.4" hidden="true" customHeight="false" outlineLevel="0" collapsed="false">
      <c r="A8538" s="34" t="n">
        <v>4280233000146</v>
      </c>
      <c r="B8538" s="34" t="s">
        <v>17774</v>
      </c>
      <c r="C8538" s="34" t="s">
        <v>377</v>
      </c>
      <c r="E8538" s="30" t="s">
        <v>17775</v>
      </c>
      <c r="F8538" s="34" t="n">
        <f aca="false">IFERROR(VLOOKUP($A8538,'319'!$B:$H,7,0),0)</f>
        <v>0</v>
      </c>
      <c r="G8538" s="34" t="n">
        <f aca="false">SUMIFS('12.326ana'!$C:$C,'12.326ana'!$M:$M,redes!A8538)</f>
        <v>0</v>
      </c>
    </row>
    <row r="8539" customFormat="false" ht="14.4" hidden="true" customHeight="false" outlineLevel="0" collapsed="false">
      <c r="A8539" s="34" t="n">
        <v>4280233000227</v>
      </c>
      <c r="B8539" s="34" t="s">
        <v>17774</v>
      </c>
      <c r="C8539" s="34" t="s">
        <v>377</v>
      </c>
      <c r="E8539" s="30" t="s">
        <v>17776</v>
      </c>
      <c r="F8539" s="34" t="n">
        <f aca="false">IFERROR(VLOOKUP($A8539,'319'!$B:$H,7,0),0)</f>
        <v>0</v>
      </c>
      <c r="G8539" s="34" t="n">
        <f aca="false">SUMIFS('12.326ana'!$C:$C,'12.326ana'!$M:$M,redes!A8539)</f>
        <v>0</v>
      </c>
    </row>
    <row r="8540" customFormat="false" ht="14.4" hidden="true" customHeight="false" outlineLevel="0" collapsed="false">
      <c r="A8540" s="34" t="n">
        <v>4283319000122</v>
      </c>
      <c r="B8540" s="34" t="s">
        <v>17777</v>
      </c>
      <c r="C8540" s="34" t="s">
        <v>77</v>
      </c>
      <c r="E8540" s="30"/>
      <c r="F8540" s="34" t="n">
        <f aca="false">IFERROR(VLOOKUP($A8540,'319'!$B:$H,7,0),0)</f>
        <v>0</v>
      </c>
      <c r="G8540" s="34" t="n">
        <f aca="false">SUMIFS('12.326ana'!$C:$C,'12.326ana'!$M:$M,redes!A8540)</f>
        <v>0</v>
      </c>
    </row>
    <row r="8541" customFormat="false" ht="14.4" hidden="true" customHeight="false" outlineLevel="0" collapsed="false">
      <c r="A8541" s="34" t="n">
        <v>4283949000105</v>
      </c>
      <c r="B8541" s="34" t="s">
        <v>17778</v>
      </c>
      <c r="C8541" s="34" t="s">
        <v>351</v>
      </c>
      <c r="E8541" s="30" t="s">
        <v>17779</v>
      </c>
      <c r="F8541" s="34" t="n">
        <f aca="false">IFERROR(VLOOKUP($A8541,'319'!$B:$H,7,0),0)</f>
        <v>0</v>
      </c>
      <c r="G8541" s="34" t="n">
        <f aca="false">SUMIFS('12.326ana'!$C:$C,'12.326ana'!$M:$M,redes!A8541)</f>
        <v>0</v>
      </c>
    </row>
    <row r="8542" customFormat="false" ht="14.4" hidden="true" customHeight="false" outlineLevel="0" collapsed="false">
      <c r="A8542" s="34" t="n">
        <v>4286914000111</v>
      </c>
      <c r="B8542" s="34" t="s">
        <v>17780</v>
      </c>
      <c r="C8542" s="34" t="s">
        <v>809</v>
      </c>
      <c r="E8542" s="30" t="s">
        <v>9715</v>
      </c>
      <c r="F8542" s="34" t="n">
        <f aca="false">IFERROR(VLOOKUP($A8542,'319'!$B:$H,7,0),0)</f>
        <v>0</v>
      </c>
      <c r="G8542" s="34" t="n">
        <f aca="false">SUMIFS('12.326ana'!$C:$C,'12.326ana'!$M:$M,redes!A8542)</f>
        <v>0</v>
      </c>
    </row>
    <row r="8543" customFormat="false" ht="14.4" hidden="true" customHeight="false" outlineLevel="0" collapsed="false">
      <c r="A8543" s="34" t="n">
        <v>4287053000196</v>
      </c>
      <c r="B8543" s="34" t="s">
        <v>17781</v>
      </c>
      <c r="C8543" s="34" t="s">
        <v>139</v>
      </c>
      <c r="E8543" s="30" t="s">
        <v>17782</v>
      </c>
      <c r="F8543" s="34" t="n">
        <f aca="false">IFERROR(VLOOKUP($A8543,'319'!$B:$H,7,0),0)</f>
        <v>0</v>
      </c>
      <c r="G8543" s="34" t="n">
        <f aca="false">SUMIFS('12.326ana'!$C:$C,'12.326ana'!$M:$M,redes!A8543)</f>
        <v>0</v>
      </c>
    </row>
    <row r="8544" customFormat="false" ht="14.4" hidden="true" customHeight="false" outlineLevel="0" collapsed="false">
      <c r="A8544" s="34" t="n">
        <v>4287567000141</v>
      </c>
      <c r="B8544" s="34" t="s">
        <v>17783</v>
      </c>
      <c r="C8544" s="34" t="s">
        <v>473</v>
      </c>
      <c r="E8544" s="30" t="s">
        <v>17784</v>
      </c>
      <c r="F8544" s="34" t="n">
        <f aca="false">IFERROR(VLOOKUP($A8544,'319'!$B:$H,7,0),0)</f>
        <v>0</v>
      </c>
      <c r="G8544" s="34" t="n">
        <f aca="false">SUMIFS('12.326ana'!$C:$C,'12.326ana'!$M:$M,redes!A8544)</f>
        <v>0</v>
      </c>
    </row>
    <row r="8545" customFormat="false" ht="14.4" hidden="true" customHeight="false" outlineLevel="0" collapsed="false">
      <c r="A8545" s="34" t="n">
        <v>4290380000105</v>
      </c>
      <c r="B8545" s="34" t="s">
        <v>17785</v>
      </c>
      <c r="C8545" s="34" t="s">
        <v>764</v>
      </c>
      <c r="E8545" s="30" t="s">
        <v>17786</v>
      </c>
      <c r="F8545" s="34" t="n">
        <f aca="false">IFERROR(VLOOKUP($A8545,'319'!$B:$H,7,0),0)</f>
        <v>0</v>
      </c>
      <c r="G8545" s="34" t="n">
        <f aca="false">SUMIFS('12.326ana'!$C:$C,'12.326ana'!$M:$M,redes!A8545)</f>
        <v>0</v>
      </c>
    </row>
    <row r="8546" customFormat="false" ht="14.4" hidden="true" customHeight="false" outlineLevel="0" collapsed="false">
      <c r="A8546" s="34" t="n">
        <v>4293535000159</v>
      </c>
      <c r="B8546" s="34" t="s">
        <v>17787</v>
      </c>
      <c r="C8546" s="34" t="s">
        <v>77</v>
      </c>
      <c r="E8546" s="30" t="s">
        <v>17788</v>
      </c>
      <c r="F8546" s="34" t="n">
        <f aca="false">IFERROR(VLOOKUP($A8546,'319'!$B:$H,7,0),0)</f>
        <v>0</v>
      </c>
      <c r="G8546" s="34" t="n">
        <f aca="false">SUMIFS('12.326ana'!$C:$C,'12.326ana'!$M:$M,redes!A8546)</f>
        <v>0</v>
      </c>
    </row>
    <row r="8547" customFormat="false" ht="14.4" hidden="true" customHeight="false" outlineLevel="0" collapsed="false">
      <c r="A8547" s="34" t="n">
        <v>4294151000150</v>
      </c>
      <c r="B8547" s="34" t="s">
        <v>17789</v>
      </c>
      <c r="C8547" s="34" t="s">
        <v>77</v>
      </c>
      <c r="E8547" s="30" t="s">
        <v>17790</v>
      </c>
      <c r="F8547" s="34" t="n">
        <f aca="false">IFERROR(VLOOKUP($A8547,'319'!$B:$H,7,0),0)</f>
        <v>0</v>
      </c>
      <c r="G8547" s="34" t="n">
        <f aca="false">SUMIFS('12.326ana'!$C:$C,'12.326ana'!$M:$M,redes!A8547)</f>
        <v>0</v>
      </c>
    </row>
    <row r="8548" customFormat="false" ht="14.4" hidden="true" customHeight="false" outlineLevel="0" collapsed="false">
      <c r="A8548" s="34" t="n">
        <v>4294670000119</v>
      </c>
      <c r="B8548" s="34" t="s">
        <v>17791</v>
      </c>
      <c r="C8548" s="34" t="s">
        <v>464</v>
      </c>
      <c r="E8548" s="30" t="s">
        <v>17792</v>
      </c>
      <c r="F8548" s="34" t="n">
        <f aca="false">IFERROR(VLOOKUP($A8548,'319'!$B:$H,7,0),0)</f>
        <v>0</v>
      </c>
      <c r="G8548" s="34" t="n">
        <f aca="false">SUMIFS('12.326ana'!$C:$C,'12.326ana'!$M:$M,redes!A8548)</f>
        <v>0</v>
      </c>
    </row>
    <row r="8549" customFormat="false" ht="14.4" hidden="true" customHeight="false" outlineLevel="0" collapsed="false">
      <c r="A8549" s="34" t="n">
        <v>4296538000146</v>
      </c>
      <c r="B8549" s="34" t="s">
        <v>17793</v>
      </c>
      <c r="C8549" s="34" t="s">
        <v>89</v>
      </c>
      <c r="E8549" s="30" t="s">
        <v>17794</v>
      </c>
      <c r="F8549" s="34" t="n">
        <f aca="false">IFERROR(VLOOKUP($A8549,'319'!$B:$H,7,0),0)</f>
        <v>0</v>
      </c>
      <c r="G8549" s="34" t="n">
        <f aca="false">SUMIFS('12.326ana'!$C:$C,'12.326ana'!$M:$M,redes!A8549)</f>
        <v>0</v>
      </c>
    </row>
    <row r="8550" customFormat="false" ht="14.4" hidden="true" customHeight="false" outlineLevel="0" collapsed="false">
      <c r="A8550" s="34" t="n">
        <v>4296999000119</v>
      </c>
      <c r="B8550" s="34" t="s">
        <v>17795</v>
      </c>
      <c r="C8550" s="34" t="s">
        <v>77</v>
      </c>
      <c r="E8550" s="30" t="s">
        <v>17796</v>
      </c>
      <c r="F8550" s="34" t="n">
        <f aca="false">IFERROR(VLOOKUP($A8550,'319'!$B:$H,7,0),0)</f>
        <v>0</v>
      </c>
      <c r="G8550" s="34" t="n">
        <f aca="false">SUMIFS('12.326ana'!$C:$C,'12.326ana'!$M:$M,redes!A8550)</f>
        <v>0</v>
      </c>
    </row>
    <row r="8551" customFormat="false" ht="14.4" hidden="true" customHeight="false" outlineLevel="0" collapsed="false">
      <c r="A8551" s="34" t="n">
        <v>4297150000160</v>
      </c>
      <c r="B8551" s="34" t="s">
        <v>17797</v>
      </c>
      <c r="C8551" s="34" t="s">
        <v>473</v>
      </c>
      <c r="E8551" s="30" t="s">
        <v>17798</v>
      </c>
      <c r="F8551" s="34" t="n">
        <f aca="false">IFERROR(VLOOKUP($A8551,'319'!$B:$H,7,0),0)</f>
        <v>0</v>
      </c>
      <c r="G8551" s="34" t="n">
        <f aca="false">SUMIFS('12.326ana'!$C:$C,'12.326ana'!$M:$M,redes!A8551)</f>
        <v>0</v>
      </c>
    </row>
    <row r="8552" customFormat="false" ht="14.4" hidden="true" customHeight="false" outlineLevel="0" collapsed="false">
      <c r="A8552" s="34" t="n">
        <v>4297876000100</v>
      </c>
      <c r="B8552" s="34" t="s">
        <v>17799</v>
      </c>
      <c r="C8552" s="34" t="s">
        <v>192</v>
      </c>
      <c r="E8552" s="30" t="s">
        <v>7292</v>
      </c>
      <c r="F8552" s="34" t="n">
        <f aca="false">IFERROR(VLOOKUP($A8552,'319'!$B:$H,7,0),0)</f>
        <v>0</v>
      </c>
      <c r="G8552" s="34" t="n">
        <f aca="false">SUMIFS('12.326ana'!$C:$C,'12.326ana'!$M:$M,redes!A8552)</f>
        <v>0</v>
      </c>
    </row>
    <row r="8553" customFormat="false" ht="14.4" hidden="true" customHeight="false" outlineLevel="0" collapsed="false">
      <c r="A8553" s="34" t="n">
        <v>4298190000126</v>
      </c>
      <c r="B8553" s="34" t="s">
        <v>17800</v>
      </c>
      <c r="C8553" s="34" t="s">
        <v>631</v>
      </c>
      <c r="E8553" s="30" t="s">
        <v>17801</v>
      </c>
      <c r="F8553" s="34" t="n">
        <f aca="false">IFERROR(VLOOKUP($A8553,'319'!$B:$H,7,0),0)</f>
        <v>0</v>
      </c>
      <c r="G8553" s="34" t="n">
        <f aca="false">SUMIFS('12.326ana'!$C:$C,'12.326ana'!$M:$M,redes!A8553)</f>
        <v>0</v>
      </c>
    </row>
    <row r="8554" customFormat="false" ht="14.4" hidden="true" customHeight="false" outlineLevel="0" collapsed="false">
      <c r="A8554" s="34" t="n">
        <v>4299788000130</v>
      </c>
      <c r="B8554" s="34" t="s">
        <v>17802</v>
      </c>
      <c r="C8554" s="34" t="s">
        <v>296</v>
      </c>
      <c r="E8554" s="30" t="s">
        <v>17803</v>
      </c>
      <c r="F8554" s="34" t="n">
        <f aca="false">IFERROR(VLOOKUP($A8554,'319'!$B:$H,7,0),0)</f>
        <v>0</v>
      </c>
      <c r="G8554" s="34" t="n">
        <f aca="false">SUMIFS('12.326ana'!$C:$C,'12.326ana'!$M:$M,redes!A8554)</f>
        <v>0</v>
      </c>
    </row>
    <row r="8555" customFormat="false" ht="14.4" hidden="true" customHeight="false" outlineLevel="0" collapsed="false">
      <c r="A8555" s="34" t="n">
        <v>4300180000188</v>
      </c>
      <c r="B8555" s="34" t="s">
        <v>17804</v>
      </c>
      <c r="C8555" s="34" t="s">
        <v>463</v>
      </c>
      <c r="E8555" s="30" t="s">
        <v>17805</v>
      </c>
      <c r="F8555" s="34" t="n">
        <f aca="false">IFERROR(VLOOKUP($A8555,'319'!$B:$H,7,0),0)</f>
        <v>0</v>
      </c>
      <c r="G8555" s="34" t="n">
        <f aca="false">SUMIFS('12.326ana'!$C:$C,'12.326ana'!$M:$M,redes!A8555)</f>
        <v>0</v>
      </c>
    </row>
    <row r="8556" customFormat="false" ht="14.4" hidden="true" customHeight="false" outlineLevel="0" collapsed="false">
      <c r="A8556" s="34" t="n">
        <v>4300676000151</v>
      </c>
      <c r="B8556" s="34" t="s">
        <v>17806</v>
      </c>
      <c r="C8556" s="34" t="s">
        <v>77</v>
      </c>
      <c r="E8556" s="30" t="s">
        <v>17807</v>
      </c>
      <c r="F8556" s="34" t="n">
        <f aca="false">IFERROR(VLOOKUP($A8556,'319'!$B:$H,7,0),0)</f>
        <v>0</v>
      </c>
      <c r="G8556" s="34" t="n">
        <f aca="false">SUMIFS('12.326ana'!$C:$C,'12.326ana'!$M:$M,redes!A8556)</f>
        <v>0</v>
      </c>
    </row>
    <row r="8557" customFormat="false" ht="14.4" hidden="true" customHeight="false" outlineLevel="0" collapsed="false">
      <c r="A8557" s="34" t="n">
        <v>4300761000110</v>
      </c>
      <c r="B8557" s="34" t="s">
        <v>17808</v>
      </c>
      <c r="C8557" s="34" t="s">
        <v>737</v>
      </c>
      <c r="E8557" s="30" t="s">
        <v>17809</v>
      </c>
      <c r="F8557" s="34" t="n">
        <f aca="false">IFERROR(VLOOKUP($A8557,'319'!$B:$H,7,0),0)</f>
        <v>0</v>
      </c>
      <c r="G8557" s="34" t="n">
        <f aca="false">SUMIFS('12.326ana'!$C:$C,'12.326ana'!$M:$M,redes!A8557)</f>
        <v>0</v>
      </c>
    </row>
    <row r="8558" customFormat="false" ht="14.4" hidden="true" customHeight="false" outlineLevel="0" collapsed="false">
      <c r="A8558" s="34" t="n">
        <v>4300809000190</v>
      </c>
      <c r="B8558" s="34" t="s">
        <v>17810</v>
      </c>
      <c r="C8558" s="34" t="s">
        <v>848</v>
      </c>
      <c r="E8558" s="30" t="s">
        <v>17811</v>
      </c>
      <c r="F8558" s="34" t="n">
        <f aca="false">IFERROR(VLOOKUP($A8558,'319'!$B:$H,7,0),0)</f>
        <v>0</v>
      </c>
      <c r="G8558" s="34" t="n">
        <f aca="false">SUMIFS('12.326ana'!$C:$C,'12.326ana'!$M:$M,redes!A8558)</f>
        <v>0</v>
      </c>
    </row>
    <row r="8559" customFormat="false" ht="14.4" hidden="true" customHeight="false" outlineLevel="0" collapsed="false">
      <c r="A8559" s="34" t="n">
        <v>4302538000101</v>
      </c>
      <c r="B8559" s="34" t="s">
        <v>17812</v>
      </c>
      <c r="C8559" s="34" t="s">
        <v>562</v>
      </c>
      <c r="E8559" s="30" t="s">
        <v>17813</v>
      </c>
      <c r="F8559" s="34" t="n">
        <f aca="false">IFERROR(VLOOKUP($A8559,'319'!$B:$H,7,0),0)</f>
        <v>0</v>
      </c>
      <c r="G8559" s="34" t="n">
        <f aca="false">SUMIFS('12.326ana'!$C:$C,'12.326ana'!$M:$M,redes!A8559)</f>
        <v>0</v>
      </c>
    </row>
    <row r="8560" customFormat="false" ht="14.4" hidden="true" customHeight="false" outlineLevel="0" collapsed="false">
      <c r="A8560" s="34" t="n">
        <v>4303034000106</v>
      </c>
      <c r="B8560" s="34" t="s">
        <v>17814</v>
      </c>
      <c r="C8560" s="34" t="s">
        <v>77</v>
      </c>
      <c r="E8560" s="30" t="s">
        <v>17815</v>
      </c>
      <c r="F8560" s="34" t="n">
        <f aca="false">IFERROR(VLOOKUP($A8560,'319'!$B:$H,7,0),0)</f>
        <v>0</v>
      </c>
      <c r="G8560" s="34" t="n">
        <f aca="false">SUMIFS('12.326ana'!$C:$C,'12.326ana'!$M:$M,redes!A8560)</f>
        <v>0</v>
      </c>
    </row>
    <row r="8561" customFormat="false" ht="14.4" hidden="true" customHeight="false" outlineLevel="0" collapsed="false">
      <c r="A8561" s="34" t="n">
        <v>4311508000161</v>
      </c>
      <c r="B8561" s="34" t="s">
        <v>17816</v>
      </c>
      <c r="C8561" s="34" t="s">
        <v>296</v>
      </c>
      <c r="E8561" s="30" t="s">
        <v>17817</v>
      </c>
      <c r="F8561" s="34" t="n">
        <f aca="false">IFERROR(VLOOKUP($A8561,'319'!$B:$H,7,0),0)</f>
        <v>0</v>
      </c>
      <c r="G8561" s="34" t="n">
        <f aca="false">SUMIFS('12.326ana'!$C:$C,'12.326ana'!$M:$M,redes!A8561)</f>
        <v>0</v>
      </c>
    </row>
    <row r="8562" customFormat="false" ht="14.4" hidden="true" customHeight="false" outlineLevel="0" collapsed="false">
      <c r="A8562" s="34" t="n">
        <v>4313723000100</v>
      </c>
      <c r="B8562" s="34" t="s">
        <v>17818</v>
      </c>
      <c r="C8562" s="34" t="s">
        <v>781</v>
      </c>
      <c r="E8562" s="30" t="s">
        <v>17819</v>
      </c>
      <c r="F8562" s="34" t="n">
        <f aca="false">IFERROR(VLOOKUP($A8562,'319'!$B:$H,7,0),0)</f>
        <v>0</v>
      </c>
      <c r="G8562" s="34" t="n">
        <f aca="false">SUMIFS('12.326ana'!$C:$C,'12.326ana'!$M:$M,redes!A8562)</f>
        <v>0</v>
      </c>
    </row>
    <row r="8563" customFormat="false" ht="14.4" hidden="true" customHeight="false" outlineLevel="0" collapsed="false">
      <c r="A8563" s="34" t="n">
        <v>4313955000150</v>
      </c>
      <c r="B8563" s="34" t="s">
        <v>17820</v>
      </c>
      <c r="C8563" s="34" t="s">
        <v>581</v>
      </c>
      <c r="E8563" s="30" t="s">
        <v>17821</v>
      </c>
      <c r="F8563" s="34" t="n">
        <f aca="false">IFERROR(VLOOKUP($A8563,'319'!$B:$H,7,0),0)</f>
        <v>0</v>
      </c>
      <c r="G8563" s="34" t="n">
        <f aca="false">SUMIFS('12.326ana'!$C:$C,'12.326ana'!$M:$M,redes!A8563)</f>
        <v>0</v>
      </c>
    </row>
    <row r="8564" customFormat="false" ht="14.4" hidden="true" customHeight="false" outlineLevel="0" collapsed="false">
      <c r="A8564" s="34" t="n">
        <v>4314029000107</v>
      </c>
      <c r="B8564" s="34" t="s">
        <v>17822</v>
      </c>
      <c r="C8564" s="34" t="s">
        <v>3594</v>
      </c>
      <c r="E8564" s="30" t="s">
        <v>3579</v>
      </c>
      <c r="F8564" s="34" t="n">
        <f aca="false">IFERROR(VLOOKUP($A8564,'319'!$B:$H,7,0),0)</f>
        <v>0</v>
      </c>
      <c r="G8564" s="34" t="n">
        <f aca="false">SUMIFS('12.326ana'!$C:$C,'12.326ana'!$M:$M,redes!A8564)</f>
        <v>0</v>
      </c>
    </row>
    <row r="8565" customFormat="false" ht="14.4" hidden="true" customHeight="false" outlineLevel="0" collapsed="false">
      <c r="A8565" s="34" t="n">
        <v>4314096000113</v>
      </c>
      <c r="B8565" s="34" t="s">
        <v>17823</v>
      </c>
      <c r="C8565" s="34" t="s">
        <v>77</v>
      </c>
      <c r="E8565" s="30" t="s">
        <v>17824</v>
      </c>
      <c r="F8565" s="34" t="n">
        <f aca="false">IFERROR(VLOOKUP($A8565,'319'!$B:$H,7,0),0)</f>
        <v>0</v>
      </c>
      <c r="G8565" s="34" t="n">
        <f aca="false">SUMIFS('12.326ana'!$C:$C,'12.326ana'!$M:$M,redes!A8565)</f>
        <v>0</v>
      </c>
    </row>
    <row r="8566" customFormat="false" ht="14.4" hidden="true" customHeight="false" outlineLevel="0" collapsed="false">
      <c r="A8566" s="34" t="n">
        <v>4314244000108</v>
      </c>
      <c r="B8566" s="34" t="s">
        <v>7643</v>
      </c>
      <c r="C8566" s="34" t="s">
        <v>781</v>
      </c>
      <c r="E8566" s="30" t="s">
        <v>17825</v>
      </c>
      <c r="F8566" s="34" t="n">
        <f aca="false">IFERROR(VLOOKUP($A8566,'319'!$B:$H,7,0),0)</f>
        <v>0</v>
      </c>
      <c r="G8566" s="34" t="n">
        <f aca="false">SUMIFS('12.326ana'!$C:$C,'12.326ana'!$M:$M,redes!A8566)</f>
        <v>0</v>
      </c>
    </row>
    <row r="8567" customFormat="false" ht="14.4" hidden="true" customHeight="false" outlineLevel="0" collapsed="false">
      <c r="A8567" s="34" t="n">
        <v>4319542000182</v>
      </c>
      <c r="B8567" s="34" t="s">
        <v>17826</v>
      </c>
      <c r="C8567" s="34" t="s">
        <v>77</v>
      </c>
      <c r="D8567" s="34" t="s">
        <v>3324</v>
      </c>
      <c r="E8567" s="30" t="s">
        <v>17827</v>
      </c>
      <c r="F8567" s="34" t="n">
        <f aca="false">IFERROR(VLOOKUP($A8567,'319'!$B:$H,7,0),0)</f>
        <v>0</v>
      </c>
      <c r="G8567" s="34" t="n">
        <f aca="false">SUMIFS('12.326ana'!$C:$C,'12.326ana'!$M:$M,redes!A8567)</f>
        <v>0</v>
      </c>
    </row>
    <row r="8568" customFormat="false" ht="14.4" hidden="true" customHeight="false" outlineLevel="0" collapsed="false">
      <c r="A8568" s="34" t="n">
        <v>4319747000168</v>
      </c>
      <c r="B8568" s="34" t="s">
        <v>17828</v>
      </c>
      <c r="C8568" s="34" t="s">
        <v>107</v>
      </c>
      <c r="E8568" s="30" t="s">
        <v>17829</v>
      </c>
      <c r="F8568" s="34" t="n">
        <f aca="false">IFERROR(VLOOKUP($A8568,'319'!$B:$H,7,0),0)</f>
        <v>0</v>
      </c>
      <c r="G8568" s="34" t="n">
        <f aca="false">SUMIFS('12.326ana'!$C:$C,'12.326ana'!$M:$M,redes!A8568)</f>
        <v>0</v>
      </c>
    </row>
    <row r="8569" customFormat="false" ht="14.4" hidden="true" customHeight="false" outlineLevel="0" collapsed="false">
      <c r="A8569" s="34" t="n">
        <v>4321087000150</v>
      </c>
      <c r="B8569" s="34" t="s">
        <v>17830</v>
      </c>
      <c r="C8569" s="34" t="s">
        <v>6278</v>
      </c>
      <c r="E8569" s="30" t="s">
        <v>17831</v>
      </c>
      <c r="F8569" s="34" t="n">
        <f aca="false">IFERROR(VLOOKUP($A8569,'319'!$B:$H,7,0),0)</f>
        <v>0</v>
      </c>
      <c r="G8569" s="34" t="n">
        <f aca="false">SUMIFS('12.326ana'!$C:$C,'12.326ana'!$M:$M,redes!A8569)</f>
        <v>0</v>
      </c>
    </row>
    <row r="8570" customFormat="false" ht="14.4" hidden="true" customHeight="false" outlineLevel="0" collapsed="false">
      <c r="A8570" s="34" t="n">
        <v>4322247000185</v>
      </c>
      <c r="B8570" s="34" t="s">
        <v>17832</v>
      </c>
      <c r="C8570" s="34" t="s">
        <v>581</v>
      </c>
      <c r="E8570" s="30" t="s">
        <v>3337</v>
      </c>
      <c r="F8570" s="34" t="n">
        <f aca="false">IFERROR(VLOOKUP($A8570,'319'!$B:$H,7,0),0)</f>
        <v>0</v>
      </c>
      <c r="G8570" s="34" t="n">
        <f aca="false">SUMIFS('12.326ana'!$C:$C,'12.326ana'!$M:$M,redes!A8570)</f>
        <v>0</v>
      </c>
    </row>
    <row r="8571" customFormat="false" ht="14.4" hidden="true" customHeight="false" outlineLevel="0" collapsed="false">
      <c r="A8571" s="34" t="n">
        <v>4322519000147</v>
      </c>
      <c r="B8571" s="34" t="s">
        <v>17833</v>
      </c>
      <c r="C8571" s="34" t="s">
        <v>89</v>
      </c>
      <c r="E8571" s="30" t="s">
        <v>17834</v>
      </c>
      <c r="F8571" s="34" t="n">
        <f aca="false">IFERROR(VLOOKUP($A8571,'319'!$B:$H,7,0),0)</f>
        <v>0</v>
      </c>
      <c r="G8571" s="34" t="n">
        <f aca="false">SUMIFS('12.326ana'!$C:$C,'12.326ana'!$M:$M,redes!A8571)</f>
        <v>0</v>
      </c>
    </row>
    <row r="8572" customFormat="false" ht="14.4" hidden="true" customHeight="false" outlineLevel="0" collapsed="false">
      <c r="A8572" s="34" t="n">
        <v>4322600000127</v>
      </c>
      <c r="B8572" s="34" t="s">
        <v>17835</v>
      </c>
      <c r="C8572" s="34" t="s">
        <v>967</v>
      </c>
      <c r="E8572" s="30" t="s">
        <v>4326</v>
      </c>
      <c r="F8572" s="34" t="n">
        <f aca="false">IFERROR(VLOOKUP($A8572,'319'!$B:$H,7,0),0)</f>
        <v>0</v>
      </c>
      <c r="G8572" s="34" t="n">
        <f aca="false">SUMIFS('12.326ana'!$C:$C,'12.326ana'!$M:$M,redes!A8572)</f>
        <v>0</v>
      </c>
    </row>
    <row r="8573" customFormat="false" ht="14.4" hidden="true" customHeight="false" outlineLevel="0" collapsed="false">
      <c r="A8573" s="34" t="n">
        <v>4323973000112</v>
      </c>
      <c r="B8573" s="34" t="s">
        <v>17836</v>
      </c>
      <c r="C8573" s="34" t="s">
        <v>77</v>
      </c>
      <c r="E8573" s="30" t="s">
        <v>17837</v>
      </c>
      <c r="F8573" s="34" t="n">
        <f aca="false">IFERROR(VLOOKUP($A8573,'319'!$B:$H,7,0),0)</f>
        <v>0</v>
      </c>
      <c r="G8573" s="34" t="n">
        <f aca="false">SUMIFS('12.326ana'!$C:$C,'12.326ana'!$M:$M,redes!A8573)</f>
        <v>0</v>
      </c>
    </row>
    <row r="8574" customFormat="false" ht="14.4" hidden="true" customHeight="false" outlineLevel="0" collapsed="false">
      <c r="A8574" s="34" t="n">
        <v>4324781000120</v>
      </c>
      <c r="B8574" s="34" t="s">
        <v>17838</v>
      </c>
      <c r="C8574" s="34" t="s">
        <v>192</v>
      </c>
      <c r="E8574" s="30" t="s">
        <v>6631</v>
      </c>
      <c r="F8574" s="34" t="n">
        <f aca="false">IFERROR(VLOOKUP($A8574,'319'!$B:$H,7,0),0)</f>
        <v>0</v>
      </c>
      <c r="G8574" s="34" t="n">
        <f aca="false">SUMIFS('12.326ana'!$C:$C,'12.326ana'!$M:$M,redes!A8574)</f>
        <v>0</v>
      </c>
    </row>
    <row r="8575" customFormat="false" ht="14.4" hidden="true" customHeight="false" outlineLevel="0" collapsed="false">
      <c r="A8575" s="34" t="n">
        <v>4324822000189</v>
      </c>
      <c r="B8575" s="34" t="s">
        <v>17839</v>
      </c>
      <c r="C8575" s="34" t="s">
        <v>139</v>
      </c>
      <c r="E8575" s="30" t="s">
        <v>17840</v>
      </c>
      <c r="F8575" s="34" t="n">
        <f aca="false">IFERROR(VLOOKUP($A8575,'319'!$B:$H,7,0),0)</f>
        <v>0</v>
      </c>
      <c r="G8575" s="34" t="n">
        <f aca="false">SUMIFS('12.326ana'!$C:$C,'12.326ana'!$M:$M,redes!A8575)</f>
        <v>0</v>
      </c>
    </row>
    <row r="8576" customFormat="false" ht="14.4" hidden="true" customHeight="false" outlineLevel="0" collapsed="false">
      <c r="A8576" s="34" t="n">
        <v>4325183000176</v>
      </c>
      <c r="B8576" s="34" t="s">
        <v>17841</v>
      </c>
      <c r="C8576" s="34" t="s">
        <v>103</v>
      </c>
      <c r="E8576" s="30" t="s">
        <v>17842</v>
      </c>
      <c r="F8576" s="34" t="n">
        <f aca="false">IFERROR(VLOOKUP($A8576,'319'!$B:$H,7,0),0)</f>
        <v>0</v>
      </c>
      <c r="G8576" s="34" t="n">
        <f aca="false">SUMIFS('12.326ana'!$C:$C,'12.326ana'!$M:$M,redes!A8576)</f>
        <v>0</v>
      </c>
    </row>
    <row r="8577" customFormat="false" ht="14.4" hidden="true" customHeight="false" outlineLevel="0" collapsed="false">
      <c r="A8577" s="34" t="n">
        <v>4327407000189</v>
      </c>
      <c r="B8577" s="34" t="s">
        <v>17843</v>
      </c>
      <c r="C8577" s="34" t="s">
        <v>842</v>
      </c>
      <c r="E8577" s="30" t="s">
        <v>17844</v>
      </c>
      <c r="F8577" s="34" t="n">
        <f aca="false">IFERROR(VLOOKUP($A8577,'319'!$B:$H,7,0),0)</f>
        <v>0</v>
      </c>
      <c r="G8577" s="34" t="n">
        <f aca="false">SUMIFS('12.326ana'!$C:$C,'12.326ana'!$M:$M,redes!A8577)</f>
        <v>0</v>
      </c>
    </row>
    <row r="8578" customFormat="false" ht="14.4" hidden="true" customHeight="false" outlineLevel="0" collapsed="false">
      <c r="A8578" s="34" t="n">
        <v>4329361000137</v>
      </c>
      <c r="B8578" s="34" t="s">
        <v>17845</v>
      </c>
      <c r="C8578" s="34" t="s">
        <v>296</v>
      </c>
      <c r="E8578" s="30" t="s">
        <v>17121</v>
      </c>
      <c r="F8578" s="34" t="n">
        <f aca="false">IFERROR(VLOOKUP($A8578,'319'!$B:$H,7,0),0)</f>
        <v>0</v>
      </c>
      <c r="G8578" s="34" t="n">
        <f aca="false">SUMIFS('12.326ana'!$C:$C,'12.326ana'!$M:$M,redes!A8578)</f>
        <v>0</v>
      </c>
    </row>
    <row r="8579" customFormat="false" ht="14.4" hidden="true" customHeight="false" outlineLevel="0" collapsed="false">
      <c r="A8579" s="34" t="n">
        <v>4330352000166</v>
      </c>
      <c r="B8579" s="34" t="s">
        <v>17846</v>
      </c>
      <c r="C8579" s="34" t="s">
        <v>848</v>
      </c>
      <c r="E8579" s="30" t="s">
        <v>14329</v>
      </c>
      <c r="F8579" s="34" t="n">
        <f aca="false">IFERROR(VLOOKUP($A8579,'319'!$B:$H,7,0),0)</f>
        <v>0</v>
      </c>
      <c r="G8579" s="34" t="n">
        <f aca="false">SUMIFS('12.326ana'!$C:$C,'12.326ana'!$M:$M,redes!A8579)</f>
        <v>0</v>
      </c>
    </row>
    <row r="8580" customFormat="false" ht="14.4" hidden="true" customHeight="false" outlineLevel="0" collapsed="false">
      <c r="A8580" s="34" t="n">
        <v>4332639000125</v>
      </c>
      <c r="B8580" s="34" t="s">
        <v>17847</v>
      </c>
      <c r="C8580" s="34" t="s">
        <v>631</v>
      </c>
      <c r="E8580" s="30" t="s">
        <v>17848</v>
      </c>
      <c r="F8580" s="34" t="n">
        <f aca="false">IFERROR(VLOOKUP($A8580,'319'!$B:$H,7,0),0)</f>
        <v>0</v>
      </c>
      <c r="G8580" s="34" t="n">
        <f aca="false">SUMIFS('12.326ana'!$C:$C,'12.326ana'!$M:$M,redes!A8580)</f>
        <v>0</v>
      </c>
    </row>
    <row r="8581" customFormat="false" ht="14.4" hidden="true" customHeight="false" outlineLevel="0" collapsed="false">
      <c r="A8581" s="34" t="n">
        <v>4333630000139</v>
      </c>
      <c r="B8581" s="34" t="s">
        <v>17849</v>
      </c>
      <c r="C8581" s="34" t="s">
        <v>77</v>
      </c>
      <c r="E8581" s="30" t="s">
        <v>17850</v>
      </c>
      <c r="F8581" s="34" t="n">
        <f aca="false">IFERROR(VLOOKUP($A8581,'319'!$B:$H,7,0),0)</f>
        <v>0</v>
      </c>
      <c r="G8581" s="34" t="n">
        <f aca="false">SUMIFS('12.326ana'!$C:$C,'12.326ana'!$M:$M,redes!A8581)</f>
        <v>0</v>
      </c>
    </row>
    <row r="8582" customFormat="false" ht="14.4" hidden="true" customHeight="false" outlineLevel="0" collapsed="false">
      <c r="A8582" s="34" t="n">
        <v>4336395000159</v>
      </c>
      <c r="B8582" s="34" t="s">
        <v>17851</v>
      </c>
      <c r="C8582" s="34" t="s">
        <v>328</v>
      </c>
      <c r="E8582" s="30" t="s">
        <v>5134</v>
      </c>
      <c r="F8582" s="34" t="n">
        <f aca="false">IFERROR(VLOOKUP($A8582,'319'!$B:$H,7,0),0)</f>
        <v>0</v>
      </c>
      <c r="G8582" s="34" t="n">
        <f aca="false">SUMIFS('12.326ana'!$C:$C,'12.326ana'!$M:$M,redes!A8582)</f>
        <v>0</v>
      </c>
    </row>
    <row r="8583" customFormat="false" ht="14.4" hidden="true" customHeight="false" outlineLevel="0" collapsed="false">
      <c r="A8583" s="34" t="n">
        <v>4336613000236</v>
      </c>
      <c r="B8583" s="34" t="s">
        <v>17852</v>
      </c>
      <c r="C8583" s="34" t="s">
        <v>77</v>
      </c>
      <c r="E8583" s="30" t="s">
        <v>17853</v>
      </c>
      <c r="F8583" s="34" t="n">
        <f aca="false">IFERROR(VLOOKUP($A8583,'319'!$B:$H,7,0),0)</f>
        <v>0</v>
      </c>
      <c r="G8583" s="34" t="n">
        <f aca="false">SUMIFS('12.326ana'!$C:$C,'12.326ana'!$M:$M,redes!A8583)</f>
        <v>0</v>
      </c>
    </row>
    <row r="8584" customFormat="false" ht="14.4" hidden="true" customHeight="false" outlineLevel="0" collapsed="false">
      <c r="A8584" s="34" t="n">
        <v>4338088000107</v>
      </c>
      <c r="B8584" s="34" t="s">
        <v>17854</v>
      </c>
      <c r="C8584" s="34" t="s">
        <v>328</v>
      </c>
      <c r="E8584" s="30" t="s">
        <v>17855</v>
      </c>
      <c r="F8584" s="34" t="n">
        <f aca="false">IFERROR(VLOOKUP($A8584,'319'!$B:$H,7,0),0)</f>
        <v>0</v>
      </c>
      <c r="G8584" s="34" t="n">
        <f aca="false">SUMIFS('12.326ana'!$C:$C,'12.326ana'!$M:$M,redes!A8584)</f>
        <v>0</v>
      </c>
    </row>
    <row r="8585" customFormat="false" ht="14.4" hidden="true" customHeight="false" outlineLevel="0" collapsed="false">
      <c r="A8585" s="34" t="n">
        <v>4338187000199</v>
      </c>
      <c r="B8585" s="34" t="s">
        <v>17856</v>
      </c>
      <c r="C8585" s="34" t="s">
        <v>17857</v>
      </c>
      <c r="E8585" s="30" t="s">
        <v>17856</v>
      </c>
      <c r="F8585" s="34" t="n">
        <f aca="false">IFERROR(VLOOKUP($A8585,'319'!$B:$H,7,0),0)</f>
        <v>0</v>
      </c>
      <c r="G8585" s="34" t="n">
        <f aca="false">SUMIFS('12.326ana'!$C:$C,'12.326ana'!$M:$M,redes!A8585)</f>
        <v>0</v>
      </c>
    </row>
    <row r="8586" customFormat="false" ht="14.4" hidden="true" customHeight="false" outlineLevel="0" collapsed="false">
      <c r="A8586" s="34" t="n">
        <v>4340209000155</v>
      </c>
      <c r="B8586" s="34" t="s">
        <v>17858</v>
      </c>
      <c r="C8586" s="34" t="s">
        <v>957</v>
      </c>
      <c r="E8586" s="30" t="s">
        <v>3765</v>
      </c>
      <c r="F8586" s="34" t="n">
        <f aca="false">IFERROR(VLOOKUP($A8586,'319'!$B:$H,7,0),0)</f>
        <v>250.33</v>
      </c>
      <c r="G8586" s="34" t="n">
        <f aca="false">SUMIFS('12.326ana'!$C:$C,'12.326ana'!$M:$M,redes!A8586)</f>
        <v>0</v>
      </c>
    </row>
    <row r="8587" customFormat="false" ht="14.4" hidden="true" customHeight="false" outlineLevel="0" collapsed="false">
      <c r="A8587" s="34" t="n">
        <v>4341294000176</v>
      </c>
      <c r="B8587" s="34" t="s">
        <v>17859</v>
      </c>
      <c r="C8587" s="34" t="s">
        <v>351</v>
      </c>
      <c r="E8587" s="30" t="s">
        <v>17860</v>
      </c>
      <c r="F8587" s="34" t="n">
        <f aca="false">IFERROR(VLOOKUP($A8587,'319'!$B:$H,7,0),0)</f>
        <v>0</v>
      </c>
      <c r="G8587" s="34" t="n">
        <f aca="false">SUMIFS('12.326ana'!$C:$C,'12.326ana'!$M:$M,redes!A8587)</f>
        <v>0</v>
      </c>
    </row>
    <row r="8588" customFormat="false" ht="14.4" hidden="true" customHeight="false" outlineLevel="0" collapsed="false">
      <c r="A8588" s="34" t="n">
        <v>4341443000105</v>
      </c>
      <c r="B8588" s="34" t="s">
        <v>17861</v>
      </c>
      <c r="C8588" s="34" t="s">
        <v>351</v>
      </c>
      <c r="E8588" s="30" t="s">
        <v>17862</v>
      </c>
      <c r="F8588" s="34" t="n">
        <f aca="false">IFERROR(VLOOKUP($A8588,'319'!$B:$H,7,0),0)</f>
        <v>0</v>
      </c>
      <c r="G8588" s="34" t="n">
        <f aca="false">SUMIFS('12.326ana'!$C:$C,'12.326ana'!$M:$M,redes!A8588)</f>
        <v>0</v>
      </c>
    </row>
    <row r="8589" customFormat="false" ht="14.4" hidden="true" customHeight="false" outlineLevel="0" collapsed="false">
      <c r="A8589" s="34" t="n">
        <v>4342034000115</v>
      </c>
      <c r="B8589" s="34" t="s">
        <v>17863</v>
      </c>
      <c r="C8589" s="34" t="s">
        <v>737</v>
      </c>
      <c r="E8589" s="30" t="s">
        <v>13494</v>
      </c>
      <c r="F8589" s="34" t="n">
        <f aca="false">IFERROR(VLOOKUP($A8589,'319'!$B:$H,7,0),0)</f>
        <v>0</v>
      </c>
      <c r="G8589" s="34" t="n">
        <f aca="false">SUMIFS('12.326ana'!$C:$C,'12.326ana'!$M:$M,redes!A8589)</f>
        <v>0</v>
      </c>
    </row>
    <row r="8590" customFormat="false" ht="14.4" hidden="true" customHeight="false" outlineLevel="0" collapsed="false">
      <c r="A8590" s="34" t="n">
        <v>4342793000188</v>
      </c>
      <c r="B8590" s="34" t="s">
        <v>17864</v>
      </c>
      <c r="C8590" s="34" t="s">
        <v>127</v>
      </c>
      <c r="E8590" s="30" t="s">
        <v>17865</v>
      </c>
      <c r="F8590" s="34" t="n">
        <f aca="false">IFERROR(VLOOKUP($A8590,'319'!$B:$H,7,0),0)</f>
        <v>0</v>
      </c>
      <c r="G8590" s="34" t="n">
        <f aca="false">SUMIFS('12.326ana'!$C:$C,'12.326ana'!$M:$M,redes!A8590)</f>
        <v>0</v>
      </c>
    </row>
    <row r="8591" customFormat="false" ht="14.4" hidden="true" customHeight="false" outlineLevel="0" collapsed="false">
      <c r="A8591" s="34" t="n">
        <v>4344448000183</v>
      </c>
      <c r="B8591" s="34" t="s">
        <v>17866</v>
      </c>
      <c r="C8591" s="34" t="s">
        <v>89</v>
      </c>
      <c r="E8591" s="30" t="s">
        <v>17866</v>
      </c>
      <c r="F8591" s="34" t="n">
        <f aca="false">IFERROR(VLOOKUP($A8591,'319'!$B:$H,7,0),0)</f>
        <v>0</v>
      </c>
      <c r="G8591" s="34" t="n">
        <f aca="false">SUMIFS('12.326ana'!$C:$C,'12.326ana'!$M:$M,redes!A8591)</f>
        <v>0</v>
      </c>
    </row>
    <row r="8592" customFormat="false" ht="14.4" hidden="true" customHeight="false" outlineLevel="0" collapsed="false">
      <c r="A8592" s="34" t="n">
        <v>4345270000195</v>
      </c>
      <c r="B8592" s="34" t="s">
        <v>17867</v>
      </c>
      <c r="C8592" s="34" t="s">
        <v>565</v>
      </c>
      <c r="E8592" s="30" t="s">
        <v>17868</v>
      </c>
      <c r="F8592" s="34" t="n">
        <f aca="false">IFERROR(VLOOKUP($A8592,'319'!$B:$H,7,0),0)</f>
        <v>0</v>
      </c>
      <c r="G8592" s="34" t="n">
        <f aca="false">SUMIFS('12.326ana'!$C:$C,'12.326ana'!$M:$M,redes!A8592)</f>
        <v>0</v>
      </c>
    </row>
    <row r="8593" customFormat="false" ht="14.4" hidden="true" customHeight="false" outlineLevel="0" collapsed="false">
      <c r="A8593" s="34" t="n">
        <v>4345996000128</v>
      </c>
      <c r="B8593" s="34" t="s">
        <v>17869</v>
      </c>
      <c r="C8593" s="34" t="s">
        <v>117</v>
      </c>
      <c r="E8593" s="30" t="s">
        <v>17870</v>
      </c>
      <c r="F8593" s="34" t="n">
        <f aca="false">IFERROR(VLOOKUP($A8593,'319'!$B:$H,7,0),0)</f>
        <v>0</v>
      </c>
      <c r="G8593" s="34" t="n">
        <f aca="false">SUMIFS('12.326ana'!$C:$C,'12.326ana'!$M:$M,redes!A8593)</f>
        <v>0</v>
      </c>
    </row>
    <row r="8594" customFormat="false" ht="14.4" hidden="true" customHeight="false" outlineLevel="0" collapsed="false">
      <c r="A8594" s="34" t="n">
        <v>4348536000153</v>
      </c>
      <c r="B8594" s="34" t="s">
        <v>17871</v>
      </c>
      <c r="C8594" s="34" t="s">
        <v>77</v>
      </c>
      <c r="E8594" s="30" t="s">
        <v>17872</v>
      </c>
      <c r="F8594" s="34" t="n">
        <f aca="false">IFERROR(VLOOKUP($A8594,'319'!$B:$H,7,0),0)</f>
        <v>0</v>
      </c>
      <c r="G8594" s="34" t="n">
        <f aca="false">SUMIFS('12.326ana'!$C:$C,'12.326ana'!$M:$M,redes!A8594)</f>
        <v>0</v>
      </c>
    </row>
    <row r="8595" customFormat="false" ht="14.4" hidden="true" customHeight="false" outlineLevel="0" collapsed="false">
      <c r="A8595" s="34" t="n">
        <v>4348703000166</v>
      </c>
      <c r="B8595" s="34" t="s">
        <v>17873</v>
      </c>
      <c r="C8595" s="34" t="s">
        <v>77</v>
      </c>
      <c r="E8595" s="30" t="s">
        <v>17874</v>
      </c>
      <c r="F8595" s="34" t="n">
        <f aca="false">IFERROR(VLOOKUP($A8595,'319'!$B:$H,7,0),0)</f>
        <v>0</v>
      </c>
      <c r="G8595" s="34" t="n">
        <f aca="false">SUMIFS('12.326ana'!$C:$C,'12.326ana'!$M:$M,redes!A8595)</f>
        <v>0</v>
      </c>
    </row>
    <row r="8596" customFormat="false" ht="14.4" hidden="true" customHeight="false" outlineLevel="0" collapsed="false">
      <c r="A8596" s="34" t="n">
        <v>4349739000164</v>
      </c>
      <c r="B8596" s="34" t="s">
        <v>17875</v>
      </c>
      <c r="C8596" s="34" t="s">
        <v>103</v>
      </c>
      <c r="E8596" s="30" t="s">
        <v>6735</v>
      </c>
      <c r="F8596" s="34" t="n">
        <f aca="false">IFERROR(VLOOKUP($A8596,'319'!$B:$H,7,0),0)</f>
        <v>0</v>
      </c>
      <c r="G8596" s="34" t="n">
        <f aca="false">SUMIFS('12.326ana'!$C:$C,'12.326ana'!$M:$M,redes!A8596)</f>
        <v>0</v>
      </c>
    </row>
    <row r="8597" customFormat="false" ht="14.4" hidden="true" customHeight="false" outlineLevel="0" collapsed="false">
      <c r="A8597" s="34" t="n">
        <v>4350342000192</v>
      </c>
      <c r="B8597" s="34" t="s">
        <v>17876</v>
      </c>
      <c r="C8597" s="34" t="s">
        <v>565</v>
      </c>
      <c r="E8597" s="30" t="s">
        <v>17877</v>
      </c>
      <c r="F8597" s="34" t="n">
        <f aca="false">IFERROR(VLOOKUP($A8597,'319'!$B:$H,7,0),0)</f>
        <v>0</v>
      </c>
      <c r="G8597" s="34" t="n">
        <f aca="false">SUMIFS('12.326ana'!$C:$C,'12.326ana'!$M:$M,redes!A8597)</f>
        <v>0</v>
      </c>
    </row>
    <row r="8598" customFormat="false" ht="14.4" hidden="true" customHeight="false" outlineLevel="0" collapsed="false">
      <c r="A8598" s="34" t="n">
        <v>4351934000129</v>
      </c>
      <c r="B8598" s="34" t="s">
        <v>17878</v>
      </c>
      <c r="C8598" s="34" t="s">
        <v>207</v>
      </c>
      <c r="D8598" s="34" t="s">
        <v>17879</v>
      </c>
      <c r="E8598" s="30" t="s">
        <v>17880</v>
      </c>
      <c r="F8598" s="34" t="n">
        <f aca="false">IFERROR(VLOOKUP($A8598,'319'!$B:$H,7,0),0)</f>
        <v>0</v>
      </c>
      <c r="G8598" s="34" t="n">
        <f aca="false">SUMIFS('12.326ana'!$C:$C,'12.326ana'!$M:$M,redes!A8598)</f>
        <v>0</v>
      </c>
    </row>
    <row r="8599" customFormat="false" ht="14.4" hidden="true" customHeight="false" outlineLevel="0" collapsed="false">
      <c r="A8599" s="34" t="n">
        <v>4351934000200</v>
      </c>
      <c r="B8599" s="34" t="s">
        <v>17878</v>
      </c>
      <c r="C8599" s="34" t="s">
        <v>207</v>
      </c>
      <c r="D8599" s="34" t="s">
        <v>17879</v>
      </c>
      <c r="E8599" s="30" t="s">
        <v>17881</v>
      </c>
      <c r="F8599" s="34" t="n">
        <f aca="false">IFERROR(VLOOKUP($A8599,'319'!$B:$H,7,0),0)</f>
        <v>0</v>
      </c>
      <c r="G8599" s="34" t="n">
        <f aca="false">SUMIFS('12.326ana'!$C:$C,'12.326ana'!$M:$M,redes!A8599)</f>
        <v>0</v>
      </c>
    </row>
    <row r="8600" customFormat="false" ht="14.4" hidden="true" customHeight="false" outlineLevel="0" collapsed="false">
      <c r="A8600" s="34" t="n">
        <v>4352400000117</v>
      </c>
      <c r="B8600" s="34" t="s">
        <v>17882</v>
      </c>
      <c r="C8600" s="34" t="s">
        <v>721</v>
      </c>
      <c r="E8600" s="30" t="s">
        <v>17883</v>
      </c>
      <c r="F8600" s="34" t="n">
        <f aca="false">IFERROR(VLOOKUP($A8600,'319'!$B:$H,7,0),0)</f>
        <v>0</v>
      </c>
      <c r="G8600" s="34" t="n">
        <f aca="false">SUMIFS('12.326ana'!$C:$C,'12.326ana'!$M:$M,redes!A8600)</f>
        <v>0</v>
      </c>
    </row>
    <row r="8601" customFormat="false" ht="14.4" hidden="true" customHeight="false" outlineLevel="0" collapsed="false">
      <c r="A8601" s="34" t="n">
        <v>4354059000139</v>
      </c>
      <c r="B8601" s="34" t="s">
        <v>17884</v>
      </c>
      <c r="C8601" s="34" t="s">
        <v>77</v>
      </c>
      <c r="E8601" s="30" t="s">
        <v>4387</v>
      </c>
      <c r="F8601" s="34" t="n">
        <f aca="false">IFERROR(VLOOKUP($A8601,'319'!$B:$H,7,0),0)</f>
        <v>0</v>
      </c>
      <c r="G8601" s="34" t="n">
        <f aca="false">SUMIFS('12.326ana'!$C:$C,'12.326ana'!$M:$M,redes!A8601)</f>
        <v>0</v>
      </c>
    </row>
    <row r="8602" customFormat="false" ht="14.4" hidden="true" customHeight="false" outlineLevel="0" collapsed="false">
      <c r="A8602" s="34" t="n">
        <v>4354350000107</v>
      </c>
      <c r="B8602" s="34" t="s">
        <v>17885</v>
      </c>
      <c r="C8602" s="34" t="s">
        <v>309</v>
      </c>
      <c r="E8602" s="30" t="s">
        <v>17886</v>
      </c>
      <c r="F8602" s="34" t="n">
        <f aca="false">IFERROR(VLOOKUP($A8602,'319'!$B:$H,7,0),0)</f>
        <v>0</v>
      </c>
      <c r="G8602" s="34" t="n">
        <f aca="false">SUMIFS('12.326ana'!$C:$C,'12.326ana'!$M:$M,redes!A8602)</f>
        <v>0</v>
      </c>
    </row>
    <row r="8603" customFormat="false" ht="14.4" hidden="true" customHeight="false" outlineLevel="0" collapsed="false">
      <c r="A8603" s="34" t="n">
        <v>4354476000181</v>
      </c>
      <c r="B8603" s="34" t="s">
        <v>17887</v>
      </c>
      <c r="C8603" s="34" t="s">
        <v>357</v>
      </c>
      <c r="E8603" s="30" t="s">
        <v>17888</v>
      </c>
      <c r="F8603" s="34" t="n">
        <f aca="false">IFERROR(VLOOKUP($A8603,'319'!$B:$H,7,0),0)</f>
        <v>0</v>
      </c>
      <c r="G8603" s="34" t="n">
        <f aca="false">SUMIFS('12.326ana'!$C:$C,'12.326ana'!$M:$M,redes!A8603)</f>
        <v>0</v>
      </c>
    </row>
    <row r="8604" customFormat="false" ht="14.4" hidden="true" customHeight="false" outlineLevel="0" collapsed="false">
      <c r="A8604" s="34" t="n">
        <v>4354710000170</v>
      </c>
      <c r="B8604" s="34" t="s">
        <v>17889</v>
      </c>
      <c r="C8604" s="34" t="s">
        <v>342</v>
      </c>
      <c r="E8604" s="30" t="s">
        <v>17890</v>
      </c>
      <c r="F8604" s="34" t="n">
        <f aca="false">IFERROR(VLOOKUP($A8604,'319'!$B:$H,7,0),0)</f>
        <v>0</v>
      </c>
      <c r="G8604" s="34" t="n">
        <f aca="false">SUMIFS('12.326ana'!$C:$C,'12.326ana'!$M:$M,redes!A8604)</f>
        <v>0</v>
      </c>
    </row>
    <row r="8605" customFormat="false" ht="14.4" hidden="true" customHeight="false" outlineLevel="0" collapsed="false">
      <c r="A8605" s="34" t="n">
        <v>4364799000156</v>
      </c>
      <c r="B8605" s="34" t="s">
        <v>17891</v>
      </c>
      <c r="C8605" s="34" t="s">
        <v>103</v>
      </c>
      <c r="E8605" s="30" t="s">
        <v>4891</v>
      </c>
      <c r="F8605" s="34" t="n">
        <f aca="false">IFERROR(VLOOKUP($A8605,'319'!$B:$H,7,0),0)</f>
        <v>16676.77</v>
      </c>
      <c r="G8605" s="34" t="n">
        <f aca="false">SUMIFS('12.326ana'!$C:$C,'12.326ana'!$M:$M,redes!A8605)</f>
        <v>0</v>
      </c>
    </row>
    <row r="8606" customFormat="false" ht="14.4" hidden="true" customHeight="false" outlineLevel="0" collapsed="false">
      <c r="A8606" s="34" t="n">
        <v>4367682000126</v>
      </c>
      <c r="B8606" s="34" t="s">
        <v>17892</v>
      </c>
      <c r="C8606" s="34" t="s">
        <v>77</v>
      </c>
      <c r="E8606" s="30" t="s">
        <v>17893</v>
      </c>
      <c r="F8606" s="34" t="n">
        <f aca="false">IFERROR(VLOOKUP($A8606,'319'!$B:$H,7,0),0)</f>
        <v>0</v>
      </c>
      <c r="G8606" s="34" t="n">
        <f aca="false">SUMIFS('12.326ana'!$C:$C,'12.326ana'!$M:$M,redes!A8606)</f>
        <v>0</v>
      </c>
    </row>
    <row r="8607" customFormat="false" ht="14.4" hidden="true" customHeight="false" outlineLevel="0" collapsed="false">
      <c r="A8607" s="34" t="n">
        <v>4368350000166</v>
      </c>
      <c r="B8607" s="34" t="s">
        <v>17894</v>
      </c>
      <c r="C8607" s="34" t="s">
        <v>107</v>
      </c>
      <c r="E8607" s="30" t="s">
        <v>17895</v>
      </c>
      <c r="F8607" s="34" t="n">
        <f aca="false">IFERROR(VLOOKUP($A8607,'319'!$B:$H,7,0),0)</f>
        <v>0</v>
      </c>
      <c r="G8607" s="34" t="n">
        <f aca="false">SUMIFS('12.326ana'!$C:$C,'12.326ana'!$M:$M,redes!A8607)</f>
        <v>0</v>
      </c>
    </row>
    <row r="8608" customFormat="false" ht="14.4" hidden="true" customHeight="false" outlineLevel="0" collapsed="false">
      <c r="A8608" s="34" t="n">
        <v>4371872000117</v>
      </c>
      <c r="B8608" s="34" t="s">
        <v>17896</v>
      </c>
      <c r="C8608" s="34" t="s">
        <v>764</v>
      </c>
      <c r="E8608" s="30" t="s">
        <v>17897</v>
      </c>
      <c r="F8608" s="34" t="n">
        <f aca="false">IFERROR(VLOOKUP($A8608,'319'!$B:$H,7,0),0)</f>
        <v>0</v>
      </c>
      <c r="G8608" s="34" t="n">
        <f aca="false">SUMIFS('12.326ana'!$C:$C,'12.326ana'!$M:$M,redes!A8608)</f>
        <v>0</v>
      </c>
    </row>
    <row r="8609" customFormat="false" ht="14.4" hidden="true" customHeight="false" outlineLevel="0" collapsed="false">
      <c r="A8609" s="34" t="n">
        <v>4374599000184</v>
      </c>
      <c r="B8609" s="34" t="s">
        <v>17898</v>
      </c>
      <c r="C8609" s="34" t="s">
        <v>77</v>
      </c>
      <c r="E8609" s="30" t="s">
        <v>10626</v>
      </c>
      <c r="F8609" s="34" t="n">
        <f aca="false">IFERROR(VLOOKUP($A8609,'319'!$B:$H,7,0),0)</f>
        <v>0</v>
      </c>
      <c r="G8609" s="34" t="n">
        <f aca="false">SUMIFS('12.326ana'!$C:$C,'12.326ana'!$M:$M,redes!A8609)</f>
        <v>0</v>
      </c>
    </row>
    <row r="8610" customFormat="false" ht="14.4" hidden="true" customHeight="false" outlineLevel="0" collapsed="false">
      <c r="A8610" s="34" t="n">
        <v>4376255000104</v>
      </c>
      <c r="B8610" s="34" t="s">
        <v>17899</v>
      </c>
      <c r="C8610" s="34" t="s">
        <v>357</v>
      </c>
      <c r="E8610" s="30" t="s">
        <v>17900</v>
      </c>
      <c r="F8610" s="34" t="n">
        <f aca="false">IFERROR(VLOOKUP($A8610,'319'!$B:$H,7,0),0)</f>
        <v>0</v>
      </c>
      <c r="G8610" s="34" t="n">
        <f aca="false">SUMIFS('12.326ana'!$C:$C,'12.326ana'!$M:$M,redes!A8610)</f>
        <v>0</v>
      </c>
    </row>
    <row r="8611" customFormat="false" ht="14.4" hidden="true" customHeight="false" outlineLevel="0" collapsed="false">
      <c r="A8611" s="34" t="n">
        <v>4378124000166</v>
      </c>
      <c r="B8611" s="34" t="s">
        <v>17901</v>
      </c>
      <c r="C8611" s="34" t="s">
        <v>4418</v>
      </c>
      <c r="E8611" s="30" t="s">
        <v>17902</v>
      </c>
      <c r="F8611" s="34" t="n">
        <f aca="false">IFERROR(VLOOKUP($A8611,'319'!$B:$H,7,0),0)</f>
        <v>0</v>
      </c>
      <c r="G8611" s="34" t="n">
        <f aca="false">SUMIFS('12.326ana'!$C:$C,'12.326ana'!$M:$M,redes!A8611)</f>
        <v>0</v>
      </c>
    </row>
    <row r="8612" customFormat="false" ht="14.4" hidden="true" customHeight="false" outlineLevel="0" collapsed="false">
      <c r="A8612" s="34" t="n">
        <v>4378963000184</v>
      </c>
      <c r="B8612" s="34" t="s">
        <v>17903</v>
      </c>
      <c r="C8612" s="34" t="s">
        <v>107</v>
      </c>
      <c r="E8612" s="30" t="s">
        <v>17904</v>
      </c>
      <c r="F8612" s="34" t="n">
        <f aca="false">IFERROR(VLOOKUP($A8612,'319'!$B:$H,7,0),0)</f>
        <v>0</v>
      </c>
      <c r="G8612" s="34" t="n">
        <f aca="false">SUMIFS('12.326ana'!$C:$C,'12.326ana'!$M:$M,redes!A8612)</f>
        <v>0</v>
      </c>
    </row>
    <row r="8613" customFormat="false" ht="14.4" hidden="true" customHeight="false" outlineLevel="0" collapsed="false">
      <c r="A8613" s="34" t="n">
        <v>4379374000110</v>
      </c>
      <c r="B8613" s="34" t="s">
        <v>17905</v>
      </c>
      <c r="C8613" s="34" t="s">
        <v>192</v>
      </c>
      <c r="E8613" s="30" t="s">
        <v>14799</v>
      </c>
      <c r="F8613" s="34" t="n">
        <f aca="false">IFERROR(VLOOKUP($A8613,'319'!$B:$H,7,0),0)</f>
        <v>0</v>
      </c>
      <c r="G8613" s="34" t="n">
        <f aca="false">SUMIFS('12.326ana'!$C:$C,'12.326ana'!$M:$M,redes!A8613)</f>
        <v>0</v>
      </c>
    </row>
    <row r="8614" customFormat="false" ht="14.4" hidden="true" customHeight="false" outlineLevel="0" collapsed="false">
      <c r="A8614" s="34" t="n">
        <v>4379516000140</v>
      </c>
      <c r="B8614" s="34" t="s">
        <v>17906</v>
      </c>
      <c r="C8614" s="34" t="s">
        <v>342</v>
      </c>
      <c r="E8614" s="30" t="s">
        <v>17907</v>
      </c>
      <c r="F8614" s="34" t="n">
        <f aca="false">IFERROR(VLOOKUP($A8614,'319'!$B:$H,7,0),0)</f>
        <v>0</v>
      </c>
      <c r="G8614" s="34" t="n">
        <f aca="false">SUMIFS('12.326ana'!$C:$C,'12.326ana'!$M:$M,redes!A8614)</f>
        <v>0</v>
      </c>
    </row>
    <row r="8615" customFormat="false" ht="14.4" hidden="true" customHeight="false" outlineLevel="0" collapsed="false">
      <c r="A8615" s="34" t="n">
        <v>4379726000138</v>
      </c>
      <c r="B8615" s="34" t="s">
        <v>17908</v>
      </c>
      <c r="C8615" s="34" t="s">
        <v>77</v>
      </c>
      <c r="E8615" s="30" t="s">
        <v>17909</v>
      </c>
      <c r="F8615" s="34" t="n">
        <f aca="false">IFERROR(VLOOKUP($A8615,'319'!$B:$H,7,0),0)</f>
        <v>0</v>
      </c>
      <c r="G8615" s="34" t="n">
        <f aca="false">SUMIFS('12.326ana'!$C:$C,'12.326ana'!$M:$M,redes!A8615)</f>
        <v>0</v>
      </c>
    </row>
    <row r="8616" customFormat="false" ht="14.4" hidden="true" customHeight="false" outlineLevel="0" collapsed="false">
      <c r="A8616" s="34" t="n">
        <v>4382873000167</v>
      </c>
      <c r="B8616" s="34" t="s">
        <v>17910</v>
      </c>
      <c r="C8616" s="34" t="s">
        <v>77</v>
      </c>
      <c r="D8616" s="34" t="s">
        <v>5602</v>
      </c>
      <c r="E8616" s="30" t="s">
        <v>17911</v>
      </c>
      <c r="F8616" s="34" t="n">
        <f aca="false">IFERROR(VLOOKUP($A8616,'319'!$B:$H,7,0),0)</f>
        <v>0</v>
      </c>
      <c r="G8616" s="34" t="n">
        <f aca="false">SUMIFS('12.326ana'!$C:$C,'12.326ana'!$M:$M,redes!A8616)</f>
        <v>0</v>
      </c>
    </row>
    <row r="8617" customFormat="false" ht="14.4" hidden="true" customHeight="false" outlineLevel="0" collapsed="false">
      <c r="A8617" s="34" t="n">
        <v>4383092000197</v>
      </c>
      <c r="B8617" s="34" t="s">
        <v>17912</v>
      </c>
      <c r="C8617" s="34" t="s">
        <v>744</v>
      </c>
      <c r="E8617" s="30" t="s">
        <v>17913</v>
      </c>
      <c r="F8617" s="34" t="n">
        <f aca="false">IFERROR(VLOOKUP($A8617,'319'!$B:$H,7,0),0)</f>
        <v>0</v>
      </c>
      <c r="G8617" s="34" t="n">
        <f aca="false">SUMIFS('12.326ana'!$C:$C,'12.326ana'!$M:$M,redes!A8617)</f>
        <v>0</v>
      </c>
    </row>
    <row r="8618" customFormat="false" ht="14.4" hidden="true" customHeight="false" outlineLevel="0" collapsed="false">
      <c r="A8618" s="34" t="n">
        <v>4383518000102</v>
      </c>
      <c r="B8618" s="34" t="s">
        <v>17914</v>
      </c>
      <c r="C8618" s="34" t="s">
        <v>7250</v>
      </c>
      <c r="E8618" s="30" t="s">
        <v>17915</v>
      </c>
      <c r="F8618" s="34" t="n">
        <f aca="false">IFERROR(VLOOKUP($A8618,'319'!$B:$H,7,0),0)</f>
        <v>0</v>
      </c>
      <c r="G8618" s="34" t="n">
        <f aca="false">SUMIFS('12.326ana'!$C:$C,'12.326ana'!$M:$M,redes!A8618)</f>
        <v>0</v>
      </c>
    </row>
    <row r="8619" customFormat="false" ht="14.4" hidden="true" customHeight="false" outlineLevel="0" collapsed="false">
      <c r="A8619" s="34" t="n">
        <v>4383607000230</v>
      </c>
      <c r="B8619" s="34" t="s">
        <v>17916</v>
      </c>
      <c r="C8619" s="34" t="s">
        <v>77</v>
      </c>
      <c r="E8619" s="30" t="s">
        <v>17917</v>
      </c>
      <c r="F8619" s="34" t="n">
        <f aca="false">IFERROR(VLOOKUP($A8619,'319'!$B:$H,7,0),0)</f>
        <v>0</v>
      </c>
      <c r="G8619" s="34" t="n">
        <f aca="false">SUMIFS('12.326ana'!$C:$C,'12.326ana'!$M:$M,redes!A8619)</f>
        <v>0</v>
      </c>
    </row>
    <row r="8620" customFormat="false" ht="14.4" hidden="true" customHeight="false" outlineLevel="0" collapsed="false">
      <c r="A8620" s="34" t="n">
        <v>4383702000152</v>
      </c>
      <c r="B8620" s="34" t="s">
        <v>17918</v>
      </c>
      <c r="C8620" s="34" t="s">
        <v>77</v>
      </c>
      <c r="E8620" s="30" t="s">
        <v>17919</v>
      </c>
      <c r="F8620" s="34" t="n">
        <f aca="false">IFERROR(VLOOKUP($A8620,'319'!$B:$H,7,0),0)</f>
        <v>0</v>
      </c>
      <c r="G8620" s="34" t="n">
        <f aca="false">SUMIFS('12.326ana'!$C:$C,'12.326ana'!$M:$M,redes!A8620)</f>
        <v>0</v>
      </c>
    </row>
    <row r="8621" customFormat="false" ht="14.4" hidden="true" customHeight="false" outlineLevel="0" collapsed="false">
      <c r="A8621" s="34" t="n">
        <v>4386713000196</v>
      </c>
      <c r="B8621" s="34" t="s">
        <v>17920</v>
      </c>
      <c r="C8621" s="34" t="s">
        <v>103</v>
      </c>
      <c r="E8621" s="30" t="s">
        <v>17921</v>
      </c>
      <c r="F8621" s="34" t="n">
        <f aca="false">IFERROR(VLOOKUP($A8621,'319'!$B:$H,7,0),0)</f>
        <v>0</v>
      </c>
      <c r="G8621" s="34" t="n">
        <f aca="false">SUMIFS('12.326ana'!$C:$C,'12.326ana'!$M:$M,redes!A8621)</f>
        <v>0</v>
      </c>
    </row>
    <row r="8622" customFormat="false" ht="14.4" hidden="true" customHeight="false" outlineLevel="0" collapsed="false">
      <c r="A8622" s="34" t="n">
        <v>4386969000101</v>
      </c>
      <c r="B8622" s="34" t="s">
        <v>17922</v>
      </c>
      <c r="C8622" s="34" t="s">
        <v>737</v>
      </c>
      <c r="E8622" s="30" t="s">
        <v>17923</v>
      </c>
      <c r="F8622" s="34" t="n">
        <f aca="false">IFERROR(VLOOKUP($A8622,'319'!$B:$H,7,0),0)</f>
        <v>0</v>
      </c>
      <c r="G8622" s="34" t="n">
        <f aca="false">SUMIFS('12.326ana'!$C:$C,'12.326ana'!$M:$M,redes!A8622)</f>
        <v>0</v>
      </c>
    </row>
    <row r="8623" customFormat="false" ht="14.4" hidden="true" customHeight="false" outlineLevel="0" collapsed="false">
      <c r="A8623" s="34" t="n">
        <v>4389863000153</v>
      </c>
      <c r="B8623" s="34" t="s">
        <v>17924</v>
      </c>
      <c r="C8623" s="34" t="s">
        <v>309</v>
      </c>
      <c r="E8623" s="30" t="s">
        <v>7999</v>
      </c>
      <c r="F8623" s="34" t="n">
        <f aca="false">IFERROR(VLOOKUP($A8623,'319'!$B:$H,7,0),0)</f>
        <v>0</v>
      </c>
      <c r="G8623" s="34" t="n">
        <f aca="false">SUMIFS('12.326ana'!$C:$C,'12.326ana'!$M:$M,redes!A8623)</f>
        <v>0</v>
      </c>
    </row>
    <row r="8624" customFormat="false" ht="14.4" hidden="true" customHeight="false" outlineLevel="0" collapsed="false">
      <c r="A8624" s="34" t="n">
        <v>4392466000130</v>
      </c>
      <c r="B8624" s="34" t="s">
        <v>17925</v>
      </c>
      <c r="C8624" s="34" t="s">
        <v>77</v>
      </c>
      <c r="E8624" s="30" t="s">
        <v>17926</v>
      </c>
      <c r="F8624" s="34" t="n">
        <f aca="false">IFERROR(VLOOKUP($A8624,'319'!$B:$H,7,0),0)</f>
        <v>0</v>
      </c>
      <c r="G8624" s="34" t="n">
        <f aca="false">SUMIFS('12.326ana'!$C:$C,'12.326ana'!$M:$M,redes!A8624)</f>
        <v>0</v>
      </c>
    </row>
    <row r="8625" customFormat="false" ht="14.4" hidden="true" customHeight="false" outlineLevel="0" collapsed="false">
      <c r="A8625" s="34" t="n">
        <v>4392998000178</v>
      </c>
      <c r="B8625" s="34" t="s">
        <v>17927</v>
      </c>
      <c r="C8625" s="34" t="s">
        <v>77</v>
      </c>
      <c r="E8625" s="30" t="s">
        <v>17928</v>
      </c>
      <c r="F8625" s="34" t="n">
        <f aca="false">IFERROR(VLOOKUP($A8625,'319'!$B:$H,7,0),0)</f>
        <v>0</v>
      </c>
      <c r="G8625" s="34" t="n">
        <f aca="false">SUMIFS('12.326ana'!$C:$C,'12.326ana'!$M:$M,redes!A8625)</f>
        <v>0</v>
      </c>
    </row>
    <row r="8626" customFormat="false" ht="14.4" hidden="true" customHeight="false" outlineLevel="0" collapsed="false">
      <c r="A8626" s="34" t="n">
        <v>4393018000151</v>
      </c>
      <c r="B8626" s="34" t="s">
        <v>17929</v>
      </c>
      <c r="C8626" s="34" t="s">
        <v>107</v>
      </c>
      <c r="E8626" s="30" t="s">
        <v>17930</v>
      </c>
      <c r="F8626" s="34" t="n">
        <f aca="false">IFERROR(VLOOKUP($A8626,'319'!$B:$H,7,0),0)</f>
        <v>0</v>
      </c>
      <c r="G8626" s="34" t="n">
        <f aca="false">SUMIFS('12.326ana'!$C:$C,'12.326ana'!$M:$M,redes!A8626)</f>
        <v>0</v>
      </c>
    </row>
    <row r="8627" customFormat="false" ht="14.4" hidden="true" customHeight="false" outlineLevel="0" collapsed="false">
      <c r="A8627" s="35" t="n">
        <v>4395168000102</v>
      </c>
      <c r="B8627" s="34" t="s">
        <v>17931</v>
      </c>
      <c r="C8627" s="34" t="s">
        <v>781</v>
      </c>
      <c r="E8627" s="30" t="s">
        <v>17932</v>
      </c>
      <c r="F8627" s="34" t="n">
        <f aca="false">IFERROR(VLOOKUP($A8627,'319'!$B:$H,7,0),0)</f>
        <v>0</v>
      </c>
      <c r="G8627" s="34" t="n">
        <f aca="false">SUMIFS('12.326ana'!$C:$C,'12.326ana'!$M:$M,redes!A8627)</f>
        <v>0</v>
      </c>
    </row>
    <row r="8628" customFormat="false" ht="14.4" hidden="true" customHeight="false" outlineLevel="0" collapsed="false">
      <c r="A8628" s="34" t="n">
        <v>4395762000195</v>
      </c>
      <c r="B8628" s="34" t="s">
        <v>4833</v>
      </c>
      <c r="C8628" s="34" t="s">
        <v>478</v>
      </c>
      <c r="E8628" s="30" t="s">
        <v>17933</v>
      </c>
      <c r="F8628" s="34" t="n">
        <f aca="false">IFERROR(VLOOKUP($A8628,'319'!$B:$H,7,0),0)</f>
        <v>0</v>
      </c>
      <c r="G8628" s="34" t="n">
        <f aca="false">SUMIFS('12.326ana'!$C:$C,'12.326ana'!$M:$M,redes!A8628)</f>
        <v>0</v>
      </c>
    </row>
    <row r="8629" customFormat="false" ht="14.4" hidden="true" customHeight="false" outlineLevel="0" collapsed="false">
      <c r="A8629" s="34" t="n">
        <v>4398347000195</v>
      </c>
      <c r="B8629" s="34" t="s">
        <v>17934</v>
      </c>
      <c r="C8629" s="34" t="s">
        <v>881</v>
      </c>
      <c r="E8629" s="30" t="s">
        <v>17935</v>
      </c>
      <c r="F8629" s="34" t="n">
        <f aca="false">IFERROR(VLOOKUP($A8629,'319'!$B:$H,7,0),0)</f>
        <v>0</v>
      </c>
      <c r="G8629" s="34" t="n">
        <f aca="false">SUMIFS('12.326ana'!$C:$C,'12.326ana'!$M:$M,redes!A8629)</f>
        <v>0</v>
      </c>
    </row>
    <row r="8630" customFormat="false" ht="14.4" hidden="true" customHeight="false" outlineLevel="0" collapsed="false">
      <c r="A8630" s="34" t="n">
        <v>4398528000111</v>
      </c>
      <c r="B8630" s="34" t="s">
        <v>17936</v>
      </c>
      <c r="C8630" s="34" t="s">
        <v>631</v>
      </c>
      <c r="E8630" s="30" t="s">
        <v>13616</v>
      </c>
      <c r="F8630" s="34" t="n">
        <f aca="false">IFERROR(VLOOKUP($A8630,'319'!$B:$H,7,0),0)</f>
        <v>0</v>
      </c>
      <c r="G8630" s="34" t="n">
        <f aca="false">SUMIFS('12.326ana'!$C:$C,'12.326ana'!$M:$M,redes!A8630)</f>
        <v>0</v>
      </c>
    </row>
    <row r="8631" customFormat="false" ht="14.4" hidden="true" customHeight="false" outlineLevel="0" collapsed="false">
      <c r="A8631" s="34" t="n">
        <v>4400469000179</v>
      </c>
      <c r="B8631" s="34" t="s">
        <v>17937</v>
      </c>
      <c r="C8631" s="34" t="s">
        <v>77</v>
      </c>
      <c r="E8631" s="30" t="s">
        <v>6424</v>
      </c>
      <c r="F8631" s="34" t="n">
        <f aca="false">IFERROR(VLOOKUP($A8631,'319'!$B:$H,7,0),0)</f>
        <v>0</v>
      </c>
      <c r="G8631" s="34" t="n">
        <f aca="false">SUMIFS('12.326ana'!$C:$C,'12.326ana'!$M:$M,redes!A8631)</f>
        <v>0</v>
      </c>
    </row>
    <row r="8632" customFormat="false" ht="14.4" hidden="true" customHeight="false" outlineLevel="0" collapsed="false">
      <c r="A8632" s="34" t="n">
        <v>4400502000160</v>
      </c>
      <c r="B8632" s="34" t="s">
        <v>17938</v>
      </c>
      <c r="C8632" s="34" t="s">
        <v>77</v>
      </c>
      <c r="E8632" s="30" t="s">
        <v>17939</v>
      </c>
      <c r="F8632" s="34" t="n">
        <f aca="false">IFERROR(VLOOKUP($A8632,'319'!$B:$H,7,0),0)</f>
        <v>0</v>
      </c>
      <c r="G8632" s="34" t="n">
        <f aca="false">SUMIFS('12.326ana'!$C:$C,'12.326ana'!$M:$M,redes!A8632)</f>
        <v>0</v>
      </c>
    </row>
    <row r="8633" customFormat="false" ht="14.4" hidden="true" customHeight="false" outlineLevel="0" collapsed="false">
      <c r="A8633" s="34" t="n">
        <v>4400733000174</v>
      </c>
      <c r="B8633" s="34" t="s">
        <v>17940</v>
      </c>
      <c r="C8633" s="34" t="s">
        <v>77</v>
      </c>
      <c r="E8633" s="30" t="s">
        <v>17941</v>
      </c>
      <c r="F8633" s="34" t="n">
        <f aca="false">IFERROR(VLOOKUP($A8633,'319'!$B:$H,7,0),0)</f>
        <v>0</v>
      </c>
      <c r="G8633" s="34" t="n">
        <f aca="false">SUMIFS('12.326ana'!$C:$C,'12.326ana'!$M:$M,redes!A8633)</f>
        <v>0</v>
      </c>
    </row>
    <row r="8634" customFormat="false" ht="14.4" hidden="true" customHeight="false" outlineLevel="0" collapsed="false">
      <c r="A8634" s="34" t="n">
        <v>4401111000160</v>
      </c>
      <c r="B8634" s="34" t="s">
        <v>17942</v>
      </c>
      <c r="C8634" s="34" t="s">
        <v>77</v>
      </c>
      <c r="E8634" s="30" t="s">
        <v>4399</v>
      </c>
      <c r="F8634" s="34" t="n">
        <f aca="false">IFERROR(VLOOKUP($A8634,'319'!$B:$H,7,0),0)</f>
        <v>0</v>
      </c>
      <c r="G8634" s="34" t="n">
        <f aca="false">SUMIFS('12.326ana'!$C:$C,'12.326ana'!$M:$M,redes!A8634)</f>
        <v>0</v>
      </c>
    </row>
    <row r="8635" customFormat="false" ht="14.4" hidden="true" customHeight="false" outlineLevel="0" collapsed="false">
      <c r="A8635" s="34" t="n">
        <v>4402815000158</v>
      </c>
      <c r="B8635" s="34" t="s">
        <v>17943</v>
      </c>
      <c r="C8635" s="34" t="s">
        <v>77</v>
      </c>
      <c r="E8635" s="30" t="s">
        <v>11842</v>
      </c>
      <c r="F8635" s="34" t="n">
        <f aca="false">IFERROR(VLOOKUP($A8635,'319'!$B:$H,7,0),0)</f>
        <v>0</v>
      </c>
      <c r="G8635" s="34" t="n">
        <f aca="false">SUMIFS('12.326ana'!$C:$C,'12.326ana'!$M:$M,redes!A8635)</f>
        <v>0</v>
      </c>
    </row>
    <row r="8636" customFormat="false" ht="14.4" hidden="true" customHeight="false" outlineLevel="0" collapsed="false">
      <c r="A8636" s="34" t="n">
        <v>4403784000150</v>
      </c>
      <c r="B8636" s="34" t="s">
        <v>17944</v>
      </c>
      <c r="C8636" s="34" t="s">
        <v>107</v>
      </c>
      <c r="D8636" s="34" t="s">
        <v>4797</v>
      </c>
      <c r="E8636" s="30" t="s">
        <v>17945</v>
      </c>
      <c r="F8636" s="34" t="n">
        <f aca="false">IFERROR(VLOOKUP($A8636,'319'!$B:$H,7,0),0)</f>
        <v>0</v>
      </c>
      <c r="G8636" s="34" t="n">
        <f aca="false">SUMIFS('12.326ana'!$C:$C,'12.326ana'!$M:$M,redes!A8636)</f>
        <v>0</v>
      </c>
    </row>
    <row r="8637" customFormat="false" ht="14.4" hidden="true" customHeight="false" outlineLevel="0" collapsed="false">
      <c r="A8637" s="34" t="n">
        <v>4403902000120</v>
      </c>
      <c r="B8637" s="34" t="s">
        <v>17946</v>
      </c>
      <c r="C8637" s="34" t="s">
        <v>979</v>
      </c>
      <c r="E8637" s="30"/>
      <c r="F8637" s="34" t="n">
        <f aca="false">IFERROR(VLOOKUP($A8637,'319'!$B:$H,7,0),0)</f>
        <v>0</v>
      </c>
      <c r="G8637" s="34" t="n">
        <f aca="false">SUMIFS('12.326ana'!$C:$C,'12.326ana'!$M:$M,redes!A8637)</f>
        <v>0</v>
      </c>
    </row>
    <row r="8638" customFormat="false" ht="14.4" hidden="true" customHeight="false" outlineLevel="0" collapsed="false">
      <c r="A8638" s="34" t="n">
        <v>4403985000157</v>
      </c>
      <c r="B8638" s="34" t="s">
        <v>17947</v>
      </c>
      <c r="C8638" s="34" t="s">
        <v>77</v>
      </c>
      <c r="E8638" s="30" t="s">
        <v>17948</v>
      </c>
      <c r="F8638" s="34" t="n">
        <f aca="false">IFERROR(VLOOKUP($A8638,'319'!$B:$H,7,0),0)</f>
        <v>0</v>
      </c>
      <c r="G8638" s="34" t="n">
        <f aca="false">SUMIFS('12.326ana'!$C:$C,'12.326ana'!$M:$M,redes!A8638)</f>
        <v>0</v>
      </c>
    </row>
    <row r="8639" customFormat="false" ht="14.4" hidden="true" customHeight="false" outlineLevel="0" collapsed="false">
      <c r="A8639" s="34" t="n">
        <v>4404906000122</v>
      </c>
      <c r="B8639" s="34" t="s">
        <v>17949</v>
      </c>
      <c r="C8639" s="34" t="s">
        <v>103</v>
      </c>
      <c r="E8639" s="30" t="s">
        <v>17950</v>
      </c>
      <c r="F8639" s="34" t="n">
        <f aca="false">IFERROR(VLOOKUP($A8639,'319'!$B:$H,7,0),0)</f>
        <v>0</v>
      </c>
      <c r="G8639" s="34" t="n">
        <f aca="false">SUMIFS('12.326ana'!$C:$C,'12.326ana'!$M:$M,redes!A8639)</f>
        <v>0</v>
      </c>
    </row>
    <row r="8640" customFormat="false" ht="14.4" hidden="true" customHeight="false" outlineLevel="0" collapsed="false">
      <c r="A8640" s="34" t="n">
        <v>4406331000187</v>
      </c>
      <c r="B8640" s="34" t="s">
        <v>17951</v>
      </c>
      <c r="C8640" s="34" t="s">
        <v>473</v>
      </c>
      <c r="E8640" s="30" t="s">
        <v>17952</v>
      </c>
      <c r="F8640" s="34" t="n">
        <f aca="false">IFERROR(VLOOKUP($A8640,'319'!$B:$H,7,0),0)</f>
        <v>0</v>
      </c>
      <c r="G8640" s="34" t="n">
        <f aca="false">SUMIFS('12.326ana'!$C:$C,'12.326ana'!$M:$M,redes!A8640)</f>
        <v>0</v>
      </c>
    </row>
    <row r="8641" customFormat="false" ht="14.4" hidden="true" customHeight="false" outlineLevel="0" collapsed="false">
      <c r="A8641" s="34" t="n">
        <v>4408674000180</v>
      </c>
      <c r="B8641" s="34" t="s">
        <v>17953</v>
      </c>
      <c r="C8641" s="34" t="s">
        <v>604</v>
      </c>
      <c r="E8641" s="30" t="s">
        <v>17954</v>
      </c>
      <c r="F8641" s="34" t="n">
        <f aca="false">IFERROR(VLOOKUP($A8641,'319'!$B:$H,7,0),0)</f>
        <v>0</v>
      </c>
      <c r="G8641" s="34" t="n">
        <f aca="false">SUMIFS('12.326ana'!$C:$C,'12.326ana'!$M:$M,redes!A8641)</f>
        <v>0</v>
      </c>
    </row>
    <row r="8642" customFormat="false" ht="14.4" hidden="true" customHeight="false" outlineLevel="0" collapsed="false">
      <c r="A8642" s="34" t="n">
        <v>4409232000159</v>
      </c>
      <c r="B8642" s="34" t="s">
        <v>17955</v>
      </c>
      <c r="C8642" s="34" t="s">
        <v>478</v>
      </c>
      <c r="E8642" s="30" t="s">
        <v>3579</v>
      </c>
      <c r="F8642" s="34" t="n">
        <f aca="false">IFERROR(VLOOKUP($A8642,'319'!$B:$H,7,0),0)</f>
        <v>0</v>
      </c>
      <c r="G8642" s="34" t="n">
        <f aca="false">SUMIFS('12.326ana'!$C:$C,'12.326ana'!$M:$M,redes!A8642)</f>
        <v>0</v>
      </c>
    </row>
    <row r="8643" customFormat="false" ht="14.4" hidden="true" customHeight="false" outlineLevel="0" collapsed="false">
      <c r="A8643" s="34" t="n">
        <v>4409393000142</v>
      </c>
      <c r="B8643" s="34" t="s">
        <v>17956</v>
      </c>
      <c r="C8643" s="34" t="s">
        <v>463</v>
      </c>
      <c r="E8643" s="30" t="s">
        <v>9609</v>
      </c>
      <c r="F8643" s="34" t="n">
        <f aca="false">IFERROR(VLOOKUP($A8643,'319'!$B:$H,7,0),0)</f>
        <v>0</v>
      </c>
      <c r="G8643" s="34" t="n">
        <f aca="false">SUMIFS('12.326ana'!$C:$C,'12.326ana'!$M:$M,redes!A8643)</f>
        <v>0</v>
      </c>
    </row>
    <row r="8644" customFormat="false" ht="14.4" hidden="true" customHeight="false" outlineLevel="0" collapsed="false">
      <c r="A8644" s="34" t="n">
        <v>4409523000147</v>
      </c>
      <c r="B8644" s="34" t="s">
        <v>17957</v>
      </c>
      <c r="C8644" s="34" t="s">
        <v>77</v>
      </c>
      <c r="D8644" s="34" t="s">
        <v>23</v>
      </c>
      <c r="E8644" s="30" t="s">
        <v>17958</v>
      </c>
      <c r="F8644" s="34" t="n">
        <f aca="false">IFERROR(VLOOKUP($A8644,'319'!$B:$H,7,0),0)</f>
        <v>0</v>
      </c>
      <c r="G8644" s="34" t="n">
        <f aca="false">SUMIFS('12.326ana'!$C:$C,'12.326ana'!$M:$M,redes!A8644)</f>
        <v>0</v>
      </c>
    </row>
    <row r="8645" customFormat="false" ht="14.4" hidden="true" customHeight="false" outlineLevel="0" collapsed="false">
      <c r="A8645" s="34" t="n">
        <v>4411030000141</v>
      </c>
      <c r="B8645" s="34" t="s">
        <v>17959</v>
      </c>
      <c r="C8645" s="34" t="s">
        <v>631</v>
      </c>
      <c r="E8645" s="30" t="s">
        <v>17960</v>
      </c>
      <c r="F8645" s="34" t="n">
        <f aca="false">IFERROR(VLOOKUP($A8645,'319'!$B:$H,7,0),0)</f>
        <v>0</v>
      </c>
      <c r="G8645" s="34" t="n">
        <f aca="false">SUMIFS('12.326ana'!$C:$C,'12.326ana'!$M:$M,redes!A8645)</f>
        <v>0</v>
      </c>
    </row>
    <row r="8646" customFormat="false" ht="14.4" hidden="true" customHeight="false" outlineLevel="0" collapsed="false">
      <c r="A8646" s="34" t="n">
        <v>4411142000100</v>
      </c>
      <c r="B8646" s="34" t="s">
        <v>17961</v>
      </c>
      <c r="C8646" s="34" t="s">
        <v>107</v>
      </c>
      <c r="E8646" s="30" t="s">
        <v>15447</v>
      </c>
      <c r="F8646" s="34" t="n">
        <f aca="false">IFERROR(VLOOKUP($A8646,'319'!$B:$H,7,0),0)</f>
        <v>0</v>
      </c>
      <c r="G8646" s="34" t="n">
        <f aca="false">SUMIFS('12.326ana'!$C:$C,'12.326ana'!$M:$M,redes!A8646)</f>
        <v>0</v>
      </c>
    </row>
    <row r="8647" customFormat="false" ht="14.4" hidden="true" customHeight="false" outlineLevel="0" collapsed="false">
      <c r="A8647" s="34" t="n">
        <v>4413532000101</v>
      </c>
      <c r="B8647" s="34" t="s">
        <v>17962</v>
      </c>
      <c r="C8647" s="34" t="s">
        <v>107</v>
      </c>
      <c r="E8647" s="30" t="s">
        <v>17963</v>
      </c>
      <c r="F8647" s="34" t="n">
        <f aca="false">IFERROR(VLOOKUP($A8647,'319'!$B:$H,7,0),0)</f>
        <v>0</v>
      </c>
      <c r="G8647" s="34" t="n">
        <f aca="false">SUMIFS('12.326ana'!$C:$C,'12.326ana'!$M:$M,redes!A8647)</f>
        <v>0</v>
      </c>
    </row>
    <row r="8648" customFormat="false" ht="14.4" hidden="true" customHeight="false" outlineLevel="0" collapsed="false">
      <c r="A8648" s="34" t="n">
        <v>4414886000170</v>
      </c>
      <c r="B8648" s="34" t="s">
        <v>17964</v>
      </c>
      <c r="C8648" s="34" t="s">
        <v>377</v>
      </c>
      <c r="E8648" s="30" t="s">
        <v>17965</v>
      </c>
      <c r="F8648" s="34" t="n">
        <f aca="false">IFERROR(VLOOKUP($A8648,'319'!$B:$H,7,0),0)</f>
        <v>0</v>
      </c>
      <c r="G8648" s="34" t="n">
        <f aca="false">SUMIFS('12.326ana'!$C:$C,'12.326ana'!$M:$M,redes!A8648)</f>
        <v>0</v>
      </c>
    </row>
    <row r="8649" customFormat="false" ht="14.4" hidden="true" customHeight="false" outlineLevel="0" collapsed="false">
      <c r="A8649" s="34" t="n">
        <v>4416365000152</v>
      </c>
      <c r="B8649" s="34" t="s">
        <v>17966</v>
      </c>
      <c r="C8649" s="34" t="s">
        <v>89</v>
      </c>
      <c r="E8649" s="30" t="s">
        <v>17967</v>
      </c>
      <c r="F8649" s="34" t="n">
        <f aca="false">IFERROR(VLOOKUP($A8649,'319'!$B:$H,7,0),0)</f>
        <v>0</v>
      </c>
      <c r="G8649" s="34" t="n">
        <f aca="false">SUMIFS('12.326ana'!$C:$C,'12.326ana'!$M:$M,redes!A8649)</f>
        <v>0</v>
      </c>
    </row>
    <row r="8650" customFormat="false" ht="14.4" hidden="true" customHeight="false" outlineLevel="0" collapsed="false">
      <c r="A8650" s="34" t="n">
        <v>4416395000169</v>
      </c>
      <c r="B8650" s="34" t="s">
        <v>17968</v>
      </c>
      <c r="C8650" s="34" t="s">
        <v>77</v>
      </c>
      <c r="E8650" s="30" t="s">
        <v>17969</v>
      </c>
      <c r="F8650" s="34" t="n">
        <f aca="false">IFERROR(VLOOKUP($A8650,'319'!$B:$H,7,0),0)</f>
        <v>0</v>
      </c>
      <c r="G8650" s="34" t="n">
        <f aca="false">SUMIFS('12.326ana'!$C:$C,'12.326ana'!$M:$M,redes!A8650)</f>
        <v>0</v>
      </c>
    </row>
    <row r="8651" customFormat="false" ht="14.4" hidden="true" customHeight="false" outlineLevel="0" collapsed="false">
      <c r="A8651" s="34" t="n">
        <v>4416439000150</v>
      </c>
      <c r="B8651" s="34" t="s">
        <v>5078</v>
      </c>
      <c r="C8651" s="34" t="s">
        <v>77</v>
      </c>
      <c r="E8651" s="30" t="s">
        <v>17970</v>
      </c>
      <c r="F8651" s="34" t="n">
        <f aca="false">IFERROR(VLOOKUP($A8651,'319'!$B:$H,7,0),0)</f>
        <v>0</v>
      </c>
      <c r="G8651" s="34" t="n">
        <f aca="false">SUMIFS('12.326ana'!$C:$C,'12.326ana'!$M:$M,redes!A8651)</f>
        <v>0</v>
      </c>
    </row>
    <row r="8652" customFormat="false" ht="14.4" hidden="true" customHeight="false" outlineLevel="0" collapsed="false">
      <c r="A8652" s="34" t="n">
        <v>4418172000130</v>
      </c>
      <c r="B8652" s="34" t="s">
        <v>17971</v>
      </c>
      <c r="C8652" s="34" t="s">
        <v>77</v>
      </c>
      <c r="E8652" s="30" t="s">
        <v>13202</v>
      </c>
      <c r="F8652" s="34" t="n">
        <f aca="false">IFERROR(VLOOKUP($A8652,'319'!$B:$H,7,0),0)</f>
        <v>0</v>
      </c>
      <c r="G8652" s="34" t="n">
        <f aca="false">SUMIFS('12.326ana'!$C:$C,'12.326ana'!$M:$M,redes!A8652)</f>
        <v>0</v>
      </c>
    </row>
    <row r="8653" customFormat="false" ht="14.4" hidden="true" customHeight="false" outlineLevel="0" collapsed="false">
      <c r="A8653" s="34" t="n">
        <v>4418571000100</v>
      </c>
      <c r="B8653" s="34" t="s">
        <v>17972</v>
      </c>
      <c r="C8653" s="34" t="s">
        <v>546</v>
      </c>
      <c r="E8653" s="30" t="s">
        <v>17973</v>
      </c>
      <c r="F8653" s="34" t="n">
        <f aca="false">IFERROR(VLOOKUP($A8653,'319'!$B:$H,7,0),0)</f>
        <v>0</v>
      </c>
      <c r="G8653" s="34" t="n">
        <f aca="false">SUMIFS('12.326ana'!$C:$C,'12.326ana'!$M:$M,redes!A8653)</f>
        <v>0</v>
      </c>
    </row>
    <row r="8654" customFormat="false" ht="14.4" hidden="true" customHeight="false" outlineLevel="0" collapsed="false">
      <c r="A8654" s="34" t="n">
        <v>4419345000135</v>
      </c>
      <c r="B8654" s="34" t="s">
        <v>17974</v>
      </c>
      <c r="C8654" s="34" t="s">
        <v>213</v>
      </c>
      <c r="E8654" s="30" t="s">
        <v>17975</v>
      </c>
      <c r="F8654" s="34" t="n">
        <f aca="false">IFERROR(VLOOKUP($A8654,'319'!$B:$H,7,0),0)</f>
        <v>0</v>
      </c>
      <c r="G8654" s="34" t="n">
        <f aca="false">SUMIFS('12.326ana'!$C:$C,'12.326ana'!$M:$M,redes!A8654)</f>
        <v>0</v>
      </c>
    </row>
    <row r="8655" customFormat="false" ht="14.4" hidden="true" customHeight="false" outlineLevel="0" collapsed="false">
      <c r="A8655" s="34" t="n">
        <v>4420874000159</v>
      </c>
      <c r="B8655" s="34" t="s">
        <v>17976</v>
      </c>
      <c r="C8655" s="34" t="s">
        <v>77</v>
      </c>
      <c r="D8655" s="34" t="s">
        <v>4797</v>
      </c>
      <c r="E8655" s="30" t="s">
        <v>17977</v>
      </c>
      <c r="F8655" s="34" t="n">
        <f aca="false">IFERROR(VLOOKUP($A8655,'319'!$B:$H,7,0),0)</f>
        <v>0</v>
      </c>
      <c r="G8655" s="34" t="n">
        <f aca="false">SUMIFS('12.326ana'!$C:$C,'12.326ana'!$M:$M,redes!A8655)</f>
        <v>0</v>
      </c>
    </row>
    <row r="8656" customFormat="false" ht="14.4" hidden="true" customHeight="false" outlineLevel="0" collapsed="false">
      <c r="A8656" s="34" t="n">
        <v>4421264000170</v>
      </c>
      <c r="B8656" s="34" t="s">
        <v>17978</v>
      </c>
      <c r="C8656" s="34" t="s">
        <v>77</v>
      </c>
      <c r="E8656" s="30" t="s">
        <v>17979</v>
      </c>
      <c r="F8656" s="34" t="n">
        <f aca="false">IFERROR(VLOOKUP($A8656,'319'!$B:$H,7,0),0)</f>
        <v>0</v>
      </c>
      <c r="G8656" s="34" t="n">
        <f aca="false">SUMIFS('12.326ana'!$C:$C,'12.326ana'!$M:$M,redes!A8656)</f>
        <v>0</v>
      </c>
    </row>
    <row r="8657" customFormat="false" ht="14.4" hidden="true" customHeight="false" outlineLevel="0" collapsed="false">
      <c r="A8657" s="34" t="n">
        <v>4421642000115</v>
      </c>
      <c r="B8657" s="34" t="s">
        <v>17980</v>
      </c>
      <c r="C8657" s="34" t="s">
        <v>77</v>
      </c>
      <c r="E8657" s="30" t="s">
        <v>17981</v>
      </c>
      <c r="F8657" s="34" t="n">
        <f aca="false">IFERROR(VLOOKUP($A8657,'319'!$B:$H,7,0),0)</f>
        <v>0</v>
      </c>
      <c r="G8657" s="34" t="n">
        <f aca="false">SUMIFS('12.326ana'!$C:$C,'12.326ana'!$M:$M,redes!A8657)</f>
        <v>0</v>
      </c>
    </row>
    <row r="8658" customFormat="false" ht="14.4" hidden="true" customHeight="false" outlineLevel="0" collapsed="false">
      <c r="A8658" s="34" t="n">
        <v>4423769000173</v>
      </c>
      <c r="B8658" s="34" t="s">
        <v>17982</v>
      </c>
      <c r="C8658" s="34" t="s">
        <v>77</v>
      </c>
      <c r="E8658" s="30" t="s">
        <v>17983</v>
      </c>
      <c r="F8658" s="34" t="n">
        <f aca="false">IFERROR(VLOOKUP($A8658,'319'!$B:$H,7,0),0)</f>
        <v>0</v>
      </c>
      <c r="G8658" s="34" t="n">
        <f aca="false">SUMIFS('12.326ana'!$C:$C,'12.326ana'!$M:$M,redes!A8658)</f>
        <v>0</v>
      </c>
    </row>
    <row r="8659" customFormat="false" ht="14.4" hidden="true" customHeight="false" outlineLevel="0" collapsed="false">
      <c r="A8659" s="34" t="n">
        <v>4424732000160</v>
      </c>
      <c r="B8659" s="34" t="s">
        <v>17984</v>
      </c>
      <c r="C8659" s="34" t="s">
        <v>881</v>
      </c>
      <c r="E8659" s="30" t="s">
        <v>17985</v>
      </c>
      <c r="F8659" s="34" t="n">
        <f aca="false">IFERROR(VLOOKUP($A8659,'319'!$B:$H,7,0),0)</f>
        <v>0</v>
      </c>
      <c r="G8659" s="34" t="n">
        <f aca="false">SUMIFS('12.326ana'!$C:$C,'12.326ana'!$M:$M,redes!A8659)</f>
        <v>0</v>
      </c>
    </row>
    <row r="8660" customFormat="false" ht="14.4" hidden="true" customHeight="false" outlineLevel="0" collapsed="false">
      <c r="A8660" s="34" t="n">
        <v>4427375000193</v>
      </c>
      <c r="B8660" s="34" t="s">
        <v>17986</v>
      </c>
      <c r="C8660" s="34" t="s">
        <v>207</v>
      </c>
      <c r="E8660" s="30" t="s">
        <v>17987</v>
      </c>
      <c r="F8660" s="34" t="n">
        <f aca="false">IFERROR(VLOOKUP($A8660,'319'!$B:$H,7,0),0)</f>
        <v>0</v>
      </c>
      <c r="G8660" s="34" t="n">
        <f aca="false">SUMIFS('12.326ana'!$C:$C,'12.326ana'!$M:$M,redes!A8660)</f>
        <v>0</v>
      </c>
    </row>
    <row r="8661" customFormat="false" ht="14.4" hidden="true" customHeight="false" outlineLevel="0" collapsed="false">
      <c r="A8661" s="34" t="n">
        <v>4427583000192</v>
      </c>
      <c r="B8661" s="34" t="s">
        <v>17988</v>
      </c>
      <c r="C8661" s="34" t="s">
        <v>77</v>
      </c>
      <c r="E8661" s="30" t="s">
        <v>17989</v>
      </c>
      <c r="F8661" s="34" t="n">
        <f aca="false">IFERROR(VLOOKUP($A8661,'319'!$B:$H,7,0),0)</f>
        <v>0</v>
      </c>
      <c r="G8661" s="34" t="n">
        <f aca="false">SUMIFS('12.326ana'!$C:$C,'12.326ana'!$M:$M,redes!A8661)</f>
        <v>0</v>
      </c>
    </row>
    <row r="8662" customFormat="false" ht="14.4" hidden="true" customHeight="false" outlineLevel="0" collapsed="false">
      <c r="A8662" s="34" t="n">
        <v>4427732000113</v>
      </c>
      <c r="B8662" s="34" t="s">
        <v>17990</v>
      </c>
      <c r="C8662" s="34" t="s">
        <v>463</v>
      </c>
      <c r="E8662" s="30" t="s">
        <v>4630</v>
      </c>
      <c r="F8662" s="34" t="n">
        <f aca="false">IFERROR(VLOOKUP($A8662,'319'!$B:$H,7,0),0)</f>
        <v>0</v>
      </c>
      <c r="G8662" s="34" t="n">
        <f aca="false">SUMIFS('12.326ana'!$C:$C,'12.326ana'!$M:$M,redes!A8662)</f>
        <v>0</v>
      </c>
    </row>
    <row r="8663" customFormat="false" ht="14.4" hidden="true" customHeight="false" outlineLevel="0" collapsed="false">
      <c r="A8663" s="34" t="n">
        <v>4429377000111</v>
      </c>
      <c r="B8663" s="34" t="s">
        <v>17991</v>
      </c>
      <c r="C8663" s="34" t="s">
        <v>17992</v>
      </c>
      <c r="E8663" s="30" t="s">
        <v>17993</v>
      </c>
      <c r="F8663" s="34" t="n">
        <f aca="false">IFERROR(VLOOKUP($A8663,'319'!$B:$H,7,0),0)</f>
        <v>0</v>
      </c>
      <c r="G8663" s="34" t="n">
        <f aca="false">SUMIFS('12.326ana'!$C:$C,'12.326ana'!$M:$M,redes!A8663)</f>
        <v>0</v>
      </c>
    </row>
    <row r="8664" customFormat="false" ht="14.4" hidden="true" customHeight="false" outlineLevel="0" collapsed="false">
      <c r="A8664" s="34" t="n">
        <v>4429623000135</v>
      </c>
      <c r="B8664" s="34" t="s">
        <v>17994</v>
      </c>
      <c r="C8664" s="34" t="s">
        <v>764</v>
      </c>
      <c r="E8664" s="30"/>
      <c r="F8664" s="34" t="n">
        <f aca="false">IFERROR(VLOOKUP($A8664,'319'!$B:$H,7,0),0)</f>
        <v>0</v>
      </c>
      <c r="G8664" s="34" t="n">
        <f aca="false">SUMIFS('12.326ana'!$C:$C,'12.326ana'!$M:$M,redes!A8664)</f>
        <v>0</v>
      </c>
    </row>
    <row r="8665" customFormat="false" ht="14.4" hidden="true" customHeight="false" outlineLevel="0" collapsed="false">
      <c r="A8665" s="34" t="n">
        <v>4429686000191</v>
      </c>
      <c r="B8665" s="34" t="s">
        <v>17995</v>
      </c>
      <c r="C8665" s="34" t="s">
        <v>107</v>
      </c>
      <c r="E8665" s="30" t="s">
        <v>17996</v>
      </c>
      <c r="F8665" s="34" t="n">
        <f aca="false">IFERROR(VLOOKUP($A8665,'319'!$B:$H,7,0),0)</f>
        <v>0</v>
      </c>
      <c r="G8665" s="34" t="n">
        <f aca="false">SUMIFS('12.326ana'!$C:$C,'12.326ana'!$M:$M,redes!A8665)</f>
        <v>0</v>
      </c>
    </row>
    <row r="8666" customFormat="false" ht="14.4" hidden="true" customHeight="false" outlineLevel="0" collapsed="false">
      <c r="A8666" s="34" t="n">
        <v>4429971000102</v>
      </c>
      <c r="B8666" s="34" t="s">
        <v>17997</v>
      </c>
      <c r="C8666" s="34" t="s">
        <v>107</v>
      </c>
      <c r="E8666" s="30" t="s">
        <v>8619</v>
      </c>
      <c r="F8666" s="34" t="n">
        <f aca="false">IFERROR(VLOOKUP($A8666,'319'!$B:$H,7,0),0)</f>
        <v>0</v>
      </c>
      <c r="G8666" s="34" t="n">
        <f aca="false">SUMIFS('12.326ana'!$C:$C,'12.326ana'!$M:$M,redes!A8666)</f>
        <v>0</v>
      </c>
    </row>
    <row r="8667" customFormat="false" ht="14.4" hidden="true" customHeight="false" outlineLevel="0" collapsed="false">
      <c r="A8667" s="34" t="n">
        <v>4432760000129</v>
      </c>
      <c r="B8667" s="34" t="s">
        <v>17998</v>
      </c>
      <c r="C8667" s="34" t="s">
        <v>463</v>
      </c>
      <c r="E8667" s="30" t="s">
        <v>17999</v>
      </c>
      <c r="F8667" s="34" t="n">
        <f aca="false">IFERROR(VLOOKUP($A8667,'319'!$B:$H,7,0),0)</f>
        <v>0</v>
      </c>
      <c r="G8667" s="34" t="n">
        <f aca="false">SUMIFS('12.326ana'!$C:$C,'12.326ana'!$M:$M,redes!A8667)</f>
        <v>0</v>
      </c>
    </row>
    <row r="8668" customFormat="false" ht="14.4" hidden="true" customHeight="false" outlineLevel="0" collapsed="false">
      <c r="A8668" s="34" t="n">
        <v>4432915000127</v>
      </c>
      <c r="B8668" s="34" t="s">
        <v>18000</v>
      </c>
      <c r="C8668" s="34" t="s">
        <v>77</v>
      </c>
      <c r="E8668" s="30" t="s">
        <v>18001</v>
      </c>
      <c r="F8668" s="34" t="n">
        <f aca="false">IFERROR(VLOOKUP($A8668,'319'!$B:$H,7,0),0)</f>
        <v>0</v>
      </c>
      <c r="G8668" s="34" t="n">
        <f aca="false">SUMIFS('12.326ana'!$C:$C,'12.326ana'!$M:$M,redes!A8668)</f>
        <v>0</v>
      </c>
    </row>
    <row r="8669" customFormat="false" ht="14.4" hidden="true" customHeight="false" outlineLevel="0" collapsed="false">
      <c r="A8669" s="34" t="n">
        <v>4433460000164</v>
      </c>
      <c r="B8669" s="34" t="s">
        <v>18002</v>
      </c>
      <c r="C8669" s="34" t="s">
        <v>213</v>
      </c>
      <c r="E8669" s="30" t="s">
        <v>18003</v>
      </c>
      <c r="F8669" s="34" t="n">
        <f aca="false">IFERROR(VLOOKUP($A8669,'319'!$B:$H,7,0),0)</f>
        <v>0</v>
      </c>
      <c r="G8669" s="34" t="n">
        <f aca="false">SUMIFS('12.326ana'!$C:$C,'12.326ana'!$M:$M,redes!A8669)</f>
        <v>0</v>
      </c>
    </row>
    <row r="8670" customFormat="false" ht="14.4" hidden="true" customHeight="false" outlineLevel="0" collapsed="false">
      <c r="A8670" s="34" t="n">
        <v>4434117000134</v>
      </c>
      <c r="B8670" s="34" t="s">
        <v>18004</v>
      </c>
      <c r="C8670" s="34" t="s">
        <v>89</v>
      </c>
      <c r="E8670" s="30" t="s">
        <v>18005</v>
      </c>
      <c r="F8670" s="34" t="n">
        <f aca="false">IFERROR(VLOOKUP($A8670,'319'!$B:$H,7,0),0)</f>
        <v>0</v>
      </c>
      <c r="G8670" s="34" t="n">
        <f aca="false">SUMIFS('12.326ana'!$C:$C,'12.326ana'!$M:$M,redes!A8670)</f>
        <v>0</v>
      </c>
    </row>
    <row r="8671" customFormat="false" ht="14.4" hidden="true" customHeight="false" outlineLevel="0" collapsed="false">
      <c r="A8671" s="34" t="n">
        <v>4434952000174</v>
      </c>
      <c r="B8671" s="34" t="s">
        <v>18006</v>
      </c>
      <c r="C8671" s="34" t="s">
        <v>77</v>
      </c>
      <c r="E8671" s="30" t="s">
        <v>18007</v>
      </c>
      <c r="F8671" s="34" t="n">
        <f aca="false">IFERROR(VLOOKUP($A8671,'319'!$B:$H,7,0),0)</f>
        <v>0</v>
      </c>
      <c r="G8671" s="34" t="n">
        <f aca="false">SUMIFS('12.326ana'!$C:$C,'12.326ana'!$M:$M,redes!A8671)</f>
        <v>0</v>
      </c>
    </row>
    <row r="8672" customFormat="false" ht="14.4" hidden="true" customHeight="false" outlineLevel="0" collapsed="false">
      <c r="A8672" s="34" t="n">
        <v>4435068000154</v>
      </c>
      <c r="B8672" s="34" t="s">
        <v>18008</v>
      </c>
      <c r="C8672" s="34" t="s">
        <v>192</v>
      </c>
      <c r="D8672" s="34" t="s">
        <v>9598</v>
      </c>
      <c r="E8672" s="30" t="s">
        <v>18009</v>
      </c>
      <c r="F8672" s="34" t="n">
        <f aca="false">IFERROR(VLOOKUP($A8672,'319'!$B:$H,7,0),0)</f>
        <v>0</v>
      </c>
      <c r="G8672" s="34" t="n">
        <f aca="false">SUMIFS('12.326ana'!$C:$C,'12.326ana'!$M:$M,redes!A8672)</f>
        <v>0</v>
      </c>
    </row>
    <row r="8673" customFormat="false" ht="14.4" hidden="true" customHeight="false" outlineLevel="0" collapsed="false">
      <c r="A8673" s="34" t="n">
        <v>4435573000107</v>
      </c>
      <c r="B8673" s="34" t="s">
        <v>18010</v>
      </c>
      <c r="C8673" s="34" t="s">
        <v>342</v>
      </c>
      <c r="E8673" s="30" t="s">
        <v>18011</v>
      </c>
      <c r="F8673" s="34" t="n">
        <f aca="false">IFERROR(VLOOKUP($A8673,'319'!$B:$H,7,0),0)</f>
        <v>0</v>
      </c>
      <c r="G8673" s="34" t="n">
        <f aca="false">SUMIFS('12.326ana'!$C:$C,'12.326ana'!$M:$M,redes!A8673)</f>
        <v>0</v>
      </c>
    </row>
    <row r="8674" customFormat="false" ht="14.4" hidden="true" customHeight="false" outlineLevel="0" collapsed="false">
      <c r="A8674" s="34" t="n">
        <v>4437301000138</v>
      </c>
      <c r="B8674" s="34" t="s">
        <v>18012</v>
      </c>
      <c r="C8674" s="34" t="s">
        <v>478</v>
      </c>
      <c r="E8674" s="30" t="s">
        <v>18013</v>
      </c>
      <c r="F8674" s="34" t="n">
        <f aca="false">IFERROR(VLOOKUP($A8674,'319'!$B:$H,7,0),0)</f>
        <v>0</v>
      </c>
      <c r="G8674" s="34" t="n">
        <f aca="false">SUMIFS('12.326ana'!$C:$C,'12.326ana'!$M:$M,redes!A8674)</f>
        <v>0</v>
      </c>
    </row>
    <row r="8675" customFormat="false" ht="14.4" hidden="true" customHeight="false" outlineLevel="0" collapsed="false">
      <c r="A8675" s="34" t="n">
        <v>4438823000154</v>
      </c>
      <c r="B8675" s="34" t="s">
        <v>18014</v>
      </c>
      <c r="C8675" s="34" t="s">
        <v>107</v>
      </c>
      <c r="E8675" s="30" t="s">
        <v>18015</v>
      </c>
      <c r="F8675" s="34" t="n">
        <f aca="false">IFERROR(VLOOKUP($A8675,'319'!$B:$H,7,0),0)</f>
        <v>0</v>
      </c>
      <c r="G8675" s="34" t="n">
        <f aca="false">SUMIFS('12.326ana'!$C:$C,'12.326ana'!$M:$M,redes!A8675)</f>
        <v>0</v>
      </c>
    </row>
    <row r="8676" customFormat="false" ht="14.4" hidden="true" customHeight="false" outlineLevel="0" collapsed="false">
      <c r="A8676" s="34" t="n">
        <v>4438948000184</v>
      </c>
      <c r="B8676" s="34" t="s">
        <v>18016</v>
      </c>
      <c r="C8676" s="34" t="s">
        <v>342</v>
      </c>
      <c r="E8676" s="30" t="s">
        <v>18017</v>
      </c>
      <c r="F8676" s="34" t="n">
        <f aca="false">IFERROR(VLOOKUP($A8676,'319'!$B:$H,7,0),0)</f>
        <v>0</v>
      </c>
      <c r="G8676" s="34" t="n">
        <f aca="false">SUMIFS('12.326ana'!$C:$C,'12.326ana'!$M:$M,redes!A8676)</f>
        <v>0</v>
      </c>
    </row>
    <row r="8677" customFormat="false" ht="14.4" hidden="true" customHeight="false" outlineLevel="0" collapsed="false">
      <c r="A8677" s="34" t="n">
        <v>4440732000153</v>
      </c>
      <c r="B8677" s="34" t="s">
        <v>18018</v>
      </c>
      <c r="C8677" s="34" t="s">
        <v>342</v>
      </c>
      <c r="E8677" s="30" t="s">
        <v>14236</v>
      </c>
      <c r="F8677" s="34" t="n">
        <f aca="false">IFERROR(VLOOKUP($A8677,'319'!$B:$H,7,0),0)</f>
        <v>0</v>
      </c>
      <c r="G8677" s="34" t="n">
        <f aca="false">SUMIFS('12.326ana'!$C:$C,'12.326ana'!$M:$M,redes!A8677)</f>
        <v>0</v>
      </c>
    </row>
    <row r="8678" customFormat="false" ht="14.4" hidden="true" customHeight="false" outlineLevel="0" collapsed="false">
      <c r="A8678" s="34" t="n">
        <v>4440881000112</v>
      </c>
      <c r="B8678" s="34" t="s">
        <v>4941</v>
      </c>
      <c r="C8678" s="34" t="s">
        <v>77</v>
      </c>
      <c r="D8678" s="34" t="s">
        <v>3324</v>
      </c>
      <c r="E8678" s="30" t="s">
        <v>18019</v>
      </c>
      <c r="F8678" s="34" t="n">
        <f aca="false">IFERROR(VLOOKUP($A8678,'319'!$B:$H,7,0),0)</f>
        <v>0</v>
      </c>
      <c r="G8678" s="34" t="n">
        <f aca="false">SUMIFS('12.326ana'!$C:$C,'12.326ana'!$M:$M,redes!A8678)</f>
        <v>0</v>
      </c>
    </row>
    <row r="8679" customFormat="false" ht="14.4" hidden="true" customHeight="false" outlineLevel="0" collapsed="false">
      <c r="A8679" s="34" t="n">
        <v>4440909000111</v>
      </c>
      <c r="B8679" s="34" t="s">
        <v>18020</v>
      </c>
      <c r="C8679" s="34" t="s">
        <v>357</v>
      </c>
      <c r="E8679" s="30" t="s">
        <v>18021</v>
      </c>
      <c r="F8679" s="34" t="n">
        <f aca="false">IFERROR(VLOOKUP($A8679,'319'!$B:$H,7,0),0)</f>
        <v>0</v>
      </c>
      <c r="G8679" s="34" t="n">
        <f aca="false">SUMIFS('12.326ana'!$C:$C,'12.326ana'!$M:$M,redes!A8679)</f>
        <v>0</v>
      </c>
    </row>
    <row r="8680" customFormat="false" ht="14.4" hidden="true" customHeight="false" outlineLevel="0" collapsed="false">
      <c r="A8680" s="34" t="n">
        <v>4441110000140</v>
      </c>
      <c r="B8680" s="34" t="s">
        <v>18022</v>
      </c>
      <c r="C8680" s="34" t="s">
        <v>89</v>
      </c>
      <c r="E8680" s="30" t="s">
        <v>18023</v>
      </c>
      <c r="F8680" s="34" t="n">
        <f aca="false">IFERROR(VLOOKUP($A8680,'319'!$B:$H,7,0),0)</f>
        <v>0</v>
      </c>
      <c r="G8680" s="34" t="n">
        <f aca="false">SUMIFS('12.326ana'!$C:$C,'12.326ana'!$M:$M,redes!A8680)</f>
        <v>0</v>
      </c>
    </row>
    <row r="8681" customFormat="false" ht="14.4" hidden="true" customHeight="false" outlineLevel="0" collapsed="false">
      <c r="A8681" s="34" t="n">
        <v>4444464000148</v>
      </c>
      <c r="B8681" s="34" t="s">
        <v>18024</v>
      </c>
      <c r="C8681" s="34" t="s">
        <v>781</v>
      </c>
      <c r="E8681" s="30" t="s">
        <v>16919</v>
      </c>
      <c r="F8681" s="34" t="n">
        <f aca="false">IFERROR(VLOOKUP($A8681,'319'!$B:$H,7,0),0)</f>
        <v>0</v>
      </c>
      <c r="G8681" s="34" t="n">
        <f aca="false">SUMIFS('12.326ana'!$C:$C,'12.326ana'!$M:$M,redes!A8681)</f>
        <v>0</v>
      </c>
    </row>
    <row r="8682" customFormat="false" ht="14.4" hidden="true" customHeight="false" outlineLevel="0" collapsed="false">
      <c r="A8682" s="34" t="n">
        <v>4446421000100</v>
      </c>
      <c r="B8682" s="34" t="s">
        <v>18025</v>
      </c>
      <c r="C8682" s="34" t="s">
        <v>103</v>
      </c>
      <c r="E8682" s="30" t="s">
        <v>5121</v>
      </c>
      <c r="F8682" s="34" t="n">
        <f aca="false">IFERROR(VLOOKUP($A8682,'319'!$B:$H,7,0),0)</f>
        <v>0</v>
      </c>
      <c r="G8682" s="34" t="n">
        <f aca="false">SUMIFS('12.326ana'!$C:$C,'12.326ana'!$M:$M,redes!A8682)</f>
        <v>0</v>
      </c>
    </row>
    <row r="8683" customFormat="false" ht="14.4" hidden="true" customHeight="false" outlineLevel="0" collapsed="false">
      <c r="A8683" s="34" t="n">
        <v>4447711000160</v>
      </c>
      <c r="B8683" s="34" t="s">
        <v>18026</v>
      </c>
      <c r="C8683" s="34" t="s">
        <v>77</v>
      </c>
      <c r="E8683" s="30" t="s">
        <v>18027</v>
      </c>
      <c r="F8683" s="34" t="n">
        <f aca="false">IFERROR(VLOOKUP($A8683,'319'!$B:$H,7,0),0)</f>
        <v>0</v>
      </c>
      <c r="G8683" s="34" t="n">
        <f aca="false">SUMIFS('12.326ana'!$C:$C,'12.326ana'!$M:$M,redes!A8683)</f>
        <v>0</v>
      </c>
    </row>
    <row r="8684" customFormat="false" ht="14.4" hidden="true" customHeight="false" outlineLevel="0" collapsed="false">
      <c r="A8684" s="34" t="n">
        <v>4449270000135</v>
      </c>
      <c r="B8684" s="34" t="s">
        <v>9364</v>
      </c>
      <c r="C8684" s="34" t="s">
        <v>107</v>
      </c>
      <c r="E8684" s="30" t="s">
        <v>4006</v>
      </c>
      <c r="F8684" s="34" t="n">
        <f aca="false">IFERROR(VLOOKUP($A8684,'319'!$B:$H,7,0),0)</f>
        <v>0</v>
      </c>
      <c r="G8684" s="34" t="n">
        <f aca="false">SUMIFS('12.326ana'!$C:$C,'12.326ana'!$M:$M,redes!A8684)</f>
        <v>0</v>
      </c>
    </row>
    <row r="8685" customFormat="false" ht="14.4" hidden="true" customHeight="false" outlineLevel="0" collapsed="false">
      <c r="A8685" s="34" t="n">
        <v>4449345000188</v>
      </c>
      <c r="B8685" s="34" t="s">
        <v>18028</v>
      </c>
      <c r="C8685" s="34" t="s">
        <v>139</v>
      </c>
      <c r="E8685" s="30" t="s">
        <v>16634</v>
      </c>
      <c r="F8685" s="34" t="n">
        <f aca="false">IFERROR(VLOOKUP($A8685,'319'!$B:$H,7,0),0)</f>
        <v>0</v>
      </c>
      <c r="G8685" s="34" t="n">
        <f aca="false">SUMIFS('12.326ana'!$C:$C,'12.326ana'!$M:$M,redes!A8685)</f>
        <v>0</v>
      </c>
    </row>
    <row r="8686" customFormat="false" ht="14.4" hidden="true" customHeight="false" outlineLevel="0" collapsed="false">
      <c r="A8686" s="34" t="n">
        <v>4452622000101</v>
      </c>
      <c r="B8686" s="34" t="s">
        <v>18029</v>
      </c>
      <c r="C8686" s="34" t="s">
        <v>744</v>
      </c>
      <c r="E8686" s="30" t="s">
        <v>18030</v>
      </c>
      <c r="F8686" s="34" t="n">
        <f aca="false">IFERROR(VLOOKUP($A8686,'319'!$B:$H,7,0),0)</f>
        <v>0</v>
      </c>
      <c r="G8686" s="34" t="n">
        <f aca="false">SUMIFS('12.326ana'!$C:$C,'12.326ana'!$M:$M,redes!A8686)</f>
        <v>0</v>
      </c>
    </row>
    <row r="8687" customFormat="false" ht="14.4" hidden="true" customHeight="false" outlineLevel="0" collapsed="false">
      <c r="A8687" s="34" t="n">
        <v>4453332000182</v>
      </c>
      <c r="B8687" s="34" t="s">
        <v>18031</v>
      </c>
      <c r="C8687" s="34" t="s">
        <v>77</v>
      </c>
      <c r="E8687" s="30"/>
      <c r="F8687" s="34" t="n">
        <f aca="false">IFERROR(VLOOKUP($A8687,'319'!$B:$H,7,0),0)</f>
        <v>0</v>
      </c>
      <c r="G8687" s="34" t="n">
        <f aca="false">SUMIFS('12.326ana'!$C:$C,'12.326ana'!$M:$M,redes!A8687)</f>
        <v>0</v>
      </c>
    </row>
    <row r="8688" customFormat="false" ht="14.4" hidden="true" customHeight="false" outlineLevel="0" collapsed="false">
      <c r="A8688" s="34" t="n">
        <v>4454576000180</v>
      </c>
      <c r="B8688" s="34" t="s">
        <v>18032</v>
      </c>
      <c r="C8688" s="34" t="s">
        <v>464</v>
      </c>
      <c r="E8688" s="30"/>
      <c r="F8688" s="34" t="n">
        <f aca="false">IFERROR(VLOOKUP($A8688,'319'!$B:$H,7,0),0)</f>
        <v>0</v>
      </c>
      <c r="G8688" s="34" t="n">
        <f aca="false">SUMIFS('12.326ana'!$C:$C,'12.326ana'!$M:$M,redes!A8688)</f>
        <v>0</v>
      </c>
    </row>
    <row r="8689" customFormat="false" ht="14.4" hidden="true" customHeight="false" outlineLevel="0" collapsed="false">
      <c r="A8689" s="34" t="n">
        <v>4454933000100</v>
      </c>
      <c r="B8689" s="34" t="s">
        <v>18033</v>
      </c>
      <c r="C8689" s="34" t="s">
        <v>77</v>
      </c>
      <c r="D8689" s="34" t="s">
        <v>3324</v>
      </c>
      <c r="E8689" s="30" t="s">
        <v>18034</v>
      </c>
      <c r="F8689" s="34" t="n">
        <f aca="false">IFERROR(VLOOKUP($A8689,'319'!$B:$H,7,0),0)</f>
        <v>0</v>
      </c>
      <c r="G8689" s="34" t="n">
        <f aca="false">SUMIFS('12.326ana'!$C:$C,'12.326ana'!$M:$M,redes!A8689)</f>
        <v>0</v>
      </c>
    </row>
    <row r="8690" customFormat="false" ht="14.4" hidden="true" customHeight="false" outlineLevel="0" collapsed="false">
      <c r="A8690" s="34" t="n">
        <v>4454986000120</v>
      </c>
      <c r="B8690" s="34" t="s">
        <v>18035</v>
      </c>
      <c r="C8690" s="34" t="s">
        <v>77</v>
      </c>
      <c r="E8690" s="30" t="s">
        <v>18036</v>
      </c>
      <c r="F8690" s="34" t="n">
        <f aca="false">IFERROR(VLOOKUP($A8690,'319'!$B:$H,7,0),0)</f>
        <v>0</v>
      </c>
      <c r="G8690" s="34" t="n">
        <f aca="false">SUMIFS('12.326ana'!$C:$C,'12.326ana'!$M:$M,redes!A8690)</f>
        <v>0</v>
      </c>
    </row>
    <row r="8691" customFormat="false" ht="14.4" hidden="true" customHeight="false" outlineLevel="0" collapsed="false">
      <c r="A8691" s="34" t="n">
        <v>4455855000168</v>
      </c>
      <c r="B8691" s="34" t="s">
        <v>18037</v>
      </c>
      <c r="C8691" s="34" t="s">
        <v>139</v>
      </c>
      <c r="E8691" s="30" t="s">
        <v>18038</v>
      </c>
      <c r="F8691" s="34" t="n">
        <f aca="false">IFERROR(VLOOKUP($A8691,'319'!$B:$H,7,0),0)</f>
        <v>0</v>
      </c>
      <c r="G8691" s="34" t="n">
        <f aca="false">SUMIFS('12.326ana'!$C:$C,'12.326ana'!$M:$M,redes!A8691)</f>
        <v>0</v>
      </c>
    </row>
    <row r="8692" customFormat="false" ht="14.4" hidden="true" customHeight="false" outlineLevel="0" collapsed="false">
      <c r="A8692" s="34" t="n">
        <v>4456086000112</v>
      </c>
      <c r="B8692" s="34" t="s">
        <v>18039</v>
      </c>
      <c r="C8692" s="34" t="s">
        <v>804</v>
      </c>
      <c r="E8692" s="30" t="s">
        <v>4276</v>
      </c>
      <c r="F8692" s="34" t="n">
        <f aca="false">IFERROR(VLOOKUP($A8692,'319'!$B:$H,7,0),0)</f>
        <v>0</v>
      </c>
      <c r="G8692" s="34" t="n">
        <f aca="false">SUMIFS('12.326ana'!$C:$C,'12.326ana'!$M:$M,redes!A8692)</f>
        <v>0</v>
      </c>
    </row>
    <row r="8693" customFormat="false" ht="14.4" hidden="true" customHeight="false" outlineLevel="0" collapsed="false">
      <c r="A8693" s="34" t="n">
        <v>4458781000113</v>
      </c>
      <c r="B8693" s="34" t="s">
        <v>18040</v>
      </c>
      <c r="C8693" s="34" t="s">
        <v>463</v>
      </c>
      <c r="E8693" s="30" t="s">
        <v>3978</v>
      </c>
      <c r="F8693" s="34" t="n">
        <f aca="false">IFERROR(VLOOKUP($A8693,'319'!$B:$H,7,0),0)</f>
        <v>0</v>
      </c>
      <c r="G8693" s="34" t="n">
        <f aca="false">SUMIFS('12.326ana'!$C:$C,'12.326ana'!$M:$M,redes!A8693)</f>
        <v>0</v>
      </c>
    </row>
    <row r="8694" customFormat="false" ht="14.4" hidden="true" customHeight="false" outlineLevel="0" collapsed="false">
      <c r="A8694" s="34" t="n">
        <v>4461392000147</v>
      </c>
      <c r="B8694" s="34" t="s">
        <v>18041</v>
      </c>
      <c r="C8694" s="34" t="s">
        <v>309</v>
      </c>
      <c r="E8694" s="30" t="s">
        <v>4207</v>
      </c>
      <c r="F8694" s="34" t="n">
        <f aca="false">IFERROR(VLOOKUP($A8694,'319'!$B:$H,7,0),0)</f>
        <v>0</v>
      </c>
      <c r="G8694" s="34" t="n">
        <f aca="false">SUMIFS('12.326ana'!$C:$C,'12.326ana'!$M:$M,redes!A8694)</f>
        <v>0</v>
      </c>
    </row>
    <row r="8695" customFormat="false" ht="14.4" hidden="true" customHeight="false" outlineLevel="0" collapsed="false">
      <c r="A8695" s="34" t="n">
        <v>4462151000112</v>
      </c>
      <c r="B8695" s="34" t="s">
        <v>18042</v>
      </c>
      <c r="C8695" s="34" t="s">
        <v>848</v>
      </c>
      <c r="D8695" s="34" t="s">
        <v>4797</v>
      </c>
      <c r="E8695" s="30" t="s">
        <v>18043</v>
      </c>
      <c r="F8695" s="34" t="n">
        <f aca="false">IFERROR(VLOOKUP($A8695,'319'!$B:$H,7,0),0)</f>
        <v>0</v>
      </c>
      <c r="G8695" s="34" t="n">
        <f aca="false">SUMIFS('12.326ana'!$C:$C,'12.326ana'!$M:$M,redes!A8695)</f>
        <v>0</v>
      </c>
    </row>
    <row r="8696" customFormat="false" ht="14.4" hidden="true" customHeight="false" outlineLevel="0" collapsed="false">
      <c r="A8696" s="34" t="n">
        <v>4462159000189</v>
      </c>
      <c r="B8696" s="34" t="s">
        <v>18044</v>
      </c>
      <c r="C8696" s="34" t="s">
        <v>77</v>
      </c>
      <c r="E8696" s="30" t="s">
        <v>18045</v>
      </c>
      <c r="F8696" s="34" t="n">
        <f aca="false">IFERROR(VLOOKUP($A8696,'319'!$B:$H,7,0),0)</f>
        <v>0</v>
      </c>
      <c r="G8696" s="34" t="n">
        <f aca="false">SUMIFS('12.326ana'!$C:$C,'12.326ana'!$M:$M,redes!A8696)</f>
        <v>0</v>
      </c>
    </row>
    <row r="8697" customFormat="false" ht="14.4" hidden="true" customHeight="false" outlineLevel="0" collapsed="false">
      <c r="A8697" s="34" t="n">
        <v>4462457000179</v>
      </c>
      <c r="B8697" s="34" t="s">
        <v>18046</v>
      </c>
      <c r="C8697" s="34" t="s">
        <v>1306</v>
      </c>
      <c r="E8697" s="30" t="s">
        <v>6376</v>
      </c>
      <c r="F8697" s="34" t="n">
        <f aca="false">IFERROR(VLOOKUP($A8697,'319'!$B:$H,7,0),0)</f>
        <v>0</v>
      </c>
      <c r="G8697" s="34" t="n">
        <f aca="false">SUMIFS('12.326ana'!$C:$C,'12.326ana'!$M:$M,redes!A8697)</f>
        <v>0</v>
      </c>
    </row>
    <row r="8698" customFormat="false" ht="14.4" hidden="true" customHeight="false" outlineLevel="0" collapsed="false">
      <c r="A8698" s="34" t="n">
        <v>4463744000101</v>
      </c>
      <c r="B8698" s="34" t="s">
        <v>18047</v>
      </c>
      <c r="C8698" s="34" t="s">
        <v>565</v>
      </c>
      <c r="E8698" s="30" t="s">
        <v>10984</v>
      </c>
      <c r="F8698" s="34" t="n">
        <f aca="false">IFERROR(VLOOKUP($A8698,'319'!$B:$H,7,0),0)</f>
        <v>0</v>
      </c>
      <c r="G8698" s="34" t="n">
        <f aca="false">SUMIFS('12.326ana'!$C:$C,'12.326ana'!$M:$M,redes!A8698)</f>
        <v>0</v>
      </c>
    </row>
    <row r="8699" customFormat="false" ht="14.4" hidden="true" customHeight="false" outlineLevel="0" collapsed="false">
      <c r="A8699" s="34" t="n">
        <v>4463859000198</v>
      </c>
      <c r="B8699" s="34" t="s">
        <v>18048</v>
      </c>
      <c r="C8699" s="34" t="s">
        <v>139</v>
      </c>
      <c r="E8699" s="30" t="s">
        <v>18049</v>
      </c>
      <c r="F8699" s="34" t="n">
        <f aca="false">IFERROR(VLOOKUP($A8699,'319'!$B:$H,7,0),0)</f>
        <v>0</v>
      </c>
      <c r="G8699" s="34" t="n">
        <f aca="false">SUMIFS('12.326ana'!$C:$C,'12.326ana'!$M:$M,redes!A8699)</f>
        <v>0</v>
      </c>
    </row>
    <row r="8700" customFormat="false" ht="14.4" hidden="true" customHeight="false" outlineLevel="0" collapsed="false">
      <c r="A8700" s="34" t="n">
        <v>4464917000106</v>
      </c>
      <c r="B8700" s="34" t="s">
        <v>18050</v>
      </c>
      <c r="C8700" s="34" t="s">
        <v>336</v>
      </c>
      <c r="E8700" s="30" t="s">
        <v>18051</v>
      </c>
      <c r="F8700" s="34" t="n">
        <f aca="false">IFERROR(VLOOKUP($A8700,'319'!$B:$H,7,0),0)</f>
        <v>0</v>
      </c>
      <c r="G8700" s="34" t="n">
        <f aca="false">SUMIFS('12.326ana'!$C:$C,'12.326ana'!$M:$M,redes!A8700)</f>
        <v>0</v>
      </c>
    </row>
    <row r="8701" customFormat="false" ht="14.4" hidden="true" customHeight="false" outlineLevel="0" collapsed="false">
      <c r="A8701" s="34" t="n">
        <v>4465103000188</v>
      </c>
      <c r="B8701" s="34" t="s">
        <v>18052</v>
      </c>
      <c r="C8701" s="34" t="s">
        <v>107</v>
      </c>
      <c r="E8701" s="30" t="s">
        <v>18053</v>
      </c>
      <c r="F8701" s="34" t="n">
        <f aca="false">IFERROR(VLOOKUP($A8701,'319'!$B:$H,7,0),0)</f>
        <v>0</v>
      </c>
      <c r="G8701" s="34" t="n">
        <f aca="false">SUMIFS('12.326ana'!$C:$C,'12.326ana'!$M:$M,redes!A8701)</f>
        <v>0</v>
      </c>
    </row>
    <row r="8702" customFormat="false" ht="14.4" hidden="true" customHeight="false" outlineLevel="0" collapsed="false">
      <c r="A8702" s="34" t="n">
        <v>4466432000143</v>
      </c>
      <c r="B8702" s="34" t="s">
        <v>18054</v>
      </c>
      <c r="C8702" s="34" t="s">
        <v>77</v>
      </c>
      <c r="E8702" s="30" t="s">
        <v>18055</v>
      </c>
      <c r="F8702" s="34" t="n">
        <f aca="false">IFERROR(VLOOKUP($A8702,'319'!$B:$H,7,0),0)</f>
        <v>0</v>
      </c>
      <c r="G8702" s="34" t="n">
        <f aca="false">SUMIFS('12.326ana'!$C:$C,'12.326ana'!$M:$M,redes!A8702)</f>
        <v>0</v>
      </c>
    </row>
    <row r="8703" customFormat="false" ht="14.4" hidden="true" customHeight="false" outlineLevel="0" collapsed="false">
      <c r="A8703" s="34" t="n">
        <v>4467358000180</v>
      </c>
      <c r="B8703" s="34" t="s">
        <v>18056</v>
      </c>
      <c r="C8703" s="34" t="s">
        <v>631</v>
      </c>
      <c r="E8703" s="30" t="s">
        <v>18057</v>
      </c>
      <c r="F8703" s="34" t="n">
        <f aca="false">IFERROR(VLOOKUP($A8703,'319'!$B:$H,7,0),0)</f>
        <v>0</v>
      </c>
      <c r="G8703" s="34" t="n">
        <f aca="false">SUMIFS('12.326ana'!$C:$C,'12.326ana'!$M:$M,redes!A8703)</f>
        <v>0</v>
      </c>
    </row>
    <row r="8704" customFormat="false" ht="14.4" hidden="true" customHeight="false" outlineLevel="0" collapsed="false">
      <c r="A8704" s="34" t="n">
        <v>4468995000170</v>
      </c>
      <c r="B8704" s="34" t="s">
        <v>18058</v>
      </c>
      <c r="C8704" s="34" t="s">
        <v>351</v>
      </c>
      <c r="E8704" s="30" t="s">
        <v>18059</v>
      </c>
      <c r="F8704" s="34" t="n">
        <f aca="false">IFERROR(VLOOKUP($A8704,'319'!$B:$H,7,0),0)</f>
        <v>0</v>
      </c>
      <c r="G8704" s="34" t="n">
        <f aca="false">SUMIFS('12.326ana'!$C:$C,'12.326ana'!$M:$M,redes!A8704)</f>
        <v>0</v>
      </c>
    </row>
    <row r="8705" customFormat="false" ht="14.4" hidden="true" customHeight="false" outlineLevel="0" collapsed="false">
      <c r="A8705" s="34" t="n">
        <v>4469972000180</v>
      </c>
      <c r="B8705" s="34" t="s">
        <v>18060</v>
      </c>
      <c r="C8705" s="34" t="s">
        <v>405</v>
      </c>
      <c r="E8705" s="30" t="s">
        <v>8024</v>
      </c>
      <c r="F8705" s="34" t="n">
        <f aca="false">IFERROR(VLOOKUP($A8705,'319'!$B:$H,7,0),0)</f>
        <v>0</v>
      </c>
      <c r="G8705" s="34" t="n">
        <f aca="false">SUMIFS('12.326ana'!$C:$C,'12.326ana'!$M:$M,redes!A8705)</f>
        <v>0</v>
      </c>
    </row>
    <row r="8706" customFormat="false" ht="14.4" hidden="true" customHeight="false" outlineLevel="0" collapsed="false">
      <c r="A8706" s="34" t="n">
        <v>4470277000139</v>
      </c>
      <c r="B8706" s="34" t="s">
        <v>18061</v>
      </c>
      <c r="C8706" s="34" t="s">
        <v>77</v>
      </c>
      <c r="E8706" s="30" t="s">
        <v>14268</v>
      </c>
      <c r="F8706" s="34" t="n">
        <f aca="false">IFERROR(VLOOKUP($A8706,'319'!$B:$H,7,0),0)</f>
        <v>0</v>
      </c>
      <c r="G8706" s="34" t="n">
        <f aca="false">SUMIFS('12.326ana'!$C:$C,'12.326ana'!$M:$M,redes!A8706)</f>
        <v>0</v>
      </c>
    </row>
    <row r="8707" customFormat="false" ht="14.4" hidden="true" customHeight="false" outlineLevel="0" collapsed="false">
      <c r="A8707" s="34" t="n">
        <v>4470445000196</v>
      </c>
      <c r="B8707" s="34" t="s">
        <v>18062</v>
      </c>
      <c r="C8707" s="34" t="s">
        <v>475</v>
      </c>
      <c r="E8707" s="30" t="s">
        <v>18063</v>
      </c>
      <c r="F8707" s="34" t="n">
        <f aca="false">IFERROR(VLOOKUP($A8707,'319'!$B:$H,7,0),0)</f>
        <v>0</v>
      </c>
      <c r="G8707" s="34" t="n">
        <f aca="false">SUMIFS('12.326ana'!$C:$C,'12.326ana'!$M:$M,redes!A8707)</f>
        <v>0</v>
      </c>
    </row>
    <row r="8708" customFormat="false" ht="14.4" hidden="true" customHeight="false" outlineLevel="0" collapsed="false">
      <c r="A8708" s="34" t="n">
        <v>4472816000179</v>
      </c>
      <c r="B8708" s="34" t="s">
        <v>18064</v>
      </c>
      <c r="C8708" s="34" t="s">
        <v>77</v>
      </c>
      <c r="E8708" s="30" t="s">
        <v>8102</v>
      </c>
      <c r="F8708" s="34" t="n">
        <f aca="false">IFERROR(VLOOKUP($A8708,'319'!$B:$H,7,0),0)</f>
        <v>0</v>
      </c>
      <c r="G8708" s="34" t="n">
        <f aca="false">SUMIFS('12.326ana'!$C:$C,'12.326ana'!$M:$M,redes!A8708)</f>
        <v>0</v>
      </c>
    </row>
    <row r="8709" customFormat="false" ht="14.4" hidden="true" customHeight="false" outlineLevel="0" collapsed="false">
      <c r="A8709" s="34" t="n">
        <v>4473368000128</v>
      </c>
      <c r="B8709" s="34" t="s">
        <v>18065</v>
      </c>
      <c r="C8709" s="34" t="s">
        <v>77</v>
      </c>
      <c r="E8709" s="30" t="s">
        <v>18066</v>
      </c>
      <c r="F8709" s="34" t="n">
        <f aca="false">IFERROR(VLOOKUP($A8709,'319'!$B:$H,7,0),0)</f>
        <v>0</v>
      </c>
      <c r="G8709" s="34" t="n">
        <f aca="false">SUMIFS('12.326ana'!$C:$C,'12.326ana'!$M:$M,redes!A8709)</f>
        <v>0</v>
      </c>
    </row>
    <row r="8710" customFormat="false" ht="14.4" hidden="true" customHeight="false" outlineLevel="0" collapsed="false">
      <c r="A8710" s="34" t="n">
        <v>4473424000124</v>
      </c>
      <c r="B8710" s="34" t="s">
        <v>18067</v>
      </c>
      <c r="C8710" s="34" t="s">
        <v>1272</v>
      </c>
      <c r="E8710" s="30" t="s">
        <v>18068</v>
      </c>
      <c r="F8710" s="34" t="n">
        <f aca="false">IFERROR(VLOOKUP($A8710,'319'!$B:$H,7,0),0)</f>
        <v>0</v>
      </c>
      <c r="G8710" s="34" t="n">
        <f aca="false">SUMIFS('12.326ana'!$C:$C,'12.326ana'!$M:$M,redes!A8710)</f>
        <v>0</v>
      </c>
    </row>
    <row r="8711" customFormat="false" ht="14.4" hidden="true" customHeight="false" outlineLevel="0" collapsed="false">
      <c r="A8711" s="34" t="n">
        <v>4473463000121</v>
      </c>
      <c r="B8711" s="34" t="s">
        <v>18069</v>
      </c>
      <c r="C8711" s="34" t="s">
        <v>473</v>
      </c>
      <c r="E8711" s="30" t="s">
        <v>3001</v>
      </c>
      <c r="F8711" s="34" t="n">
        <f aca="false">IFERROR(VLOOKUP($A8711,'319'!$B:$H,7,0),0)</f>
        <v>0</v>
      </c>
      <c r="G8711" s="34" t="n">
        <f aca="false">SUMIFS('12.326ana'!$C:$C,'12.326ana'!$M:$M,redes!A8711)</f>
        <v>0</v>
      </c>
    </row>
    <row r="8712" customFormat="false" ht="14.4" hidden="true" customHeight="false" outlineLevel="0" collapsed="false">
      <c r="A8712" s="34" t="n">
        <v>4476020000194</v>
      </c>
      <c r="B8712" s="34" t="s">
        <v>18070</v>
      </c>
      <c r="C8712" s="34" t="s">
        <v>342</v>
      </c>
      <c r="E8712" s="30" t="s">
        <v>17886</v>
      </c>
      <c r="F8712" s="34" t="n">
        <f aca="false">IFERROR(VLOOKUP($A8712,'319'!$B:$H,7,0),0)</f>
        <v>0</v>
      </c>
      <c r="G8712" s="34" t="n">
        <f aca="false">SUMIFS('12.326ana'!$C:$C,'12.326ana'!$M:$M,redes!A8712)</f>
        <v>0</v>
      </c>
    </row>
    <row r="8713" customFormat="false" ht="14.4" hidden="true" customHeight="false" outlineLevel="0" collapsed="false">
      <c r="A8713" s="34" t="n">
        <v>4476428000166</v>
      </c>
      <c r="B8713" s="34" t="s">
        <v>18071</v>
      </c>
      <c r="C8713" s="34" t="s">
        <v>881</v>
      </c>
      <c r="E8713" s="30" t="s">
        <v>18072</v>
      </c>
      <c r="F8713" s="34" t="n">
        <f aca="false">IFERROR(VLOOKUP($A8713,'319'!$B:$H,7,0),0)</f>
        <v>0</v>
      </c>
      <c r="G8713" s="34" t="n">
        <f aca="false">SUMIFS('12.326ana'!$C:$C,'12.326ana'!$M:$M,redes!A8713)</f>
        <v>0</v>
      </c>
    </row>
    <row r="8714" customFormat="false" ht="14.4" hidden="true" customHeight="false" outlineLevel="0" collapsed="false">
      <c r="A8714" s="34" t="n">
        <v>4477777000100</v>
      </c>
      <c r="B8714" s="34" t="s">
        <v>18073</v>
      </c>
      <c r="C8714" s="34" t="s">
        <v>357</v>
      </c>
      <c r="E8714" s="30" t="s">
        <v>18074</v>
      </c>
      <c r="F8714" s="34" t="n">
        <f aca="false">IFERROR(VLOOKUP($A8714,'319'!$B:$H,7,0),0)</f>
        <v>0</v>
      </c>
      <c r="G8714" s="34" t="n">
        <f aca="false">SUMIFS('12.326ana'!$C:$C,'12.326ana'!$M:$M,redes!A8714)</f>
        <v>0</v>
      </c>
    </row>
    <row r="8715" customFormat="false" ht="14.4" hidden="true" customHeight="false" outlineLevel="0" collapsed="false">
      <c r="A8715" s="34" t="n">
        <v>4478252000181</v>
      </c>
      <c r="B8715" s="34" t="s">
        <v>18075</v>
      </c>
      <c r="C8715" s="34" t="s">
        <v>1054</v>
      </c>
      <c r="E8715" s="30" t="s">
        <v>11720</v>
      </c>
      <c r="F8715" s="34" t="n">
        <f aca="false">IFERROR(VLOOKUP($A8715,'319'!$B:$H,7,0),0)</f>
        <v>0</v>
      </c>
      <c r="G8715" s="34" t="n">
        <f aca="false">SUMIFS('12.326ana'!$C:$C,'12.326ana'!$M:$M,redes!A8715)</f>
        <v>0</v>
      </c>
    </row>
    <row r="8716" customFormat="false" ht="14.4" hidden="true" customHeight="false" outlineLevel="0" collapsed="false">
      <c r="A8716" s="34" t="n">
        <v>4478747000100</v>
      </c>
      <c r="B8716" s="34" t="s">
        <v>18076</v>
      </c>
      <c r="C8716" s="34" t="s">
        <v>77</v>
      </c>
      <c r="D8716" s="34" t="s">
        <v>3324</v>
      </c>
      <c r="E8716" s="30" t="s">
        <v>18077</v>
      </c>
      <c r="F8716" s="34" t="n">
        <f aca="false">IFERROR(VLOOKUP($A8716,'319'!$B:$H,7,0),0)</f>
        <v>0</v>
      </c>
      <c r="G8716" s="34" t="n">
        <f aca="false">SUMIFS('12.326ana'!$C:$C,'12.326ana'!$M:$M,redes!A8716)</f>
        <v>0</v>
      </c>
    </row>
    <row r="8717" customFormat="false" ht="14.4" hidden="true" customHeight="false" outlineLevel="0" collapsed="false">
      <c r="A8717" s="34" t="n">
        <v>4481778000110</v>
      </c>
      <c r="B8717" s="34" t="s">
        <v>18078</v>
      </c>
      <c r="C8717" s="34" t="s">
        <v>197</v>
      </c>
      <c r="E8717" s="30" t="s">
        <v>18079</v>
      </c>
      <c r="F8717" s="34" t="n">
        <f aca="false">IFERROR(VLOOKUP($A8717,'319'!$B:$H,7,0),0)</f>
        <v>0</v>
      </c>
      <c r="G8717" s="34" t="n">
        <f aca="false">SUMIFS('12.326ana'!$C:$C,'12.326ana'!$M:$M,redes!A8717)</f>
        <v>0</v>
      </c>
    </row>
    <row r="8718" customFormat="false" ht="14.4" hidden="true" customHeight="false" outlineLevel="0" collapsed="false">
      <c r="A8718" s="34" t="n">
        <v>4481786000167</v>
      </c>
      <c r="B8718" s="34" t="s">
        <v>18080</v>
      </c>
      <c r="C8718" s="34" t="s">
        <v>77</v>
      </c>
      <c r="E8718" s="30" t="s">
        <v>18081</v>
      </c>
      <c r="F8718" s="34" t="n">
        <f aca="false">IFERROR(VLOOKUP($A8718,'319'!$B:$H,7,0),0)</f>
        <v>0</v>
      </c>
      <c r="G8718" s="34" t="n">
        <f aca="false">SUMIFS('12.326ana'!$C:$C,'12.326ana'!$M:$M,redes!A8718)</f>
        <v>0</v>
      </c>
    </row>
    <row r="8719" customFormat="false" ht="14.4" hidden="true" customHeight="false" outlineLevel="0" collapsed="false">
      <c r="A8719" s="34" t="n">
        <v>4484065000100</v>
      </c>
      <c r="B8719" s="34" t="s">
        <v>18082</v>
      </c>
      <c r="C8719" s="34" t="s">
        <v>107</v>
      </c>
      <c r="E8719" s="30" t="s">
        <v>18083</v>
      </c>
      <c r="F8719" s="34" t="n">
        <f aca="false">IFERROR(VLOOKUP($A8719,'319'!$B:$H,7,0),0)</f>
        <v>0</v>
      </c>
      <c r="G8719" s="34" t="n">
        <f aca="false">SUMIFS('12.326ana'!$C:$C,'12.326ana'!$M:$M,redes!A8719)</f>
        <v>0</v>
      </c>
    </row>
    <row r="8720" customFormat="false" ht="14.4" hidden="true" customHeight="false" outlineLevel="0" collapsed="false">
      <c r="A8720" s="34" t="n">
        <v>4486919000198</v>
      </c>
      <c r="B8720" s="34" t="s">
        <v>18084</v>
      </c>
      <c r="C8720" s="34" t="s">
        <v>89</v>
      </c>
      <c r="E8720" s="30" t="s">
        <v>18085</v>
      </c>
      <c r="F8720" s="34" t="n">
        <f aca="false">IFERROR(VLOOKUP($A8720,'319'!$B:$H,7,0),0)</f>
        <v>0</v>
      </c>
      <c r="G8720" s="34" t="n">
        <f aca="false">SUMIFS('12.326ana'!$C:$C,'12.326ana'!$M:$M,redes!A8720)</f>
        <v>0</v>
      </c>
    </row>
    <row r="8721" customFormat="false" ht="14.4" hidden="true" customHeight="false" outlineLevel="0" collapsed="false">
      <c r="A8721" s="34" t="n">
        <v>4486993000104</v>
      </c>
      <c r="B8721" s="34" t="s">
        <v>18086</v>
      </c>
      <c r="C8721" s="34" t="s">
        <v>77</v>
      </c>
      <c r="E8721" s="30" t="s">
        <v>18087</v>
      </c>
      <c r="F8721" s="34" t="n">
        <f aca="false">IFERROR(VLOOKUP($A8721,'319'!$B:$H,7,0),0)</f>
        <v>0</v>
      </c>
      <c r="G8721" s="34" t="n">
        <f aca="false">SUMIFS('12.326ana'!$C:$C,'12.326ana'!$M:$M,redes!A8721)</f>
        <v>0</v>
      </c>
    </row>
    <row r="8722" customFormat="false" ht="14.4" hidden="true" customHeight="false" outlineLevel="0" collapsed="false">
      <c r="A8722" s="34" t="n">
        <v>4487398000193</v>
      </c>
      <c r="B8722" s="34" t="s">
        <v>18088</v>
      </c>
      <c r="C8722" s="34" t="s">
        <v>1591</v>
      </c>
      <c r="E8722" s="30" t="s">
        <v>18089</v>
      </c>
      <c r="F8722" s="34" t="n">
        <f aca="false">IFERROR(VLOOKUP($A8722,'319'!$B:$H,7,0),0)</f>
        <v>0</v>
      </c>
      <c r="G8722" s="34" t="n">
        <f aca="false">SUMIFS('12.326ana'!$C:$C,'12.326ana'!$M:$M,redes!A8722)</f>
        <v>0</v>
      </c>
    </row>
    <row r="8723" customFormat="false" ht="14.4" hidden="true" customHeight="false" outlineLevel="0" collapsed="false">
      <c r="A8723" s="34" t="n">
        <v>4492650000152</v>
      </c>
      <c r="B8723" s="34" t="s">
        <v>18090</v>
      </c>
      <c r="C8723" s="34" t="s">
        <v>1591</v>
      </c>
      <c r="E8723" s="30" t="s">
        <v>7679</v>
      </c>
      <c r="F8723" s="34" t="n">
        <f aca="false">IFERROR(VLOOKUP($A8723,'319'!$B:$H,7,0),0)</f>
        <v>0</v>
      </c>
      <c r="G8723" s="34" t="n">
        <f aca="false">SUMIFS('12.326ana'!$C:$C,'12.326ana'!$M:$M,redes!A8723)</f>
        <v>0</v>
      </c>
    </row>
    <row r="8724" customFormat="false" ht="14.4" hidden="true" customHeight="false" outlineLevel="0" collapsed="false">
      <c r="A8724" s="34" t="n">
        <v>4492753000112</v>
      </c>
      <c r="B8724" s="34" t="s">
        <v>18091</v>
      </c>
      <c r="C8724" s="34" t="s">
        <v>213</v>
      </c>
      <c r="E8724" s="30" t="s">
        <v>12577</v>
      </c>
      <c r="F8724" s="34" t="n">
        <f aca="false">IFERROR(VLOOKUP($A8724,'319'!$B:$H,7,0),0)</f>
        <v>0</v>
      </c>
      <c r="G8724" s="34" t="n">
        <f aca="false">SUMIFS('12.326ana'!$C:$C,'12.326ana'!$M:$M,redes!A8724)</f>
        <v>0</v>
      </c>
    </row>
    <row r="8725" customFormat="false" ht="14.4" hidden="true" customHeight="false" outlineLevel="0" collapsed="false">
      <c r="A8725" s="34" t="n">
        <v>4495135000126</v>
      </c>
      <c r="B8725" s="34" t="s">
        <v>18092</v>
      </c>
      <c r="C8725" s="34" t="s">
        <v>351</v>
      </c>
      <c r="E8725" s="30" t="s">
        <v>18093</v>
      </c>
      <c r="F8725" s="34" t="n">
        <f aca="false">IFERROR(VLOOKUP($A8725,'319'!$B:$H,7,0),0)</f>
        <v>0</v>
      </c>
      <c r="G8725" s="34" t="n">
        <f aca="false">SUMIFS('12.326ana'!$C:$C,'12.326ana'!$M:$M,redes!A8725)</f>
        <v>0</v>
      </c>
    </row>
    <row r="8726" customFormat="false" ht="14.4" hidden="true" customHeight="false" outlineLevel="0" collapsed="false">
      <c r="A8726" s="34" t="n">
        <v>4495328000187</v>
      </c>
      <c r="B8726" s="34" t="s">
        <v>18094</v>
      </c>
      <c r="C8726" s="34" t="s">
        <v>107</v>
      </c>
      <c r="E8726" s="30" t="s">
        <v>18095</v>
      </c>
      <c r="F8726" s="34" t="n">
        <f aca="false">IFERROR(VLOOKUP($A8726,'319'!$B:$H,7,0),0)</f>
        <v>0</v>
      </c>
      <c r="G8726" s="34" t="n">
        <f aca="false">SUMIFS('12.326ana'!$C:$C,'12.326ana'!$M:$M,redes!A8726)</f>
        <v>0</v>
      </c>
    </row>
    <row r="8727" customFormat="false" ht="14.4" hidden="true" customHeight="false" outlineLevel="0" collapsed="false">
      <c r="A8727" s="34" t="n">
        <v>4495695000180</v>
      </c>
      <c r="B8727" s="34" t="s">
        <v>10328</v>
      </c>
      <c r="C8727" s="34" t="s">
        <v>77</v>
      </c>
      <c r="E8727" s="30" t="s">
        <v>18096</v>
      </c>
      <c r="F8727" s="34" t="n">
        <f aca="false">IFERROR(VLOOKUP($A8727,'319'!$B:$H,7,0),0)</f>
        <v>0</v>
      </c>
      <c r="G8727" s="34" t="n">
        <f aca="false">SUMIFS('12.326ana'!$C:$C,'12.326ana'!$M:$M,redes!A8727)</f>
        <v>0</v>
      </c>
    </row>
    <row r="8728" customFormat="false" ht="14.4" hidden="true" customHeight="false" outlineLevel="0" collapsed="false">
      <c r="A8728" s="34" t="n">
        <v>4495804000160</v>
      </c>
      <c r="B8728" s="34" t="s">
        <v>18097</v>
      </c>
      <c r="C8728" s="34" t="s">
        <v>464</v>
      </c>
      <c r="E8728" s="30" t="s">
        <v>18098</v>
      </c>
      <c r="F8728" s="34" t="n">
        <f aca="false">IFERROR(VLOOKUP($A8728,'319'!$B:$H,7,0),0)</f>
        <v>0</v>
      </c>
      <c r="G8728" s="34" t="n">
        <f aca="false">SUMIFS('12.326ana'!$C:$C,'12.326ana'!$M:$M,redes!A8728)</f>
        <v>0</v>
      </c>
    </row>
    <row r="8729" customFormat="false" ht="14.4" hidden="true" customHeight="false" outlineLevel="0" collapsed="false">
      <c r="A8729" s="34" t="n">
        <v>4496107000123</v>
      </c>
      <c r="B8729" s="34" t="s">
        <v>18099</v>
      </c>
      <c r="C8729" s="34" t="s">
        <v>309</v>
      </c>
      <c r="E8729" s="30" t="s">
        <v>18100</v>
      </c>
      <c r="F8729" s="34" t="n">
        <f aca="false">IFERROR(VLOOKUP($A8729,'319'!$B:$H,7,0),0)</f>
        <v>0</v>
      </c>
      <c r="G8729" s="34" t="n">
        <f aca="false">SUMIFS('12.326ana'!$C:$C,'12.326ana'!$M:$M,redes!A8729)</f>
        <v>0</v>
      </c>
    </row>
    <row r="8730" customFormat="false" ht="14.4" hidden="true" customHeight="false" outlineLevel="0" collapsed="false">
      <c r="A8730" s="34" t="n">
        <v>4496148000110</v>
      </c>
      <c r="B8730" s="34" t="s">
        <v>18101</v>
      </c>
      <c r="C8730" s="34" t="s">
        <v>881</v>
      </c>
      <c r="E8730" s="30" t="s">
        <v>18102</v>
      </c>
      <c r="F8730" s="34" t="n">
        <f aca="false">IFERROR(VLOOKUP($A8730,'319'!$B:$H,7,0),0)</f>
        <v>0</v>
      </c>
      <c r="G8730" s="34" t="n">
        <f aca="false">SUMIFS('12.326ana'!$C:$C,'12.326ana'!$M:$M,redes!A8730)</f>
        <v>0</v>
      </c>
    </row>
    <row r="8731" customFormat="false" ht="14.4" hidden="true" customHeight="false" outlineLevel="0" collapsed="false">
      <c r="A8731" s="34" t="n">
        <v>4497893000183</v>
      </c>
      <c r="B8731" s="34" t="s">
        <v>18103</v>
      </c>
      <c r="C8731" s="34" t="s">
        <v>77</v>
      </c>
      <c r="E8731" s="30" t="s">
        <v>18104</v>
      </c>
      <c r="F8731" s="34" t="n">
        <f aca="false">IFERROR(VLOOKUP($A8731,'319'!$B:$H,7,0),0)</f>
        <v>0</v>
      </c>
      <c r="G8731" s="34" t="n">
        <f aca="false">SUMIFS('12.326ana'!$C:$C,'12.326ana'!$M:$M,redes!A8731)</f>
        <v>0</v>
      </c>
    </row>
    <row r="8732" customFormat="false" ht="14.4" hidden="true" customHeight="false" outlineLevel="0" collapsed="false">
      <c r="A8732" s="34" t="n">
        <v>4498435000169</v>
      </c>
      <c r="B8732" s="34" t="s">
        <v>18105</v>
      </c>
      <c r="C8732" s="34" t="s">
        <v>342</v>
      </c>
      <c r="E8732" s="30" t="s">
        <v>18106</v>
      </c>
      <c r="F8732" s="34" t="n">
        <f aca="false">IFERROR(VLOOKUP($A8732,'319'!$B:$H,7,0),0)</f>
        <v>0</v>
      </c>
      <c r="G8732" s="34" t="n">
        <f aca="false">SUMIFS('12.326ana'!$C:$C,'12.326ana'!$M:$M,redes!A8732)</f>
        <v>0</v>
      </c>
    </row>
    <row r="8733" customFormat="false" ht="14.4" hidden="true" customHeight="false" outlineLevel="0" collapsed="false">
      <c r="A8733" s="34" t="n">
        <v>4499292000100</v>
      </c>
      <c r="B8733" s="34" t="s">
        <v>18107</v>
      </c>
      <c r="C8733" s="34" t="s">
        <v>463</v>
      </c>
      <c r="E8733" s="30" t="s">
        <v>11474</v>
      </c>
      <c r="F8733" s="34" t="n">
        <f aca="false">IFERROR(VLOOKUP($A8733,'319'!$B:$H,7,0),0)</f>
        <v>0</v>
      </c>
      <c r="G8733" s="34" t="n">
        <f aca="false">SUMIFS('12.326ana'!$C:$C,'12.326ana'!$M:$M,redes!A8733)</f>
        <v>0</v>
      </c>
    </row>
    <row r="8734" customFormat="false" ht="14.4" hidden="true" customHeight="false" outlineLevel="0" collapsed="false">
      <c r="A8734" s="34" t="n">
        <v>4499985000100</v>
      </c>
      <c r="B8734" s="34" t="s">
        <v>18108</v>
      </c>
      <c r="C8734" s="34" t="s">
        <v>103</v>
      </c>
      <c r="E8734" s="30" t="s">
        <v>18109</v>
      </c>
      <c r="F8734" s="34" t="n">
        <f aca="false">IFERROR(VLOOKUP($A8734,'319'!$B:$H,7,0),0)</f>
        <v>0</v>
      </c>
      <c r="G8734" s="34" t="n">
        <f aca="false">SUMIFS('12.326ana'!$C:$C,'12.326ana'!$M:$M,redes!A8734)</f>
        <v>0</v>
      </c>
    </row>
    <row r="8735" customFormat="false" ht="14.4" hidden="true" customHeight="false" outlineLevel="0" collapsed="false">
      <c r="A8735" s="34" t="n">
        <v>4500193000109</v>
      </c>
      <c r="B8735" s="34" t="s">
        <v>18110</v>
      </c>
      <c r="C8735" s="34" t="s">
        <v>103</v>
      </c>
      <c r="E8735" s="30" t="s">
        <v>18111</v>
      </c>
      <c r="F8735" s="34" t="n">
        <f aca="false">IFERROR(VLOOKUP($A8735,'319'!$B:$H,7,0),0)</f>
        <v>0</v>
      </c>
      <c r="G8735" s="34" t="n">
        <f aca="false">SUMIFS('12.326ana'!$C:$C,'12.326ana'!$M:$M,redes!A8735)</f>
        <v>0</v>
      </c>
    </row>
    <row r="8736" customFormat="false" ht="14.4" hidden="true" customHeight="false" outlineLevel="0" collapsed="false">
      <c r="A8736" s="34" t="n">
        <v>4504464000196</v>
      </c>
      <c r="B8736" s="34" t="s">
        <v>18112</v>
      </c>
      <c r="C8736" s="34" t="s">
        <v>77</v>
      </c>
      <c r="E8736" s="30" t="s">
        <v>18113</v>
      </c>
      <c r="F8736" s="34" t="n">
        <f aca="false">IFERROR(VLOOKUP($A8736,'319'!$B:$H,7,0),0)</f>
        <v>0</v>
      </c>
      <c r="G8736" s="34" t="n">
        <f aca="false">SUMIFS('12.326ana'!$C:$C,'12.326ana'!$M:$M,redes!A8736)</f>
        <v>0</v>
      </c>
    </row>
    <row r="8737" customFormat="false" ht="14.4" hidden="true" customHeight="false" outlineLevel="0" collapsed="false">
      <c r="A8737" s="34" t="n">
        <v>4504956000181</v>
      </c>
      <c r="B8737" s="34" t="s">
        <v>18114</v>
      </c>
      <c r="C8737" s="34" t="s">
        <v>881</v>
      </c>
      <c r="E8737" s="30" t="s">
        <v>18115</v>
      </c>
      <c r="F8737" s="34" t="n">
        <f aca="false">IFERROR(VLOOKUP($A8737,'319'!$B:$H,7,0),0)</f>
        <v>0</v>
      </c>
      <c r="G8737" s="34" t="n">
        <f aca="false">SUMIFS('12.326ana'!$C:$C,'12.326ana'!$M:$M,redes!A8737)</f>
        <v>0</v>
      </c>
    </row>
    <row r="8738" customFormat="false" ht="14.4" hidden="true" customHeight="false" outlineLevel="0" collapsed="false">
      <c r="A8738" s="34" t="n">
        <v>4505325000187</v>
      </c>
      <c r="B8738" s="34" t="s">
        <v>18116</v>
      </c>
      <c r="C8738" s="34" t="s">
        <v>107</v>
      </c>
      <c r="E8738" s="30" t="s">
        <v>18117</v>
      </c>
      <c r="F8738" s="34" t="n">
        <f aca="false">IFERROR(VLOOKUP($A8738,'319'!$B:$H,7,0),0)</f>
        <v>0</v>
      </c>
      <c r="G8738" s="34" t="n">
        <f aca="false">SUMIFS('12.326ana'!$C:$C,'12.326ana'!$M:$M,redes!A8738)</f>
        <v>0</v>
      </c>
    </row>
    <row r="8739" customFormat="false" ht="14.4" hidden="true" customHeight="false" outlineLevel="0" collapsed="false">
      <c r="A8739" s="35" t="n">
        <v>4505534000120</v>
      </c>
      <c r="B8739" s="34" t="s">
        <v>18118</v>
      </c>
      <c r="C8739" s="34" t="s">
        <v>77</v>
      </c>
      <c r="E8739" s="30" t="s">
        <v>18119</v>
      </c>
      <c r="F8739" s="34" t="n">
        <f aca="false">IFERROR(VLOOKUP($A8739,'319'!$B:$H,7,0),0)</f>
        <v>0</v>
      </c>
      <c r="G8739" s="34" t="n">
        <f aca="false">SUMIFS('12.326ana'!$C:$C,'12.326ana'!$M:$M,redes!A8739)</f>
        <v>0</v>
      </c>
    </row>
    <row r="8740" customFormat="false" ht="14.4" hidden="true" customHeight="false" outlineLevel="0" collapsed="false">
      <c r="A8740" s="34" t="n">
        <v>4508700000142</v>
      </c>
      <c r="B8740" s="34" t="s">
        <v>18120</v>
      </c>
      <c r="C8740" s="34" t="s">
        <v>631</v>
      </c>
      <c r="E8740" s="30" t="s">
        <v>3094</v>
      </c>
      <c r="F8740" s="34" t="n">
        <f aca="false">IFERROR(VLOOKUP($A8740,'319'!$B:$H,7,0),0)</f>
        <v>0</v>
      </c>
      <c r="G8740" s="34" t="n">
        <f aca="false">SUMIFS('12.326ana'!$C:$C,'12.326ana'!$M:$M,redes!A8740)</f>
        <v>0</v>
      </c>
    </row>
    <row r="8741" customFormat="false" ht="14.4" hidden="true" customHeight="false" outlineLevel="0" collapsed="false">
      <c r="A8741" s="34" t="n">
        <v>4508822000139</v>
      </c>
      <c r="B8741" s="34" t="s">
        <v>18121</v>
      </c>
      <c r="C8741" s="34" t="s">
        <v>77</v>
      </c>
      <c r="E8741" s="30"/>
      <c r="F8741" s="34" t="n">
        <f aca="false">IFERROR(VLOOKUP($A8741,'319'!$B:$H,7,0),0)</f>
        <v>0</v>
      </c>
      <c r="G8741" s="34" t="n">
        <f aca="false">SUMIFS('12.326ana'!$C:$C,'12.326ana'!$M:$M,redes!A8741)</f>
        <v>0</v>
      </c>
    </row>
    <row r="8742" customFormat="false" ht="14.4" hidden="true" customHeight="false" outlineLevel="0" collapsed="false">
      <c r="A8742" s="34" t="n">
        <v>4510554000190</v>
      </c>
      <c r="B8742" s="34" t="s">
        <v>18122</v>
      </c>
      <c r="C8742" s="34" t="s">
        <v>77</v>
      </c>
      <c r="E8742" s="30" t="s">
        <v>18123</v>
      </c>
      <c r="F8742" s="34" t="n">
        <f aca="false">IFERROR(VLOOKUP($A8742,'319'!$B:$H,7,0),0)</f>
        <v>0</v>
      </c>
      <c r="G8742" s="34" t="n">
        <f aca="false">SUMIFS('12.326ana'!$C:$C,'12.326ana'!$M:$M,redes!A8742)</f>
        <v>0</v>
      </c>
    </row>
    <row r="8743" customFormat="false" ht="14.4" hidden="true" customHeight="false" outlineLevel="0" collapsed="false">
      <c r="A8743" s="34" t="n">
        <v>4511092000125</v>
      </c>
      <c r="B8743" s="34" t="s">
        <v>18124</v>
      </c>
      <c r="C8743" s="34" t="s">
        <v>463</v>
      </c>
      <c r="E8743" s="30" t="s">
        <v>8871</v>
      </c>
      <c r="F8743" s="34" t="n">
        <f aca="false">IFERROR(VLOOKUP($A8743,'319'!$B:$H,7,0),0)</f>
        <v>0</v>
      </c>
      <c r="G8743" s="34" t="n">
        <f aca="false">SUMIFS('12.326ana'!$C:$C,'12.326ana'!$M:$M,redes!A8743)</f>
        <v>0</v>
      </c>
    </row>
    <row r="8744" customFormat="false" ht="14.4" hidden="true" customHeight="false" outlineLevel="0" collapsed="false">
      <c r="A8744" s="34" t="n">
        <v>4514411000156</v>
      </c>
      <c r="B8744" s="34" t="s">
        <v>18125</v>
      </c>
      <c r="C8744" s="34" t="s">
        <v>77</v>
      </c>
      <c r="E8744" s="30" t="s">
        <v>3316</v>
      </c>
      <c r="F8744" s="34" t="n">
        <f aca="false">IFERROR(VLOOKUP($A8744,'319'!$B:$H,7,0),0)</f>
        <v>0</v>
      </c>
      <c r="G8744" s="34" t="n">
        <f aca="false">SUMIFS('12.326ana'!$C:$C,'12.326ana'!$M:$M,redes!A8744)</f>
        <v>0</v>
      </c>
    </row>
    <row r="8745" customFormat="false" ht="14.4" hidden="true" customHeight="false" outlineLevel="0" collapsed="false">
      <c r="A8745" s="34" t="n">
        <v>4516801000165</v>
      </c>
      <c r="B8745" s="34" t="s">
        <v>18126</v>
      </c>
      <c r="C8745" s="34" t="s">
        <v>342</v>
      </c>
      <c r="E8745" s="30" t="s">
        <v>18127</v>
      </c>
      <c r="F8745" s="34" t="n">
        <f aca="false">IFERROR(VLOOKUP($A8745,'319'!$B:$H,7,0),0)</f>
        <v>0</v>
      </c>
      <c r="G8745" s="34" t="n">
        <f aca="false">SUMIFS('12.326ana'!$C:$C,'12.326ana'!$M:$M,redes!A8745)</f>
        <v>0</v>
      </c>
    </row>
    <row r="8746" customFormat="false" ht="14.4" hidden="true" customHeight="false" outlineLevel="0" collapsed="false">
      <c r="A8746" s="34" t="n">
        <v>4517456000184</v>
      </c>
      <c r="B8746" s="34" t="s">
        <v>18128</v>
      </c>
      <c r="C8746" s="34" t="s">
        <v>192</v>
      </c>
      <c r="D8746" s="34" t="s">
        <v>4797</v>
      </c>
      <c r="E8746" s="30" t="s">
        <v>18129</v>
      </c>
      <c r="F8746" s="34" t="n">
        <f aca="false">IFERROR(VLOOKUP($A8746,'319'!$B:$H,7,0),0)</f>
        <v>0</v>
      </c>
      <c r="G8746" s="34" t="n">
        <f aca="false">SUMIFS('12.326ana'!$C:$C,'12.326ana'!$M:$M,redes!A8746)</f>
        <v>0</v>
      </c>
    </row>
    <row r="8747" customFormat="false" ht="14.4" hidden="true" customHeight="false" outlineLevel="0" collapsed="false">
      <c r="A8747" s="34" t="n">
        <v>4517494000137</v>
      </c>
      <c r="B8747" s="34" t="s">
        <v>18130</v>
      </c>
      <c r="C8747" s="34" t="s">
        <v>328</v>
      </c>
      <c r="E8747" s="30" t="s">
        <v>18131</v>
      </c>
      <c r="F8747" s="34" t="n">
        <f aca="false">IFERROR(VLOOKUP($A8747,'319'!$B:$H,7,0),0)</f>
        <v>0</v>
      </c>
      <c r="G8747" s="34" t="n">
        <f aca="false">SUMIFS('12.326ana'!$C:$C,'12.326ana'!$M:$M,redes!A8747)</f>
        <v>0</v>
      </c>
    </row>
    <row r="8748" customFormat="false" ht="14.4" hidden="true" customHeight="false" outlineLevel="0" collapsed="false">
      <c r="A8748" s="34" t="n">
        <v>4519556000140</v>
      </c>
      <c r="B8748" s="34" t="s">
        <v>18132</v>
      </c>
      <c r="C8748" s="34" t="s">
        <v>117</v>
      </c>
      <c r="E8748" s="30" t="s">
        <v>18133</v>
      </c>
      <c r="F8748" s="34" t="n">
        <f aca="false">IFERROR(VLOOKUP($A8748,'319'!$B:$H,7,0),0)</f>
        <v>0</v>
      </c>
      <c r="G8748" s="34" t="n">
        <f aca="false">SUMIFS('12.326ana'!$C:$C,'12.326ana'!$M:$M,redes!A8748)</f>
        <v>0</v>
      </c>
    </row>
    <row r="8749" customFormat="false" ht="14.4" hidden="true" customHeight="false" outlineLevel="0" collapsed="false">
      <c r="A8749" s="34" t="n">
        <v>4519723000152</v>
      </c>
      <c r="B8749" s="34" t="s">
        <v>18134</v>
      </c>
      <c r="C8749" s="34" t="s">
        <v>342</v>
      </c>
      <c r="E8749" s="30" t="s">
        <v>18135</v>
      </c>
      <c r="F8749" s="34" t="n">
        <f aca="false">IFERROR(VLOOKUP($A8749,'319'!$B:$H,7,0),0)</f>
        <v>0</v>
      </c>
      <c r="G8749" s="34" t="n">
        <f aca="false">SUMIFS('12.326ana'!$C:$C,'12.326ana'!$M:$M,redes!A8749)</f>
        <v>0</v>
      </c>
    </row>
    <row r="8750" customFormat="false" ht="14.4" hidden="true" customHeight="false" outlineLevel="0" collapsed="false">
      <c r="A8750" s="34" t="n">
        <v>4522774000133</v>
      </c>
      <c r="B8750" s="34" t="s">
        <v>18136</v>
      </c>
      <c r="C8750" s="34" t="s">
        <v>804</v>
      </c>
      <c r="E8750" s="30" t="s">
        <v>18137</v>
      </c>
      <c r="F8750" s="34" t="n">
        <f aca="false">IFERROR(VLOOKUP($A8750,'319'!$B:$H,7,0),0)</f>
        <v>0</v>
      </c>
      <c r="G8750" s="34" t="n">
        <f aca="false">SUMIFS('12.326ana'!$C:$C,'12.326ana'!$M:$M,redes!A8750)</f>
        <v>0</v>
      </c>
    </row>
    <row r="8751" customFormat="false" ht="14.4" hidden="true" customHeight="false" outlineLevel="0" collapsed="false">
      <c r="A8751" s="34" t="n">
        <v>4523058000170</v>
      </c>
      <c r="B8751" s="34" t="s">
        <v>18138</v>
      </c>
      <c r="C8751" s="34" t="s">
        <v>127</v>
      </c>
      <c r="E8751" s="30" t="s">
        <v>7523</v>
      </c>
      <c r="F8751" s="34" t="n">
        <f aca="false">IFERROR(VLOOKUP($A8751,'319'!$B:$H,7,0),0)</f>
        <v>0</v>
      </c>
      <c r="G8751" s="34" t="n">
        <f aca="false">SUMIFS('12.326ana'!$C:$C,'12.326ana'!$M:$M,redes!A8751)</f>
        <v>0</v>
      </c>
    </row>
    <row r="8752" customFormat="false" ht="14.4" hidden="true" customHeight="false" outlineLevel="0" collapsed="false">
      <c r="A8752" s="34" t="n">
        <v>4523682000178</v>
      </c>
      <c r="B8752" s="34" t="s">
        <v>18139</v>
      </c>
      <c r="C8752" s="34" t="s">
        <v>604</v>
      </c>
      <c r="E8752" s="30" t="s">
        <v>18140</v>
      </c>
      <c r="F8752" s="34" t="n">
        <f aca="false">IFERROR(VLOOKUP($A8752,'319'!$B:$H,7,0),0)</f>
        <v>0</v>
      </c>
      <c r="G8752" s="34" t="n">
        <f aca="false">SUMIFS('12.326ana'!$C:$C,'12.326ana'!$M:$M,redes!A8752)</f>
        <v>0</v>
      </c>
    </row>
    <row r="8753" customFormat="false" ht="14.4" hidden="true" customHeight="false" outlineLevel="0" collapsed="false">
      <c r="A8753" s="34" t="n">
        <v>4526709000186</v>
      </c>
      <c r="B8753" s="34" t="s">
        <v>18141</v>
      </c>
      <c r="C8753" s="34" t="s">
        <v>957</v>
      </c>
      <c r="E8753" s="30" t="s">
        <v>18142</v>
      </c>
      <c r="F8753" s="34" t="n">
        <f aca="false">IFERROR(VLOOKUP($A8753,'319'!$B:$H,7,0),0)</f>
        <v>0</v>
      </c>
      <c r="G8753" s="34" t="n">
        <f aca="false">SUMIFS('12.326ana'!$C:$C,'12.326ana'!$M:$M,redes!A8753)</f>
        <v>0</v>
      </c>
    </row>
    <row r="8754" customFormat="false" ht="14.4" hidden="true" customHeight="false" outlineLevel="0" collapsed="false">
      <c r="A8754" s="34" t="n">
        <v>4527097000146</v>
      </c>
      <c r="B8754" s="34" t="s">
        <v>18143</v>
      </c>
      <c r="C8754" s="34" t="s">
        <v>197</v>
      </c>
      <c r="E8754" s="30" t="s">
        <v>3664</v>
      </c>
      <c r="F8754" s="34" t="n">
        <f aca="false">IFERROR(VLOOKUP($A8754,'319'!$B:$H,7,0),0)</f>
        <v>0</v>
      </c>
      <c r="G8754" s="34" t="n">
        <f aca="false">SUMIFS('12.326ana'!$C:$C,'12.326ana'!$M:$M,redes!A8754)</f>
        <v>0</v>
      </c>
    </row>
    <row r="8755" customFormat="false" ht="14.4" hidden="true" customHeight="false" outlineLevel="0" collapsed="false">
      <c r="A8755" s="34" t="n">
        <v>4527161000199</v>
      </c>
      <c r="B8755" s="34" t="s">
        <v>18144</v>
      </c>
      <c r="C8755" s="34" t="s">
        <v>213</v>
      </c>
      <c r="E8755" s="30"/>
      <c r="F8755" s="34" t="n">
        <f aca="false">IFERROR(VLOOKUP($A8755,'319'!$B:$H,7,0),0)</f>
        <v>0</v>
      </c>
      <c r="G8755" s="34" t="n">
        <f aca="false">SUMIFS('12.326ana'!$C:$C,'12.326ana'!$M:$M,redes!A8755)</f>
        <v>0</v>
      </c>
    </row>
    <row r="8756" customFormat="false" ht="14.4" hidden="true" customHeight="false" outlineLevel="0" collapsed="false">
      <c r="A8756" s="34" t="n">
        <v>4530505000119</v>
      </c>
      <c r="B8756" s="34" t="s">
        <v>18145</v>
      </c>
      <c r="C8756" s="34" t="s">
        <v>77</v>
      </c>
      <c r="D8756" s="34" t="s">
        <v>23</v>
      </c>
      <c r="E8756" s="30" t="s">
        <v>5316</v>
      </c>
      <c r="F8756" s="34" t="n">
        <f aca="false">IFERROR(VLOOKUP($A8756,'319'!$B:$H,7,0),0)</f>
        <v>0</v>
      </c>
      <c r="G8756" s="34" t="n">
        <f aca="false">SUMIFS('12.326ana'!$C:$C,'12.326ana'!$M:$M,redes!A8756)</f>
        <v>0</v>
      </c>
    </row>
    <row r="8757" customFormat="false" ht="14.4" hidden="true" customHeight="false" outlineLevel="0" collapsed="false">
      <c r="A8757" s="34" t="n">
        <v>4531130000101</v>
      </c>
      <c r="B8757" s="34" t="s">
        <v>18146</v>
      </c>
      <c r="C8757" s="34" t="s">
        <v>107</v>
      </c>
      <c r="E8757" s="30" t="s">
        <v>18147</v>
      </c>
      <c r="F8757" s="34" t="n">
        <f aca="false">IFERROR(VLOOKUP($A8757,'319'!$B:$H,7,0),0)</f>
        <v>0</v>
      </c>
      <c r="G8757" s="34" t="n">
        <f aca="false">SUMIFS('12.326ana'!$C:$C,'12.326ana'!$M:$M,redes!A8757)</f>
        <v>0</v>
      </c>
    </row>
    <row r="8758" customFormat="false" ht="14.4" hidden="true" customHeight="false" outlineLevel="0" collapsed="false">
      <c r="A8758" s="34" t="n">
        <v>4531268000100</v>
      </c>
      <c r="B8758" s="34" t="s">
        <v>18148</v>
      </c>
      <c r="C8758" s="34" t="s">
        <v>781</v>
      </c>
      <c r="E8758" s="30" t="s">
        <v>18149</v>
      </c>
      <c r="F8758" s="34" t="n">
        <f aca="false">IFERROR(VLOOKUP($A8758,'319'!$B:$H,7,0),0)</f>
        <v>0</v>
      </c>
      <c r="G8758" s="34" t="n">
        <f aca="false">SUMIFS('12.326ana'!$C:$C,'12.326ana'!$M:$M,redes!A8758)</f>
        <v>0</v>
      </c>
    </row>
    <row r="8759" customFormat="false" ht="14.4" hidden="true" customHeight="false" outlineLevel="0" collapsed="false">
      <c r="A8759" s="34" t="n">
        <v>4532260000169</v>
      </c>
      <c r="B8759" s="34" t="s">
        <v>18150</v>
      </c>
      <c r="C8759" s="34" t="s">
        <v>463</v>
      </c>
      <c r="E8759" s="30" t="s">
        <v>18151</v>
      </c>
      <c r="F8759" s="34" t="n">
        <f aca="false">IFERROR(VLOOKUP($A8759,'319'!$B:$H,7,0),0)</f>
        <v>0</v>
      </c>
      <c r="G8759" s="34" t="n">
        <f aca="false">SUMIFS('12.326ana'!$C:$C,'12.326ana'!$M:$M,redes!A8759)</f>
        <v>0</v>
      </c>
    </row>
    <row r="8760" customFormat="false" ht="14.4" hidden="true" customHeight="false" outlineLevel="0" collapsed="false">
      <c r="A8760" s="34" t="n">
        <v>4534140000109</v>
      </c>
      <c r="B8760" s="34" t="s">
        <v>18152</v>
      </c>
      <c r="C8760" s="34" t="s">
        <v>197</v>
      </c>
      <c r="E8760" s="30" t="s">
        <v>18153</v>
      </c>
      <c r="F8760" s="34" t="n">
        <f aca="false">IFERROR(VLOOKUP($A8760,'319'!$B:$H,7,0),0)</f>
        <v>0</v>
      </c>
      <c r="G8760" s="34" t="n">
        <f aca="false">SUMIFS('12.326ana'!$C:$C,'12.326ana'!$M:$M,redes!A8760)</f>
        <v>0</v>
      </c>
    </row>
    <row r="8761" customFormat="false" ht="14.4" hidden="true" customHeight="false" outlineLevel="0" collapsed="false">
      <c r="A8761" s="34" t="n">
        <v>4534529000146</v>
      </c>
      <c r="B8761" s="34" t="s">
        <v>18154</v>
      </c>
      <c r="C8761" s="34" t="s">
        <v>77</v>
      </c>
      <c r="E8761" s="30" t="s">
        <v>18155</v>
      </c>
      <c r="F8761" s="34" t="n">
        <f aca="false">IFERROR(VLOOKUP($A8761,'319'!$B:$H,7,0),0)</f>
        <v>0</v>
      </c>
      <c r="G8761" s="34" t="n">
        <f aca="false">SUMIFS('12.326ana'!$C:$C,'12.326ana'!$M:$M,redes!A8761)</f>
        <v>0</v>
      </c>
    </row>
    <row r="8762" customFormat="false" ht="14.4" hidden="true" customHeight="false" outlineLevel="0" collapsed="false">
      <c r="A8762" s="34" t="n">
        <v>4535215000168</v>
      </c>
      <c r="B8762" s="34" t="s">
        <v>18156</v>
      </c>
      <c r="C8762" s="34" t="s">
        <v>299</v>
      </c>
      <c r="E8762" s="30" t="s">
        <v>13273</v>
      </c>
      <c r="F8762" s="34" t="n">
        <f aca="false">IFERROR(VLOOKUP($A8762,'319'!$B:$H,7,0),0)</f>
        <v>0</v>
      </c>
      <c r="G8762" s="34" t="n">
        <f aca="false">SUMIFS('12.326ana'!$C:$C,'12.326ana'!$M:$M,redes!A8762)</f>
        <v>0</v>
      </c>
    </row>
    <row r="8763" customFormat="false" ht="14.4" hidden="true" customHeight="false" outlineLevel="0" collapsed="false">
      <c r="A8763" s="34" t="n">
        <v>4535216000102</v>
      </c>
      <c r="B8763" s="34" t="s">
        <v>18157</v>
      </c>
      <c r="C8763" s="34" t="s">
        <v>631</v>
      </c>
      <c r="E8763" s="30" t="s">
        <v>18158</v>
      </c>
      <c r="F8763" s="34" t="n">
        <f aca="false">IFERROR(VLOOKUP($A8763,'319'!$B:$H,7,0),0)</f>
        <v>0</v>
      </c>
      <c r="G8763" s="34" t="n">
        <f aca="false">SUMIFS('12.326ana'!$C:$C,'12.326ana'!$M:$M,redes!A8763)</f>
        <v>0</v>
      </c>
    </row>
    <row r="8764" customFormat="false" ht="14.4" hidden="true" customHeight="false" outlineLevel="0" collapsed="false">
      <c r="A8764" s="34" t="n">
        <v>4535645000180</v>
      </c>
      <c r="B8764" s="34" t="s">
        <v>18159</v>
      </c>
      <c r="C8764" s="34" t="s">
        <v>463</v>
      </c>
      <c r="E8764" s="30" t="s">
        <v>18160</v>
      </c>
      <c r="F8764" s="34" t="n">
        <f aca="false">IFERROR(VLOOKUP($A8764,'319'!$B:$H,7,0),0)</f>
        <v>0</v>
      </c>
      <c r="G8764" s="34" t="n">
        <f aca="false">SUMIFS('12.326ana'!$C:$C,'12.326ana'!$M:$M,redes!A8764)</f>
        <v>0</v>
      </c>
    </row>
    <row r="8765" customFormat="false" ht="14.4" hidden="true" customHeight="false" outlineLevel="0" collapsed="false">
      <c r="A8765" s="34" t="n">
        <v>4536812000107</v>
      </c>
      <c r="B8765" s="34" t="s">
        <v>18161</v>
      </c>
      <c r="C8765" s="34" t="s">
        <v>342</v>
      </c>
      <c r="E8765" s="30" t="s">
        <v>18162</v>
      </c>
      <c r="F8765" s="34" t="n">
        <f aca="false">IFERROR(VLOOKUP($A8765,'319'!$B:$H,7,0),0)</f>
        <v>0</v>
      </c>
      <c r="G8765" s="34" t="n">
        <f aca="false">SUMIFS('12.326ana'!$C:$C,'12.326ana'!$M:$M,redes!A8765)</f>
        <v>0</v>
      </c>
    </row>
    <row r="8766" customFormat="false" ht="14.4" hidden="true" customHeight="false" outlineLevel="0" collapsed="false">
      <c r="A8766" s="34" t="n">
        <v>4536824000131</v>
      </c>
      <c r="B8766" s="34" t="s">
        <v>18163</v>
      </c>
      <c r="C8766" s="34" t="s">
        <v>565</v>
      </c>
      <c r="E8766" s="30" t="s">
        <v>18164</v>
      </c>
      <c r="F8766" s="34" t="n">
        <f aca="false">IFERROR(VLOOKUP($A8766,'319'!$B:$H,7,0),0)</f>
        <v>0</v>
      </c>
      <c r="G8766" s="34" t="n">
        <f aca="false">SUMIFS('12.326ana'!$C:$C,'12.326ana'!$M:$M,redes!A8766)</f>
        <v>0</v>
      </c>
    </row>
    <row r="8767" customFormat="false" ht="14.4" hidden="true" customHeight="false" outlineLevel="0" collapsed="false">
      <c r="A8767" s="34" t="n">
        <v>4538156000181</v>
      </c>
      <c r="B8767" s="34" t="s">
        <v>18165</v>
      </c>
      <c r="C8767" s="34" t="s">
        <v>77</v>
      </c>
      <c r="D8767" s="34" t="s">
        <v>5602</v>
      </c>
      <c r="E8767" s="30" t="s">
        <v>18166</v>
      </c>
      <c r="F8767" s="34" t="n">
        <f aca="false">IFERROR(VLOOKUP($A8767,'319'!$B:$H,7,0),0)</f>
        <v>0</v>
      </c>
      <c r="G8767" s="34" t="n">
        <f aca="false">SUMIFS('12.326ana'!$C:$C,'12.326ana'!$M:$M,redes!A8767)</f>
        <v>0</v>
      </c>
    </row>
    <row r="8768" customFormat="false" ht="14.4" hidden="true" customHeight="false" outlineLevel="0" collapsed="false">
      <c r="A8768" s="34" t="n">
        <v>4538616000171</v>
      </c>
      <c r="B8768" s="34" t="s">
        <v>18167</v>
      </c>
      <c r="C8768" s="34" t="s">
        <v>192</v>
      </c>
      <c r="E8768" s="30" t="s">
        <v>18168</v>
      </c>
      <c r="F8768" s="34" t="n">
        <f aca="false">IFERROR(VLOOKUP($A8768,'319'!$B:$H,7,0),0)</f>
        <v>0</v>
      </c>
      <c r="G8768" s="34" t="n">
        <f aca="false">SUMIFS('12.326ana'!$C:$C,'12.326ana'!$M:$M,redes!A8768)</f>
        <v>0</v>
      </c>
    </row>
    <row r="8769" customFormat="false" ht="14.4" hidden="true" customHeight="false" outlineLevel="0" collapsed="false">
      <c r="A8769" s="34" t="n">
        <v>4539247000131</v>
      </c>
      <c r="B8769" s="34" t="s">
        <v>18169</v>
      </c>
      <c r="C8769" s="34" t="s">
        <v>4418</v>
      </c>
      <c r="E8769" s="30" t="s">
        <v>7510</v>
      </c>
      <c r="F8769" s="34" t="n">
        <f aca="false">IFERROR(VLOOKUP($A8769,'319'!$B:$H,7,0),0)</f>
        <v>0</v>
      </c>
      <c r="G8769" s="34" t="n">
        <f aca="false">SUMIFS('12.326ana'!$C:$C,'12.326ana'!$M:$M,redes!A8769)</f>
        <v>0</v>
      </c>
    </row>
    <row r="8770" customFormat="false" ht="14.4" hidden="true" customHeight="false" outlineLevel="0" collapsed="false">
      <c r="A8770" s="34" t="n">
        <v>4539275000159</v>
      </c>
      <c r="B8770" s="34" t="s">
        <v>18170</v>
      </c>
      <c r="C8770" s="34" t="s">
        <v>737</v>
      </c>
      <c r="E8770" s="30" t="s">
        <v>18171</v>
      </c>
      <c r="F8770" s="34" t="n">
        <f aca="false">IFERROR(VLOOKUP($A8770,'319'!$B:$H,7,0),0)</f>
        <v>0</v>
      </c>
      <c r="G8770" s="34" t="n">
        <f aca="false">SUMIFS('12.326ana'!$C:$C,'12.326ana'!$M:$M,redes!A8770)</f>
        <v>0</v>
      </c>
    </row>
    <row r="8771" customFormat="false" ht="14.4" hidden="true" customHeight="false" outlineLevel="0" collapsed="false">
      <c r="A8771" s="34" t="n">
        <v>4539285000194</v>
      </c>
      <c r="B8771" s="34" t="s">
        <v>18172</v>
      </c>
      <c r="C8771" s="34" t="s">
        <v>598</v>
      </c>
      <c r="E8771" s="30" t="s">
        <v>18173</v>
      </c>
      <c r="F8771" s="34" t="n">
        <f aca="false">IFERROR(VLOOKUP($A8771,'319'!$B:$H,7,0),0)</f>
        <v>0</v>
      </c>
      <c r="G8771" s="34" t="n">
        <f aca="false">SUMIFS('12.326ana'!$C:$C,'12.326ana'!$M:$M,redes!A8771)</f>
        <v>0</v>
      </c>
    </row>
    <row r="8772" customFormat="false" ht="14.4" hidden="true" customHeight="false" outlineLevel="0" collapsed="false">
      <c r="A8772" s="34" t="n">
        <v>4540162000173</v>
      </c>
      <c r="B8772" s="34" t="s">
        <v>18174</v>
      </c>
      <c r="C8772" s="34" t="s">
        <v>127</v>
      </c>
      <c r="E8772" s="30" t="s">
        <v>4567</v>
      </c>
      <c r="F8772" s="34" t="n">
        <f aca="false">IFERROR(VLOOKUP($A8772,'319'!$B:$H,7,0),0)</f>
        <v>0</v>
      </c>
      <c r="G8772" s="34" t="n">
        <f aca="false">SUMIFS('12.326ana'!$C:$C,'12.326ana'!$M:$M,redes!A8772)</f>
        <v>0</v>
      </c>
    </row>
    <row r="8773" customFormat="false" ht="14.4" hidden="true" customHeight="false" outlineLevel="0" collapsed="false">
      <c r="A8773" s="34" t="n">
        <v>4542132000104</v>
      </c>
      <c r="B8773" s="34" t="s">
        <v>18175</v>
      </c>
      <c r="C8773" s="34" t="s">
        <v>77</v>
      </c>
      <c r="E8773" s="30" t="s">
        <v>18176</v>
      </c>
      <c r="F8773" s="34" t="n">
        <f aca="false">IFERROR(VLOOKUP($A8773,'319'!$B:$H,7,0),0)</f>
        <v>0</v>
      </c>
      <c r="G8773" s="34" t="n">
        <f aca="false">SUMIFS('12.326ana'!$C:$C,'12.326ana'!$M:$M,redes!A8773)</f>
        <v>0</v>
      </c>
    </row>
    <row r="8774" customFormat="false" ht="14.4" hidden="true" customHeight="false" outlineLevel="0" collapsed="false">
      <c r="A8774" s="34" t="n">
        <v>4543573000112</v>
      </c>
      <c r="B8774" s="34" t="s">
        <v>8047</v>
      </c>
      <c r="C8774" s="34" t="s">
        <v>342</v>
      </c>
      <c r="E8774" s="30" t="s">
        <v>8048</v>
      </c>
      <c r="F8774" s="34" t="n">
        <f aca="false">IFERROR(VLOOKUP($A8774,'319'!$B:$H,7,0),0)</f>
        <v>0</v>
      </c>
      <c r="G8774" s="34" t="n">
        <f aca="false">SUMIFS('12.326ana'!$C:$C,'12.326ana'!$M:$M,redes!A8774)</f>
        <v>0</v>
      </c>
    </row>
    <row r="8775" customFormat="false" ht="14.4" hidden="true" customHeight="false" outlineLevel="0" collapsed="false">
      <c r="A8775" s="34" t="n">
        <v>4543900000136</v>
      </c>
      <c r="B8775" s="34" t="s">
        <v>18177</v>
      </c>
      <c r="C8775" s="34" t="s">
        <v>77</v>
      </c>
      <c r="E8775" s="30" t="s">
        <v>18178</v>
      </c>
      <c r="F8775" s="34" t="n">
        <f aca="false">IFERROR(VLOOKUP($A8775,'319'!$B:$H,7,0),0)</f>
        <v>0</v>
      </c>
      <c r="G8775" s="34" t="n">
        <f aca="false">SUMIFS('12.326ana'!$C:$C,'12.326ana'!$M:$M,redes!A8775)</f>
        <v>0</v>
      </c>
    </row>
    <row r="8776" customFormat="false" ht="14.4" hidden="true" customHeight="false" outlineLevel="0" collapsed="false">
      <c r="A8776" s="34" t="n">
        <v>4543904000114</v>
      </c>
      <c r="B8776" s="34" t="s">
        <v>18179</v>
      </c>
      <c r="C8776" s="34" t="s">
        <v>77</v>
      </c>
      <c r="E8776" s="30"/>
      <c r="F8776" s="34" t="n">
        <f aca="false">IFERROR(VLOOKUP($A8776,'319'!$B:$H,7,0),0)</f>
        <v>0</v>
      </c>
      <c r="G8776" s="34" t="n">
        <f aca="false">SUMIFS('12.326ana'!$C:$C,'12.326ana'!$M:$M,redes!A8776)</f>
        <v>0</v>
      </c>
    </row>
    <row r="8777" customFormat="false" ht="14.4" hidden="true" customHeight="false" outlineLevel="0" collapsed="false">
      <c r="A8777" s="34" t="n">
        <v>4545185000170</v>
      </c>
      <c r="B8777" s="34" t="s">
        <v>18180</v>
      </c>
      <c r="C8777" s="34" t="s">
        <v>809</v>
      </c>
      <c r="E8777" s="30" t="s">
        <v>3066</v>
      </c>
      <c r="F8777" s="34" t="n">
        <f aca="false">IFERROR(VLOOKUP($A8777,'319'!$B:$H,7,0),0)</f>
        <v>0</v>
      </c>
      <c r="G8777" s="34" t="n">
        <f aca="false">SUMIFS('12.326ana'!$C:$C,'12.326ana'!$M:$M,redes!A8777)</f>
        <v>0</v>
      </c>
    </row>
    <row r="8778" customFormat="false" ht="14.4" hidden="true" customHeight="false" outlineLevel="0" collapsed="false">
      <c r="A8778" s="35" t="n">
        <v>4545857000148</v>
      </c>
      <c r="B8778" s="34" t="s">
        <v>18181</v>
      </c>
      <c r="C8778" s="34" t="s">
        <v>77</v>
      </c>
      <c r="E8778" s="30" t="s">
        <v>18182</v>
      </c>
      <c r="F8778" s="34" t="n">
        <f aca="false">IFERROR(VLOOKUP($A8778,'319'!$B:$H,7,0),0)</f>
        <v>0</v>
      </c>
      <c r="G8778" s="34" t="n">
        <f aca="false">SUMIFS('12.326ana'!$C:$C,'12.326ana'!$M:$M,redes!A8778)</f>
        <v>0</v>
      </c>
    </row>
    <row r="8779" customFormat="false" ht="14.4" hidden="true" customHeight="false" outlineLevel="0" collapsed="false">
      <c r="A8779" s="34" t="n">
        <v>4551897000100</v>
      </c>
      <c r="B8779" s="34" t="s">
        <v>18183</v>
      </c>
      <c r="C8779" s="34" t="s">
        <v>213</v>
      </c>
      <c r="E8779" s="30" t="s">
        <v>18184</v>
      </c>
      <c r="F8779" s="34" t="n">
        <f aca="false">IFERROR(VLOOKUP($A8779,'319'!$B:$H,7,0),0)</f>
        <v>0</v>
      </c>
      <c r="G8779" s="34" t="n">
        <f aca="false">SUMIFS('12.326ana'!$C:$C,'12.326ana'!$M:$M,redes!A8779)</f>
        <v>0</v>
      </c>
    </row>
    <row r="8780" customFormat="false" ht="14.4" hidden="true" customHeight="false" outlineLevel="0" collapsed="false">
      <c r="A8780" s="34" t="n">
        <v>4554957000130</v>
      </c>
      <c r="B8780" s="34" t="s">
        <v>18185</v>
      </c>
      <c r="C8780" s="34" t="s">
        <v>336</v>
      </c>
      <c r="E8780" s="30" t="s">
        <v>18186</v>
      </c>
      <c r="F8780" s="34" t="n">
        <f aca="false">IFERROR(VLOOKUP($A8780,'319'!$B:$H,7,0),0)</f>
        <v>0</v>
      </c>
      <c r="G8780" s="34" t="n">
        <f aca="false">SUMIFS('12.326ana'!$C:$C,'12.326ana'!$M:$M,redes!A8780)</f>
        <v>0</v>
      </c>
    </row>
    <row r="8781" customFormat="false" ht="14.4" hidden="true" customHeight="false" outlineLevel="0" collapsed="false">
      <c r="A8781" s="34" t="n">
        <v>4555624000126</v>
      </c>
      <c r="B8781" s="34" t="s">
        <v>18187</v>
      </c>
      <c r="C8781" s="34" t="s">
        <v>357</v>
      </c>
      <c r="E8781" s="30" t="s">
        <v>18188</v>
      </c>
      <c r="F8781" s="34" t="n">
        <f aca="false">IFERROR(VLOOKUP($A8781,'319'!$B:$H,7,0),0)</f>
        <v>0</v>
      </c>
      <c r="G8781" s="34" t="n">
        <f aca="false">SUMIFS('12.326ana'!$C:$C,'12.326ana'!$M:$M,redes!A8781)</f>
        <v>0</v>
      </c>
    </row>
    <row r="8782" customFormat="false" ht="14.4" hidden="true" customHeight="false" outlineLevel="0" collapsed="false">
      <c r="A8782" s="34" t="n">
        <v>4559791000145</v>
      </c>
      <c r="B8782" s="34" t="s">
        <v>18189</v>
      </c>
      <c r="C8782" s="34" t="s">
        <v>581</v>
      </c>
      <c r="E8782" s="30"/>
      <c r="F8782" s="34" t="n">
        <f aca="false">IFERROR(VLOOKUP($A8782,'319'!$B:$H,7,0),0)</f>
        <v>0</v>
      </c>
      <c r="G8782" s="34" t="n">
        <f aca="false">SUMIFS('12.326ana'!$C:$C,'12.326ana'!$M:$M,redes!A8782)</f>
        <v>0</v>
      </c>
    </row>
    <row r="8783" customFormat="false" ht="14.4" hidden="true" customHeight="false" outlineLevel="0" collapsed="false">
      <c r="A8783" s="34" t="n">
        <v>4560022000167</v>
      </c>
      <c r="B8783" s="34" t="s">
        <v>18190</v>
      </c>
      <c r="C8783" s="34" t="s">
        <v>107</v>
      </c>
      <c r="E8783" s="30" t="s">
        <v>18191</v>
      </c>
      <c r="F8783" s="34" t="n">
        <f aca="false">IFERROR(VLOOKUP($A8783,'319'!$B:$H,7,0),0)</f>
        <v>0</v>
      </c>
      <c r="G8783" s="34" t="n">
        <f aca="false">SUMIFS('12.326ana'!$C:$C,'12.326ana'!$M:$M,redes!A8783)</f>
        <v>0</v>
      </c>
    </row>
    <row r="8784" customFormat="false" ht="14.4" hidden="true" customHeight="false" outlineLevel="0" collapsed="false">
      <c r="A8784" s="34" t="n">
        <v>4560078000111</v>
      </c>
      <c r="B8784" s="34" t="s">
        <v>18192</v>
      </c>
      <c r="C8784" s="34" t="s">
        <v>77</v>
      </c>
      <c r="E8784" s="30" t="s">
        <v>18193</v>
      </c>
      <c r="F8784" s="34" t="n">
        <f aca="false">IFERROR(VLOOKUP($A8784,'319'!$B:$H,7,0),0)</f>
        <v>0</v>
      </c>
      <c r="G8784" s="34" t="n">
        <f aca="false">SUMIFS('12.326ana'!$C:$C,'12.326ana'!$M:$M,redes!A8784)</f>
        <v>0</v>
      </c>
    </row>
    <row r="8785" customFormat="false" ht="14.4" hidden="true" customHeight="false" outlineLevel="0" collapsed="false">
      <c r="A8785" s="34" t="n">
        <v>4560243000135</v>
      </c>
      <c r="B8785" s="34" t="s">
        <v>18194</v>
      </c>
      <c r="C8785" s="34" t="s">
        <v>77</v>
      </c>
      <c r="E8785" s="30" t="s">
        <v>18195</v>
      </c>
      <c r="F8785" s="34" t="n">
        <f aca="false">IFERROR(VLOOKUP($A8785,'319'!$B:$H,7,0),0)</f>
        <v>0</v>
      </c>
      <c r="G8785" s="34" t="n">
        <f aca="false">SUMIFS('12.326ana'!$C:$C,'12.326ana'!$M:$M,redes!A8785)</f>
        <v>0</v>
      </c>
    </row>
    <row r="8786" customFormat="false" ht="14.4" hidden="true" customHeight="false" outlineLevel="0" collapsed="false">
      <c r="A8786" s="34" t="n">
        <v>4562181000109</v>
      </c>
      <c r="B8786" s="34" t="s">
        <v>18196</v>
      </c>
      <c r="C8786" s="34" t="s">
        <v>77</v>
      </c>
      <c r="E8786" s="30" t="s">
        <v>18197</v>
      </c>
      <c r="F8786" s="34" t="n">
        <f aca="false">IFERROR(VLOOKUP($A8786,'319'!$B:$H,7,0),0)</f>
        <v>0</v>
      </c>
      <c r="G8786" s="34" t="n">
        <f aca="false">SUMIFS('12.326ana'!$C:$C,'12.326ana'!$M:$M,redes!A8786)</f>
        <v>0</v>
      </c>
    </row>
    <row r="8787" customFormat="false" ht="14.4" hidden="true" customHeight="false" outlineLevel="0" collapsed="false">
      <c r="A8787" s="34" t="n">
        <v>4562728000168</v>
      </c>
      <c r="B8787" s="34" t="s">
        <v>18198</v>
      </c>
      <c r="C8787" s="34" t="s">
        <v>935</v>
      </c>
      <c r="E8787" s="30" t="s">
        <v>18199</v>
      </c>
      <c r="F8787" s="34" t="n">
        <f aca="false">IFERROR(VLOOKUP($A8787,'319'!$B:$H,7,0),0)</f>
        <v>0</v>
      </c>
      <c r="G8787" s="34" t="n">
        <f aca="false">SUMIFS('12.326ana'!$C:$C,'12.326ana'!$M:$M,redes!A8787)</f>
        <v>0</v>
      </c>
    </row>
    <row r="8788" customFormat="false" ht="14.4" hidden="true" customHeight="false" outlineLevel="0" collapsed="false">
      <c r="A8788" s="34" t="n">
        <v>4567212000106</v>
      </c>
      <c r="B8788" s="34" t="s">
        <v>18200</v>
      </c>
      <c r="C8788" s="34" t="s">
        <v>77</v>
      </c>
      <c r="E8788" s="30" t="s">
        <v>18201</v>
      </c>
      <c r="F8788" s="34" t="n">
        <f aca="false">IFERROR(VLOOKUP($A8788,'319'!$B:$H,7,0),0)</f>
        <v>0</v>
      </c>
      <c r="G8788" s="34" t="n">
        <f aca="false">SUMIFS('12.326ana'!$C:$C,'12.326ana'!$M:$M,redes!A8788)</f>
        <v>0</v>
      </c>
    </row>
    <row r="8789" customFormat="false" ht="14.4" hidden="true" customHeight="false" outlineLevel="0" collapsed="false">
      <c r="A8789" s="34" t="n">
        <v>4568367000167</v>
      </c>
      <c r="B8789" s="34" t="s">
        <v>18202</v>
      </c>
      <c r="C8789" s="34" t="s">
        <v>299</v>
      </c>
      <c r="E8789" s="30" t="s">
        <v>18203</v>
      </c>
      <c r="F8789" s="34" t="n">
        <f aca="false">IFERROR(VLOOKUP($A8789,'319'!$B:$H,7,0),0)</f>
        <v>0</v>
      </c>
      <c r="G8789" s="34" t="n">
        <f aca="false">SUMIFS('12.326ana'!$C:$C,'12.326ana'!$M:$M,redes!A8789)</f>
        <v>0</v>
      </c>
    </row>
    <row r="8790" customFormat="false" ht="14.4" hidden="true" customHeight="false" outlineLevel="0" collapsed="false">
      <c r="A8790" s="34" t="n">
        <v>4568452000125</v>
      </c>
      <c r="B8790" s="34" t="s">
        <v>18204</v>
      </c>
      <c r="C8790" s="34" t="s">
        <v>737</v>
      </c>
      <c r="E8790" s="30" t="s">
        <v>18205</v>
      </c>
      <c r="F8790" s="34" t="n">
        <f aca="false">IFERROR(VLOOKUP($A8790,'319'!$B:$H,7,0),0)</f>
        <v>0</v>
      </c>
      <c r="G8790" s="34" t="n">
        <f aca="false">SUMIFS('12.326ana'!$C:$C,'12.326ana'!$M:$M,redes!A8790)</f>
        <v>0</v>
      </c>
    </row>
    <row r="8791" customFormat="false" ht="14.4" hidden="true" customHeight="false" outlineLevel="0" collapsed="false">
      <c r="A8791" s="34" t="n">
        <v>4570012000102</v>
      </c>
      <c r="B8791" s="34" t="s">
        <v>18206</v>
      </c>
      <c r="C8791" s="34" t="s">
        <v>77</v>
      </c>
      <c r="E8791" s="30" t="s">
        <v>18207</v>
      </c>
      <c r="F8791" s="34" t="n">
        <f aca="false">IFERROR(VLOOKUP($A8791,'319'!$B:$H,7,0),0)</f>
        <v>0</v>
      </c>
      <c r="G8791" s="34" t="n">
        <f aca="false">SUMIFS('12.326ana'!$C:$C,'12.326ana'!$M:$M,redes!A8791)</f>
        <v>0</v>
      </c>
    </row>
    <row r="8792" customFormat="false" ht="14.4" hidden="true" customHeight="false" outlineLevel="0" collapsed="false">
      <c r="A8792" s="34" t="n">
        <v>4570095000130</v>
      </c>
      <c r="B8792" s="34" t="s">
        <v>18208</v>
      </c>
      <c r="C8792" s="34" t="s">
        <v>154</v>
      </c>
      <c r="E8792" s="30" t="s">
        <v>18209</v>
      </c>
      <c r="F8792" s="34" t="n">
        <f aca="false">IFERROR(VLOOKUP($A8792,'319'!$B:$H,7,0),0)</f>
        <v>0</v>
      </c>
      <c r="G8792" s="34" t="n">
        <f aca="false">SUMIFS('12.326ana'!$C:$C,'12.326ana'!$M:$M,redes!A8792)</f>
        <v>0</v>
      </c>
    </row>
    <row r="8793" customFormat="false" ht="14.4" hidden="true" customHeight="false" outlineLevel="0" collapsed="false">
      <c r="A8793" s="34" t="n">
        <v>4571759000185</v>
      </c>
      <c r="B8793" s="34" t="s">
        <v>18210</v>
      </c>
      <c r="C8793" s="34" t="s">
        <v>107</v>
      </c>
      <c r="D8793" s="34" t="s">
        <v>4797</v>
      </c>
      <c r="E8793" s="30"/>
      <c r="F8793" s="34" t="n">
        <f aca="false">IFERROR(VLOOKUP($A8793,'319'!$B:$H,7,0),0)</f>
        <v>0</v>
      </c>
      <c r="G8793" s="34" t="n">
        <f aca="false">SUMIFS('12.326ana'!$C:$C,'12.326ana'!$M:$M,redes!A8793)</f>
        <v>0</v>
      </c>
    </row>
    <row r="8794" customFormat="false" ht="14.4" hidden="true" customHeight="false" outlineLevel="0" collapsed="false">
      <c r="A8794" s="34" t="n">
        <v>4571842000154</v>
      </c>
      <c r="B8794" s="34" t="s">
        <v>18211</v>
      </c>
      <c r="C8794" s="34" t="s">
        <v>107</v>
      </c>
      <c r="E8794" s="30" t="s">
        <v>4276</v>
      </c>
      <c r="F8794" s="34" t="n">
        <f aca="false">IFERROR(VLOOKUP($A8794,'319'!$B:$H,7,0),0)</f>
        <v>0</v>
      </c>
      <c r="G8794" s="34" t="n">
        <f aca="false">SUMIFS('12.326ana'!$C:$C,'12.326ana'!$M:$M,redes!A8794)</f>
        <v>0</v>
      </c>
    </row>
    <row r="8795" customFormat="false" ht="14.4" hidden="true" customHeight="false" outlineLevel="0" collapsed="false">
      <c r="A8795" s="34" t="n">
        <v>4572257000179</v>
      </c>
      <c r="B8795" s="34" t="s">
        <v>18212</v>
      </c>
      <c r="C8795" s="34" t="s">
        <v>4261</v>
      </c>
      <c r="D8795" s="34" t="s">
        <v>23</v>
      </c>
      <c r="E8795" s="30" t="s">
        <v>18213</v>
      </c>
      <c r="F8795" s="34" t="n">
        <f aca="false">IFERROR(VLOOKUP($A8795,'319'!$B:$H,7,0),0)</f>
        <v>0</v>
      </c>
      <c r="G8795" s="34" t="n">
        <f aca="false">SUMIFS('12.326ana'!$C:$C,'12.326ana'!$M:$M,redes!A8795)</f>
        <v>0</v>
      </c>
    </row>
    <row r="8796" customFormat="false" ht="14.4" hidden="true" customHeight="false" outlineLevel="0" collapsed="false">
      <c r="A8796" s="34" t="n">
        <v>4574066000146</v>
      </c>
      <c r="B8796" s="34" t="s">
        <v>18214</v>
      </c>
      <c r="C8796" s="34" t="s">
        <v>1306</v>
      </c>
      <c r="E8796" s="30" t="s">
        <v>15179</v>
      </c>
      <c r="F8796" s="34" t="n">
        <f aca="false">IFERROR(VLOOKUP($A8796,'319'!$B:$H,7,0),0)</f>
        <v>0</v>
      </c>
      <c r="G8796" s="34" t="n">
        <f aca="false">SUMIFS('12.326ana'!$C:$C,'12.326ana'!$M:$M,redes!A8796)</f>
        <v>0</v>
      </c>
    </row>
    <row r="8797" customFormat="false" ht="14.4" hidden="true" customHeight="false" outlineLevel="0" collapsed="false">
      <c r="A8797" s="34" t="n">
        <v>4574344000165</v>
      </c>
      <c r="B8797" s="34" t="s">
        <v>18215</v>
      </c>
      <c r="C8797" s="34" t="s">
        <v>107</v>
      </c>
      <c r="E8797" s="30" t="s">
        <v>18216</v>
      </c>
      <c r="F8797" s="34" t="n">
        <f aca="false">IFERROR(VLOOKUP($A8797,'319'!$B:$H,7,0),0)</f>
        <v>0</v>
      </c>
      <c r="G8797" s="34" t="n">
        <f aca="false">SUMIFS('12.326ana'!$C:$C,'12.326ana'!$M:$M,redes!A8797)</f>
        <v>0</v>
      </c>
    </row>
    <row r="8798" customFormat="false" ht="14.4" hidden="true" customHeight="false" outlineLevel="0" collapsed="false">
      <c r="A8798" s="34" t="n">
        <v>4576052000161</v>
      </c>
      <c r="B8798" s="34" t="s">
        <v>18217</v>
      </c>
      <c r="C8798" s="34" t="s">
        <v>77</v>
      </c>
      <c r="E8798" s="30"/>
      <c r="F8798" s="34" t="n">
        <f aca="false">IFERROR(VLOOKUP($A8798,'319'!$B:$H,7,0),0)</f>
        <v>0</v>
      </c>
      <c r="G8798" s="34" t="n">
        <f aca="false">SUMIFS('12.326ana'!$C:$C,'12.326ana'!$M:$M,redes!A8798)</f>
        <v>0</v>
      </c>
    </row>
    <row r="8799" customFormat="false" ht="14.4" hidden="true" customHeight="false" outlineLevel="0" collapsed="false">
      <c r="A8799" s="34" t="n">
        <v>4576327000167</v>
      </c>
      <c r="B8799" s="34" t="s">
        <v>18218</v>
      </c>
      <c r="C8799" s="34" t="s">
        <v>17741</v>
      </c>
      <c r="E8799" s="30" t="s">
        <v>18219</v>
      </c>
      <c r="F8799" s="34" t="n">
        <f aca="false">IFERROR(VLOOKUP($A8799,'319'!$B:$H,7,0),0)</f>
        <v>0</v>
      </c>
      <c r="G8799" s="34" t="n">
        <f aca="false">SUMIFS('12.326ana'!$C:$C,'12.326ana'!$M:$M,redes!A8799)</f>
        <v>0</v>
      </c>
    </row>
    <row r="8800" customFormat="false" ht="14.4" hidden="true" customHeight="false" outlineLevel="0" collapsed="false">
      <c r="A8800" s="34" t="n">
        <v>4576951000164</v>
      </c>
      <c r="B8800" s="34" t="s">
        <v>18220</v>
      </c>
      <c r="C8800" s="34" t="s">
        <v>77</v>
      </c>
      <c r="E8800" s="30" t="s">
        <v>4618</v>
      </c>
      <c r="F8800" s="34" t="n">
        <f aca="false">IFERROR(VLOOKUP($A8800,'319'!$B:$H,7,0),0)</f>
        <v>0</v>
      </c>
      <c r="G8800" s="34" t="n">
        <f aca="false">SUMIFS('12.326ana'!$C:$C,'12.326ana'!$M:$M,redes!A8800)</f>
        <v>0</v>
      </c>
    </row>
    <row r="8801" customFormat="false" ht="14.4" hidden="true" customHeight="false" outlineLevel="0" collapsed="false">
      <c r="A8801" s="34" t="n">
        <v>4576954000106</v>
      </c>
      <c r="B8801" s="34" t="s">
        <v>18221</v>
      </c>
      <c r="C8801" s="34" t="s">
        <v>127</v>
      </c>
      <c r="E8801" s="30" t="s">
        <v>18222</v>
      </c>
      <c r="F8801" s="34" t="n">
        <f aca="false">IFERROR(VLOOKUP($A8801,'319'!$B:$H,7,0),0)</f>
        <v>0</v>
      </c>
      <c r="G8801" s="34" t="n">
        <f aca="false">SUMIFS('12.326ana'!$C:$C,'12.326ana'!$M:$M,redes!A8801)</f>
        <v>0</v>
      </c>
    </row>
    <row r="8802" customFormat="false" ht="14.4" hidden="true" customHeight="false" outlineLevel="0" collapsed="false">
      <c r="A8802" s="34" t="n">
        <v>4576965000188</v>
      </c>
      <c r="B8802" s="34" t="s">
        <v>18223</v>
      </c>
      <c r="C8802" s="34" t="s">
        <v>309</v>
      </c>
      <c r="E8802" s="30" t="s">
        <v>3588</v>
      </c>
      <c r="F8802" s="34" t="n">
        <f aca="false">IFERROR(VLOOKUP($A8802,'319'!$B:$H,7,0),0)</f>
        <v>0</v>
      </c>
      <c r="G8802" s="34" t="n">
        <f aca="false">SUMIFS('12.326ana'!$C:$C,'12.326ana'!$M:$M,redes!A8802)</f>
        <v>0</v>
      </c>
    </row>
    <row r="8803" customFormat="false" ht="14.4" hidden="true" customHeight="false" outlineLevel="0" collapsed="false">
      <c r="A8803" s="34" t="n">
        <v>4579237000120</v>
      </c>
      <c r="B8803" s="34" t="s">
        <v>883</v>
      </c>
      <c r="C8803" s="34" t="s">
        <v>207</v>
      </c>
      <c r="E8803" s="30" t="s">
        <v>18224</v>
      </c>
      <c r="F8803" s="34" t="n">
        <f aca="false">IFERROR(VLOOKUP($A8803,'319'!$B:$H,7,0),0)</f>
        <v>-0.02</v>
      </c>
      <c r="G8803" s="34" t="n">
        <f aca="false">SUMIFS('12.326ana'!$C:$C,'12.326ana'!$M:$M,redes!A8803)</f>
        <v>0</v>
      </c>
    </row>
    <row r="8804" customFormat="false" ht="14.4" hidden="true" customHeight="false" outlineLevel="0" collapsed="false">
      <c r="A8804" s="34" t="n">
        <v>4579237000200</v>
      </c>
      <c r="B8804" s="34" t="s">
        <v>18225</v>
      </c>
      <c r="C8804" s="34" t="s">
        <v>207</v>
      </c>
      <c r="E8804" s="30" t="s">
        <v>883</v>
      </c>
      <c r="F8804" s="34" t="n">
        <f aca="false">IFERROR(VLOOKUP($A8804,'319'!$B:$H,7,0),0)</f>
        <v>640.57</v>
      </c>
      <c r="G8804" s="34" t="n">
        <f aca="false">SUMIFS('12.326ana'!$C:$C,'12.326ana'!$M:$M,redes!A8804)</f>
        <v>0</v>
      </c>
    </row>
    <row r="8805" customFormat="false" ht="14.4" hidden="true" customHeight="false" outlineLevel="0" collapsed="false">
      <c r="A8805" s="34" t="n">
        <v>4579237000391</v>
      </c>
      <c r="B8805" s="34" t="s">
        <v>883</v>
      </c>
      <c r="C8805" s="34" t="s">
        <v>207</v>
      </c>
      <c r="E8805" s="30" t="s">
        <v>18226</v>
      </c>
      <c r="F8805" s="34" t="n">
        <f aca="false">IFERROR(VLOOKUP($A8805,'319'!$B:$H,7,0),0)</f>
        <v>1672.82</v>
      </c>
      <c r="G8805" s="34" t="n">
        <f aca="false">SUMIFS('12.326ana'!$C:$C,'12.326ana'!$M:$M,redes!A8805)</f>
        <v>0</v>
      </c>
    </row>
    <row r="8806" customFormat="false" ht="14.4" hidden="true" customHeight="false" outlineLevel="0" collapsed="false">
      <c r="A8806" s="34" t="n">
        <v>4585880000166</v>
      </c>
      <c r="B8806" s="34" t="s">
        <v>18227</v>
      </c>
      <c r="C8806" s="34" t="s">
        <v>4156</v>
      </c>
      <c r="E8806" s="30" t="s">
        <v>18228</v>
      </c>
      <c r="F8806" s="34" t="n">
        <f aca="false">IFERROR(VLOOKUP($A8806,'319'!$B:$H,7,0),0)</f>
        <v>0</v>
      </c>
      <c r="G8806" s="34" t="n">
        <f aca="false">SUMIFS('12.326ana'!$C:$C,'12.326ana'!$M:$M,redes!A8806)</f>
        <v>0</v>
      </c>
    </row>
    <row r="8807" customFormat="false" ht="14.4" hidden="true" customHeight="false" outlineLevel="0" collapsed="false">
      <c r="A8807" s="34" t="n">
        <v>4586273000110</v>
      </c>
      <c r="B8807" s="34" t="s">
        <v>18229</v>
      </c>
      <c r="C8807" s="34" t="s">
        <v>594</v>
      </c>
      <c r="E8807" s="30" t="s">
        <v>18230</v>
      </c>
      <c r="F8807" s="34" t="n">
        <f aca="false">IFERROR(VLOOKUP($A8807,'319'!$B:$H,7,0),0)</f>
        <v>0</v>
      </c>
      <c r="G8807" s="34" t="n">
        <f aca="false">SUMIFS('12.326ana'!$C:$C,'12.326ana'!$M:$M,redes!A8807)</f>
        <v>0</v>
      </c>
    </row>
    <row r="8808" customFormat="false" ht="14.4" hidden="true" customHeight="false" outlineLevel="0" collapsed="false">
      <c r="A8808" s="34" t="n">
        <v>4587971000130</v>
      </c>
      <c r="B8808" s="34" t="s">
        <v>18231</v>
      </c>
      <c r="C8808" s="34" t="s">
        <v>809</v>
      </c>
      <c r="E8808" s="30" t="s">
        <v>18232</v>
      </c>
      <c r="F8808" s="34" t="n">
        <f aca="false">IFERROR(VLOOKUP($A8808,'319'!$B:$H,7,0),0)</f>
        <v>0</v>
      </c>
      <c r="G8808" s="34" t="n">
        <f aca="false">SUMIFS('12.326ana'!$C:$C,'12.326ana'!$M:$M,redes!A8808)</f>
        <v>0</v>
      </c>
    </row>
    <row r="8809" customFormat="false" ht="14.4" hidden="true" customHeight="false" outlineLevel="0" collapsed="false">
      <c r="A8809" s="34" t="n">
        <v>4588481000159</v>
      </c>
      <c r="B8809" s="34" t="s">
        <v>18233</v>
      </c>
      <c r="C8809" s="34" t="s">
        <v>594</v>
      </c>
      <c r="E8809" s="30" t="s">
        <v>18234</v>
      </c>
      <c r="F8809" s="34" t="n">
        <f aca="false">IFERROR(VLOOKUP($A8809,'319'!$B:$H,7,0),0)</f>
        <v>0</v>
      </c>
      <c r="G8809" s="34" t="n">
        <f aca="false">SUMIFS('12.326ana'!$C:$C,'12.326ana'!$M:$M,redes!A8809)</f>
        <v>0</v>
      </c>
    </row>
    <row r="8810" customFormat="false" ht="14.4" hidden="true" customHeight="false" outlineLevel="0" collapsed="false">
      <c r="A8810" s="34" t="n">
        <v>4588754000165</v>
      </c>
      <c r="B8810" s="34" t="s">
        <v>18235</v>
      </c>
      <c r="C8810" s="34" t="s">
        <v>213</v>
      </c>
      <c r="E8810" s="30" t="s">
        <v>18236</v>
      </c>
      <c r="F8810" s="34" t="n">
        <f aca="false">IFERROR(VLOOKUP($A8810,'319'!$B:$H,7,0),0)</f>
        <v>0</v>
      </c>
      <c r="G8810" s="34" t="n">
        <f aca="false">SUMIFS('12.326ana'!$C:$C,'12.326ana'!$M:$M,redes!A8810)</f>
        <v>0</v>
      </c>
    </row>
    <row r="8811" customFormat="false" ht="14.4" hidden="true" customHeight="false" outlineLevel="0" collapsed="false">
      <c r="A8811" s="34" t="n">
        <v>4589005000152</v>
      </c>
      <c r="B8811" s="34" t="s">
        <v>18237</v>
      </c>
      <c r="C8811" s="34" t="s">
        <v>737</v>
      </c>
      <c r="E8811" s="30" t="s">
        <v>18238</v>
      </c>
      <c r="F8811" s="34" t="n">
        <f aca="false">IFERROR(VLOOKUP($A8811,'319'!$B:$H,7,0),0)</f>
        <v>0</v>
      </c>
      <c r="G8811" s="34" t="n">
        <f aca="false">SUMIFS('12.326ana'!$C:$C,'12.326ana'!$M:$M,redes!A8811)</f>
        <v>0</v>
      </c>
    </row>
    <row r="8812" customFormat="false" ht="14.4" hidden="true" customHeight="false" outlineLevel="0" collapsed="false">
      <c r="A8812" s="34" t="n">
        <v>4590882000143</v>
      </c>
      <c r="B8812" s="34" t="s">
        <v>18239</v>
      </c>
      <c r="C8812" s="34" t="s">
        <v>562</v>
      </c>
      <c r="E8812" s="30" t="s">
        <v>18240</v>
      </c>
      <c r="F8812" s="34" t="n">
        <f aca="false">IFERROR(VLOOKUP($A8812,'319'!$B:$H,7,0),0)</f>
        <v>0</v>
      </c>
      <c r="G8812" s="34" t="n">
        <f aca="false">SUMIFS('12.326ana'!$C:$C,'12.326ana'!$M:$M,redes!A8812)</f>
        <v>0</v>
      </c>
    </row>
    <row r="8813" customFormat="false" ht="14.4" hidden="true" customHeight="false" outlineLevel="0" collapsed="false">
      <c r="A8813" s="34" t="n">
        <v>4592381000104</v>
      </c>
      <c r="B8813" s="34" t="s">
        <v>18241</v>
      </c>
      <c r="C8813" s="34" t="s">
        <v>631</v>
      </c>
      <c r="E8813" s="30" t="s">
        <v>18242</v>
      </c>
      <c r="F8813" s="34" t="n">
        <f aca="false">IFERROR(VLOOKUP($A8813,'319'!$B:$H,7,0),0)</f>
        <v>0</v>
      </c>
      <c r="G8813" s="34" t="n">
        <f aca="false">SUMIFS('12.326ana'!$C:$C,'12.326ana'!$M:$M,redes!A8813)</f>
        <v>0</v>
      </c>
    </row>
    <row r="8814" customFormat="false" ht="14.4" hidden="true" customHeight="false" outlineLevel="0" collapsed="false">
      <c r="A8814" s="34" t="n">
        <v>4592700000173</v>
      </c>
      <c r="B8814" s="34" t="s">
        <v>18243</v>
      </c>
      <c r="C8814" s="34" t="s">
        <v>473</v>
      </c>
      <c r="E8814" s="30" t="s">
        <v>18244</v>
      </c>
      <c r="F8814" s="34" t="n">
        <f aca="false">IFERROR(VLOOKUP($A8814,'319'!$B:$H,7,0),0)</f>
        <v>0</v>
      </c>
      <c r="G8814" s="34" t="n">
        <f aca="false">SUMIFS('12.326ana'!$C:$C,'12.326ana'!$M:$M,redes!A8814)</f>
        <v>0</v>
      </c>
    </row>
    <row r="8815" customFormat="false" ht="14.4" hidden="true" customHeight="false" outlineLevel="0" collapsed="false">
      <c r="A8815" s="34" t="n">
        <v>4594048000126</v>
      </c>
      <c r="B8815" s="34" t="s">
        <v>18245</v>
      </c>
      <c r="C8815" s="34" t="s">
        <v>4418</v>
      </c>
      <c r="E8815" s="30" t="s">
        <v>18246</v>
      </c>
      <c r="F8815" s="34" t="n">
        <f aca="false">IFERROR(VLOOKUP($A8815,'319'!$B:$H,7,0),0)</f>
        <v>0</v>
      </c>
      <c r="G8815" s="34" t="n">
        <f aca="false">SUMIFS('12.326ana'!$C:$C,'12.326ana'!$M:$M,redes!A8815)</f>
        <v>0</v>
      </c>
    </row>
    <row r="8816" customFormat="false" ht="14.4" hidden="true" customHeight="false" outlineLevel="0" collapsed="false">
      <c r="A8816" s="34" t="n">
        <v>4594120000115</v>
      </c>
      <c r="B8816" s="34" t="s">
        <v>18247</v>
      </c>
      <c r="C8816" s="34" t="s">
        <v>117</v>
      </c>
      <c r="E8816" s="30" t="s">
        <v>18248</v>
      </c>
      <c r="F8816" s="34" t="n">
        <f aca="false">IFERROR(VLOOKUP($A8816,'319'!$B:$H,7,0),0)</f>
        <v>0</v>
      </c>
      <c r="G8816" s="34" t="n">
        <f aca="false">SUMIFS('12.326ana'!$C:$C,'12.326ana'!$M:$M,redes!A8816)</f>
        <v>0</v>
      </c>
    </row>
    <row r="8817" customFormat="false" ht="14.4" hidden="true" customHeight="false" outlineLevel="0" collapsed="false">
      <c r="A8817" s="34" t="n">
        <v>4594132000140</v>
      </c>
      <c r="B8817" s="34" t="s">
        <v>1533</v>
      </c>
      <c r="C8817" s="34" t="s">
        <v>565</v>
      </c>
      <c r="E8817" s="30" t="s">
        <v>18249</v>
      </c>
      <c r="F8817" s="34" t="n">
        <f aca="false">IFERROR(VLOOKUP($A8817,'319'!$B:$H,7,0),0)</f>
        <v>122.64</v>
      </c>
      <c r="G8817" s="34" t="n">
        <f aca="false">SUMIFS('12.326ana'!$C:$C,'12.326ana'!$M:$M,redes!A8817)</f>
        <v>0</v>
      </c>
    </row>
    <row r="8818" customFormat="false" ht="14.4" hidden="true" customHeight="false" outlineLevel="0" collapsed="false">
      <c r="A8818" s="34" t="n">
        <v>4594302000196</v>
      </c>
      <c r="B8818" s="34" t="s">
        <v>18250</v>
      </c>
      <c r="C8818" s="34" t="s">
        <v>357</v>
      </c>
      <c r="E8818" s="30" t="s">
        <v>18251</v>
      </c>
      <c r="F8818" s="34" t="n">
        <f aca="false">IFERROR(VLOOKUP($A8818,'319'!$B:$H,7,0),0)</f>
        <v>0</v>
      </c>
      <c r="G8818" s="34" t="n">
        <f aca="false">SUMIFS('12.326ana'!$C:$C,'12.326ana'!$M:$M,redes!A8818)</f>
        <v>0</v>
      </c>
    </row>
    <row r="8819" customFormat="false" ht="14.4" hidden="true" customHeight="false" outlineLevel="0" collapsed="false">
      <c r="A8819" s="34" t="n">
        <v>4594323000101</v>
      </c>
      <c r="B8819" s="34" t="s">
        <v>18252</v>
      </c>
      <c r="C8819" s="34" t="s">
        <v>604</v>
      </c>
      <c r="E8819" s="30" t="s">
        <v>18253</v>
      </c>
      <c r="F8819" s="34" t="n">
        <f aca="false">IFERROR(VLOOKUP($A8819,'319'!$B:$H,7,0),0)</f>
        <v>0</v>
      </c>
      <c r="G8819" s="34" t="n">
        <f aca="false">SUMIFS('12.326ana'!$C:$C,'12.326ana'!$M:$M,redes!A8819)</f>
        <v>0</v>
      </c>
    </row>
    <row r="8820" customFormat="false" ht="14.4" hidden="true" customHeight="false" outlineLevel="0" collapsed="false">
      <c r="A8820" s="34" t="n">
        <v>4599066000109</v>
      </c>
      <c r="B8820" s="34" t="s">
        <v>18254</v>
      </c>
      <c r="C8820" s="34" t="s">
        <v>77</v>
      </c>
      <c r="E8820" s="30" t="s">
        <v>18255</v>
      </c>
      <c r="F8820" s="34" t="n">
        <f aca="false">IFERROR(VLOOKUP($A8820,'319'!$B:$H,7,0),0)</f>
        <v>0</v>
      </c>
      <c r="G8820" s="34" t="n">
        <f aca="false">SUMIFS('12.326ana'!$C:$C,'12.326ana'!$M:$M,redes!A8820)</f>
        <v>0</v>
      </c>
    </row>
    <row r="8821" customFormat="false" ht="14.4" hidden="true" customHeight="false" outlineLevel="0" collapsed="false">
      <c r="A8821" s="34" t="n">
        <v>4599151000169</v>
      </c>
      <c r="B8821" s="34" t="s">
        <v>18256</v>
      </c>
      <c r="C8821" s="34" t="s">
        <v>213</v>
      </c>
      <c r="E8821" s="30" t="s">
        <v>18257</v>
      </c>
      <c r="F8821" s="34" t="n">
        <f aca="false">IFERROR(VLOOKUP($A8821,'319'!$B:$H,7,0),0)</f>
        <v>0</v>
      </c>
      <c r="G8821" s="34" t="n">
        <f aca="false">SUMIFS('12.326ana'!$C:$C,'12.326ana'!$M:$M,redes!A8821)</f>
        <v>0</v>
      </c>
    </row>
    <row r="8822" customFormat="false" ht="14.4" hidden="true" customHeight="false" outlineLevel="0" collapsed="false">
      <c r="A8822" s="34" t="n">
        <v>4599488000176</v>
      </c>
      <c r="B8822" s="34" t="s">
        <v>18258</v>
      </c>
      <c r="C8822" s="34" t="s">
        <v>77</v>
      </c>
      <c r="E8822" s="30" t="s">
        <v>18259</v>
      </c>
      <c r="F8822" s="34" t="n">
        <f aca="false">IFERROR(VLOOKUP($A8822,'319'!$B:$H,7,0),0)</f>
        <v>0</v>
      </c>
      <c r="G8822" s="34" t="n">
        <f aca="false">SUMIFS('12.326ana'!$C:$C,'12.326ana'!$M:$M,redes!A8822)</f>
        <v>0</v>
      </c>
    </row>
    <row r="8823" customFormat="false" ht="14.4" hidden="true" customHeight="false" outlineLevel="0" collapsed="false">
      <c r="A8823" s="34" t="n">
        <v>4599545000117</v>
      </c>
      <c r="B8823" s="34" t="s">
        <v>18260</v>
      </c>
      <c r="C8823" s="34" t="s">
        <v>77</v>
      </c>
      <c r="E8823" s="30" t="s">
        <v>18261</v>
      </c>
      <c r="F8823" s="34" t="n">
        <f aca="false">IFERROR(VLOOKUP($A8823,'319'!$B:$H,7,0),0)</f>
        <v>0</v>
      </c>
      <c r="G8823" s="34" t="n">
        <f aca="false">SUMIFS('12.326ana'!$C:$C,'12.326ana'!$M:$M,redes!A8823)</f>
        <v>0</v>
      </c>
    </row>
    <row r="8824" customFormat="false" ht="14.4" hidden="true" customHeight="false" outlineLevel="0" collapsed="false">
      <c r="A8824" s="34" t="n">
        <v>4601032000101</v>
      </c>
      <c r="B8824" s="34" t="s">
        <v>18262</v>
      </c>
      <c r="C8824" s="34" t="s">
        <v>631</v>
      </c>
      <c r="E8824" s="30" t="s">
        <v>11575</v>
      </c>
      <c r="F8824" s="34" t="n">
        <f aca="false">IFERROR(VLOOKUP($A8824,'319'!$B:$H,7,0),0)</f>
        <v>0</v>
      </c>
      <c r="G8824" s="34" t="n">
        <f aca="false">SUMIFS('12.326ana'!$C:$C,'12.326ana'!$M:$M,redes!A8824)</f>
        <v>0</v>
      </c>
    </row>
    <row r="8825" customFormat="false" ht="14.4" hidden="true" customHeight="false" outlineLevel="0" collapsed="false">
      <c r="A8825" s="34" t="n">
        <v>4602122000109</v>
      </c>
      <c r="B8825" s="34" t="s">
        <v>18263</v>
      </c>
      <c r="C8825" s="34" t="s">
        <v>89</v>
      </c>
      <c r="E8825" s="30" t="s">
        <v>18264</v>
      </c>
      <c r="F8825" s="34" t="n">
        <f aca="false">IFERROR(VLOOKUP($A8825,'319'!$B:$H,7,0),0)</f>
        <v>0</v>
      </c>
      <c r="G8825" s="34" t="n">
        <f aca="false">SUMIFS('12.326ana'!$C:$C,'12.326ana'!$M:$M,redes!A8825)</f>
        <v>0</v>
      </c>
    </row>
    <row r="8826" customFormat="false" ht="14.4" hidden="true" customHeight="false" outlineLevel="0" collapsed="false">
      <c r="A8826" s="34" t="n">
        <v>4603590000106</v>
      </c>
      <c r="B8826" s="34" t="s">
        <v>18265</v>
      </c>
      <c r="C8826" s="34" t="s">
        <v>594</v>
      </c>
      <c r="E8826" s="30" t="s">
        <v>13934</v>
      </c>
      <c r="F8826" s="34" t="n">
        <f aca="false">IFERROR(VLOOKUP($A8826,'319'!$B:$H,7,0),0)</f>
        <v>0</v>
      </c>
      <c r="G8826" s="34" t="n">
        <f aca="false">SUMIFS('12.326ana'!$C:$C,'12.326ana'!$M:$M,redes!A8826)</f>
        <v>0</v>
      </c>
    </row>
    <row r="8827" customFormat="false" ht="14.4" hidden="true" customHeight="false" outlineLevel="0" collapsed="false">
      <c r="A8827" s="34" t="n">
        <v>4604600000110</v>
      </c>
      <c r="B8827" s="34" t="s">
        <v>18266</v>
      </c>
      <c r="C8827" s="34" t="s">
        <v>478</v>
      </c>
      <c r="E8827" s="30" t="s">
        <v>16518</v>
      </c>
      <c r="F8827" s="34" t="n">
        <f aca="false">IFERROR(VLOOKUP($A8827,'319'!$B:$H,7,0),0)</f>
        <v>0</v>
      </c>
      <c r="G8827" s="34" t="n">
        <f aca="false">SUMIFS('12.326ana'!$C:$C,'12.326ana'!$M:$M,redes!A8827)</f>
        <v>0</v>
      </c>
    </row>
    <row r="8828" customFormat="false" ht="14.4" hidden="true" customHeight="false" outlineLevel="0" collapsed="false">
      <c r="A8828" s="34" t="n">
        <v>4606627000141</v>
      </c>
      <c r="B8828" s="34" t="s">
        <v>18267</v>
      </c>
      <c r="C8828" s="34" t="s">
        <v>848</v>
      </c>
      <c r="E8828" s="30" t="s">
        <v>18268</v>
      </c>
      <c r="F8828" s="34" t="n">
        <f aca="false">IFERROR(VLOOKUP($A8828,'319'!$B:$H,7,0),0)</f>
        <v>0</v>
      </c>
      <c r="G8828" s="34" t="n">
        <f aca="false">SUMIFS('12.326ana'!$C:$C,'12.326ana'!$M:$M,redes!A8828)</f>
        <v>0</v>
      </c>
    </row>
    <row r="8829" customFormat="false" ht="14.4" hidden="true" customHeight="false" outlineLevel="0" collapsed="false">
      <c r="A8829" s="34" t="n">
        <v>4606720000156</v>
      </c>
      <c r="B8829" s="34" t="s">
        <v>18269</v>
      </c>
      <c r="C8829" s="34" t="s">
        <v>464</v>
      </c>
      <c r="E8829" s="30" t="s">
        <v>6312</v>
      </c>
      <c r="F8829" s="34" t="n">
        <f aca="false">IFERROR(VLOOKUP($A8829,'319'!$B:$H,7,0),0)</f>
        <v>0</v>
      </c>
      <c r="G8829" s="34" t="n">
        <f aca="false">SUMIFS('12.326ana'!$C:$C,'12.326ana'!$M:$M,redes!A8829)</f>
        <v>0</v>
      </c>
    </row>
    <row r="8830" customFormat="false" ht="14.4" hidden="true" customHeight="false" outlineLevel="0" collapsed="false">
      <c r="A8830" s="34" t="n">
        <v>4607207000180</v>
      </c>
      <c r="B8830" s="34" t="s">
        <v>18270</v>
      </c>
      <c r="C8830" s="34" t="s">
        <v>77</v>
      </c>
      <c r="E8830" s="30" t="s">
        <v>18271</v>
      </c>
      <c r="F8830" s="34" t="n">
        <f aca="false">IFERROR(VLOOKUP($A8830,'319'!$B:$H,7,0),0)</f>
        <v>0</v>
      </c>
      <c r="G8830" s="34" t="n">
        <f aca="false">SUMIFS('12.326ana'!$C:$C,'12.326ana'!$M:$M,redes!A8830)</f>
        <v>0</v>
      </c>
    </row>
    <row r="8831" customFormat="false" ht="14.4" hidden="true" customHeight="false" outlineLevel="0" collapsed="false">
      <c r="A8831" s="34" t="n">
        <v>4608559000150</v>
      </c>
      <c r="B8831" s="34" t="s">
        <v>18272</v>
      </c>
      <c r="C8831" s="34" t="s">
        <v>475</v>
      </c>
      <c r="E8831" s="30" t="s">
        <v>18273</v>
      </c>
      <c r="F8831" s="34" t="n">
        <f aca="false">IFERROR(VLOOKUP($A8831,'319'!$B:$H,7,0),0)</f>
        <v>0</v>
      </c>
      <c r="G8831" s="34" t="n">
        <f aca="false">SUMIFS('12.326ana'!$C:$C,'12.326ana'!$M:$M,redes!A8831)</f>
        <v>0</v>
      </c>
    </row>
    <row r="8832" customFormat="false" ht="14.4" hidden="true" customHeight="false" outlineLevel="0" collapsed="false">
      <c r="A8832" s="34" t="n">
        <v>4609596000182</v>
      </c>
      <c r="B8832" s="34" t="s">
        <v>18274</v>
      </c>
      <c r="C8832" s="34" t="s">
        <v>1591</v>
      </c>
      <c r="E8832" s="30" t="s">
        <v>3206</v>
      </c>
      <c r="F8832" s="34" t="n">
        <f aca="false">IFERROR(VLOOKUP($A8832,'319'!$B:$H,7,0),0)</f>
        <v>0</v>
      </c>
      <c r="G8832" s="34" t="n">
        <f aca="false">SUMIFS('12.326ana'!$C:$C,'12.326ana'!$M:$M,redes!A8832)</f>
        <v>0</v>
      </c>
    </row>
    <row r="8833" customFormat="false" ht="14.4" hidden="true" customHeight="false" outlineLevel="0" collapsed="false">
      <c r="A8833" s="35" t="n">
        <v>4610833000125</v>
      </c>
      <c r="B8833" s="34" t="s">
        <v>1151</v>
      </c>
      <c r="C8833" s="34" t="s">
        <v>77</v>
      </c>
      <c r="E8833" s="30" t="s">
        <v>18275</v>
      </c>
      <c r="F8833" s="34" t="n">
        <f aca="false">IFERROR(VLOOKUP($A8833,'319'!$B:$H,7,0),0)</f>
        <v>465.03</v>
      </c>
      <c r="G8833" s="34" t="n">
        <f aca="false">SUMIFS('12.326ana'!$C:$C,'12.326ana'!$M:$M,redes!A8833)</f>
        <v>0</v>
      </c>
    </row>
    <row r="8834" customFormat="false" ht="14.4" hidden="true" customHeight="false" outlineLevel="0" collapsed="false">
      <c r="A8834" s="34" t="n">
        <v>4611150000192</v>
      </c>
      <c r="B8834" s="34" t="s">
        <v>18276</v>
      </c>
      <c r="C8834" s="34" t="s">
        <v>77</v>
      </c>
      <c r="E8834" s="30"/>
      <c r="F8834" s="34" t="n">
        <f aca="false">IFERROR(VLOOKUP($A8834,'319'!$B:$H,7,0),0)</f>
        <v>0</v>
      </c>
      <c r="G8834" s="34" t="n">
        <f aca="false">SUMIFS('12.326ana'!$C:$C,'12.326ana'!$M:$M,redes!A8834)</f>
        <v>0</v>
      </c>
    </row>
    <row r="8835" customFormat="false" ht="14.4" hidden="true" customHeight="false" outlineLevel="0" collapsed="false">
      <c r="A8835" s="34" t="n">
        <v>4611845000174</v>
      </c>
      <c r="B8835" s="34" t="s">
        <v>18277</v>
      </c>
      <c r="C8835" s="34" t="s">
        <v>565</v>
      </c>
      <c r="D8835" s="34" t="s">
        <v>5602</v>
      </c>
      <c r="E8835" s="30" t="s">
        <v>17911</v>
      </c>
      <c r="F8835" s="34" t="n">
        <f aca="false">IFERROR(VLOOKUP($A8835,'319'!$B:$H,7,0),0)</f>
        <v>0</v>
      </c>
      <c r="G8835" s="34" t="n">
        <f aca="false">SUMIFS('12.326ana'!$C:$C,'12.326ana'!$M:$M,redes!A8835)</f>
        <v>0</v>
      </c>
    </row>
    <row r="8836" customFormat="false" ht="14.4" hidden="true" customHeight="false" outlineLevel="0" collapsed="false">
      <c r="A8836" s="34" t="n">
        <v>4613960000188</v>
      </c>
      <c r="B8836" s="34" t="s">
        <v>18278</v>
      </c>
      <c r="C8836" s="34" t="s">
        <v>357</v>
      </c>
      <c r="E8836" s="30" t="s">
        <v>18279</v>
      </c>
      <c r="F8836" s="34" t="n">
        <f aca="false">IFERROR(VLOOKUP($A8836,'319'!$B:$H,7,0),0)</f>
        <v>0</v>
      </c>
      <c r="G8836" s="34" t="n">
        <f aca="false">SUMIFS('12.326ana'!$C:$C,'12.326ana'!$M:$M,redes!A8836)</f>
        <v>0</v>
      </c>
    </row>
    <row r="8837" customFormat="false" ht="14.4" hidden="true" customHeight="false" outlineLevel="0" collapsed="false">
      <c r="A8837" s="34" t="n">
        <v>4615227000100</v>
      </c>
      <c r="B8837" s="34" t="s">
        <v>18280</v>
      </c>
      <c r="C8837" s="34" t="s">
        <v>89</v>
      </c>
      <c r="E8837" s="30" t="s">
        <v>7356</v>
      </c>
      <c r="F8837" s="34" t="n">
        <f aca="false">IFERROR(VLOOKUP($A8837,'319'!$B:$H,7,0),0)</f>
        <v>0</v>
      </c>
      <c r="G8837" s="34" t="n">
        <f aca="false">SUMIFS('12.326ana'!$C:$C,'12.326ana'!$M:$M,redes!A8837)</f>
        <v>0</v>
      </c>
    </row>
    <row r="8838" customFormat="false" ht="14.4" hidden="true" customHeight="false" outlineLevel="0" collapsed="false">
      <c r="A8838" s="34" t="n">
        <v>4616085000198</v>
      </c>
      <c r="B8838" s="34" t="s">
        <v>18281</v>
      </c>
      <c r="C8838" s="34" t="s">
        <v>336</v>
      </c>
      <c r="E8838" s="30" t="s">
        <v>18282</v>
      </c>
      <c r="F8838" s="34" t="n">
        <f aca="false">IFERROR(VLOOKUP($A8838,'319'!$B:$H,7,0),0)</f>
        <v>0</v>
      </c>
      <c r="G8838" s="34" t="n">
        <f aca="false">SUMIFS('12.326ana'!$C:$C,'12.326ana'!$M:$M,redes!A8838)</f>
        <v>0</v>
      </c>
    </row>
    <row r="8839" customFormat="false" ht="14.4" hidden="true" customHeight="false" outlineLevel="0" collapsed="false">
      <c r="A8839" s="34" t="n">
        <v>4616605000162</v>
      </c>
      <c r="B8839" s="34" t="s">
        <v>18283</v>
      </c>
      <c r="C8839" s="34" t="s">
        <v>77</v>
      </c>
      <c r="E8839" s="30" t="s">
        <v>4638</v>
      </c>
      <c r="F8839" s="34" t="n">
        <f aca="false">IFERROR(VLOOKUP($A8839,'319'!$B:$H,7,0),0)</f>
        <v>0</v>
      </c>
      <c r="G8839" s="34" t="n">
        <f aca="false">SUMIFS('12.326ana'!$C:$C,'12.326ana'!$M:$M,redes!A8839)</f>
        <v>0</v>
      </c>
    </row>
    <row r="8840" customFormat="false" ht="14.4" hidden="true" customHeight="false" outlineLevel="0" collapsed="false">
      <c r="A8840" s="34" t="n">
        <v>4618353000100</v>
      </c>
      <c r="B8840" s="34" t="s">
        <v>18284</v>
      </c>
      <c r="C8840" s="34" t="s">
        <v>89</v>
      </c>
      <c r="E8840" s="30" t="s">
        <v>18285</v>
      </c>
      <c r="F8840" s="34" t="n">
        <f aca="false">IFERROR(VLOOKUP($A8840,'319'!$B:$H,7,0),0)</f>
        <v>0</v>
      </c>
      <c r="G8840" s="34" t="n">
        <f aca="false">SUMIFS('12.326ana'!$C:$C,'12.326ana'!$M:$M,redes!A8840)</f>
        <v>0</v>
      </c>
    </row>
    <row r="8841" customFormat="false" ht="14.4" hidden="true" customHeight="false" outlineLevel="0" collapsed="false">
      <c r="A8841" s="34" t="n">
        <v>4619330000110</v>
      </c>
      <c r="B8841" s="34" t="s">
        <v>18286</v>
      </c>
      <c r="C8841" s="34" t="s">
        <v>10103</v>
      </c>
      <c r="E8841" s="30" t="s">
        <v>18287</v>
      </c>
      <c r="F8841" s="34" t="n">
        <f aca="false">IFERROR(VLOOKUP($A8841,'319'!$B:$H,7,0),0)</f>
        <v>0</v>
      </c>
      <c r="G8841" s="34" t="n">
        <f aca="false">SUMIFS('12.326ana'!$C:$C,'12.326ana'!$M:$M,redes!A8841)</f>
        <v>0</v>
      </c>
    </row>
    <row r="8842" customFormat="false" ht="14.4" hidden="true" customHeight="false" outlineLevel="0" collapsed="false">
      <c r="A8842" s="34" t="n">
        <v>4619617000140</v>
      </c>
      <c r="B8842" s="34" t="s">
        <v>18288</v>
      </c>
      <c r="C8842" s="34" t="s">
        <v>737</v>
      </c>
      <c r="E8842" s="30" t="s">
        <v>18289</v>
      </c>
      <c r="F8842" s="34" t="n">
        <f aca="false">IFERROR(VLOOKUP($A8842,'319'!$B:$H,7,0),0)</f>
        <v>0</v>
      </c>
      <c r="G8842" s="34" t="n">
        <f aca="false">SUMIFS('12.326ana'!$C:$C,'12.326ana'!$M:$M,redes!A8842)</f>
        <v>0</v>
      </c>
    </row>
    <row r="8843" customFormat="false" ht="14.4" hidden="true" customHeight="false" outlineLevel="0" collapsed="false">
      <c r="A8843" s="34" t="n">
        <v>4621142000127</v>
      </c>
      <c r="B8843" s="34" t="s">
        <v>18290</v>
      </c>
      <c r="C8843" s="34" t="s">
        <v>77</v>
      </c>
      <c r="E8843" s="30" t="s">
        <v>3112</v>
      </c>
      <c r="F8843" s="34" t="n">
        <f aca="false">IFERROR(VLOOKUP($A8843,'319'!$B:$H,7,0),0)</f>
        <v>0</v>
      </c>
      <c r="G8843" s="34" t="n">
        <f aca="false">SUMIFS('12.326ana'!$C:$C,'12.326ana'!$M:$M,redes!A8843)</f>
        <v>0</v>
      </c>
    </row>
    <row r="8844" customFormat="false" ht="14.4" hidden="true" customHeight="false" outlineLevel="0" collapsed="false">
      <c r="A8844" s="34" t="n">
        <v>4625128000100</v>
      </c>
      <c r="B8844" s="34" t="s">
        <v>18291</v>
      </c>
      <c r="C8844" s="34" t="s">
        <v>77</v>
      </c>
      <c r="E8844" s="30" t="s">
        <v>18292</v>
      </c>
      <c r="F8844" s="34" t="n">
        <f aca="false">IFERROR(VLOOKUP($A8844,'319'!$B:$H,7,0),0)</f>
        <v>0</v>
      </c>
      <c r="G8844" s="34" t="n">
        <f aca="false">SUMIFS('12.326ana'!$C:$C,'12.326ana'!$M:$M,redes!A8844)</f>
        <v>0</v>
      </c>
    </row>
    <row r="8845" customFormat="false" ht="14.4" hidden="true" customHeight="false" outlineLevel="0" collapsed="false">
      <c r="A8845" s="34" t="n">
        <v>4626147000142</v>
      </c>
      <c r="B8845" s="34" t="s">
        <v>18293</v>
      </c>
      <c r="C8845" s="34" t="s">
        <v>7250</v>
      </c>
      <c r="E8845" s="30" t="s">
        <v>4071</v>
      </c>
      <c r="F8845" s="34" t="n">
        <f aca="false">IFERROR(VLOOKUP($A8845,'319'!$B:$H,7,0),0)</f>
        <v>0</v>
      </c>
      <c r="G8845" s="34" t="n">
        <f aca="false">SUMIFS('12.326ana'!$C:$C,'12.326ana'!$M:$M,redes!A8845)</f>
        <v>0</v>
      </c>
    </row>
    <row r="8846" customFormat="false" ht="14.4" hidden="true" customHeight="false" outlineLevel="0" collapsed="false">
      <c r="A8846" s="34" t="n">
        <v>4626397000182</v>
      </c>
      <c r="B8846" s="34" t="s">
        <v>18294</v>
      </c>
      <c r="C8846" s="34" t="s">
        <v>103</v>
      </c>
      <c r="E8846" s="30" t="s">
        <v>18295</v>
      </c>
      <c r="F8846" s="34" t="n">
        <f aca="false">IFERROR(VLOOKUP($A8846,'319'!$B:$H,7,0),0)</f>
        <v>0</v>
      </c>
      <c r="G8846" s="34" t="n">
        <f aca="false">SUMIFS('12.326ana'!$C:$C,'12.326ana'!$M:$M,redes!A8846)</f>
        <v>0</v>
      </c>
    </row>
    <row r="8847" customFormat="false" ht="14.4" hidden="true" customHeight="false" outlineLevel="0" collapsed="false">
      <c r="A8847" s="34" t="n">
        <v>4627078000191</v>
      </c>
      <c r="B8847" s="34" t="s">
        <v>18296</v>
      </c>
      <c r="C8847" s="34" t="s">
        <v>478</v>
      </c>
      <c r="E8847" s="30" t="s">
        <v>18297</v>
      </c>
      <c r="F8847" s="34" t="n">
        <f aca="false">IFERROR(VLOOKUP($A8847,'319'!$B:$H,7,0),0)</f>
        <v>0</v>
      </c>
      <c r="G8847" s="34" t="n">
        <f aca="false">SUMIFS('12.326ana'!$C:$C,'12.326ana'!$M:$M,redes!A8847)</f>
        <v>0</v>
      </c>
    </row>
    <row r="8848" customFormat="false" ht="14.4" hidden="true" customHeight="false" outlineLevel="0" collapsed="false">
      <c r="A8848" s="34" t="n">
        <v>4627106000170</v>
      </c>
      <c r="B8848" s="34" t="s">
        <v>18298</v>
      </c>
      <c r="C8848" s="34" t="s">
        <v>77</v>
      </c>
      <c r="E8848" s="30" t="s">
        <v>18299</v>
      </c>
      <c r="F8848" s="34" t="n">
        <f aca="false">IFERROR(VLOOKUP($A8848,'319'!$B:$H,7,0),0)</f>
        <v>0</v>
      </c>
      <c r="G8848" s="34" t="n">
        <f aca="false">SUMIFS('12.326ana'!$C:$C,'12.326ana'!$M:$M,redes!A8848)</f>
        <v>0</v>
      </c>
    </row>
    <row r="8849" customFormat="false" ht="14.4" hidden="true" customHeight="false" outlineLevel="0" collapsed="false">
      <c r="A8849" s="34" t="n">
        <v>4628480000190</v>
      </c>
      <c r="B8849" s="34" t="s">
        <v>18300</v>
      </c>
      <c r="C8849" s="34" t="s">
        <v>139</v>
      </c>
      <c r="E8849" s="30" t="s">
        <v>18301</v>
      </c>
      <c r="F8849" s="34" t="n">
        <f aca="false">IFERROR(VLOOKUP($A8849,'319'!$B:$H,7,0),0)</f>
        <v>0</v>
      </c>
      <c r="G8849" s="34" t="n">
        <f aca="false">SUMIFS('12.326ana'!$C:$C,'12.326ana'!$M:$M,redes!A8849)</f>
        <v>0</v>
      </c>
    </row>
    <row r="8850" customFormat="false" ht="14.4" hidden="true" customHeight="false" outlineLevel="0" collapsed="false">
      <c r="A8850" s="34" t="n">
        <v>4629217000116</v>
      </c>
      <c r="B8850" s="34" t="s">
        <v>18302</v>
      </c>
      <c r="C8850" s="34" t="s">
        <v>107</v>
      </c>
      <c r="E8850" s="30" t="s">
        <v>18303</v>
      </c>
      <c r="F8850" s="34" t="n">
        <f aca="false">IFERROR(VLOOKUP($A8850,'319'!$B:$H,7,0),0)</f>
        <v>0</v>
      </c>
      <c r="G8850" s="34" t="n">
        <f aca="false">SUMIFS('12.326ana'!$C:$C,'12.326ana'!$M:$M,redes!A8850)</f>
        <v>0</v>
      </c>
    </row>
    <row r="8851" customFormat="false" ht="14.4" hidden="true" customHeight="false" outlineLevel="0" collapsed="false">
      <c r="A8851" s="34" t="n">
        <v>4630163000109</v>
      </c>
      <c r="B8851" s="34" t="s">
        <v>18304</v>
      </c>
      <c r="C8851" s="34" t="s">
        <v>342</v>
      </c>
      <c r="D8851" s="34" t="s">
        <v>33</v>
      </c>
      <c r="E8851" s="30" t="s">
        <v>18305</v>
      </c>
      <c r="F8851" s="34" t="n">
        <f aca="false">IFERROR(VLOOKUP($A8851,'319'!$B:$H,7,0),0)</f>
        <v>0</v>
      </c>
      <c r="G8851" s="34" t="n">
        <f aca="false">SUMIFS('12.326ana'!$C:$C,'12.326ana'!$M:$M,redes!A8851)</f>
        <v>0</v>
      </c>
    </row>
    <row r="8852" customFormat="false" ht="14.4" hidden="true" customHeight="false" outlineLevel="0" collapsed="false">
      <c r="A8852" s="34" t="n">
        <v>4631554000148</v>
      </c>
      <c r="B8852" s="34" t="s">
        <v>18306</v>
      </c>
      <c r="C8852" s="34" t="s">
        <v>631</v>
      </c>
      <c r="E8852" s="30" t="s">
        <v>18307</v>
      </c>
      <c r="F8852" s="34" t="n">
        <f aca="false">IFERROR(VLOOKUP($A8852,'319'!$B:$H,7,0),0)</f>
        <v>0</v>
      </c>
      <c r="G8852" s="34" t="n">
        <f aca="false">SUMIFS('12.326ana'!$C:$C,'12.326ana'!$M:$M,redes!A8852)</f>
        <v>0</v>
      </c>
    </row>
    <row r="8853" customFormat="false" ht="14.4" hidden="true" customHeight="false" outlineLevel="0" collapsed="false">
      <c r="A8853" s="34" t="n">
        <v>4632135000120</v>
      </c>
      <c r="B8853" s="34" t="s">
        <v>18308</v>
      </c>
      <c r="C8853" s="34" t="s">
        <v>336</v>
      </c>
      <c r="E8853" s="30" t="s">
        <v>15679</v>
      </c>
      <c r="F8853" s="34" t="n">
        <f aca="false">IFERROR(VLOOKUP($A8853,'319'!$B:$H,7,0),0)</f>
        <v>0</v>
      </c>
      <c r="G8853" s="34" t="n">
        <f aca="false">SUMIFS('12.326ana'!$C:$C,'12.326ana'!$M:$M,redes!A8853)</f>
        <v>0</v>
      </c>
    </row>
    <row r="8854" customFormat="false" ht="14.4" hidden="true" customHeight="false" outlineLevel="0" collapsed="false">
      <c r="A8854" s="34" t="n">
        <v>4632145000166</v>
      </c>
      <c r="B8854" s="34" t="s">
        <v>18309</v>
      </c>
      <c r="C8854" s="34" t="s">
        <v>336</v>
      </c>
      <c r="E8854" s="30" t="s">
        <v>18310</v>
      </c>
      <c r="F8854" s="34" t="n">
        <f aca="false">IFERROR(VLOOKUP($A8854,'319'!$B:$H,7,0),0)</f>
        <v>0</v>
      </c>
      <c r="G8854" s="34" t="n">
        <f aca="false">SUMIFS('12.326ana'!$C:$C,'12.326ana'!$M:$M,redes!A8854)</f>
        <v>0</v>
      </c>
    </row>
    <row r="8855" customFormat="false" ht="14.4" hidden="true" customHeight="false" outlineLevel="0" collapsed="false">
      <c r="A8855" s="34" t="n">
        <v>4632549000150</v>
      </c>
      <c r="B8855" s="34" t="s">
        <v>18311</v>
      </c>
      <c r="C8855" s="34" t="s">
        <v>107</v>
      </c>
      <c r="E8855" s="30" t="s">
        <v>18312</v>
      </c>
      <c r="F8855" s="34" t="n">
        <f aca="false">IFERROR(VLOOKUP($A8855,'319'!$B:$H,7,0),0)</f>
        <v>0</v>
      </c>
      <c r="G8855" s="34" t="n">
        <f aca="false">SUMIFS('12.326ana'!$C:$C,'12.326ana'!$M:$M,redes!A8855)</f>
        <v>0</v>
      </c>
    </row>
    <row r="8856" customFormat="false" ht="14.4" hidden="true" customHeight="false" outlineLevel="0" collapsed="false">
      <c r="A8856" s="34" t="n">
        <v>4632705000182</v>
      </c>
      <c r="B8856" s="34" t="s">
        <v>18313</v>
      </c>
      <c r="C8856" s="34" t="s">
        <v>77</v>
      </c>
      <c r="E8856" s="30" t="s">
        <v>18314</v>
      </c>
      <c r="F8856" s="34" t="n">
        <f aca="false">IFERROR(VLOOKUP($A8856,'319'!$B:$H,7,0),0)</f>
        <v>0</v>
      </c>
      <c r="G8856" s="34" t="n">
        <f aca="false">SUMIFS('12.326ana'!$C:$C,'12.326ana'!$M:$M,redes!A8856)</f>
        <v>0</v>
      </c>
    </row>
    <row r="8857" customFormat="false" ht="14.4" hidden="true" customHeight="false" outlineLevel="0" collapsed="false">
      <c r="A8857" s="34" t="n">
        <v>4632990000131</v>
      </c>
      <c r="B8857" s="34" t="s">
        <v>18315</v>
      </c>
      <c r="C8857" s="34" t="s">
        <v>77</v>
      </c>
      <c r="D8857" s="34" t="s">
        <v>9598</v>
      </c>
      <c r="E8857" s="30" t="s">
        <v>18316</v>
      </c>
      <c r="F8857" s="34" t="n">
        <f aca="false">IFERROR(VLOOKUP($A8857,'319'!$B:$H,7,0),0)</f>
        <v>0</v>
      </c>
      <c r="G8857" s="34" t="n">
        <f aca="false">SUMIFS('12.326ana'!$C:$C,'12.326ana'!$M:$M,redes!A8857)</f>
        <v>0</v>
      </c>
    </row>
    <row r="8858" customFormat="false" ht="14.4" hidden="true" customHeight="false" outlineLevel="0" collapsed="false">
      <c r="A8858" s="34" t="n">
        <v>4636054000107</v>
      </c>
      <c r="B8858" s="34" t="s">
        <v>18317</v>
      </c>
      <c r="C8858" s="34" t="s">
        <v>77</v>
      </c>
      <c r="E8858" s="30" t="s">
        <v>18318</v>
      </c>
      <c r="F8858" s="34" t="n">
        <f aca="false">IFERROR(VLOOKUP($A8858,'319'!$B:$H,7,0),0)</f>
        <v>0</v>
      </c>
      <c r="G8858" s="34" t="n">
        <f aca="false">SUMIFS('12.326ana'!$C:$C,'12.326ana'!$M:$M,redes!A8858)</f>
        <v>0</v>
      </c>
    </row>
    <row r="8859" customFormat="false" ht="14.4" hidden="true" customHeight="false" outlineLevel="0" collapsed="false">
      <c r="A8859" s="35" t="n">
        <v>4636085000150</v>
      </c>
      <c r="B8859" s="34" t="s">
        <v>18319</v>
      </c>
      <c r="C8859" s="34" t="s">
        <v>77</v>
      </c>
      <c r="E8859" s="30" t="s">
        <v>18320</v>
      </c>
      <c r="F8859" s="34" t="n">
        <f aca="false">IFERROR(VLOOKUP($A8859,'319'!$B:$H,7,0),0)</f>
        <v>0</v>
      </c>
      <c r="G8859" s="34" t="n">
        <f aca="false">SUMIFS('12.326ana'!$C:$C,'12.326ana'!$M:$M,redes!A8859)</f>
        <v>0</v>
      </c>
    </row>
    <row r="8860" customFormat="false" ht="14.4" hidden="true" customHeight="false" outlineLevel="0" collapsed="false">
      <c r="A8860" s="34" t="n">
        <v>4636488000107</v>
      </c>
      <c r="B8860" s="34" t="s">
        <v>18321</v>
      </c>
      <c r="C8860" s="34" t="s">
        <v>1272</v>
      </c>
      <c r="E8860" s="30" t="s">
        <v>5472</v>
      </c>
      <c r="F8860" s="34" t="n">
        <f aca="false">IFERROR(VLOOKUP($A8860,'319'!$B:$H,7,0),0)</f>
        <v>0</v>
      </c>
      <c r="G8860" s="34" t="n">
        <f aca="false">SUMIFS('12.326ana'!$C:$C,'12.326ana'!$M:$M,redes!A8860)</f>
        <v>0</v>
      </c>
    </row>
    <row r="8861" customFormat="false" ht="14.4" hidden="true" customHeight="false" outlineLevel="0" collapsed="false">
      <c r="A8861" s="34" t="n">
        <v>4639905000167</v>
      </c>
      <c r="B8861" s="34" t="s">
        <v>18322</v>
      </c>
      <c r="C8861" s="34" t="s">
        <v>357</v>
      </c>
      <c r="E8861" s="30" t="s">
        <v>18323</v>
      </c>
      <c r="F8861" s="34" t="n">
        <f aca="false">IFERROR(VLOOKUP($A8861,'319'!$B:$H,7,0),0)</f>
        <v>0</v>
      </c>
      <c r="G8861" s="34" t="n">
        <f aca="false">SUMIFS('12.326ana'!$C:$C,'12.326ana'!$M:$M,redes!A8861)</f>
        <v>0</v>
      </c>
    </row>
    <row r="8862" customFormat="false" ht="14.4" hidden="true" customHeight="false" outlineLevel="0" collapsed="false">
      <c r="A8862" s="34" t="n">
        <v>4640021000122</v>
      </c>
      <c r="B8862" s="34" t="s">
        <v>18324</v>
      </c>
      <c r="C8862" s="34" t="s">
        <v>77</v>
      </c>
      <c r="E8862" s="30"/>
      <c r="F8862" s="34" t="n">
        <f aca="false">IFERROR(VLOOKUP($A8862,'319'!$B:$H,7,0),0)</f>
        <v>0</v>
      </c>
      <c r="G8862" s="34" t="n">
        <f aca="false">SUMIFS('12.326ana'!$C:$C,'12.326ana'!$M:$M,redes!A8862)</f>
        <v>0</v>
      </c>
    </row>
    <row r="8863" customFormat="false" ht="14.4" hidden="true" customHeight="false" outlineLevel="0" collapsed="false">
      <c r="A8863" s="34" t="n">
        <v>4644120000182</v>
      </c>
      <c r="B8863" s="34" t="s">
        <v>18325</v>
      </c>
      <c r="C8863" s="34" t="s">
        <v>781</v>
      </c>
      <c r="E8863" s="30" t="s">
        <v>18326</v>
      </c>
      <c r="F8863" s="34" t="n">
        <f aca="false">IFERROR(VLOOKUP($A8863,'319'!$B:$H,7,0),0)</f>
        <v>0</v>
      </c>
      <c r="G8863" s="34" t="n">
        <f aca="false">SUMIFS('12.326ana'!$C:$C,'12.326ana'!$M:$M,redes!A8863)</f>
        <v>0</v>
      </c>
    </row>
    <row r="8864" customFormat="false" ht="14.4" hidden="true" customHeight="false" outlineLevel="0" collapsed="false">
      <c r="A8864" s="34" t="n">
        <v>4644194000119</v>
      </c>
      <c r="B8864" s="34" t="s">
        <v>18327</v>
      </c>
      <c r="C8864" s="34" t="s">
        <v>207</v>
      </c>
      <c r="E8864" s="30" t="s">
        <v>18328</v>
      </c>
      <c r="F8864" s="34" t="n">
        <f aca="false">IFERROR(VLOOKUP($A8864,'319'!$B:$H,7,0),0)</f>
        <v>0</v>
      </c>
      <c r="G8864" s="34" t="n">
        <f aca="false">SUMIFS('12.326ana'!$C:$C,'12.326ana'!$M:$M,redes!A8864)</f>
        <v>0</v>
      </c>
    </row>
    <row r="8865" customFormat="false" ht="14.4" hidden="true" customHeight="false" outlineLevel="0" collapsed="false">
      <c r="A8865" s="34" t="n">
        <v>4644342000103</v>
      </c>
      <c r="B8865" s="34" t="s">
        <v>18329</v>
      </c>
      <c r="C8865" s="34" t="s">
        <v>103</v>
      </c>
      <c r="E8865" s="30" t="s">
        <v>18330</v>
      </c>
      <c r="F8865" s="34" t="n">
        <f aca="false">IFERROR(VLOOKUP($A8865,'319'!$B:$H,7,0),0)</f>
        <v>0</v>
      </c>
      <c r="G8865" s="34" t="n">
        <f aca="false">SUMIFS('12.326ana'!$C:$C,'12.326ana'!$M:$M,redes!A8865)</f>
        <v>0</v>
      </c>
    </row>
    <row r="8866" customFormat="false" ht="14.4" hidden="true" customHeight="false" outlineLevel="0" collapsed="false">
      <c r="A8866" s="34" t="n">
        <v>4645756000149</v>
      </c>
      <c r="B8866" s="34" t="s">
        <v>18331</v>
      </c>
      <c r="C8866" s="34" t="s">
        <v>77</v>
      </c>
      <c r="E8866" s="30"/>
      <c r="F8866" s="34" t="n">
        <f aca="false">IFERROR(VLOOKUP($A8866,'319'!$B:$H,7,0),0)</f>
        <v>0</v>
      </c>
      <c r="G8866" s="34" t="n">
        <f aca="false">SUMIFS('12.326ana'!$C:$C,'12.326ana'!$M:$M,redes!A8866)</f>
        <v>0</v>
      </c>
    </row>
    <row r="8867" customFormat="false" ht="14.4" hidden="true" customHeight="false" outlineLevel="0" collapsed="false">
      <c r="A8867" s="34" t="n">
        <v>4645757000193</v>
      </c>
      <c r="B8867" s="34" t="s">
        <v>18332</v>
      </c>
      <c r="C8867" s="34" t="s">
        <v>377</v>
      </c>
      <c r="E8867" s="30" t="s">
        <v>18333</v>
      </c>
      <c r="F8867" s="34" t="n">
        <f aca="false">IFERROR(VLOOKUP($A8867,'319'!$B:$H,7,0),0)</f>
        <v>0</v>
      </c>
      <c r="G8867" s="34" t="n">
        <f aca="false">SUMIFS('12.326ana'!$C:$C,'12.326ana'!$M:$M,redes!A8867)</f>
        <v>0</v>
      </c>
    </row>
    <row r="8868" customFormat="false" ht="14.4" hidden="true" customHeight="false" outlineLevel="0" collapsed="false">
      <c r="A8868" s="34" t="n">
        <v>4646202000166</v>
      </c>
      <c r="B8868" s="34" t="s">
        <v>18334</v>
      </c>
      <c r="C8868" s="34" t="s">
        <v>475</v>
      </c>
      <c r="E8868" s="30" t="s">
        <v>18335</v>
      </c>
      <c r="F8868" s="34" t="n">
        <f aca="false">IFERROR(VLOOKUP($A8868,'319'!$B:$H,7,0),0)</f>
        <v>0</v>
      </c>
      <c r="G8868" s="34" t="n">
        <f aca="false">SUMIFS('12.326ana'!$C:$C,'12.326ana'!$M:$M,redes!A8868)</f>
        <v>0</v>
      </c>
    </row>
    <row r="8869" customFormat="false" ht="14.4" hidden="true" customHeight="false" outlineLevel="0" collapsed="false">
      <c r="A8869" s="34" t="n">
        <v>4647804000138</v>
      </c>
      <c r="B8869" s="34" t="s">
        <v>18336</v>
      </c>
      <c r="C8869" s="34" t="s">
        <v>604</v>
      </c>
      <c r="D8869" s="34" t="s">
        <v>4797</v>
      </c>
      <c r="E8869" s="30" t="s">
        <v>18337</v>
      </c>
      <c r="F8869" s="34" t="n">
        <f aca="false">IFERROR(VLOOKUP($A8869,'319'!$B:$H,7,0),0)</f>
        <v>0</v>
      </c>
      <c r="G8869" s="34" t="n">
        <f aca="false">SUMIFS('12.326ana'!$C:$C,'12.326ana'!$M:$M,redes!A8869)</f>
        <v>0</v>
      </c>
    </row>
    <row r="8870" customFormat="false" ht="14.4" hidden="true" customHeight="false" outlineLevel="0" collapsed="false">
      <c r="A8870" s="34" t="n">
        <v>4647813000129</v>
      </c>
      <c r="B8870" s="34" t="s">
        <v>18338</v>
      </c>
      <c r="C8870" s="34" t="s">
        <v>107</v>
      </c>
      <c r="E8870" s="30" t="s">
        <v>18339</v>
      </c>
      <c r="F8870" s="34" t="n">
        <f aca="false">IFERROR(VLOOKUP($A8870,'319'!$B:$H,7,0),0)</f>
        <v>0</v>
      </c>
      <c r="G8870" s="34" t="n">
        <f aca="false">SUMIFS('12.326ana'!$C:$C,'12.326ana'!$M:$M,redes!A8870)</f>
        <v>0</v>
      </c>
    </row>
    <row r="8871" customFormat="false" ht="14.4" hidden="true" customHeight="false" outlineLevel="0" collapsed="false">
      <c r="A8871" s="34" t="n">
        <v>4649733000102</v>
      </c>
      <c r="B8871" s="34" t="s">
        <v>18340</v>
      </c>
      <c r="C8871" s="34" t="s">
        <v>213</v>
      </c>
      <c r="E8871" s="30" t="s">
        <v>18341</v>
      </c>
      <c r="F8871" s="34" t="n">
        <f aca="false">IFERROR(VLOOKUP($A8871,'319'!$B:$H,7,0),0)</f>
        <v>0</v>
      </c>
      <c r="G8871" s="34" t="n">
        <f aca="false">SUMIFS('12.326ana'!$C:$C,'12.326ana'!$M:$M,redes!A8871)</f>
        <v>0</v>
      </c>
    </row>
    <row r="8872" customFormat="false" ht="14.4" hidden="true" customHeight="false" outlineLevel="0" collapsed="false">
      <c r="A8872" s="34" t="n">
        <v>4653224000153</v>
      </c>
      <c r="B8872" s="34" t="s">
        <v>18342</v>
      </c>
      <c r="C8872" s="34" t="s">
        <v>342</v>
      </c>
      <c r="E8872" s="30" t="s">
        <v>18343</v>
      </c>
      <c r="F8872" s="34" t="n">
        <f aca="false">IFERROR(VLOOKUP($A8872,'319'!$B:$H,7,0),0)</f>
        <v>0</v>
      </c>
      <c r="G8872" s="34" t="n">
        <f aca="false">SUMIFS('12.326ana'!$C:$C,'12.326ana'!$M:$M,redes!A8872)</f>
        <v>0</v>
      </c>
    </row>
    <row r="8873" customFormat="false" ht="14.4" hidden="true" customHeight="false" outlineLevel="0" collapsed="false">
      <c r="A8873" s="34" t="n">
        <v>4655306000137</v>
      </c>
      <c r="B8873" s="34" t="s">
        <v>18344</v>
      </c>
      <c r="C8873" s="34" t="s">
        <v>107</v>
      </c>
      <c r="E8873" s="30" t="s">
        <v>18345</v>
      </c>
      <c r="F8873" s="34" t="n">
        <f aca="false">IFERROR(VLOOKUP($A8873,'319'!$B:$H,7,0),0)</f>
        <v>0</v>
      </c>
      <c r="G8873" s="34" t="n">
        <f aca="false">SUMIFS('12.326ana'!$C:$C,'12.326ana'!$M:$M,redes!A8873)</f>
        <v>0</v>
      </c>
    </row>
    <row r="8874" customFormat="false" ht="14.4" hidden="true" customHeight="false" outlineLevel="0" collapsed="false">
      <c r="A8874" s="34" t="n">
        <v>4655540000164</v>
      </c>
      <c r="B8874" s="34" t="s">
        <v>18346</v>
      </c>
      <c r="C8874" s="34" t="s">
        <v>357</v>
      </c>
      <c r="E8874" s="30" t="s">
        <v>18347</v>
      </c>
      <c r="F8874" s="34" t="n">
        <f aca="false">IFERROR(VLOOKUP($A8874,'319'!$B:$H,7,0),0)</f>
        <v>0</v>
      </c>
      <c r="G8874" s="34" t="n">
        <f aca="false">SUMIFS('12.326ana'!$C:$C,'12.326ana'!$M:$M,redes!A8874)</f>
        <v>0</v>
      </c>
    </row>
    <row r="8875" customFormat="false" ht="14.4" hidden="true" customHeight="false" outlineLevel="0" collapsed="false">
      <c r="A8875" s="34" t="n">
        <v>4655789000170</v>
      </c>
      <c r="B8875" s="34" t="s">
        <v>18348</v>
      </c>
      <c r="C8875" s="34" t="s">
        <v>562</v>
      </c>
      <c r="E8875" s="30" t="s">
        <v>18349</v>
      </c>
      <c r="F8875" s="34" t="n">
        <f aca="false">IFERROR(VLOOKUP($A8875,'319'!$B:$H,7,0),0)</f>
        <v>0</v>
      </c>
      <c r="G8875" s="34" t="n">
        <f aca="false">SUMIFS('12.326ana'!$C:$C,'12.326ana'!$M:$M,redes!A8875)</f>
        <v>0</v>
      </c>
    </row>
    <row r="8876" customFormat="false" ht="14.4" hidden="true" customHeight="false" outlineLevel="0" collapsed="false">
      <c r="A8876" s="34" t="n">
        <v>4656956000105</v>
      </c>
      <c r="B8876" s="34" t="s">
        <v>18350</v>
      </c>
      <c r="C8876" s="34" t="s">
        <v>842</v>
      </c>
      <c r="E8876" s="30" t="s">
        <v>18351</v>
      </c>
      <c r="F8876" s="34" t="n">
        <f aca="false">IFERROR(VLOOKUP($A8876,'319'!$B:$H,7,0),0)</f>
        <v>0</v>
      </c>
      <c r="G8876" s="34" t="n">
        <f aca="false">SUMIFS('12.326ana'!$C:$C,'12.326ana'!$M:$M,redes!A8876)</f>
        <v>0</v>
      </c>
    </row>
    <row r="8877" customFormat="false" ht="14.4" hidden="true" customHeight="false" outlineLevel="0" collapsed="false">
      <c r="A8877" s="34" t="n">
        <v>4657111000126</v>
      </c>
      <c r="B8877" s="34" t="s">
        <v>18352</v>
      </c>
      <c r="C8877" s="34" t="s">
        <v>77</v>
      </c>
      <c r="D8877" s="34" t="s">
        <v>33</v>
      </c>
      <c r="E8877" s="30" t="s">
        <v>13505</v>
      </c>
      <c r="F8877" s="34" t="n">
        <f aca="false">IFERROR(VLOOKUP($A8877,'319'!$B:$H,7,0),0)</f>
        <v>0</v>
      </c>
      <c r="G8877" s="34" t="n">
        <f aca="false">SUMIFS('12.326ana'!$C:$C,'12.326ana'!$M:$M,redes!A8877)</f>
        <v>0</v>
      </c>
    </row>
    <row r="8878" customFormat="false" ht="14.4" hidden="true" customHeight="false" outlineLevel="0" collapsed="false">
      <c r="A8878" s="34" t="n">
        <v>4658077000104</v>
      </c>
      <c r="B8878" s="34" t="s">
        <v>18353</v>
      </c>
      <c r="C8878" s="34" t="s">
        <v>77</v>
      </c>
      <c r="E8878" s="30" t="s">
        <v>18354</v>
      </c>
      <c r="F8878" s="34" t="n">
        <f aca="false">IFERROR(VLOOKUP($A8878,'319'!$B:$H,7,0),0)</f>
        <v>0</v>
      </c>
      <c r="G8878" s="34" t="n">
        <f aca="false">SUMIFS('12.326ana'!$C:$C,'12.326ana'!$M:$M,redes!A8878)</f>
        <v>0</v>
      </c>
    </row>
    <row r="8879" customFormat="false" ht="14.4" hidden="true" customHeight="false" outlineLevel="0" collapsed="false">
      <c r="A8879" s="34" t="n">
        <v>4661280000130</v>
      </c>
      <c r="B8879" s="34" t="s">
        <v>18355</v>
      </c>
      <c r="C8879" s="34" t="s">
        <v>127</v>
      </c>
      <c r="E8879" s="30" t="s">
        <v>18356</v>
      </c>
      <c r="F8879" s="34" t="n">
        <f aca="false">IFERROR(VLOOKUP($A8879,'319'!$B:$H,7,0),0)</f>
        <v>0</v>
      </c>
      <c r="G8879" s="34" t="n">
        <f aca="false">SUMIFS('12.326ana'!$C:$C,'12.326ana'!$M:$M,redes!A8879)</f>
        <v>0</v>
      </c>
    </row>
    <row r="8880" customFormat="false" ht="14.4" hidden="true" customHeight="false" outlineLevel="0" collapsed="false">
      <c r="A8880" s="34" t="n">
        <v>4666105000135</v>
      </c>
      <c r="B8880" s="34" t="s">
        <v>18357</v>
      </c>
      <c r="C8880" s="34" t="s">
        <v>546</v>
      </c>
      <c r="E8880" s="30" t="s">
        <v>18358</v>
      </c>
      <c r="F8880" s="34" t="n">
        <f aca="false">IFERROR(VLOOKUP($A8880,'319'!$B:$H,7,0),0)</f>
        <v>0</v>
      </c>
      <c r="G8880" s="34" t="n">
        <f aca="false">SUMIFS('12.326ana'!$C:$C,'12.326ana'!$M:$M,redes!A8880)</f>
        <v>0</v>
      </c>
    </row>
    <row r="8881" customFormat="false" ht="14.4" hidden="true" customHeight="false" outlineLevel="0" collapsed="false">
      <c r="A8881" s="34" t="n">
        <v>4666618000146</v>
      </c>
      <c r="B8881" s="34" t="s">
        <v>18359</v>
      </c>
      <c r="C8881" s="34" t="s">
        <v>77</v>
      </c>
      <c r="E8881" s="30" t="s">
        <v>18360</v>
      </c>
      <c r="F8881" s="34" t="n">
        <f aca="false">IFERROR(VLOOKUP($A8881,'319'!$B:$H,7,0),0)</f>
        <v>0</v>
      </c>
      <c r="G8881" s="34" t="n">
        <f aca="false">SUMIFS('12.326ana'!$C:$C,'12.326ana'!$M:$M,redes!A8881)</f>
        <v>0</v>
      </c>
    </row>
    <row r="8882" customFormat="false" ht="14.4" hidden="true" customHeight="false" outlineLevel="0" collapsed="false">
      <c r="A8882" s="34" t="n">
        <v>4669275000173</v>
      </c>
      <c r="B8882" s="34" t="s">
        <v>18361</v>
      </c>
      <c r="C8882" s="34" t="s">
        <v>77</v>
      </c>
      <c r="E8882" s="30" t="s">
        <v>18362</v>
      </c>
      <c r="F8882" s="34" t="n">
        <f aca="false">IFERROR(VLOOKUP($A8882,'319'!$B:$H,7,0),0)</f>
        <v>0</v>
      </c>
      <c r="G8882" s="34" t="n">
        <f aca="false">SUMIFS('12.326ana'!$C:$C,'12.326ana'!$M:$M,redes!A8882)</f>
        <v>0</v>
      </c>
    </row>
    <row r="8883" customFormat="false" ht="14.4" hidden="true" customHeight="false" outlineLevel="0" collapsed="false">
      <c r="A8883" s="34" t="n">
        <v>4669361000186</v>
      </c>
      <c r="B8883" s="34" t="s">
        <v>18363</v>
      </c>
      <c r="C8883" s="34" t="s">
        <v>117</v>
      </c>
      <c r="E8883" s="30" t="s">
        <v>18364</v>
      </c>
      <c r="F8883" s="34" t="n">
        <f aca="false">IFERROR(VLOOKUP($A8883,'319'!$B:$H,7,0),0)</f>
        <v>0</v>
      </c>
      <c r="G8883" s="34" t="n">
        <f aca="false">SUMIFS('12.326ana'!$C:$C,'12.326ana'!$M:$M,redes!A8883)</f>
        <v>0</v>
      </c>
    </row>
    <row r="8884" customFormat="false" ht="14.4" hidden="true" customHeight="false" outlineLevel="0" collapsed="false">
      <c r="A8884" s="34" t="n">
        <v>4673931000101</v>
      </c>
      <c r="B8884" s="34" t="s">
        <v>12240</v>
      </c>
      <c r="C8884" s="34" t="s">
        <v>77</v>
      </c>
      <c r="E8884" s="30" t="s">
        <v>18365</v>
      </c>
      <c r="F8884" s="34" t="n">
        <f aca="false">IFERROR(VLOOKUP($A8884,'319'!$B:$H,7,0),0)</f>
        <v>0</v>
      </c>
      <c r="G8884" s="34" t="n">
        <f aca="false">SUMIFS('12.326ana'!$C:$C,'12.326ana'!$M:$M,redes!A8884)</f>
        <v>0</v>
      </c>
    </row>
    <row r="8885" customFormat="false" ht="14.4" hidden="true" customHeight="false" outlineLevel="0" collapsed="false">
      <c r="A8885" s="34" t="n">
        <v>4674143000130</v>
      </c>
      <c r="B8885" s="34" t="s">
        <v>18366</v>
      </c>
      <c r="C8885" s="34" t="s">
        <v>77</v>
      </c>
      <c r="E8885" s="30" t="s">
        <v>9302</v>
      </c>
      <c r="F8885" s="34" t="n">
        <f aca="false">IFERROR(VLOOKUP($A8885,'319'!$B:$H,7,0),0)</f>
        <v>0</v>
      </c>
      <c r="G8885" s="34" t="n">
        <f aca="false">SUMIFS('12.326ana'!$C:$C,'12.326ana'!$M:$M,redes!A8885)</f>
        <v>0</v>
      </c>
    </row>
    <row r="8886" customFormat="false" ht="14.4" hidden="true" customHeight="false" outlineLevel="0" collapsed="false">
      <c r="A8886" s="34" t="n">
        <v>4674955000185</v>
      </c>
      <c r="B8886" s="34" t="s">
        <v>18367</v>
      </c>
      <c r="C8886" s="34" t="s">
        <v>848</v>
      </c>
      <c r="E8886" s="30" t="s">
        <v>18368</v>
      </c>
      <c r="F8886" s="34" t="n">
        <f aca="false">IFERROR(VLOOKUP($A8886,'319'!$B:$H,7,0),0)</f>
        <v>0</v>
      </c>
      <c r="G8886" s="34" t="n">
        <f aca="false">SUMIFS('12.326ana'!$C:$C,'12.326ana'!$M:$M,redes!A8886)</f>
        <v>0</v>
      </c>
    </row>
    <row r="8887" customFormat="false" ht="14.4" hidden="true" customHeight="false" outlineLevel="0" collapsed="false">
      <c r="A8887" s="34" t="n">
        <v>4677705000107</v>
      </c>
      <c r="B8887" s="34" t="s">
        <v>18369</v>
      </c>
      <c r="C8887" s="34" t="s">
        <v>197</v>
      </c>
      <c r="D8887" s="34" t="s">
        <v>18370</v>
      </c>
      <c r="E8887" s="30" t="s">
        <v>18371</v>
      </c>
      <c r="F8887" s="34" t="n">
        <f aca="false">IFERROR(VLOOKUP($A8887,'319'!$B:$H,7,0),0)</f>
        <v>0</v>
      </c>
      <c r="G8887" s="34" t="n">
        <f aca="false">SUMIFS('12.326ana'!$C:$C,'12.326ana'!$M:$M,redes!A8887)</f>
        <v>0</v>
      </c>
    </row>
    <row r="8888" customFormat="false" ht="14.4" hidden="true" customHeight="false" outlineLevel="0" collapsed="false">
      <c r="A8888" s="34" t="n">
        <v>4677705000280</v>
      </c>
      <c r="B8888" s="34" t="s">
        <v>18369</v>
      </c>
      <c r="C8888" s="34" t="s">
        <v>192</v>
      </c>
      <c r="D8888" s="34" t="s">
        <v>18370</v>
      </c>
      <c r="E8888" s="30" t="s">
        <v>18372</v>
      </c>
      <c r="F8888" s="34" t="n">
        <f aca="false">IFERROR(VLOOKUP($A8888,'319'!$B:$H,7,0),0)</f>
        <v>0</v>
      </c>
      <c r="G8888" s="34" t="n">
        <f aca="false">SUMIFS('12.326ana'!$C:$C,'12.326ana'!$M:$M,redes!A8888)</f>
        <v>0</v>
      </c>
    </row>
    <row r="8889" customFormat="false" ht="14.4" hidden="true" customHeight="false" outlineLevel="0" collapsed="false">
      <c r="A8889" s="34" t="n">
        <v>4677705000360</v>
      </c>
      <c r="B8889" s="34" t="s">
        <v>18369</v>
      </c>
      <c r="C8889" s="34" t="s">
        <v>197</v>
      </c>
      <c r="D8889" s="34" t="s">
        <v>18370</v>
      </c>
      <c r="E8889" s="30" t="s">
        <v>18373</v>
      </c>
      <c r="F8889" s="34" t="n">
        <f aca="false">IFERROR(VLOOKUP($A8889,'319'!$B:$H,7,0),0)</f>
        <v>0</v>
      </c>
      <c r="G8889" s="34" t="n">
        <f aca="false">SUMIFS('12.326ana'!$C:$C,'12.326ana'!$M:$M,redes!A8889)</f>
        <v>0</v>
      </c>
    </row>
    <row r="8890" customFormat="false" ht="14.4" hidden="true" customHeight="false" outlineLevel="0" collapsed="false">
      <c r="A8890" s="34" t="n">
        <v>4677705000441</v>
      </c>
      <c r="B8890" s="34" t="s">
        <v>18369</v>
      </c>
      <c r="C8890" s="34" t="s">
        <v>197</v>
      </c>
      <c r="D8890" s="34" t="s">
        <v>18370</v>
      </c>
      <c r="E8890" s="30" t="s">
        <v>18374</v>
      </c>
      <c r="F8890" s="34" t="n">
        <f aca="false">IFERROR(VLOOKUP($A8890,'319'!$B:$H,7,0),0)</f>
        <v>0</v>
      </c>
      <c r="G8890" s="34" t="n">
        <f aca="false">SUMIFS('12.326ana'!$C:$C,'12.326ana'!$M:$M,redes!A8890)</f>
        <v>0</v>
      </c>
    </row>
    <row r="8891" customFormat="false" ht="14.4" hidden="true" customHeight="false" outlineLevel="0" collapsed="false">
      <c r="A8891" s="34" t="n">
        <v>4677705000522</v>
      </c>
      <c r="B8891" s="34" t="s">
        <v>18369</v>
      </c>
      <c r="C8891" s="34" t="s">
        <v>192</v>
      </c>
      <c r="D8891" s="34" t="s">
        <v>18370</v>
      </c>
      <c r="E8891" s="30" t="s">
        <v>18371</v>
      </c>
      <c r="F8891" s="34" t="n">
        <f aca="false">IFERROR(VLOOKUP($A8891,'319'!$B:$H,7,0),0)</f>
        <v>0</v>
      </c>
      <c r="G8891" s="34" t="n">
        <f aca="false">SUMIFS('12.326ana'!$C:$C,'12.326ana'!$M:$M,redes!A8891)</f>
        <v>0</v>
      </c>
    </row>
    <row r="8892" customFormat="false" ht="14.4" hidden="true" customHeight="false" outlineLevel="0" collapsed="false">
      <c r="A8892" s="34" t="n">
        <v>4677705000603</v>
      </c>
      <c r="B8892" s="34" t="s">
        <v>18369</v>
      </c>
      <c r="C8892" s="34" t="s">
        <v>192</v>
      </c>
      <c r="D8892" s="34" t="s">
        <v>18370</v>
      </c>
      <c r="E8892" s="30" t="s">
        <v>18375</v>
      </c>
      <c r="F8892" s="34" t="n">
        <f aca="false">IFERROR(VLOOKUP($A8892,'319'!$B:$H,7,0),0)</f>
        <v>0</v>
      </c>
      <c r="G8892" s="34" t="n">
        <f aca="false">SUMIFS('12.326ana'!$C:$C,'12.326ana'!$M:$M,redes!A8892)</f>
        <v>0</v>
      </c>
    </row>
    <row r="8893" customFormat="false" ht="14.4" hidden="true" customHeight="false" outlineLevel="0" collapsed="false">
      <c r="A8893" s="34" t="n">
        <v>4677767000100</v>
      </c>
      <c r="B8893" s="34" t="s">
        <v>18376</v>
      </c>
      <c r="C8893" s="34" t="s">
        <v>594</v>
      </c>
      <c r="E8893" s="30" t="s">
        <v>18377</v>
      </c>
      <c r="F8893" s="34" t="n">
        <f aca="false">IFERROR(VLOOKUP($A8893,'319'!$B:$H,7,0),0)</f>
        <v>0</v>
      </c>
      <c r="G8893" s="34" t="n">
        <f aca="false">SUMIFS('12.326ana'!$C:$C,'12.326ana'!$M:$M,redes!A8893)</f>
        <v>0</v>
      </c>
    </row>
    <row r="8894" customFormat="false" ht="14.4" hidden="true" customHeight="false" outlineLevel="0" collapsed="false">
      <c r="A8894" s="34" t="n">
        <v>4678435000140</v>
      </c>
      <c r="B8894" s="34" t="s">
        <v>18378</v>
      </c>
      <c r="C8894" s="34" t="s">
        <v>77</v>
      </c>
      <c r="E8894" s="30" t="s">
        <v>18379</v>
      </c>
      <c r="F8894" s="34" t="n">
        <f aca="false">IFERROR(VLOOKUP($A8894,'319'!$B:$H,7,0),0)</f>
        <v>0</v>
      </c>
      <c r="G8894" s="34" t="n">
        <f aca="false">SUMIFS('12.326ana'!$C:$C,'12.326ana'!$M:$M,redes!A8894)</f>
        <v>0</v>
      </c>
    </row>
    <row r="8895" customFormat="false" ht="14.4" hidden="true" customHeight="false" outlineLevel="0" collapsed="false">
      <c r="A8895" s="34" t="n">
        <v>4678435000221</v>
      </c>
      <c r="B8895" s="34" t="s">
        <v>18378</v>
      </c>
      <c r="C8895" s="34" t="s">
        <v>77</v>
      </c>
      <c r="E8895" s="30" t="s">
        <v>18379</v>
      </c>
      <c r="F8895" s="34" t="n">
        <f aca="false">IFERROR(VLOOKUP($A8895,'319'!$B:$H,7,0),0)</f>
        <v>0</v>
      </c>
      <c r="G8895" s="34" t="n">
        <f aca="false">SUMIFS('12.326ana'!$C:$C,'12.326ana'!$M:$M,redes!A8895)</f>
        <v>0</v>
      </c>
    </row>
    <row r="8896" customFormat="false" ht="14.4" hidden="true" customHeight="false" outlineLevel="0" collapsed="false">
      <c r="A8896" s="34" t="n">
        <v>4678477000181</v>
      </c>
      <c r="B8896" s="34" t="s">
        <v>18380</v>
      </c>
      <c r="C8896" s="34" t="s">
        <v>77</v>
      </c>
      <c r="E8896" s="30" t="s">
        <v>18381</v>
      </c>
      <c r="F8896" s="34" t="n">
        <f aca="false">IFERROR(VLOOKUP($A8896,'319'!$B:$H,7,0),0)</f>
        <v>0</v>
      </c>
      <c r="G8896" s="34" t="n">
        <f aca="false">SUMIFS('12.326ana'!$C:$C,'12.326ana'!$M:$M,redes!A8896)</f>
        <v>0</v>
      </c>
    </row>
    <row r="8897" customFormat="false" ht="14.4" hidden="true" customHeight="false" outlineLevel="0" collapsed="false">
      <c r="A8897" s="34" t="n">
        <v>4679576000188</v>
      </c>
      <c r="B8897" s="34" t="s">
        <v>18382</v>
      </c>
      <c r="C8897" s="34" t="s">
        <v>475</v>
      </c>
      <c r="E8897" s="30" t="s">
        <v>9629</v>
      </c>
      <c r="F8897" s="34" t="n">
        <f aca="false">IFERROR(VLOOKUP($A8897,'319'!$B:$H,7,0),0)</f>
        <v>0</v>
      </c>
      <c r="G8897" s="34" t="n">
        <f aca="false">SUMIFS('12.326ana'!$C:$C,'12.326ana'!$M:$M,redes!A8897)</f>
        <v>0</v>
      </c>
    </row>
    <row r="8898" customFormat="false" ht="14.4" hidden="true" customHeight="false" outlineLevel="0" collapsed="false">
      <c r="A8898" s="34" t="n">
        <v>4680511000152</v>
      </c>
      <c r="B8898" s="34" t="s">
        <v>18383</v>
      </c>
      <c r="C8898" s="34" t="s">
        <v>77</v>
      </c>
      <c r="E8898" s="30" t="s">
        <v>18384</v>
      </c>
      <c r="F8898" s="34" t="n">
        <f aca="false">IFERROR(VLOOKUP($A8898,'319'!$B:$H,7,0),0)</f>
        <v>0</v>
      </c>
      <c r="G8898" s="34" t="n">
        <f aca="false">SUMIFS('12.326ana'!$C:$C,'12.326ana'!$M:$M,redes!A8898)</f>
        <v>0</v>
      </c>
    </row>
    <row r="8899" customFormat="false" ht="14.4" hidden="true" customHeight="false" outlineLevel="0" collapsed="false">
      <c r="A8899" s="34" t="n">
        <v>4682971000110</v>
      </c>
      <c r="B8899" s="34" t="s">
        <v>18385</v>
      </c>
      <c r="C8899" s="34" t="s">
        <v>351</v>
      </c>
      <c r="E8899" s="30" t="s">
        <v>18386</v>
      </c>
      <c r="F8899" s="34" t="n">
        <f aca="false">IFERROR(VLOOKUP($A8899,'319'!$B:$H,7,0),0)</f>
        <v>0</v>
      </c>
      <c r="G8899" s="34" t="n">
        <f aca="false">SUMIFS('12.326ana'!$C:$C,'12.326ana'!$M:$M,redes!A8899)</f>
        <v>0</v>
      </c>
    </row>
    <row r="8900" customFormat="false" ht="14.4" hidden="true" customHeight="false" outlineLevel="0" collapsed="false">
      <c r="A8900" s="34" t="n">
        <v>4684210000105</v>
      </c>
      <c r="B8900" s="34" t="s">
        <v>18387</v>
      </c>
      <c r="C8900" s="34" t="s">
        <v>89</v>
      </c>
      <c r="E8900" s="30" t="s">
        <v>18388</v>
      </c>
      <c r="F8900" s="34" t="n">
        <f aca="false">IFERROR(VLOOKUP($A8900,'319'!$B:$H,7,0),0)</f>
        <v>0</v>
      </c>
      <c r="G8900" s="34" t="n">
        <f aca="false">SUMIFS('12.326ana'!$C:$C,'12.326ana'!$M:$M,redes!A8900)</f>
        <v>0</v>
      </c>
    </row>
    <row r="8901" customFormat="false" ht="14.4" hidden="true" customHeight="false" outlineLevel="0" collapsed="false">
      <c r="A8901" s="34" t="n">
        <v>4685267000110</v>
      </c>
      <c r="B8901" s="34" t="s">
        <v>18389</v>
      </c>
      <c r="C8901" s="34" t="s">
        <v>737</v>
      </c>
      <c r="E8901" s="30" t="s">
        <v>5196</v>
      </c>
      <c r="F8901" s="34" t="n">
        <f aca="false">IFERROR(VLOOKUP($A8901,'319'!$B:$H,7,0),0)</f>
        <v>0</v>
      </c>
      <c r="G8901" s="34" t="n">
        <f aca="false">SUMIFS('12.326ana'!$C:$C,'12.326ana'!$M:$M,redes!A8901)</f>
        <v>0</v>
      </c>
    </row>
    <row r="8902" customFormat="false" ht="14.4" hidden="true" customHeight="false" outlineLevel="0" collapsed="false">
      <c r="A8902" s="34" t="n">
        <v>4687052000139</v>
      </c>
      <c r="B8902" s="34" t="s">
        <v>18390</v>
      </c>
      <c r="C8902" s="34" t="s">
        <v>809</v>
      </c>
      <c r="E8902" s="30" t="s">
        <v>10616</v>
      </c>
      <c r="F8902" s="34" t="n">
        <f aca="false">IFERROR(VLOOKUP($A8902,'319'!$B:$H,7,0),0)</f>
        <v>0</v>
      </c>
      <c r="G8902" s="34" t="n">
        <f aca="false">SUMIFS('12.326ana'!$C:$C,'12.326ana'!$M:$M,redes!A8902)</f>
        <v>0</v>
      </c>
    </row>
    <row r="8903" customFormat="false" ht="14.4" hidden="true" customHeight="false" outlineLevel="0" collapsed="false">
      <c r="A8903" s="34" t="n">
        <v>4687785000173</v>
      </c>
      <c r="B8903" s="34" t="s">
        <v>18391</v>
      </c>
      <c r="C8903" s="34" t="s">
        <v>473</v>
      </c>
      <c r="E8903" s="30" t="s">
        <v>18392</v>
      </c>
      <c r="F8903" s="34" t="n">
        <f aca="false">IFERROR(VLOOKUP($A8903,'319'!$B:$H,7,0),0)</f>
        <v>0</v>
      </c>
      <c r="G8903" s="34" t="n">
        <f aca="false">SUMIFS('12.326ana'!$C:$C,'12.326ana'!$M:$M,redes!A8903)</f>
        <v>0</v>
      </c>
    </row>
    <row r="8904" customFormat="false" ht="14.4" hidden="true" customHeight="false" outlineLevel="0" collapsed="false">
      <c r="A8904" s="34" t="n">
        <v>4688112000138</v>
      </c>
      <c r="B8904" s="34" t="s">
        <v>18393</v>
      </c>
      <c r="C8904" s="34" t="s">
        <v>464</v>
      </c>
      <c r="E8904" s="30" t="s">
        <v>15740</v>
      </c>
      <c r="F8904" s="34" t="n">
        <f aca="false">IFERROR(VLOOKUP($A8904,'319'!$B:$H,7,0),0)</f>
        <v>0</v>
      </c>
      <c r="G8904" s="34" t="n">
        <f aca="false">SUMIFS('12.326ana'!$C:$C,'12.326ana'!$M:$M,redes!A8904)</f>
        <v>0</v>
      </c>
    </row>
    <row r="8905" customFormat="false" ht="14.4" hidden="true" customHeight="false" outlineLevel="0" collapsed="false">
      <c r="A8905" s="34" t="n">
        <v>4689149000180</v>
      </c>
      <c r="B8905" s="34" t="s">
        <v>18394</v>
      </c>
      <c r="C8905" s="34" t="s">
        <v>706</v>
      </c>
      <c r="E8905" s="30"/>
      <c r="F8905" s="34" t="n">
        <f aca="false">IFERROR(VLOOKUP($A8905,'319'!$B:$H,7,0),0)</f>
        <v>0</v>
      </c>
      <c r="G8905" s="34" t="n">
        <f aca="false">SUMIFS('12.326ana'!$C:$C,'12.326ana'!$M:$M,redes!A8905)</f>
        <v>0</v>
      </c>
    </row>
    <row r="8906" customFormat="false" ht="14.4" hidden="true" customHeight="false" outlineLevel="0" collapsed="false">
      <c r="A8906" s="34" t="n">
        <v>4690576000189</v>
      </c>
      <c r="B8906" s="34" t="s">
        <v>18395</v>
      </c>
      <c r="C8906" s="34" t="s">
        <v>631</v>
      </c>
      <c r="E8906" s="30" t="s">
        <v>18396</v>
      </c>
      <c r="F8906" s="34" t="n">
        <f aca="false">IFERROR(VLOOKUP($A8906,'319'!$B:$H,7,0),0)</f>
        <v>0</v>
      </c>
      <c r="G8906" s="34" t="n">
        <f aca="false">SUMIFS('12.326ana'!$C:$C,'12.326ana'!$M:$M,redes!A8906)</f>
        <v>0</v>
      </c>
    </row>
    <row r="8907" customFormat="false" ht="14.4" hidden="true" customHeight="false" outlineLevel="0" collapsed="false">
      <c r="A8907" s="34" t="n">
        <v>4694917000194</v>
      </c>
      <c r="B8907" s="34" t="s">
        <v>18397</v>
      </c>
      <c r="C8907" s="34" t="s">
        <v>192</v>
      </c>
      <c r="E8907" s="30" t="s">
        <v>18398</v>
      </c>
      <c r="F8907" s="34" t="n">
        <f aca="false">IFERROR(VLOOKUP($A8907,'319'!$B:$H,7,0),0)</f>
        <v>0</v>
      </c>
      <c r="G8907" s="34" t="n">
        <f aca="false">SUMIFS('12.326ana'!$C:$C,'12.326ana'!$M:$M,redes!A8907)</f>
        <v>0</v>
      </c>
    </row>
    <row r="8908" customFormat="false" ht="14.4" hidden="true" customHeight="false" outlineLevel="0" collapsed="false">
      <c r="A8908" s="34" t="n">
        <v>4697802000153</v>
      </c>
      <c r="B8908" s="34" t="s">
        <v>18399</v>
      </c>
      <c r="C8908" s="34" t="s">
        <v>77</v>
      </c>
      <c r="E8908" s="30" t="s">
        <v>18400</v>
      </c>
      <c r="F8908" s="34" t="n">
        <f aca="false">IFERROR(VLOOKUP($A8908,'319'!$B:$H,7,0),0)</f>
        <v>0</v>
      </c>
      <c r="G8908" s="34" t="n">
        <f aca="false">SUMIFS('12.326ana'!$C:$C,'12.326ana'!$M:$M,redes!A8908)</f>
        <v>0</v>
      </c>
    </row>
    <row r="8909" customFormat="false" ht="14.4" hidden="true" customHeight="false" outlineLevel="0" collapsed="false">
      <c r="A8909" s="34" t="n">
        <v>4700095000107</v>
      </c>
      <c r="B8909" s="34" t="s">
        <v>18401</v>
      </c>
      <c r="C8909" s="34" t="s">
        <v>473</v>
      </c>
      <c r="E8909" s="30" t="s">
        <v>18402</v>
      </c>
      <c r="F8909" s="34" t="n">
        <f aca="false">IFERROR(VLOOKUP($A8909,'319'!$B:$H,7,0),0)</f>
        <v>0</v>
      </c>
      <c r="G8909" s="34" t="n">
        <f aca="false">SUMIFS('12.326ana'!$C:$C,'12.326ana'!$M:$M,redes!A8909)</f>
        <v>0</v>
      </c>
    </row>
    <row r="8910" customFormat="false" ht="14.4" hidden="true" customHeight="false" outlineLevel="0" collapsed="false">
      <c r="A8910" s="34" t="n">
        <v>4705632000101</v>
      </c>
      <c r="B8910" s="34" t="s">
        <v>18403</v>
      </c>
      <c r="C8910" s="34" t="s">
        <v>139</v>
      </c>
      <c r="E8910" s="30" t="s">
        <v>6482</v>
      </c>
      <c r="F8910" s="34" t="n">
        <f aca="false">IFERROR(VLOOKUP($A8910,'319'!$B:$H,7,0),0)</f>
        <v>0</v>
      </c>
      <c r="G8910" s="34" t="n">
        <f aca="false">SUMIFS('12.326ana'!$C:$C,'12.326ana'!$M:$M,redes!A8910)</f>
        <v>0</v>
      </c>
    </row>
    <row r="8911" customFormat="false" ht="14.4" hidden="true" customHeight="false" outlineLevel="0" collapsed="false">
      <c r="A8911" s="34" t="n">
        <v>4707705000102</v>
      </c>
      <c r="B8911" s="34" t="s">
        <v>1510</v>
      </c>
      <c r="C8911" s="34" t="s">
        <v>77</v>
      </c>
      <c r="E8911" s="30" t="s">
        <v>18404</v>
      </c>
      <c r="F8911" s="34" t="n">
        <f aca="false">IFERROR(VLOOKUP($A8911,'319'!$B:$H,7,0),0)</f>
        <v>0</v>
      </c>
      <c r="G8911" s="34" t="n">
        <f aca="false">SUMIFS('12.326ana'!$C:$C,'12.326ana'!$M:$M,redes!A8911)</f>
        <v>0</v>
      </c>
    </row>
    <row r="8912" customFormat="false" ht="14.4" hidden="true" customHeight="false" outlineLevel="0" collapsed="false">
      <c r="A8912" s="34" t="n">
        <v>4707705000285</v>
      </c>
      <c r="B8912" s="34" t="s">
        <v>1510</v>
      </c>
      <c r="C8912" s="34" t="s">
        <v>77</v>
      </c>
      <c r="E8912" s="30" t="s">
        <v>18404</v>
      </c>
      <c r="F8912" s="34" t="n">
        <f aca="false">IFERROR(VLOOKUP($A8912,'319'!$B:$H,7,0),0)</f>
        <v>0</v>
      </c>
      <c r="G8912" s="34" t="n">
        <f aca="false">SUMIFS('12.326ana'!$C:$C,'12.326ana'!$M:$M,redes!A8912)</f>
        <v>0</v>
      </c>
    </row>
    <row r="8913" customFormat="false" ht="14.4" hidden="true" customHeight="false" outlineLevel="0" collapsed="false">
      <c r="A8913" s="34" t="n">
        <v>4707705000366</v>
      </c>
      <c r="B8913" s="34" t="s">
        <v>1510</v>
      </c>
      <c r="C8913" s="34" t="s">
        <v>77</v>
      </c>
      <c r="E8913" s="30" t="s">
        <v>18404</v>
      </c>
      <c r="F8913" s="34" t="n">
        <f aca="false">IFERROR(VLOOKUP($A8913,'319'!$B:$H,7,0),0)</f>
        <v>0</v>
      </c>
      <c r="G8913" s="34" t="n">
        <f aca="false">SUMIFS('12.326ana'!$C:$C,'12.326ana'!$M:$M,redes!A8913)</f>
        <v>0</v>
      </c>
    </row>
    <row r="8914" customFormat="false" ht="14.4" hidden="true" customHeight="false" outlineLevel="0" collapsed="false">
      <c r="A8914" s="34" t="n">
        <v>4707705000447</v>
      </c>
      <c r="B8914" s="34" t="s">
        <v>1508</v>
      </c>
      <c r="C8914" s="34" t="s">
        <v>77</v>
      </c>
      <c r="E8914" s="30" t="s">
        <v>18405</v>
      </c>
      <c r="F8914" s="34" t="n">
        <f aca="false">IFERROR(VLOOKUP($A8914,'319'!$B:$H,7,0),0)</f>
        <v>139.03</v>
      </c>
      <c r="G8914" s="34" t="n">
        <f aca="false">SUMIFS('12.326ana'!$C:$C,'12.326ana'!$M:$M,redes!A8914)</f>
        <v>0</v>
      </c>
    </row>
    <row r="8915" customFormat="false" ht="14.4" hidden="true" customHeight="false" outlineLevel="0" collapsed="false">
      <c r="A8915" s="34" t="n">
        <v>4707705000528</v>
      </c>
      <c r="B8915" s="34" t="s">
        <v>18406</v>
      </c>
      <c r="C8915" s="34" t="s">
        <v>77</v>
      </c>
      <c r="E8915" s="30" t="s">
        <v>18404</v>
      </c>
      <c r="F8915" s="34" t="n">
        <f aca="false">IFERROR(VLOOKUP($A8915,'319'!$B:$H,7,0),0)</f>
        <v>0</v>
      </c>
      <c r="G8915" s="34" t="n">
        <f aca="false">SUMIFS('12.326ana'!$C:$C,'12.326ana'!$M:$M,redes!A8915)</f>
        <v>0</v>
      </c>
    </row>
    <row r="8916" customFormat="false" ht="14.4" hidden="true" customHeight="false" outlineLevel="0" collapsed="false">
      <c r="A8916" s="34" t="n">
        <v>4707705000609</v>
      </c>
      <c r="B8916" s="34" t="s">
        <v>1510</v>
      </c>
      <c r="C8916" s="34" t="s">
        <v>77</v>
      </c>
      <c r="E8916" s="30" t="s">
        <v>18407</v>
      </c>
      <c r="F8916" s="34" t="n">
        <f aca="false">IFERROR(VLOOKUP($A8916,'319'!$B:$H,7,0),0)</f>
        <v>0</v>
      </c>
      <c r="G8916" s="34" t="n">
        <f aca="false">SUMIFS('12.326ana'!$C:$C,'12.326ana'!$M:$M,redes!A8916)</f>
        <v>0</v>
      </c>
    </row>
    <row r="8917" customFormat="false" ht="14.4" hidden="true" customHeight="false" outlineLevel="0" collapsed="false">
      <c r="A8917" s="34" t="n">
        <v>4707705000790</v>
      </c>
      <c r="B8917" s="34" t="s">
        <v>1510</v>
      </c>
      <c r="C8917" s="34" t="s">
        <v>77</v>
      </c>
      <c r="E8917" s="30" t="s">
        <v>18404</v>
      </c>
      <c r="F8917" s="34" t="n">
        <f aca="false">IFERROR(VLOOKUP($A8917,'319'!$B:$H,7,0),0)</f>
        <v>0</v>
      </c>
      <c r="G8917" s="34" t="n">
        <f aca="false">SUMIFS('12.326ana'!$C:$C,'12.326ana'!$M:$M,redes!A8917)</f>
        <v>0</v>
      </c>
    </row>
    <row r="8918" customFormat="false" ht="14.4" hidden="true" customHeight="false" outlineLevel="0" collapsed="false">
      <c r="A8918" s="34" t="n">
        <v>4707705000870</v>
      </c>
      <c r="B8918" s="34" t="s">
        <v>1510</v>
      </c>
      <c r="C8918" s="34" t="s">
        <v>77</v>
      </c>
      <c r="E8918" s="30" t="s">
        <v>18404</v>
      </c>
      <c r="F8918" s="34" t="n">
        <f aca="false">IFERROR(VLOOKUP($A8918,'319'!$B:$H,7,0),0)</f>
        <v>139.03</v>
      </c>
      <c r="G8918" s="34" t="n">
        <f aca="false">SUMIFS('12.326ana'!$C:$C,'12.326ana'!$M:$M,redes!A8918)</f>
        <v>0</v>
      </c>
    </row>
    <row r="8919" customFormat="false" ht="14.4" hidden="true" customHeight="false" outlineLevel="0" collapsed="false">
      <c r="A8919" s="34" t="n">
        <v>4707705000951</v>
      </c>
      <c r="B8919" s="34" t="s">
        <v>1510</v>
      </c>
      <c r="C8919" s="34" t="s">
        <v>77</v>
      </c>
      <c r="E8919" s="30" t="s">
        <v>18404</v>
      </c>
      <c r="F8919" s="34" t="n">
        <f aca="false">IFERROR(VLOOKUP($A8919,'319'!$B:$H,7,0),0)</f>
        <v>0</v>
      </c>
      <c r="G8919" s="34" t="n">
        <f aca="false">SUMIFS('12.326ana'!$C:$C,'12.326ana'!$M:$M,redes!A8919)</f>
        <v>0</v>
      </c>
    </row>
    <row r="8920" customFormat="false" ht="14.4" hidden="true" customHeight="false" outlineLevel="0" collapsed="false">
      <c r="A8920" s="34" t="n">
        <v>4707705001095</v>
      </c>
      <c r="B8920" s="34" t="s">
        <v>1510</v>
      </c>
      <c r="C8920" s="34" t="s">
        <v>77</v>
      </c>
      <c r="E8920" s="30" t="s">
        <v>18407</v>
      </c>
      <c r="F8920" s="34" t="n">
        <f aca="false">IFERROR(VLOOKUP($A8920,'319'!$B:$H,7,0),0)</f>
        <v>108.32</v>
      </c>
      <c r="G8920" s="34" t="n">
        <f aca="false">SUMIFS('12.326ana'!$C:$C,'12.326ana'!$M:$M,redes!A8920)</f>
        <v>0</v>
      </c>
    </row>
    <row r="8921" customFormat="false" ht="14.4" hidden="true" customHeight="false" outlineLevel="0" collapsed="false">
      <c r="A8921" s="34" t="n">
        <v>4707705001176</v>
      </c>
      <c r="B8921" s="34" t="s">
        <v>1510</v>
      </c>
      <c r="C8921" s="34" t="s">
        <v>77</v>
      </c>
      <c r="E8921" s="30" t="s">
        <v>1510</v>
      </c>
      <c r="F8921" s="34" t="n">
        <f aca="false">IFERROR(VLOOKUP($A8921,'319'!$B:$H,7,0),0)</f>
        <v>-59.94</v>
      </c>
      <c r="G8921" s="34" t="n">
        <f aca="false">SUMIFS('12.326ana'!$C:$C,'12.326ana'!$M:$M,redes!A8921)</f>
        <v>0</v>
      </c>
    </row>
    <row r="8922" customFormat="false" ht="14.4" hidden="true" customHeight="false" outlineLevel="0" collapsed="false">
      <c r="A8922" s="34" t="n">
        <v>4707705001257</v>
      </c>
      <c r="B8922" s="34" t="s">
        <v>1510</v>
      </c>
      <c r="C8922" s="34" t="s">
        <v>77</v>
      </c>
      <c r="E8922" s="30" t="s">
        <v>18404</v>
      </c>
      <c r="F8922" s="34" t="n">
        <f aca="false">IFERROR(VLOOKUP($A8922,'319'!$B:$H,7,0),0)</f>
        <v>0</v>
      </c>
      <c r="G8922" s="34" t="n">
        <f aca="false">SUMIFS('12.326ana'!$C:$C,'12.326ana'!$M:$M,redes!A8922)</f>
        <v>0</v>
      </c>
    </row>
    <row r="8923" customFormat="false" ht="14.4" hidden="true" customHeight="false" outlineLevel="0" collapsed="false">
      <c r="A8923" s="34" t="n">
        <v>4707705001338</v>
      </c>
      <c r="B8923" s="34" t="s">
        <v>1510</v>
      </c>
      <c r="C8923" s="34" t="s">
        <v>77</v>
      </c>
      <c r="E8923" s="30" t="s">
        <v>18404</v>
      </c>
      <c r="F8923" s="34" t="n">
        <f aca="false">IFERROR(VLOOKUP($A8923,'319'!$B:$H,7,0),0)</f>
        <v>108.32</v>
      </c>
      <c r="G8923" s="34" t="n">
        <f aca="false">SUMIFS('12.326ana'!$C:$C,'12.326ana'!$M:$M,redes!A8923)</f>
        <v>0</v>
      </c>
    </row>
    <row r="8924" customFormat="false" ht="14.4" hidden="true" customHeight="false" outlineLevel="0" collapsed="false">
      <c r="A8924" s="34" t="n">
        <v>4707727000164</v>
      </c>
      <c r="B8924" s="34" t="s">
        <v>18408</v>
      </c>
      <c r="C8924" s="34" t="s">
        <v>77</v>
      </c>
      <c r="E8924" s="30" t="s">
        <v>18409</v>
      </c>
      <c r="F8924" s="34" t="n">
        <f aca="false">IFERROR(VLOOKUP($A8924,'319'!$B:$H,7,0),0)</f>
        <v>0</v>
      </c>
      <c r="G8924" s="34" t="n">
        <f aca="false">SUMIFS('12.326ana'!$C:$C,'12.326ana'!$M:$M,redes!A8924)</f>
        <v>0</v>
      </c>
    </row>
    <row r="8925" customFormat="false" ht="14.4" hidden="true" customHeight="false" outlineLevel="0" collapsed="false">
      <c r="A8925" s="34" t="n">
        <v>4707861000165</v>
      </c>
      <c r="B8925" s="34" t="s">
        <v>18410</v>
      </c>
      <c r="C8925" s="34" t="s">
        <v>77</v>
      </c>
      <c r="E8925" s="30" t="s">
        <v>18411</v>
      </c>
      <c r="F8925" s="34" t="n">
        <f aca="false">IFERROR(VLOOKUP($A8925,'319'!$B:$H,7,0),0)</f>
        <v>0</v>
      </c>
      <c r="G8925" s="34" t="n">
        <f aca="false">SUMIFS('12.326ana'!$C:$C,'12.326ana'!$M:$M,redes!A8925)</f>
        <v>0</v>
      </c>
    </row>
    <row r="8926" customFormat="false" ht="14.4" hidden="true" customHeight="false" outlineLevel="0" collapsed="false">
      <c r="A8926" s="34" t="n">
        <v>4713159000104</v>
      </c>
      <c r="B8926" s="34" t="s">
        <v>18412</v>
      </c>
      <c r="C8926" s="34" t="s">
        <v>77</v>
      </c>
      <c r="E8926" s="30" t="s">
        <v>18413</v>
      </c>
      <c r="F8926" s="34" t="n">
        <f aca="false">IFERROR(VLOOKUP($A8926,'319'!$B:$H,7,0),0)</f>
        <v>0</v>
      </c>
      <c r="G8926" s="34" t="n">
        <f aca="false">SUMIFS('12.326ana'!$C:$C,'12.326ana'!$M:$M,redes!A8926)</f>
        <v>0</v>
      </c>
    </row>
    <row r="8927" customFormat="false" ht="14.4" hidden="true" customHeight="false" outlineLevel="0" collapsed="false">
      <c r="A8927" s="34" t="n">
        <v>4714208000123</v>
      </c>
      <c r="B8927" s="34" t="s">
        <v>18414</v>
      </c>
      <c r="C8927" s="34" t="s">
        <v>77</v>
      </c>
      <c r="D8927" s="34" t="s">
        <v>3324</v>
      </c>
      <c r="E8927" s="30" t="s">
        <v>18415</v>
      </c>
      <c r="F8927" s="34" t="n">
        <f aca="false">IFERROR(VLOOKUP($A8927,'319'!$B:$H,7,0),0)</f>
        <v>0</v>
      </c>
      <c r="G8927" s="34" t="n">
        <f aca="false">SUMIFS('12.326ana'!$C:$C,'12.326ana'!$M:$M,redes!A8927)</f>
        <v>0</v>
      </c>
    </row>
    <row r="8928" customFormat="false" ht="14.4" hidden="true" customHeight="false" outlineLevel="0" collapsed="false">
      <c r="A8928" s="34" t="n">
        <v>4714347000157</v>
      </c>
      <c r="B8928" s="34" t="s">
        <v>18416</v>
      </c>
      <c r="C8928" s="34" t="s">
        <v>77</v>
      </c>
      <c r="E8928" s="30" t="s">
        <v>18416</v>
      </c>
      <c r="F8928" s="34" t="n">
        <f aca="false">IFERROR(VLOOKUP($A8928,'319'!$B:$H,7,0),0)</f>
        <v>0</v>
      </c>
      <c r="G8928" s="34" t="n">
        <f aca="false">SUMIFS('12.326ana'!$C:$C,'12.326ana'!$M:$M,redes!A8928)</f>
        <v>0</v>
      </c>
    </row>
    <row r="8929" customFormat="false" ht="14.4" hidden="true" customHeight="false" outlineLevel="0" collapsed="false">
      <c r="A8929" s="34" t="n">
        <v>4715556000115</v>
      </c>
      <c r="B8929" s="34" t="s">
        <v>18417</v>
      </c>
      <c r="C8929" s="34" t="s">
        <v>89</v>
      </c>
      <c r="E8929" s="30"/>
      <c r="F8929" s="34" t="n">
        <f aca="false">IFERROR(VLOOKUP($A8929,'319'!$B:$H,7,0),0)</f>
        <v>0</v>
      </c>
      <c r="G8929" s="34" t="n">
        <f aca="false">SUMIFS('12.326ana'!$C:$C,'12.326ana'!$M:$M,redes!A8929)</f>
        <v>0</v>
      </c>
    </row>
    <row r="8930" customFormat="false" ht="14.4" hidden="true" customHeight="false" outlineLevel="0" collapsed="false">
      <c r="A8930" s="34" t="n">
        <v>4716050000120</v>
      </c>
      <c r="B8930" s="34" t="s">
        <v>18418</v>
      </c>
      <c r="C8930" s="34" t="s">
        <v>77</v>
      </c>
      <c r="E8930" s="30" t="s">
        <v>18419</v>
      </c>
      <c r="F8930" s="34" t="n">
        <f aca="false">IFERROR(VLOOKUP($A8930,'319'!$B:$H,7,0),0)</f>
        <v>0</v>
      </c>
      <c r="G8930" s="34" t="n">
        <f aca="false">SUMIFS('12.326ana'!$C:$C,'12.326ana'!$M:$M,redes!A8930)</f>
        <v>0</v>
      </c>
    </row>
    <row r="8931" customFormat="false" ht="14.4" hidden="true" customHeight="false" outlineLevel="0" collapsed="false">
      <c r="A8931" s="34" t="n">
        <v>4716076000179</v>
      </c>
      <c r="B8931" s="34" t="s">
        <v>18420</v>
      </c>
      <c r="C8931" s="34" t="s">
        <v>357</v>
      </c>
      <c r="E8931" s="30" t="s">
        <v>18421</v>
      </c>
      <c r="F8931" s="34" t="n">
        <f aca="false">IFERROR(VLOOKUP($A8931,'319'!$B:$H,7,0),0)</f>
        <v>0</v>
      </c>
      <c r="G8931" s="34" t="n">
        <f aca="false">SUMIFS('12.326ana'!$C:$C,'12.326ana'!$M:$M,redes!A8931)</f>
        <v>0</v>
      </c>
    </row>
    <row r="8932" customFormat="false" ht="14.4" hidden="true" customHeight="false" outlineLevel="0" collapsed="false">
      <c r="A8932" s="34" t="n">
        <v>4716976000116</v>
      </c>
      <c r="B8932" s="34" t="s">
        <v>18422</v>
      </c>
      <c r="C8932" s="34" t="s">
        <v>139</v>
      </c>
      <c r="E8932" s="30" t="s">
        <v>18423</v>
      </c>
      <c r="F8932" s="34" t="n">
        <f aca="false">IFERROR(VLOOKUP($A8932,'319'!$B:$H,7,0),0)</f>
        <v>0</v>
      </c>
      <c r="G8932" s="34" t="n">
        <f aca="false">SUMIFS('12.326ana'!$C:$C,'12.326ana'!$M:$M,redes!A8932)</f>
        <v>0</v>
      </c>
    </row>
    <row r="8933" customFormat="false" ht="14.4" hidden="true" customHeight="false" outlineLevel="0" collapsed="false">
      <c r="A8933" s="34" t="n">
        <v>4717043000143</v>
      </c>
      <c r="B8933" s="34" t="s">
        <v>18424</v>
      </c>
      <c r="C8933" s="34" t="s">
        <v>139</v>
      </c>
      <c r="E8933" s="30" t="s">
        <v>18425</v>
      </c>
      <c r="F8933" s="34" t="n">
        <f aca="false">IFERROR(VLOOKUP($A8933,'319'!$B:$H,7,0),0)</f>
        <v>0</v>
      </c>
      <c r="G8933" s="34" t="n">
        <f aca="false">SUMIFS('12.326ana'!$C:$C,'12.326ana'!$M:$M,redes!A8933)</f>
        <v>0</v>
      </c>
    </row>
    <row r="8934" customFormat="false" ht="14.4" hidden="true" customHeight="false" outlineLevel="0" collapsed="false">
      <c r="A8934" s="34" t="n">
        <v>4718501000169</v>
      </c>
      <c r="B8934" s="34" t="s">
        <v>18426</v>
      </c>
      <c r="C8934" s="34" t="s">
        <v>77</v>
      </c>
      <c r="E8934" s="30" t="s">
        <v>18427</v>
      </c>
      <c r="F8934" s="34" t="n">
        <f aca="false">IFERROR(VLOOKUP($A8934,'319'!$B:$H,7,0),0)</f>
        <v>0</v>
      </c>
      <c r="G8934" s="34" t="n">
        <f aca="false">SUMIFS('12.326ana'!$C:$C,'12.326ana'!$M:$M,redes!A8934)</f>
        <v>0</v>
      </c>
    </row>
    <row r="8935" customFormat="false" ht="14.4" hidden="true" customHeight="false" outlineLevel="0" collapsed="false">
      <c r="A8935" s="34" t="n">
        <v>4718510000150</v>
      </c>
      <c r="B8935" s="34" t="s">
        <v>18428</v>
      </c>
      <c r="C8935" s="34" t="s">
        <v>77</v>
      </c>
      <c r="E8935" s="30" t="s">
        <v>18429</v>
      </c>
      <c r="F8935" s="34" t="n">
        <f aca="false">IFERROR(VLOOKUP($A8935,'319'!$B:$H,7,0),0)</f>
        <v>0</v>
      </c>
      <c r="G8935" s="34" t="n">
        <f aca="false">SUMIFS('12.326ana'!$C:$C,'12.326ana'!$M:$M,redes!A8935)</f>
        <v>0</v>
      </c>
    </row>
    <row r="8936" customFormat="false" ht="14.4" hidden="true" customHeight="false" outlineLevel="0" collapsed="false">
      <c r="A8936" s="34" t="n">
        <v>4723419000122</v>
      </c>
      <c r="B8936" s="34" t="s">
        <v>18430</v>
      </c>
      <c r="C8936" s="34" t="s">
        <v>77</v>
      </c>
      <c r="E8936" s="30" t="s">
        <v>18431</v>
      </c>
      <c r="F8936" s="34" t="n">
        <f aca="false">IFERROR(VLOOKUP($A8936,'319'!$B:$H,7,0),0)</f>
        <v>0</v>
      </c>
      <c r="G8936" s="34" t="n">
        <f aca="false">SUMIFS('12.326ana'!$C:$C,'12.326ana'!$M:$M,redes!A8936)</f>
        <v>0</v>
      </c>
    </row>
    <row r="8937" customFormat="false" ht="14.4" hidden="true" customHeight="false" outlineLevel="0" collapsed="false">
      <c r="A8937" s="34" t="n">
        <v>4723497000127</v>
      </c>
      <c r="B8937" s="34" t="s">
        <v>18432</v>
      </c>
      <c r="C8937" s="34" t="s">
        <v>562</v>
      </c>
      <c r="E8937" s="30" t="s">
        <v>18433</v>
      </c>
      <c r="F8937" s="34" t="n">
        <f aca="false">IFERROR(VLOOKUP($A8937,'319'!$B:$H,7,0),0)</f>
        <v>0</v>
      </c>
      <c r="G8937" s="34" t="n">
        <f aca="false">SUMIFS('12.326ana'!$C:$C,'12.326ana'!$M:$M,redes!A8937)</f>
        <v>0</v>
      </c>
    </row>
    <row r="8938" customFormat="false" ht="14.4" hidden="true" customHeight="false" outlineLevel="0" collapsed="false">
      <c r="A8938" s="34" t="n">
        <v>4725471000118</v>
      </c>
      <c r="B8938" s="34" t="s">
        <v>18434</v>
      </c>
      <c r="C8938" s="34" t="s">
        <v>77</v>
      </c>
      <c r="E8938" s="30" t="s">
        <v>18435</v>
      </c>
      <c r="F8938" s="34" t="n">
        <f aca="false">IFERROR(VLOOKUP($A8938,'319'!$B:$H,7,0),0)</f>
        <v>0</v>
      </c>
      <c r="G8938" s="34" t="n">
        <f aca="false">SUMIFS('12.326ana'!$C:$C,'12.326ana'!$M:$M,redes!A8938)</f>
        <v>0</v>
      </c>
    </row>
    <row r="8939" customFormat="false" ht="14.4" hidden="true" customHeight="false" outlineLevel="0" collapsed="false">
      <c r="A8939" s="34" t="n">
        <v>4725615000136</v>
      </c>
      <c r="B8939" s="34" t="s">
        <v>18436</v>
      </c>
      <c r="C8939" s="34" t="s">
        <v>139</v>
      </c>
      <c r="E8939" s="30" t="s">
        <v>3664</v>
      </c>
      <c r="F8939" s="34" t="n">
        <f aca="false">IFERROR(VLOOKUP($A8939,'319'!$B:$H,7,0),0)</f>
        <v>0</v>
      </c>
      <c r="G8939" s="34" t="n">
        <f aca="false">SUMIFS('12.326ana'!$C:$C,'12.326ana'!$M:$M,redes!A8939)</f>
        <v>0</v>
      </c>
    </row>
    <row r="8940" customFormat="false" ht="14.4" hidden="true" customHeight="false" outlineLevel="0" collapsed="false">
      <c r="A8940" s="34" t="n">
        <v>4726870000101</v>
      </c>
      <c r="B8940" s="34" t="s">
        <v>18437</v>
      </c>
      <c r="C8940" s="34" t="s">
        <v>464</v>
      </c>
      <c r="E8940" s="30" t="s">
        <v>3736</v>
      </c>
      <c r="F8940" s="34" t="n">
        <f aca="false">IFERROR(VLOOKUP($A8940,'319'!$B:$H,7,0),0)</f>
        <v>0</v>
      </c>
      <c r="G8940" s="34" t="n">
        <f aca="false">SUMIFS('12.326ana'!$C:$C,'12.326ana'!$M:$M,redes!A8940)</f>
        <v>0</v>
      </c>
    </row>
    <row r="8941" customFormat="false" ht="14.4" hidden="true" customHeight="false" outlineLevel="0" collapsed="false">
      <c r="A8941" s="34" t="n">
        <v>4727829000141</v>
      </c>
      <c r="B8941" s="34" t="s">
        <v>18438</v>
      </c>
      <c r="C8941" s="34" t="s">
        <v>192</v>
      </c>
      <c r="E8941" s="30" t="s">
        <v>18439</v>
      </c>
      <c r="F8941" s="34" t="n">
        <f aca="false">IFERROR(VLOOKUP($A8941,'319'!$B:$H,7,0),0)</f>
        <v>0</v>
      </c>
      <c r="G8941" s="34" t="n">
        <f aca="false">SUMIFS('12.326ana'!$C:$C,'12.326ana'!$M:$M,redes!A8941)</f>
        <v>0</v>
      </c>
    </row>
    <row r="8942" customFormat="false" ht="14.4" hidden="true" customHeight="false" outlineLevel="0" collapsed="false">
      <c r="A8942" s="34" t="n">
        <v>4728100000190</v>
      </c>
      <c r="B8942" s="34" t="s">
        <v>18440</v>
      </c>
      <c r="C8942" s="34" t="s">
        <v>309</v>
      </c>
      <c r="E8942" s="30" t="s">
        <v>4630</v>
      </c>
      <c r="F8942" s="34" t="n">
        <f aca="false">IFERROR(VLOOKUP($A8942,'319'!$B:$H,7,0),0)</f>
        <v>0</v>
      </c>
      <c r="G8942" s="34" t="n">
        <f aca="false">SUMIFS('12.326ana'!$C:$C,'12.326ana'!$M:$M,redes!A8942)</f>
        <v>0</v>
      </c>
    </row>
    <row r="8943" customFormat="false" ht="14.4" hidden="true" customHeight="false" outlineLevel="0" collapsed="false">
      <c r="A8943" s="34" t="n">
        <v>4728567000130</v>
      </c>
      <c r="B8943" s="34" t="s">
        <v>18441</v>
      </c>
      <c r="C8943" s="34" t="s">
        <v>139</v>
      </c>
      <c r="E8943" s="30" t="s">
        <v>18442</v>
      </c>
      <c r="F8943" s="34" t="n">
        <f aca="false">IFERROR(VLOOKUP($A8943,'319'!$B:$H,7,0),0)</f>
        <v>0</v>
      </c>
      <c r="G8943" s="34" t="n">
        <f aca="false">SUMIFS('12.326ana'!$C:$C,'12.326ana'!$M:$M,redes!A8943)</f>
        <v>0</v>
      </c>
    </row>
    <row r="8944" customFormat="false" ht="14.4" hidden="true" customHeight="false" outlineLevel="0" collapsed="false">
      <c r="A8944" s="34" t="n">
        <v>4728694000139</v>
      </c>
      <c r="B8944" s="34" t="s">
        <v>18443</v>
      </c>
      <c r="C8944" s="34" t="s">
        <v>342</v>
      </c>
      <c r="E8944" s="30" t="s">
        <v>18444</v>
      </c>
      <c r="F8944" s="34" t="n">
        <f aca="false">IFERROR(VLOOKUP($A8944,'319'!$B:$H,7,0),0)</f>
        <v>0</v>
      </c>
      <c r="G8944" s="34" t="n">
        <f aca="false">SUMIFS('12.326ana'!$C:$C,'12.326ana'!$M:$M,redes!A8944)</f>
        <v>0</v>
      </c>
    </row>
    <row r="8945" customFormat="false" ht="14.4" hidden="true" customHeight="false" outlineLevel="0" collapsed="false">
      <c r="A8945" s="34" t="n">
        <v>4728996000107</v>
      </c>
      <c r="B8945" s="34" t="s">
        <v>18445</v>
      </c>
      <c r="C8945" s="34" t="s">
        <v>737</v>
      </c>
      <c r="E8945" s="30" t="s">
        <v>18446</v>
      </c>
      <c r="F8945" s="34" t="n">
        <f aca="false">IFERROR(VLOOKUP($A8945,'319'!$B:$H,7,0),0)</f>
        <v>0</v>
      </c>
      <c r="G8945" s="34" t="n">
        <f aca="false">SUMIFS('12.326ana'!$C:$C,'12.326ana'!$M:$M,redes!A8945)</f>
        <v>0</v>
      </c>
    </row>
    <row r="8946" customFormat="false" ht="14.4" hidden="true" customHeight="false" outlineLevel="0" collapsed="false">
      <c r="A8946" s="34" t="n">
        <v>4729988000185</v>
      </c>
      <c r="B8946" s="34" t="s">
        <v>18447</v>
      </c>
      <c r="C8946" s="34" t="s">
        <v>594</v>
      </c>
      <c r="E8946" s="30" t="s">
        <v>18448</v>
      </c>
      <c r="F8946" s="34" t="n">
        <f aca="false">IFERROR(VLOOKUP($A8946,'319'!$B:$H,7,0),0)</f>
        <v>0</v>
      </c>
      <c r="G8946" s="34" t="n">
        <f aca="false">SUMIFS('12.326ana'!$C:$C,'12.326ana'!$M:$M,redes!A8946)</f>
        <v>0</v>
      </c>
    </row>
    <row r="8947" customFormat="false" ht="14.4" hidden="true" customHeight="false" outlineLevel="0" collapsed="false">
      <c r="A8947" s="34" t="n">
        <v>4730749000145</v>
      </c>
      <c r="B8947" s="34" t="s">
        <v>18449</v>
      </c>
      <c r="C8947" s="34" t="s">
        <v>1591</v>
      </c>
      <c r="E8947" s="30" t="s">
        <v>4741</v>
      </c>
      <c r="F8947" s="34" t="n">
        <f aca="false">IFERROR(VLOOKUP($A8947,'319'!$B:$H,7,0),0)</f>
        <v>0</v>
      </c>
      <c r="G8947" s="34" t="n">
        <f aca="false">SUMIFS('12.326ana'!$C:$C,'12.326ana'!$M:$M,redes!A8947)</f>
        <v>0</v>
      </c>
    </row>
    <row r="8948" customFormat="false" ht="14.4" hidden="true" customHeight="false" outlineLevel="0" collapsed="false">
      <c r="A8948" s="34" t="n">
        <v>4731341000198</v>
      </c>
      <c r="B8948" s="34" t="s">
        <v>18450</v>
      </c>
      <c r="C8948" s="34" t="s">
        <v>89</v>
      </c>
      <c r="E8948" s="30" t="s">
        <v>18451</v>
      </c>
      <c r="F8948" s="34" t="n">
        <f aca="false">IFERROR(VLOOKUP($A8948,'319'!$B:$H,7,0),0)</f>
        <v>0</v>
      </c>
      <c r="G8948" s="34" t="n">
        <f aca="false">SUMIFS('12.326ana'!$C:$C,'12.326ana'!$M:$M,redes!A8948)</f>
        <v>0</v>
      </c>
    </row>
    <row r="8949" customFormat="false" ht="14.4" hidden="true" customHeight="false" outlineLevel="0" collapsed="false">
      <c r="A8949" s="34" t="n">
        <v>4731366000191</v>
      </c>
      <c r="B8949" s="34" t="s">
        <v>18452</v>
      </c>
      <c r="C8949" s="34" t="s">
        <v>89</v>
      </c>
      <c r="E8949" s="30" t="s">
        <v>18453</v>
      </c>
      <c r="F8949" s="34" t="n">
        <f aca="false">IFERROR(VLOOKUP($A8949,'319'!$B:$H,7,0),0)</f>
        <v>0</v>
      </c>
      <c r="G8949" s="34" t="n">
        <f aca="false">SUMIFS('12.326ana'!$C:$C,'12.326ana'!$M:$M,redes!A8949)</f>
        <v>0</v>
      </c>
    </row>
    <row r="8950" customFormat="false" ht="14.4" hidden="true" customHeight="false" outlineLevel="0" collapsed="false">
      <c r="A8950" s="34" t="n">
        <v>4732445000117</v>
      </c>
      <c r="B8950" s="34" t="s">
        <v>18454</v>
      </c>
      <c r="C8950" s="34" t="s">
        <v>107</v>
      </c>
      <c r="E8950" s="30" t="s">
        <v>18455</v>
      </c>
      <c r="F8950" s="34" t="n">
        <f aca="false">IFERROR(VLOOKUP($A8950,'319'!$B:$H,7,0),0)</f>
        <v>0</v>
      </c>
      <c r="G8950" s="34" t="n">
        <f aca="false">SUMIFS('12.326ana'!$C:$C,'12.326ana'!$M:$M,redes!A8950)</f>
        <v>0</v>
      </c>
    </row>
    <row r="8951" customFormat="false" ht="14.4" hidden="true" customHeight="false" outlineLevel="0" collapsed="false">
      <c r="A8951" s="34" t="n">
        <v>4732792000140</v>
      </c>
      <c r="B8951" s="34" t="s">
        <v>18456</v>
      </c>
      <c r="C8951" s="34" t="s">
        <v>107</v>
      </c>
      <c r="E8951" s="30" t="s">
        <v>18457</v>
      </c>
      <c r="F8951" s="34" t="n">
        <f aca="false">IFERROR(VLOOKUP($A8951,'319'!$B:$H,7,0),0)</f>
        <v>0</v>
      </c>
      <c r="G8951" s="34" t="n">
        <f aca="false">SUMIFS('12.326ana'!$C:$C,'12.326ana'!$M:$M,redes!A8951)</f>
        <v>0</v>
      </c>
    </row>
    <row r="8952" customFormat="false" ht="14.4" hidden="true" customHeight="false" outlineLevel="0" collapsed="false">
      <c r="A8952" s="34" t="n">
        <v>4732950000161</v>
      </c>
      <c r="B8952" s="34" t="s">
        <v>18458</v>
      </c>
      <c r="C8952" s="34" t="s">
        <v>781</v>
      </c>
      <c r="E8952" s="30" t="s">
        <v>18459</v>
      </c>
      <c r="F8952" s="34" t="n">
        <f aca="false">IFERROR(VLOOKUP($A8952,'319'!$B:$H,7,0),0)</f>
        <v>0</v>
      </c>
      <c r="G8952" s="34" t="n">
        <f aca="false">SUMIFS('12.326ana'!$C:$C,'12.326ana'!$M:$M,redes!A8952)</f>
        <v>0</v>
      </c>
    </row>
    <row r="8953" customFormat="false" ht="14.4" hidden="true" customHeight="false" outlineLevel="0" collapsed="false">
      <c r="A8953" s="34" t="n">
        <v>4733458000100</v>
      </c>
      <c r="B8953" s="34" t="s">
        <v>18460</v>
      </c>
      <c r="C8953" s="34" t="s">
        <v>342</v>
      </c>
      <c r="E8953" s="30" t="s">
        <v>18461</v>
      </c>
      <c r="F8953" s="34" t="n">
        <f aca="false">IFERROR(VLOOKUP($A8953,'319'!$B:$H,7,0),0)</f>
        <v>0</v>
      </c>
      <c r="G8953" s="34" t="n">
        <f aca="false">SUMIFS('12.326ana'!$C:$C,'12.326ana'!$M:$M,redes!A8953)</f>
        <v>0</v>
      </c>
    </row>
    <row r="8954" customFormat="false" ht="14.4" hidden="true" customHeight="false" outlineLevel="0" collapsed="false">
      <c r="A8954" s="34" t="n">
        <v>4733683000147</v>
      </c>
      <c r="B8954" s="34" t="s">
        <v>18462</v>
      </c>
      <c r="C8954" s="34" t="s">
        <v>89</v>
      </c>
      <c r="E8954" s="30" t="s">
        <v>7679</v>
      </c>
      <c r="F8954" s="34" t="n">
        <f aca="false">IFERROR(VLOOKUP($A8954,'319'!$B:$H,7,0),0)</f>
        <v>0</v>
      </c>
      <c r="G8954" s="34" t="n">
        <f aca="false">SUMIFS('12.326ana'!$C:$C,'12.326ana'!$M:$M,redes!A8954)</f>
        <v>0</v>
      </c>
    </row>
    <row r="8955" customFormat="false" ht="14.4" hidden="true" customHeight="false" outlineLevel="0" collapsed="false">
      <c r="A8955" s="34" t="n">
        <v>4733843000158</v>
      </c>
      <c r="B8955" s="34" t="s">
        <v>18463</v>
      </c>
      <c r="C8955" s="34" t="s">
        <v>77</v>
      </c>
      <c r="E8955" s="30" t="s">
        <v>18464</v>
      </c>
      <c r="F8955" s="34" t="n">
        <f aca="false">IFERROR(VLOOKUP($A8955,'319'!$B:$H,7,0),0)</f>
        <v>0</v>
      </c>
      <c r="G8955" s="34" t="n">
        <f aca="false">SUMIFS('12.326ana'!$C:$C,'12.326ana'!$M:$M,redes!A8955)</f>
        <v>0</v>
      </c>
    </row>
    <row r="8956" customFormat="false" ht="14.4" hidden="true" customHeight="false" outlineLevel="0" collapsed="false">
      <c r="A8956" s="34" t="n">
        <v>4734134000197</v>
      </c>
      <c r="B8956" s="34" t="s">
        <v>18465</v>
      </c>
      <c r="C8956" s="34" t="s">
        <v>1054</v>
      </c>
      <c r="E8956" s="30" t="s">
        <v>13293</v>
      </c>
      <c r="F8956" s="34" t="n">
        <f aca="false">IFERROR(VLOOKUP($A8956,'319'!$B:$H,7,0),0)</f>
        <v>0</v>
      </c>
      <c r="G8956" s="34" t="n">
        <f aca="false">SUMIFS('12.326ana'!$C:$C,'12.326ana'!$M:$M,redes!A8956)</f>
        <v>0</v>
      </c>
    </row>
    <row r="8957" customFormat="false" ht="14.4" hidden="true" customHeight="false" outlineLevel="0" collapsed="false">
      <c r="A8957" s="34" t="n">
        <v>4734899000127</v>
      </c>
      <c r="B8957" s="34" t="s">
        <v>18466</v>
      </c>
      <c r="C8957" s="34" t="s">
        <v>781</v>
      </c>
      <c r="E8957" s="30" t="s">
        <v>18467</v>
      </c>
      <c r="F8957" s="34" t="n">
        <f aca="false">IFERROR(VLOOKUP($A8957,'319'!$B:$H,7,0),0)</f>
        <v>0</v>
      </c>
      <c r="G8957" s="34" t="n">
        <f aca="false">SUMIFS('12.326ana'!$C:$C,'12.326ana'!$M:$M,redes!A8957)</f>
        <v>0</v>
      </c>
    </row>
    <row r="8958" customFormat="false" ht="14.4" hidden="true" customHeight="false" outlineLevel="0" collapsed="false">
      <c r="A8958" s="34" t="n">
        <v>4734972000160</v>
      </c>
      <c r="B8958" s="34" t="s">
        <v>18468</v>
      </c>
      <c r="C8958" s="34" t="s">
        <v>1591</v>
      </c>
      <c r="E8958" s="30" t="s">
        <v>18469</v>
      </c>
      <c r="F8958" s="34" t="n">
        <f aca="false">IFERROR(VLOOKUP($A8958,'319'!$B:$H,7,0),0)</f>
        <v>0</v>
      </c>
      <c r="G8958" s="34" t="n">
        <f aca="false">SUMIFS('12.326ana'!$C:$C,'12.326ana'!$M:$M,redes!A8958)</f>
        <v>0</v>
      </c>
    </row>
    <row r="8959" customFormat="false" ht="14.4" hidden="true" customHeight="false" outlineLevel="0" collapsed="false">
      <c r="A8959" s="34" t="n">
        <v>4735107000139</v>
      </c>
      <c r="B8959" s="34" t="s">
        <v>18470</v>
      </c>
      <c r="C8959" s="34" t="s">
        <v>781</v>
      </c>
      <c r="E8959" s="30" t="s">
        <v>18471</v>
      </c>
      <c r="F8959" s="34" t="n">
        <f aca="false">IFERROR(VLOOKUP($A8959,'319'!$B:$H,7,0),0)</f>
        <v>0</v>
      </c>
      <c r="G8959" s="34" t="n">
        <f aca="false">SUMIFS('12.326ana'!$C:$C,'12.326ana'!$M:$M,redes!A8959)</f>
        <v>0</v>
      </c>
    </row>
    <row r="8960" customFormat="false" ht="14.4" hidden="true" customHeight="false" outlineLevel="0" collapsed="false">
      <c r="A8960" s="34" t="n">
        <v>4736084000187</v>
      </c>
      <c r="B8960" s="34" t="s">
        <v>18472</v>
      </c>
      <c r="C8960" s="34" t="s">
        <v>562</v>
      </c>
      <c r="E8960" s="30" t="s">
        <v>18473</v>
      </c>
      <c r="F8960" s="34" t="n">
        <f aca="false">IFERROR(VLOOKUP($A8960,'319'!$B:$H,7,0),0)</f>
        <v>0</v>
      </c>
      <c r="G8960" s="34" t="n">
        <f aca="false">SUMIFS('12.326ana'!$C:$C,'12.326ana'!$M:$M,redes!A8960)</f>
        <v>0</v>
      </c>
    </row>
    <row r="8961" customFormat="false" ht="14.4" hidden="true" customHeight="false" outlineLevel="0" collapsed="false">
      <c r="A8961" s="34" t="n">
        <v>4738672000150</v>
      </c>
      <c r="B8961" s="34" t="s">
        <v>18474</v>
      </c>
      <c r="C8961" s="34" t="s">
        <v>213</v>
      </c>
      <c r="E8961" s="30" t="s">
        <v>18475</v>
      </c>
      <c r="F8961" s="34" t="n">
        <f aca="false">IFERROR(VLOOKUP($A8961,'319'!$B:$H,7,0),0)</f>
        <v>0</v>
      </c>
      <c r="G8961" s="34" t="n">
        <f aca="false">SUMIFS('12.326ana'!$C:$C,'12.326ana'!$M:$M,redes!A8961)</f>
        <v>0</v>
      </c>
    </row>
    <row r="8962" customFormat="false" ht="14.4" hidden="true" customHeight="false" outlineLevel="0" collapsed="false">
      <c r="A8962" s="34" t="n">
        <v>4738857000164</v>
      </c>
      <c r="B8962" s="34" t="s">
        <v>18476</v>
      </c>
      <c r="C8962" s="34" t="s">
        <v>77</v>
      </c>
      <c r="D8962" s="34" t="s">
        <v>18477</v>
      </c>
      <c r="E8962" s="30" t="s">
        <v>18478</v>
      </c>
      <c r="F8962" s="34" t="n">
        <f aca="false">IFERROR(VLOOKUP($A8962,'319'!$B:$H,7,0),0)</f>
        <v>2101.84</v>
      </c>
      <c r="G8962" s="34" t="n">
        <f aca="false">SUMIFS('12.326ana'!$C:$C,'12.326ana'!$M:$M,redes!A8962)</f>
        <v>0</v>
      </c>
    </row>
    <row r="8963" customFormat="false" ht="14.4" hidden="true" customHeight="false" outlineLevel="0" collapsed="false">
      <c r="A8963" s="34" t="n">
        <v>4738857000245</v>
      </c>
      <c r="B8963" s="34" t="s">
        <v>839</v>
      </c>
      <c r="C8963" s="34" t="s">
        <v>77</v>
      </c>
      <c r="D8963" s="34" t="s">
        <v>18477</v>
      </c>
      <c r="E8963" s="30" t="s">
        <v>18479</v>
      </c>
      <c r="F8963" s="34" t="n">
        <f aca="false">IFERROR(VLOOKUP($A8963,'319'!$B:$H,7,0),0)</f>
        <v>1893.72</v>
      </c>
      <c r="G8963" s="34" t="n">
        <f aca="false">SUMIFS('12.326ana'!$C:$C,'12.326ana'!$M:$M,redes!A8963)</f>
        <v>0</v>
      </c>
    </row>
    <row r="8964" customFormat="false" ht="14.4" hidden="true" customHeight="false" outlineLevel="0" collapsed="false">
      <c r="A8964" s="34" t="n">
        <v>4738857000326</v>
      </c>
      <c r="B8964" s="34" t="s">
        <v>839</v>
      </c>
      <c r="C8964" s="34" t="s">
        <v>77</v>
      </c>
      <c r="D8964" s="34" t="s">
        <v>18477</v>
      </c>
      <c r="E8964" s="30" t="s">
        <v>18479</v>
      </c>
      <c r="F8964" s="34" t="n">
        <f aca="false">IFERROR(VLOOKUP($A8964,'319'!$B:$H,7,0),0)</f>
        <v>418.6</v>
      </c>
      <c r="G8964" s="34" t="n">
        <f aca="false">SUMIFS('12.326ana'!$C:$C,'12.326ana'!$M:$M,redes!A8964)</f>
        <v>0</v>
      </c>
    </row>
    <row r="8965" customFormat="false" ht="14.4" hidden="true" customHeight="false" outlineLevel="0" collapsed="false">
      <c r="A8965" s="35" t="n">
        <v>4738857000407</v>
      </c>
      <c r="B8965" s="34" t="s">
        <v>839</v>
      </c>
      <c r="C8965" s="34" t="s">
        <v>77</v>
      </c>
      <c r="D8965" s="34" t="s">
        <v>18477</v>
      </c>
      <c r="E8965" s="30" t="s">
        <v>18479</v>
      </c>
      <c r="F8965" s="34" t="n">
        <f aca="false">IFERROR(VLOOKUP($A8965,'319'!$B:$H,7,0),0)</f>
        <v>749.62</v>
      </c>
      <c r="G8965" s="34" t="n">
        <f aca="false">SUMIFS('12.326ana'!$C:$C,'12.326ana'!$M:$M,redes!A8965)</f>
        <v>0</v>
      </c>
    </row>
    <row r="8966" customFormat="false" ht="14.4" hidden="true" customHeight="false" outlineLevel="0" collapsed="false">
      <c r="A8966" s="35" t="n">
        <v>4738857000598</v>
      </c>
      <c r="B8966" s="34" t="s">
        <v>839</v>
      </c>
      <c r="C8966" s="34" t="s">
        <v>77</v>
      </c>
      <c r="D8966" s="34" t="s">
        <v>18477</v>
      </c>
      <c r="E8966" s="30" t="s">
        <v>2910</v>
      </c>
      <c r="F8966" s="34" t="n">
        <f aca="false">IFERROR(VLOOKUP($A8966,'319'!$B:$H,7,0),0)</f>
        <v>459.85</v>
      </c>
      <c r="G8966" s="34" t="n">
        <f aca="false">SUMIFS('12.326ana'!$C:$C,'12.326ana'!$M:$M,redes!A8966)</f>
        <v>0</v>
      </c>
    </row>
    <row r="8967" customFormat="false" ht="14.4" hidden="true" customHeight="false" outlineLevel="0" collapsed="false">
      <c r="A8967" s="35" t="n">
        <v>4738857000750</v>
      </c>
      <c r="B8967" s="34" t="s">
        <v>839</v>
      </c>
      <c r="C8967" s="34" t="s">
        <v>117</v>
      </c>
      <c r="D8967" s="34" t="s">
        <v>18477</v>
      </c>
      <c r="E8967" s="30" t="s">
        <v>18479</v>
      </c>
      <c r="F8967" s="34" t="n">
        <f aca="false">IFERROR(VLOOKUP($A8967,'319'!$B:$H,7,0),0)</f>
        <v>575.2</v>
      </c>
      <c r="G8967" s="34" t="n">
        <f aca="false">SUMIFS('12.326ana'!$C:$C,'12.326ana'!$M:$M,redes!A8967)</f>
        <v>0</v>
      </c>
    </row>
    <row r="8968" customFormat="false" ht="14.4" hidden="true" customHeight="false" outlineLevel="0" collapsed="false">
      <c r="A8968" s="35" t="n">
        <v>4739343000123</v>
      </c>
      <c r="B8968" s="34" t="s">
        <v>18480</v>
      </c>
      <c r="C8968" s="34" t="s">
        <v>77</v>
      </c>
      <c r="E8968" s="30" t="s">
        <v>5808</v>
      </c>
      <c r="F8968" s="34" t="n">
        <f aca="false">IFERROR(VLOOKUP($A8968,'319'!$B:$H,7,0),0)</f>
        <v>0</v>
      </c>
      <c r="G8968" s="34" t="n">
        <f aca="false">SUMIFS('12.326ana'!$C:$C,'12.326ana'!$M:$M,redes!A8968)</f>
        <v>0</v>
      </c>
    </row>
    <row r="8969" customFormat="false" ht="14.4" hidden="true" customHeight="false" outlineLevel="0" collapsed="false">
      <c r="A8969" s="35" t="n">
        <v>4741969000174</v>
      </c>
      <c r="B8969" s="34" t="s">
        <v>18481</v>
      </c>
      <c r="C8969" s="34" t="s">
        <v>207</v>
      </c>
      <c r="E8969" s="30" t="s">
        <v>7264</v>
      </c>
      <c r="F8969" s="34" t="n">
        <f aca="false">IFERROR(VLOOKUP($A8969,'319'!$B:$H,7,0),0)</f>
        <v>0</v>
      </c>
      <c r="G8969" s="34" t="n">
        <f aca="false">SUMIFS('12.326ana'!$C:$C,'12.326ana'!$M:$M,redes!A8969)</f>
        <v>0</v>
      </c>
    </row>
    <row r="8970" customFormat="false" ht="14.4" hidden="true" customHeight="false" outlineLevel="0" collapsed="false">
      <c r="A8970" s="35" t="n">
        <v>4742831000190</v>
      </c>
      <c r="B8970" s="34" t="s">
        <v>18482</v>
      </c>
      <c r="C8970" s="34" t="s">
        <v>107</v>
      </c>
      <c r="E8970" s="30" t="s">
        <v>3674</v>
      </c>
      <c r="F8970" s="34" t="n">
        <f aca="false">IFERROR(VLOOKUP($A8970,'319'!$B:$H,7,0),0)</f>
        <v>0</v>
      </c>
      <c r="G8970" s="34" t="n">
        <f aca="false">SUMIFS('12.326ana'!$C:$C,'12.326ana'!$M:$M,redes!A8970)</f>
        <v>0</v>
      </c>
    </row>
    <row r="8971" customFormat="false" ht="14.4" hidden="true" customHeight="false" outlineLevel="0" collapsed="false">
      <c r="A8971" s="35" t="n">
        <v>4743758000170</v>
      </c>
      <c r="B8971" s="34" t="s">
        <v>18483</v>
      </c>
      <c r="C8971" s="34" t="s">
        <v>77</v>
      </c>
      <c r="E8971" s="30" t="s">
        <v>18484</v>
      </c>
      <c r="F8971" s="34" t="n">
        <f aca="false">IFERROR(VLOOKUP($A8971,'319'!$B:$H,7,0),0)</f>
        <v>0</v>
      </c>
      <c r="G8971" s="34" t="n">
        <f aca="false">SUMIFS('12.326ana'!$C:$C,'12.326ana'!$M:$M,redes!A8971)</f>
        <v>0</v>
      </c>
    </row>
    <row r="8972" customFormat="false" ht="14.4" hidden="true" customHeight="false" outlineLevel="0" collapsed="false">
      <c r="A8972" s="35" t="n">
        <v>4745484000159</v>
      </c>
      <c r="B8972" s="34" t="s">
        <v>18485</v>
      </c>
      <c r="C8972" s="34" t="s">
        <v>721</v>
      </c>
      <c r="E8972" s="30" t="s">
        <v>12569</v>
      </c>
      <c r="F8972" s="34" t="n">
        <f aca="false">IFERROR(VLOOKUP($A8972,'319'!$B:$H,7,0),0)</f>
        <v>0</v>
      </c>
      <c r="G8972" s="34" t="n">
        <f aca="false">SUMIFS('12.326ana'!$C:$C,'12.326ana'!$M:$M,redes!A8972)</f>
        <v>0</v>
      </c>
    </row>
    <row r="8973" customFormat="false" ht="14.4" hidden="true" customHeight="false" outlineLevel="0" collapsed="false">
      <c r="A8973" s="35" t="n">
        <v>4747823000136</v>
      </c>
      <c r="B8973" s="34" t="s">
        <v>18486</v>
      </c>
      <c r="C8973" s="34" t="s">
        <v>448</v>
      </c>
      <c r="E8973" s="30" t="s">
        <v>18487</v>
      </c>
      <c r="F8973" s="34" t="n">
        <f aca="false">IFERROR(VLOOKUP($A8973,'319'!$B:$H,7,0),0)</f>
        <v>0</v>
      </c>
      <c r="G8973" s="34" t="n">
        <f aca="false">SUMIFS('12.326ana'!$C:$C,'12.326ana'!$M:$M,redes!A8973)</f>
        <v>0</v>
      </c>
    </row>
    <row r="8974" customFormat="false" ht="14.4" hidden="true" customHeight="false" outlineLevel="0" collapsed="false">
      <c r="A8974" s="35" t="n">
        <v>4747851000153</v>
      </c>
      <c r="B8974" s="34" t="s">
        <v>18488</v>
      </c>
      <c r="C8974" s="34" t="s">
        <v>309</v>
      </c>
      <c r="E8974" s="30" t="s">
        <v>18489</v>
      </c>
      <c r="F8974" s="34" t="n">
        <f aca="false">IFERROR(VLOOKUP($A8974,'319'!$B:$H,7,0),0)</f>
        <v>0</v>
      </c>
      <c r="G8974" s="34" t="n">
        <f aca="false">SUMIFS('12.326ana'!$C:$C,'12.326ana'!$M:$M,redes!A8974)</f>
        <v>0</v>
      </c>
    </row>
    <row r="8975" customFormat="false" ht="14.4" hidden="true" customHeight="false" outlineLevel="0" collapsed="false">
      <c r="A8975" s="35" t="n">
        <v>4749603000222</v>
      </c>
      <c r="B8975" s="34" t="s">
        <v>18490</v>
      </c>
      <c r="C8975" s="34" t="s">
        <v>737</v>
      </c>
      <c r="E8975" s="30" t="s">
        <v>18490</v>
      </c>
      <c r="F8975" s="34" t="n">
        <f aca="false">IFERROR(VLOOKUP($A8975,'319'!$B:$H,7,0),0)</f>
        <v>0</v>
      </c>
      <c r="G8975" s="34" t="n">
        <f aca="false">SUMIFS('12.326ana'!$C:$C,'12.326ana'!$M:$M,redes!A8975)</f>
        <v>0</v>
      </c>
    </row>
    <row r="8976" customFormat="false" ht="14.4" hidden="true" customHeight="false" outlineLevel="0" collapsed="false">
      <c r="A8976" s="35" t="n">
        <v>4749603000303</v>
      </c>
      <c r="B8976" s="34" t="s">
        <v>18490</v>
      </c>
      <c r="C8976" s="34" t="s">
        <v>463</v>
      </c>
      <c r="E8976" s="30" t="s">
        <v>18491</v>
      </c>
      <c r="F8976" s="34" t="n">
        <f aca="false">IFERROR(VLOOKUP($A8976,'319'!$B:$H,7,0),0)</f>
        <v>0</v>
      </c>
      <c r="G8976" s="34" t="n">
        <f aca="false">SUMIFS('12.326ana'!$C:$C,'12.326ana'!$M:$M,redes!A8976)</f>
        <v>0</v>
      </c>
    </row>
    <row r="8977" customFormat="false" ht="14.4" hidden="true" customHeight="false" outlineLevel="0" collapsed="false">
      <c r="A8977" s="35" t="n">
        <v>4749603000494</v>
      </c>
      <c r="B8977" s="34" t="s">
        <v>18492</v>
      </c>
      <c r="C8977" s="34" t="s">
        <v>77</v>
      </c>
      <c r="E8977" s="30" t="s">
        <v>18492</v>
      </c>
      <c r="F8977" s="34" t="n">
        <f aca="false">IFERROR(VLOOKUP($A8977,'319'!$B:$H,7,0),0)</f>
        <v>0</v>
      </c>
      <c r="G8977" s="34" t="n">
        <f aca="false">SUMIFS('12.326ana'!$C:$C,'12.326ana'!$M:$M,redes!A8977)</f>
        <v>0</v>
      </c>
    </row>
    <row r="8978" customFormat="false" ht="14.4" hidden="true" customHeight="false" outlineLevel="0" collapsed="false">
      <c r="A8978" s="35" t="n">
        <v>4749603000575</v>
      </c>
      <c r="B8978" s="34" t="s">
        <v>18492</v>
      </c>
      <c r="C8978" s="34" t="s">
        <v>192</v>
      </c>
      <c r="E8978" s="30" t="s">
        <v>18492</v>
      </c>
      <c r="F8978" s="34" t="n">
        <f aca="false">IFERROR(VLOOKUP($A8978,'319'!$B:$H,7,0),0)</f>
        <v>0</v>
      </c>
      <c r="G8978" s="34" t="n">
        <f aca="false">SUMIFS('12.326ana'!$C:$C,'12.326ana'!$M:$M,redes!A8978)</f>
        <v>0</v>
      </c>
    </row>
    <row r="8979" customFormat="false" ht="14.4" hidden="true" customHeight="false" outlineLevel="0" collapsed="false">
      <c r="A8979" s="35" t="n">
        <v>4750609000139</v>
      </c>
      <c r="B8979" s="34" t="s">
        <v>18493</v>
      </c>
      <c r="C8979" s="34" t="s">
        <v>129</v>
      </c>
      <c r="E8979" s="30" t="s">
        <v>18494</v>
      </c>
      <c r="F8979" s="34" t="n">
        <f aca="false">IFERROR(VLOOKUP($A8979,'319'!$B:$H,7,0),0)</f>
        <v>0</v>
      </c>
      <c r="G8979" s="34" t="n">
        <f aca="false">SUMIFS('12.326ana'!$C:$C,'12.326ana'!$M:$M,redes!A8979)</f>
        <v>0</v>
      </c>
    </row>
    <row r="8980" customFormat="false" ht="14.4" hidden="true" customHeight="false" outlineLevel="0" collapsed="false">
      <c r="A8980" s="35" t="n">
        <v>4751139000128</v>
      </c>
      <c r="B8980" s="34" t="s">
        <v>18495</v>
      </c>
      <c r="C8980" s="34" t="s">
        <v>2998</v>
      </c>
      <c r="E8980" s="30" t="s">
        <v>18496</v>
      </c>
      <c r="F8980" s="34" t="n">
        <f aca="false">IFERROR(VLOOKUP($A8980,'319'!$B:$H,7,0),0)</f>
        <v>0</v>
      </c>
      <c r="G8980" s="34" t="n">
        <f aca="false">SUMIFS('12.326ana'!$C:$C,'12.326ana'!$M:$M,redes!A8980)</f>
        <v>0</v>
      </c>
    </row>
    <row r="8981" customFormat="false" ht="14.4" hidden="true" customHeight="false" outlineLevel="0" collapsed="false">
      <c r="A8981" s="35" t="n">
        <v>4753791000181</v>
      </c>
      <c r="B8981" s="34" t="s">
        <v>18497</v>
      </c>
      <c r="C8981" s="34" t="s">
        <v>77</v>
      </c>
      <c r="E8981" s="30" t="s">
        <v>18498</v>
      </c>
      <c r="F8981" s="34" t="n">
        <f aca="false">IFERROR(VLOOKUP($A8981,'319'!$B:$H,7,0),0)</f>
        <v>0</v>
      </c>
      <c r="G8981" s="34" t="n">
        <f aca="false">SUMIFS('12.326ana'!$C:$C,'12.326ana'!$M:$M,redes!A8981)</f>
        <v>0</v>
      </c>
    </row>
    <row r="8982" customFormat="false" ht="14.4" hidden="true" customHeight="false" outlineLevel="0" collapsed="false">
      <c r="A8982" s="35" t="n">
        <v>4753866000124</v>
      </c>
      <c r="B8982" s="34" t="s">
        <v>18499</v>
      </c>
      <c r="C8982" s="34" t="s">
        <v>77</v>
      </c>
      <c r="E8982" s="30" t="s">
        <v>18500</v>
      </c>
      <c r="F8982" s="34" t="n">
        <f aca="false">IFERROR(VLOOKUP($A8982,'319'!$B:$H,7,0),0)</f>
        <v>0</v>
      </c>
      <c r="G8982" s="34" t="n">
        <f aca="false">SUMIFS('12.326ana'!$C:$C,'12.326ana'!$M:$M,redes!A8982)</f>
        <v>0</v>
      </c>
    </row>
    <row r="8983" customFormat="false" ht="14.4" hidden="false" customHeight="false" outlineLevel="0" collapsed="false">
      <c r="A8983" s="35" t="n">
        <v>4757459000357</v>
      </c>
      <c r="B8983" s="34" t="s">
        <v>2794</v>
      </c>
      <c r="C8983" s="34" t="s">
        <v>935</v>
      </c>
      <c r="D8983" s="34" t="s">
        <v>18</v>
      </c>
      <c r="E8983" s="30" t="s">
        <v>2795</v>
      </c>
      <c r="F8983" s="34" t="n">
        <f aca="false">IFERROR(VLOOKUP($A8983,'319'!$B:$H,7,0),0)</f>
        <v>0</v>
      </c>
      <c r="G8983" s="34" t="n">
        <f aca="false">SUMIFS('12.326ana'!$C:$C,'12.326ana'!$M:$M,redes!A8983)</f>
        <v>0</v>
      </c>
    </row>
    <row r="8984" customFormat="false" ht="14.4" hidden="false" customHeight="false" outlineLevel="0" collapsed="false">
      <c r="A8984" s="35" t="n">
        <v>4757459000438</v>
      </c>
      <c r="B8984" s="34" t="s">
        <v>2796</v>
      </c>
      <c r="C8984" s="34" t="s">
        <v>107</v>
      </c>
      <c r="D8984" s="34" t="s">
        <v>18</v>
      </c>
      <c r="E8984" s="30" t="s">
        <v>2797</v>
      </c>
      <c r="F8984" s="34" t="n">
        <f aca="false">IFERROR(VLOOKUP($A8984,'319'!$B:$H,7,0),0)</f>
        <v>-242.94</v>
      </c>
      <c r="G8984" s="34" t="n">
        <f aca="false">SUMIFS('12.326ana'!$C:$C,'12.326ana'!$M:$M,redes!A8984)</f>
        <v>0</v>
      </c>
    </row>
    <row r="8985" customFormat="false" ht="14.4" hidden="false" customHeight="false" outlineLevel="0" collapsed="false">
      <c r="A8985" s="35" t="n">
        <v>4757459000519</v>
      </c>
      <c r="B8985" s="34" t="s">
        <v>2798</v>
      </c>
      <c r="C8985" s="34" t="s">
        <v>107</v>
      </c>
      <c r="D8985" s="34" t="s">
        <v>18</v>
      </c>
      <c r="E8985" s="30" t="s">
        <v>2799</v>
      </c>
      <c r="F8985" s="34" t="n">
        <f aca="false">IFERROR(VLOOKUP($A8985,'319'!$B:$H,7,0),0)</f>
        <v>1097650.09</v>
      </c>
      <c r="G8985" s="34" t="n">
        <f aca="false">SUMIFS('12.326ana'!$C:$C,'12.326ana'!$M:$M,redes!A8985)</f>
        <v>178.56</v>
      </c>
    </row>
    <row r="8986" customFormat="false" ht="14.4" hidden="false" customHeight="false" outlineLevel="0" collapsed="false">
      <c r="A8986" s="35" t="n">
        <v>4757459000608</v>
      </c>
      <c r="B8986" s="34" t="s">
        <v>18501</v>
      </c>
      <c r="C8986" s="34" t="s">
        <v>77</v>
      </c>
      <c r="D8986" s="34" t="s">
        <v>18</v>
      </c>
      <c r="E8986" s="30" t="s">
        <v>18502</v>
      </c>
      <c r="F8986" s="34" t="n">
        <f aca="false">IFERROR(VLOOKUP($A8986,'319'!$B:$H,7,0),0)</f>
        <v>0</v>
      </c>
      <c r="G8986" s="34" t="n">
        <f aca="false">SUMIFS('12.326ana'!$C:$C,'12.326ana'!$M:$M,redes!A8986)</f>
        <v>0</v>
      </c>
    </row>
    <row r="8987" customFormat="false" ht="14.4" hidden="false" customHeight="false" outlineLevel="0" collapsed="false">
      <c r="A8987" s="35" t="n">
        <v>4757459000780</v>
      </c>
      <c r="B8987" s="34" t="s">
        <v>2800</v>
      </c>
      <c r="C8987" s="34" t="s">
        <v>107</v>
      </c>
      <c r="D8987" s="34" t="s">
        <v>18</v>
      </c>
      <c r="E8987" s="30" t="s">
        <v>2801</v>
      </c>
      <c r="F8987" s="34" t="n">
        <f aca="false">IFERROR(VLOOKUP($A8987,'319'!$B:$H,7,0),0)</f>
        <v>0</v>
      </c>
      <c r="G8987" s="34" t="n">
        <f aca="false">SUMIFS('12.326ana'!$C:$C,'12.326ana'!$M:$M,redes!A8987)</f>
        <v>0</v>
      </c>
    </row>
    <row r="8988" customFormat="false" ht="14.4" hidden="false" customHeight="false" outlineLevel="0" collapsed="false">
      <c r="A8988" s="35" t="n">
        <v>4757459000861</v>
      </c>
      <c r="B8988" s="34" t="s">
        <v>18501</v>
      </c>
      <c r="C8988" s="34" t="s">
        <v>89</v>
      </c>
      <c r="D8988" s="34" t="s">
        <v>18</v>
      </c>
      <c r="E8988" s="30" t="s">
        <v>18503</v>
      </c>
      <c r="F8988" s="34" t="n">
        <f aca="false">IFERROR(VLOOKUP($A8988,'319'!$B:$H,7,0),0)</f>
        <v>0</v>
      </c>
      <c r="G8988" s="34" t="n">
        <f aca="false">SUMIFS('12.326ana'!$C:$C,'12.326ana'!$M:$M,redes!A8988)</f>
        <v>0</v>
      </c>
    </row>
    <row r="8989" customFormat="false" ht="14.4" hidden="false" customHeight="false" outlineLevel="0" collapsed="false">
      <c r="A8989" s="35" t="n">
        <v>4757459000942</v>
      </c>
      <c r="B8989" s="34" t="s">
        <v>2802</v>
      </c>
      <c r="C8989" s="34" t="s">
        <v>107</v>
      </c>
      <c r="D8989" s="34" t="s">
        <v>18</v>
      </c>
      <c r="E8989" s="30" t="s">
        <v>2803</v>
      </c>
      <c r="F8989" s="34" t="n">
        <f aca="false">IFERROR(VLOOKUP($A8989,'319'!$B:$H,7,0),0)</f>
        <v>0</v>
      </c>
      <c r="G8989" s="34" t="n">
        <f aca="false">SUMIFS('12.326ana'!$C:$C,'12.326ana'!$M:$M,redes!A8989)</f>
        <v>0</v>
      </c>
    </row>
    <row r="8990" customFormat="false" ht="14.4" hidden="false" customHeight="false" outlineLevel="0" collapsed="false">
      <c r="A8990" s="35" t="n">
        <v>4757459001086</v>
      </c>
      <c r="B8990" s="34" t="s">
        <v>18501</v>
      </c>
      <c r="C8990" s="34" t="s">
        <v>107</v>
      </c>
      <c r="D8990" s="34" t="s">
        <v>18</v>
      </c>
      <c r="E8990" s="30" t="s">
        <v>18504</v>
      </c>
      <c r="F8990" s="34" t="n">
        <f aca="false">IFERROR(VLOOKUP($A8990,'319'!$B:$H,7,0),0)</f>
        <v>0</v>
      </c>
      <c r="G8990" s="34" t="n">
        <f aca="false">SUMIFS('12.326ana'!$C:$C,'12.326ana'!$M:$M,redes!A8990)</f>
        <v>0</v>
      </c>
    </row>
    <row r="8991" customFormat="false" ht="14.4" hidden="false" customHeight="false" outlineLevel="0" collapsed="false">
      <c r="A8991" s="35" t="n">
        <v>4757459001248</v>
      </c>
      <c r="B8991" s="34" t="s">
        <v>2804</v>
      </c>
      <c r="C8991" s="34" t="s">
        <v>604</v>
      </c>
      <c r="D8991" s="34" t="s">
        <v>18</v>
      </c>
      <c r="E8991" s="30" t="s">
        <v>2805</v>
      </c>
      <c r="F8991" s="34" t="n">
        <f aca="false">IFERROR(VLOOKUP($A8991,'319'!$B:$H,7,0),0)</f>
        <v>-82.32</v>
      </c>
      <c r="G8991" s="34" t="n">
        <f aca="false">SUMIFS('12.326ana'!$C:$C,'12.326ana'!$M:$M,redes!A8991)</f>
        <v>0</v>
      </c>
    </row>
    <row r="8992" customFormat="false" ht="14.4" hidden="false" customHeight="false" outlineLevel="0" collapsed="false">
      <c r="A8992" s="35" t="n">
        <v>4757459001329</v>
      </c>
      <c r="B8992" s="34" t="s">
        <v>18501</v>
      </c>
      <c r="C8992" s="34" t="s">
        <v>107</v>
      </c>
      <c r="D8992" s="34" t="s">
        <v>18</v>
      </c>
      <c r="E8992" s="30" t="s">
        <v>18505</v>
      </c>
      <c r="F8992" s="34" t="n">
        <f aca="false">IFERROR(VLOOKUP($A8992,'319'!$B:$H,7,0),0)</f>
        <v>0</v>
      </c>
      <c r="G8992" s="34" t="n">
        <f aca="false">SUMIFS('12.326ana'!$C:$C,'12.326ana'!$M:$M,redes!A8992)</f>
        <v>0</v>
      </c>
    </row>
    <row r="8993" customFormat="false" ht="14.4" hidden="false" customHeight="false" outlineLevel="0" collapsed="false">
      <c r="A8993" s="35" t="n">
        <v>4757459001400</v>
      </c>
      <c r="B8993" s="34" t="s">
        <v>2806</v>
      </c>
      <c r="C8993" s="34" t="s">
        <v>107</v>
      </c>
      <c r="D8993" s="34" t="s">
        <v>18</v>
      </c>
      <c r="E8993" s="30" t="s">
        <v>2807</v>
      </c>
      <c r="F8993" s="34" t="n">
        <f aca="false">IFERROR(VLOOKUP($A8993,'319'!$B:$H,7,0),0)</f>
        <v>-242.94</v>
      </c>
      <c r="G8993" s="34" t="n">
        <f aca="false">SUMIFS('12.326ana'!$C:$C,'12.326ana'!$M:$M,redes!A8993)</f>
        <v>0</v>
      </c>
    </row>
    <row r="8994" customFormat="false" ht="14.4" hidden="false" customHeight="false" outlineLevel="0" collapsed="false">
      <c r="A8994" s="35" t="n">
        <v>4757459001590</v>
      </c>
      <c r="B8994" s="34" t="s">
        <v>18501</v>
      </c>
      <c r="C8994" s="34" t="s">
        <v>107</v>
      </c>
      <c r="D8994" s="34" t="s">
        <v>18</v>
      </c>
      <c r="E8994" s="30" t="s">
        <v>18503</v>
      </c>
      <c r="F8994" s="34" t="n">
        <f aca="false">IFERROR(VLOOKUP($A8994,'319'!$B:$H,7,0),0)</f>
        <v>0</v>
      </c>
      <c r="G8994" s="34" t="n">
        <f aca="false">SUMIFS('12.326ana'!$C:$C,'12.326ana'!$M:$M,redes!A8994)</f>
        <v>0</v>
      </c>
    </row>
    <row r="8995" customFormat="false" ht="14.4" hidden="false" customHeight="false" outlineLevel="0" collapsed="false">
      <c r="A8995" s="35" t="n">
        <v>4757459001671</v>
      </c>
      <c r="B8995" s="34" t="s">
        <v>2808</v>
      </c>
      <c r="C8995" s="34" t="s">
        <v>604</v>
      </c>
      <c r="D8995" s="34" t="s">
        <v>18</v>
      </c>
      <c r="E8995" s="30" t="s">
        <v>2809</v>
      </c>
      <c r="F8995" s="34" t="n">
        <f aca="false">IFERROR(VLOOKUP($A8995,'319'!$B:$H,7,0),0)</f>
        <v>0</v>
      </c>
      <c r="G8995" s="34" t="n">
        <f aca="false">SUMIFS('12.326ana'!$C:$C,'12.326ana'!$M:$M,redes!A8995)</f>
        <v>0</v>
      </c>
    </row>
    <row r="8996" customFormat="false" ht="14.4" hidden="false" customHeight="false" outlineLevel="0" collapsed="false">
      <c r="A8996" s="35" t="n">
        <v>4757459001752</v>
      </c>
      <c r="B8996" s="34" t="s">
        <v>2810</v>
      </c>
      <c r="C8996" s="34" t="s">
        <v>979</v>
      </c>
      <c r="D8996" s="34" t="s">
        <v>18</v>
      </c>
      <c r="E8996" s="30" t="s">
        <v>2811</v>
      </c>
      <c r="F8996" s="34" t="n">
        <f aca="false">IFERROR(VLOOKUP($A8996,'319'!$B:$H,7,0),0)</f>
        <v>0</v>
      </c>
      <c r="G8996" s="34" t="n">
        <f aca="false">SUMIFS('12.326ana'!$C:$C,'12.326ana'!$M:$M,redes!A8996)</f>
        <v>0</v>
      </c>
    </row>
    <row r="8997" customFormat="false" ht="14.4" hidden="false" customHeight="false" outlineLevel="0" collapsed="false">
      <c r="A8997" s="35" t="n">
        <v>4757459001833</v>
      </c>
      <c r="B8997" s="34" t="s">
        <v>18501</v>
      </c>
      <c r="C8997" s="34" t="s">
        <v>1591</v>
      </c>
      <c r="D8997" s="34" t="s">
        <v>18</v>
      </c>
      <c r="E8997" s="30" t="s">
        <v>18506</v>
      </c>
      <c r="F8997" s="34" t="n">
        <f aca="false">IFERROR(VLOOKUP($A8997,'319'!$B:$H,7,0),0)</f>
        <v>0</v>
      </c>
      <c r="G8997" s="34" t="n">
        <f aca="false">SUMIFS('12.326ana'!$C:$C,'12.326ana'!$M:$M,redes!A8997)</f>
        <v>0</v>
      </c>
    </row>
    <row r="8998" customFormat="false" ht="14.4" hidden="false" customHeight="false" outlineLevel="0" collapsed="false">
      <c r="A8998" s="35" t="n">
        <v>4757459001914</v>
      </c>
      <c r="B8998" s="34" t="s">
        <v>2812</v>
      </c>
      <c r="C8998" s="34" t="s">
        <v>107</v>
      </c>
      <c r="D8998" s="34" t="s">
        <v>18</v>
      </c>
      <c r="E8998" s="30" t="s">
        <v>2813</v>
      </c>
      <c r="F8998" s="34" t="n">
        <f aca="false">IFERROR(VLOOKUP($A8998,'319'!$B:$H,7,0),0)</f>
        <v>-242.94</v>
      </c>
      <c r="G8998" s="34" t="n">
        <f aca="false">SUMIFS('12.326ana'!$C:$C,'12.326ana'!$M:$M,redes!A8998)</f>
        <v>0</v>
      </c>
    </row>
    <row r="8999" customFormat="false" ht="14.4" hidden="false" customHeight="false" outlineLevel="0" collapsed="false">
      <c r="A8999" s="35" t="n">
        <v>4757459002058</v>
      </c>
      <c r="B8999" s="34" t="s">
        <v>2814</v>
      </c>
      <c r="C8999" s="34" t="s">
        <v>594</v>
      </c>
      <c r="D8999" s="34" t="s">
        <v>18</v>
      </c>
      <c r="E8999" s="30" t="s">
        <v>2815</v>
      </c>
      <c r="F8999" s="34" t="n">
        <f aca="false">IFERROR(VLOOKUP($A8999,'319'!$B:$H,7,0),0)</f>
        <v>0</v>
      </c>
      <c r="G8999" s="34" t="n">
        <f aca="false">SUMIFS('12.326ana'!$C:$C,'12.326ana'!$M:$M,redes!A8999)</f>
        <v>0</v>
      </c>
    </row>
    <row r="9000" customFormat="false" ht="14.4" hidden="false" customHeight="false" outlineLevel="0" collapsed="false">
      <c r="A9000" s="34" t="n">
        <v>4757459002139</v>
      </c>
      <c r="B9000" s="34" t="s">
        <v>18507</v>
      </c>
      <c r="C9000" s="34" t="s">
        <v>107</v>
      </c>
      <c r="D9000" s="34" t="s">
        <v>18</v>
      </c>
      <c r="E9000" s="30" t="s">
        <v>18508</v>
      </c>
      <c r="F9000" s="34" t="n">
        <f aca="false">IFERROR(VLOOKUP($A9000,'319'!$B:$H,7,0),0)</f>
        <v>0</v>
      </c>
      <c r="G9000" s="34" t="n">
        <f aca="false">SUMIFS('12.326ana'!$C:$C,'12.326ana'!$M:$M,redes!A9000)</f>
        <v>0</v>
      </c>
    </row>
    <row r="9001" customFormat="false" ht="14.4" hidden="false" customHeight="false" outlineLevel="0" collapsed="false">
      <c r="A9001" s="34" t="n">
        <v>4757459002210</v>
      </c>
      <c r="B9001" s="34" t="s">
        <v>18509</v>
      </c>
      <c r="C9001" s="34" t="s">
        <v>107</v>
      </c>
      <c r="D9001" s="34" t="s">
        <v>18</v>
      </c>
      <c r="E9001" s="30" t="s">
        <v>18510</v>
      </c>
      <c r="F9001" s="34" t="n">
        <f aca="false">IFERROR(VLOOKUP($A9001,'319'!$B:$H,7,0),0)</f>
        <v>0</v>
      </c>
      <c r="G9001" s="34" t="n">
        <f aca="false">SUMIFS('12.326ana'!$C:$C,'12.326ana'!$M:$M,redes!A9001)</f>
        <v>0</v>
      </c>
    </row>
    <row r="9002" customFormat="false" ht="14.4" hidden="false" customHeight="false" outlineLevel="0" collapsed="false">
      <c r="A9002" s="34" t="n">
        <v>4757459002309</v>
      </c>
      <c r="B9002" s="34" t="s">
        <v>18501</v>
      </c>
      <c r="C9002" s="34" t="s">
        <v>107</v>
      </c>
      <c r="D9002" s="34" t="s">
        <v>18</v>
      </c>
      <c r="E9002" s="30" t="s">
        <v>18511</v>
      </c>
      <c r="F9002" s="34" t="n">
        <f aca="false">IFERROR(VLOOKUP($A9002,'319'!$B:$H,7,0),0)</f>
        <v>0</v>
      </c>
      <c r="G9002" s="34" t="n">
        <f aca="false">SUMIFS('12.326ana'!$C:$C,'12.326ana'!$M:$M,redes!A9002)</f>
        <v>0</v>
      </c>
    </row>
    <row r="9003" customFormat="false" ht="14.4" hidden="false" customHeight="false" outlineLevel="0" collapsed="false">
      <c r="A9003" s="34" t="n">
        <v>4757459002481</v>
      </c>
      <c r="B9003" s="34" t="s">
        <v>2816</v>
      </c>
      <c r="C9003" s="34" t="s">
        <v>342</v>
      </c>
      <c r="D9003" s="34" t="s">
        <v>18</v>
      </c>
      <c r="E9003" s="30" t="s">
        <v>2817</v>
      </c>
      <c r="F9003" s="34" t="n">
        <f aca="false">IFERROR(VLOOKUP($A9003,'319'!$B:$H,7,0),0)</f>
        <v>0</v>
      </c>
      <c r="G9003" s="34" t="n">
        <f aca="false">SUMIFS('12.326ana'!$C:$C,'12.326ana'!$M:$M,redes!A9003)</f>
        <v>0</v>
      </c>
    </row>
    <row r="9004" customFormat="false" ht="14.4" hidden="false" customHeight="false" outlineLevel="0" collapsed="false">
      <c r="A9004" s="34" t="n">
        <v>4757459002562</v>
      </c>
      <c r="B9004" s="34" t="s">
        <v>2818</v>
      </c>
      <c r="C9004" s="34" t="s">
        <v>117</v>
      </c>
      <c r="D9004" s="34" t="s">
        <v>18</v>
      </c>
      <c r="E9004" s="30" t="s">
        <v>2819</v>
      </c>
      <c r="F9004" s="34" t="n">
        <f aca="false">IFERROR(VLOOKUP($A9004,'319'!$B:$H,7,0),0)</f>
        <v>0</v>
      </c>
      <c r="G9004" s="34" t="n">
        <f aca="false">SUMIFS('12.326ana'!$C:$C,'12.326ana'!$M:$M,redes!A9004)</f>
        <v>0</v>
      </c>
    </row>
    <row r="9005" customFormat="false" ht="14.4" hidden="false" customHeight="false" outlineLevel="0" collapsed="false">
      <c r="A9005" s="34" t="n">
        <v>4757459002643</v>
      </c>
      <c r="B9005" s="34" t="s">
        <v>2820</v>
      </c>
      <c r="C9005" s="34" t="s">
        <v>103</v>
      </c>
      <c r="D9005" s="34" t="s">
        <v>18</v>
      </c>
      <c r="E9005" s="30" t="s">
        <v>2821</v>
      </c>
      <c r="F9005" s="34" t="n">
        <f aca="false">IFERROR(VLOOKUP($A9005,'319'!$B:$H,7,0),0)</f>
        <v>0</v>
      </c>
      <c r="G9005" s="34" t="n">
        <f aca="false">SUMIFS('12.326ana'!$C:$C,'12.326ana'!$M:$M,redes!A9005)</f>
        <v>0</v>
      </c>
    </row>
    <row r="9006" customFormat="false" ht="14.4" hidden="false" customHeight="false" outlineLevel="0" collapsed="false">
      <c r="A9006" s="34" t="n">
        <v>4757459002724</v>
      </c>
      <c r="B9006" s="34" t="s">
        <v>2822</v>
      </c>
      <c r="C9006" s="34" t="s">
        <v>103</v>
      </c>
      <c r="D9006" s="34" t="s">
        <v>18</v>
      </c>
      <c r="E9006" s="30" t="s">
        <v>2823</v>
      </c>
      <c r="F9006" s="34" t="n">
        <f aca="false">IFERROR(VLOOKUP($A9006,'319'!$B:$H,7,0),0)</f>
        <v>0</v>
      </c>
      <c r="G9006" s="34" t="n">
        <f aca="false">SUMIFS('12.326ana'!$C:$C,'12.326ana'!$M:$M,redes!A9006)</f>
        <v>0</v>
      </c>
    </row>
    <row r="9007" customFormat="false" ht="14.4" hidden="false" customHeight="false" outlineLevel="0" collapsed="false">
      <c r="A9007" s="34" t="n">
        <v>4757459002805</v>
      </c>
      <c r="B9007" s="34" t="s">
        <v>2824</v>
      </c>
      <c r="C9007" s="34" t="s">
        <v>604</v>
      </c>
      <c r="D9007" s="34" t="s">
        <v>18</v>
      </c>
      <c r="E9007" s="30" t="s">
        <v>2825</v>
      </c>
      <c r="F9007" s="34" t="n">
        <f aca="false">IFERROR(VLOOKUP($A9007,'319'!$B:$H,7,0),0)</f>
        <v>-82.32</v>
      </c>
      <c r="G9007" s="34" t="n">
        <f aca="false">SUMIFS('12.326ana'!$C:$C,'12.326ana'!$M:$M,redes!A9007)</f>
        <v>0</v>
      </c>
    </row>
    <row r="9008" customFormat="false" ht="14.4" hidden="false" customHeight="false" outlineLevel="0" collapsed="false">
      <c r="A9008" s="34" t="n">
        <v>4757459002996</v>
      </c>
      <c r="B9008" s="34" t="s">
        <v>2826</v>
      </c>
      <c r="C9008" s="34" t="s">
        <v>631</v>
      </c>
      <c r="D9008" s="34" t="s">
        <v>18</v>
      </c>
      <c r="E9008" s="30" t="s">
        <v>2827</v>
      </c>
      <c r="F9008" s="34" t="n">
        <f aca="false">IFERROR(VLOOKUP($A9008,'319'!$B:$H,7,0),0)</f>
        <v>-266.04</v>
      </c>
      <c r="G9008" s="34" t="n">
        <f aca="false">SUMIFS('12.326ana'!$C:$C,'12.326ana'!$M:$M,redes!A9008)</f>
        <v>0</v>
      </c>
    </row>
    <row r="9009" customFormat="false" ht="14.4" hidden="false" customHeight="false" outlineLevel="0" collapsed="false">
      <c r="A9009" s="34" t="n">
        <v>4757459003020</v>
      </c>
      <c r="B9009" s="34" t="s">
        <v>18501</v>
      </c>
      <c r="C9009" s="34" t="s">
        <v>107</v>
      </c>
      <c r="D9009" s="34" t="s">
        <v>18</v>
      </c>
      <c r="E9009" s="30" t="s">
        <v>18512</v>
      </c>
      <c r="F9009" s="34" t="n">
        <f aca="false">IFERROR(VLOOKUP($A9009,'319'!$B:$H,7,0),0)</f>
        <v>0</v>
      </c>
      <c r="G9009" s="34" t="n">
        <f aca="false">SUMIFS('12.326ana'!$C:$C,'12.326ana'!$M:$M,redes!A9009)</f>
        <v>0</v>
      </c>
    </row>
    <row r="9010" customFormat="false" ht="14.4" hidden="false" customHeight="false" outlineLevel="0" collapsed="false">
      <c r="A9010" s="34" t="n">
        <v>4757459003100</v>
      </c>
      <c r="B9010" s="34" t="s">
        <v>2828</v>
      </c>
      <c r="C9010" s="34" t="s">
        <v>107</v>
      </c>
      <c r="D9010" s="34" t="s">
        <v>18</v>
      </c>
      <c r="E9010" s="30" t="s">
        <v>2829</v>
      </c>
      <c r="F9010" s="34" t="n">
        <f aca="false">IFERROR(VLOOKUP($A9010,'319'!$B:$H,7,0),0)</f>
        <v>0</v>
      </c>
      <c r="G9010" s="34" t="n">
        <f aca="false">SUMIFS('12.326ana'!$C:$C,'12.326ana'!$M:$M,redes!A9010)</f>
        <v>0</v>
      </c>
    </row>
    <row r="9011" customFormat="false" ht="14.4" hidden="false" customHeight="false" outlineLevel="0" collapsed="false">
      <c r="A9011" s="34" t="n">
        <v>4757459003291</v>
      </c>
      <c r="B9011" s="34" t="s">
        <v>2830</v>
      </c>
      <c r="C9011" s="34" t="s">
        <v>463</v>
      </c>
      <c r="D9011" s="34" t="s">
        <v>18</v>
      </c>
      <c r="E9011" s="30" t="s">
        <v>2831</v>
      </c>
      <c r="F9011" s="34" t="n">
        <f aca="false">IFERROR(VLOOKUP($A9011,'319'!$B:$H,7,0),0)</f>
        <v>-82.32</v>
      </c>
      <c r="G9011" s="34" t="n">
        <f aca="false">SUMIFS('12.326ana'!$C:$C,'12.326ana'!$M:$M,redes!A9011)</f>
        <v>0</v>
      </c>
    </row>
    <row r="9012" customFormat="false" ht="14.4" hidden="false" customHeight="false" outlineLevel="0" collapsed="false">
      <c r="A9012" s="34" t="n">
        <v>4757459003372</v>
      </c>
      <c r="B9012" s="34" t="s">
        <v>2832</v>
      </c>
      <c r="C9012" s="34" t="s">
        <v>107</v>
      </c>
      <c r="D9012" s="34" t="s">
        <v>18</v>
      </c>
      <c r="E9012" s="30" t="s">
        <v>2833</v>
      </c>
      <c r="F9012" s="34" t="n">
        <f aca="false">IFERROR(VLOOKUP($A9012,'319'!$B:$H,7,0),0)</f>
        <v>0</v>
      </c>
      <c r="G9012" s="34" t="n">
        <f aca="false">SUMIFS('12.326ana'!$C:$C,'12.326ana'!$M:$M,redes!A9012)</f>
        <v>0</v>
      </c>
    </row>
    <row r="9013" customFormat="false" ht="14.4" hidden="false" customHeight="false" outlineLevel="0" collapsed="false">
      <c r="A9013" s="34" t="n">
        <v>4757459003453</v>
      </c>
      <c r="B9013" s="34" t="s">
        <v>2834</v>
      </c>
      <c r="C9013" s="34" t="s">
        <v>103</v>
      </c>
      <c r="D9013" s="34" t="s">
        <v>18</v>
      </c>
      <c r="E9013" s="30" t="s">
        <v>2835</v>
      </c>
      <c r="F9013" s="34" t="n">
        <f aca="false">IFERROR(VLOOKUP($A9013,'319'!$B:$H,7,0),0)</f>
        <v>0</v>
      </c>
      <c r="G9013" s="34" t="n">
        <f aca="false">SUMIFS('12.326ana'!$C:$C,'12.326ana'!$M:$M,redes!A9013)</f>
        <v>0</v>
      </c>
    </row>
    <row r="9014" customFormat="false" ht="14.4" hidden="false" customHeight="false" outlineLevel="0" collapsed="false">
      <c r="A9014" s="34" t="n">
        <v>4757459003704</v>
      </c>
      <c r="B9014" s="34" t="s">
        <v>2836</v>
      </c>
      <c r="C9014" s="34" t="s">
        <v>351</v>
      </c>
      <c r="D9014" s="34" t="s">
        <v>18</v>
      </c>
      <c r="E9014" s="30" t="s">
        <v>2837</v>
      </c>
      <c r="F9014" s="34" t="n">
        <f aca="false">IFERROR(VLOOKUP($A9014,'319'!$B:$H,7,0),0)</f>
        <v>0</v>
      </c>
      <c r="G9014" s="34" t="n">
        <f aca="false">SUMIFS('12.326ana'!$C:$C,'12.326ana'!$M:$M,redes!A9014)</f>
        <v>0</v>
      </c>
    </row>
    <row r="9015" customFormat="false" ht="14.4" hidden="false" customHeight="false" outlineLevel="0" collapsed="false">
      <c r="A9015" s="34" t="n">
        <v>4757459003887</v>
      </c>
      <c r="B9015" s="34" t="s">
        <v>2838</v>
      </c>
      <c r="C9015" s="34" t="s">
        <v>357</v>
      </c>
      <c r="D9015" s="34" t="s">
        <v>18</v>
      </c>
      <c r="E9015" s="30" t="s">
        <v>2839</v>
      </c>
      <c r="F9015" s="34" t="n">
        <f aca="false">IFERROR(VLOOKUP($A9015,'319'!$B:$H,7,0),0)</f>
        <v>0</v>
      </c>
      <c r="G9015" s="34" t="n">
        <f aca="false">SUMIFS('12.326ana'!$C:$C,'12.326ana'!$M:$M,redes!A9015)</f>
        <v>0</v>
      </c>
    </row>
    <row r="9016" customFormat="false" ht="14.4" hidden="false" customHeight="false" outlineLevel="0" collapsed="false">
      <c r="A9016" s="34" t="n">
        <v>4757459003968</v>
      </c>
      <c r="B9016" s="34" t="s">
        <v>2840</v>
      </c>
      <c r="C9016" s="34" t="s">
        <v>107</v>
      </c>
      <c r="D9016" s="34" t="s">
        <v>18</v>
      </c>
      <c r="E9016" s="30" t="s">
        <v>2841</v>
      </c>
      <c r="F9016" s="34" t="n">
        <f aca="false">IFERROR(VLOOKUP($A9016,'319'!$B:$H,7,0),0)</f>
        <v>-242.94</v>
      </c>
      <c r="G9016" s="34" t="n">
        <f aca="false">SUMIFS('12.326ana'!$C:$C,'12.326ana'!$M:$M,redes!A9016)</f>
        <v>0</v>
      </c>
    </row>
    <row r="9017" customFormat="false" ht="14.4" hidden="false" customHeight="false" outlineLevel="0" collapsed="false">
      <c r="A9017" s="34" t="n">
        <v>4757459004000</v>
      </c>
      <c r="B9017" s="34" t="s">
        <v>2842</v>
      </c>
      <c r="C9017" s="34" t="s">
        <v>192</v>
      </c>
      <c r="D9017" s="34" t="s">
        <v>18</v>
      </c>
      <c r="E9017" s="30" t="s">
        <v>2843</v>
      </c>
      <c r="F9017" s="34" t="n">
        <f aca="false">IFERROR(VLOOKUP($A9017,'319'!$B:$H,7,0),0)</f>
        <v>-242.94</v>
      </c>
      <c r="G9017" s="34" t="n">
        <f aca="false">SUMIFS('12.326ana'!$C:$C,'12.326ana'!$M:$M,redes!A9017)</f>
        <v>0</v>
      </c>
    </row>
    <row r="9018" customFormat="false" ht="14.4" hidden="false" customHeight="false" outlineLevel="0" collapsed="false">
      <c r="A9018" s="34" t="n">
        <v>4757459004182</v>
      </c>
      <c r="B9018" s="34" t="s">
        <v>18513</v>
      </c>
      <c r="C9018" s="34" t="s">
        <v>631</v>
      </c>
      <c r="D9018" s="34" t="s">
        <v>18</v>
      </c>
      <c r="E9018" s="30" t="s">
        <v>18514</v>
      </c>
      <c r="F9018" s="34" t="n">
        <f aca="false">IFERROR(VLOOKUP($A9018,'319'!$B:$H,7,0),0)</f>
        <v>0</v>
      </c>
      <c r="G9018" s="34" t="n">
        <f aca="false">SUMIFS('12.326ana'!$C:$C,'12.326ana'!$M:$M,redes!A9018)</f>
        <v>0</v>
      </c>
    </row>
    <row r="9019" customFormat="false" ht="14.4" hidden="true" customHeight="false" outlineLevel="0" collapsed="false">
      <c r="A9019" s="34" t="n">
        <v>4758414000135</v>
      </c>
      <c r="B9019" s="34" t="s">
        <v>18515</v>
      </c>
      <c r="C9019" s="34" t="s">
        <v>4418</v>
      </c>
      <c r="E9019" s="30" t="s">
        <v>13293</v>
      </c>
      <c r="F9019" s="34" t="n">
        <f aca="false">IFERROR(VLOOKUP($A9019,'319'!$B:$H,7,0),0)</f>
        <v>0</v>
      </c>
      <c r="G9019" s="34" t="n">
        <f aca="false">SUMIFS('12.326ana'!$C:$C,'12.326ana'!$M:$M,redes!A9019)</f>
        <v>0</v>
      </c>
    </row>
    <row r="9020" customFormat="false" ht="14.4" hidden="true" customHeight="false" outlineLevel="0" collapsed="false">
      <c r="A9020" s="34" t="n">
        <v>4763986000102</v>
      </c>
      <c r="B9020" s="34" t="s">
        <v>18516</v>
      </c>
      <c r="C9020" s="34" t="s">
        <v>737</v>
      </c>
      <c r="E9020" s="30" t="s">
        <v>6118</v>
      </c>
      <c r="F9020" s="34" t="n">
        <f aca="false">IFERROR(VLOOKUP($A9020,'319'!$B:$H,7,0),0)</f>
        <v>0</v>
      </c>
      <c r="G9020" s="34" t="n">
        <f aca="false">SUMIFS('12.326ana'!$C:$C,'12.326ana'!$M:$M,redes!A9020)</f>
        <v>0</v>
      </c>
    </row>
    <row r="9021" customFormat="false" ht="14.4" hidden="true" customHeight="false" outlineLevel="0" collapsed="false">
      <c r="A9021" s="34" t="n">
        <v>4766897000110</v>
      </c>
      <c r="B9021" s="34" t="s">
        <v>18517</v>
      </c>
      <c r="C9021" s="34" t="s">
        <v>1306</v>
      </c>
      <c r="E9021" s="30" t="s">
        <v>4499</v>
      </c>
      <c r="F9021" s="34" t="n">
        <f aca="false">IFERROR(VLOOKUP($A9021,'319'!$B:$H,7,0),0)</f>
        <v>0</v>
      </c>
      <c r="G9021" s="34" t="n">
        <f aca="false">SUMIFS('12.326ana'!$C:$C,'12.326ana'!$M:$M,redes!A9021)</f>
        <v>0</v>
      </c>
    </row>
    <row r="9022" customFormat="false" ht="14.4" hidden="true" customHeight="false" outlineLevel="0" collapsed="false">
      <c r="A9022" s="34" t="n">
        <v>4767500000104</v>
      </c>
      <c r="B9022" s="34" t="s">
        <v>18518</v>
      </c>
      <c r="C9022" s="34" t="s">
        <v>77</v>
      </c>
      <c r="E9022" s="30" t="s">
        <v>18519</v>
      </c>
      <c r="F9022" s="34" t="n">
        <f aca="false">IFERROR(VLOOKUP($A9022,'319'!$B:$H,7,0),0)</f>
        <v>0</v>
      </c>
      <c r="G9022" s="34" t="n">
        <f aca="false">SUMIFS('12.326ana'!$C:$C,'12.326ana'!$M:$M,redes!A9022)</f>
        <v>0</v>
      </c>
    </row>
    <row r="9023" customFormat="false" ht="14.4" hidden="true" customHeight="false" outlineLevel="0" collapsed="false">
      <c r="A9023" s="34" t="n">
        <v>4767529000196</v>
      </c>
      <c r="B9023" s="34" t="s">
        <v>18520</v>
      </c>
      <c r="C9023" s="34" t="s">
        <v>77</v>
      </c>
      <c r="E9023" s="30" t="s">
        <v>7730</v>
      </c>
      <c r="F9023" s="34" t="n">
        <f aca="false">IFERROR(VLOOKUP($A9023,'319'!$B:$H,7,0),0)</f>
        <v>0</v>
      </c>
      <c r="G9023" s="34" t="n">
        <f aca="false">SUMIFS('12.326ana'!$C:$C,'12.326ana'!$M:$M,redes!A9023)</f>
        <v>0</v>
      </c>
    </row>
    <row r="9024" customFormat="false" ht="14.4" hidden="true" customHeight="false" outlineLevel="0" collapsed="false">
      <c r="A9024" s="34" t="n">
        <v>4768755000191</v>
      </c>
      <c r="B9024" s="34" t="s">
        <v>18521</v>
      </c>
      <c r="C9024" s="34" t="s">
        <v>357</v>
      </c>
      <c r="E9024" s="30" t="s">
        <v>18522</v>
      </c>
      <c r="F9024" s="34" t="n">
        <f aca="false">IFERROR(VLOOKUP($A9024,'319'!$B:$H,7,0),0)</f>
        <v>0</v>
      </c>
      <c r="G9024" s="34" t="n">
        <f aca="false">SUMIFS('12.326ana'!$C:$C,'12.326ana'!$M:$M,redes!A9024)</f>
        <v>0</v>
      </c>
    </row>
    <row r="9025" customFormat="false" ht="14.4" hidden="true" customHeight="false" outlineLevel="0" collapsed="false">
      <c r="A9025" s="34" t="n">
        <v>4768947000106</v>
      </c>
      <c r="B9025" s="34" t="s">
        <v>18523</v>
      </c>
      <c r="C9025" s="34" t="s">
        <v>328</v>
      </c>
      <c r="E9025" s="30" t="s">
        <v>18524</v>
      </c>
      <c r="F9025" s="34" t="n">
        <f aca="false">IFERROR(VLOOKUP($A9025,'319'!$B:$H,7,0),0)</f>
        <v>0</v>
      </c>
      <c r="G9025" s="34" t="n">
        <f aca="false">SUMIFS('12.326ana'!$C:$C,'12.326ana'!$M:$M,redes!A9025)</f>
        <v>0</v>
      </c>
    </row>
    <row r="9026" customFormat="false" ht="14.4" hidden="true" customHeight="false" outlineLevel="0" collapsed="false">
      <c r="A9026" s="34" t="n">
        <v>4771823000171</v>
      </c>
      <c r="B9026" s="34" t="s">
        <v>18525</v>
      </c>
      <c r="C9026" s="34" t="s">
        <v>357</v>
      </c>
      <c r="E9026" s="30" t="s">
        <v>18526</v>
      </c>
      <c r="F9026" s="34" t="n">
        <f aca="false">IFERROR(VLOOKUP($A9026,'319'!$B:$H,7,0),0)</f>
        <v>0</v>
      </c>
      <c r="G9026" s="34" t="n">
        <f aca="false">SUMIFS('12.326ana'!$C:$C,'12.326ana'!$M:$M,redes!A9026)</f>
        <v>0</v>
      </c>
    </row>
    <row r="9027" customFormat="false" ht="14.4" hidden="true" customHeight="false" outlineLevel="0" collapsed="false">
      <c r="A9027" s="34" t="n">
        <v>4775181000189</v>
      </c>
      <c r="B9027" s="34" t="s">
        <v>18527</v>
      </c>
      <c r="C9027" s="34" t="s">
        <v>77</v>
      </c>
      <c r="E9027" s="30" t="s">
        <v>18528</v>
      </c>
      <c r="F9027" s="34" t="n">
        <f aca="false">IFERROR(VLOOKUP($A9027,'319'!$B:$H,7,0),0)</f>
        <v>0</v>
      </c>
      <c r="G9027" s="34" t="n">
        <f aca="false">SUMIFS('12.326ana'!$C:$C,'12.326ana'!$M:$M,redes!A9027)</f>
        <v>0</v>
      </c>
    </row>
    <row r="9028" customFormat="false" ht="14.4" hidden="true" customHeight="false" outlineLevel="0" collapsed="false">
      <c r="A9028" s="34" t="n">
        <v>4776349000170</v>
      </c>
      <c r="B9028" s="34" t="s">
        <v>10593</v>
      </c>
      <c r="C9028" s="34" t="s">
        <v>103</v>
      </c>
      <c r="E9028" s="30" t="s">
        <v>3112</v>
      </c>
      <c r="F9028" s="34" t="n">
        <f aca="false">IFERROR(VLOOKUP($A9028,'319'!$B:$H,7,0),0)</f>
        <v>0</v>
      </c>
      <c r="G9028" s="34" t="n">
        <f aca="false">SUMIFS('12.326ana'!$C:$C,'12.326ana'!$M:$M,redes!A9028)</f>
        <v>0</v>
      </c>
    </row>
    <row r="9029" customFormat="false" ht="14.4" hidden="true" customHeight="false" outlineLevel="0" collapsed="false">
      <c r="A9029" s="34" t="n">
        <v>4776369000141</v>
      </c>
      <c r="B9029" s="34" t="s">
        <v>18529</v>
      </c>
      <c r="C9029" s="34" t="s">
        <v>473</v>
      </c>
      <c r="E9029" s="30" t="s">
        <v>3066</v>
      </c>
      <c r="F9029" s="34" t="n">
        <f aca="false">IFERROR(VLOOKUP($A9029,'319'!$B:$H,7,0),0)</f>
        <v>0</v>
      </c>
      <c r="G9029" s="34" t="n">
        <f aca="false">SUMIFS('12.326ana'!$C:$C,'12.326ana'!$M:$M,redes!A9029)</f>
        <v>0</v>
      </c>
    </row>
    <row r="9030" customFormat="false" ht="14.4" hidden="true" customHeight="false" outlineLevel="0" collapsed="false">
      <c r="A9030" s="34" t="n">
        <v>4776782000106</v>
      </c>
      <c r="B9030" s="34" t="s">
        <v>18530</v>
      </c>
      <c r="C9030" s="34" t="s">
        <v>4418</v>
      </c>
      <c r="E9030" s="30" t="s">
        <v>13233</v>
      </c>
      <c r="F9030" s="34" t="n">
        <f aca="false">IFERROR(VLOOKUP($A9030,'319'!$B:$H,7,0),0)</f>
        <v>0</v>
      </c>
      <c r="G9030" s="34" t="n">
        <f aca="false">SUMIFS('12.326ana'!$C:$C,'12.326ana'!$M:$M,redes!A9030)</f>
        <v>0</v>
      </c>
    </row>
    <row r="9031" customFormat="false" ht="14.4" hidden="true" customHeight="false" outlineLevel="0" collapsed="false">
      <c r="A9031" s="34" t="n">
        <v>4778477000153</v>
      </c>
      <c r="B9031" s="34" t="s">
        <v>18531</v>
      </c>
      <c r="C9031" s="34" t="s">
        <v>77</v>
      </c>
      <c r="E9031" s="30" t="s">
        <v>18532</v>
      </c>
      <c r="F9031" s="34" t="n">
        <f aca="false">IFERROR(VLOOKUP($A9031,'319'!$B:$H,7,0),0)</f>
        <v>0</v>
      </c>
      <c r="G9031" s="34" t="n">
        <f aca="false">SUMIFS('12.326ana'!$C:$C,'12.326ana'!$M:$M,redes!A9031)</f>
        <v>0</v>
      </c>
    </row>
    <row r="9032" customFormat="false" ht="14.4" hidden="true" customHeight="false" outlineLevel="0" collapsed="false">
      <c r="A9032" s="34" t="n">
        <v>4779392000190</v>
      </c>
      <c r="B9032" s="34" t="s">
        <v>18533</v>
      </c>
      <c r="C9032" s="34" t="s">
        <v>107</v>
      </c>
      <c r="E9032" s="30" t="s">
        <v>16315</v>
      </c>
      <c r="F9032" s="34" t="n">
        <f aca="false">IFERROR(VLOOKUP($A9032,'319'!$B:$H,7,0),0)</f>
        <v>0</v>
      </c>
      <c r="G9032" s="34" t="n">
        <f aca="false">SUMIFS('12.326ana'!$C:$C,'12.326ana'!$M:$M,redes!A9032)</f>
        <v>0</v>
      </c>
    </row>
    <row r="9033" customFormat="false" ht="14.4" hidden="true" customHeight="false" outlineLevel="0" collapsed="false">
      <c r="A9033" s="34" t="n">
        <v>4779519000170</v>
      </c>
      <c r="B9033" s="34" t="s">
        <v>18534</v>
      </c>
      <c r="C9033" s="34" t="s">
        <v>103</v>
      </c>
      <c r="E9033" s="30" t="s">
        <v>15644</v>
      </c>
      <c r="F9033" s="34" t="n">
        <f aca="false">IFERROR(VLOOKUP($A9033,'319'!$B:$H,7,0),0)</f>
        <v>0</v>
      </c>
      <c r="G9033" s="34" t="n">
        <f aca="false">SUMIFS('12.326ana'!$C:$C,'12.326ana'!$M:$M,redes!A9033)</f>
        <v>0</v>
      </c>
    </row>
    <row r="9034" customFormat="false" ht="14.4" hidden="true" customHeight="false" outlineLevel="0" collapsed="false">
      <c r="A9034" s="34" t="n">
        <v>4779519000251</v>
      </c>
      <c r="B9034" s="34" t="s">
        <v>18534</v>
      </c>
      <c r="C9034" s="34" t="s">
        <v>103</v>
      </c>
      <c r="E9034" s="30" t="s">
        <v>18535</v>
      </c>
      <c r="F9034" s="34" t="n">
        <f aca="false">IFERROR(VLOOKUP($A9034,'319'!$B:$H,7,0),0)</f>
        <v>0</v>
      </c>
      <c r="G9034" s="34" t="n">
        <f aca="false">SUMIFS('12.326ana'!$C:$C,'12.326ana'!$M:$M,redes!A9034)</f>
        <v>0</v>
      </c>
    </row>
    <row r="9035" customFormat="false" ht="14.4" hidden="true" customHeight="false" outlineLevel="0" collapsed="false">
      <c r="A9035" s="34" t="n">
        <v>4780537000172</v>
      </c>
      <c r="B9035" s="34" t="s">
        <v>18536</v>
      </c>
      <c r="C9035" s="34" t="s">
        <v>77</v>
      </c>
      <c r="E9035" s="30" t="s">
        <v>18537</v>
      </c>
      <c r="F9035" s="34" t="n">
        <f aca="false">IFERROR(VLOOKUP($A9035,'319'!$B:$H,7,0),0)</f>
        <v>0</v>
      </c>
      <c r="G9035" s="34" t="n">
        <f aca="false">SUMIFS('12.326ana'!$C:$C,'12.326ana'!$M:$M,redes!A9035)</f>
        <v>0</v>
      </c>
    </row>
    <row r="9036" customFormat="false" ht="14.4" hidden="true" customHeight="false" outlineLevel="0" collapsed="false">
      <c r="A9036" s="34" t="n">
        <v>4780538000117</v>
      </c>
      <c r="B9036" s="34" t="s">
        <v>18538</v>
      </c>
      <c r="C9036" s="34" t="s">
        <v>77</v>
      </c>
      <c r="E9036" s="30" t="s">
        <v>18539</v>
      </c>
      <c r="F9036" s="34" t="n">
        <f aca="false">IFERROR(VLOOKUP($A9036,'319'!$B:$H,7,0),0)</f>
        <v>0</v>
      </c>
      <c r="G9036" s="34" t="n">
        <f aca="false">SUMIFS('12.326ana'!$C:$C,'12.326ana'!$M:$M,redes!A9036)</f>
        <v>0</v>
      </c>
    </row>
    <row r="9037" customFormat="false" ht="14.4" hidden="true" customHeight="false" outlineLevel="0" collapsed="false">
      <c r="A9037" s="34" t="n">
        <v>4780542000185</v>
      </c>
      <c r="B9037" s="34" t="s">
        <v>18540</v>
      </c>
      <c r="C9037" s="34" t="s">
        <v>77</v>
      </c>
      <c r="E9037" s="30" t="s">
        <v>18541</v>
      </c>
      <c r="F9037" s="34" t="n">
        <f aca="false">IFERROR(VLOOKUP($A9037,'319'!$B:$H,7,0),0)</f>
        <v>14.09</v>
      </c>
      <c r="G9037" s="34" t="n">
        <f aca="false">SUMIFS('12.326ana'!$C:$C,'12.326ana'!$M:$M,redes!A9037)</f>
        <v>0</v>
      </c>
    </row>
    <row r="9038" customFormat="false" ht="14.4" hidden="true" customHeight="false" outlineLevel="0" collapsed="false">
      <c r="A9038" s="34" t="n">
        <v>4780542000266</v>
      </c>
      <c r="B9038" s="34" t="s">
        <v>18542</v>
      </c>
      <c r="C9038" s="34" t="s">
        <v>77</v>
      </c>
      <c r="E9038" s="30" t="s">
        <v>18543</v>
      </c>
      <c r="F9038" s="34" t="n">
        <f aca="false">IFERROR(VLOOKUP($A9038,'319'!$B:$H,7,0),0)</f>
        <v>0</v>
      </c>
      <c r="G9038" s="34" t="n">
        <f aca="false">SUMIFS('12.326ana'!$C:$C,'12.326ana'!$M:$M,redes!A9038)</f>
        <v>0</v>
      </c>
    </row>
    <row r="9039" customFormat="false" ht="14.4" hidden="true" customHeight="false" outlineLevel="0" collapsed="false">
      <c r="A9039" s="34" t="n">
        <v>4780542000347</v>
      </c>
      <c r="B9039" s="34" t="s">
        <v>18542</v>
      </c>
      <c r="C9039" s="34" t="s">
        <v>77</v>
      </c>
      <c r="E9039" s="30" t="s">
        <v>1710</v>
      </c>
      <c r="F9039" s="34" t="n">
        <f aca="false">IFERROR(VLOOKUP($A9039,'319'!$B:$H,7,0),0)</f>
        <v>0</v>
      </c>
      <c r="G9039" s="34" t="n">
        <f aca="false">SUMIFS('12.326ana'!$C:$C,'12.326ana'!$M:$M,redes!A9039)</f>
        <v>0</v>
      </c>
    </row>
    <row r="9040" customFormat="false" ht="14.4" hidden="true" customHeight="false" outlineLevel="0" collapsed="false">
      <c r="A9040" s="34" t="n">
        <v>4780542000428</v>
      </c>
      <c r="B9040" s="34" t="s">
        <v>18542</v>
      </c>
      <c r="C9040" s="34" t="s">
        <v>77</v>
      </c>
      <c r="E9040" s="30" t="s">
        <v>18541</v>
      </c>
      <c r="F9040" s="34" t="n">
        <f aca="false">IFERROR(VLOOKUP($A9040,'319'!$B:$H,7,0),0)</f>
        <v>39.92</v>
      </c>
      <c r="G9040" s="34" t="n">
        <f aca="false">SUMIFS('12.326ana'!$C:$C,'12.326ana'!$M:$M,redes!A9040)</f>
        <v>0</v>
      </c>
    </row>
    <row r="9041" customFormat="false" ht="14.4" hidden="true" customHeight="false" outlineLevel="0" collapsed="false">
      <c r="A9041" s="34" t="n">
        <v>4780790000126</v>
      </c>
      <c r="B9041" s="34" t="s">
        <v>18544</v>
      </c>
      <c r="C9041" s="34" t="s">
        <v>77</v>
      </c>
      <c r="D9041" s="34" t="s">
        <v>3324</v>
      </c>
      <c r="E9041" s="30" t="s">
        <v>8730</v>
      </c>
      <c r="F9041" s="34" t="n">
        <f aca="false">IFERROR(VLOOKUP($A9041,'319'!$B:$H,7,0),0)</f>
        <v>0</v>
      </c>
      <c r="G9041" s="34" t="n">
        <f aca="false">SUMIFS('12.326ana'!$C:$C,'12.326ana'!$M:$M,redes!A9041)</f>
        <v>0</v>
      </c>
    </row>
    <row r="9042" customFormat="false" ht="14.4" hidden="true" customHeight="false" outlineLevel="0" collapsed="false">
      <c r="A9042" s="34" t="n">
        <v>4781875000129</v>
      </c>
      <c r="B9042" s="34" t="s">
        <v>18545</v>
      </c>
      <c r="C9042" s="34" t="s">
        <v>77</v>
      </c>
      <c r="E9042" s="30" t="s">
        <v>18546</v>
      </c>
      <c r="F9042" s="34" t="n">
        <f aca="false">IFERROR(VLOOKUP($A9042,'319'!$B:$H,7,0),0)</f>
        <v>0</v>
      </c>
      <c r="G9042" s="34" t="n">
        <f aca="false">SUMIFS('12.326ana'!$C:$C,'12.326ana'!$M:$M,redes!A9042)</f>
        <v>0</v>
      </c>
    </row>
    <row r="9043" customFormat="false" ht="14.4" hidden="true" customHeight="false" outlineLevel="0" collapsed="false">
      <c r="A9043" s="34" t="n">
        <v>4784819000148</v>
      </c>
      <c r="B9043" s="34" t="s">
        <v>18547</v>
      </c>
      <c r="C9043" s="34" t="s">
        <v>604</v>
      </c>
      <c r="E9043" s="30" t="s">
        <v>18548</v>
      </c>
      <c r="F9043" s="34" t="n">
        <f aca="false">IFERROR(VLOOKUP($A9043,'319'!$B:$H,7,0),0)</f>
        <v>0</v>
      </c>
      <c r="G9043" s="34" t="n">
        <f aca="false">SUMIFS('12.326ana'!$C:$C,'12.326ana'!$M:$M,redes!A9043)</f>
        <v>0</v>
      </c>
    </row>
    <row r="9044" customFormat="false" ht="14.4" hidden="true" customHeight="false" outlineLevel="0" collapsed="false">
      <c r="A9044" s="34" t="n">
        <v>4784834000196</v>
      </c>
      <c r="B9044" s="34" t="s">
        <v>18549</v>
      </c>
      <c r="C9044" s="34" t="s">
        <v>129</v>
      </c>
      <c r="E9044" s="30" t="s">
        <v>18550</v>
      </c>
      <c r="F9044" s="34" t="n">
        <f aca="false">IFERROR(VLOOKUP($A9044,'319'!$B:$H,7,0),0)</f>
        <v>0</v>
      </c>
      <c r="G9044" s="34" t="n">
        <f aca="false">SUMIFS('12.326ana'!$C:$C,'12.326ana'!$M:$M,redes!A9044)</f>
        <v>0</v>
      </c>
    </row>
    <row r="9045" customFormat="false" ht="14.4" hidden="true" customHeight="false" outlineLevel="0" collapsed="false">
      <c r="A9045" s="34" t="n">
        <v>4784844000121</v>
      </c>
      <c r="B9045" s="34" t="s">
        <v>18551</v>
      </c>
      <c r="C9045" s="34" t="s">
        <v>129</v>
      </c>
      <c r="E9045" s="30" t="s">
        <v>3807</v>
      </c>
      <c r="F9045" s="34" t="n">
        <f aca="false">IFERROR(VLOOKUP($A9045,'319'!$B:$H,7,0),0)</f>
        <v>0</v>
      </c>
      <c r="G9045" s="34" t="n">
        <f aca="false">SUMIFS('12.326ana'!$C:$C,'12.326ana'!$M:$M,redes!A9045)</f>
        <v>0</v>
      </c>
    </row>
    <row r="9046" customFormat="false" ht="14.4" hidden="true" customHeight="false" outlineLevel="0" collapsed="false">
      <c r="A9046" s="34" t="n">
        <v>4784958000171</v>
      </c>
      <c r="B9046" s="34" t="s">
        <v>18552</v>
      </c>
      <c r="C9046" s="34" t="s">
        <v>192</v>
      </c>
      <c r="E9046" s="30" t="s">
        <v>3337</v>
      </c>
      <c r="F9046" s="34" t="n">
        <f aca="false">IFERROR(VLOOKUP($A9046,'319'!$B:$H,7,0),0)</f>
        <v>0</v>
      </c>
      <c r="G9046" s="34" t="n">
        <f aca="false">SUMIFS('12.326ana'!$C:$C,'12.326ana'!$M:$M,redes!A9046)</f>
        <v>0</v>
      </c>
    </row>
    <row r="9047" customFormat="false" ht="14.4" hidden="true" customHeight="false" outlineLevel="0" collapsed="false">
      <c r="A9047" s="34" t="n">
        <v>4785120000100</v>
      </c>
      <c r="B9047" s="34" t="s">
        <v>18553</v>
      </c>
      <c r="C9047" s="34" t="s">
        <v>464</v>
      </c>
      <c r="E9047" s="30" t="s">
        <v>18554</v>
      </c>
      <c r="F9047" s="34" t="n">
        <f aca="false">IFERROR(VLOOKUP($A9047,'319'!$B:$H,7,0),0)</f>
        <v>0</v>
      </c>
      <c r="G9047" s="34" t="n">
        <f aca="false">SUMIFS('12.326ana'!$C:$C,'12.326ana'!$M:$M,redes!A9047)</f>
        <v>0</v>
      </c>
    </row>
    <row r="9048" customFormat="false" ht="14.4" hidden="true" customHeight="false" outlineLevel="0" collapsed="false">
      <c r="A9048" s="34" t="n">
        <v>4785140000173</v>
      </c>
      <c r="B9048" s="34" t="s">
        <v>18555</v>
      </c>
      <c r="C9048" s="34" t="s">
        <v>464</v>
      </c>
      <c r="E9048" s="30" t="s">
        <v>18556</v>
      </c>
      <c r="F9048" s="34" t="n">
        <f aca="false">IFERROR(VLOOKUP($A9048,'319'!$B:$H,7,0),0)</f>
        <v>0</v>
      </c>
      <c r="G9048" s="34" t="n">
        <f aca="false">SUMIFS('12.326ana'!$C:$C,'12.326ana'!$M:$M,redes!A9048)</f>
        <v>0</v>
      </c>
    </row>
    <row r="9049" customFormat="false" ht="14.4" hidden="true" customHeight="false" outlineLevel="0" collapsed="false">
      <c r="A9049" s="34" t="n">
        <v>4787466000130</v>
      </c>
      <c r="B9049" s="34" t="s">
        <v>18557</v>
      </c>
      <c r="C9049" s="34" t="s">
        <v>129</v>
      </c>
      <c r="E9049" s="30" t="s">
        <v>18558</v>
      </c>
      <c r="F9049" s="34" t="n">
        <f aca="false">IFERROR(VLOOKUP($A9049,'319'!$B:$H,7,0),0)</f>
        <v>0</v>
      </c>
      <c r="G9049" s="34" t="n">
        <f aca="false">SUMIFS('12.326ana'!$C:$C,'12.326ana'!$M:$M,redes!A9049)</f>
        <v>0</v>
      </c>
    </row>
    <row r="9050" customFormat="false" ht="14.4" hidden="true" customHeight="false" outlineLevel="0" collapsed="false">
      <c r="A9050" s="35" t="n">
        <v>4792962000181</v>
      </c>
      <c r="B9050" s="34" t="s">
        <v>18559</v>
      </c>
      <c r="C9050" s="34" t="s">
        <v>117</v>
      </c>
      <c r="E9050" s="30" t="s">
        <v>18560</v>
      </c>
      <c r="F9050" s="34" t="n">
        <f aca="false">IFERROR(VLOOKUP($A9050,'319'!$B:$H,7,0),0)</f>
        <v>0</v>
      </c>
      <c r="G9050" s="34" t="n">
        <f aca="false">SUMIFS('12.326ana'!$C:$C,'12.326ana'!$M:$M,redes!A9050)</f>
        <v>0</v>
      </c>
    </row>
    <row r="9051" customFormat="false" ht="14.4" hidden="true" customHeight="false" outlineLevel="0" collapsed="false">
      <c r="A9051" s="34" t="n">
        <v>4793202000199</v>
      </c>
      <c r="B9051" s="34" t="s">
        <v>18561</v>
      </c>
      <c r="C9051" s="34" t="s">
        <v>1054</v>
      </c>
      <c r="E9051" s="30" t="s">
        <v>18562</v>
      </c>
      <c r="F9051" s="34" t="n">
        <f aca="false">IFERROR(VLOOKUP($A9051,'319'!$B:$H,7,0),0)</f>
        <v>0</v>
      </c>
      <c r="G9051" s="34" t="n">
        <f aca="false">SUMIFS('12.326ana'!$C:$C,'12.326ana'!$M:$M,redes!A9051)</f>
        <v>0</v>
      </c>
    </row>
    <row r="9052" customFormat="false" ht="14.4" hidden="true" customHeight="false" outlineLevel="0" collapsed="false">
      <c r="A9052" s="34" t="n">
        <v>4793566000179</v>
      </c>
      <c r="B9052" s="34" t="s">
        <v>18563</v>
      </c>
      <c r="C9052" s="34" t="s">
        <v>464</v>
      </c>
      <c r="E9052" s="30" t="s">
        <v>18564</v>
      </c>
      <c r="F9052" s="34" t="n">
        <f aca="false">IFERROR(VLOOKUP($A9052,'319'!$B:$H,7,0),0)</f>
        <v>0</v>
      </c>
      <c r="G9052" s="34" t="n">
        <f aca="false">SUMIFS('12.326ana'!$C:$C,'12.326ana'!$M:$M,redes!A9052)</f>
        <v>0</v>
      </c>
    </row>
    <row r="9053" customFormat="false" ht="14.4" hidden="true" customHeight="false" outlineLevel="0" collapsed="false">
      <c r="A9053" s="34" t="n">
        <v>4795376000190</v>
      </c>
      <c r="B9053" s="34" t="s">
        <v>18565</v>
      </c>
      <c r="C9053" s="34" t="s">
        <v>935</v>
      </c>
      <c r="E9053" s="30" t="s">
        <v>18566</v>
      </c>
      <c r="F9053" s="34" t="n">
        <f aca="false">IFERROR(VLOOKUP($A9053,'319'!$B:$H,7,0),0)</f>
        <v>0</v>
      </c>
      <c r="G9053" s="34" t="n">
        <f aca="false">SUMIFS('12.326ana'!$C:$C,'12.326ana'!$M:$M,redes!A9053)</f>
        <v>0</v>
      </c>
    </row>
    <row r="9054" customFormat="false" ht="14.4" hidden="true" customHeight="false" outlineLevel="0" collapsed="false">
      <c r="A9054" s="34" t="n">
        <v>4797968000141</v>
      </c>
      <c r="B9054" s="34" t="s">
        <v>18567</v>
      </c>
      <c r="C9054" s="34" t="s">
        <v>107</v>
      </c>
      <c r="E9054" s="30" t="s">
        <v>18568</v>
      </c>
      <c r="F9054" s="34" t="n">
        <f aca="false">IFERROR(VLOOKUP($A9054,'319'!$B:$H,7,0),0)</f>
        <v>0</v>
      </c>
      <c r="G9054" s="34" t="n">
        <f aca="false">SUMIFS('12.326ana'!$C:$C,'12.326ana'!$M:$M,redes!A9054)</f>
        <v>0</v>
      </c>
    </row>
    <row r="9055" customFormat="false" ht="14.4" hidden="true" customHeight="false" outlineLevel="0" collapsed="false">
      <c r="A9055" s="34" t="n">
        <v>4798332000114</v>
      </c>
      <c r="B9055" s="34" t="s">
        <v>18569</v>
      </c>
      <c r="C9055" s="34" t="s">
        <v>77</v>
      </c>
      <c r="E9055" s="30" t="s">
        <v>18570</v>
      </c>
      <c r="F9055" s="34" t="n">
        <f aca="false">IFERROR(VLOOKUP($A9055,'319'!$B:$H,7,0),0)</f>
        <v>0</v>
      </c>
      <c r="G9055" s="34" t="n">
        <f aca="false">SUMIFS('12.326ana'!$C:$C,'12.326ana'!$M:$M,redes!A9055)</f>
        <v>0</v>
      </c>
    </row>
    <row r="9056" customFormat="false" ht="14.4" hidden="true" customHeight="false" outlineLevel="0" collapsed="false">
      <c r="A9056" s="34" t="n">
        <v>4798855000160</v>
      </c>
      <c r="B9056" s="34" t="s">
        <v>18571</v>
      </c>
      <c r="C9056" s="34" t="s">
        <v>7250</v>
      </c>
      <c r="E9056" s="30" t="s">
        <v>18572</v>
      </c>
      <c r="F9056" s="34" t="n">
        <f aca="false">IFERROR(VLOOKUP($A9056,'319'!$B:$H,7,0),0)</f>
        <v>0</v>
      </c>
      <c r="G9056" s="34" t="n">
        <f aca="false">SUMIFS('12.326ana'!$C:$C,'12.326ana'!$M:$M,redes!A9056)</f>
        <v>0</v>
      </c>
    </row>
    <row r="9057" customFormat="false" ht="14.4" hidden="true" customHeight="false" outlineLevel="0" collapsed="false">
      <c r="A9057" s="34" t="n">
        <v>4802704000139</v>
      </c>
      <c r="B9057" s="34" t="s">
        <v>18573</v>
      </c>
      <c r="C9057" s="34" t="s">
        <v>744</v>
      </c>
      <c r="E9057" s="30" t="s">
        <v>18574</v>
      </c>
      <c r="F9057" s="34" t="n">
        <f aca="false">IFERROR(VLOOKUP($A9057,'319'!$B:$H,7,0),0)</f>
        <v>0</v>
      </c>
      <c r="G9057" s="34" t="n">
        <f aca="false">SUMIFS('12.326ana'!$C:$C,'12.326ana'!$M:$M,redes!A9057)</f>
        <v>0</v>
      </c>
    </row>
    <row r="9058" customFormat="false" ht="14.4" hidden="true" customHeight="false" outlineLevel="0" collapsed="false">
      <c r="A9058" s="34" t="n">
        <v>4802719000105</v>
      </c>
      <c r="B9058" s="34" t="s">
        <v>18575</v>
      </c>
      <c r="C9058" s="34" t="s">
        <v>139</v>
      </c>
      <c r="E9058" s="30" t="s">
        <v>18576</v>
      </c>
      <c r="F9058" s="34" t="n">
        <f aca="false">IFERROR(VLOOKUP($A9058,'319'!$B:$H,7,0),0)</f>
        <v>0</v>
      </c>
      <c r="G9058" s="34" t="n">
        <f aca="false">SUMIFS('12.326ana'!$C:$C,'12.326ana'!$M:$M,redes!A9058)</f>
        <v>0</v>
      </c>
    </row>
    <row r="9059" customFormat="false" ht="14.4" hidden="true" customHeight="false" outlineLevel="0" collapsed="false">
      <c r="A9059" s="34" t="n">
        <v>4802736000134</v>
      </c>
      <c r="B9059" s="34" t="s">
        <v>18577</v>
      </c>
      <c r="C9059" s="34" t="s">
        <v>377</v>
      </c>
      <c r="E9059" s="30" t="s">
        <v>18578</v>
      </c>
      <c r="F9059" s="34" t="n">
        <f aca="false">IFERROR(VLOOKUP($A9059,'319'!$B:$H,7,0),0)</f>
        <v>0</v>
      </c>
      <c r="G9059" s="34" t="n">
        <f aca="false">SUMIFS('12.326ana'!$C:$C,'12.326ana'!$M:$M,redes!A9059)</f>
        <v>0</v>
      </c>
    </row>
    <row r="9060" customFormat="false" ht="14.4" hidden="true" customHeight="false" outlineLevel="0" collapsed="false">
      <c r="A9060" s="34" t="n">
        <v>4807878000194</v>
      </c>
      <c r="B9060" s="34" t="s">
        <v>18579</v>
      </c>
      <c r="C9060" s="34" t="s">
        <v>562</v>
      </c>
      <c r="E9060" s="30" t="s">
        <v>18580</v>
      </c>
      <c r="F9060" s="34" t="n">
        <f aca="false">IFERROR(VLOOKUP($A9060,'319'!$B:$H,7,0),0)</f>
        <v>2199.74</v>
      </c>
      <c r="G9060" s="34" t="n">
        <f aca="false">SUMIFS('12.326ana'!$C:$C,'12.326ana'!$M:$M,redes!A9060)</f>
        <v>0</v>
      </c>
    </row>
    <row r="9061" customFormat="false" ht="14.4" hidden="true" customHeight="false" outlineLevel="0" collapsed="false">
      <c r="A9061" s="34" t="n">
        <v>4808031000124</v>
      </c>
      <c r="B9061" s="34" t="s">
        <v>18581</v>
      </c>
      <c r="C9061" s="34" t="s">
        <v>77</v>
      </c>
      <c r="E9061" s="30" t="s">
        <v>18582</v>
      </c>
      <c r="F9061" s="34" t="n">
        <f aca="false">IFERROR(VLOOKUP($A9061,'319'!$B:$H,7,0),0)</f>
        <v>0</v>
      </c>
      <c r="G9061" s="34" t="n">
        <f aca="false">SUMIFS('12.326ana'!$C:$C,'12.326ana'!$M:$M,redes!A9061)</f>
        <v>0</v>
      </c>
    </row>
    <row r="9062" customFormat="false" ht="14.4" hidden="true" customHeight="false" outlineLevel="0" collapsed="false">
      <c r="A9062" s="34" t="n">
        <v>4808496000185</v>
      </c>
      <c r="B9062" s="34" t="s">
        <v>18583</v>
      </c>
      <c r="C9062" s="34" t="s">
        <v>127</v>
      </c>
      <c r="E9062" s="30" t="s">
        <v>18584</v>
      </c>
      <c r="F9062" s="34" t="n">
        <f aca="false">IFERROR(VLOOKUP($A9062,'319'!$B:$H,7,0),0)</f>
        <v>0</v>
      </c>
      <c r="G9062" s="34" t="n">
        <f aca="false">SUMIFS('12.326ana'!$C:$C,'12.326ana'!$M:$M,redes!A9062)</f>
        <v>0</v>
      </c>
    </row>
    <row r="9063" customFormat="false" ht="14.4" hidden="true" customHeight="false" outlineLevel="0" collapsed="false">
      <c r="A9063" s="34" t="n">
        <v>4810570000106</v>
      </c>
      <c r="B9063" s="34" t="s">
        <v>18585</v>
      </c>
      <c r="C9063" s="34" t="s">
        <v>77</v>
      </c>
      <c r="E9063" s="30" t="s">
        <v>18586</v>
      </c>
      <c r="F9063" s="34" t="n">
        <f aca="false">IFERROR(VLOOKUP($A9063,'319'!$B:$H,7,0),0)</f>
        <v>0</v>
      </c>
      <c r="G9063" s="34" t="n">
        <f aca="false">SUMIFS('12.326ana'!$C:$C,'12.326ana'!$M:$M,redes!A9063)</f>
        <v>0</v>
      </c>
    </row>
    <row r="9064" customFormat="false" ht="14.4" hidden="true" customHeight="false" outlineLevel="0" collapsed="false">
      <c r="A9064" s="34" t="n">
        <v>4810590000179</v>
      </c>
      <c r="B9064" s="34" t="s">
        <v>18587</v>
      </c>
      <c r="C9064" s="34" t="s">
        <v>351</v>
      </c>
      <c r="E9064" s="30" t="s">
        <v>18588</v>
      </c>
      <c r="F9064" s="34" t="n">
        <f aca="false">IFERROR(VLOOKUP($A9064,'319'!$B:$H,7,0),0)</f>
        <v>0</v>
      </c>
      <c r="G9064" s="34" t="n">
        <f aca="false">SUMIFS('12.326ana'!$C:$C,'12.326ana'!$M:$M,redes!A9064)</f>
        <v>0</v>
      </c>
    </row>
    <row r="9065" customFormat="false" ht="14.4" hidden="true" customHeight="false" outlineLevel="0" collapsed="false">
      <c r="A9065" s="34" t="n">
        <v>4810619000112</v>
      </c>
      <c r="B9065" s="34" t="s">
        <v>18589</v>
      </c>
      <c r="C9065" s="34" t="s">
        <v>77</v>
      </c>
      <c r="E9065" s="30" t="s">
        <v>18590</v>
      </c>
      <c r="F9065" s="34" t="n">
        <f aca="false">IFERROR(VLOOKUP($A9065,'319'!$B:$H,7,0),0)</f>
        <v>0</v>
      </c>
      <c r="G9065" s="34" t="n">
        <f aca="false">SUMIFS('12.326ana'!$C:$C,'12.326ana'!$M:$M,redes!A9065)</f>
        <v>0</v>
      </c>
    </row>
    <row r="9066" customFormat="false" ht="14.4" hidden="true" customHeight="false" outlineLevel="0" collapsed="false">
      <c r="A9066" s="34" t="n">
        <v>4819189000108</v>
      </c>
      <c r="B9066" s="34" t="s">
        <v>18591</v>
      </c>
      <c r="C9066" s="34" t="s">
        <v>107</v>
      </c>
      <c r="E9066" s="30" t="s">
        <v>18592</v>
      </c>
      <c r="F9066" s="34" t="n">
        <f aca="false">IFERROR(VLOOKUP($A9066,'319'!$B:$H,7,0),0)</f>
        <v>0</v>
      </c>
      <c r="G9066" s="34" t="n">
        <f aca="false">SUMIFS('12.326ana'!$C:$C,'12.326ana'!$M:$M,redes!A9066)</f>
        <v>0</v>
      </c>
    </row>
    <row r="9067" customFormat="false" ht="14.4" hidden="true" customHeight="false" outlineLevel="0" collapsed="false">
      <c r="A9067" s="34" t="n">
        <v>4819922000186</v>
      </c>
      <c r="B9067" s="34" t="s">
        <v>18593</v>
      </c>
      <c r="C9067" s="34" t="s">
        <v>77</v>
      </c>
      <c r="E9067" s="30" t="s">
        <v>18594</v>
      </c>
      <c r="F9067" s="34" t="n">
        <f aca="false">IFERROR(VLOOKUP($A9067,'319'!$B:$H,7,0),0)</f>
        <v>0</v>
      </c>
      <c r="G9067" s="34" t="n">
        <f aca="false">SUMIFS('12.326ana'!$C:$C,'12.326ana'!$M:$M,redes!A9067)</f>
        <v>0</v>
      </c>
    </row>
    <row r="9068" customFormat="false" ht="14.4" hidden="true" customHeight="false" outlineLevel="0" collapsed="false">
      <c r="A9068" s="34" t="n">
        <v>4819966000106</v>
      </c>
      <c r="B9068" s="34" t="s">
        <v>18595</v>
      </c>
      <c r="C9068" s="34" t="s">
        <v>4829</v>
      </c>
      <c r="E9068" s="30" t="s">
        <v>11054</v>
      </c>
      <c r="F9068" s="34" t="n">
        <f aca="false">IFERROR(VLOOKUP($A9068,'319'!$B:$H,7,0),0)</f>
        <v>0</v>
      </c>
      <c r="G9068" s="34" t="n">
        <f aca="false">SUMIFS('12.326ana'!$C:$C,'12.326ana'!$M:$M,redes!A9068)</f>
        <v>0</v>
      </c>
    </row>
    <row r="9069" customFormat="false" ht="14.4" hidden="true" customHeight="false" outlineLevel="0" collapsed="false">
      <c r="A9069" s="34" t="n">
        <v>4822179000113</v>
      </c>
      <c r="B9069" s="34" t="s">
        <v>2844</v>
      </c>
      <c r="C9069" s="34" t="s">
        <v>77</v>
      </c>
      <c r="D9069" s="34" t="s">
        <v>30</v>
      </c>
      <c r="E9069" s="30" t="s">
        <v>2845</v>
      </c>
      <c r="F9069" s="34" t="n">
        <f aca="false">IFERROR(VLOOKUP($A9069,'319'!$B:$H,7,0),0)</f>
        <v>175918.17</v>
      </c>
      <c r="G9069" s="34" t="n">
        <f aca="false">SUMIFS('12.326ana'!$C:$C,'12.326ana'!$M:$M,redes!A9069)</f>
        <v>0</v>
      </c>
    </row>
    <row r="9070" customFormat="false" ht="14.4" hidden="true" customHeight="false" outlineLevel="0" collapsed="false">
      <c r="A9070" s="34" t="n">
        <v>4822285000105</v>
      </c>
      <c r="B9070" s="34" t="s">
        <v>18596</v>
      </c>
      <c r="C9070" s="34" t="s">
        <v>77</v>
      </c>
      <c r="E9070" s="30" t="s">
        <v>18597</v>
      </c>
      <c r="F9070" s="34" t="n">
        <f aca="false">IFERROR(VLOOKUP($A9070,'319'!$B:$H,7,0),0)</f>
        <v>0</v>
      </c>
      <c r="G9070" s="34" t="n">
        <f aca="false">SUMIFS('12.326ana'!$C:$C,'12.326ana'!$M:$M,redes!A9070)</f>
        <v>0</v>
      </c>
    </row>
    <row r="9071" customFormat="false" ht="14.4" hidden="true" customHeight="false" outlineLevel="0" collapsed="false">
      <c r="A9071" s="34" t="n">
        <v>4823671000103</v>
      </c>
      <c r="B9071" s="34" t="s">
        <v>18598</v>
      </c>
      <c r="C9071" s="34" t="s">
        <v>342</v>
      </c>
      <c r="E9071" s="30" t="s">
        <v>18599</v>
      </c>
      <c r="F9071" s="34" t="n">
        <f aca="false">IFERROR(VLOOKUP($A9071,'319'!$B:$H,7,0),0)</f>
        <v>0</v>
      </c>
      <c r="G9071" s="34" t="n">
        <f aca="false">SUMIFS('12.326ana'!$C:$C,'12.326ana'!$M:$M,redes!A9071)</f>
        <v>0</v>
      </c>
    </row>
    <row r="9072" customFormat="false" ht="14.4" hidden="true" customHeight="false" outlineLevel="0" collapsed="false">
      <c r="A9072" s="34" t="n">
        <v>4823935000129</v>
      </c>
      <c r="B9072" s="34" t="s">
        <v>18600</v>
      </c>
      <c r="C9072" s="34" t="s">
        <v>77</v>
      </c>
      <c r="E9072" s="30" t="s">
        <v>18601</v>
      </c>
      <c r="F9072" s="34" t="n">
        <f aca="false">IFERROR(VLOOKUP($A9072,'319'!$B:$H,7,0),0)</f>
        <v>0</v>
      </c>
      <c r="G9072" s="34" t="n">
        <f aca="false">SUMIFS('12.326ana'!$C:$C,'12.326ana'!$M:$M,redes!A9072)</f>
        <v>0</v>
      </c>
    </row>
    <row r="9073" customFormat="false" ht="14.4" hidden="true" customHeight="false" outlineLevel="0" collapsed="false">
      <c r="A9073" s="34" t="n">
        <v>4828272000135</v>
      </c>
      <c r="B9073" s="34" t="s">
        <v>18602</v>
      </c>
      <c r="C9073" s="34" t="s">
        <v>737</v>
      </c>
      <c r="E9073" s="30" t="s">
        <v>10645</v>
      </c>
      <c r="F9073" s="34" t="n">
        <f aca="false">IFERROR(VLOOKUP($A9073,'319'!$B:$H,7,0),0)</f>
        <v>0</v>
      </c>
      <c r="G9073" s="34" t="n">
        <f aca="false">SUMIFS('12.326ana'!$C:$C,'12.326ana'!$M:$M,redes!A9073)</f>
        <v>0</v>
      </c>
    </row>
    <row r="9074" customFormat="false" ht="14.4" hidden="true" customHeight="false" outlineLevel="0" collapsed="false">
      <c r="A9074" s="34" t="n">
        <v>4829523000104</v>
      </c>
      <c r="B9074" s="34" t="s">
        <v>18603</v>
      </c>
      <c r="C9074" s="34" t="s">
        <v>77</v>
      </c>
      <c r="E9074" s="30" t="s">
        <v>18604</v>
      </c>
      <c r="F9074" s="34" t="n">
        <f aca="false">IFERROR(VLOOKUP($A9074,'319'!$B:$H,7,0),0)</f>
        <v>0</v>
      </c>
      <c r="G9074" s="34" t="n">
        <f aca="false">SUMIFS('12.326ana'!$C:$C,'12.326ana'!$M:$M,redes!A9074)</f>
        <v>0</v>
      </c>
    </row>
    <row r="9075" customFormat="false" ht="14.4" hidden="true" customHeight="false" outlineLevel="0" collapsed="false">
      <c r="A9075" s="34" t="n">
        <v>4829546000100</v>
      </c>
      <c r="B9075" s="34" t="s">
        <v>18605</v>
      </c>
      <c r="C9075" s="34" t="s">
        <v>77</v>
      </c>
      <c r="E9075" s="30" t="s">
        <v>6896</v>
      </c>
      <c r="F9075" s="34" t="n">
        <f aca="false">IFERROR(VLOOKUP($A9075,'319'!$B:$H,7,0),0)</f>
        <v>0</v>
      </c>
      <c r="G9075" s="34" t="n">
        <f aca="false">SUMIFS('12.326ana'!$C:$C,'12.326ana'!$M:$M,redes!A9075)</f>
        <v>0</v>
      </c>
    </row>
    <row r="9076" customFormat="false" ht="14.4" hidden="true" customHeight="false" outlineLevel="0" collapsed="false">
      <c r="A9076" s="34" t="n">
        <v>4830115000164</v>
      </c>
      <c r="B9076" s="34" t="s">
        <v>18606</v>
      </c>
      <c r="C9076" s="34" t="s">
        <v>129</v>
      </c>
      <c r="E9076" s="30" t="s">
        <v>18607</v>
      </c>
      <c r="F9076" s="34" t="n">
        <f aca="false">IFERROR(VLOOKUP($A9076,'319'!$B:$H,7,0),0)</f>
        <v>0</v>
      </c>
      <c r="G9076" s="34" t="n">
        <f aca="false">SUMIFS('12.326ana'!$C:$C,'12.326ana'!$M:$M,redes!A9076)</f>
        <v>0</v>
      </c>
    </row>
    <row r="9077" customFormat="false" ht="14.4" hidden="true" customHeight="false" outlineLevel="0" collapsed="false">
      <c r="A9077" s="34" t="n">
        <v>4830138000179</v>
      </c>
      <c r="B9077" s="34" t="s">
        <v>18608</v>
      </c>
      <c r="C9077" s="34" t="s">
        <v>107</v>
      </c>
      <c r="E9077" s="30" t="s">
        <v>18609</v>
      </c>
      <c r="F9077" s="34" t="n">
        <f aca="false">IFERROR(VLOOKUP($A9077,'319'!$B:$H,7,0),0)</f>
        <v>0</v>
      </c>
      <c r="G9077" s="34" t="n">
        <f aca="false">SUMIFS('12.326ana'!$C:$C,'12.326ana'!$M:$M,redes!A9077)</f>
        <v>0</v>
      </c>
    </row>
    <row r="9078" customFormat="false" ht="14.4" hidden="true" customHeight="false" outlineLevel="0" collapsed="false">
      <c r="A9078" s="34" t="n">
        <v>4833529000147</v>
      </c>
      <c r="B9078" s="34" t="s">
        <v>18610</v>
      </c>
      <c r="C9078" s="34" t="s">
        <v>328</v>
      </c>
      <c r="E9078" s="30" t="s">
        <v>18611</v>
      </c>
      <c r="F9078" s="34" t="n">
        <f aca="false">IFERROR(VLOOKUP($A9078,'319'!$B:$H,7,0),0)</f>
        <v>0</v>
      </c>
      <c r="G9078" s="34" t="n">
        <f aca="false">SUMIFS('12.326ana'!$C:$C,'12.326ana'!$M:$M,redes!A9078)</f>
        <v>0</v>
      </c>
    </row>
    <row r="9079" customFormat="false" ht="14.4" hidden="true" customHeight="false" outlineLevel="0" collapsed="false">
      <c r="A9079" s="34" t="n">
        <v>4835128000126</v>
      </c>
      <c r="B9079" s="34" t="s">
        <v>18612</v>
      </c>
      <c r="C9079" s="34" t="s">
        <v>299</v>
      </c>
      <c r="E9079" s="30" t="s">
        <v>18613</v>
      </c>
      <c r="F9079" s="34" t="n">
        <f aca="false">IFERROR(VLOOKUP($A9079,'319'!$B:$H,7,0),0)</f>
        <v>0</v>
      </c>
      <c r="G9079" s="34" t="n">
        <f aca="false">SUMIFS('12.326ana'!$C:$C,'12.326ana'!$M:$M,redes!A9079)</f>
        <v>0</v>
      </c>
    </row>
    <row r="9080" customFormat="false" ht="14.4" hidden="true" customHeight="false" outlineLevel="0" collapsed="false">
      <c r="A9080" s="34" t="n">
        <v>4837818000114</v>
      </c>
      <c r="B9080" s="34" t="s">
        <v>18614</v>
      </c>
      <c r="C9080" s="34" t="s">
        <v>89</v>
      </c>
      <c r="E9080" s="30" t="s">
        <v>18615</v>
      </c>
      <c r="F9080" s="34" t="n">
        <f aca="false">IFERROR(VLOOKUP($A9080,'319'!$B:$H,7,0),0)</f>
        <v>0</v>
      </c>
      <c r="G9080" s="34" t="n">
        <f aca="false">SUMIFS('12.326ana'!$C:$C,'12.326ana'!$M:$M,redes!A9080)</f>
        <v>0</v>
      </c>
    </row>
    <row r="9081" customFormat="false" ht="14.4" hidden="true" customHeight="false" outlineLevel="0" collapsed="false">
      <c r="A9081" s="34" t="n">
        <v>4838832000132</v>
      </c>
      <c r="B9081" s="34" t="s">
        <v>18616</v>
      </c>
      <c r="C9081" s="34" t="s">
        <v>464</v>
      </c>
      <c r="E9081" s="30" t="s">
        <v>15891</v>
      </c>
      <c r="F9081" s="34" t="n">
        <f aca="false">IFERROR(VLOOKUP($A9081,'319'!$B:$H,7,0),0)</f>
        <v>0</v>
      </c>
      <c r="G9081" s="34" t="n">
        <f aca="false">SUMIFS('12.326ana'!$C:$C,'12.326ana'!$M:$M,redes!A9081)</f>
        <v>0</v>
      </c>
    </row>
    <row r="9082" customFormat="false" ht="14.4" hidden="true" customHeight="false" outlineLevel="0" collapsed="false">
      <c r="A9082" s="34" t="n">
        <v>4840033000109</v>
      </c>
      <c r="B9082" s="34" t="s">
        <v>18617</v>
      </c>
      <c r="C9082" s="34" t="s">
        <v>77</v>
      </c>
      <c r="E9082" s="30" t="s">
        <v>18618</v>
      </c>
      <c r="F9082" s="34" t="n">
        <f aca="false">IFERROR(VLOOKUP($A9082,'319'!$B:$H,7,0),0)</f>
        <v>0</v>
      </c>
      <c r="G9082" s="34" t="n">
        <f aca="false">SUMIFS('12.326ana'!$C:$C,'12.326ana'!$M:$M,redes!A9082)</f>
        <v>0</v>
      </c>
    </row>
    <row r="9083" customFormat="false" ht="14.4" hidden="true" customHeight="false" outlineLevel="0" collapsed="false">
      <c r="A9083" s="34" t="n">
        <v>4840938000170</v>
      </c>
      <c r="B9083" s="34" t="s">
        <v>18619</v>
      </c>
      <c r="C9083" s="34" t="s">
        <v>89</v>
      </c>
      <c r="E9083" s="30" t="s">
        <v>18620</v>
      </c>
      <c r="F9083" s="34" t="n">
        <f aca="false">IFERROR(VLOOKUP($A9083,'319'!$B:$H,7,0),0)</f>
        <v>0</v>
      </c>
      <c r="G9083" s="34" t="n">
        <f aca="false">SUMIFS('12.326ana'!$C:$C,'12.326ana'!$M:$M,redes!A9083)</f>
        <v>0</v>
      </c>
    </row>
    <row r="9084" customFormat="false" ht="14.4" hidden="true" customHeight="false" outlineLevel="0" collapsed="false">
      <c r="A9084" s="34" t="n">
        <v>4841496000187</v>
      </c>
      <c r="B9084" s="34" t="s">
        <v>18621</v>
      </c>
      <c r="C9084" s="34" t="s">
        <v>604</v>
      </c>
      <c r="D9084" s="34" t="s">
        <v>3324</v>
      </c>
      <c r="E9084" s="30" t="s">
        <v>18622</v>
      </c>
      <c r="F9084" s="34" t="n">
        <f aca="false">IFERROR(VLOOKUP($A9084,'319'!$B:$H,7,0),0)</f>
        <v>0</v>
      </c>
      <c r="G9084" s="34" t="n">
        <f aca="false">SUMIFS('12.326ana'!$C:$C,'12.326ana'!$M:$M,redes!A9084)</f>
        <v>0</v>
      </c>
    </row>
    <row r="9085" customFormat="false" ht="14.4" hidden="true" customHeight="false" outlineLevel="0" collapsed="false">
      <c r="A9085" s="34" t="n">
        <v>4841889000190</v>
      </c>
      <c r="B9085" s="34" t="s">
        <v>18623</v>
      </c>
      <c r="C9085" s="34" t="s">
        <v>357</v>
      </c>
      <c r="E9085" s="30" t="s">
        <v>18624</v>
      </c>
      <c r="F9085" s="34" t="n">
        <f aca="false">IFERROR(VLOOKUP($A9085,'319'!$B:$H,7,0),0)</f>
        <v>0</v>
      </c>
      <c r="G9085" s="34" t="n">
        <f aca="false">SUMIFS('12.326ana'!$C:$C,'12.326ana'!$M:$M,redes!A9085)</f>
        <v>0</v>
      </c>
    </row>
    <row r="9086" customFormat="false" ht="14.4" hidden="true" customHeight="false" outlineLevel="0" collapsed="false">
      <c r="A9086" s="34" t="n">
        <v>4843882000108</v>
      </c>
      <c r="B9086" s="34" t="s">
        <v>18625</v>
      </c>
      <c r="C9086" s="34" t="s">
        <v>680</v>
      </c>
      <c r="E9086" s="30" t="s">
        <v>14911</v>
      </c>
      <c r="F9086" s="34" t="n">
        <f aca="false">IFERROR(VLOOKUP($A9086,'319'!$B:$H,7,0),0)</f>
        <v>0</v>
      </c>
      <c r="G9086" s="34" t="n">
        <f aca="false">SUMIFS('12.326ana'!$C:$C,'12.326ana'!$M:$M,redes!A9086)</f>
        <v>0</v>
      </c>
    </row>
    <row r="9087" customFormat="false" ht="14.4" hidden="true" customHeight="false" outlineLevel="0" collapsed="false">
      <c r="A9087" s="34" t="n">
        <v>4845685000128</v>
      </c>
      <c r="B9087" s="34" t="s">
        <v>18626</v>
      </c>
      <c r="C9087" s="34" t="s">
        <v>473</v>
      </c>
      <c r="E9087" s="30" t="s">
        <v>7847</v>
      </c>
      <c r="F9087" s="34" t="n">
        <f aca="false">IFERROR(VLOOKUP($A9087,'319'!$B:$H,7,0),0)</f>
        <v>0</v>
      </c>
      <c r="G9087" s="34" t="n">
        <f aca="false">SUMIFS('12.326ana'!$C:$C,'12.326ana'!$M:$M,redes!A9087)</f>
        <v>0</v>
      </c>
    </row>
    <row r="9088" customFormat="false" ht="14.4" hidden="true" customHeight="false" outlineLevel="0" collapsed="false">
      <c r="A9088" s="34" t="n">
        <v>4847480000181</v>
      </c>
      <c r="B9088" s="34" t="s">
        <v>18627</v>
      </c>
      <c r="C9088" s="34" t="s">
        <v>107</v>
      </c>
      <c r="E9088" s="30" t="s">
        <v>18628</v>
      </c>
      <c r="F9088" s="34" t="n">
        <f aca="false">IFERROR(VLOOKUP($A9088,'319'!$B:$H,7,0),0)</f>
        <v>0</v>
      </c>
      <c r="G9088" s="34" t="n">
        <f aca="false">SUMIFS('12.326ana'!$C:$C,'12.326ana'!$M:$M,redes!A9088)</f>
        <v>0</v>
      </c>
    </row>
    <row r="9089" customFormat="false" ht="14.4" hidden="true" customHeight="false" outlineLevel="0" collapsed="false">
      <c r="A9089" s="34" t="n">
        <v>4847709000188</v>
      </c>
      <c r="B9089" s="34" t="s">
        <v>18629</v>
      </c>
      <c r="C9089" s="34" t="s">
        <v>89</v>
      </c>
      <c r="E9089" s="30" t="s">
        <v>18630</v>
      </c>
      <c r="F9089" s="34" t="n">
        <f aca="false">IFERROR(VLOOKUP($A9089,'319'!$B:$H,7,0),0)</f>
        <v>0</v>
      </c>
      <c r="G9089" s="34" t="n">
        <f aca="false">SUMIFS('12.326ana'!$C:$C,'12.326ana'!$M:$M,redes!A9089)</f>
        <v>0</v>
      </c>
    </row>
    <row r="9090" customFormat="false" ht="14.4" hidden="true" customHeight="false" outlineLevel="0" collapsed="false">
      <c r="A9090" s="34" t="n">
        <v>4847735000106</v>
      </c>
      <c r="B9090" s="34" t="s">
        <v>18631</v>
      </c>
      <c r="C9090" s="34" t="s">
        <v>77</v>
      </c>
      <c r="E9090" s="30" t="s">
        <v>18632</v>
      </c>
      <c r="F9090" s="34" t="n">
        <f aca="false">IFERROR(VLOOKUP($A9090,'319'!$B:$H,7,0),0)</f>
        <v>0</v>
      </c>
      <c r="G9090" s="34" t="n">
        <f aca="false">SUMIFS('12.326ana'!$C:$C,'12.326ana'!$M:$M,redes!A9090)</f>
        <v>0</v>
      </c>
    </row>
    <row r="9091" customFormat="false" ht="14.4" hidden="true" customHeight="false" outlineLevel="0" collapsed="false">
      <c r="A9091" s="34" t="n">
        <v>4848539000156</v>
      </c>
      <c r="B9091" s="34" t="s">
        <v>18633</v>
      </c>
      <c r="C9091" s="34" t="s">
        <v>737</v>
      </c>
      <c r="E9091" s="30" t="s">
        <v>11474</v>
      </c>
      <c r="F9091" s="34" t="n">
        <f aca="false">IFERROR(VLOOKUP($A9091,'319'!$B:$H,7,0),0)</f>
        <v>0</v>
      </c>
      <c r="G9091" s="34" t="n">
        <f aca="false">SUMIFS('12.326ana'!$C:$C,'12.326ana'!$M:$M,redes!A9091)</f>
        <v>0</v>
      </c>
    </row>
    <row r="9092" customFormat="false" ht="14.4" hidden="true" customHeight="false" outlineLevel="0" collapsed="false">
      <c r="A9092" s="34" t="n">
        <v>4849074000158</v>
      </c>
      <c r="B9092" s="34" t="s">
        <v>18634</v>
      </c>
      <c r="C9092" s="34" t="s">
        <v>77</v>
      </c>
      <c r="E9092" s="30" t="s">
        <v>18635</v>
      </c>
      <c r="F9092" s="34" t="n">
        <f aca="false">IFERROR(VLOOKUP($A9092,'319'!$B:$H,7,0),0)</f>
        <v>0</v>
      </c>
      <c r="G9092" s="34" t="n">
        <f aca="false">SUMIFS('12.326ana'!$C:$C,'12.326ana'!$M:$M,redes!A9092)</f>
        <v>0</v>
      </c>
    </row>
    <row r="9093" customFormat="false" ht="14.4" hidden="true" customHeight="false" outlineLevel="0" collapsed="false">
      <c r="A9093" s="34" t="n">
        <v>4853341000160</v>
      </c>
      <c r="B9093" s="34" t="s">
        <v>18636</v>
      </c>
      <c r="C9093" s="34" t="s">
        <v>77</v>
      </c>
      <c r="E9093" s="30" t="s">
        <v>18637</v>
      </c>
      <c r="F9093" s="34" t="n">
        <f aca="false">IFERROR(VLOOKUP($A9093,'319'!$B:$H,7,0),0)</f>
        <v>0</v>
      </c>
      <c r="G9093" s="34" t="n">
        <f aca="false">SUMIFS('12.326ana'!$C:$C,'12.326ana'!$M:$M,redes!A9093)</f>
        <v>0</v>
      </c>
    </row>
    <row r="9094" customFormat="false" ht="14.4" hidden="true" customHeight="false" outlineLevel="0" collapsed="false">
      <c r="A9094" s="34" t="n">
        <v>4854997000106</v>
      </c>
      <c r="B9094" s="34" t="s">
        <v>4987</v>
      </c>
      <c r="C9094" s="34" t="s">
        <v>77</v>
      </c>
      <c r="E9094" s="30" t="s">
        <v>18638</v>
      </c>
      <c r="F9094" s="34" t="n">
        <f aca="false">IFERROR(VLOOKUP($A9094,'319'!$B:$H,7,0),0)</f>
        <v>0</v>
      </c>
      <c r="G9094" s="34" t="n">
        <f aca="false">SUMIFS('12.326ana'!$C:$C,'12.326ana'!$M:$M,redes!A9094)</f>
        <v>0</v>
      </c>
    </row>
    <row r="9095" customFormat="false" ht="14.4" hidden="true" customHeight="false" outlineLevel="0" collapsed="false">
      <c r="A9095" s="34" t="n">
        <v>4855016000137</v>
      </c>
      <c r="B9095" s="34" t="s">
        <v>18639</v>
      </c>
      <c r="C9095" s="34" t="s">
        <v>77</v>
      </c>
      <c r="E9095" s="30" t="s">
        <v>18640</v>
      </c>
      <c r="F9095" s="34" t="n">
        <f aca="false">IFERROR(VLOOKUP($A9095,'319'!$B:$H,7,0),0)</f>
        <v>0</v>
      </c>
      <c r="G9095" s="34" t="n">
        <f aca="false">SUMIFS('12.326ana'!$C:$C,'12.326ana'!$M:$M,redes!A9095)</f>
        <v>0</v>
      </c>
    </row>
    <row r="9096" customFormat="false" ht="14.4" hidden="true" customHeight="false" outlineLevel="0" collapsed="false">
      <c r="A9096" s="34" t="n">
        <v>4855470000198</v>
      </c>
      <c r="B9096" s="34" t="s">
        <v>18641</v>
      </c>
      <c r="C9096" s="34" t="s">
        <v>631</v>
      </c>
      <c r="E9096" s="30" t="s">
        <v>18642</v>
      </c>
      <c r="F9096" s="34" t="n">
        <f aca="false">IFERROR(VLOOKUP($A9096,'319'!$B:$H,7,0),0)</f>
        <v>0</v>
      </c>
      <c r="G9096" s="34" t="n">
        <f aca="false">SUMIFS('12.326ana'!$C:$C,'12.326ana'!$M:$M,redes!A9096)</f>
        <v>0</v>
      </c>
    </row>
    <row r="9097" customFormat="false" ht="14.4" hidden="true" customHeight="false" outlineLevel="0" collapsed="false">
      <c r="A9097" s="34" t="n">
        <v>4856559000179</v>
      </c>
      <c r="B9097" s="34" t="s">
        <v>18643</v>
      </c>
      <c r="C9097" s="34" t="s">
        <v>804</v>
      </c>
      <c r="E9097" s="30" t="s">
        <v>18644</v>
      </c>
      <c r="F9097" s="34" t="n">
        <f aca="false">IFERROR(VLOOKUP($A9097,'319'!$B:$H,7,0),0)</f>
        <v>0</v>
      </c>
      <c r="G9097" s="34" t="n">
        <f aca="false">SUMIFS('12.326ana'!$C:$C,'12.326ana'!$M:$M,redes!A9097)</f>
        <v>0</v>
      </c>
    </row>
    <row r="9098" customFormat="false" ht="14.4" hidden="true" customHeight="false" outlineLevel="0" collapsed="false">
      <c r="A9098" s="34" t="n">
        <v>4856567000115</v>
      </c>
      <c r="B9098" s="34" t="s">
        <v>18645</v>
      </c>
      <c r="C9098" s="34" t="s">
        <v>77</v>
      </c>
      <c r="E9098" s="30"/>
      <c r="F9098" s="34" t="n">
        <f aca="false">IFERROR(VLOOKUP($A9098,'319'!$B:$H,7,0),0)</f>
        <v>0</v>
      </c>
      <c r="G9098" s="34" t="n">
        <f aca="false">SUMIFS('12.326ana'!$C:$C,'12.326ana'!$M:$M,redes!A9098)</f>
        <v>0</v>
      </c>
    </row>
    <row r="9099" customFormat="false" ht="14.4" hidden="true" customHeight="false" outlineLevel="0" collapsed="false">
      <c r="A9099" s="34" t="n">
        <v>4857156000144</v>
      </c>
      <c r="B9099" s="34" t="s">
        <v>18646</v>
      </c>
      <c r="C9099" s="34" t="s">
        <v>296</v>
      </c>
      <c r="E9099" s="30" t="s">
        <v>7699</v>
      </c>
      <c r="F9099" s="34" t="n">
        <f aca="false">IFERROR(VLOOKUP($A9099,'319'!$B:$H,7,0),0)</f>
        <v>0</v>
      </c>
      <c r="G9099" s="34" t="n">
        <f aca="false">SUMIFS('12.326ana'!$C:$C,'12.326ana'!$M:$M,redes!A9099)</f>
        <v>0</v>
      </c>
    </row>
    <row r="9100" customFormat="false" ht="14.4" hidden="true" customHeight="false" outlineLevel="0" collapsed="false">
      <c r="A9100" s="34" t="n">
        <v>4857906000188</v>
      </c>
      <c r="B9100" s="34" t="s">
        <v>18647</v>
      </c>
      <c r="C9100" s="34" t="s">
        <v>103</v>
      </c>
      <c r="E9100" s="30" t="s">
        <v>18648</v>
      </c>
      <c r="F9100" s="34" t="n">
        <f aca="false">IFERROR(VLOOKUP($A9100,'319'!$B:$H,7,0),0)</f>
        <v>0</v>
      </c>
      <c r="G9100" s="34" t="n">
        <f aca="false">SUMIFS('12.326ana'!$C:$C,'12.326ana'!$M:$M,redes!A9100)</f>
        <v>0</v>
      </c>
    </row>
    <row r="9101" customFormat="false" ht="14.4" hidden="true" customHeight="false" outlineLevel="0" collapsed="false">
      <c r="A9101" s="34" t="n">
        <v>4860820000104</v>
      </c>
      <c r="B9101" s="34" t="s">
        <v>18649</v>
      </c>
      <c r="C9101" s="34" t="s">
        <v>213</v>
      </c>
      <c r="E9101" s="30" t="s">
        <v>18650</v>
      </c>
      <c r="F9101" s="34" t="n">
        <f aca="false">IFERROR(VLOOKUP($A9101,'319'!$B:$H,7,0),0)</f>
        <v>0</v>
      </c>
      <c r="G9101" s="34" t="n">
        <f aca="false">SUMIFS('12.326ana'!$C:$C,'12.326ana'!$M:$M,redes!A9101)</f>
        <v>0</v>
      </c>
    </row>
    <row r="9102" customFormat="false" ht="14.4" hidden="true" customHeight="false" outlineLevel="0" collapsed="false">
      <c r="A9102" s="34" t="n">
        <v>4860926000108</v>
      </c>
      <c r="B9102" s="34" t="s">
        <v>18651</v>
      </c>
      <c r="C9102" s="34" t="s">
        <v>357</v>
      </c>
      <c r="D9102" s="34" t="s">
        <v>18652</v>
      </c>
      <c r="E9102" s="30" t="s">
        <v>18653</v>
      </c>
      <c r="F9102" s="34" t="n">
        <f aca="false">IFERROR(VLOOKUP($A9102,'319'!$B:$H,7,0),0)</f>
        <v>478.05</v>
      </c>
      <c r="G9102" s="34" t="n">
        <f aca="false">SUMIFS('12.326ana'!$C:$C,'12.326ana'!$M:$M,redes!A9102)</f>
        <v>0</v>
      </c>
    </row>
    <row r="9103" customFormat="false" ht="14.4" hidden="true" customHeight="false" outlineLevel="0" collapsed="false">
      <c r="A9103" s="34" t="n">
        <v>4860926000299</v>
      </c>
      <c r="B9103" s="34" t="s">
        <v>895</v>
      </c>
      <c r="C9103" s="34" t="s">
        <v>357</v>
      </c>
      <c r="E9103" s="30" t="s">
        <v>18654</v>
      </c>
      <c r="F9103" s="34" t="n">
        <f aca="false">IFERROR(VLOOKUP($A9103,'319'!$B:$H,7,0),0)</f>
        <v>1481.65</v>
      </c>
      <c r="G9103" s="34" t="n">
        <f aca="false">SUMIFS('12.326ana'!$C:$C,'12.326ana'!$M:$M,redes!A9103)</f>
        <v>0</v>
      </c>
    </row>
    <row r="9104" customFormat="false" ht="14.4" hidden="true" customHeight="false" outlineLevel="0" collapsed="false">
      <c r="A9104" s="34" t="n">
        <v>4860952000136</v>
      </c>
      <c r="B9104" s="34" t="s">
        <v>18655</v>
      </c>
      <c r="C9104" s="34" t="s">
        <v>77</v>
      </c>
      <c r="E9104" s="30" t="s">
        <v>18656</v>
      </c>
      <c r="F9104" s="34" t="n">
        <f aca="false">IFERROR(VLOOKUP($A9104,'319'!$B:$H,7,0),0)</f>
        <v>0</v>
      </c>
      <c r="G9104" s="34" t="n">
        <f aca="false">SUMIFS('12.326ana'!$C:$C,'12.326ana'!$M:$M,redes!A9104)</f>
        <v>0</v>
      </c>
    </row>
    <row r="9105" customFormat="false" ht="14.4" hidden="true" customHeight="false" outlineLevel="0" collapsed="false">
      <c r="A9105" s="34" t="n">
        <v>4861499000182</v>
      </c>
      <c r="B9105" s="34" t="s">
        <v>18657</v>
      </c>
      <c r="C9105" s="34" t="s">
        <v>107</v>
      </c>
      <c r="E9105" s="30" t="s">
        <v>8257</v>
      </c>
      <c r="F9105" s="34" t="n">
        <f aca="false">IFERROR(VLOOKUP($A9105,'319'!$B:$H,7,0),0)</f>
        <v>0</v>
      </c>
      <c r="G9105" s="34" t="n">
        <f aca="false">SUMIFS('12.326ana'!$C:$C,'12.326ana'!$M:$M,redes!A9105)</f>
        <v>0</v>
      </c>
    </row>
    <row r="9106" customFormat="false" ht="14.4" hidden="true" customHeight="false" outlineLevel="0" collapsed="false">
      <c r="A9106" s="34" t="n">
        <v>4863697000185</v>
      </c>
      <c r="B9106" s="34" t="s">
        <v>18658</v>
      </c>
      <c r="C9106" s="34" t="s">
        <v>213</v>
      </c>
      <c r="E9106" s="30" t="s">
        <v>18659</v>
      </c>
      <c r="F9106" s="34" t="n">
        <f aca="false">IFERROR(VLOOKUP($A9106,'319'!$B:$H,7,0),0)</f>
        <v>0</v>
      </c>
      <c r="G9106" s="34" t="n">
        <f aca="false">SUMIFS('12.326ana'!$C:$C,'12.326ana'!$M:$M,redes!A9106)</f>
        <v>0</v>
      </c>
    </row>
    <row r="9107" customFormat="false" ht="14.4" hidden="true" customHeight="false" outlineLevel="0" collapsed="false">
      <c r="A9107" s="34" t="n">
        <v>4864513000100</v>
      </c>
      <c r="B9107" s="34" t="s">
        <v>18660</v>
      </c>
      <c r="C9107" s="34" t="s">
        <v>107</v>
      </c>
      <c r="E9107" s="30" t="s">
        <v>18661</v>
      </c>
      <c r="F9107" s="34" t="n">
        <f aca="false">IFERROR(VLOOKUP($A9107,'319'!$B:$H,7,0),0)</f>
        <v>0</v>
      </c>
      <c r="G9107" s="34" t="n">
        <f aca="false">SUMIFS('12.326ana'!$C:$C,'12.326ana'!$M:$M,redes!A9107)</f>
        <v>0</v>
      </c>
    </row>
    <row r="9108" customFormat="false" ht="14.4" hidden="true" customHeight="false" outlineLevel="0" collapsed="false">
      <c r="A9108" s="34" t="n">
        <v>4864565000178</v>
      </c>
      <c r="B9108" s="34" t="s">
        <v>18662</v>
      </c>
      <c r="C9108" s="34" t="s">
        <v>842</v>
      </c>
      <c r="E9108" s="30" t="s">
        <v>18663</v>
      </c>
      <c r="F9108" s="34" t="n">
        <f aca="false">IFERROR(VLOOKUP($A9108,'319'!$B:$H,7,0),0)</f>
        <v>0</v>
      </c>
      <c r="G9108" s="34" t="n">
        <f aca="false">SUMIFS('12.326ana'!$C:$C,'12.326ana'!$M:$M,redes!A9108)</f>
        <v>0</v>
      </c>
    </row>
    <row r="9109" customFormat="false" ht="14.4" hidden="true" customHeight="false" outlineLevel="0" collapsed="false">
      <c r="A9109" s="34" t="n">
        <v>4864863000168</v>
      </c>
      <c r="B9109" s="34" t="s">
        <v>18664</v>
      </c>
      <c r="C9109" s="34" t="s">
        <v>342</v>
      </c>
      <c r="E9109" s="30" t="s">
        <v>18665</v>
      </c>
      <c r="F9109" s="34" t="n">
        <f aca="false">IFERROR(VLOOKUP($A9109,'319'!$B:$H,7,0),0)</f>
        <v>0</v>
      </c>
      <c r="G9109" s="34" t="n">
        <f aca="false">SUMIFS('12.326ana'!$C:$C,'12.326ana'!$M:$M,redes!A9109)</f>
        <v>0</v>
      </c>
    </row>
    <row r="9110" customFormat="false" ht="14.4" hidden="true" customHeight="false" outlineLevel="0" collapsed="false">
      <c r="A9110" s="34" t="n">
        <v>4864877000181</v>
      </c>
      <c r="B9110" s="34" t="s">
        <v>18666</v>
      </c>
      <c r="C9110" s="34" t="s">
        <v>342</v>
      </c>
      <c r="E9110" s="30" t="s">
        <v>18667</v>
      </c>
      <c r="F9110" s="34" t="n">
        <f aca="false">IFERROR(VLOOKUP($A9110,'319'!$B:$H,7,0),0)</f>
        <v>0</v>
      </c>
      <c r="G9110" s="34" t="n">
        <f aca="false">SUMIFS('12.326ana'!$C:$C,'12.326ana'!$M:$M,redes!A9110)</f>
        <v>0</v>
      </c>
    </row>
    <row r="9111" customFormat="false" ht="14.4" hidden="true" customHeight="false" outlineLevel="0" collapsed="false">
      <c r="A9111" s="34" t="n">
        <v>4865045000180</v>
      </c>
      <c r="B9111" s="34" t="s">
        <v>18668</v>
      </c>
      <c r="C9111" s="34" t="s">
        <v>127</v>
      </c>
      <c r="E9111" s="30" t="s">
        <v>18669</v>
      </c>
      <c r="F9111" s="34" t="n">
        <f aca="false">IFERROR(VLOOKUP($A9111,'319'!$B:$H,7,0),0)</f>
        <v>0</v>
      </c>
      <c r="G9111" s="34" t="n">
        <f aca="false">SUMIFS('12.326ana'!$C:$C,'12.326ana'!$M:$M,redes!A9111)</f>
        <v>0</v>
      </c>
    </row>
    <row r="9112" customFormat="false" ht="14.4" hidden="true" customHeight="false" outlineLevel="0" collapsed="false">
      <c r="A9112" s="34" t="n">
        <v>4865210000101</v>
      </c>
      <c r="B9112" s="34" t="s">
        <v>18670</v>
      </c>
      <c r="C9112" s="34" t="s">
        <v>139</v>
      </c>
      <c r="E9112" s="30" t="s">
        <v>18671</v>
      </c>
      <c r="F9112" s="34" t="n">
        <f aca="false">IFERROR(VLOOKUP($A9112,'319'!$B:$H,7,0),0)</f>
        <v>0</v>
      </c>
      <c r="G9112" s="34" t="n">
        <f aca="false">SUMIFS('12.326ana'!$C:$C,'12.326ana'!$M:$M,redes!A9112)</f>
        <v>0</v>
      </c>
    </row>
    <row r="9113" customFormat="false" ht="14.4" hidden="true" customHeight="false" outlineLevel="0" collapsed="false">
      <c r="A9113" s="34" t="n">
        <v>4867968000170</v>
      </c>
      <c r="B9113" s="34" t="s">
        <v>18672</v>
      </c>
      <c r="C9113" s="34" t="s">
        <v>139</v>
      </c>
      <c r="E9113" s="30" t="s">
        <v>18673</v>
      </c>
      <c r="F9113" s="34" t="n">
        <f aca="false">IFERROR(VLOOKUP($A9113,'319'!$B:$H,7,0),0)</f>
        <v>0</v>
      </c>
      <c r="G9113" s="34" t="n">
        <f aca="false">SUMIFS('12.326ana'!$C:$C,'12.326ana'!$M:$M,redes!A9113)</f>
        <v>0</v>
      </c>
    </row>
    <row r="9114" customFormat="false" ht="14.4" hidden="true" customHeight="false" outlineLevel="0" collapsed="false">
      <c r="A9114" s="34" t="n">
        <v>4868412001332</v>
      </c>
      <c r="B9114" s="34" t="s">
        <v>18674</v>
      </c>
      <c r="C9114" s="34" t="s">
        <v>351</v>
      </c>
      <c r="E9114" s="30" t="s">
        <v>18675</v>
      </c>
      <c r="F9114" s="34" t="n">
        <f aca="false">IFERROR(VLOOKUP($A9114,'319'!$B:$H,7,0),0)</f>
        <v>0</v>
      </c>
      <c r="G9114" s="34" t="n">
        <f aca="false">SUMIFS('12.326ana'!$C:$C,'12.326ana'!$M:$M,redes!A9114)</f>
        <v>0</v>
      </c>
    </row>
    <row r="9115" customFormat="false" ht="14.4" hidden="true" customHeight="false" outlineLevel="0" collapsed="false">
      <c r="A9115" s="34" t="n">
        <v>4868437000100</v>
      </c>
      <c r="B9115" s="34" t="s">
        <v>18676</v>
      </c>
      <c r="C9115" s="34" t="s">
        <v>764</v>
      </c>
      <c r="E9115" s="30" t="s">
        <v>18677</v>
      </c>
      <c r="F9115" s="34" t="n">
        <f aca="false">IFERROR(VLOOKUP($A9115,'319'!$B:$H,7,0),0)</f>
        <v>0</v>
      </c>
      <c r="G9115" s="34" t="n">
        <f aca="false">SUMIFS('12.326ana'!$C:$C,'12.326ana'!$M:$M,redes!A9115)</f>
        <v>0</v>
      </c>
    </row>
    <row r="9116" customFormat="false" ht="14.4" hidden="true" customHeight="false" outlineLevel="0" collapsed="false">
      <c r="A9116" s="34" t="n">
        <v>4870153000140</v>
      </c>
      <c r="B9116" s="34" t="s">
        <v>18678</v>
      </c>
      <c r="C9116" s="34" t="s">
        <v>207</v>
      </c>
      <c r="E9116" s="30" t="s">
        <v>18679</v>
      </c>
      <c r="F9116" s="34" t="n">
        <f aca="false">IFERROR(VLOOKUP($A9116,'319'!$B:$H,7,0),0)</f>
        <v>0</v>
      </c>
      <c r="G9116" s="34" t="n">
        <f aca="false">SUMIFS('12.326ana'!$C:$C,'12.326ana'!$M:$M,redes!A9116)</f>
        <v>0</v>
      </c>
    </row>
    <row r="9117" customFormat="false" ht="14.4" hidden="true" customHeight="false" outlineLevel="0" collapsed="false">
      <c r="A9117" s="34" t="n">
        <v>4870174000166</v>
      </c>
      <c r="B9117" s="34" t="s">
        <v>18680</v>
      </c>
      <c r="C9117" s="34" t="s">
        <v>77</v>
      </c>
      <c r="E9117" s="30" t="s">
        <v>18681</v>
      </c>
      <c r="F9117" s="34" t="n">
        <f aca="false">IFERROR(VLOOKUP($A9117,'319'!$B:$H,7,0),0)</f>
        <v>0</v>
      </c>
      <c r="G9117" s="34" t="n">
        <f aca="false">SUMIFS('12.326ana'!$C:$C,'12.326ana'!$M:$M,redes!A9117)</f>
        <v>0</v>
      </c>
    </row>
    <row r="9118" customFormat="false" ht="14.4" hidden="true" customHeight="false" outlineLevel="0" collapsed="false">
      <c r="A9118" s="34" t="n">
        <v>4874443000162</v>
      </c>
      <c r="B9118" s="34" t="s">
        <v>18682</v>
      </c>
      <c r="C9118" s="34" t="s">
        <v>336</v>
      </c>
      <c r="E9118" s="30" t="s">
        <v>9028</v>
      </c>
      <c r="F9118" s="34" t="n">
        <f aca="false">IFERROR(VLOOKUP($A9118,'319'!$B:$H,7,0),0)</f>
        <v>0</v>
      </c>
      <c r="G9118" s="34" t="n">
        <f aca="false">SUMIFS('12.326ana'!$C:$C,'12.326ana'!$M:$M,redes!A9118)</f>
        <v>0</v>
      </c>
    </row>
    <row r="9119" customFormat="false" ht="14.4" hidden="true" customHeight="false" outlineLevel="0" collapsed="false">
      <c r="A9119" s="34" t="n">
        <v>4874497000128</v>
      </c>
      <c r="B9119" s="34" t="s">
        <v>18683</v>
      </c>
      <c r="C9119" s="34" t="s">
        <v>4462</v>
      </c>
      <c r="E9119" s="30" t="s">
        <v>15449</v>
      </c>
      <c r="F9119" s="34" t="n">
        <f aca="false">IFERROR(VLOOKUP($A9119,'319'!$B:$H,7,0),0)</f>
        <v>0</v>
      </c>
      <c r="G9119" s="34" t="n">
        <f aca="false">SUMIFS('12.326ana'!$C:$C,'12.326ana'!$M:$M,redes!A9119)</f>
        <v>0</v>
      </c>
    </row>
    <row r="9120" customFormat="false" ht="14.4" hidden="true" customHeight="false" outlineLevel="0" collapsed="false">
      <c r="A9120" s="34" t="n">
        <v>4875800000107</v>
      </c>
      <c r="B9120" s="34" t="s">
        <v>18684</v>
      </c>
      <c r="C9120" s="34" t="s">
        <v>448</v>
      </c>
      <c r="E9120" s="30" t="s">
        <v>18685</v>
      </c>
      <c r="F9120" s="34" t="n">
        <f aca="false">IFERROR(VLOOKUP($A9120,'319'!$B:$H,7,0),0)</f>
        <v>0</v>
      </c>
      <c r="G9120" s="34" t="n">
        <f aca="false">SUMIFS('12.326ana'!$C:$C,'12.326ana'!$M:$M,redes!A9120)</f>
        <v>0</v>
      </c>
    </row>
    <row r="9121" customFormat="false" ht="14.4" hidden="true" customHeight="false" outlineLevel="0" collapsed="false">
      <c r="A9121" s="34" t="n">
        <v>4877066000115</v>
      </c>
      <c r="B9121" s="34" t="s">
        <v>18686</v>
      </c>
      <c r="C9121" s="34" t="s">
        <v>475</v>
      </c>
      <c r="E9121" s="30" t="s">
        <v>18686</v>
      </c>
      <c r="F9121" s="34" t="n">
        <f aca="false">IFERROR(VLOOKUP($A9121,'319'!$B:$H,7,0),0)</f>
        <v>0</v>
      </c>
      <c r="G9121" s="34" t="n">
        <f aca="false">SUMIFS('12.326ana'!$C:$C,'12.326ana'!$M:$M,redes!A9121)</f>
        <v>0</v>
      </c>
    </row>
    <row r="9122" customFormat="false" ht="14.4" hidden="true" customHeight="false" outlineLevel="0" collapsed="false">
      <c r="A9122" s="34" t="n">
        <v>4877066000204</v>
      </c>
      <c r="B9122" s="34" t="s">
        <v>18686</v>
      </c>
      <c r="C9122" s="34" t="s">
        <v>475</v>
      </c>
      <c r="E9122" s="30" t="s">
        <v>18687</v>
      </c>
      <c r="F9122" s="34" t="n">
        <f aca="false">IFERROR(VLOOKUP($A9122,'319'!$B:$H,7,0),0)</f>
        <v>0</v>
      </c>
      <c r="G9122" s="34" t="n">
        <f aca="false">SUMIFS('12.326ana'!$C:$C,'12.326ana'!$M:$M,redes!A9122)</f>
        <v>0</v>
      </c>
    </row>
    <row r="9123" customFormat="false" ht="14.4" hidden="true" customHeight="false" outlineLevel="0" collapsed="false">
      <c r="A9123" s="34" t="n">
        <v>4878270000150</v>
      </c>
      <c r="B9123" s="34" t="s">
        <v>18688</v>
      </c>
      <c r="C9123" s="34" t="s">
        <v>737</v>
      </c>
      <c r="E9123" s="30" t="s">
        <v>3066</v>
      </c>
      <c r="F9123" s="34" t="n">
        <f aca="false">IFERROR(VLOOKUP($A9123,'319'!$B:$H,7,0),0)</f>
        <v>0</v>
      </c>
      <c r="G9123" s="34" t="n">
        <f aca="false">SUMIFS('12.326ana'!$C:$C,'12.326ana'!$M:$M,redes!A9123)</f>
        <v>0</v>
      </c>
    </row>
    <row r="9124" customFormat="false" ht="14.4" hidden="true" customHeight="false" outlineLevel="0" collapsed="false">
      <c r="A9124" s="34" t="n">
        <v>4879450000157</v>
      </c>
      <c r="B9124" s="34" t="s">
        <v>18689</v>
      </c>
      <c r="C9124" s="34" t="s">
        <v>464</v>
      </c>
      <c r="E9124" s="30" t="s">
        <v>18690</v>
      </c>
      <c r="F9124" s="34" t="n">
        <f aca="false">IFERROR(VLOOKUP($A9124,'319'!$B:$H,7,0),0)</f>
        <v>0</v>
      </c>
      <c r="G9124" s="34" t="n">
        <f aca="false">SUMIFS('12.326ana'!$C:$C,'12.326ana'!$M:$M,redes!A9124)</f>
        <v>0</v>
      </c>
    </row>
    <row r="9125" customFormat="false" ht="14.4" hidden="true" customHeight="false" outlineLevel="0" collapsed="false">
      <c r="A9125" s="34" t="n">
        <v>4879800000185</v>
      </c>
      <c r="B9125" s="34" t="s">
        <v>18691</v>
      </c>
      <c r="C9125" s="34" t="s">
        <v>463</v>
      </c>
      <c r="E9125" s="30" t="s">
        <v>3112</v>
      </c>
      <c r="F9125" s="34" t="n">
        <f aca="false">IFERROR(VLOOKUP($A9125,'319'!$B:$H,7,0),0)</f>
        <v>0</v>
      </c>
      <c r="G9125" s="34" t="n">
        <f aca="false">SUMIFS('12.326ana'!$C:$C,'12.326ana'!$M:$M,redes!A9125)</f>
        <v>0</v>
      </c>
    </row>
    <row r="9126" customFormat="false" ht="14.4" hidden="true" customHeight="false" outlineLevel="0" collapsed="false">
      <c r="A9126" s="34" t="n">
        <v>4882876000160</v>
      </c>
      <c r="B9126" s="34" t="s">
        <v>18692</v>
      </c>
      <c r="C9126" s="34" t="s">
        <v>77</v>
      </c>
      <c r="E9126" s="30" t="s">
        <v>14633</v>
      </c>
      <c r="F9126" s="34" t="n">
        <f aca="false">IFERROR(VLOOKUP($A9126,'319'!$B:$H,7,0),0)</f>
        <v>0</v>
      </c>
      <c r="G9126" s="34" t="n">
        <f aca="false">SUMIFS('12.326ana'!$C:$C,'12.326ana'!$M:$M,redes!A9126)</f>
        <v>0</v>
      </c>
    </row>
    <row r="9127" customFormat="false" ht="14.4" hidden="true" customHeight="false" outlineLevel="0" collapsed="false">
      <c r="A9127" s="34" t="n">
        <v>4882884000106</v>
      </c>
      <c r="B9127" s="34" t="s">
        <v>18693</v>
      </c>
      <c r="C9127" s="34" t="s">
        <v>139</v>
      </c>
      <c r="E9127" s="30" t="s">
        <v>18694</v>
      </c>
      <c r="F9127" s="34" t="n">
        <f aca="false">IFERROR(VLOOKUP($A9127,'319'!$B:$H,7,0),0)</f>
        <v>0</v>
      </c>
      <c r="G9127" s="34" t="n">
        <f aca="false">SUMIFS('12.326ana'!$C:$C,'12.326ana'!$M:$M,redes!A9127)</f>
        <v>0</v>
      </c>
    </row>
    <row r="9128" customFormat="false" ht="14.4" hidden="true" customHeight="false" outlineLevel="0" collapsed="false">
      <c r="A9128" s="34" t="n">
        <v>4886967000173</v>
      </c>
      <c r="B9128" s="34" t="s">
        <v>18695</v>
      </c>
      <c r="C9128" s="34" t="s">
        <v>77</v>
      </c>
      <c r="E9128" s="30" t="s">
        <v>18696</v>
      </c>
      <c r="F9128" s="34" t="n">
        <f aca="false">IFERROR(VLOOKUP($A9128,'319'!$B:$H,7,0),0)</f>
        <v>0</v>
      </c>
      <c r="G9128" s="34" t="n">
        <f aca="false">SUMIFS('12.326ana'!$C:$C,'12.326ana'!$M:$M,redes!A9128)</f>
        <v>0</v>
      </c>
    </row>
    <row r="9129" customFormat="false" ht="14.4" hidden="true" customHeight="false" outlineLevel="0" collapsed="false">
      <c r="A9129" s="34" t="n">
        <v>4887509000159</v>
      </c>
      <c r="B9129" s="34" t="s">
        <v>18697</v>
      </c>
      <c r="C9129" s="34" t="s">
        <v>631</v>
      </c>
      <c r="E9129" s="30" t="s">
        <v>18698</v>
      </c>
      <c r="F9129" s="34" t="n">
        <f aca="false">IFERROR(VLOOKUP($A9129,'319'!$B:$H,7,0),0)</f>
        <v>0</v>
      </c>
      <c r="G9129" s="34" t="n">
        <f aca="false">SUMIFS('12.326ana'!$C:$C,'12.326ana'!$M:$M,redes!A9129)</f>
        <v>0</v>
      </c>
    </row>
    <row r="9130" customFormat="false" ht="14.4" hidden="true" customHeight="false" outlineLevel="0" collapsed="false">
      <c r="A9130" s="34" t="n">
        <v>4890200000118</v>
      </c>
      <c r="B9130" s="34" t="s">
        <v>18699</v>
      </c>
      <c r="C9130" s="34" t="s">
        <v>89</v>
      </c>
      <c r="E9130" s="30" t="s">
        <v>18700</v>
      </c>
      <c r="F9130" s="34" t="n">
        <f aca="false">IFERROR(VLOOKUP($A9130,'319'!$B:$H,7,0),0)</f>
        <v>0</v>
      </c>
      <c r="G9130" s="34" t="n">
        <f aca="false">SUMIFS('12.326ana'!$C:$C,'12.326ana'!$M:$M,redes!A9130)</f>
        <v>0</v>
      </c>
    </row>
    <row r="9131" customFormat="false" ht="14.4" hidden="true" customHeight="false" outlineLevel="0" collapsed="false">
      <c r="A9131" s="34" t="n">
        <v>4890676000159</v>
      </c>
      <c r="B9131" s="34" t="s">
        <v>18701</v>
      </c>
      <c r="C9131" s="34" t="s">
        <v>1306</v>
      </c>
      <c r="E9131" s="30" t="s">
        <v>18702</v>
      </c>
      <c r="F9131" s="34" t="n">
        <f aca="false">IFERROR(VLOOKUP($A9131,'319'!$B:$H,7,0),0)</f>
        <v>0</v>
      </c>
      <c r="G9131" s="34" t="n">
        <f aca="false">SUMIFS('12.326ana'!$C:$C,'12.326ana'!$M:$M,redes!A9131)</f>
        <v>0</v>
      </c>
    </row>
    <row r="9132" customFormat="false" ht="14.4" hidden="true" customHeight="false" outlineLevel="0" collapsed="false">
      <c r="A9132" s="34" t="n">
        <v>4890884000158</v>
      </c>
      <c r="B9132" s="34" t="s">
        <v>18703</v>
      </c>
      <c r="C9132" s="34" t="s">
        <v>6278</v>
      </c>
      <c r="E9132" s="30" t="s">
        <v>11293</v>
      </c>
      <c r="F9132" s="34" t="n">
        <f aca="false">IFERROR(VLOOKUP($A9132,'319'!$B:$H,7,0),0)</f>
        <v>0</v>
      </c>
      <c r="G9132" s="34" t="n">
        <f aca="false">SUMIFS('12.326ana'!$C:$C,'12.326ana'!$M:$M,redes!A9132)</f>
        <v>0</v>
      </c>
    </row>
    <row r="9133" customFormat="false" ht="14.4" hidden="true" customHeight="false" outlineLevel="0" collapsed="false">
      <c r="A9133" s="34" t="n">
        <v>4890886000147</v>
      </c>
      <c r="B9133" s="34" t="s">
        <v>18704</v>
      </c>
      <c r="C9133" s="34" t="s">
        <v>77</v>
      </c>
      <c r="E9133" s="30" t="s">
        <v>18705</v>
      </c>
      <c r="F9133" s="34" t="n">
        <f aca="false">IFERROR(VLOOKUP($A9133,'319'!$B:$H,7,0),0)</f>
        <v>0</v>
      </c>
      <c r="G9133" s="34" t="n">
        <f aca="false">SUMIFS('12.326ana'!$C:$C,'12.326ana'!$M:$M,redes!A9133)</f>
        <v>0</v>
      </c>
    </row>
    <row r="9134" customFormat="false" ht="14.4" hidden="true" customHeight="false" outlineLevel="0" collapsed="false">
      <c r="A9134" s="34" t="n">
        <v>4894338000195</v>
      </c>
      <c r="B9134" s="34" t="s">
        <v>18706</v>
      </c>
      <c r="C9134" s="34" t="s">
        <v>107</v>
      </c>
      <c r="E9134" s="30" t="s">
        <v>18707</v>
      </c>
      <c r="F9134" s="34" t="n">
        <f aca="false">IFERROR(VLOOKUP($A9134,'319'!$B:$H,7,0),0)</f>
        <v>0</v>
      </c>
      <c r="G9134" s="34" t="n">
        <f aca="false">SUMIFS('12.326ana'!$C:$C,'12.326ana'!$M:$M,redes!A9134)</f>
        <v>0</v>
      </c>
    </row>
    <row r="9135" customFormat="false" ht="14.4" hidden="true" customHeight="false" outlineLevel="0" collapsed="false">
      <c r="A9135" s="34" t="n">
        <v>4894346000131</v>
      </c>
      <c r="B9135" s="34" t="s">
        <v>18708</v>
      </c>
      <c r="C9135" s="34" t="s">
        <v>107</v>
      </c>
      <c r="E9135" s="30" t="s">
        <v>3038</v>
      </c>
      <c r="F9135" s="34" t="n">
        <f aca="false">IFERROR(VLOOKUP($A9135,'319'!$B:$H,7,0),0)</f>
        <v>0</v>
      </c>
      <c r="G9135" s="34" t="n">
        <f aca="false">SUMIFS('12.326ana'!$C:$C,'12.326ana'!$M:$M,redes!A9135)</f>
        <v>0</v>
      </c>
    </row>
    <row r="9136" customFormat="false" ht="14.4" hidden="true" customHeight="false" outlineLevel="0" collapsed="false">
      <c r="A9136" s="34" t="n">
        <v>4894399000152</v>
      </c>
      <c r="B9136" s="34" t="s">
        <v>18709</v>
      </c>
      <c r="C9136" s="34" t="s">
        <v>77</v>
      </c>
      <c r="E9136" s="30" t="s">
        <v>18710</v>
      </c>
      <c r="F9136" s="34" t="n">
        <f aca="false">IFERROR(VLOOKUP($A9136,'319'!$B:$H,7,0),0)</f>
        <v>0</v>
      </c>
      <c r="G9136" s="34" t="n">
        <f aca="false">SUMIFS('12.326ana'!$C:$C,'12.326ana'!$M:$M,redes!A9136)</f>
        <v>0</v>
      </c>
    </row>
    <row r="9137" customFormat="false" ht="14.4" hidden="true" customHeight="false" outlineLevel="0" collapsed="false">
      <c r="A9137" s="34" t="n">
        <v>4895459000151</v>
      </c>
      <c r="B9137" s="34" t="s">
        <v>18711</v>
      </c>
      <c r="C9137" s="34" t="s">
        <v>77</v>
      </c>
      <c r="E9137" s="30" t="s">
        <v>18712</v>
      </c>
      <c r="F9137" s="34" t="n">
        <f aca="false">IFERROR(VLOOKUP($A9137,'319'!$B:$H,7,0),0)</f>
        <v>0</v>
      </c>
      <c r="G9137" s="34" t="n">
        <f aca="false">SUMIFS('12.326ana'!$C:$C,'12.326ana'!$M:$M,redes!A9137)</f>
        <v>0</v>
      </c>
    </row>
    <row r="9138" customFormat="false" ht="14.4" hidden="true" customHeight="false" outlineLevel="0" collapsed="false">
      <c r="A9138" s="34" t="n">
        <v>4896568000193</v>
      </c>
      <c r="B9138" s="34" t="s">
        <v>18713</v>
      </c>
      <c r="C9138" s="34" t="s">
        <v>107</v>
      </c>
      <c r="E9138" s="30" t="s">
        <v>18714</v>
      </c>
      <c r="F9138" s="34" t="n">
        <f aca="false">IFERROR(VLOOKUP($A9138,'319'!$B:$H,7,0),0)</f>
        <v>0</v>
      </c>
      <c r="G9138" s="34" t="n">
        <f aca="false">SUMIFS('12.326ana'!$C:$C,'12.326ana'!$M:$M,redes!A9138)</f>
        <v>0</v>
      </c>
    </row>
    <row r="9139" customFormat="false" ht="14.4" hidden="true" customHeight="false" outlineLevel="0" collapsed="false">
      <c r="A9139" s="34" t="n">
        <v>4896706000134</v>
      </c>
      <c r="B9139" s="34" t="s">
        <v>18715</v>
      </c>
      <c r="C9139" s="34" t="s">
        <v>979</v>
      </c>
      <c r="E9139" s="30" t="s">
        <v>18716</v>
      </c>
      <c r="F9139" s="34" t="n">
        <f aca="false">IFERROR(VLOOKUP($A9139,'319'!$B:$H,7,0),0)</f>
        <v>0</v>
      </c>
      <c r="G9139" s="34" t="n">
        <f aca="false">SUMIFS('12.326ana'!$C:$C,'12.326ana'!$M:$M,redes!A9139)</f>
        <v>0</v>
      </c>
    </row>
    <row r="9140" customFormat="false" ht="14.4" hidden="true" customHeight="false" outlineLevel="0" collapsed="false">
      <c r="A9140" s="34" t="n">
        <v>4897693000118</v>
      </c>
      <c r="B9140" s="34" t="s">
        <v>18717</v>
      </c>
      <c r="C9140" s="34" t="s">
        <v>357</v>
      </c>
      <c r="E9140" s="30" t="s">
        <v>18718</v>
      </c>
      <c r="F9140" s="34" t="n">
        <f aca="false">IFERROR(VLOOKUP($A9140,'319'!$B:$H,7,0),0)</f>
        <v>0</v>
      </c>
      <c r="G9140" s="34" t="n">
        <f aca="false">SUMIFS('12.326ana'!$C:$C,'12.326ana'!$M:$M,redes!A9140)</f>
        <v>0</v>
      </c>
    </row>
    <row r="9141" customFormat="false" ht="14.4" hidden="true" customHeight="false" outlineLevel="0" collapsed="false">
      <c r="A9141" s="34" t="n">
        <v>4902229000172</v>
      </c>
      <c r="B9141" s="34" t="s">
        <v>18719</v>
      </c>
      <c r="C9141" s="34" t="s">
        <v>77</v>
      </c>
      <c r="E9141" s="30" t="s">
        <v>18720</v>
      </c>
      <c r="F9141" s="34" t="n">
        <f aca="false">IFERROR(VLOOKUP($A9141,'319'!$B:$H,7,0),0)</f>
        <v>0</v>
      </c>
      <c r="G9141" s="34" t="n">
        <f aca="false">SUMIFS('12.326ana'!$C:$C,'12.326ana'!$M:$M,redes!A9141)</f>
        <v>0</v>
      </c>
    </row>
    <row r="9142" customFormat="false" ht="14.4" hidden="true" customHeight="false" outlineLevel="0" collapsed="false">
      <c r="A9142" s="34" t="n">
        <v>4903003000196</v>
      </c>
      <c r="B9142" s="34" t="s">
        <v>18721</v>
      </c>
      <c r="C9142" s="34" t="s">
        <v>77</v>
      </c>
      <c r="E9142" s="30" t="s">
        <v>18722</v>
      </c>
      <c r="F9142" s="34" t="n">
        <f aca="false">IFERROR(VLOOKUP($A9142,'319'!$B:$H,7,0),0)</f>
        <v>0</v>
      </c>
      <c r="G9142" s="34" t="n">
        <f aca="false">SUMIFS('12.326ana'!$C:$C,'12.326ana'!$M:$M,redes!A9142)</f>
        <v>0</v>
      </c>
    </row>
    <row r="9143" customFormat="false" ht="14.4" hidden="true" customHeight="false" outlineLevel="0" collapsed="false">
      <c r="A9143" s="34" t="n">
        <v>4905393000133</v>
      </c>
      <c r="B9143" s="34" t="s">
        <v>18723</v>
      </c>
      <c r="C9143" s="34" t="s">
        <v>77</v>
      </c>
      <c r="E9143" s="30" t="s">
        <v>18724</v>
      </c>
      <c r="F9143" s="34" t="n">
        <f aca="false">IFERROR(VLOOKUP($A9143,'319'!$B:$H,7,0),0)</f>
        <v>0</v>
      </c>
      <c r="G9143" s="34" t="n">
        <f aca="false">SUMIFS('12.326ana'!$C:$C,'12.326ana'!$M:$M,redes!A9143)</f>
        <v>0</v>
      </c>
    </row>
    <row r="9144" customFormat="false" ht="14.4" hidden="true" customHeight="false" outlineLevel="0" collapsed="false">
      <c r="A9144" s="34" t="n">
        <v>4905494000104</v>
      </c>
      <c r="B9144" s="34" t="s">
        <v>18725</v>
      </c>
      <c r="C9144" s="34" t="s">
        <v>4261</v>
      </c>
      <c r="E9144" s="30" t="s">
        <v>18726</v>
      </c>
      <c r="F9144" s="34" t="n">
        <f aca="false">IFERROR(VLOOKUP($A9144,'319'!$B:$H,7,0),0)</f>
        <v>0</v>
      </c>
      <c r="G9144" s="34" t="n">
        <f aca="false">SUMIFS('12.326ana'!$C:$C,'12.326ana'!$M:$M,redes!A9144)</f>
        <v>0</v>
      </c>
    </row>
    <row r="9145" customFormat="false" ht="14.4" hidden="true" customHeight="false" outlineLevel="0" collapsed="false">
      <c r="A9145" s="34" t="n">
        <v>4906615000132</v>
      </c>
      <c r="B9145" s="34" t="s">
        <v>18727</v>
      </c>
      <c r="C9145" s="34" t="s">
        <v>328</v>
      </c>
      <c r="E9145" s="30" t="s">
        <v>18728</v>
      </c>
      <c r="F9145" s="34" t="n">
        <f aca="false">IFERROR(VLOOKUP($A9145,'319'!$B:$H,7,0),0)</f>
        <v>0</v>
      </c>
      <c r="G9145" s="34" t="n">
        <f aca="false">SUMIFS('12.326ana'!$C:$C,'12.326ana'!$M:$M,redes!A9145)</f>
        <v>0</v>
      </c>
    </row>
    <row r="9146" customFormat="false" ht="14.4" hidden="true" customHeight="false" outlineLevel="0" collapsed="false">
      <c r="A9146" s="34" t="n">
        <v>4908856000110</v>
      </c>
      <c r="B9146" s="34" t="s">
        <v>18729</v>
      </c>
      <c r="C9146" s="34" t="s">
        <v>89</v>
      </c>
      <c r="E9146" s="30" t="s">
        <v>18730</v>
      </c>
      <c r="F9146" s="34" t="n">
        <f aca="false">IFERROR(VLOOKUP($A9146,'319'!$B:$H,7,0),0)</f>
        <v>0</v>
      </c>
      <c r="G9146" s="34" t="n">
        <f aca="false">SUMIFS('12.326ana'!$C:$C,'12.326ana'!$M:$M,redes!A9146)</f>
        <v>0</v>
      </c>
    </row>
    <row r="9147" customFormat="false" ht="14.4" hidden="true" customHeight="false" outlineLevel="0" collapsed="false">
      <c r="A9147" s="34" t="n">
        <v>4909639000145</v>
      </c>
      <c r="B9147" s="34" t="s">
        <v>18731</v>
      </c>
      <c r="C9147" s="34" t="s">
        <v>77</v>
      </c>
      <c r="E9147" s="30" t="s">
        <v>5804</v>
      </c>
      <c r="F9147" s="34" t="n">
        <f aca="false">IFERROR(VLOOKUP($A9147,'319'!$B:$H,7,0),0)</f>
        <v>0</v>
      </c>
      <c r="G9147" s="34" t="n">
        <f aca="false">SUMIFS('12.326ana'!$C:$C,'12.326ana'!$M:$M,redes!A9147)</f>
        <v>0</v>
      </c>
    </row>
    <row r="9148" customFormat="false" ht="14.4" hidden="true" customHeight="false" outlineLevel="0" collapsed="false">
      <c r="A9148" s="34" t="n">
        <v>4910265000188</v>
      </c>
      <c r="B9148" s="34" t="s">
        <v>18732</v>
      </c>
      <c r="C9148" s="34" t="s">
        <v>594</v>
      </c>
      <c r="E9148" s="30" t="s">
        <v>18733</v>
      </c>
      <c r="F9148" s="34" t="n">
        <f aca="false">IFERROR(VLOOKUP($A9148,'319'!$B:$H,7,0),0)</f>
        <v>0</v>
      </c>
      <c r="G9148" s="34" t="n">
        <f aca="false">SUMIFS('12.326ana'!$C:$C,'12.326ana'!$M:$M,redes!A9148)</f>
        <v>0</v>
      </c>
    </row>
    <row r="9149" customFormat="false" ht="14.4" hidden="true" customHeight="false" outlineLevel="0" collapsed="false">
      <c r="A9149" s="34" t="n">
        <v>4911082000187</v>
      </c>
      <c r="B9149" s="34" t="s">
        <v>18734</v>
      </c>
      <c r="C9149" s="34" t="s">
        <v>336</v>
      </c>
      <c r="E9149" s="30" t="s">
        <v>18735</v>
      </c>
      <c r="F9149" s="34" t="n">
        <f aca="false">IFERROR(VLOOKUP($A9149,'319'!$B:$H,7,0),0)</f>
        <v>0</v>
      </c>
      <c r="G9149" s="34" t="n">
        <f aca="false">SUMIFS('12.326ana'!$C:$C,'12.326ana'!$M:$M,redes!A9149)</f>
        <v>0</v>
      </c>
    </row>
    <row r="9150" customFormat="false" ht="14.4" hidden="true" customHeight="false" outlineLevel="0" collapsed="false">
      <c r="A9150" s="34" t="n">
        <v>4911365000129</v>
      </c>
      <c r="B9150" s="34" t="s">
        <v>18736</v>
      </c>
      <c r="C9150" s="34" t="s">
        <v>103</v>
      </c>
      <c r="E9150" s="30" t="s">
        <v>18737</v>
      </c>
      <c r="F9150" s="34" t="n">
        <f aca="false">IFERROR(VLOOKUP($A9150,'319'!$B:$H,7,0),0)</f>
        <v>0</v>
      </c>
      <c r="G9150" s="34" t="n">
        <f aca="false">SUMIFS('12.326ana'!$C:$C,'12.326ana'!$M:$M,redes!A9150)</f>
        <v>0</v>
      </c>
    </row>
    <row r="9151" customFormat="false" ht="14.4" hidden="true" customHeight="false" outlineLevel="0" collapsed="false">
      <c r="A9151" s="34" t="n">
        <v>4912335000137</v>
      </c>
      <c r="B9151" s="34" t="s">
        <v>18738</v>
      </c>
      <c r="C9151" s="34" t="s">
        <v>77</v>
      </c>
      <c r="E9151" s="30" t="s">
        <v>18739</v>
      </c>
      <c r="F9151" s="34" t="n">
        <f aca="false">IFERROR(VLOOKUP($A9151,'319'!$B:$H,7,0),0)</f>
        <v>0</v>
      </c>
      <c r="G9151" s="34" t="n">
        <f aca="false">SUMIFS('12.326ana'!$C:$C,'12.326ana'!$M:$M,redes!A9151)</f>
        <v>0</v>
      </c>
    </row>
    <row r="9152" customFormat="false" ht="14.4" hidden="true" customHeight="false" outlineLevel="0" collapsed="false">
      <c r="A9152" s="34" t="n">
        <v>4913576000109</v>
      </c>
      <c r="B9152" s="34" t="s">
        <v>18740</v>
      </c>
      <c r="C9152" s="34" t="s">
        <v>1591</v>
      </c>
      <c r="E9152" s="30" t="s">
        <v>18741</v>
      </c>
      <c r="F9152" s="34" t="n">
        <f aca="false">IFERROR(VLOOKUP($A9152,'319'!$B:$H,7,0),0)</f>
        <v>0</v>
      </c>
      <c r="G9152" s="34" t="n">
        <f aca="false">SUMIFS('12.326ana'!$C:$C,'12.326ana'!$M:$M,redes!A9152)</f>
        <v>0</v>
      </c>
    </row>
    <row r="9153" customFormat="false" ht="14.4" hidden="true" customHeight="false" outlineLevel="0" collapsed="false">
      <c r="A9153" s="34" t="n">
        <v>4914603000150</v>
      </c>
      <c r="B9153" s="34" t="s">
        <v>18742</v>
      </c>
      <c r="C9153" s="34" t="s">
        <v>463</v>
      </c>
      <c r="E9153" s="30" t="s">
        <v>18743</v>
      </c>
      <c r="F9153" s="34" t="n">
        <f aca="false">IFERROR(VLOOKUP($A9153,'319'!$B:$H,7,0),0)</f>
        <v>0</v>
      </c>
      <c r="G9153" s="34" t="n">
        <f aca="false">SUMIFS('12.326ana'!$C:$C,'12.326ana'!$M:$M,redes!A9153)</f>
        <v>0</v>
      </c>
    </row>
    <row r="9154" customFormat="false" ht="14.4" hidden="true" customHeight="false" outlineLevel="0" collapsed="false">
      <c r="A9154" s="34" t="n">
        <v>4914605000149</v>
      </c>
      <c r="B9154" s="34" t="s">
        <v>18744</v>
      </c>
      <c r="C9154" s="34" t="s">
        <v>463</v>
      </c>
      <c r="E9154" s="30" t="s">
        <v>18745</v>
      </c>
      <c r="F9154" s="34" t="n">
        <f aca="false">IFERROR(VLOOKUP($A9154,'319'!$B:$H,7,0),0)</f>
        <v>0</v>
      </c>
      <c r="G9154" s="34" t="n">
        <f aca="false">SUMIFS('12.326ana'!$C:$C,'12.326ana'!$M:$M,redes!A9154)</f>
        <v>0</v>
      </c>
    </row>
    <row r="9155" customFormat="false" ht="14.4" hidden="true" customHeight="false" outlineLevel="0" collapsed="false">
      <c r="A9155" s="34" t="n">
        <v>4914837000105</v>
      </c>
      <c r="B9155" s="34" t="s">
        <v>18746</v>
      </c>
      <c r="C9155" s="34" t="s">
        <v>207</v>
      </c>
      <c r="E9155" s="30" t="s">
        <v>18747</v>
      </c>
      <c r="F9155" s="34" t="n">
        <f aca="false">IFERROR(VLOOKUP($A9155,'319'!$B:$H,7,0),0)</f>
        <v>0</v>
      </c>
      <c r="G9155" s="34" t="n">
        <f aca="false">SUMIFS('12.326ana'!$C:$C,'12.326ana'!$M:$M,redes!A9155)</f>
        <v>0</v>
      </c>
    </row>
    <row r="9156" customFormat="false" ht="14.4" hidden="true" customHeight="false" outlineLevel="0" collapsed="false">
      <c r="A9156" s="34" t="n">
        <v>4917718000106</v>
      </c>
      <c r="B9156" s="34" t="s">
        <v>18748</v>
      </c>
      <c r="C9156" s="34" t="s">
        <v>89</v>
      </c>
      <c r="E9156" s="30" t="s">
        <v>18749</v>
      </c>
      <c r="F9156" s="34" t="n">
        <f aca="false">IFERROR(VLOOKUP($A9156,'319'!$B:$H,7,0),0)</f>
        <v>0</v>
      </c>
      <c r="G9156" s="34" t="n">
        <f aca="false">SUMIFS('12.326ana'!$C:$C,'12.326ana'!$M:$M,redes!A9156)</f>
        <v>0</v>
      </c>
    </row>
    <row r="9157" customFormat="false" ht="14.4" hidden="true" customHeight="false" outlineLevel="0" collapsed="false">
      <c r="A9157" s="34" t="n">
        <v>4917807000144</v>
      </c>
      <c r="B9157" s="34" t="s">
        <v>18750</v>
      </c>
      <c r="C9157" s="34" t="s">
        <v>77</v>
      </c>
      <c r="E9157" s="30" t="s">
        <v>18751</v>
      </c>
      <c r="F9157" s="34" t="n">
        <f aca="false">IFERROR(VLOOKUP($A9157,'319'!$B:$H,7,0),0)</f>
        <v>0</v>
      </c>
      <c r="G9157" s="34" t="n">
        <f aca="false">SUMIFS('12.326ana'!$C:$C,'12.326ana'!$M:$M,redes!A9157)</f>
        <v>0</v>
      </c>
    </row>
    <row r="9158" customFormat="false" ht="14.4" hidden="true" customHeight="false" outlineLevel="0" collapsed="false">
      <c r="A9158" s="34" t="n">
        <v>4917808000199</v>
      </c>
      <c r="B9158" s="34" t="s">
        <v>18752</v>
      </c>
      <c r="C9158" s="34" t="s">
        <v>77</v>
      </c>
      <c r="E9158" s="30" t="s">
        <v>18753</v>
      </c>
      <c r="F9158" s="34" t="n">
        <f aca="false">IFERROR(VLOOKUP($A9158,'319'!$B:$H,7,0),0)</f>
        <v>0</v>
      </c>
      <c r="G9158" s="34" t="n">
        <f aca="false">SUMIFS('12.326ana'!$C:$C,'12.326ana'!$M:$M,redes!A9158)</f>
        <v>0</v>
      </c>
    </row>
    <row r="9159" customFormat="false" ht="14.4" hidden="true" customHeight="false" outlineLevel="0" collapsed="false">
      <c r="A9159" s="34" t="n">
        <v>4918973000165</v>
      </c>
      <c r="B9159" s="34" t="s">
        <v>18754</v>
      </c>
      <c r="C9159" s="34" t="s">
        <v>103</v>
      </c>
      <c r="E9159" s="30" t="s">
        <v>18755</v>
      </c>
      <c r="F9159" s="34" t="n">
        <f aca="false">IFERROR(VLOOKUP($A9159,'319'!$B:$H,7,0),0)</f>
        <v>0</v>
      </c>
      <c r="G9159" s="34" t="n">
        <f aca="false">SUMIFS('12.326ana'!$C:$C,'12.326ana'!$M:$M,redes!A9159)</f>
        <v>0</v>
      </c>
    </row>
    <row r="9160" customFormat="false" ht="14.4" hidden="true" customHeight="false" outlineLevel="0" collapsed="false">
      <c r="A9160" s="34" t="n">
        <v>4920031000111</v>
      </c>
      <c r="B9160" s="34" t="s">
        <v>18756</v>
      </c>
      <c r="C9160" s="34" t="s">
        <v>77</v>
      </c>
      <c r="E9160" s="30" t="s">
        <v>15218</v>
      </c>
      <c r="F9160" s="34" t="n">
        <f aca="false">IFERROR(VLOOKUP($A9160,'319'!$B:$H,7,0),0)</f>
        <v>0</v>
      </c>
      <c r="G9160" s="34" t="n">
        <f aca="false">SUMIFS('12.326ana'!$C:$C,'12.326ana'!$M:$M,redes!A9160)</f>
        <v>0</v>
      </c>
    </row>
    <row r="9161" customFormat="false" ht="14.4" hidden="true" customHeight="false" outlineLevel="0" collapsed="false">
      <c r="A9161" s="34" t="n">
        <v>4923420000109</v>
      </c>
      <c r="B9161" s="34" t="s">
        <v>18757</v>
      </c>
      <c r="C9161" s="34" t="s">
        <v>77</v>
      </c>
      <c r="E9161" s="30" t="s">
        <v>16201</v>
      </c>
      <c r="F9161" s="34" t="n">
        <f aca="false">IFERROR(VLOOKUP($A9161,'319'!$B:$H,7,0),0)</f>
        <v>0</v>
      </c>
      <c r="G9161" s="34" t="n">
        <f aca="false">SUMIFS('12.326ana'!$C:$C,'12.326ana'!$M:$M,redes!A9161)</f>
        <v>0</v>
      </c>
    </row>
    <row r="9162" customFormat="false" ht="14.4" hidden="true" customHeight="false" outlineLevel="0" collapsed="false">
      <c r="A9162" s="34" t="n">
        <v>4923420000281</v>
      </c>
      <c r="B9162" s="34" t="s">
        <v>18757</v>
      </c>
      <c r="C9162" s="34" t="s">
        <v>77</v>
      </c>
      <c r="E9162" s="30" t="s">
        <v>16201</v>
      </c>
      <c r="F9162" s="34" t="n">
        <f aca="false">IFERROR(VLOOKUP($A9162,'319'!$B:$H,7,0),0)</f>
        <v>0</v>
      </c>
      <c r="G9162" s="34" t="n">
        <f aca="false">SUMIFS('12.326ana'!$C:$C,'12.326ana'!$M:$M,redes!A9162)</f>
        <v>0</v>
      </c>
    </row>
    <row r="9163" customFormat="false" ht="14.4" hidden="true" customHeight="false" outlineLevel="0" collapsed="false">
      <c r="A9163" s="34" t="n">
        <v>4923662000194</v>
      </c>
      <c r="B9163" s="34" t="s">
        <v>18758</v>
      </c>
      <c r="C9163" s="34" t="s">
        <v>77</v>
      </c>
      <c r="E9163" s="30" t="s">
        <v>9359</v>
      </c>
      <c r="F9163" s="34" t="n">
        <f aca="false">IFERROR(VLOOKUP($A9163,'319'!$B:$H,7,0),0)</f>
        <v>0</v>
      </c>
      <c r="G9163" s="34" t="n">
        <f aca="false">SUMIFS('12.326ana'!$C:$C,'12.326ana'!$M:$M,redes!A9163)</f>
        <v>0</v>
      </c>
    </row>
    <row r="9164" customFormat="false" ht="14.4" hidden="true" customHeight="false" outlineLevel="0" collapsed="false">
      <c r="A9164" s="34" t="n">
        <v>4925352000109</v>
      </c>
      <c r="B9164" s="34" t="s">
        <v>18759</v>
      </c>
      <c r="C9164" s="34" t="s">
        <v>804</v>
      </c>
      <c r="E9164" s="30" t="s">
        <v>18760</v>
      </c>
      <c r="F9164" s="34" t="n">
        <f aca="false">IFERROR(VLOOKUP($A9164,'319'!$B:$H,7,0),0)</f>
        <v>0</v>
      </c>
      <c r="G9164" s="34" t="n">
        <f aca="false">SUMIFS('12.326ana'!$C:$C,'12.326ana'!$M:$M,redes!A9164)</f>
        <v>0</v>
      </c>
    </row>
    <row r="9165" customFormat="false" ht="14.4" hidden="true" customHeight="false" outlineLevel="0" collapsed="false">
      <c r="A9165" s="34" t="n">
        <v>4925570000143</v>
      </c>
      <c r="B9165" s="34" t="s">
        <v>1187</v>
      </c>
      <c r="C9165" s="34" t="s">
        <v>935</v>
      </c>
      <c r="E9165" s="30" t="s">
        <v>12363</v>
      </c>
      <c r="F9165" s="34" t="n">
        <f aca="false">IFERROR(VLOOKUP($A9165,'319'!$B:$H,7,0),0)</f>
        <v>348.65</v>
      </c>
      <c r="G9165" s="34" t="n">
        <f aca="false">SUMIFS('12.326ana'!$C:$C,'12.326ana'!$M:$M,redes!A9165)</f>
        <v>0</v>
      </c>
    </row>
    <row r="9166" customFormat="false" ht="14.4" hidden="true" customHeight="false" outlineLevel="0" collapsed="false">
      <c r="A9166" s="34" t="n">
        <v>4930678000124</v>
      </c>
      <c r="B9166" s="34" t="s">
        <v>18761</v>
      </c>
      <c r="C9166" s="34" t="s">
        <v>1054</v>
      </c>
      <c r="E9166" s="30"/>
      <c r="F9166" s="34" t="n">
        <f aca="false">IFERROR(VLOOKUP($A9166,'319'!$B:$H,7,0),0)</f>
        <v>0</v>
      </c>
      <c r="G9166" s="34" t="n">
        <f aca="false">SUMIFS('12.326ana'!$C:$C,'12.326ana'!$M:$M,redes!A9166)</f>
        <v>0</v>
      </c>
    </row>
    <row r="9167" customFormat="false" ht="14.4" hidden="true" customHeight="false" outlineLevel="0" collapsed="false">
      <c r="A9167" s="34" t="n">
        <v>4933960000165</v>
      </c>
      <c r="B9167" s="34" t="s">
        <v>18762</v>
      </c>
      <c r="C9167" s="34" t="s">
        <v>77</v>
      </c>
      <c r="E9167" s="30" t="s">
        <v>18763</v>
      </c>
      <c r="F9167" s="34" t="n">
        <f aca="false">IFERROR(VLOOKUP($A9167,'319'!$B:$H,7,0),0)</f>
        <v>0</v>
      </c>
      <c r="G9167" s="34" t="n">
        <f aca="false">SUMIFS('12.326ana'!$C:$C,'12.326ana'!$M:$M,redes!A9167)</f>
        <v>0</v>
      </c>
    </row>
    <row r="9168" customFormat="false" ht="14.4" hidden="true" customHeight="false" outlineLevel="0" collapsed="false">
      <c r="A9168" s="34" t="n">
        <v>4934414000149</v>
      </c>
      <c r="B9168" s="34" t="s">
        <v>18764</v>
      </c>
      <c r="C9168" s="34" t="s">
        <v>475</v>
      </c>
      <c r="E9168" s="30" t="s">
        <v>18765</v>
      </c>
      <c r="F9168" s="34" t="n">
        <f aca="false">IFERROR(VLOOKUP($A9168,'319'!$B:$H,7,0),0)</f>
        <v>0</v>
      </c>
      <c r="G9168" s="34" t="n">
        <f aca="false">SUMIFS('12.326ana'!$C:$C,'12.326ana'!$M:$M,redes!A9168)</f>
        <v>0</v>
      </c>
    </row>
    <row r="9169" customFormat="false" ht="14.4" hidden="true" customHeight="false" outlineLevel="0" collapsed="false">
      <c r="A9169" s="34" t="n">
        <v>4934658000121</v>
      </c>
      <c r="B9169" s="34" t="s">
        <v>18766</v>
      </c>
      <c r="C9169" s="34" t="s">
        <v>77</v>
      </c>
      <c r="E9169" s="30" t="s">
        <v>18767</v>
      </c>
      <c r="F9169" s="34" t="n">
        <f aca="false">IFERROR(VLOOKUP($A9169,'319'!$B:$H,7,0),0)</f>
        <v>0</v>
      </c>
      <c r="G9169" s="34" t="n">
        <f aca="false">SUMIFS('12.326ana'!$C:$C,'12.326ana'!$M:$M,redes!A9169)</f>
        <v>0</v>
      </c>
    </row>
    <row r="9170" customFormat="false" ht="14.4" hidden="true" customHeight="false" outlineLevel="0" collapsed="false">
      <c r="A9170" s="34" t="n">
        <v>4936450000141</v>
      </c>
      <c r="B9170" s="34" t="s">
        <v>18768</v>
      </c>
      <c r="C9170" s="34" t="s">
        <v>107</v>
      </c>
      <c r="E9170" s="30" t="s">
        <v>18769</v>
      </c>
      <c r="F9170" s="34" t="n">
        <f aca="false">IFERROR(VLOOKUP($A9170,'319'!$B:$H,7,0),0)</f>
        <v>0</v>
      </c>
      <c r="G9170" s="34" t="n">
        <f aca="false">SUMIFS('12.326ana'!$C:$C,'12.326ana'!$M:$M,redes!A9170)</f>
        <v>0</v>
      </c>
    </row>
    <row r="9171" customFormat="false" ht="14.4" hidden="true" customHeight="false" outlineLevel="0" collapsed="false">
      <c r="A9171" s="34" t="n">
        <v>4936671000110</v>
      </c>
      <c r="B9171" s="34" t="s">
        <v>18770</v>
      </c>
      <c r="C9171" s="34" t="s">
        <v>744</v>
      </c>
      <c r="E9171" s="30" t="s">
        <v>18771</v>
      </c>
      <c r="F9171" s="34" t="n">
        <f aca="false">IFERROR(VLOOKUP($A9171,'319'!$B:$H,7,0),0)</f>
        <v>0</v>
      </c>
      <c r="G9171" s="34" t="n">
        <f aca="false">SUMIFS('12.326ana'!$C:$C,'12.326ana'!$M:$M,redes!A9171)</f>
        <v>0</v>
      </c>
    </row>
    <row r="9172" customFormat="false" ht="14.4" hidden="true" customHeight="false" outlineLevel="0" collapsed="false">
      <c r="A9172" s="34" t="n">
        <v>4937849000147</v>
      </c>
      <c r="B9172" s="34" t="s">
        <v>18772</v>
      </c>
      <c r="C9172" s="34" t="s">
        <v>77</v>
      </c>
      <c r="E9172" s="30" t="s">
        <v>18773</v>
      </c>
      <c r="F9172" s="34" t="n">
        <f aca="false">IFERROR(VLOOKUP($A9172,'319'!$B:$H,7,0),0)</f>
        <v>0</v>
      </c>
      <c r="G9172" s="34" t="n">
        <f aca="false">SUMIFS('12.326ana'!$C:$C,'12.326ana'!$M:$M,redes!A9172)</f>
        <v>0</v>
      </c>
    </row>
    <row r="9173" customFormat="false" ht="14.4" hidden="true" customHeight="false" outlineLevel="0" collapsed="false">
      <c r="A9173" s="34" t="n">
        <v>4938800000109</v>
      </c>
      <c r="B9173" s="34" t="s">
        <v>18774</v>
      </c>
      <c r="C9173" s="34" t="s">
        <v>594</v>
      </c>
      <c r="E9173" s="30" t="s">
        <v>18775</v>
      </c>
      <c r="F9173" s="34" t="n">
        <f aca="false">IFERROR(VLOOKUP($A9173,'319'!$B:$H,7,0),0)</f>
        <v>0</v>
      </c>
      <c r="G9173" s="34" t="n">
        <f aca="false">SUMIFS('12.326ana'!$C:$C,'12.326ana'!$M:$M,redes!A9173)</f>
        <v>0</v>
      </c>
    </row>
    <row r="9174" customFormat="false" ht="14.4" hidden="true" customHeight="false" outlineLevel="0" collapsed="false">
      <c r="A9174" s="34" t="n">
        <v>4939522000104</v>
      </c>
      <c r="B9174" s="34" t="s">
        <v>18776</v>
      </c>
      <c r="C9174" s="34" t="s">
        <v>328</v>
      </c>
      <c r="E9174" s="30" t="s">
        <v>18777</v>
      </c>
      <c r="F9174" s="34" t="n">
        <f aca="false">IFERROR(VLOOKUP($A9174,'319'!$B:$H,7,0),0)</f>
        <v>0</v>
      </c>
      <c r="G9174" s="34" t="n">
        <f aca="false">SUMIFS('12.326ana'!$C:$C,'12.326ana'!$M:$M,redes!A9174)</f>
        <v>0</v>
      </c>
    </row>
    <row r="9175" customFormat="false" ht="14.4" hidden="true" customHeight="false" outlineLevel="0" collapsed="false">
      <c r="A9175" s="34" t="n">
        <v>4942770000104</v>
      </c>
      <c r="B9175" s="34" t="s">
        <v>18778</v>
      </c>
      <c r="C9175" s="34" t="s">
        <v>77</v>
      </c>
      <c r="E9175" s="30" t="s">
        <v>18779</v>
      </c>
      <c r="F9175" s="34" t="n">
        <f aca="false">IFERROR(VLOOKUP($A9175,'319'!$B:$H,7,0),0)</f>
        <v>0</v>
      </c>
      <c r="G9175" s="34" t="n">
        <f aca="false">SUMIFS('12.326ana'!$C:$C,'12.326ana'!$M:$M,redes!A9175)</f>
        <v>0</v>
      </c>
    </row>
    <row r="9176" customFormat="false" ht="14.4" hidden="true" customHeight="false" outlineLevel="0" collapsed="false">
      <c r="A9176" s="34" t="n">
        <v>4945813000105</v>
      </c>
      <c r="B9176" s="34" t="s">
        <v>18780</v>
      </c>
      <c r="C9176" s="34" t="s">
        <v>77</v>
      </c>
      <c r="E9176" s="30" t="s">
        <v>18781</v>
      </c>
      <c r="F9176" s="34" t="n">
        <f aca="false">IFERROR(VLOOKUP($A9176,'319'!$B:$H,7,0),0)</f>
        <v>0</v>
      </c>
      <c r="G9176" s="34" t="n">
        <f aca="false">SUMIFS('12.326ana'!$C:$C,'12.326ana'!$M:$M,redes!A9176)</f>
        <v>0</v>
      </c>
    </row>
    <row r="9177" customFormat="false" ht="14.4" hidden="true" customHeight="false" outlineLevel="0" collapsed="false">
      <c r="A9177" s="34" t="n">
        <v>4948216000134</v>
      </c>
      <c r="B9177" s="34" t="s">
        <v>18782</v>
      </c>
      <c r="C9177" s="34" t="s">
        <v>3594</v>
      </c>
      <c r="E9177" s="30" t="s">
        <v>18783</v>
      </c>
      <c r="F9177" s="34" t="n">
        <f aca="false">IFERROR(VLOOKUP($A9177,'319'!$B:$H,7,0),0)</f>
        <v>0</v>
      </c>
      <c r="G9177" s="34" t="n">
        <f aca="false">SUMIFS('12.326ana'!$C:$C,'12.326ana'!$M:$M,redes!A9177)</f>
        <v>0</v>
      </c>
    </row>
    <row r="9178" customFormat="false" ht="14.4" hidden="true" customHeight="false" outlineLevel="0" collapsed="false">
      <c r="A9178" s="34" t="n">
        <v>4948387000163</v>
      </c>
      <c r="B9178" s="34" t="s">
        <v>8821</v>
      </c>
      <c r="C9178" s="34" t="s">
        <v>77</v>
      </c>
      <c r="E9178" s="30" t="s">
        <v>8822</v>
      </c>
      <c r="F9178" s="34" t="n">
        <f aca="false">IFERROR(VLOOKUP($A9178,'319'!$B:$H,7,0),0)</f>
        <v>0</v>
      </c>
      <c r="G9178" s="34" t="n">
        <f aca="false">SUMIFS('12.326ana'!$C:$C,'12.326ana'!$M:$M,redes!A9178)</f>
        <v>0</v>
      </c>
    </row>
    <row r="9179" customFormat="false" ht="14.4" hidden="true" customHeight="false" outlineLevel="0" collapsed="false">
      <c r="A9179" s="34" t="n">
        <v>4950520000116</v>
      </c>
      <c r="B9179" s="34" t="s">
        <v>18784</v>
      </c>
      <c r="C9179" s="34" t="s">
        <v>737</v>
      </c>
      <c r="E9179" s="30" t="s">
        <v>18785</v>
      </c>
      <c r="F9179" s="34" t="n">
        <f aca="false">IFERROR(VLOOKUP($A9179,'319'!$B:$H,7,0),0)</f>
        <v>0</v>
      </c>
      <c r="G9179" s="34" t="n">
        <f aca="false">SUMIFS('12.326ana'!$C:$C,'12.326ana'!$M:$M,redes!A9179)</f>
        <v>0</v>
      </c>
    </row>
    <row r="9180" customFormat="false" ht="14.4" hidden="true" customHeight="false" outlineLevel="0" collapsed="false">
      <c r="A9180" s="34" t="n">
        <v>4951113000123</v>
      </c>
      <c r="B9180" s="34" t="s">
        <v>18786</v>
      </c>
      <c r="C9180" s="34" t="s">
        <v>1680</v>
      </c>
      <c r="E9180" s="30"/>
      <c r="F9180" s="34" t="n">
        <f aca="false">IFERROR(VLOOKUP($A9180,'319'!$B:$H,7,0),0)</f>
        <v>0</v>
      </c>
      <c r="G9180" s="34" t="n">
        <f aca="false">SUMIFS('12.326ana'!$C:$C,'12.326ana'!$M:$M,redes!A9180)</f>
        <v>0</v>
      </c>
    </row>
    <row r="9181" customFormat="false" ht="14.4" hidden="true" customHeight="false" outlineLevel="0" collapsed="false">
      <c r="A9181" s="34" t="n">
        <v>4951287000196</v>
      </c>
      <c r="B9181" s="34" t="s">
        <v>18787</v>
      </c>
      <c r="C9181" s="34" t="s">
        <v>107</v>
      </c>
      <c r="E9181" s="30" t="s">
        <v>18788</v>
      </c>
      <c r="F9181" s="34" t="n">
        <f aca="false">IFERROR(VLOOKUP($A9181,'319'!$B:$H,7,0),0)</f>
        <v>0</v>
      </c>
      <c r="G9181" s="34" t="n">
        <f aca="false">SUMIFS('12.326ana'!$C:$C,'12.326ana'!$M:$M,redes!A9181)</f>
        <v>0</v>
      </c>
    </row>
    <row r="9182" customFormat="false" ht="14.4" hidden="true" customHeight="false" outlineLevel="0" collapsed="false">
      <c r="A9182" s="34" t="n">
        <v>4951490000162</v>
      </c>
      <c r="B9182" s="34" t="s">
        <v>18789</v>
      </c>
      <c r="C9182" s="34" t="s">
        <v>107</v>
      </c>
      <c r="E9182" s="30" t="s">
        <v>18790</v>
      </c>
      <c r="F9182" s="34" t="n">
        <f aca="false">IFERROR(VLOOKUP($A9182,'319'!$B:$H,7,0),0)</f>
        <v>0</v>
      </c>
      <c r="G9182" s="34" t="n">
        <f aca="false">SUMIFS('12.326ana'!$C:$C,'12.326ana'!$M:$M,redes!A9182)</f>
        <v>0</v>
      </c>
    </row>
    <row r="9183" customFormat="false" ht="14.4" hidden="true" customHeight="false" outlineLevel="0" collapsed="false">
      <c r="A9183" s="34" t="n">
        <v>4951496000130</v>
      </c>
      <c r="B9183" s="34" t="s">
        <v>18791</v>
      </c>
      <c r="C9183" s="34" t="s">
        <v>103</v>
      </c>
      <c r="E9183" s="30" t="s">
        <v>4504</v>
      </c>
      <c r="F9183" s="34" t="n">
        <f aca="false">IFERROR(VLOOKUP($A9183,'319'!$B:$H,7,0),0)</f>
        <v>0</v>
      </c>
      <c r="G9183" s="34" t="n">
        <f aca="false">SUMIFS('12.326ana'!$C:$C,'12.326ana'!$M:$M,redes!A9183)</f>
        <v>0</v>
      </c>
    </row>
    <row r="9184" customFormat="false" ht="14.4" hidden="true" customHeight="false" outlineLevel="0" collapsed="false">
      <c r="A9184" s="34" t="n">
        <v>4951540000101</v>
      </c>
      <c r="B9184" s="34" t="s">
        <v>18792</v>
      </c>
      <c r="C9184" s="34" t="s">
        <v>594</v>
      </c>
      <c r="E9184" s="30" t="s">
        <v>985</v>
      </c>
      <c r="F9184" s="34" t="n">
        <f aca="false">IFERROR(VLOOKUP($A9184,'319'!$B:$H,7,0),0)</f>
        <v>1005.7</v>
      </c>
      <c r="G9184" s="34" t="n">
        <f aca="false">SUMIFS('12.326ana'!$C:$C,'12.326ana'!$M:$M,redes!A9184)</f>
        <v>0</v>
      </c>
    </row>
    <row r="9185" customFormat="false" ht="14.4" hidden="true" customHeight="false" outlineLevel="0" collapsed="false">
      <c r="A9185" s="34" t="n">
        <v>4953103000127</v>
      </c>
      <c r="B9185" s="34" t="s">
        <v>18793</v>
      </c>
      <c r="C9185" s="34" t="s">
        <v>594</v>
      </c>
      <c r="E9185" s="30" t="s">
        <v>18794</v>
      </c>
      <c r="F9185" s="34" t="n">
        <f aca="false">IFERROR(VLOOKUP($A9185,'319'!$B:$H,7,0),0)</f>
        <v>0</v>
      </c>
      <c r="G9185" s="34" t="n">
        <f aca="false">SUMIFS('12.326ana'!$C:$C,'12.326ana'!$M:$M,redes!A9185)</f>
        <v>0</v>
      </c>
    </row>
    <row r="9186" customFormat="false" ht="14.4" hidden="true" customHeight="false" outlineLevel="0" collapsed="false">
      <c r="A9186" s="34" t="n">
        <v>4955858000160</v>
      </c>
      <c r="B9186" s="34" t="s">
        <v>18795</v>
      </c>
      <c r="C9186" s="34" t="s">
        <v>77</v>
      </c>
      <c r="E9186" s="30" t="s">
        <v>18796</v>
      </c>
      <c r="F9186" s="34" t="n">
        <f aca="false">IFERROR(VLOOKUP($A9186,'319'!$B:$H,7,0),0)</f>
        <v>0</v>
      </c>
      <c r="G9186" s="34" t="n">
        <f aca="false">SUMIFS('12.326ana'!$C:$C,'12.326ana'!$M:$M,redes!A9186)</f>
        <v>0</v>
      </c>
    </row>
    <row r="9187" customFormat="false" ht="14.4" hidden="true" customHeight="false" outlineLevel="0" collapsed="false">
      <c r="A9187" s="34" t="n">
        <v>4957778000144</v>
      </c>
      <c r="B9187" s="34" t="s">
        <v>18797</v>
      </c>
      <c r="C9187" s="34" t="s">
        <v>581</v>
      </c>
      <c r="E9187" s="30" t="s">
        <v>5781</v>
      </c>
      <c r="F9187" s="34" t="n">
        <f aca="false">IFERROR(VLOOKUP($A9187,'319'!$B:$H,7,0),0)</f>
        <v>0</v>
      </c>
      <c r="G9187" s="34" t="n">
        <f aca="false">SUMIFS('12.326ana'!$C:$C,'12.326ana'!$M:$M,redes!A9187)</f>
        <v>0</v>
      </c>
    </row>
    <row r="9188" customFormat="false" ht="14.4" hidden="true" customHeight="false" outlineLevel="0" collapsed="false">
      <c r="A9188" s="34" t="n">
        <v>4958272000150</v>
      </c>
      <c r="B9188" s="34" t="s">
        <v>18798</v>
      </c>
      <c r="C9188" s="34" t="s">
        <v>475</v>
      </c>
      <c r="E9188" s="30" t="s">
        <v>18799</v>
      </c>
      <c r="F9188" s="34" t="n">
        <f aca="false">IFERROR(VLOOKUP($A9188,'319'!$B:$H,7,0),0)</f>
        <v>0</v>
      </c>
      <c r="G9188" s="34" t="n">
        <f aca="false">SUMIFS('12.326ana'!$C:$C,'12.326ana'!$M:$M,redes!A9188)</f>
        <v>0</v>
      </c>
    </row>
    <row r="9189" customFormat="false" ht="14.4" hidden="true" customHeight="false" outlineLevel="0" collapsed="false">
      <c r="A9189" s="34" t="n">
        <v>4958530000106</v>
      </c>
      <c r="B9189" s="34" t="s">
        <v>18800</v>
      </c>
      <c r="C9189" s="34" t="s">
        <v>405</v>
      </c>
      <c r="E9189" s="30" t="s">
        <v>18801</v>
      </c>
      <c r="F9189" s="34" t="n">
        <f aca="false">IFERROR(VLOOKUP($A9189,'319'!$B:$H,7,0),0)</f>
        <v>0</v>
      </c>
      <c r="G9189" s="34" t="n">
        <f aca="false">SUMIFS('12.326ana'!$C:$C,'12.326ana'!$M:$M,redes!A9189)</f>
        <v>0</v>
      </c>
    </row>
    <row r="9190" customFormat="false" ht="14.4" hidden="true" customHeight="false" outlineLevel="0" collapsed="false">
      <c r="A9190" s="34" t="n">
        <v>4958683000145</v>
      </c>
      <c r="B9190" s="34" t="s">
        <v>18802</v>
      </c>
      <c r="C9190" s="34" t="s">
        <v>781</v>
      </c>
      <c r="E9190" s="30" t="s">
        <v>18803</v>
      </c>
      <c r="F9190" s="34" t="n">
        <f aca="false">IFERROR(VLOOKUP($A9190,'319'!$B:$H,7,0),0)</f>
        <v>0</v>
      </c>
      <c r="G9190" s="34" t="n">
        <f aca="false">SUMIFS('12.326ana'!$C:$C,'12.326ana'!$M:$M,redes!A9190)</f>
        <v>0</v>
      </c>
    </row>
    <row r="9191" customFormat="false" ht="14.4" hidden="true" customHeight="false" outlineLevel="0" collapsed="false">
      <c r="A9191" s="34" t="n">
        <v>4960872000152</v>
      </c>
      <c r="B9191" s="34" t="s">
        <v>9063</v>
      </c>
      <c r="C9191" s="34" t="s">
        <v>77</v>
      </c>
      <c r="E9191" s="30" t="s">
        <v>18804</v>
      </c>
      <c r="F9191" s="34" t="n">
        <f aca="false">IFERROR(VLOOKUP($A9191,'319'!$B:$H,7,0),0)</f>
        <v>0</v>
      </c>
      <c r="G9191" s="34" t="n">
        <f aca="false">SUMIFS('12.326ana'!$C:$C,'12.326ana'!$M:$M,redes!A9191)</f>
        <v>0</v>
      </c>
    </row>
    <row r="9192" customFormat="false" ht="14.4" hidden="true" customHeight="false" outlineLevel="0" collapsed="false">
      <c r="A9192" s="34" t="n">
        <v>4960929000113</v>
      </c>
      <c r="B9192" s="34" t="s">
        <v>18805</v>
      </c>
      <c r="C9192" s="34" t="s">
        <v>77</v>
      </c>
      <c r="E9192" s="30" t="s">
        <v>18806</v>
      </c>
      <c r="F9192" s="34" t="n">
        <f aca="false">IFERROR(VLOOKUP($A9192,'319'!$B:$H,7,0),0)</f>
        <v>0</v>
      </c>
      <c r="G9192" s="34" t="n">
        <f aca="false">SUMIFS('12.326ana'!$C:$C,'12.326ana'!$M:$M,redes!A9192)</f>
        <v>0</v>
      </c>
    </row>
    <row r="9193" customFormat="false" ht="14.4" hidden="true" customHeight="false" outlineLevel="0" collapsed="false">
      <c r="A9193" s="34" t="n">
        <v>4961047000172</v>
      </c>
      <c r="B9193" s="34" t="s">
        <v>18807</v>
      </c>
      <c r="C9193" s="34" t="s">
        <v>77</v>
      </c>
      <c r="E9193" s="30" t="s">
        <v>18808</v>
      </c>
      <c r="F9193" s="34" t="n">
        <f aca="false">IFERROR(VLOOKUP($A9193,'319'!$B:$H,7,0),0)</f>
        <v>0</v>
      </c>
      <c r="G9193" s="34" t="n">
        <f aca="false">SUMIFS('12.326ana'!$C:$C,'12.326ana'!$M:$M,redes!A9193)</f>
        <v>0</v>
      </c>
    </row>
    <row r="9194" customFormat="false" ht="14.4" hidden="true" customHeight="false" outlineLevel="0" collapsed="false">
      <c r="A9194" s="34" t="n">
        <v>4962923000185</v>
      </c>
      <c r="B9194" s="34" t="s">
        <v>18809</v>
      </c>
      <c r="C9194" s="34" t="s">
        <v>994</v>
      </c>
      <c r="E9194" s="30" t="s">
        <v>15751</v>
      </c>
      <c r="F9194" s="34" t="n">
        <f aca="false">IFERROR(VLOOKUP($A9194,'319'!$B:$H,7,0),0)</f>
        <v>0</v>
      </c>
      <c r="G9194" s="34" t="n">
        <f aca="false">SUMIFS('12.326ana'!$C:$C,'12.326ana'!$M:$M,redes!A9194)</f>
        <v>0</v>
      </c>
    </row>
    <row r="9195" customFormat="false" ht="14.4" hidden="true" customHeight="false" outlineLevel="0" collapsed="false">
      <c r="A9195" s="34" t="n">
        <v>4965259000128</v>
      </c>
      <c r="B9195" s="34" t="s">
        <v>18810</v>
      </c>
      <c r="C9195" s="34" t="s">
        <v>77</v>
      </c>
      <c r="E9195" s="30" t="s">
        <v>18810</v>
      </c>
      <c r="F9195" s="34" t="n">
        <f aca="false">IFERROR(VLOOKUP($A9195,'319'!$B:$H,7,0),0)</f>
        <v>0</v>
      </c>
      <c r="G9195" s="34" t="n">
        <f aca="false">SUMIFS('12.326ana'!$C:$C,'12.326ana'!$M:$M,redes!A9195)</f>
        <v>0</v>
      </c>
    </row>
    <row r="9196" customFormat="false" ht="14.4" hidden="true" customHeight="false" outlineLevel="0" collapsed="false">
      <c r="A9196" s="34" t="n">
        <v>4965294000147</v>
      </c>
      <c r="B9196" s="34" t="s">
        <v>18811</v>
      </c>
      <c r="C9196" s="34" t="s">
        <v>12298</v>
      </c>
      <c r="E9196" s="30" t="s">
        <v>18812</v>
      </c>
      <c r="F9196" s="34" t="n">
        <f aca="false">IFERROR(VLOOKUP($A9196,'319'!$B:$H,7,0),0)</f>
        <v>0</v>
      </c>
      <c r="G9196" s="34" t="n">
        <f aca="false">SUMIFS('12.326ana'!$C:$C,'12.326ana'!$M:$M,redes!A9196)</f>
        <v>0</v>
      </c>
    </row>
    <row r="9197" customFormat="false" ht="14.4" hidden="true" customHeight="false" outlineLevel="0" collapsed="false">
      <c r="A9197" s="34" t="n">
        <v>4965305000199</v>
      </c>
      <c r="B9197" s="34" t="s">
        <v>18813</v>
      </c>
      <c r="C9197" s="34" t="s">
        <v>12298</v>
      </c>
      <c r="E9197" s="30" t="s">
        <v>18814</v>
      </c>
      <c r="F9197" s="34" t="n">
        <f aca="false">IFERROR(VLOOKUP($A9197,'319'!$B:$H,7,0),0)</f>
        <v>0</v>
      </c>
      <c r="G9197" s="34" t="n">
        <f aca="false">SUMIFS('12.326ana'!$C:$C,'12.326ana'!$M:$M,redes!A9197)</f>
        <v>0</v>
      </c>
    </row>
    <row r="9198" customFormat="false" ht="14.4" hidden="true" customHeight="false" outlineLevel="0" collapsed="false">
      <c r="A9198" s="34" t="n">
        <v>4966445000181</v>
      </c>
      <c r="B9198" s="34" t="s">
        <v>18815</v>
      </c>
      <c r="C9198" s="34" t="s">
        <v>309</v>
      </c>
      <c r="E9198" s="30" t="s">
        <v>4991</v>
      </c>
      <c r="F9198" s="34" t="n">
        <f aca="false">IFERROR(VLOOKUP($A9198,'319'!$B:$H,7,0),0)</f>
        <v>0</v>
      </c>
      <c r="G9198" s="34" t="n">
        <f aca="false">SUMIFS('12.326ana'!$C:$C,'12.326ana'!$M:$M,redes!A9198)</f>
        <v>0</v>
      </c>
    </row>
    <row r="9199" customFormat="false" ht="14.4" hidden="true" customHeight="false" outlineLevel="0" collapsed="false">
      <c r="A9199" s="34" t="n">
        <v>4969285000124</v>
      </c>
      <c r="B9199" s="34" t="s">
        <v>18816</v>
      </c>
      <c r="C9199" s="34" t="s">
        <v>464</v>
      </c>
      <c r="E9199" s="30" t="s">
        <v>18817</v>
      </c>
      <c r="F9199" s="34" t="n">
        <f aca="false">IFERROR(VLOOKUP($A9199,'319'!$B:$H,7,0),0)</f>
        <v>0</v>
      </c>
      <c r="G9199" s="34" t="n">
        <f aca="false">SUMIFS('12.326ana'!$C:$C,'12.326ana'!$M:$M,redes!A9199)</f>
        <v>0</v>
      </c>
    </row>
    <row r="9200" customFormat="false" ht="14.4" hidden="true" customHeight="false" outlineLevel="0" collapsed="false">
      <c r="A9200" s="34" t="n">
        <v>4969503000120</v>
      </c>
      <c r="B9200" s="34" t="s">
        <v>18818</v>
      </c>
      <c r="C9200" s="34" t="s">
        <v>562</v>
      </c>
      <c r="E9200" s="30" t="s">
        <v>18819</v>
      </c>
      <c r="F9200" s="34" t="n">
        <f aca="false">IFERROR(VLOOKUP($A9200,'319'!$B:$H,7,0),0)</f>
        <v>0</v>
      </c>
      <c r="G9200" s="34" t="n">
        <f aca="false">SUMIFS('12.326ana'!$C:$C,'12.326ana'!$M:$M,redes!A9200)</f>
        <v>0</v>
      </c>
    </row>
    <row r="9201" customFormat="false" ht="14.4" hidden="true" customHeight="false" outlineLevel="0" collapsed="false">
      <c r="A9201" s="34" t="n">
        <v>4970435000110</v>
      </c>
      <c r="B9201" s="34" t="s">
        <v>18820</v>
      </c>
      <c r="C9201" s="34" t="s">
        <v>77</v>
      </c>
      <c r="E9201" s="30" t="s">
        <v>18821</v>
      </c>
      <c r="F9201" s="34" t="n">
        <f aca="false">IFERROR(VLOOKUP($A9201,'319'!$B:$H,7,0),0)</f>
        <v>0</v>
      </c>
      <c r="G9201" s="34" t="n">
        <f aca="false">SUMIFS('12.326ana'!$C:$C,'12.326ana'!$M:$M,redes!A9201)</f>
        <v>0</v>
      </c>
    </row>
    <row r="9202" customFormat="false" ht="14.4" hidden="true" customHeight="false" outlineLevel="0" collapsed="false">
      <c r="A9202" s="34" t="n">
        <v>4970532000102</v>
      </c>
      <c r="B9202" s="34" t="s">
        <v>18822</v>
      </c>
      <c r="C9202" s="34" t="s">
        <v>604</v>
      </c>
      <c r="E9202" s="30" t="s">
        <v>18823</v>
      </c>
      <c r="F9202" s="34" t="n">
        <f aca="false">IFERROR(VLOOKUP($A9202,'319'!$B:$H,7,0),0)</f>
        <v>0</v>
      </c>
      <c r="G9202" s="34" t="n">
        <f aca="false">SUMIFS('12.326ana'!$C:$C,'12.326ana'!$M:$M,redes!A9202)</f>
        <v>0</v>
      </c>
    </row>
    <row r="9203" customFormat="false" ht="14.4" hidden="true" customHeight="false" outlineLevel="0" collapsed="false">
      <c r="A9203" s="34" t="n">
        <v>4975146000103</v>
      </c>
      <c r="B9203" s="34" t="s">
        <v>18824</v>
      </c>
      <c r="C9203" s="34" t="s">
        <v>77</v>
      </c>
      <c r="E9203" s="30" t="s">
        <v>18825</v>
      </c>
      <c r="F9203" s="34" t="n">
        <f aca="false">IFERROR(VLOOKUP($A9203,'319'!$B:$H,7,0),0)</f>
        <v>0</v>
      </c>
      <c r="G9203" s="34" t="n">
        <f aca="false">SUMIFS('12.326ana'!$C:$C,'12.326ana'!$M:$M,redes!A9203)</f>
        <v>0</v>
      </c>
    </row>
    <row r="9204" customFormat="false" ht="14.4" hidden="true" customHeight="false" outlineLevel="0" collapsed="false">
      <c r="A9204" s="34" t="n">
        <v>4975489000178</v>
      </c>
      <c r="B9204" s="34" t="s">
        <v>18826</v>
      </c>
      <c r="C9204" s="34" t="s">
        <v>737</v>
      </c>
      <c r="E9204" s="30" t="s">
        <v>18827</v>
      </c>
      <c r="F9204" s="34" t="n">
        <f aca="false">IFERROR(VLOOKUP($A9204,'319'!$B:$H,7,0),0)</f>
        <v>0</v>
      </c>
      <c r="G9204" s="34" t="n">
        <f aca="false">SUMIFS('12.326ana'!$C:$C,'12.326ana'!$M:$M,redes!A9204)</f>
        <v>0</v>
      </c>
    </row>
    <row r="9205" customFormat="false" ht="14.4" hidden="true" customHeight="false" outlineLevel="0" collapsed="false">
      <c r="A9205" s="34" t="n">
        <v>4977006000174</v>
      </c>
      <c r="B9205" s="34" t="s">
        <v>18828</v>
      </c>
      <c r="C9205" s="34" t="s">
        <v>342</v>
      </c>
      <c r="E9205" s="30" t="s">
        <v>18829</v>
      </c>
      <c r="F9205" s="34" t="n">
        <f aca="false">IFERROR(VLOOKUP($A9205,'319'!$B:$H,7,0),0)</f>
        <v>0</v>
      </c>
      <c r="G9205" s="34" t="n">
        <f aca="false">SUMIFS('12.326ana'!$C:$C,'12.326ana'!$M:$M,redes!A9205)</f>
        <v>0</v>
      </c>
    </row>
    <row r="9206" customFormat="false" ht="14.4" hidden="true" customHeight="false" outlineLevel="0" collapsed="false">
      <c r="A9206" s="34" t="n">
        <v>4977822000188</v>
      </c>
      <c r="B9206" s="34" t="s">
        <v>18830</v>
      </c>
      <c r="C9206" s="34" t="s">
        <v>77</v>
      </c>
      <c r="E9206" s="30" t="s">
        <v>18831</v>
      </c>
      <c r="F9206" s="34" t="n">
        <f aca="false">IFERROR(VLOOKUP($A9206,'319'!$B:$H,7,0),0)</f>
        <v>0</v>
      </c>
      <c r="G9206" s="34" t="n">
        <f aca="false">SUMIFS('12.326ana'!$C:$C,'12.326ana'!$M:$M,redes!A9206)</f>
        <v>0</v>
      </c>
    </row>
    <row r="9207" customFormat="false" ht="14.4" hidden="true" customHeight="false" outlineLevel="0" collapsed="false">
      <c r="A9207" s="34" t="n">
        <v>4979379000184</v>
      </c>
      <c r="B9207" s="34" t="s">
        <v>18832</v>
      </c>
      <c r="C9207" s="34" t="s">
        <v>713</v>
      </c>
      <c r="E9207" s="30" t="s">
        <v>10792</v>
      </c>
      <c r="F9207" s="34" t="n">
        <f aca="false">IFERROR(VLOOKUP($A9207,'319'!$B:$H,7,0),0)</f>
        <v>88.6</v>
      </c>
      <c r="G9207" s="34" t="n">
        <f aca="false">SUMIFS('12.326ana'!$C:$C,'12.326ana'!$M:$M,redes!A9207)</f>
        <v>0</v>
      </c>
    </row>
    <row r="9208" customFormat="false" ht="14.4" hidden="true" customHeight="false" outlineLevel="0" collapsed="false">
      <c r="A9208" s="34" t="n">
        <v>4982551000159</v>
      </c>
      <c r="B9208" s="34" t="s">
        <v>18833</v>
      </c>
      <c r="C9208" s="34" t="s">
        <v>1272</v>
      </c>
      <c r="E9208" s="30" t="s">
        <v>18834</v>
      </c>
      <c r="F9208" s="34" t="n">
        <f aca="false">IFERROR(VLOOKUP($A9208,'319'!$B:$H,7,0),0)</f>
        <v>0</v>
      </c>
      <c r="G9208" s="34" t="n">
        <f aca="false">SUMIFS('12.326ana'!$C:$C,'12.326ana'!$M:$M,redes!A9208)</f>
        <v>0</v>
      </c>
    </row>
    <row r="9209" customFormat="false" ht="14.4" hidden="true" customHeight="false" outlineLevel="0" collapsed="false">
      <c r="A9209" s="34" t="n">
        <v>4982551000230</v>
      </c>
      <c r="B9209" s="34" t="s">
        <v>18833</v>
      </c>
      <c r="C9209" s="34" t="s">
        <v>1272</v>
      </c>
      <c r="E9209" s="30" t="s">
        <v>15312</v>
      </c>
      <c r="F9209" s="34" t="n">
        <f aca="false">IFERROR(VLOOKUP($A9209,'319'!$B:$H,7,0),0)</f>
        <v>0</v>
      </c>
      <c r="G9209" s="34" t="n">
        <f aca="false">SUMIFS('12.326ana'!$C:$C,'12.326ana'!$M:$M,redes!A9209)</f>
        <v>0</v>
      </c>
    </row>
    <row r="9210" customFormat="false" ht="14.4" hidden="true" customHeight="false" outlineLevel="0" collapsed="false">
      <c r="A9210" s="34" t="n">
        <v>4982726000128</v>
      </c>
      <c r="B9210" s="34" t="s">
        <v>18835</v>
      </c>
      <c r="C9210" s="34" t="s">
        <v>342</v>
      </c>
      <c r="E9210" s="30" t="s">
        <v>15050</v>
      </c>
      <c r="F9210" s="34" t="n">
        <f aca="false">IFERROR(VLOOKUP($A9210,'319'!$B:$H,7,0),0)</f>
        <v>0</v>
      </c>
      <c r="G9210" s="34" t="n">
        <f aca="false">SUMIFS('12.326ana'!$C:$C,'12.326ana'!$M:$M,redes!A9210)</f>
        <v>0</v>
      </c>
    </row>
    <row r="9211" customFormat="false" ht="14.4" hidden="true" customHeight="false" outlineLevel="0" collapsed="false">
      <c r="A9211" s="34" t="n">
        <v>4982979000100</v>
      </c>
      <c r="B9211" s="34" t="s">
        <v>18836</v>
      </c>
      <c r="C9211" s="34" t="s">
        <v>77</v>
      </c>
      <c r="E9211" s="30" t="s">
        <v>18837</v>
      </c>
      <c r="F9211" s="34" t="n">
        <f aca="false">IFERROR(VLOOKUP($A9211,'319'!$B:$H,7,0),0)</f>
        <v>0</v>
      </c>
      <c r="G9211" s="34" t="n">
        <f aca="false">SUMIFS('12.326ana'!$C:$C,'12.326ana'!$M:$M,redes!A9211)</f>
        <v>0</v>
      </c>
    </row>
    <row r="9212" customFormat="false" ht="14.4" hidden="true" customHeight="false" outlineLevel="0" collapsed="false">
      <c r="A9212" s="34" t="n">
        <v>4982983000160</v>
      </c>
      <c r="B9212" s="34" t="s">
        <v>18838</v>
      </c>
      <c r="C9212" s="34" t="s">
        <v>139</v>
      </c>
      <c r="E9212" s="30" t="s">
        <v>18839</v>
      </c>
      <c r="F9212" s="34" t="n">
        <f aca="false">IFERROR(VLOOKUP($A9212,'319'!$B:$H,7,0),0)</f>
        <v>0</v>
      </c>
      <c r="G9212" s="34" t="n">
        <f aca="false">SUMIFS('12.326ana'!$C:$C,'12.326ana'!$M:$M,redes!A9212)</f>
        <v>0</v>
      </c>
    </row>
    <row r="9213" customFormat="false" ht="14.4" hidden="true" customHeight="false" outlineLevel="0" collapsed="false">
      <c r="A9213" s="34" t="n">
        <v>4982983000240</v>
      </c>
      <c r="B9213" s="34" t="s">
        <v>18838</v>
      </c>
      <c r="C9213" s="34" t="s">
        <v>139</v>
      </c>
      <c r="E9213" s="30" t="s">
        <v>18840</v>
      </c>
      <c r="F9213" s="34" t="n">
        <f aca="false">IFERROR(VLOOKUP($A9213,'319'!$B:$H,7,0),0)</f>
        <v>0</v>
      </c>
      <c r="G9213" s="34" t="n">
        <f aca="false">SUMIFS('12.326ana'!$C:$C,'12.326ana'!$M:$M,redes!A9213)</f>
        <v>0</v>
      </c>
    </row>
    <row r="9214" customFormat="false" ht="14.4" hidden="true" customHeight="false" outlineLevel="0" collapsed="false">
      <c r="A9214" s="34" t="n">
        <v>4983395000140</v>
      </c>
      <c r="B9214" s="34" t="s">
        <v>18841</v>
      </c>
      <c r="C9214" s="34" t="s">
        <v>594</v>
      </c>
      <c r="E9214" s="30" t="s">
        <v>18842</v>
      </c>
      <c r="F9214" s="34" t="n">
        <f aca="false">IFERROR(VLOOKUP($A9214,'319'!$B:$H,7,0),0)</f>
        <v>0</v>
      </c>
      <c r="G9214" s="34" t="n">
        <f aca="false">SUMIFS('12.326ana'!$C:$C,'12.326ana'!$M:$M,redes!A9214)</f>
        <v>0</v>
      </c>
    </row>
    <row r="9215" customFormat="false" ht="14.4" hidden="true" customHeight="false" outlineLevel="0" collapsed="false">
      <c r="A9215" s="34" t="n">
        <v>4985440000104</v>
      </c>
      <c r="B9215" s="34" t="s">
        <v>18843</v>
      </c>
      <c r="C9215" s="34" t="s">
        <v>139</v>
      </c>
      <c r="E9215" s="30" t="s">
        <v>18844</v>
      </c>
      <c r="F9215" s="34" t="n">
        <f aca="false">IFERROR(VLOOKUP($A9215,'319'!$B:$H,7,0),0)</f>
        <v>0</v>
      </c>
      <c r="G9215" s="34" t="n">
        <f aca="false">SUMIFS('12.326ana'!$C:$C,'12.326ana'!$M:$M,redes!A9215)</f>
        <v>0</v>
      </c>
    </row>
    <row r="9216" customFormat="false" ht="14.4" hidden="true" customHeight="false" outlineLevel="0" collapsed="false">
      <c r="A9216" s="34" t="n">
        <v>4986831000135</v>
      </c>
      <c r="B9216" s="34" t="s">
        <v>18845</v>
      </c>
      <c r="C9216" s="34" t="s">
        <v>594</v>
      </c>
      <c r="E9216" s="30" t="s">
        <v>18846</v>
      </c>
      <c r="F9216" s="34" t="n">
        <f aca="false">IFERROR(VLOOKUP($A9216,'319'!$B:$H,7,0),0)</f>
        <v>0</v>
      </c>
      <c r="G9216" s="34" t="n">
        <f aca="false">SUMIFS('12.326ana'!$C:$C,'12.326ana'!$M:$M,redes!A9216)</f>
        <v>0</v>
      </c>
    </row>
    <row r="9217" customFormat="false" ht="14.4" hidden="true" customHeight="false" outlineLevel="0" collapsed="false">
      <c r="A9217" s="34" t="n">
        <v>4986890000103</v>
      </c>
      <c r="B9217" s="34" t="s">
        <v>11180</v>
      </c>
      <c r="C9217" s="34" t="s">
        <v>309</v>
      </c>
      <c r="E9217" s="30" t="s">
        <v>18847</v>
      </c>
      <c r="F9217" s="34" t="n">
        <f aca="false">IFERROR(VLOOKUP($A9217,'319'!$B:$H,7,0),0)</f>
        <v>0</v>
      </c>
      <c r="G9217" s="34" t="n">
        <f aca="false">SUMIFS('12.326ana'!$C:$C,'12.326ana'!$M:$M,redes!A9217)</f>
        <v>0</v>
      </c>
    </row>
    <row r="9218" customFormat="false" ht="14.4" hidden="true" customHeight="false" outlineLevel="0" collapsed="false">
      <c r="A9218" s="34" t="n">
        <v>4987701000117</v>
      </c>
      <c r="B9218" s="34" t="s">
        <v>18848</v>
      </c>
      <c r="C9218" s="34" t="s">
        <v>77</v>
      </c>
      <c r="E9218" s="30" t="s">
        <v>18849</v>
      </c>
      <c r="F9218" s="34" t="n">
        <f aca="false">IFERROR(VLOOKUP($A9218,'319'!$B:$H,7,0),0)</f>
        <v>0</v>
      </c>
      <c r="G9218" s="34" t="n">
        <f aca="false">SUMIFS('12.326ana'!$C:$C,'12.326ana'!$M:$M,redes!A9218)</f>
        <v>0</v>
      </c>
    </row>
    <row r="9219" customFormat="false" ht="14.4" hidden="true" customHeight="false" outlineLevel="0" collapsed="false">
      <c r="A9219" s="34" t="n">
        <v>4988206000122</v>
      </c>
      <c r="B9219" s="34" t="s">
        <v>18850</v>
      </c>
      <c r="C9219" s="34" t="s">
        <v>848</v>
      </c>
      <c r="E9219" s="30" t="s">
        <v>18851</v>
      </c>
      <c r="F9219" s="34" t="n">
        <f aca="false">IFERROR(VLOOKUP($A9219,'319'!$B:$H,7,0),0)</f>
        <v>0</v>
      </c>
      <c r="G9219" s="34" t="n">
        <f aca="false">SUMIFS('12.326ana'!$C:$C,'12.326ana'!$M:$M,redes!A9219)</f>
        <v>0</v>
      </c>
    </row>
    <row r="9220" customFormat="false" ht="14.4" hidden="true" customHeight="false" outlineLevel="0" collapsed="false">
      <c r="A9220" s="34" t="n">
        <v>4988216000168</v>
      </c>
      <c r="B9220" s="34" t="s">
        <v>18852</v>
      </c>
      <c r="C9220" s="34" t="s">
        <v>197</v>
      </c>
      <c r="E9220" s="30" t="s">
        <v>18853</v>
      </c>
      <c r="F9220" s="34" t="n">
        <f aca="false">IFERROR(VLOOKUP($A9220,'319'!$B:$H,7,0),0)</f>
        <v>0</v>
      </c>
      <c r="G9220" s="34" t="n">
        <f aca="false">SUMIFS('12.326ana'!$C:$C,'12.326ana'!$M:$M,redes!A9220)</f>
        <v>0</v>
      </c>
    </row>
    <row r="9221" customFormat="false" ht="14.4" hidden="true" customHeight="false" outlineLevel="0" collapsed="false">
      <c r="A9221" s="34" t="n">
        <v>4989382000189</v>
      </c>
      <c r="B9221" s="34" t="s">
        <v>18854</v>
      </c>
      <c r="C9221" s="34" t="s">
        <v>594</v>
      </c>
      <c r="E9221" s="30" t="s">
        <v>18855</v>
      </c>
      <c r="F9221" s="34" t="n">
        <f aca="false">IFERROR(VLOOKUP($A9221,'319'!$B:$H,7,0),0)</f>
        <v>0</v>
      </c>
      <c r="G9221" s="34" t="n">
        <f aca="false">SUMIFS('12.326ana'!$C:$C,'12.326ana'!$M:$M,redes!A9221)</f>
        <v>0</v>
      </c>
    </row>
    <row r="9222" customFormat="false" ht="14.4" hidden="true" customHeight="false" outlineLevel="0" collapsed="false">
      <c r="A9222" s="34" t="n">
        <v>4989483000150</v>
      </c>
      <c r="B9222" s="34" t="s">
        <v>18856</v>
      </c>
      <c r="C9222" s="34" t="s">
        <v>721</v>
      </c>
      <c r="E9222" s="30" t="s">
        <v>17043</v>
      </c>
      <c r="F9222" s="34" t="n">
        <f aca="false">IFERROR(VLOOKUP($A9222,'319'!$B:$H,7,0),0)</f>
        <v>0</v>
      </c>
      <c r="G9222" s="34" t="n">
        <f aca="false">SUMIFS('12.326ana'!$C:$C,'12.326ana'!$M:$M,redes!A9222)</f>
        <v>0</v>
      </c>
    </row>
    <row r="9223" customFormat="false" ht="14.4" hidden="true" customHeight="false" outlineLevel="0" collapsed="false">
      <c r="A9223" s="34" t="n">
        <v>4990440000194</v>
      </c>
      <c r="B9223" s="34" t="s">
        <v>18857</v>
      </c>
      <c r="C9223" s="34" t="s">
        <v>77</v>
      </c>
      <c r="E9223" s="30" t="s">
        <v>18027</v>
      </c>
      <c r="F9223" s="34" t="n">
        <f aca="false">IFERROR(VLOOKUP($A9223,'319'!$B:$H,7,0),0)</f>
        <v>0</v>
      </c>
      <c r="G9223" s="34" t="n">
        <f aca="false">SUMIFS('12.326ana'!$C:$C,'12.326ana'!$M:$M,redes!A9223)</f>
        <v>0</v>
      </c>
    </row>
    <row r="9224" customFormat="false" ht="14.4" hidden="true" customHeight="false" outlineLevel="0" collapsed="false">
      <c r="A9224" s="34" t="n">
        <v>4992385000171</v>
      </c>
      <c r="B9224" s="34" t="s">
        <v>18858</v>
      </c>
      <c r="C9224" s="34" t="s">
        <v>4156</v>
      </c>
      <c r="E9224" s="30" t="s">
        <v>18859</v>
      </c>
      <c r="F9224" s="34" t="n">
        <f aca="false">IFERROR(VLOOKUP($A9224,'319'!$B:$H,7,0),0)</f>
        <v>0</v>
      </c>
      <c r="G9224" s="34" t="n">
        <f aca="false">SUMIFS('12.326ana'!$C:$C,'12.326ana'!$M:$M,redes!A9224)</f>
        <v>0</v>
      </c>
    </row>
    <row r="9225" customFormat="false" ht="14.4" hidden="true" customHeight="false" outlineLevel="0" collapsed="false">
      <c r="A9225" s="34" t="n">
        <v>4993604000137</v>
      </c>
      <c r="B9225" s="34" t="s">
        <v>18860</v>
      </c>
      <c r="C9225" s="34" t="s">
        <v>77</v>
      </c>
      <c r="E9225" s="30" t="s">
        <v>18861</v>
      </c>
      <c r="F9225" s="34" t="n">
        <f aca="false">IFERROR(VLOOKUP($A9225,'319'!$B:$H,7,0),0)</f>
        <v>0</v>
      </c>
      <c r="G9225" s="34" t="n">
        <f aca="false">SUMIFS('12.326ana'!$C:$C,'12.326ana'!$M:$M,redes!A9225)</f>
        <v>0</v>
      </c>
    </row>
    <row r="9226" customFormat="false" ht="14.4" hidden="true" customHeight="false" outlineLevel="0" collapsed="false">
      <c r="A9226" s="34" t="n">
        <v>4994630000180</v>
      </c>
      <c r="B9226" s="34" t="s">
        <v>18862</v>
      </c>
      <c r="C9226" s="34" t="s">
        <v>473</v>
      </c>
      <c r="E9226" s="30" t="s">
        <v>18863</v>
      </c>
      <c r="F9226" s="34" t="n">
        <f aca="false">IFERROR(VLOOKUP($A9226,'319'!$B:$H,7,0),0)</f>
        <v>0</v>
      </c>
      <c r="G9226" s="34" t="n">
        <f aca="false">SUMIFS('12.326ana'!$C:$C,'12.326ana'!$M:$M,redes!A9226)</f>
        <v>0</v>
      </c>
    </row>
    <row r="9227" customFormat="false" ht="14.4" hidden="true" customHeight="false" outlineLevel="0" collapsed="false">
      <c r="A9227" s="34" t="n">
        <v>4996225000109</v>
      </c>
      <c r="B9227" s="34" t="s">
        <v>18864</v>
      </c>
      <c r="C9227" s="34" t="s">
        <v>77</v>
      </c>
      <c r="E9227" s="30" t="s">
        <v>18865</v>
      </c>
      <c r="F9227" s="34" t="n">
        <f aca="false">IFERROR(VLOOKUP($A9227,'319'!$B:$H,7,0),0)</f>
        <v>0</v>
      </c>
      <c r="G9227" s="34" t="n">
        <f aca="false">SUMIFS('12.326ana'!$C:$C,'12.326ana'!$M:$M,redes!A9227)</f>
        <v>0</v>
      </c>
    </row>
    <row r="9228" customFormat="false" ht="14.4" hidden="true" customHeight="false" outlineLevel="0" collapsed="false">
      <c r="A9228" s="34" t="n">
        <v>4996274000133</v>
      </c>
      <c r="B9228" s="34" t="s">
        <v>18866</v>
      </c>
      <c r="C9228" s="34" t="s">
        <v>77</v>
      </c>
      <c r="E9228" s="30" t="s">
        <v>18867</v>
      </c>
      <c r="F9228" s="34" t="n">
        <f aca="false">IFERROR(VLOOKUP($A9228,'319'!$B:$H,7,0),0)</f>
        <v>0</v>
      </c>
      <c r="G9228" s="34" t="n">
        <f aca="false">SUMIFS('12.326ana'!$C:$C,'12.326ana'!$M:$M,redes!A9228)</f>
        <v>0</v>
      </c>
    </row>
    <row r="9229" customFormat="false" ht="14.4" hidden="true" customHeight="false" outlineLevel="0" collapsed="false">
      <c r="A9229" s="34" t="n">
        <v>4998458000132</v>
      </c>
      <c r="B9229" s="34" t="s">
        <v>18868</v>
      </c>
      <c r="C9229" s="34" t="s">
        <v>342</v>
      </c>
      <c r="E9229" s="30" t="s">
        <v>18869</v>
      </c>
      <c r="F9229" s="34" t="n">
        <f aca="false">IFERROR(VLOOKUP($A9229,'319'!$B:$H,7,0),0)</f>
        <v>0</v>
      </c>
      <c r="G9229" s="34" t="n">
        <f aca="false">SUMIFS('12.326ana'!$C:$C,'12.326ana'!$M:$M,redes!A9229)</f>
        <v>0</v>
      </c>
    </row>
    <row r="9230" customFormat="false" ht="14.4" hidden="true" customHeight="false" outlineLevel="0" collapsed="false">
      <c r="A9230" s="34" t="n">
        <v>4999137000152</v>
      </c>
      <c r="B9230" s="34" t="s">
        <v>18870</v>
      </c>
      <c r="C9230" s="34" t="s">
        <v>77</v>
      </c>
      <c r="E9230" s="30" t="s">
        <v>16646</v>
      </c>
      <c r="F9230" s="34" t="n">
        <f aca="false">IFERROR(VLOOKUP($A9230,'319'!$B:$H,7,0),0)</f>
        <v>0</v>
      </c>
      <c r="G9230" s="34" t="n">
        <f aca="false">SUMIFS('12.326ana'!$C:$C,'12.326ana'!$M:$M,redes!A9230)</f>
        <v>0</v>
      </c>
    </row>
    <row r="9231" customFormat="false" ht="14.4" hidden="true" customHeight="false" outlineLevel="0" collapsed="false">
      <c r="A9231" s="34" t="n">
        <v>4999219000105</v>
      </c>
      <c r="B9231" s="34" t="s">
        <v>18871</v>
      </c>
      <c r="C9231" s="34" t="s">
        <v>77</v>
      </c>
      <c r="E9231" s="30" t="s">
        <v>18872</v>
      </c>
      <c r="F9231" s="34" t="n">
        <f aca="false">IFERROR(VLOOKUP($A9231,'319'!$B:$H,7,0),0)</f>
        <v>0</v>
      </c>
      <c r="G9231" s="34" t="n">
        <f aca="false">SUMIFS('12.326ana'!$C:$C,'12.326ana'!$M:$M,redes!A9231)</f>
        <v>0</v>
      </c>
    </row>
    <row r="9232" customFormat="false" ht="14.4" hidden="true" customHeight="false" outlineLevel="0" collapsed="false">
      <c r="A9232" s="34" t="n">
        <v>5002689000107</v>
      </c>
      <c r="B9232" s="34" t="s">
        <v>1178</v>
      </c>
      <c r="C9232" s="34" t="s">
        <v>1341</v>
      </c>
      <c r="E9232" s="30" t="s">
        <v>18873</v>
      </c>
      <c r="F9232" s="34" t="n">
        <f aca="false">IFERROR(VLOOKUP($A9232,'319'!$B:$H,7,0),0)</f>
        <v>371.76</v>
      </c>
      <c r="G9232" s="34" t="n">
        <f aca="false">SUMIFS('12.326ana'!$C:$C,'12.326ana'!$M:$M,redes!A9232)</f>
        <v>0</v>
      </c>
    </row>
    <row r="9233" customFormat="false" ht="14.4" hidden="true" customHeight="false" outlineLevel="0" collapsed="false">
      <c r="A9233" s="34" t="n">
        <v>5004070000131</v>
      </c>
      <c r="B9233" s="34" t="s">
        <v>18874</v>
      </c>
      <c r="C9233" s="34" t="s">
        <v>842</v>
      </c>
      <c r="E9233" s="30" t="s">
        <v>18875</v>
      </c>
      <c r="F9233" s="34" t="n">
        <f aca="false">IFERROR(VLOOKUP($A9233,'319'!$B:$H,7,0),0)</f>
        <v>0</v>
      </c>
      <c r="G9233" s="34" t="n">
        <f aca="false">SUMIFS('12.326ana'!$C:$C,'12.326ana'!$M:$M,redes!A9233)</f>
        <v>0</v>
      </c>
    </row>
    <row r="9234" customFormat="false" ht="14.4" hidden="true" customHeight="false" outlineLevel="0" collapsed="false">
      <c r="A9234" s="34" t="n">
        <v>5005084000170</v>
      </c>
      <c r="B9234" s="34" t="s">
        <v>18876</v>
      </c>
      <c r="C9234" s="34" t="s">
        <v>464</v>
      </c>
      <c r="D9234" s="34" t="s">
        <v>9598</v>
      </c>
      <c r="E9234" s="30" t="s">
        <v>9339</v>
      </c>
      <c r="F9234" s="34" t="n">
        <f aca="false">IFERROR(VLOOKUP($A9234,'319'!$B:$H,7,0),0)</f>
        <v>0</v>
      </c>
      <c r="G9234" s="34" t="n">
        <f aca="false">SUMIFS('12.326ana'!$C:$C,'12.326ana'!$M:$M,redes!A9234)</f>
        <v>0</v>
      </c>
    </row>
    <row r="9235" customFormat="false" ht="14.4" hidden="true" customHeight="false" outlineLevel="0" collapsed="false">
      <c r="A9235" s="34" t="n">
        <v>5009702000150</v>
      </c>
      <c r="B9235" s="34" t="s">
        <v>18877</v>
      </c>
      <c r="C9235" s="34" t="s">
        <v>77</v>
      </c>
      <c r="E9235" s="30" t="s">
        <v>18878</v>
      </c>
      <c r="F9235" s="34" t="n">
        <f aca="false">IFERROR(VLOOKUP($A9235,'319'!$B:$H,7,0),0)</f>
        <v>0</v>
      </c>
      <c r="G9235" s="34" t="n">
        <f aca="false">SUMIFS('12.326ana'!$C:$C,'12.326ana'!$M:$M,redes!A9235)</f>
        <v>0</v>
      </c>
    </row>
    <row r="9236" customFormat="false" ht="14.4" hidden="true" customHeight="false" outlineLevel="0" collapsed="false">
      <c r="A9236" s="34" t="n">
        <v>5012705000142</v>
      </c>
      <c r="B9236" s="34" t="s">
        <v>18879</v>
      </c>
      <c r="C9236" s="34" t="s">
        <v>296</v>
      </c>
      <c r="E9236" s="30" t="s">
        <v>18880</v>
      </c>
      <c r="F9236" s="34" t="n">
        <f aca="false">IFERROR(VLOOKUP($A9236,'319'!$B:$H,7,0),0)</f>
        <v>0</v>
      </c>
      <c r="G9236" s="34" t="n">
        <f aca="false">SUMIFS('12.326ana'!$C:$C,'12.326ana'!$M:$M,redes!A9236)</f>
        <v>0</v>
      </c>
    </row>
    <row r="9237" customFormat="false" ht="14.4" hidden="true" customHeight="false" outlineLevel="0" collapsed="false">
      <c r="A9237" s="34" t="n">
        <v>5017080000101</v>
      </c>
      <c r="B9237" s="34" t="s">
        <v>18881</v>
      </c>
      <c r="C9237" s="34" t="s">
        <v>77</v>
      </c>
      <c r="E9237" s="30" t="s">
        <v>18882</v>
      </c>
      <c r="F9237" s="34" t="n">
        <f aca="false">IFERROR(VLOOKUP($A9237,'319'!$B:$H,7,0),0)</f>
        <v>0</v>
      </c>
      <c r="G9237" s="34" t="n">
        <f aca="false">SUMIFS('12.326ana'!$C:$C,'12.326ana'!$M:$M,redes!A9237)</f>
        <v>0</v>
      </c>
    </row>
    <row r="9238" customFormat="false" ht="14.4" hidden="true" customHeight="false" outlineLevel="0" collapsed="false">
      <c r="A9238" s="34" t="n">
        <v>5019035000196</v>
      </c>
      <c r="B9238" s="34" t="s">
        <v>18883</v>
      </c>
      <c r="C9238" s="34" t="s">
        <v>117</v>
      </c>
      <c r="E9238" s="30" t="s">
        <v>12654</v>
      </c>
      <c r="F9238" s="34" t="n">
        <f aca="false">IFERROR(VLOOKUP($A9238,'319'!$B:$H,7,0),0)</f>
        <v>0</v>
      </c>
      <c r="G9238" s="34" t="n">
        <f aca="false">SUMIFS('12.326ana'!$C:$C,'12.326ana'!$M:$M,redes!A9238)</f>
        <v>0</v>
      </c>
    </row>
    <row r="9239" customFormat="false" ht="14.4" hidden="true" customHeight="false" outlineLevel="0" collapsed="false">
      <c r="A9239" s="34" t="n">
        <v>5019132000189</v>
      </c>
      <c r="B9239" s="34" t="s">
        <v>18884</v>
      </c>
      <c r="C9239" s="34" t="s">
        <v>1272</v>
      </c>
      <c r="E9239" s="30" t="s">
        <v>18885</v>
      </c>
      <c r="F9239" s="34" t="n">
        <f aca="false">IFERROR(VLOOKUP($A9239,'319'!$B:$H,7,0),0)</f>
        <v>0</v>
      </c>
      <c r="G9239" s="34" t="n">
        <f aca="false">SUMIFS('12.326ana'!$C:$C,'12.326ana'!$M:$M,redes!A9239)</f>
        <v>0</v>
      </c>
    </row>
    <row r="9240" customFormat="false" ht="14.4" hidden="true" customHeight="false" outlineLevel="0" collapsed="false">
      <c r="A9240" s="34" t="n">
        <v>5020176000129</v>
      </c>
      <c r="B9240" s="34" t="s">
        <v>18886</v>
      </c>
      <c r="C9240" s="34" t="s">
        <v>207</v>
      </c>
      <c r="E9240" s="30" t="s">
        <v>18887</v>
      </c>
      <c r="F9240" s="34" t="n">
        <f aca="false">IFERROR(VLOOKUP($A9240,'319'!$B:$H,7,0),0)</f>
        <v>0</v>
      </c>
      <c r="G9240" s="34" t="n">
        <f aca="false">SUMIFS('12.326ana'!$C:$C,'12.326ana'!$M:$M,redes!A9240)</f>
        <v>0</v>
      </c>
    </row>
    <row r="9241" customFormat="false" ht="14.4" hidden="true" customHeight="false" outlineLevel="0" collapsed="false">
      <c r="A9241" s="34" t="n">
        <v>5023613000168</v>
      </c>
      <c r="B9241" s="34" t="s">
        <v>18888</v>
      </c>
      <c r="C9241" s="34" t="s">
        <v>77</v>
      </c>
      <c r="E9241" s="30" t="s">
        <v>18889</v>
      </c>
      <c r="F9241" s="34" t="n">
        <f aca="false">IFERROR(VLOOKUP($A9241,'319'!$B:$H,7,0),0)</f>
        <v>0</v>
      </c>
      <c r="G9241" s="34" t="n">
        <f aca="false">SUMIFS('12.326ana'!$C:$C,'12.326ana'!$M:$M,redes!A9241)</f>
        <v>0</v>
      </c>
    </row>
    <row r="9242" customFormat="false" ht="14.4" hidden="true" customHeight="false" outlineLevel="0" collapsed="false">
      <c r="A9242" s="34" t="n">
        <v>5026078000107</v>
      </c>
      <c r="B9242" s="34" t="s">
        <v>18890</v>
      </c>
      <c r="C9242" s="34" t="s">
        <v>377</v>
      </c>
      <c r="E9242" s="30"/>
      <c r="F9242" s="34" t="n">
        <f aca="false">IFERROR(VLOOKUP($A9242,'319'!$B:$H,7,0),0)</f>
        <v>0</v>
      </c>
      <c r="G9242" s="34" t="n">
        <f aca="false">SUMIFS('12.326ana'!$C:$C,'12.326ana'!$M:$M,redes!A9242)</f>
        <v>0</v>
      </c>
    </row>
    <row r="9243" customFormat="false" ht="14.4" hidden="true" customHeight="false" outlineLevel="0" collapsed="false">
      <c r="A9243" s="34" t="n">
        <v>5026154000176</v>
      </c>
      <c r="B9243" s="34" t="s">
        <v>18891</v>
      </c>
      <c r="C9243" s="34" t="s">
        <v>107</v>
      </c>
      <c r="E9243" s="30" t="s">
        <v>18892</v>
      </c>
      <c r="F9243" s="34" t="n">
        <f aca="false">IFERROR(VLOOKUP($A9243,'319'!$B:$H,7,0),0)</f>
        <v>0</v>
      </c>
      <c r="G9243" s="34" t="n">
        <f aca="false">SUMIFS('12.326ana'!$C:$C,'12.326ana'!$M:$M,redes!A9243)</f>
        <v>0</v>
      </c>
    </row>
    <row r="9244" customFormat="false" ht="14.4" hidden="true" customHeight="false" outlineLevel="0" collapsed="false">
      <c r="A9244" s="34" t="n">
        <v>5026223000141</v>
      </c>
      <c r="B9244" s="34" t="s">
        <v>18893</v>
      </c>
      <c r="C9244" s="34" t="s">
        <v>77</v>
      </c>
      <c r="E9244" s="30" t="s">
        <v>18894</v>
      </c>
      <c r="F9244" s="34" t="n">
        <f aca="false">IFERROR(VLOOKUP($A9244,'319'!$B:$H,7,0),0)</f>
        <v>0</v>
      </c>
      <c r="G9244" s="34" t="n">
        <f aca="false">SUMIFS('12.326ana'!$C:$C,'12.326ana'!$M:$M,redes!A9244)</f>
        <v>0</v>
      </c>
    </row>
    <row r="9245" customFormat="false" ht="14.4" hidden="true" customHeight="false" outlineLevel="0" collapsed="false">
      <c r="A9245" s="34" t="n">
        <v>5026290000166</v>
      </c>
      <c r="B9245" s="34" t="s">
        <v>18895</v>
      </c>
      <c r="C9245" s="34" t="s">
        <v>77</v>
      </c>
      <c r="E9245" s="30" t="s">
        <v>2912</v>
      </c>
      <c r="F9245" s="34" t="n">
        <f aca="false">IFERROR(VLOOKUP($A9245,'319'!$B:$H,7,0),0)</f>
        <v>0</v>
      </c>
      <c r="G9245" s="34" t="n">
        <f aca="false">SUMIFS('12.326ana'!$C:$C,'12.326ana'!$M:$M,redes!A9245)</f>
        <v>0</v>
      </c>
    </row>
    <row r="9246" customFormat="false" ht="14.4" hidden="true" customHeight="false" outlineLevel="0" collapsed="false">
      <c r="A9246" s="34" t="n">
        <v>5027616000170</v>
      </c>
      <c r="B9246" s="34" t="s">
        <v>525</v>
      </c>
      <c r="C9246" s="34" t="s">
        <v>299</v>
      </c>
      <c r="D9246" s="34" t="s">
        <v>4797</v>
      </c>
      <c r="E9246" s="30" t="s">
        <v>18896</v>
      </c>
      <c r="F9246" s="34" t="n">
        <f aca="false">IFERROR(VLOOKUP($A9246,'319'!$B:$H,7,0),0)</f>
        <v>53193.94</v>
      </c>
      <c r="G9246" s="34" t="n">
        <f aca="false">SUMIFS('12.326ana'!$C:$C,'12.326ana'!$M:$M,redes!A9246)</f>
        <v>27243.17</v>
      </c>
    </row>
    <row r="9247" customFormat="false" ht="14.4" hidden="true" customHeight="false" outlineLevel="0" collapsed="false">
      <c r="A9247" s="34" t="n">
        <v>5028544000266</v>
      </c>
      <c r="B9247" s="34" t="s">
        <v>18897</v>
      </c>
      <c r="C9247" s="34" t="s">
        <v>77</v>
      </c>
      <c r="E9247" s="30" t="s">
        <v>18898</v>
      </c>
      <c r="F9247" s="34" t="n">
        <f aca="false">IFERROR(VLOOKUP($A9247,'319'!$B:$H,7,0),0)</f>
        <v>0</v>
      </c>
      <c r="G9247" s="34" t="n">
        <f aca="false">SUMIFS('12.326ana'!$C:$C,'12.326ana'!$M:$M,redes!A9247)</f>
        <v>0</v>
      </c>
    </row>
    <row r="9248" customFormat="false" ht="14.4" hidden="true" customHeight="false" outlineLevel="0" collapsed="false">
      <c r="A9248" s="34" t="n">
        <v>5029292000109</v>
      </c>
      <c r="B9248" s="34" t="s">
        <v>18899</v>
      </c>
      <c r="C9248" s="34" t="s">
        <v>77</v>
      </c>
      <c r="E9248" s="30" t="s">
        <v>18900</v>
      </c>
      <c r="F9248" s="34" t="n">
        <f aca="false">IFERROR(VLOOKUP($A9248,'319'!$B:$H,7,0),0)</f>
        <v>0</v>
      </c>
      <c r="G9248" s="34" t="n">
        <f aca="false">SUMIFS('12.326ana'!$C:$C,'12.326ana'!$M:$M,redes!A9248)</f>
        <v>0</v>
      </c>
    </row>
    <row r="9249" customFormat="false" ht="14.4" hidden="true" customHeight="false" outlineLevel="0" collapsed="false">
      <c r="A9249" s="34" t="n">
        <v>5031017000120</v>
      </c>
      <c r="B9249" s="34" t="s">
        <v>18901</v>
      </c>
      <c r="C9249" s="34" t="s">
        <v>4139</v>
      </c>
      <c r="E9249" s="30" t="s">
        <v>18902</v>
      </c>
      <c r="F9249" s="34" t="n">
        <f aca="false">IFERROR(VLOOKUP($A9249,'319'!$B:$H,7,0),0)</f>
        <v>0</v>
      </c>
      <c r="G9249" s="34" t="n">
        <f aca="false">SUMIFS('12.326ana'!$C:$C,'12.326ana'!$M:$M,redes!A9249)</f>
        <v>0</v>
      </c>
    </row>
    <row r="9250" customFormat="false" ht="14.4" hidden="true" customHeight="false" outlineLevel="0" collapsed="false">
      <c r="A9250" s="35" t="n">
        <v>5031212000150</v>
      </c>
      <c r="B9250" s="34" t="s">
        <v>18903</v>
      </c>
      <c r="C9250" s="34" t="s">
        <v>77</v>
      </c>
      <c r="E9250" s="30" t="s">
        <v>11054</v>
      </c>
      <c r="F9250" s="34" t="n">
        <f aca="false">IFERROR(VLOOKUP($A9250,'319'!$B:$H,7,0),0)</f>
        <v>0</v>
      </c>
      <c r="G9250" s="34" t="n">
        <f aca="false">SUMIFS('12.326ana'!$C:$C,'12.326ana'!$M:$M,redes!A9250)</f>
        <v>0</v>
      </c>
    </row>
    <row r="9251" customFormat="false" ht="14.4" hidden="true" customHeight="false" outlineLevel="0" collapsed="false">
      <c r="A9251" s="34" t="n">
        <v>5031235000164</v>
      </c>
      <c r="B9251" s="34" t="s">
        <v>18904</v>
      </c>
      <c r="C9251" s="34" t="s">
        <v>127</v>
      </c>
      <c r="E9251" s="30" t="s">
        <v>18905</v>
      </c>
      <c r="F9251" s="34" t="n">
        <f aca="false">IFERROR(VLOOKUP($A9251,'319'!$B:$H,7,0),0)</f>
        <v>0</v>
      </c>
      <c r="G9251" s="34" t="n">
        <f aca="false">SUMIFS('12.326ana'!$C:$C,'12.326ana'!$M:$M,redes!A9251)</f>
        <v>0</v>
      </c>
    </row>
    <row r="9252" customFormat="false" ht="14.4" hidden="true" customHeight="false" outlineLevel="0" collapsed="false">
      <c r="A9252" s="34" t="n">
        <v>5034040000178</v>
      </c>
      <c r="B9252" s="34" t="s">
        <v>18906</v>
      </c>
      <c r="C9252" s="34" t="s">
        <v>77</v>
      </c>
      <c r="E9252" s="30" t="s">
        <v>3304</v>
      </c>
      <c r="F9252" s="34" t="n">
        <f aca="false">IFERROR(VLOOKUP($A9252,'319'!$B:$H,7,0),0)</f>
        <v>0</v>
      </c>
      <c r="G9252" s="34" t="n">
        <f aca="false">SUMIFS('12.326ana'!$C:$C,'12.326ana'!$M:$M,redes!A9252)</f>
        <v>0</v>
      </c>
    </row>
    <row r="9253" customFormat="false" ht="14.4" hidden="true" customHeight="false" outlineLevel="0" collapsed="false">
      <c r="A9253" s="34" t="n">
        <v>5034056000180</v>
      </c>
      <c r="B9253" s="34" t="s">
        <v>18907</v>
      </c>
      <c r="C9253" s="34" t="s">
        <v>351</v>
      </c>
      <c r="E9253" s="30" t="s">
        <v>18908</v>
      </c>
      <c r="F9253" s="34" t="n">
        <f aca="false">IFERROR(VLOOKUP($A9253,'319'!$B:$H,7,0),0)</f>
        <v>0</v>
      </c>
      <c r="G9253" s="34" t="n">
        <f aca="false">SUMIFS('12.326ana'!$C:$C,'12.326ana'!$M:$M,redes!A9253)</f>
        <v>0</v>
      </c>
    </row>
    <row r="9254" customFormat="false" ht="14.4" hidden="true" customHeight="false" outlineLevel="0" collapsed="false">
      <c r="A9254" s="34" t="n">
        <v>5036273000100</v>
      </c>
      <c r="B9254" s="34" t="s">
        <v>18909</v>
      </c>
      <c r="C9254" s="34" t="s">
        <v>77</v>
      </c>
      <c r="E9254" s="30" t="s">
        <v>18910</v>
      </c>
      <c r="F9254" s="34" t="n">
        <f aca="false">IFERROR(VLOOKUP($A9254,'319'!$B:$H,7,0),0)</f>
        <v>0</v>
      </c>
      <c r="G9254" s="34" t="n">
        <f aca="false">SUMIFS('12.326ana'!$C:$C,'12.326ana'!$M:$M,redes!A9254)</f>
        <v>0</v>
      </c>
    </row>
    <row r="9255" customFormat="false" ht="14.4" hidden="true" customHeight="false" outlineLevel="0" collapsed="false">
      <c r="A9255" s="34" t="n">
        <v>5036981000140</v>
      </c>
      <c r="B9255" s="34" t="s">
        <v>18911</v>
      </c>
      <c r="C9255" s="34" t="s">
        <v>89</v>
      </c>
      <c r="E9255" s="30" t="s">
        <v>17623</v>
      </c>
      <c r="F9255" s="34" t="n">
        <f aca="false">IFERROR(VLOOKUP($A9255,'319'!$B:$H,7,0),0)</f>
        <v>0</v>
      </c>
      <c r="G9255" s="34" t="n">
        <f aca="false">SUMIFS('12.326ana'!$C:$C,'12.326ana'!$M:$M,redes!A9255)</f>
        <v>0</v>
      </c>
    </row>
    <row r="9256" customFormat="false" ht="14.4" hidden="true" customHeight="false" outlineLevel="0" collapsed="false">
      <c r="A9256" s="34" t="n">
        <v>5039614000109</v>
      </c>
      <c r="B9256" s="34" t="s">
        <v>18912</v>
      </c>
      <c r="C9256" s="34" t="s">
        <v>192</v>
      </c>
      <c r="E9256" s="30" t="s">
        <v>18913</v>
      </c>
      <c r="F9256" s="34" t="n">
        <f aca="false">IFERROR(VLOOKUP($A9256,'319'!$B:$H,7,0),0)</f>
        <v>0</v>
      </c>
      <c r="G9256" s="34" t="n">
        <f aca="false">SUMIFS('12.326ana'!$C:$C,'12.326ana'!$M:$M,redes!A9256)</f>
        <v>0</v>
      </c>
    </row>
    <row r="9257" customFormat="false" ht="14.4" hidden="true" customHeight="false" outlineLevel="0" collapsed="false">
      <c r="A9257" s="34" t="n">
        <v>5041178000102</v>
      </c>
      <c r="B9257" s="34" t="s">
        <v>18914</v>
      </c>
      <c r="C9257" s="34" t="s">
        <v>77</v>
      </c>
      <c r="E9257" s="30" t="s">
        <v>18915</v>
      </c>
      <c r="F9257" s="34" t="n">
        <f aca="false">IFERROR(VLOOKUP($A9257,'319'!$B:$H,7,0),0)</f>
        <v>0</v>
      </c>
      <c r="G9257" s="34" t="n">
        <f aca="false">SUMIFS('12.326ana'!$C:$C,'12.326ana'!$M:$M,redes!A9257)</f>
        <v>0</v>
      </c>
    </row>
    <row r="9258" customFormat="false" ht="14.4" hidden="true" customHeight="false" outlineLevel="0" collapsed="false">
      <c r="A9258" s="34" t="n">
        <v>5044299000108</v>
      </c>
      <c r="B9258" s="34" t="s">
        <v>18916</v>
      </c>
      <c r="C9258" s="34" t="s">
        <v>737</v>
      </c>
      <c r="E9258" s="30" t="s">
        <v>18917</v>
      </c>
      <c r="F9258" s="34" t="n">
        <f aca="false">IFERROR(VLOOKUP($A9258,'319'!$B:$H,7,0),0)</f>
        <v>0</v>
      </c>
      <c r="G9258" s="34" t="n">
        <f aca="false">SUMIFS('12.326ana'!$C:$C,'12.326ana'!$M:$M,redes!A9258)</f>
        <v>0</v>
      </c>
    </row>
    <row r="9259" customFormat="false" ht="14.4" hidden="true" customHeight="false" outlineLevel="0" collapsed="false">
      <c r="A9259" s="34" t="n">
        <v>5049917000102</v>
      </c>
      <c r="B9259" s="34" t="s">
        <v>18918</v>
      </c>
      <c r="C9259" s="34" t="s">
        <v>139</v>
      </c>
      <c r="E9259" s="30" t="s">
        <v>18919</v>
      </c>
      <c r="F9259" s="34" t="n">
        <f aca="false">IFERROR(VLOOKUP($A9259,'319'!$B:$H,7,0),0)</f>
        <v>0</v>
      </c>
      <c r="G9259" s="34" t="n">
        <f aca="false">SUMIFS('12.326ana'!$C:$C,'12.326ana'!$M:$M,redes!A9259)</f>
        <v>0</v>
      </c>
    </row>
    <row r="9260" customFormat="false" ht="14.4" hidden="true" customHeight="false" outlineLevel="0" collapsed="false">
      <c r="A9260" s="34" t="n">
        <v>5049938000110</v>
      </c>
      <c r="B9260" s="34" t="s">
        <v>18920</v>
      </c>
      <c r="C9260" s="34" t="s">
        <v>77</v>
      </c>
      <c r="E9260" s="30" t="s">
        <v>18921</v>
      </c>
      <c r="F9260" s="34" t="n">
        <f aca="false">IFERROR(VLOOKUP($A9260,'319'!$B:$H,7,0),0)</f>
        <v>0</v>
      </c>
      <c r="G9260" s="34" t="n">
        <f aca="false">SUMIFS('12.326ana'!$C:$C,'12.326ana'!$M:$M,redes!A9260)</f>
        <v>0</v>
      </c>
    </row>
    <row r="9261" customFormat="false" ht="14.4" hidden="true" customHeight="false" outlineLevel="0" collapsed="false">
      <c r="A9261" s="34" t="n">
        <v>5051579000135</v>
      </c>
      <c r="B9261" s="34" t="s">
        <v>18922</v>
      </c>
      <c r="C9261" s="34" t="s">
        <v>357</v>
      </c>
      <c r="E9261" s="30" t="s">
        <v>18923</v>
      </c>
      <c r="F9261" s="34" t="n">
        <f aca="false">IFERROR(VLOOKUP($A9261,'319'!$B:$H,7,0),0)</f>
        <v>0</v>
      </c>
      <c r="G9261" s="34" t="n">
        <f aca="false">SUMIFS('12.326ana'!$C:$C,'12.326ana'!$M:$M,redes!A9261)</f>
        <v>0</v>
      </c>
    </row>
    <row r="9262" customFormat="false" ht="14.4" hidden="true" customHeight="false" outlineLevel="0" collapsed="false">
      <c r="A9262" s="34" t="n">
        <v>5052497000105</v>
      </c>
      <c r="B9262" s="34" t="s">
        <v>18924</v>
      </c>
      <c r="C9262" s="34" t="s">
        <v>594</v>
      </c>
      <c r="E9262" s="30" t="s">
        <v>18925</v>
      </c>
      <c r="F9262" s="34" t="n">
        <f aca="false">IFERROR(VLOOKUP($A9262,'319'!$B:$H,7,0),0)</f>
        <v>0</v>
      </c>
      <c r="G9262" s="34" t="n">
        <f aca="false">SUMIFS('12.326ana'!$C:$C,'12.326ana'!$M:$M,redes!A9262)</f>
        <v>0</v>
      </c>
    </row>
    <row r="9263" customFormat="false" ht="14.4" hidden="true" customHeight="false" outlineLevel="0" collapsed="false">
      <c r="A9263" s="34" t="n">
        <v>5055350000179</v>
      </c>
      <c r="B9263" s="34" t="s">
        <v>18926</v>
      </c>
      <c r="C9263" s="34" t="s">
        <v>342</v>
      </c>
      <c r="E9263" s="30" t="s">
        <v>18927</v>
      </c>
      <c r="F9263" s="34" t="n">
        <f aca="false">IFERROR(VLOOKUP($A9263,'319'!$B:$H,7,0),0)</f>
        <v>0</v>
      </c>
      <c r="G9263" s="34" t="n">
        <f aca="false">SUMIFS('12.326ana'!$C:$C,'12.326ana'!$M:$M,redes!A9263)</f>
        <v>0</v>
      </c>
    </row>
    <row r="9264" customFormat="false" ht="14.4" hidden="true" customHeight="false" outlineLevel="0" collapsed="false">
      <c r="A9264" s="34" t="n">
        <v>5058210000154</v>
      </c>
      <c r="B9264" s="34" t="s">
        <v>18928</v>
      </c>
      <c r="C9264" s="34" t="s">
        <v>107</v>
      </c>
      <c r="E9264" s="30" t="s">
        <v>5206</v>
      </c>
      <c r="F9264" s="34" t="n">
        <f aca="false">IFERROR(VLOOKUP($A9264,'319'!$B:$H,7,0),0)</f>
        <v>0</v>
      </c>
      <c r="G9264" s="34" t="n">
        <f aca="false">SUMIFS('12.326ana'!$C:$C,'12.326ana'!$M:$M,redes!A9264)</f>
        <v>0</v>
      </c>
    </row>
    <row r="9265" customFormat="false" ht="14.4" hidden="true" customHeight="false" outlineLevel="0" collapsed="false">
      <c r="A9265" s="34" t="n">
        <v>5058914000127</v>
      </c>
      <c r="B9265" s="34" t="s">
        <v>18929</v>
      </c>
      <c r="C9265" s="34" t="s">
        <v>631</v>
      </c>
      <c r="E9265" s="30" t="s">
        <v>18930</v>
      </c>
      <c r="F9265" s="34" t="n">
        <f aca="false">IFERROR(VLOOKUP($A9265,'319'!$B:$H,7,0),0)</f>
        <v>0</v>
      </c>
      <c r="G9265" s="34" t="n">
        <f aca="false">SUMIFS('12.326ana'!$C:$C,'12.326ana'!$M:$M,redes!A9265)</f>
        <v>0</v>
      </c>
    </row>
    <row r="9266" customFormat="false" ht="14.4" hidden="true" customHeight="false" outlineLevel="0" collapsed="false">
      <c r="A9266" s="34" t="n">
        <v>5061968000141</v>
      </c>
      <c r="B9266" s="34" t="s">
        <v>18931</v>
      </c>
      <c r="C9266" s="34" t="s">
        <v>77</v>
      </c>
      <c r="E9266" s="30" t="s">
        <v>18932</v>
      </c>
      <c r="F9266" s="34" t="n">
        <f aca="false">IFERROR(VLOOKUP($A9266,'319'!$B:$H,7,0),0)</f>
        <v>0</v>
      </c>
      <c r="G9266" s="34" t="n">
        <f aca="false">SUMIFS('12.326ana'!$C:$C,'12.326ana'!$M:$M,redes!A9266)</f>
        <v>0</v>
      </c>
    </row>
    <row r="9267" customFormat="false" ht="14.4" hidden="true" customHeight="false" outlineLevel="0" collapsed="false">
      <c r="A9267" s="34" t="n">
        <v>5062413000114</v>
      </c>
      <c r="B9267" s="34" t="s">
        <v>18933</v>
      </c>
      <c r="C9267" s="34" t="s">
        <v>77</v>
      </c>
      <c r="E9267" s="30" t="s">
        <v>18934</v>
      </c>
      <c r="F9267" s="34" t="n">
        <f aca="false">IFERROR(VLOOKUP($A9267,'319'!$B:$H,7,0),0)</f>
        <v>0</v>
      </c>
      <c r="G9267" s="34" t="n">
        <f aca="false">SUMIFS('12.326ana'!$C:$C,'12.326ana'!$M:$M,redes!A9267)</f>
        <v>0</v>
      </c>
    </row>
    <row r="9268" customFormat="false" ht="14.4" hidden="true" customHeight="false" outlineLevel="0" collapsed="false">
      <c r="A9268" s="34" t="n">
        <v>5062499000185</v>
      </c>
      <c r="B9268" s="34" t="s">
        <v>18935</v>
      </c>
      <c r="C9268" s="34" t="s">
        <v>77</v>
      </c>
      <c r="E9268" s="30" t="s">
        <v>18936</v>
      </c>
      <c r="F9268" s="34" t="n">
        <f aca="false">IFERROR(VLOOKUP($A9268,'319'!$B:$H,7,0),0)</f>
        <v>0</v>
      </c>
      <c r="G9268" s="34" t="n">
        <f aca="false">SUMIFS('12.326ana'!$C:$C,'12.326ana'!$M:$M,redes!A9268)</f>
        <v>0</v>
      </c>
    </row>
    <row r="9269" customFormat="false" ht="14.4" hidden="true" customHeight="false" outlineLevel="0" collapsed="false">
      <c r="A9269" s="34" t="n">
        <v>5064915000184</v>
      </c>
      <c r="B9269" s="34" t="s">
        <v>18937</v>
      </c>
      <c r="C9269" s="34" t="s">
        <v>77</v>
      </c>
      <c r="D9269" s="34" t="s">
        <v>23</v>
      </c>
      <c r="E9269" s="30" t="s">
        <v>18938</v>
      </c>
      <c r="F9269" s="34" t="n">
        <f aca="false">IFERROR(VLOOKUP($A9269,'319'!$B:$H,7,0),0)</f>
        <v>0</v>
      </c>
      <c r="G9269" s="34" t="n">
        <f aca="false">SUMIFS('12.326ana'!$C:$C,'12.326ana'!$M:$M,redes!A9269)</f>
        <v>0</v>
      </c>
    </row>
    <row r="9270" customFormat="false" ht="14.4" hidden="true" customHeight="false" outlineLevel="0" collapsed="false">
      <c r="A9270" s="34" t="n">
        <v>5067711000105</v>
      </c>
      <c r="B9270" s="34" t="s">
        <v>18939</v>
      </c>
      <c r="C9270" s="34" t="s">
        <v>565</v>
      </c>
      <c r="E9270" s="30" t="s">
        <v>18940</v>
      </c>
      <c r="F9270" s="34" t="n">
        <f aca="false">IFERROR(VLOOKUP($A9270,'319'!$B:$H,7,0),0)</f>
        <v>0</v>
      </c>
      <c r="G9270" s="34" t="n">
        <f aca="false">SUMIFS('12.326ana'!$C:$C,'12.326ana'!$M:$M,redes!A9270)</f>
        <v>0</v>
      </c>
    </row>
    <row r="9271" customFormat="false" ht="14.4" hidden="true" customHeight="false" outlineLevel="0" collapsed="false">
      <c r="A9271" s="34" t="n">
        <v>5070159000104</v>
      </c>
      <c r="B9271" s="34" t="s">
        <v>18941</v>
      </c>
      <c r="C9271" s="34" t="s">
        <v>737</v>
      </c>
      <c r="E9271" s="30" t="s">
        <v>18942</v>
      </c>
      <c r="F9271" s="34" t="n">
        <f aca="false">IFERROR(VLOOKUP($A9271,'319'!$B:$H,7,0),0)</f>
        <v>0</v>
      </c>
      <c r="G9271" s="34" t="n">
        <f aca="false">SUMIFS('12.326ana'!$C:$C,'12.326ana'!$M:$M,redes!A9271)</f>
        <v>0</v>
      </c>
    </row>
    <row r="9272" customFormat="false" ht="14.4" hidden="true" customHeight="false" outlineLevel="0" collapsed="false">
      <c r="A9272" s="34" t="n">
        <v>5075521000121</v>
      </c>
      <c r="B9272" s="34" t="s">
        <v>1643</v>
      </c>
      <c r="C9272" s="34" t="s">
        <v>744</v>
      </c>
      <c r="E9272" s="30" t="s">
        <v>18943</v>
      </c>
      <c r="F9272" s="34" t="n">
        <f aca="false">IFERROR(VLOOKUP($A9272,'319'!$B:$H,7,0),0)</f>
        <v>65.52</v>
      </c>
      <c r="G9272" s="34" t="n">
        <f aca="false">SUMIFS('12.326ana'!$C:$C,'12.326ana'!$M:$M,redes!A9272)</f>
        <v>0</v>
      </c>
    </row>
    <row r="9273" customFormat="false" ht="14.4" hidden="true" customHeight="false" outlineLevel="0" collapsed="false">
      <c r="A9273" s="34" t="n">
        <v>5077988000100</v>
      </c>
      <c r="B9273" s="34" t="s">
        <v>18944</v>
      </c>
      <c r="C9273" s="34" t="s">
        <v>604</v>
      </c>
      <c r="E9273" s="30" t="s">
        <v>18945</v>
      </c>
      <c r="F9273" s="34" t="n">
        <f aca="false">IFERROR(VLOOKUP($A9273,'319'!$B:$H,7,0),0)</f>
        <v>0</v>
      </c>
      <c r="G9273" s="34" t="n">
        <f aca="false">SUMIFS('12.326ana'!$C:$C,'12.326ana'!$M:$M,redes!A9273)</f>
        <v>0</v>
      </c>
    </row>
    <row r="9274" customFormat="false" ht="14.4" hidden="true" customHeight="false" outlineLevel="0" collapsed="false">
      <c r="A9274" s="34" t="n">
        <v>5078528000105</v>
      </c>
      <c r="B9274" s="34" t="s">
        <v>18946</v>
      </c>
      <c r="C9274" s="34" t="s">
        <v>7250</v>
      </c>
      <c r="E9274" s="30" t="s">
        <v>18947</v>
      </c>
      <c r="F9274" s="34" t="n">
        <f aca="false">IFERROR(VLOOKUP($A9274,'319'!$B:$H,7,0),0)</f>
        <v>0</v>
      </c>
      <c r="G9274" s="34" t="n">
        <f aca="false">SUMIFS('12.326ana'!$C:$C,'12.326ana'!$M:$M,redes!A9274)</f>
        <v>0</v>
      </c>
    </row>
    <row r="9275" customFormat="false" ht="14.4" hidden="true" customHeight="false" outlineLevel="0" collapsed="false">
      <c r="A9275" s="34" t="n">
        <v>5079218000105</v>
      </c>
      <c r="B9275" s="34" t="s">
        <v>18948</v>
      </c>
      <c r="C9275" s="34" t="s">
        <v>631</v>
      </c>
      <c r="E9275" s="30" t="s">
        <v>18949</v>
      </c>
      <c r="F9275" s="34" t="n">
        <f aca="false">IFERROR(VLOOKUP($A9275,'319'!$B:$H,7,0),0)</f>
        <v>0</v>
      </c>
      <c r="G9275" s="34" t="n">
        <f aca="false">SUMIFS('12.326ana'!$C:$C,'12.326ana'!$M:$M,redes!A9275)</f>
        <v>0</v>
      </c>
    </row>
    <row r="9276" customFormat="false" ht="14.4" hidden="true" customHeight="false" outlineLevel="0" collapsed="false">
      <c r="A9276" s="34" t="n">
        <v>5080887000199</v>
      </c>
      <c r="B9276" s="34" t="s">
        <v>18950</v>
      </c>
      <c r="C9276" s="34" t="s">
        <v>77</v>
      </c>
      <c r="E9276" s="30" t="s">
        <v>5045</v>
      </c>
      <c r="F9276" s="34" t="n">
        <f aca="false">IFERROR(VLOOKUP($A9276,'319'!$B:$H,7,0),0)</f>
        <v>0</v>
      </c>
      <c r="G9276" s="34" t="n">
        <f aca="false">SUMIFS('12.326ana'!$C:$C,'12.326ana'!$M:$M,redes!A9276)</f>
        <v>0</v>
      </c>
    </row>
    <row r="9277" customFormat="false" ht="14.4" hidden="true" customHeight="false" outlineLevel="0" collapsed="false">
      <c r="A9277" s="34" t="n">
        <v>5081231000190</v>
      </c>
      <c r="B9277" s="34" t="s">
        <v>18951</v>
      </c>
      <c r="C9277" s="34" t="s">
        <v>89</v>
      </c>
      <c r="E9277" s="30" t="s">
        <v>18952</v>
      </c>
      <c r="F9277" s="34" t="n">
        <f aca="false">IFERROR(VLOOKUP($A9277,'319'!$B:$H,7,0),0)</f>
        <v>0</v>
      </c>
      <c r="G9277" s="34" t="n">
        <f aca="false">SUMIFS('12.326ana'!$C:$C,'12.326ana'!$M:$M,redes!A9277)</f>
        <v>0</v>
      </c>
    </row>
    <row r="9278" customFormat="false" ht="14.4" hidden="true" customHeight="false" outlineLevel="0" collapsed="false">
      <c r="A9278" s="34" t="n">
        <v>5081862000100</v>
      </c>
      <c r="B9278" s="34" t="s">
        <v>1237</v>
      </c>
      <c r="C9278" s="34" t="s">
        <v>77</v>
      </c>
      <c r="E9278" s="30" t="s">
        <v>18953</v>
      </c>
      <c r="F9278" s="34" t="n">
        <f aca="false">IFERROR(VLOOKUP($A9278,'319'!$B:$H,7,0),0)</f>
        <v>296.83</v>
      </c>
      <c r="G9278" s="34" t="n">
        <f aca="false">SUMIFS('12.326ana'!$C:$C,'12.326ana'!$M:$M,redes!A9278)</f>
        <v>0</v>
      </c>
    </row>
    <row r="9279" customFormat="false" ht="14.4" hidden="true" customHeight="false" outlineLevel="0" collapsed="false">
      <c r="A9279" s="34" t="n">
        <v>5082449000160</v>
      </c>
      <c r="B9279" s="34" t="s">
        <v>18954</v>
      </c>
      <c r="C9279" s="34" t="s">
        <v>848</v>
      </c>
      <c r="E9279" s="30" t="s">
        <v>13544</v>
      </c>
      <c r="F9279" s="34" t="n">
        <f aca="false">IFERROR(VLOOKUP($A9279,'319'!$B:$H,7,0),0)</f>
        <v>0</v>
      </c>
      <c r="G9279" s="34" t="n">
        <f aca="false">SUMIFS('12.326ana'!$C:$C,'12.326ana'!$M:$M,redes!A9279)</f>
        <v>0</v>
      </c>
    </row>
    <row r="9280" customFormat="false" ht="14.4" hidden="true" customHeight="false" outlineLevel="0" collapsed="false">
      <c r="A9280" s="34" t="n">
        <v>5084068000110</v>
      </c>
      <c r="B9280" s="34" t="s">
        <v>18955</v>
      </c>
      <c r="C9280" s="34" t="s">
        <v>89</v>
      </c>
      <c r="E9280" s="30" t="s">
        <v>18956</v>
      </c>
      <c r="F9280" s="34" t="n">
        <f aca="false">IFERROR(VLOOKUP($A9280,'319'!$B:$H,7,0),0)</f>
        <v>0</v>
      </c>
      <c r="G9280" s="34" t="n">
        <f aca="false">SUMIFS('12.326ana'!$C:$C,'12.326ana'!$M:$M,redes!A9280)</f>
        <v>0</v>
      </c>
    </row>
    <row r="9281" customFormat="false" ht="14.4" hidden="true" customHeight="false" outlineLevel="0" collapsed="false">
      <c r="A9281" s="34" t="n">
        <v>5084203000127</v>
      </c>
      <c r="B9281" s="34" t="s">
        <v>18957</v>
      </c>
      <c r="C9281" s="34" t="s">
        <v>77</v>
      </c>
      <c r="E9281" s="30"/>
      <c r="F9281" s="34" t="n">
        <f aca="false">IFERROR(VLOOKUP($A9281,'319'!$B:$H,7,0),0)</f>
        <v>0</v>
      </c>
      <c r="G9281" s="34" t="n">
        <f aca="false">SUMIFS('12.326ana'!$C:$C,'12.326ana'!$M:$M,redes!A9281)</f>
        <v>0</v>
      </c>
    </row>
    <row r="9282" customFormat="false" ht="14.4" hidden="true" customHeight="false" outlineLevel="0" collapsed="false">
      <c r="A9282" s="34" t="n">
        <v>5088936000130</v>
      </c>
      <c r="B9282" s="34" t="s">
        <v>18958</v>
      </c>
      <c r="C9282" s="34" t="s">
        <v>2998</v>
      </c>
      <c r="E9282" s="30" t="s">
        <v>18959</v>
      </c>
      <c r="F9282" s="34" t="n">
        <f aca="false">IFERROR(VLOOKUP($A9282,'319'!$B:$H,7,0),0)</f>
        <v>0</v>
      </c>
      <c r="G9282" s="34" t="n">
        <f aca="false">SUMIFS('12.326ana'!$C:$C,'12.326ana'!$M:$M,redes!A9282)</f>
        <v>0</v>
      </c>
    </row>
    <row r="9283" customFormat="false" ht="14.4" hidden="true" customHeight="false" outlineLevel="0" collapsed="false">
      <c r="A9283" s="34" t="n">
        <v>5089316000115</v>
      </c>
      <c r="B9283" s="34" t="s">
        <v>18960</v>
      </c>
      <c r="C9283" s="34" t="s">
        <v>77</v>
      </c>
      <c r="E9283" s="30" t="s">
        <v>3894</v>
      </c>
      <c r="F9283" s="34" t="n">
        <f aca="false">IFERROR(VLOOKUP($A9283,'319'!$B:$H,7,0),0)</f>
        <v>0</v>
      </c>
      <c r="G9283" s="34" t="n">
        <f aca="false">SUMIFS('12.326ana'!$C:$C,'12.326ana'!$M:$M,redes!A9283)</f>
        <v>0</v>
      </c>
    </row>
    <row r="9284" customFormat="false" ht="14.4" hidden="true" customHeight="false" outlineLevel="0" collapsed="false">
      <c r="A9284" s="34" t="n">
        <v>5089330000119</v>
      </c>
      <c r="B9284" s="34" t="s">
        <v>18961</v>
      </c>
      <c r="C9284" s="34" t="s">
        <v>77</v>
      </c>
      <c r="E9284" s="30" t="s">
        <v>18962</v>
      </c>
      <c r="F9284" s="34" t="n">
        <f aca="false">IFERROR(VLOOKUP($A9284,'319'!$B:$H,7,0),0)</f>
        <v>0</v>
      </c>
      <c r="G9284" s="34" t="n">
        <f aca="false">SUMIFS('12.326ana'!$C:$C,'12.326ana'!$M:$M,redes!A9284)</f>
        <v>0</v>
      </c>
    </row>
    <row r="9285" customFormat="false" ht="14.4" hidden="true" customHeight="false" outlineLevel="0" collapsed="false">
      <c r="A9285" s="34" t="n">
        <v>5090005000176</v>
      </c>
      <c r="B9285" s="34" t="s">
        <v>18963</v>
      </c>
      <c r="C9285" s="34" t="s">
        <v>107</v>
      </c>
      <c r="E9285" s="30" t="s">
        <v>18964</v>
      </c>
      <c r="F9285" s="34" t="n">
        <f aca="false">IFERROR(VLOOKUP($A9285,'319'!$B:$H,7,0),0)</f>
        <v>0</v>
      </c>
      <c r="G9285" s="34" t="n">
        <f aca="false">SUMIFS('12.326ana'!$C:$C,'12.326ana'!$M:$M,redes!A9285)</f>
        <v>0</v>
      </c>
    </row>
    <row r="9286" customFormat="false" ht="14.4" hidden="true" customHeight="false" outlineLevel="0" collapsed="false">
      <c r="A9286" s="34" t="n">
        <v>5091162000104</v>
      </c>
      <c r="B9286" s="34" t="s">
        <v>18965</v>
      </c>
      <c r="C9286" s="34" t="s">
        <v>192</v>
      </c>
      <c r="E9286" s="30" t="s">
        <v>4253</v>
      </c>
      <c r="F9286" s="34" t="n">
        <f aca="false">IFERROR(VLOOKUP($A9286,'319'!$B:$H,7,0),0)</f>
        <v>0</v>
      </c>
      <c r="G9286" s="34" t="n">
        <f aca="false">SUMIFS('12.326ana'!$C:$C,'12.326ana'!$M:$M,redes!A9286)</f>
        <v>0</v>
      </c>
    </row>
    <row r="9287" customFormat="false" ht="14.4" hidden="true" customHeight="false" outlineLevel="0" collapsed="false">
      <c r="A9287" s="34" t="n">
        <v>5092478000102</v>
      </c>
      <c r="B9287" s="34" t="s">
        <v>18966</v>
      </c>
      <c r="C9287" s="34" t="s">
        <v>744</v>
      </c>
      <c r="E9287" s="30" t="s">
        <v>18967</v>
      </c>
      <c r="F9287" s="34" t="n">
        <f aca="false">IFERROR(VLOOKUP($A9287,'319'!$B:$H,7,0),0)</f>
        <v>0</v>
      </c>
      <c r="G9287" s="34" t="n">
        <f aca="false">SUMIFS('12.326ana'!$C:$C,'12.326ana'!$M:$M,redes!A9287)</f>
        <v>0</v>
      </c>
    </row>
    <row r="9288" customFormat="false" ht="14.4" hidden="true" customHeight="false" outlineLevel="0" collapsed="false">
      <c r="A9288" s="34" t="n">
        <v>5097278000142</v>
      </c>
      <c r="B9288" s="34" t="s">
        <v>18968</v>
      </c>
      <c r="C9288" s="34" t="s">
        <v>713</v>
      </c>
      <c r="E9288" s="30" t="s">
        <v>12668</v>
      </c>
      <c r="F9288" s="34" t="n">
        <f aca="false">IFERROR(VLOOKUP($A9288,'319'!$B:$H,7,0),0)</f>
        <v>0</v>
      </c>
      <c r="G9288" s="34" t="n">
        <f aca="false">SUMIFS('12.326ana'!$C:$C,'12.326ana'!$M:$M,redes!A9288)</f>
        <v>0</v>
      </c>
    </row>
    <row r="9289" customFormat="false" ht="14.4" hidden="true" customHeight="false" outlineLevel="0" collapsed="false">
      <c r="A9289" s="34" t="n">
        <v>5097296000124</v>
      </c>
      <c r="B9289" s="34" t="s">
        <v>18969</v>
      </c>
      <c r="C9289" s="34" t="s">
        <v>848</v>
      </c>
      <c r="E9289" s="30" t="s">
        <v>18970</v>
      </c>
      <c r="F9289" s="34" t="n">
        <f aca="false">IFERROR(VLOOKUP($A9289,'319'!$B:$H,7,0),0)</f>
        <v>0</v>
      </c>
      <c r="G9289" s="34" t="n">
        <f aca="false">SUMIFS('12.326ana'!$C:$C,'12.326ana'!$M:$M,redes!A9289)</f>
        <v>0</v>
      </c>
    </row>
    <row r="9290" customFormat="false" ht="14.4" hidden="true" customHeight="false" outlineLevel="0" collapsed="false">
      <c r="A9290" s="35" t="n">
        <v>5097303000198</v>
      </c>
      <c r="B9290" s="34" t="s">
        <v>18971</v>
      </c>
      <c r="C9290" s="34" t="s">
        <v>4139</v>
      </c>
      <c r="E9290" s="30" t="s">
        <v>18972</v>
      </c>
      <c r="F9290" s="34" t="n">
        <f aca="false">IFERROR(VLOOKUP($A9290,'319'!$B:$H,7,0),0)</f>
        <v>0</v>
      </c>
      <c r="G9290" s="34" t="n">
        <f aca="false">SUMIFS('12.326ana'!$C:$C,'12.326ana'!$M:$M,redes!A9290)</f>
        <v>0</v>
      </c>
    </row>
    <row r="9291" customFormat="false" ht="14.4" hidden="true" customHeight="false" outlineLevel="0" collapsed="false">
      <c r="A9291" s="34" t="n">
        <v>5097356000109</v>
      </c>
      <c r="B9291" s="34" t="s">
        <v>18973</v>
      </c>
      <c r="C9291" s="34" t="s">
        <v>706</v>
      </c>
      <c r="E9291" s="30" t="s">
        <v>18974</v>
      </c>
      <c r="F9291" s="34" t="n">
        <f aca="false">IFERROR(VLOOKUP($A9291,'319'!$B:$H,7,0),0)</f>
        <v>0</v>
      </c>
      <c r="G9291" s="34" t="n">
        <f aca="false">SUMIFS('12.326ana'!$C:$C,'12.326ana'!$M:$M,redes!A9291)</f>
        <v>0</v>
      </c>
    </row>
    <row r="9292" customFormat="false" ht="14.4" hidden="true" customHeight="false" outlineLevel="0" collapsed="false">
      <c r="A9292" s="34" t="n">
        <v>5098974000173</v>
      </c>
      <c r="B9292" s="34" t="s">
        <v>18975</v>
      </c>
      <c r="C9292" s="34" t="s">
        <v>804</v>
      </c>
      <c r="E9292" s="30" t="s">
        <v>17341</v>
      </c>
      <c r="F9292" s="34" t="n">
        <f aca="false">IFERROR(VLOOKUP($A9292,'319'!$B:$H,7,0),0)</f>
        <v>0</v>
      </c>
      <c r="G9292" s="34" t="n">
        <f aca="false">SUMIFS('12.326ana'!$C:$C,'12.326ana'!$M:$M,redes!A9292)</f>
        <v>0</v>
      </c>
    </row>
    <row r="9293" customFormat="false" ht="14.4" hidden="true" customHeight="false" outlineLevel="0" collapsed="false">
      <c r="A9293" s="34" t="n">
        <v>5099789000101</v>
      </c>
      <c r="B9293" s="34" t="s">
        <v>18976</v>
      </c>
      <c r="C9293" s="34" t="s">
        <v>77</v>
      </c>
      <c r="E9293" s="30" t="s">
        <v>18977</v>
      </c>
      <c r="F9293" s="34" t="n">
        <f aca="false">IFERROR(VLOOKUP($A9293,'319'!$B:$H,7,0),0)</f>
        <v>0</v>
      </c>
      <c r="G9293" s="34" t="n">
        <f aca="false">SUMIFS('12.326ana'!$C:$C,'12.326ana'!$M:$M,redes!A9293)</f>
        <v>0</v>
      </c>
    </row>
    <row r="9294" customFormat="false" ht="14.4" hidden="true" customHeight="false" outlineLevel="0" collapsed="false">
      <c r="A9294" s="34" t="n">
        <v>5100431000143</v>
      </c>
      <c r="B9294" s="34" t="s">
        <v>18978</v>
      </c>
      <c r="C9294" s="34" t="s">
        <v>631</v>
      </c>
      <c r="E9294" s="30" t="s">
        <v>18979</v>
      </c>
      <c r="F9294" s="34" t="n">
        <f aca="false">IFERROR(VLOOKUP($A9294,'319'!$B:$H,7,0),0)</f>
        <v>0</v>
      </c>
      <c r="G9294" s="34" t="n">
        <f aca="false">SUMIFS('12.326ana'!$C:$C,'12.326ana'!$M:$M,redes!A9294)</f>
        <v>0</v>
      </c>
    </row>
    <row r="9295" customFormat="false" ht="14.4" hidden="true" customHeight="false" outlineLevel="0" collapsed="false">
      <c r="A9295" s="34" t="n">
        <v>5102484000101</v>
      </c>
      <c r="B9295" s="34" t="s">
        <v>18980</v>
      </c>
      <c r="C9295" s="34" t="s">
        <v>107</v>
      </c>
      <c r="E9295" s="30" t="s">
        <v>18981</v>
      </c>
      <c r="F9295" s="34" t="n">
        <f aca="false">IFERROR(VLOOKUP($A9295,'319'!$B:$H,7,0),0)</f>
        <v>0</v>
      </c>
      <c r="G9295" s="34" t="n">
        <f aca="false">SUMIFS('12.326ana'!$C:$C,'12.326ana'!$M:$M,redes!A9295)</f>
        <v>0</v>
      </c>
    </row>
    <row r="9296" customFormat="false" ht="14.4" hidden="true" customHeight="false" outlineLevel="0" collapsed="false">
      <c r="A9296" s="34" t="n">
        <v>5103751000157</v>
      </c>
      <c r="B9296" s="34" t="s">
        <v>18982</v>
      </c>
      <c r="C9296" s="34" t="s">
        <v>154</v>
      </c>
      <c r="D9296" s="34" t="s">
        <v>18983</v>
      </c>
      <c r="E9296" s="30" t="s">
        <v>13293</v>
      </c>
      <c r="F9296" s="34" t="n">
        <f aca="false">IFERROR(VLOOKUP($A9296,'319'!$B:$H,7,0),0)</f>
        <v>0</v>
      </c>
      <c r="G9296" s="34" t="n">
        <f aca="false">SUMIFS('12.326ana'!$C:$C,'12.326ana'!$M:$M,redes!A9296)</f>
        <v>0</v>
      </c>
    </row>
    <row r="9297" customFormat="false" ht="14.4" hidden="true" customHeight="false" outlineLevel="0" collapsed="false">
      <c r="A9297" s="34" t="n">
        <v>5108286000147</v>
      </c>
      <c r="B9297" s="34" t="s">
        <v>18984</v>
      </c>
      <c r="C9297" s="34" t="s">
        <v>77</v>
      </c>
      <c r="E9297" s="30" t="s">
        <v>18985</v>
      </c>
      <c r="F9297" s="34" t="n">
        <f aca="false">IFERROR(VLOOKUP($A9297,'319'!$B:$H,7,0),0)</f>
        <v>0</v>
      </c>
      <c r="G9297" s="34" t="n">
        <f aca="false">SUMIFS('12.326ana'!$C:$C,'12.326ana'!$M:$M,redes!A9297)</f>
        <v>0</v>
      </c>
    </row>
    <row r="9298" customFormat="false" ht="14.4" hidden="true" customHeight="false" outlineLevel="0" collapsed="false">
      <c r="A9298" s="34" t="n">
        <v>5110297000161</v>
      </c>
      <c r="B9298" s="34" t="s">
        <v>18986</v>
      </c>
      <c r="C9298" s="34" t="s">
        <v>77</v>
      </c>
      <c r="E9298" s="30" t="s">
        <v>13744</v>
      </c>
      <c r="F9298" s="34" t="n">
        <f aca="false">IFERROR(VLOOKUP($A9298,'319'!$B:$H,7,0),0)</f>
        <v>0</v>
      </c>
      <c r="G9298" s="34" t="n">
        <f aca="false">SUMIFS('12.326ana'!$C:$C,'12.326ana'!$M:$M,redes!A9298)</f>
        <v>0</v>
      </c>
    </row>
    <row r="9299" customFormat="false" ht="14.4" hidden="true" customHeight="false" outlineLevel="0" collapsed="false">
      <c r="A9299" s="34" t="n">
        <v>5112326000205</v>
      </c>
      <c r="B9299" s="34" t="s">
        <v>18987</v>
      </c>
      <c r="C9299" s="34" t="s">
        <v>935</v>
      </c>
      <c r="E9299" s="30" t="s">
        <v>18988</v>
      </c>
      <c r="F9299" s="34" t="n">
        <f aca="false">IFERROR(VLOOKUP($A9299,'319'!$B:$H,7,0),0)</f>
        <v>0</v>
      </c>
      <c r="G9299" s="34" t="n">
        <f aca="false">SUMIFS('12.326ana'!$C:$C,'12.326ana'!$M:$M,redes!A9299)</f>
        <v>0</v>
      </c>
    </row>
    <row r="9300" customFormat="false" ht="14.4" hidden="true" customHeight="false" outlineLevel="0" collapsed="false">
      <c r="A9300" s="34" t="n">
        <v>5112326000396</v>
      </c>
      <c r="B9300" s="34" t="s">
        <v>18989</v>
      </c>
      <c r="C9300" s="34" t="s">
        <v>721</v>
      </c>
      <c r="E9300" s="30" t="s">
        <v>18988</v>
      </c>
      <c r="F9300" s="34" t="n">
        <f aca="false">IFERROR(VLOOKUP($A9300,'319'!$B:$H,7,0),0)</f>
        <v>0</v>
      </c>
      <c r="G9300" s="34" t="n">
        <f aca="false">SUMIFS('12.326ana'!$C:$C,'12.326ana'!$M:$M,redes!A9300)</f>
        <v>0</v>
      </c>
    </row>
    <row r="9301" customFormat="false" ht="14.4" hidden="true" customHeight="false" outlineLevel="0" collapsed="false">
      <c r="A9301" s="34" t="n">
        <v>5112653000186</v>
      </c>
      <c r="B9301" s="34" t="s">
        <v>18990</v>
      </c>
      <c r="C9301" s="34" t="s">
        <v>604</v>
      </c>
      <c r="E9301" s="30" t="s">
        <v>18991</v>
      </c>
      <c r="F9301" s="34" t="n">
        <f aca="false">IFERROR(VLOOKUP($A9301,'319'!$B:$H,7,0),0)</f>
        <v>0</v>
      </c>
      <c r="G9301" s="34" t="n">
        <f aca="false">SUMIFS('12.326ana'!$C:$C,'12.326ana'!$M:$M,redes!A9301)</f>
        <v>0</v>
      </c>
    </row>
    <row r="9302" customFormat="false" ht="14.4" hidden="true" customHeight="false" outlineLevel="0" collapsed="false">
      <c r="A9302" s="34" t="n">
        <v>5113419000173</v>
      </c>
      <c r="B9302" s="34" t="s">
        <v>18992</v>
      </c>
      <c r="C9302" s="34" t="s">
        <v>213</v>
      </c>
      <c r="E9302" s="30" t="s">
        <v>11684</v>
      </c>
      <c r="F9302" s="34" t="n">
        <f aca="false">IFERROR(VLOOKUP($A9302,'319'!$B:$H,7,0),0)</f>
        <v>0</v>
      </c>
      <c r="G9302" s="34" t="n">
        <f aca="false">SUMIFS('12.326ana'!$C:$C,'12.326ana'!$M:$M,redes!A9302)</f>
        <v>0</v>
      </c>
    </row>
    <row r="9303" customFormat="false" ht="14.4" hidden="true" customHeight="false" outlineLevel="0" collapsed="false">
      <c r="A9303" s="34" t="n">
        <v>5113602000179</v>
      </c>
      <c r="B9303" s="34" t="s">
        <v>951</v>
      </c>
      <c r="C9303" s="34" t="s">
        <v>842</v>
      </c>
      <c r="E9303" s="30" t="s">
        <v>18993</v>
      </c>
      <c r="F9303" s="34" t="n">
        <f aca="false">IFERROR(VLOOKUP($A9303,'319'!$B:$H,7,0),0)</f>
        <v>1150.38</v>
      </c>
      <c r="G9303" s="34" t="n">
        <f aca="false">SUMIFS('12.326ana'!$C:$C,'12.326ana'!$M:$M,redes!A9303)</f>
        <v>0</v>
      </c>
    </row>
    <row r="9304" customFormat="false" ht="14.4" hidden="true" customHeight="false" outlineLevel="0" collapsed="false">
      <c r="A9304" s="34" t="n">
        <v>5113687000195</v>
      </c>
      <c r="B9304" s="34" t="s">
        <v>18994</v>
      </c>
      <c r="C9304" s="34" t="s">
        <v>594</v>
      </c>
      <c r="E9304" s="30" t="s">
        <v>18995</v>
      </c>
      <c r="F9304" s="34" t="n">
        <f aca="false">IFERROR(VLOOKUP($A9304,'319'!$B:$H,7,0),0)</f>
        <v>0</v>
      </c>
      <c r="G9304" s="34" t="n">
        <f aca="false">SUMIFS('12.326ana'!$C:$C,'12.326ana'!$M:$M,redes!A9304)</f>
        <v>0</v>
      </c>
    </row>
    <row r="9305" customFormat="false" ht="14.4" hidden="true" customHeight="false" outlineLevel="0" collapsed="false">
      <c r="A9305" s="34" t="n">
        <v>5113728000143</v>
      </c>
      <c r="B9305" s="34" t="s">
        <v>18996</v>
      </c>
      <c r="C9305" s="34" t="s">
        <v>107</v>
      </c>
      <c r="E9305" s="30" t="s">
        <v>18997</v>
      </c>
      <c r="F9305" s="34" t="n">
        <f aca="false">IFERROR(VLOOKUP($A9305,'319'!$B:$H,7,0),0)</f>
        <v>0</v>
      </c>
      <c r="G9305" s="34" t="n">
        <f aca="false">SUMIFS('12.326ana'!$C:$C,'12.326ana'!$M:$M,redes!A9305)</f>
        <v>0</v>
      </c>
    </row>
    <row r="9306" customFormat="false" ht="14.4" hidden="true" customHeight="false" outlineLevel="0" collapsed="false">
      <c r="A9306" s="34" t="n">
        <v>5115073000142</v>
      </c>
      <c r="B9306" s="34" t="s">
        <v>18998</v>
      </c>
      <c r="C9306" s="34" t="s">
        <v>342</v>
      </c>
      <c r="E9306" s="30" t="s">
        <v>18999</v>
      </c>
      <c r="F9306" s="34" t="n">
        <f aca="false">IFERROR(VLOOKUP($A9306,'319'!$B:$H,7,0),0)</f>
        <v>0</v>
      </c>
      <c r="G9306" s="34" t="n">
        <f aca="false">SUMIFS('12.326ana'!$C:$C,'12.326ana'!$M:$M,redes!A9306)</f>
        <v>0</v>
      </c>
    </row>
    <row r="9307" customFormat="false" ht="14.4" hidden="true" customHeight="false" outlineLevel="0" collapsed="false">
      <c r="A9307" s="34" t="n">
        <v>5116698000129</v>
      </c>
      <c r="B9307" s="34" t="s">
        <v>19000</v>
      </c>
      <c r="C9307" s="34" t="s">
        <v>464</v>
      </c>
      <c r="E9307" s="30" t="s">
        <v>13273</v>
      </c>
      <c r="F9307" s="34" t="n">
        <f aca="false">IFERROR(VLOOKUP($A9307,'319'!$B:$H,7,0),0)</f>
        <v>0</v>
      </c>
      <c r="G9307" s="34" t="n">
        <f aca="false">SUMIFS('12.326ana'!$C:$C,'12.326ana'!$M:$M,redes!A9307)</f>
        <v>0</v>
      </c>
    </row>
    <row r="9308" customFormat="false" ht="14.4" hidden="true" customHeight="false" outlineLevel="0" collapsed="false">
      <c r="A9308" s="34" t="n">
        <v>5118190000160</v>
      </c>
      <c r="B9308" s="34" t="s">
        <v>19001</v>
      </c>
      <c r="C9308" s="34" t="s">
        <v>77</v>
      </c>
      <c r="E9308" s="30" t="s">
        <v>19002</v>
      </c>
      <c r="F9308" s="34" t="n">
        <f aca="false">IFERROR(VLOOKUP($A9308,'319'!$B:$H,7,0),0)</f>
        <v>0</v>
      </c>
      <c r="G9308" s="34" t="n">
        <f aca="false">SUMIFS('12.326ana'!$C:$C,'12.326ana'!$M:$M,redes!A9308)</f>
        <v>0</v>
      </c>
    </row>
    <row r="9309" customFormat="false" ht="14.4" hidden="true" customHeight="false" outlineLevel="0" collapsed="false">
      <c r="A9309" s="34" t="n">
        <v>5120234000196</v>
      </c>
      <c r="B9309" s="34" t="s">
        <v>19003</v>
      </c>
      <c r="C9309" s="34" t="s">
        <v>478</v>
      </c>
      <c r="E9309" s="30" t="s">
        <v>19004</v>
      </c>
      <c r="F9309" s="34" t="n">
        <f aca="false">IFERROR(VLOOKUP($A9309,'319'!$B:$H,7,0),0)</f>
        <v>0</v>
      </c>
      <c r="G9309" s="34" t="n">
        <f aca="false">SUMIFS('12.326ana'!$C:$C,'12.326ana'!$M:$M,redes!A9309)</f>
        <v>0</v>
      </c>
    </row>
    <row r="9310" customFormat="false" ht="14.4" hidden="true" customHeight="false" outlineLevel="0" collapsed="false">
      <c r="A9310" s="34" t="n">
        <v>5120269000125</v>
      </c>
      <c r="B9310" s="34" t="s">
        <v>19005</v>
      </c>
      <c r="C9310" s="34" t="s">
        <v>139</v>
      </c>
      <c r="E9310" s="30"/>
      <c r="F9310" s="34" t="n">
        <f aca="false">IFERROR(VLOOKUP($A9310,'319'!$B:$H,7,0),0)</f>
        <v>0</v>
      </c>
      <c r="G9310" s="34" t="n">
        <f aca="false">SUMIFS('12.326ana'!$C:$C,'12.326ana'!$M:$M,redes!A9310)</f>
        <v>0</v>
      </c>
    </row>
    <row r="9311" customFormat="false" ht="14.4" hidden="true" customHeight="false" outlineLevel="0" collapsed="false">
      <c r="A9311" s="34" t="n">
        <v>5126228000146</v>
      </c>
      <c r="B9311" s="34" t="s">
        <v>19006</v>
      </c>
      <c r="C9311" s="34" t="s">
        <v>89</v>
      </c>
      <c r="D9311" s="34" t="s">
        <v>22</v>
      </c>
      <c r="E9311" s="30" t="s">
        <v>19007</v>
      </c>
      <c r="F9311" s="34" t="n">
        <f aca="false">IFERROR(VLOOKUP($A9311,'319'!$B:$H,7,0),0)</f>
        <v>0</v>
      </c>
      <c r="G9311" s="34" t="n">
        <f aca="false">SUMIFS('12.326ana'!$C:$C,'12.326ana'!$M:$M,redes!A9311)</f>
        <v>0</v>
      </c>
    </row>
    <row r="9312" customFormat="false" ht="14.4" hidden="true" customHeight="false" outlineLevel="0" collapsed="false">
      <c r="A9312" s="34" t="n">
        <v>5127015000139</v>
      </c>
      <c r="B9312" s="34" t="s">
        <v>19008</v>
      </c>
      <c r="C9312" s="34" t="s">
        <v>309</v>
      </c>
      <c r="E9312" s="30" t="s">
        <v>19009</v>
      </c>
      <c r="F9312" s="34" t="n">
        <f aca="false">IFERROR(VLOOKUP($A9312,'319'!$B:$H,7,0),0)</f>
        <v>0</v>
      </c>
      <c r="G9312" s="34" t="n">
        <f aca="false">SUMIFS('12.326ana'!$C:$C,'12.326ana'!$M:$M,redes!A9312)</f>
        <v>0</v>
      </c>
    </row>
    <row r="9313" customFormat="false" ht="14.4" hidden="true" customHeight="false" outlineLevel="0" collapsed="false">
      <c r="A9313" s="34" t="n">
        <v>5129178000150</v>
      </c>
      <c r="B9313" s="34" t="s">
        <v>19010</v>
      </c>
      <c r="C9313" s="34" t="s">
        <v>77</v>
      </c>
      <c r="E9313" s="30" t="s">
        <v>19011</v>
      </c>
      <c r="F9313" s="34" t="n">
        <f aca="false">IFERROR(VLOOKUP($A9313,'319'!$B:$H,7,0),0)</f>
        <v>0</v>
      </c>
      <c r="G9313" s="34" t="n">
        <f aca="false">SUMIFS('12.326ana'!$C:$C,'12.326ana'!$M:$M,redes!A9313)</f>
        <v>0</v>
      </c>
    </row>
    <row r="9314" customFormat="false" ht="14.4" hidden="true" customHeight="false" outlineLevel="0" collapsed="false">
      <c r="A9314" s="34" t="n">
        <v>5129284000134</v>
      </c>
      <c r="B9314" s="34" t="s">
        <v>19012</v>
      </c>
      <c r="C9314" s="34" t="s">
        <v>781</v>
      </c>
      <c r="E9314" s="30" t="s">
        <v>19013</v>
      </c>
      <c r="F9314" s="34" t="n">
        <f aca="false">IFERROR(VLOOKUP($A9314,'319'!$B:$H,7,0),0)</f>
        <v>0</v>
      </c>
      <c r="G9314" s="34" t="n">
        <f aca="false">SUMIFS('12.326ana'!$C:$C,'12.326ana'!$M:$M,redes!A9314)</f>
        <v>0</v>
      </c>
    </row>
    <row r="9315" customFormat="false" ht="14.4" hidden="true" customHeight="false" outlineLevel="0" collapsed="false">
      <c r="A9315" s="34" t="n">
        <v>5133018000185</v>
      </c>
      <c r="B9315" s="34" t="s">
        <v>19014</v>
      </c>
      <c r="C9315" s="34" t="s">
        <v>357</v>
      </c>
      <c r="E9315" s="30" t="s">
        <v>11054</v>
      </c>
      <c r="F9315" s="34" t="n">
        <f aca="false">IFERROR(VLOOKUP($A9315,'319'!$B:$H,7,0),0)</f>
        <v>0</v>
      </c>
      <c r="G9315" s="34" t="n">
        <f aca="false">SUMIFS('12.326ana'!$C:$C,'12.326ana'!$M:$M,redes!A9315)</f>
        <v>0</v>
      </c>
    </row>
    <row r="9316" customFormat="false" ht="14.4" hidden="true" customHeight="false" outlineLevel="0" collapsed="false">
      <c r="A9316" s="34" t="n">
        <v>5133066000173</v>
      </c>
      <c r="B9316" s="34" t="s">
        <v>19015</v>
      </c>
      <c r="C9316" s="34" t="s">
        <v>77</v>
      </c>
      <c r="E9316" s="30" t="s">
        <v>19016</v>
      </c>
      <c r="F9316" s="34" t="n">
        <f aca="false">IFERROR(VLOOKUP($A9316,'319'!$B:$H,7,0),0)</f>
        <v>0</v>
      </c>
      <c r="G9316" s="34" t="n">
        <f aca="false">SUMIFS('12.326ana'!$C:$C,'12.326ana'!$M:$M,redes!A9316)</f>
        <v>0</v>
      </c>
    </row>
    <row r="9317" customFormat="false" ht="14.4" hidden="true" customHeight="false" outlineLevel="0" collapsed="false">
      <c r="A9317" s="34" t="n">
        <v>5134056000152</v>
      </c>
      <c r="B9317" s="34" t="s">
        <v>19017</v>
      </c>
      <c r="C9317" s="34" t="s">
        <v>1591</v>
      </c>
      <c r="E9317" s="30" t="s">
        <v>2958</v>
      </c>
      <c r="F9317" s="34" t="n">
        <f aca="false">IFERROR(VLOOKUP($A9317,'319'!$B:$H,7,0),0)</f>
        <v>0</v>
      </c>
      <c r="G9317" s="34" t="n">
        <f aca="false">SUMIFS('12.326ana'!$C:$C,'12.326ana'!$M:$M,redes!A9317)</f>
        <v>0</v>
      </c>
    </row>
    <row r="9318" customFormat="false" ht="14.4" hidden="true" customHeight="false" outlineLevel="0" collapsed="false">
      <c r="A9318" s="34" t="n">
        <v>5134061000165</v>
      </c>
      <c r="B9318" s="34" t="s">
        <v>19018</v>
      </c>
      <c r="C9318" s="34" t="s">
        <v>336</v>
      </c>
      <c r="E9318" s="30" t="s">
        <v>11054</v>
      </c>
      <c r="F9318" s="34" t="n">
        <f aca="false">IFERROR(VLOOKUP($A9318,'319'!$B:$H,7,0),0)</f>
        <v>0</v>
      </c>
      <c r="G9318" s="34" t="n">
        <f aca="false">SUMIFS('12.326ana'!$C:$C,'12.326ana'!$M:$M,redes!A9318)</f>
        <v>0</v>
      </c>
    </row>
    <row r="9319" customFormat="false" ht="14.4" hidden="true" customHeight="false" outlineLevel="0" collapsed="false">
      <c r="A9319" s="34" t="n">
        <v>5136325000110</v>
      </c>
      <c r="B9319" s="34" t="s">
        <v>7038</v>
      </c>
      <c r="C9319" s="34" t="s">
        <v>77</v>
      </c>
      <c r="E9319" s="30" t="s">
        <v>19019</v>
      </c>
      <c r="F9319" s="34" t="n">
        <f aca="false">IFERROR(VLOOKUP($A9319,'319'!$B:$H,7,0),0)</f>
        <v>0</v>
      </c>
      <c r="G9319" s="34" t="n">
        <f aca="false">SUMIFS('12.326ana'!$C:$C,'12.326ana'!$M:$M,redes!A9319)</f>
        <v>0</v>
      </c>
    </row>
    <row r="9320" customFormat="false" ht="14.4" hidden="true" customHeight="false" outlineLevel="0" collapsed="false">
      <c r="A9320" s="34" t="n">
        <v>5139115000185</v>
      </c>
      <c r="B9320" s="34" t="s">
        <v>19020</v>
      </c>
      <c r="C9320" s="34" t="s">
        <v>328</v>
      </c>
      <c r="E9320" s="30" t="s">
        <v>19021</v>
      </c>
      <c r="F9320" s="34" t="n">
        <f aca="false">IFERROR(VLOOKUP($A9320,'319'!$B:$H,7,0),0)</f>
        <v>0</v>
      </c>
      <c r="G9320" s="34" t="n">
        <f aca="false">SUMIFS('12.326ana'!$C:$C,'12.326ana'!$M:$M,redes!A9320)</f>
        <v>0</v>
      </c>
    </row>
    <row r="9321" customFormat="false" ht="14.4" hidden="true" customHeight="false" outlineLevel="0" collapsed="false">
      <c r="A9321" s="34" t="n">
        <v>5139115000266</v>
      </c>
      <c r="B9321" s="34" t="s">
        <v>19022</v>
      </c>
      <c r="C9321" s="34" t="s">
        <v>342</v>
      </c>
      <c r="E9321" s="30" t="s">
        <v>19023</v>
      </c>
      <c r="F9321" s="34" t="n">
        <f aca="false">IFERROR(VLOOKUP($A9321,'319'!$B:$H,7,0),0)</f>
        <v>0</v>
      </c>
      <c r="G9321" s="34" t="n">
        <f aca="false">SUMIFS('12.326ana'!$C:$C,'12.326ana'!$M:$M,redes!A9321)</f>
        <v>0</v>
      </c>
    </row>
    <row r="9322" customFormat="false" ht="14.4" hidden="true" customHeight="false" outlineLevel="0" collapsed="false">
      <c r="A9322" s="34" t="n">
        <v>5140248000171</v>
      </c>
      <c r="B9322" s="34" t="s">
        <v>11545</v>
      </c>
      <c r="C9322" s="34" t="s">
        <v>377</v>
      </c>
      <c r="E9322" s="30" t="s">
        <v>19024</v>
      </c>
      <c r="F9322" s="34" t="n">
        <f aca="false">IFERROR(VLOOKUP($A9322,'319'!$B:$H,7,0),0)</f>
        <v>0</v>
      </c>
      <c r="G9322" s="34" t="n">
        <f aca="false">SUMIFS('12.326ana'!$C:$C,'12.326ana'!$M:$M,redes!A9322)</f>
        <v>0</v>
      </c>
    </row>
    <row r="9323" customFormat="false" ht="14.4" hidden="true" customHeight="false" outlineLevel="0" collapsed="false">
      <c r="A9323" s="34" t="n">
        <v>5144163000161</v>
      </c>
      <c r="B9323" s="34" t="s">
        <v>19025</v>
      </c>
      <c r="C9323" s="34" t="s">
        <v>77</v>
      </c>
      <c r="E9323" s="30" t="s">
        <v>19026</v>
      </c>
      <c r="F9323" s="34" t="n">
        <f aca="false">IFERROR(VLOOKUP($A9323,'319'!$B:$H,7,0),0)</f>
        <v>0</v>
      </c>
      <c r="G9323" s="34" t="n">
        <f aca="false">SUMIFS('12.326ana'!$C:$C,'12.326ana'!$M:$M,redes!A9323)</f>
        <v>0</v>
      </c>
    </row>
    <row r="9324" customFormat="false" ht="14.4" hidden="true" customHeight="false" outlineLevel="0" collapsed="false">
      <c r="A9324" s="34" t="n">
        <v>5146353000118</v>
      </c>
      <c r="B9324" s="34" t="s">
        <v>19027</v>
      </c>
      <c r="C9324" s="34" t="s">
        <v>979</v>
      </c>
      <c r="E9324" s="30" t="s">
        <v>19028</v>
      </c>
      <c r="F9324" s="34" t="n">
        <f aca="false">IFERROR(VLOOKUP($A9324,'319'!$B:$H,7,0),0)</f>
        <v>0</v>
      </c>
      <c r="G9324" s="34" t="n">
        <f aca="false">SUMIFS('12.326ana'!$C:$C,'12.326ana'!$M:$M,redes!A9324)</f>
        <v>0</v>
      </c>
    </row>
    <row r="9325" customFormat="false" ht="14.4" hidden="true" customHeight="false" outlineLevel="0" collapsed="false">
      <c r="A9325" s="34" t="n">
        <v>5148349000199</v>
      </c>
      <c r="B9325" s="34" t="s">
        <v>19029</v>
      </c>
      <c r="C9325" s="34" t="s">
        <v>631</v>
      </c>
      <c r="E9325" s="30" t="s">
        <v>17801</v>
      </c>
      <c r="F9325" s="34" t="n">
        <f aca="false">IFERROR(VLOOKUP($A9325,'319'!$B:$H,7,0),0)</f>
        <v>0</v>
      </c>
      <c r="G9325" s="34" t="n">
        <f aca="false">SUMIFS('12.326ana'!$C:$C,'12.326ana'!$M:$M,redes!A9325)</f>
        <v>0</v>
      </c>
    </row>
    <row r="9326" customFormat="false" ht="14.4" hidden="true" customHeight="false" outlineLevel="0" collapsed="false">
      <c r="A9326" s="34" t="n">
        <v>5149084000143</v>
      </c>
      <c r="B9326" s="34" t="s">
        <v>19030</v>
      </c>
      <c r="C9326" s="34" t="s">
        <v>197</v>
      </c>
      <c r="E9326" s="30" t="s">
        <v>19031</v>
      </c>
      <c r="F9326" s="34" t="n">
        <f aca="false">IFERROR(VLOOKUP($A9326,'319'!$B:$H,7,0),0)</f>
        <v>0</v>
      </c>
      <c r="G9326" s="34" t="n">
        <f aca="false">SUMIFS('12.326ana'!$C:$C,'12.326ana'!$M:$M,redes!A9326)</f>
        <v>0</v>
      </c>
    </row>
    <row r="9327" customFormat="false" ht="14.4" hidden="true" customHeight="false" outlineLevel="0" collapsed="false">
      <c r="A9327" s="34" t="n">
        <v>5149756000110</v>
      </c>
      <c r="B9327" s="34" t="s">
        <v>19032</v>
      </c>
      <c r="C9327" s="34" t="s">
        <v>77</v>
      </c>
      <c r="E9327" s="30" t="s">
        <v>6807</v>
      </c>
      <c r="F9327" s="34" t="n">
        <f aca="false">IFERROR(VLOOKUP($A9327,'319'!$B:$H,7,0),0)</f>
        <v>0</v>
      </c>
      <c r="G9327" s="34" t="n">
        <f aca="false">SUMIFS('12.326ana'!$C:$C,'12.326ana'!$M:$M,redes!A9327)</f>
        <v>0</v>
      </c>
    </row>
    <row r="9328" customFormat="false" ht="14.4" hidden="true" customHeight="false" outlineLevel="0" collapsed="false">
      <c r="A9328" s="34" t="n">
        <v>5149818000194</v>
      </c>
      <c r="B9328" s="34" t="s">
        <v>19033</v>
      </c>
      <c r="C9328" s="34" t="s">
        <v>139</v>
      </c>
      <c r="E9328" s="30" t="s">
        <v>10616</v>
      </c>
      <c r="F9328" s="34" t="n">
        <f aca="false">IFERROR(VLOOKUP($A9328,'319'!$B:$H,7,0),0)</f>
        <v>0</v>
      </c>
      <c r="G9328" s="34" t="n">
        <f aca="false">SUMIFS('12.326ana'!$C:$C,'12.326ana'!$M:$M,redes!A9328)</f>
        <v>0</v>
      </c>
    </row>
    <row r="9329" customFormat="false" ht="14.4" hidden="true" customHeight="false" outlineLevel="0" collapsed="false">
      <c r="A9329" s="34" t="n">
        <v>5150170000176</v>
      </c>
      <c r="B9329" s="34" t="s">
        <v>19034</v>
      </c>
      <c r="C9329" s="34" t="s">
        <v>598</v>
      </c>
      <c r="E9329" s="30" t="s">
        <v>4873</v>
      </c>
      <c r="F9329" s="34" t="n">
        <f aca="false">IFERROR(VLOOKUP($A9329,'319'!$B:$H,7,0),0)</f>
        <v>0</v>
      </c>
      <c r="G9329" s="34" t="n">
        <f aca="false">SUMIFS('12.326ana'!$C:$C,'12.326ana'!$M:$M,redes!A9329)</f>
        <v>0</v>
      </c>
    </row>
    <row r="9330" customFormat="false" ht="14.4" hidden="true" customHeight="false" outlineLevel="0" collapsed="false">
      <c r="A9330" s="34" t="n">
        <v>5153781000178</v>
      </c>
      <c r="B9330" s="34" t="s">
        <v>19035</v>
      </c>
      <c r="C9330" s="34" t="s">
        <v>598</v>
      </c>
      <c r="E9330" s="30" t="s">
        <v>6944</v>
      </c>
      <c r="F9330" s="34" t="n">
        <f aca="false">IFERROR(VLOOKUP($A9330,'319'!$B:$H,7,0),0)</f>
        <v>0</v>
      </c>
      <c r="G9330" s="34" t="n">
        <f aca="false">SUMIFS('12.326ana'!$C:$C,'12.326ana'!$M:$M,redes!A9330)</f>
        <v>0</v>
      </c>
    </row>
    <row r="9331" customFormat="false" ht="14.4" hidden="true" customHeight="false" outlineLevel="0" collapsed="false">
      <c r="A9331" s="34" t="n">
        <v>5153955000100</v>
      </c>
      <c r="B9331" s="34" t="s">
        <v>19036</v>
      </c>
      <c r="C9331" s="34" t="s">
        <v>979</v>
      </c>
      <c r="E9331" s="30" t="s">
        <v>3066</v>
      </c>
      <c r="F9331" s="34" t="n">
        <f aca="false">IFERROR(VLOOKUP($A9331,'319'!$B:$H,7,0),0)</f>
        <v>0</v>
      </c>
      <c r="G9331" s="34" t="n">
        <f aca="false">SUMIFS('12.326ana'!$C:$C,'12.326ana'!$M:$M,redes!A9331)</f>
        <v>0</v>
      </c>
    </row>
    <row r="9332" customFormat="false" ht="14.4" hidden="true" customHeight="false" outlineLevel="0" collapsed="false">
      <c r="A9332" s="34" t="n">
        <v>5155488000140</v>
      </c>
      <c r="B9332" s="34" t="s">
        <v>19037</v>
      </c>
      <c r="C9332" s="34" t="s">
        <v>77</v>
      </c>
      <c r="E9332" s="30" t="s">
        <v>19038</v>
      </c>
      <c r="F9332" s="34" t="n">
        <f aca="false">IFERROR(VLOOKUP($A9332,'319'!$B:$H,7,0),0)</f>
        <v>0</v>
      </c>
      <c r="G9332" s="34" t="n">
        <f aca="false">SUMIFS('12.326ana'!$C:$C,'12.326ana'!$M:$M,redes!A9332)</f>
        <v>0</v>
      </c>
    </row>
    <row r="9333" customFormat="false" ht="14.4" hidden="true" customHeight="false" outlineLevel="0" collapsed="false">
      <c r="A9333" s="34" t="n">
        <v>5155727000161</v>
      </c>
      <c r="B9333" s="34" t="s">
        <v>19039</v>
      </c>
      <c r="C9333" s="34" t="s">
        <v>781</v>
      </c>
      <c r="E9333" s="30" t="s">
        <v>19040</v>
      </c>
      <c r="F9333" s="34" t="n">
        <f aca="false">IFERROR(VLOOKUP($A9333,'319'!$B:$H,7,0),0)</f>
        <v>0</v>
      </c>
      <c r="G9333" s="34" t="n">
        <f aca="false">SUMIFS('12.326ana'!$C:$C,'12.326ana'!$M:$M,redes!A9333)</f>
        <v>0</v>
      </c>
    </row>
    <row r="9334" customFormat="false" ht="14.4" hidden="true" customHeight="false" outlineLevel="0" collapsed="false">
      <c r="A9334" s="34" t="n">
        <v>5155837000123</v>
      </c>
      <c r="B9334" s="34" t="s">
        <v>19041</v>
      </c>
      <c r="C9334" s="34" t="s">
        <v>1591</v>
      </c>
      <c r="E9334" s="30" t="s">
        <v>19042</v>
      </c>
      <c r="F9334" s="34" t="n">
        <f aca="false">IFERROR(VLOOKUP($A9334,'319'!$B:$H,7,0),0)</f>
        <v>0</v>
      </c>
      <c r="G9334" s="34" t="n">
        <f aca="false">SUMIFS('12.326ana'!$C:$C,'12.326ana'!$M:$M,redes!A9334)</f>
        <v>0</v>
      </c>
    </row>
    <row r="9335" customFormat="false" ht="14.4" hidden="true" customHeight="false" outlineLevel="0" collapsed="false">
      <c r="A9335" s="34" t="n">
        <v>5156493000177</v>
      </c>
      <c r="B9335" s="34" t="s">
        <v>19043</v>
      </c>
      <c r="C9335" s="34" t="s">
        <v>139</v>
      </c>
      <c r="E9335" s="30" t="s">
        <v>19044</v>
      </c>
      <c r="F9335" s="34" t="n">
        <f aca="false">IFERROR(VLOOKUP($A9335,'319'!$B:$H,7,0),0)</f>
        <v>0</v>
      </c>
      <c r="G9335" s="34" t="n">
        <f aca="false">SUMIFS('12.326ana'!$C:$C,'12.326ana'!$M:$M,redes!A9335)</f>
        <v>0</v>
      </c>
    </row>
    <row r="9336" customFormat="false" ht="14.4" hidden="true" customHeight="false" outlineLevel="0" collapsed="false">
      <c r="A9336" s="34" t="n">
        <v>5158305000140</v>
      </c>
      <c r="B9336" s="34" t="s">
        <v>19045</v>
      </c>
      <c r="C9336" s="34" t="s">
        <v>77</v>
      </c>
      <c r="E9336" s="30" t="s">
        <v>19046</v>
      </c>
      <c r="F9336" s="34" t="n">
        <f aca="false">IFERROR(VLOOKUP($A9336,'319'!$B:$H,7,0),0)</f>
        <v>0</v>
      </c>
      <c r="G9336" s="34" t="n">
        <f aca="false">SUMIFS('12.326ana'!$C:$C,'12.326ana'!$M:$M,redes!A9336)</f>
        <v>0</v>
      </c>
    </row>
    <row r="9337" customFormat="false" ht="14.4" hidden="true" customHeight="false" outlineLevel="0" collapsed="false">
      <c r="A9337" s="34" t="n">
        <v>5159171000181</v>
      </c>
      <c r="B9337" s="34" t="s">
        <v>19047</v>
      </c>
      <c r="C9337" s="34" t="s">
        <v>77</v>
      </c>
      <c r="E9337" s="30" t="s">
        <v>19048</v>
      </c>
      <c r="F9337" s="34" t="n">
        <f aca="false">IFERROR(VLOOKUP($A9337,'319'!$B:$H,7,0),0)</f>
        <v>0</v>
      </c>
      <c r="G9337" s="34" t="n">
        <f aca="false">SUMIFS('12.326ana'!$C:$C,'12.326ana'!$M:$M,redes!A9337)</f>
        <v>0</v>
      </c>
    </row>
    <row r="9338" customFormat="false" ht="14.4" hidden="true" customHeight="false" outlineLevel="0" collapsed="false">
      <c r="A9338" s="34" t="n">
        <v>5159592000102</v>
      </c>
      <c r="B9338" s="34" t="s">
        <v>19049</v>
      </c>
      <c r="C9338" s="34" t="s">
        <v>117</v>
      </c>
      <c r="E9338" s="30" t="s">
        <v>4010</v>
      </c>
      <c r="F9338" s="34" t="n">
        <f aca="false">IFERROR(VLOOKUP($A9338,'319'!$B:$H,7,0),0)</f>
        <v>0</v>
      </c>
      <c r="G9338" s="34" t="n">
        <f aca="false">SUMIFS('12.326ana'!$C:$C,'12.326ana'!$M:$M,redes!A9338)</f>
        <v>0</v>
      </c>
    </row>
    <row r="9339" customFormat="false" ht="14.4" hidden="true" customHeight="false" outlineLevel="0" collapsed="false">
      <c r="A9339" s="34" t="n">
        <v>5161731000132</v>
      </c>
      <c r="B9339" s="34" t="s">
        <v>19050</v>
      </c>
      <c r="C9339" s="34" t="s">
        <v>77</v>
      </c>
      <c r="E9339" s="30" t="s">
        <v>19051</v>
      </c>
      <c r="F9339" s="34" t="n">
        <f aca="false">IFERROR(VLOOKUP($A9339,'319'!$B:$H,7,0),0)</f>
        <v>0</v>
      </c>
      <c r="G9339" s="34" t="n">
        <f aca="false">SUMIFS('12.326ana'!$C:$C,'12.326ana'!$M:$M,redes!A9339)</f>
        <v>0</v>
      </c>
    </row>
    <row r="9340" customFormat="false" ht="14.4" hidden="true" customHeight="false" outlineLevel="0" collapsed="false">
      <c r="A9340" s="34" t="n">
        <v>5161938000107</v>
      </c>
      <c r="B9340" s="34" t="s">
        <v>19052</v>
      </c>
      <c r="C9340" s="34" t="s">
        <v>1272</v>
      </c>
      <c r="E9340" s="30" t="s">
        <v>19053</v>
      </c>
      <c r="F9340" s="34" t="n">
        <f aca="false">IFERROR(VLOOKUP($A9340,'319'!$B:$H,7,0),0)</f>
        <v>0</v>
      </c>
      <c r="G9340" s="34" t="n">
        <f aca="false">SUMIFS('12.326ana'!$C:$C,'12.326ana'!$M:$M,redes!A9340)</f>
        <v>0</v>
      </c>
    </row>
    <row r="9341" customFormat="false" ht="14.4" hidden="true" customHeight="false" outlineLevel="0" collapsed="false">
      <c r="A9341" s="34" t="n">
        <v>5164010000186</v>
      </c>
      <c r="B9341" s="34" t="s">
        <v>19054</v>
      </c>
      <c r="C9341" s="34" t="s">
        <v>77</v>
      </c>
      <c r="E9341" s="30" t="s">
        <v>19055</v>
      </c>
      <c r="F9341" s="34" t="n">
        <f aca="false">IFERROR(VLOOKUP($A9341,'319'!$B:$H,7,0),0)</f>
        <v>0</v>
      </c>
      <c r="G9341" s="34" t="n">
        <f aca="false">SUMIFS('12.326ana'!$C:$C,'12.326ana'!$M:$M,redes!A9341)</f>
        <v>0</v>
      </c>
    </row>
    <row r="9342" customFormat="false" ht="14.4" hidden="true" customHeight="false" outlineLevel="0" collapsed="false">
      <c r="A9342" s="34" t="n">
        <v>5165703000193</v>
      </c>
      <c r="B9342" s="34" t="s">
        <v>19056</v>
      </c>
      <c r="C9342" s="34" t="s">
        <v>1591</v>
      </c>
      <c r="E9342" s="30" t="s">
        <v>2958</v>
      </c>
      <c r="F9342" s="34" t="n">
        <f aca="false">IFERROR(VLOOKUP($A9342,'319'!$B:$H,7,0),0)</f>
        <v>0</v>
      </c>
      <c r="G9342" s="34" t="n">
        <f aca="false">SUMIFS('12.326ana'!$C:$C,'12.326ana'!$M:$M,redes!A9342)</f>
        <v>0</v>
      </c>
    </row>
    <row r="9343" customFormat="false" ht="14.4" hidden="true" customHeight="false" outlineLevel="0" collapsed="false">
      <c r="A9343" s="34" t="n">
        <v>5166223000147</v>
      </c>
      <c r="B9343" s="34" t="s">
        <v>19057</v>
      </c>
      <c r="C9343" s="34" t="s">
        <v>192</v>
      </c>
      <c r="E9343" s="30" t="s">
        <v>13342</v>
      </c>
      <c r="F9343" s="34" t="n">
        <f aca="false">IFERROR(VLOOKUP($A9343,'319'!$B:$H,7,0),0)</f>
        <v>0</v>
      </c>
      <c r="G9343" s="34" t="n">
        <f aca="false">SUMIFS('12.326ana'!$C:$C,'12.326ana'!$M:$M,redes!A9343)</f>
        <v>0</v>
      </c>
    </row>
    <row r="9344" customFormat="false" ht="14.4" hidden="true" customHeight="false" outlineLevel="0" collapsed="false">
      <c r="A9344" s="34" t="n">
        <v>5166506000199</v>
      </c>
      <c r="B9344" s="34" t="s">
        <v>19058</v>
      </c>
      <c r="C9344" s="34" t="s">
        <v>89</v>
      </c>
      <c r="E9344" s="30" t="s">
        <v>19059</v>
      </c>
      <c r="F9344" s="34" t="n">
        <f aca="false">IFERROR(VLOOKUP($A9344,'319'!$B:$H,7,0),0)</f>
        <v>0</v>
      </c>
      <c r="G9344" s="34" t="n">
        <f aca="false">SUMIFS('12.326ana'!$C:$C,'12.326ana'!$M:$M,redes!A9344)</f>
        <v>0</v>
      </c>
    </row>
    <row r="9345" customFormat="false" ht="14.4" hidden="true" customHeight="false" outlineLevel="0" collapsed="false">
      <c r="A9345" s="34" t="n">
        <v>5195322000157</v>
      </c>
      <c r="B9345" s="34" t="s">
        <v>19060</v>
      </c>
      <c r="C9345" s="34" t="s">
        <v>103</v>
      </c>
      <c r="E9345" s="30" t="s">
        <v>19061</v>
      </c>
      <c r="F9345" s="34" t="n">
        <f aca="false">IFERROR(VLOOKUP($A9345,'319'!$B:$H,7,0),0)</f>
        <v>0</v>
      </c>
      <c r="G9345" s="34" t="n">
        <f aca="false">SUMIFS('12.326ana'!$C:$C,'12.326ana'!$M:$M,redes!A9345)</f>
        <v>0</v>
      </c>
    </row>
    <row r="9346" customFormat="false" ht="14.4" hidden="true" customHeight="false" outlineLevel="0" collapsed="false">
      <c r="A9346" s="34" t="n">
        <v>5195525000143</v>
      </c>
      <c r="B9346" s="34" t="s">
        <v>19062</v>
      </c>
      <c r="C9346" s="34" t="s">
        <v>197</v>
      </c>
      <c r="E9346" s="30" t="s">
        <v>17121</v>
      </c>
      <c r="F9346" s="34" t="n">
        <f aca="false">IFERROR(VLOOKUP($A9346,'319'!$B:$H,7,0),0)</f>
        <v>0</v>
      </c>
      <c r="G9346" s="34" t="n">
        <f aca="false">SUMIFS('12.326ana'!$C:$C,'12.326ana'!$M:$M,redes!A9346)</f>
        <v>0</v>
      </c>
    </row>
    <row r="9347" customFormat="false" ht="14.4" hidden="true" customHeight="false" outlineLevel="0" collapsed="false">
      <c r="A9347" s="34" t="n">
        <v>5196620000161</v>
      </c>
      <c r="B9347" s="34" t="s">
        <v>19063</v>
      </c>
      <c r="C9347" s="34" t="s">
        <v>77</v>
      </c>
      <c r="E9347" s="30" t="s">
        <v>4917</v>
      </c>
      <c r="F9347" s="34" t="n">
        <f aca="false">IFERROR(VLOOKUP($A9347,'319'!$B:$H,7,0),0)</f>
        <v>0</v>
      </c>
      <c r="G9347" s="34" t="n">
        <f aca="false">SUMIFS('12.326ana'!$C:$C,'12.326ana'!$M:$M,redes!A9347)</f>
        <v>0</v>
      </c>
    </row>
    <row r="9348" customFormat="false" ht="14.4" hidden="true" customHeight="false" outlineLevel="0" collapsed="false">
      <c r="A9348" s="34" t="n">
        <v>5199128000140</v>
      </c>
      <c r="B9348" s="34" t="s">
        <v>19064</v>
      </c>
      <c r="C9348" s="34" t="s">
        <v>781</v>
      </c>
      <c r="E9348" s="30" t="s">
        <v>19065</v>
      </c>
      <c r="F9348" s="34" t="n">
        <f aca="false">IFERROR(VLOOKUP($A9348,'319'!$B:$H,7,0),0)</f>
        <v>0</v>
      </c>
      <c r="G9348" s="34" t="n">
        <f aca="false">SUMIFS('12.326ana'!$C:$C,'12.326ana'!$M:$M,redes!A9348)</f>
        <v>0</v>
      </c>
    </row>
    <row r="9349" customFormat="false" ht="14.4" hidden="true" customHeight="false" outlineLevel="0" collapsed="false">
      <c r="A9349" s="34" t="n">
        <v>5200204000190</v>
      </c>
      <c r="B9349" s="34" t="s">
        <v>19066</v>
      </c>
      <c r="C9349" s="34" t="s">
        <v>89</v>
      </c>
      <c r="E9349" s="30" t="s">
        <v>19067</v>
      </c>
      <c r="F9349" s="34" t="n">
        <f aca="false">IFERROR(VLOOKUP($A9349,'319'!$B:$H,7,0),0)</f>
        <v>0</v>
      </c>
      <c r="G9349" s="34" t="n">
        <f aca="false">SUMIFS('12.326ana'!$C:$C,'12.326ana'!$M:$M,redes!A9349)</f>
        <v>0</v>
      </c>
    </row>
    <row r="9350" customFormat="false" ht="14.4" hidden="true" customHeight="false" outlineLevel="0" collapsed="false">
      <c r="A9350" s="34" t="n">
        <v>5203532000140</v>
      </c>
      <c r="B9350" s="34" t="s">
        <v>19068</v>
      </c>
      <c r="C9350" s="34" t="s">
        <v>117</v>
      </c>
      <c r="E9350" s="30" t="s">
        <v>19069</v>
      </c>
      <c r="F9350" s="34" t="n">
        <f aca="false">IFERROR(VLOOKUP($A9350,'319'!$B:$H,7,0),0)</f>
        <v>0</v>
      </c>
      <c r="G9350" s="34" t="n">
        <f aca="false">SUMIFS('12.326ana'!$C:$C,'12.326ana'!$M:$M,redes!A9350)</f>
        <v>0</v>
      </c>
    </row>
    <row r="9351" customFormat="false" ht="14.4" hidden="true" customHeight="false" outlineLevel="0" collapsed="false">
      <c r="A9351" s="34" t="n">
        <v>5204436000116</v>
      </c>
      <c r="B9351" s="34" t="s">
        <v>19070</v>
      </c>
      <c r="C9351" s="34" t="s">
        <v>309</v>
      </c>
      <c r="E9351" s="30" t="s">
        <v>15189</v>
      </c>
      <c r="F9351" s="34" t="n">
        <f aca="false">IFERROR(VLOOKUP($A9351,'319'!$B:$H,7,0),0)</f>
        <v>0</v>
      </c>
      <c r="G9351" s="34" t="n">
        <f aca="false">SUMIFS('12.326ana'!$C:$C,'12.326ana'!$M:$M,redes!A9351)</f>
        <v>0</v>
      </c>
    </row>
    <row r="9352" customFormat="false" ht="14.4" hidden="true" customHeight="false" outlineLevel="0" collapsed="false">
      <c r="A9352" s="34" t="n">
        <v>5205791000100</v>
      </c>
      <c r="B9352" s="34" t="s">
        <v>19071</v>
      </c>
      <c r="C9352" s="34" t="s">
        <v>77</v>
      </c>
      <c r="E9352" s="30" t="s">
        <v>19072</v>
      </c>
      <c r="F9352" s="34" t="n">
        <f aca="false">IFERROR(VLOOKUP($A9352,'319'!$B:$H,7,0),0)</f>
        <v>0</v>
      </c>
      <c r="G9352" s="34" t="n">
        <f aca="false">SUMIFS('12.326ana'!$C:$C,'12.326ana'!$M:$M,redes!A9352)</f>
        <v>0</v>
      </c>
    </row>
    <row r="9353" customFormat="false" ht="14.4" hidden="true" customHeight="false" outlineLevel="0" collapsed="false">
      <c r="A9353" s="34" t="n">
        <v>5207801000146</v>
      </c>
      <c r="B9353" s="34" t="s">
        <v>19073</v>
      </c>
      <c r="C9353" s="34" t="s">
        <v>192</v>
      </c>
      <c r="E9353" s="30" t="s">
        <v>4741</v>
      </c>
      <c r="F9353" s="34" t="n">
        <f aca="false">IFERROR(VLOOKUP($A9353,'319'!$B:$H,7,0),0)</f>
        <v>0</v>
      </c>
      <c r="G9353" s="34" t="n">
        <f aca="false">SUMIFS('12.326ana'!$C:$C,'12.326ana'!$M:$M,redes!A9353)</f>
        <v>0</v>
      </c>
    </row>
    <row r="9354" customFormat="false" ht="14.4" hidden="true" customHeight="false" outlineLevel="0" collapsed="false">
      <c r="A9354" s="34" t="n">
        <v>5207861000169</v>
      </c>
      <c r="B9354" s="34" t="s">
        <v>19074</v>
      </c>
      <c r="C9354" s="34" t="s">
        <v>448</v>
      </c>
      <c r="E9354" s="30" t="s">
        <v>8343</v>
      </c>
      <c r="F9354" s="34" t="n">
        <f aca="false">IFERROR(VLOOKUP($A9354,'319'!$B:$H,7,0),0)</f>
        <v>0</v>
      </c>
      <c r="G9354" s="34" t="n">
        <f aca="false">SUMIFS('12.326ana'!$C:$C,'12.326ana'!$M:$M,redes!A9354)</f>
        <v>0</v>
      </c>
    </row>
    <row r="9355" customFormat="false" ht="14.4" hidden="true" customHeight="false" outlineLevel="0" collapsed="false">
      <c r="A9355" s="34" t="n">
        <v>5211709000150</v>
      </c>
      <c r="B9355" s="34" t="s">
        <v>19075</v>
      </c>
      <c r="C9355" s="34" t="s">
        <v>299</v>
      </c>
      <c r="E9355" s="30" t="s">
        <v>19076</v>
      </c>
      <c r="F9355" s="34" t="n">
        <f aca="false">IFERROR(VLOOKUP($A9355,'319'!$B:$H,7,0),0)</f>
        <v>0</v>
      </c>
      <c r="G9355" s="34" t="n">
        <f aca="false">SUMIFS('12.326ana'!$C:$C,'12.326ana'!$M:$M,redes!A9355)</f>
        <v>0</v>
      </c>
    </row>
    <row r="9356" customFormat="false" ht="14.4" hidden="true" customHeight="false" outlineLevel="0" collapsed="false">
      <c r="A9356" s="34" t="n">
        <v>5212348000166</v>
      </c>
      <c r="B9356" s="34" t="s">
        <v>19077</v>
      </c>
      <c r="C9356" s="34" t="s">
        <v>3060</v>
      </c>
      <c r="E9356" s="30" t="s">
        <v>19078</v>
      </c>
      <c r="F9356" s="34" t="n">
        <f aca="false">IFERROR(VLOOKUP($A9356,'319'!$B:$H,7,0),0)</f>
        <v>0</v>
      </c>
      <c r="G9356" s="34" t="n">
        <f aca="false">SUMIFS('12.326ana'!$C:$C,'12.326ana'!$M:$M,redes!A9356)</f>
        <v>0</v>
      </c>
    </row>
    <row r="9357" customFormat="false" ht="14.4" hidden="true" customHeight="false" outlineLevel="0" collapsed="false">
      <c r="A9357" s="34" t="n">
        <v>5212558000154</v>
      </c>
      <c r="B9357" s="34" t="s">
        <v>19079</v>
      </c>
      <c r="C9357" s="34" t="s">
        <v>478</v>
      </c>
      <c r="E9357" s="30" t="s">
        <v>19080</v>
      </c>
      <c r="F9357" s="34" t="n">
        <f aca="false">IFERROR(VLOOKUP($A9357,'319'!$B:$H,7,0),0)</f>
        <v>0</v>
      </c>
      <c r="G9357" s="34" t="n">
        <f aca="false">SUMIFS('12.326ana'!$C:$C,'12.326ana'!$M:$M,redes!A9357)</f>
        <v>0</v>
      </c>
    </row>
    <row r="9358" customFormat="false" ht="14.4" hidden="true" customHeight="false" outlineLevel="0" collapsed="false">
      <c r="A9358" s="34" t="n">
        <v>5215960000192</v>
      </c>
      <c r="B9358" s="34" t="s">
        <v>19081</v>
      </c>
      <c r="C9358" s="34" t="s">
        <v>631</v>
      </c>
      <c r="E9358" s="30" t="s">
        <v>19082</v>
      </c>
      <c r="F9358" s="34" t="n">
        <f aca="false">IFERROR(VLOOKUP($A9358,'319'!$B:$H,7,0),0)</f>
        <v>0</v>
      </c>
      <c r="G9358" s="34" t="n">
        <f aca="false">SUMIFS('12.326ana'!$C:$C,'12.326ana'!$M:$M,redes!A9358)</f>
        <v>0</v>
      </c>
    </row>
    <row r="9359" customFormat="false" ht="14.4" hidden="true" customHeight="false" outlineLevel="0" collapsed="false">
      <c r="A9359" s="34" t="n">
        <v>5216728000179</v>
      </c>
      <c r="B9359" s="34" t="s">
        <v>19083</v>
      </c>
      <c r="C9359" s="34" t="s">
        <v>107</v>
      </c>
      <c r="E9359" s="30" t="s">
        <v>19084</v>
      </c>
      <c r="F9359" s="34" t="n">
        <f aca="false">IFERROR(VLOOKUP($A9359,'319'!$B:$H,7,0),0)</f>
        <v>0</v>
      </c>
      <c r="G9359" s="34" t="n">
        <f aca="false">SUMIFS('12.326ana'!$C:$C,'12.326ana'!$M:$M,redes!A9359)</f>
        <v>0</v>
      </c>
    </row>
    <row r="9360" customFormat="false" ht="14.4" hidden="true" customHeight="false" outlineLevel="0" collapsed="false">
      <c r="A9360" s="34" t="n">
        <v>5217008000128</v>
      </c>
      <c r="B9360" s="34" t="s">
        <v>19085</v>
      </c>
      <c r="C9360" s="34" t="s">
        <v>781</v>
      </c>
      <c r="E9360" s="30" t="s">
        <v>19086</v>
      </c>
      <c r="F9360" s="34" t="n">
        <f aca="false">IFERROR(VLOOKUP($A9360,'319'!$B:$H,7,0),0)</f>
        <v>0</v>
      </c>
      <c r="G9360" s="34" t="n">
        <f aca="false">SUMIFS('12.326ana'!$C:$C,'12.326ana'!$M:$M,redes!A9360)</f>
        <v>0</v>
      </c>
    </row>
    <row r="9361" customFormat="false" ht="14.4" hidden="true" customHeight="false" outlineLevel="0" collapsed="false">
      <c r="A9361" s="34" t="n">
        <v>5217296000110</v>
      </c>
      <c r="B9361" s="34" t="s">
        <v>19087</v>
      </c>
      <c r="C9361" s="34" t="s">
        <v>377</v>
      </c>
      <c r="E9361" s="30" t="s">
        <v>5316</v>
      </c>
      <c r="F9361" s="34" t="n">
        <f aca="false">IFERROR(VLOOKUP($A9361,'319'!$B:$H,7,0),0)</f>
        <v>0</v>
      </c>
      <c r="G9361" s="34" t="n">
        <f aca="false">SUMIFS('12.326ana'!$C:$C,'12.326ana'!$M:$M,redes!A9361)</f>
        <v>0</v>
      </c>
    </row>
    <row r="9362" customFormat="false" ht="14.4" hidden="true" customHeight="false" outlineLevel="0" collapsed="false">
      <c r="A9362" s="34" t="n">
        <v>5218137000130</v>
      </c>
      <c r="B9362" s="34" t="s">
        <v>19088</v>
      </c>
      <c r="C9362" s="34" t="s">
        <v>342</v>
      </c>
      <c r="E9362" s="30" t="s">
        <v>19089</v>
      </c>
      <c r="F9362" s="34" t="n">
        <f aca="false">IFERROR(VLOOKUP($A9362,'319'!$B:$H,7,0),0)</f>
        <v>0</v>
      </c>
      <c r="G9362" s="34" t="n">
        <f aca="false">SUMIFS('12.326ana'!$C:$C,'12.326ana'!$M:$M,redes!A9362)</f>
        <v>0</v>
      </c>
    </row>
    <row r="9363" customFormat="false" ht="14.4" hidden="true" customHeight="false" outlineLevel="0" collapsed="false">
      <c r="A9363" s="34" t="n">
        <v>5218182000195</v>
      </c>
      <c r="B9363" s="34" t="s">
        <v>19090</v>
      </c>
      <c r="C9363" s="34" t="s">
        <v>342</v>
      </c>
      <c r="E9363" s="30" t="s">
        <v>19091</v>
      </c>
      <c r="F9363" s="34" t="n">
        <f aca="false">IFERROR(VLOOKUP($A9363,'319'!$B:$H,7,0),0)</f>
        <v>0</v>
      </c>
      <c r="G9363" s="34" t="n">
        <f aca="false">SUMIFS('12.326ana'!$C:$C,'12.326ana'!$M:$M,redes!A9363)</f>
        <v>0</v>
      </c>
    </row>
    <row r="9364" customFormat="false" ht="14.4" hidden="true" customHeight="false" outlineLevel="0" collapsed="false">
      <c r="A9364" s="34" t="n">
        <v>5229594000120</v>
      </c>
      <c r="B9364" s="34" t="s">
        <v>19092</v>
      </c>
      <c r="C9364" s="34" t="s">
        <v>713</v>
      </c>
      <c r="E9364" s="30" t="s">
        <v>19093</v>
      </c>
      <c r="F9364" s="34" t="n">
        <f aca="false">IFERROR(VLOOKUP($A9364,'319'!$B:$H,7,0),0)</f>
        <v>0</v>
      </c>
      <c r="G9364" s="34" t="n">
        <f aca="false">SUMIFS('12.326ana'!$C:$C,'12.326ana'!$M:$M,redes!A9364)</f>
        <v>0</v>
      </c>
    </row>
    <row r="9365" customFormat="false" ht="14.4" hidden="true" customHeight="false" outlineLevel="0" collapsed="false">
      <c r="A9365" s="34" t="n">
        <v>5229600000140</v>
      </c>
      <c r="B9365" s="34" t="s">
        <v>19094</v>
      </c>
      <c r="C9365" s="34" t="s">
        <v>713</v>
      </c>
      <c r="E9365" s="30" t="s">
        <v>19095</v>
      </c>
      <c r="F9365" s="34" t="n">
        <f aca="false">IFERROR(VLOOKUP($A9365,'319'!$B:$H,7,0),0)</f>
        <v>0</v>
      </c>
      <c r="G9365" s="34" t="n">
        <f aca="false">SUMIFS('12.326ana'!$C:$C,'12.326ana'!$M:$M,redes!A9365)</f>
        <v>0</v>
      </c>
    </row>
    <row r="9366" customFormat="false" ht="14.4" hidden="true" customHeight="false" outlineLevel="0" collapsed="false">
      <c r="A9366" s="34" t="n">
        <v>5231350000182</v>
      </c>
      <c r="B9366" s="34" t="s">
        <v>19096</v>
      </c>
      <c r="C9366" s="34" t="s">
        <v>77</v>
      </c>
      <c r="E9366" s="30"/>
      <c r="F9366" s="34" t="n">
        <f aca="false">IFERROR(VLOOKUP($A9366,'319'!$B:$H,7,0),0)</f>
        <v>0</v>
      </c>
      <c r="G9366" s="34" t="n">
        <f aca="false">SUMIFS('12.326ana'!$C:$C,'12.326ana'!$M:$M,redes!A9366)</f>
        <v>0</v>
      </c>
    </row>
    <row r="9367" customFormat="false" ht="14.4" hidden="true" customHeight="false" outlineLevel="0" collapsed="false">
      <c r="A9367" s="34" t="n">
        <v>5242246000193</v>
      </c>
      <c r="B9367" s="34" t="s">
        <v>19097</v>
      </c>
      <c r="C9367" s="34" t="s">
        <v>89</v>
      </c>
      <c r="E9367" s="30" t="s">
        <v>19098</v>
      </c>
      <c r="F9367" s="34" t="n">
        <f aca="false">IFERROR(VLOOKUP($A9367,'319'!$B:$H,7,0),0)</f>
        <v>0</v>
      </c>
      <c r="G9367" s="34" t="n">
        <f aca="false">SUMIFS('12.326ana'!$C:$C,'12.326ana'!$M:$M,redes!A9367)</f>
        <v>0</v>
      </c>
    </row>
    <row r="9368" customFormat="false" ht="14.4" hidden="true" customHeight="false" outlineLevel="0" collapsed="false">
      <c r="A9368" s="34" t="n">
        <v>5242351000122</v>
      </c>
      <c r="B9368" s="34" t="s">
        <v>19099</v>
      </c>
      <c r="C9368" s="34" t="s">
        <v>197</v>
      </c>
      <c r="E9368" s="30" t="s">
        <v>19100</v>
      </c>
      <c r="F9368" s="34" t="n">
        <f aca="false">IFERROR(VLOOKUP($A9368,'319'!$B:$H,7,0),0)</f>
        <v>0</v>
      </c>
      <c r="G9368" s="34" t="n">
        <f aca="false">SUMIFS('12.326ana'!$C:$C,'12.326ana'!$M:$M,redes!A9368)</f>
        <v>0</v>
      </c>
    </row>
    <row r="9369" customFormat="false" ht="14.4" hidden="true" customHeight="false" outlineLevel="0" collapsed="false">
      <c r="A9369" s="34" t="n">
        <v>5242956000113</v>
      </c>
      <c r="B9369" s="34" t="s">
        <v>19101</v>
      </c>
      <c r="C9369" s="34" t="s">
        <v>2998</v>
      </c>
      <c r="E9369" s="30" t="s">
        <v>19102</v>
      </c>
      <c r="F9369" s="34" t="n">
        <f aca="false">IFERROR(VLOOKUP($A9369,'319'!$B:$H,7,0),0)</f>
        <v>0</v>
      </c>
      <c r="G9369" s="34" t="n">
        <f aca="false">SUMIFS('12.326ana'!$C:$C,'12.326ana'!$M:$M,redes!A9369)</f>
        <v>0</v>
      </c>
    </row>
    <row r="9370" customFormat="false" ht="14.4" hidden="true" customHeight="false" outlineLevel="0" collapsed="false">
      <c r="A9370" s="34" t="n">
        <v>5244854000137</v>
      </c>
      <c r="B9370" s="34" t="s">
        <v>19103</v>
      </c>
      <c r="C9370" s="34" t="s">
        <v>77</v>
      </c>
      <c r="E9370" s="30" t="s">
        <v>19104</v>
      </c>
      <c r="F9370" s="34" t="n">
        <f aca="false">IFERROR(VLOOKUP($A9370,'319'!$B:$H,7,0),0)</f>
        <v>0</v>
      </c>
      <c r="G9370" s="34" t="n">
        <f aca="false">SUMIFS('12.326ana'!$C:$C,'12.326ana'!$M:$M,redes!A9370)</f>
        <v>0</v>
      </c>
    </row>
    <row r="9371" customFormat="false" ht="14.4" hidden="true" customHeight="false" outlineLevel="0" collapsed="false">
      <c r="A9371" s="34" t="n">
        <v>5250021000189</v>
      </c>
      <c r="B9371" s="34" t="s">
        <v>19105</v>
      </c>
      <c r="C9371" s="34" t="s">
        <v>405</v>
      </c>
      <c r="E9371" s="30" t="s">
        <v>19106</v>
      </c>
      <c r="F9371" s="34" t="n">
        <f aca="false">IFERROR(VLOOKUP($A9371,'319'!$B:$H,7,0),0)</f>
        <v>0</v>
      </c>
      <c r="G9371" s="34" t="n">
        <f aca="false">SUMIFS('12.326ana'!$C:$C,'12.326ana'!$M:$M,redes!A9371)</f>
        <v>0</v>
      </c>
    </row>
    <row r="9372" customFormat="false" ht="14.4" hidden="true" customHeight="false" outlineLevel="0" collapsed="false">
      <c r="A9372" s="34" t="n">
        <v>5252329000163</v>
      </c>
      <c r="B9372" s="34" t="s">
        <v>19107</v>
      </c>
      <c r="C9372" s="34" t="s">
        <v>197</v>
      </c>
      <c r="E9372" s="30" t="s">
        <v>19108</v>
      </c>
      <c r="F9372" s="34" t="n">
        <f aca="false">IFERROR(VLOOKUP($A9372,'319'!$B:$H,7,0),0)</f>
        <v>0</v>
      </c>
      <c r="G9372" s="34" t="n">
        <f aca="false">SUMIFS('12.326ana'!$C:$C,'12.326ana'!$M:$M,redes!A9372)</f>
        <v>0</v>
      </c>
    </row>
    <row r="9373" customFormat="false" ht="14.4" hidden="true" customHeight="false" outlineLevel="0" collapsed="false">
      <c r="A9373" s="34" t="n">
        <v>5252761000154</v>
      </c>
      <c r="B9373" s="34" t="s">
        <v>19109</v>
      </c>
      <c r="C9373" s="34" t="s">
        <v>463</v>
      </c>
      <c r="E9373" s="30" t="s">
        <v>19110</v>
      </c>
      <c r="F9373" s="34" t="n">
        <f aca="false">IFERROR(VLOOKUP($A9373,'319'!$B:$H,7,0),0)</f>
        <v>0</v>
      </c>
      <c r="G9373" s="34" t="n">
        <f aca="false">SUMIFS('12.326ana'!$C:$C,'12.326ana'!$M:$M,redes!A9373)</f>
        <v>0</v>
      </c>
    </row>
    <row r="9374" customFormat="false" ht="14.4" hidden="true" customHeight="false" outlineLevel="0" collapsed="false">
      <c r="A9374" s="34" t="n">
        <v>5253004000103</v>
      </c>
      <c r="B9374" s="34" t="s">
        <v>19111</v>
      </c>
      <c r="C9374" s="34" t="s">
        <v>139</v>
      </c>
      <c r="E9374" s="30" t="s">
        <v>19112</v>
      </c>
      <c r="F9374" s="34" t="n">
        <f aca="false">IFERROR(VLOOKUP($A9374,'319'!$B:$H,7,0),0)</f>
        <v>0</v>
      </c>
      <c r="G9374" s="34" t="n">
        <f aca="false">SUMIFS('12.326ana'!$C:$C,'12.326ana'!$M:$M,redes!A9374)</f>
        <v>0</v>
      </c>
    </row>
    <row r="9375" customFormat="false" ht="14.4" hidden="true" customHeight="false" outlineLevel="0" collapsed="false">
      <c r="A9375" s="34" t="n">
        <v>5254306000198</v>
      </c>
      <c r="B9375" s="34" t="s">
        <v>19113</v>
      </c>
      <c r="C9375" s="34" t="s">
        <v>129</v>
      </c>
      <c r="E9375" s="30" t="s">
        <v>19114</v>
      </c>
      <c r="F9375" s="34" t="n">
        <f aca="false">IFERROR(VLOOKUP($A9375,'319'!$B:$H,7,0),0)</f>
        <v>0</v>
      </c>
      <c r="G9375" s="34" t="n">
        <f aca="false">SUMIFS('12.326ana'!$C:$C,'12.326ana'!$M:$M,redes!A9375)</f>
        <v>0</v>
      </c>
    </row>
    <row r="9376" customFormat="false" ht="14.4" hidden="true" customHeight="false" outlineLevel="0" collapsed="false">
      <c r="A9376" s="34" t="n">
        <v>5255208000175</v>
      </c>
      <c r="B9376" s="34" t="s">
        <v>19115</v>
      </c>
      <c r="C9376" s="34" t="s">
        <v>89</v>
      </c>
      <c r="E9376" s="30" t="s">
        <v>19116</v>
      </c>
      <c r="F9376" s="34" t="n">
        <f aca="false">IFERROR(VLOOKUP($A9376,'319'!$B:$H,7,0),0)</f>
        <v>0</v>
      </c>
      <c r="G9376" s="34" t="n">
        <f aca="false">SUMIFS('12.326ana'!$C:$C,'12.326ana'!$M:$M,redes!A9376)</f>
        <v>0</v>
      </c>
    </row>
    <row r="9377" customFormat="false" ht="14.4" hidden="true" customHeight="false" outlineLevel="0" collapsed="false">
      <c r="A9377" s="34" t="n">
        <v>5255309000146</v>
      </c>
      <c r="B9377" s="34" t="s">
        <v>19117</v>
      </c>
      <c r="C9377" s="34" t="s">
        <v>562</v>
      </c>
      <c r="E9377" s="30" t="s">
        <v>19118</v>
      </c>
      <c r="F9377" s="34" t="n">
        <f aca="false">IFERROR(VLOOKUP($A9377,'319'!$B:$H,7,0),0)</f>
        <v>27.96</v>
      </c>
      <c r="G9377" s="34" t="n">
        <f aca="false">SUMIFS('12.326ana'!$C:$C,'12.326ana'!$M:$M,redes!A9377)</f>
        <v>0</v>
      </c>
    </row>
    <row r="9378" customFormat="false" ht="14.4" hidden="true" customHeight="false" outlineLevel="0" collapsed="false">
      <c r="A9378" s="34" t="n">
        <v>5256133000147</v>
      </c>
      <c r="B9378" s="34" t="s">
        <v>19119</v>
      </c>
      <c r="C9378" s="34" t="s">
        <v>103</v>
      </c>
      <c r="E9378" s="30" t="s">
        <v>19120</v>
      </c>
      <c r="F9378" s="34" t="n">
        <f aca="false">IFERROR(VLOOKUP($A9378,'319'!$B:$H,7,0),0)</f>
        <v>0</v>
      </c>
      <c r="G9378" s="34" t="n">
        <f aca="false">SUMIFS('12.326ana'!$C:$C,'12.326ana'!$M:$M,redes!A9378)</f>
        <v>0</v>
      </c>
    </row>
    <row r="9379" customFormat="false" ht="14.4" hidden="true" customHeight="false" outlineLevel="0" collapsed="false">
      <c r="A9379" s="34" t="n">
        <v>5257374000100</v>
      </c>
      <c r="B9379" s="34" t="s">
        <v>19121</v>
      </c>
      <c r="C9379" s="34" t="s">
        <v>127</v>
      </c>
      <c r="E9379" s="30" t="s">
        <v>19122</v>
      </c>
      <c r="F9379" s="34" t="n">
        <f aca="false">IFERROR(VLOOKUP($A9379,'319'!$B:$H,7,0),0)</f>
        <v>0</v>
      </c>
      <c r="G9379" s="34" t="n">
        <f aca="false">SUMIFS('12.326ana'!$C:$C,'12.326ana'!$M:$M,redes!A9379)</f>
        <v>0</v>
      </c>
    </row>
    <row r="9380" customFormat="false" ht="14.4" hidden="true" customHeight="false" outlineLevel="0" collapsed="false">
      <c r="A9380" s="34" t="n">
        <v>5258712000129</v>
      </c>
      <c r="B9380" s="34" t="s">
        <v>19123</v>
      </c>
      <c r="C9380" s="34" t="s">
        <v>935</v>
      </c>
      <c r="E9380" s="30" t="s">
        <v>19124</v>
      </c>
      <c r="F9380" s="34" t="n">
        <f aca="false">IFERROR(VLOOKUP($A9380,'319'!$B:$H,7,0),0)</f>
        <v>0</v>
      </c>
      <c r="G9380" s="34" t="n">
        <f aca="false">SUMIFS('12.326ana'!$C:$C,'12.326ana'!$M:$M,redes!A9380)</f>
        <v>0</v>
      </c>
    </row>
    <row r="9381" customFormat="false" ht="14.4" hidden="true" customHeight="false" outlineLevel="0" collapsed="false">
      <c r="A9381" s="34" t="n">
        <v>5259772000166</v>
      </c>
      <c r="B9381" s="34" t="s">
        <v>19125</v>
      </c>
      <c r="C9381" s="34" t="s">
        <v>77</v>
      </c>
      <c r="E9381" s="30" t="s">
        <v>19126</v>
      </c>
      <c r="F9381" s="34" t="n">
        <f aca="false">IFERROR(VLOOKUP($A9381,'319'!$B:$H,7,0),0)</f>
        <v>0</v>
      </c>
      <c r="G9381" s="34" t="n">
        <f aca="false">SUMIFS('12.326ana'!$C:$C,'12.326ana'!$M:$M,redes!A9381)</f>
        <v>0</v>
      </c>
    </row>
    <row r="9382" customFormat="false" ht="14.4" hidden="true" customHeight="false" outlineLevel="0" collapsed="false">
      <c r="A9382" s="34" t="n">
        <v>5259774000155</v>
      </c>
      <c r="B9382" s="34" t="s">
        <v>19127</v>
      </c>
      <c r="C9382" s="34" t="s">
        <v>478</v>
      </c>
      <c r="E9382" s="30" t="s">
        <v>3066</v>
      </c>
      <c r="F9382" s="34" t="n">
        <f aca="false">IFERROR(VLOOKUP($A9382,'319'!$B:$H,7,0),0)</f>
        <v>0</v>
      </c>
      <c r="G9382" s="34" t="n">
        <f aca="false">SUMIFS('12.326ana'!$C:$C,'12.326ana'!$M:$M,redes!A9382)</f>
        <v>0</v>
      </c>
    </row>
    <row r="9383" customFormat="false" ht="14.4" hidden="true" customHeight="false" outlineLevel="0" collapsed="false">
      <c r="A9383" s="34" t="n">
        <v>5259803000189</v>
      </c>
      <c r="B9383" s="34" t="s">
        <v>19128</v>
      </c>
      <c r="C9383" s="34" t="s">
        <v>117</v>
      </c>
      <c r="E9383" s="30" t="s">
        <v>19129</v>
      </c>
      <c r="F9383" s="34" t="n">
        <f aca="false">IFERROR(VLOOKUP($A9383,'319'!$B:$H,7,0),0)</f>
        <v>0</v>
      </c>
      <c r="G9383" s="34" t="n">
        <f aca="false">SUMIFS('12.326ana'!$C:$C,'12.326ana'!$M:$M,redes!A9383)</f>
        <v>0</v>
      </c>
    </row>
    <row r="9384" customFormat="false" ht="14.4" hidden="true" customHeight="false" outlineLevel="0" collapsed="false">
      <c r="A9384" s="34" t="n">
        <v>5262646000160</v>
      </c>
      <c r="B9384" s="34" t="s">
        <v>8028</v>
      </c>
      <c r="C9384" s="34" t="s">
        <v>77</v>
      </c>
      <c r="E9384" s="30" t="s">
        <v>19130</v>
      </c>
      <c r="F9384" s="34" t="n">
        <f aca="false">IFERROR(VLOOKUP($A9384,'319'!$B:$H,7,0),0)</f>
        <v>0</v>
      </c>
      <c r="G9384" s="34" t="n">
        <f aca="false">SUMIFS('12.326ana'!$C:$C,'12.326ana'!$M:$M,redes!A9384)</f>
        <v>0</v>
      </c>
    </row>
    <row r="9385" customFormat="false" ht="14.4" hidden="true" customHeight="false" outlineLevel="0" collapsed="false">
      <c r="A9385" s="34" t="n">
        <v>5262668000120</v>
      </c>
      <c r="B9385" s="34" t="s">
        <v>19131</v>
      </c>
      <c r="C9385" s="34" t="s">
        <v>77</v>
      </c>
      <c r="E9385" s="30" t="s">
        <v>19132</v>
      </c>
      <c r="F9385" s="34" t="n">
        <f aca="false">IFERROR(VLOOKUP($A9385,'319'!$B:$H,7,0),0)</f>
        <v>0</v>
      </c>
      <c r="G9385" s="34" t="n">
        <f aca="false">SUMIFS('12.326ana'!$C:$C,'12.326ana'!$M:$M,redes!A9385)</f>
        <v>0</v>
      </c>
    </row>
    <row r="9386" customFormat="false" ht="14.4" hidden="true" customHeight="false" outlineLevel="0" collapsed="false">
      <c r="A9386" s="34" t="n">
        <v>5262674000188</v>
      </c>
      <c r="B9386" s="34" t="s">
        <v>19133</v>
      </c>
      <c r="C9386" s="34" t="s">
        <v>77</v>
      </c>
      <c r="E9386" s="30" t="s">
        <v>19134</v>
      </c>
      <c r="F9386" s="34" t="n">
        <f aca="false">IFERROR(VLOOKUP($A9386,'319'!$B:$H,7,0),0)</f>
        <v>0</v>
      </c>
      <c r="G9386" s="34" t="n">
        <f aca="false">SUMIFS('12.326ana'!$C:$C,'12.326ana'!$M:$M,redes!A9386)</f>
        <v>0</v>
      </c>
    </row>
    <row r="9387" customFormat="false" ht="14.4" hidden="true" customHeight="false" outlineLevel="0" collapsed="false">
      <c r="A9387" s="34" t="n">
        <v>5262679000100</v>
      </c>
      <c r="B9387" s="34" t="s">
        <v>9249</v>
      </c>
      <c r="C9387" s="34" t="s">
        <v>979</v>
      </c>
      <c r="E9387" s="30" t="s">
        <v>19135</v>
      </c>
      <c r="F9387" s="34" t="n">
        <f aca="false">IFERROR(VLOOKUP($A9387,'319'!$B:$H,7,0),0)</f>
        <v>0</v>
      </c>
      <c r="G9387" s="34" t="n">
        <f aca="false">SUMIFS('12.326ana'!$C:$C,'12.326ana'!$M:$M,redes!A9387)</f>
        <v>0</v>
      </c>
    </row>
    <row r="9388" customFormat="false" ht="14.4" hidden="true" customHeight="false" outlineLevel="0" collapsed="false">
      <c r="A9388" s="34" t="n">
        <v>5262691000115</v>
      </c>
      <c r="B9388" s="34" t="s">
        <v>19136</v>
      </c>
      <c r="C9388" s="34" t="s">
        <v>77</v>
      </c>
      <c r="E9388" s="30" t="s">
        <v>19137</v>
      </c>
      <c r="F9388" s="34" t="n">
        <f aca="false">IFERROR(VLOOKUP($A9388,'319'!$B:$H,7,0),0)</f>
        <v>0</v>
      </c>
      <c r="G9388" s="34" t="n">
        <f aca="false">SUMIFS('12.326ana'!$C:$C,'12.326ana'!$M:$M,redes!A9388)</f>
        <v>0</v>
      </c>
    </row>
    <row r="9389" customFormat="false" ht="14.4" hidden="true" customHeight="false" outlineLevel="0" collapsed="false">
      <c r="A9389" s="34" t="n">
        <v>5264327000194</v>
      </c>
      <c r="B9389" s="34" t="s">
        <v>19138</v>
      </c>
      <c r="C9389" s="34" t="s">
        <v>77</v>
      </c>
      <c r="E9389" s="30" t="s">
        <v>19139</v>
      </c>
      <c r="F9389" s="34" t="n">
        <f aca="false">IFERROR(VLOOKUP($A9389,'319'!$B:$H,7,0),0)</f>
        <v>0</v>
      </c>
      <c r="G9389" s="34" t="n">
        <f aca="false">SUMIFS('12.326ana'!$C:$C,'12.326ana'!$M:$M,redes!A9389)</f>
        <v>0</v>
      </c>
    </row>
    <row r="9390" customFormat="false" ht="14.4" hidden="true" customHeight="false" outlineLevel="0" collapsed="false">
      <c r="A9390" s="34" t="n">
        <v>5264482000100</v>
      </c>
      <c r="B9390" s="34" t="s">
        <v>19140</v>
      </c>
      <c r="C9390" s="34" t="s">
        <v>342</v>
      </c>
      <c r="E9390" s="30" t="s">
        <v>19141</v>
      </c>
      <c r="F9390" s="34" t="n">
        <f aca="false">IFERROR(VLOOKUP($A9390,'319'!$B:$H,7,0),0)</f>
        <v>0</v>
      </c>
      <c r="G9390" s="34" t="n">
        <f aca="false">SUMIFS('12.326ana'!$C:$C,'12.326ana'!$M:$M,redes!A9390)</f>
        <v>0</v>
      </c>
    </row>
    <row r="9391" customFormat="false" ht="14.4" hidden="true" customHeight="false" outlineLevel="0" collapsed="false">
      <c r="A9391" s="34" t="n">
        <v>5264526000100</v>
      </c>
      <c r="B9391" s="34" t="s">
        <v>19142</v>
      </c>
      <c r="C9391" s="34" t="s">
        <v>342</v>
      </c>
      <c r="E9391" s="30" t="s">
        <v>19143</v>
      </c>
      <c r="F9391" s="34" t="n">
        <f aca="false">IFERROR(VLOOKUP($A9391,'319'!$B:$H,7,0),0)</f>
        <v>0</v>
      </c>
      <c r="G9391" s="34" t="n">
        <f aca="false">SUMIFS('12.326ana'!$C:$C,'12.326ana'!$M:$M,redes!A9391)</f>
        <v>0</v>
      </c>
    </row>
    <row r="9392" customFormat="false" ht="14.4" hidden="true" customHeight="false" outlineLevel="0" collapsed="false">
      <c r="A9392" s="34" t="n">
        <v>5264842000174</v>
      </c>
      <c r="B9392" s="34" t="s">
        <v>19144</v>
      </c>
      <c r="C9392" s="34" t="s">
        <v>77</v>
      </c>
      <c r="E9392" s="30" t="s">
        <v>19145</v>
      </c>
      <c r="F9392" s="34" t="n">
        <f aca="false">IFERROR(VLOOKUP($A9392,'319'!$B:$H,7,0),0)</f>
        <v>0</v>
      </c>
      <c r="G9392" s="34" t="n">
        <f aca="false">SUMIFS('12.326ana'!$C:$C,'12.326ana'!$M:$M,redes!A9392)</f>
        <v>0</v>
      </c>
    </row>
    <row r="9393" customFormat="false" ht="14.4" hidden="true" customHeight="false" outlineLevel="0" collapsed="false">
      <c r="A9393" s="34" t="n">
        <v>5264854000107</v>
      </c>
      <c r="B9393" s="34" t="s">
        <v>19146</v>
      </c>
      <c r="C9393" s="34" t="s">
        <v>77</v>
      </c>
      <c r="E9393" s="30" t="s">
        <v>19147</v>
      </c>
      <c r="F9393" s="34" t="n">
        <f aca="false">IFERROR(VLOOKUP($A9393,'319'!$B:$H,7,0),0)</f>
        <v>0</v>
      </c>
      <c r="G9393" s="34" t="n">
        <f aca="false">SUMIFS('12.326ana'!$C:$C,'12.326ana'!$M:$M,redes!A9393)</f>
        <v>0</v>
      </c>
    </row>
    <row r="9394" customFormat="false" ht="14.4" hidden="true" customHeight="false" outlineLevel="0" collapsed="false">
      <c r="A9394" s="34" t="n">
        <v>5271806000138</v>
      </c>
      <c r="B9394" s="34" t="s">
        <v>19148</v>
      </c>
      <c r="C9394" s="34" t="s">
        <v>77</v>
      </c>
      <c r="E9394" s="30" t="s">
        <v>19149</v>
      </c>
      <c r="F9394" s="34" t="n">
        <f aca="false">IFERROR(VLOOKUP($A9394,'319'!$B:$H,7,0),0)</f>
        <v>0</v>
      </c>
      <c r="G9394" s="34" t="n">
        <f aca="false">SUMIFS('12.326ana'!$C:$C,'12.326ana'!$M:$M,redes!A9394)</f>
        <v>0</v>
      </c>
    </row>
    <row r="9395" customFormat="false" ht="14.4" hidden="true" customHeight="false" outlineLevel="0" collapsed="false">
      <c r="A9395" s="34" t="n">
        <v>5272225000110</v>
      </c>
      <c r="B9395" s="34" t="s">
        <v>19150</v>
      </c>
      <c r="C9395" s="34" t="s">
        <v>342</v>
      </c>
      <c r="E9395" s="30" t="s">
        <v>9472</v>
      </c>
      <c r="F9395" s="34" t="n">
        <f aca="false">IFERROR(VLOOKUP($A9395,'319'!$B:$H,7,0),0)</f>
        <v>0</v>
      </c>
      <c r="G9395" s="34" t="n">
        <f aca="false">SUMIFS('12.326ana'!$C:$C,'12.326ana'!$M:$M,redes!A9395)</f>
        <v>0</v>
      </c>
    </row>
    <row r="9396" customFormat="false" ht="14.4" hidden="true" customHeight="false" outlineLevel="0" collapsed="false">
      <c r="A9396" s="34" t="n">
        <v>5272332000149</v>
      </c>
      <c r="B9396" s="34" t="s">
        <v>19151</v>
      </c>
      <c r="C9396" s="34" t="s">
        <v>89</v>
      </c>
      <c r="E9396" s="30" t="s">
        <v>19152</v>
      </c>
      <c r="F9396" s="34" t="n">
        <f aca="false">IFERROR(VLOOKUP($A9396,'319'!$B:$H,7,0),0)</f>
        <v>0</v>
      </c>
      <c r="G9396" s="34" t="n">
        <f aca="false">SUMIFS('12.326ana'!$C:$C,'12.326ana'!$M:$M,redes!A9396)</f>
        <v>0</v>
      </c>
    </row>
    <row r="9397" customFormat="false" ht="14.4" hidden="true" customHeight="false" outlineLevel="0" collapsed="false">
      <c r="A9397" s="34" t="n">
        <v>5272332000220</v>
      </c>
      <c r="B9397" s="34" t="s">
        <v>19151</v>
      </c>
      <c r="C9397" s="34" t="s">
        <v>89</v>
      </c>
      <c r="E9397" s="30" t="s">
        <v>19153</v>
      </c>
      <c r="F9397" s="34" t="n">
        <f aca="false">IFERROR(VLOOKUP($A9397,'319'!$B:$H,7,0),0)</f>
        <v>0</v>
      </c>
      <c r="G9397" s="34" t="n">
        <f aca="false">SUMIFS('12.326ana'!$C:$C,'12.326ana'!$M:$M,redes!A9397)</f>
        <v>0</v>
      </c>
    </row>
    <row r="9398" customFormat="false" ht="14.4" hidden="true" customHeight="false" outlineLevel="0" collapsed="false">
      <c r="A9398" s="34" t="n">
        <v>5273258000185</v>
      </c>
      <c r="B9398" s="34" t="s">
        <v>1105</v>
      </c>
      <c r="C9398" s="34" t="s">
        <v>764</v>
      </c>
      <c r="E9398" s="30" t="s">
        <v>19154</v>
      </c>
      <c r="F9398" s="34" t="n">
        <f aca="false">IFERROR(VLOOKUP($A9398,'319'!$B:$H,7,0),0)</f>
        <v>578.56</v>
      </c>
      <c r="G9398" s="34" t="n">
        <f aca="false">SUMIFS('12.326ana'!$C:$C,'12.326ana'!$M:$M,redes!A9398)</f>
        <v>0</v>
      </c>
    </row>
    <row r="9399" customFormat="false" ht="14.4" hidden="true" customHeight="false" outlineLevel="0" collapsed="false">
      <c r="A9399" s="34" t="n">
        <v>5277692000133</v>
      </c>
      <c r="B9399" s="34" t="s">
        <v>19155</v>
      </c>
      <c r="C9399" s="34" t="s">
        <v>77</v>
      </c>
      <c r="E9399" s="30" t="s">
        <v>19156</v>
      </c>
      <c r="F9399" s="34" t="n">
        <f aca="false">IFERROR(VLOOKUP($A9399,'319'!$B:$H,7,0),0)</f>
        <v>0</v>
      </c>
      <c r="G9399" s="34" t="n">
        <f aca="false">SUMIFS('12.326ana'!$C:$C,'12.326ana'!$M:$M,redes!A9399)</f>
        <v>0</v>
      </c>
    </row>
    <row r="9400" customFormat="false" ht="14.4" hidden="true" customHeight="false" outlineLevel="0" collapsed="false">
      <c r="A9400" s="34" t="n">
        <v>5281768000102</v>
      </c>
      <c r="B9400" s="34" t="s">
        <v>19157</v>
      </c>
      <c r="C9400" s="34" t="s">
        <v>781</v>
      </c>
      <c r="E9400" s="30" t="s">
        <v>19158</v>
      </c>
      <c r="F9400" s="34" t="n">
        <f aca="false">IFERROR(VLOOKUP($A9400,'319'!$B:$H,7,0),0)</f>
        <v>0</v>
      </c>
      <c r="G9400" s="34" t="n">
        <f aca="false">SUMIFS('12.326ana'!$C:$C,'12.326ana'!$M:$M,redes!A9400)</f>
        <v>0</v>
      </c>
    </row>
    <row r="9401" customFormat="false" ht="14.4" hidden="true" customHeight="false" outlineLevel="0" collapsed="false">
      <c r="A9401" s="34" t="n">
        <v>5284233000187</v>
      </c>
      <c r="B9401" s="34" t="s">
        <v>19159</v>
      </c>
      <c r="C9401" s="34" t="s">
        <v>77</v>
      </c>
      <c r="E9401" s="30" t="s">
        <v>7622</v>
      </c>
      <c r="F9401" s="34" t="n">
        <f aca="false">IFERROR(VLOOKUP($A9401,'319'!$B:$H,7,0),0)</f>
        <v>0</v>
      </c>
      <c r="G9401" s="34" t="n">
        <f aca="false">SUMIFS('12.326ana'!$C:$C,'12.326ana'!$M:$M,redes!A9401)</f>
        <v>0</v>
      </c>
    </row>
    <row r="9402" customFormat="false" ht="14.4" hidden="true" customHeight="false" outlineLevel="0" collapsed="false">
      <c r="A9402" s="34" t="n">
        <v>5284318000165</v>
      </c>
      <c r="B9402" s="34" t="s">
        <v>19160</v>
      </c>
      <c r="C9402" s="34" t="s">
        <v>848</v>
      </c>
      <c r="E9402" s="30" t="s">
        <v>19161</v>
      </c>
      <c r="F9402" s="34" t="n">
        <f aca="false">IFERROR(VLOOKUP($A9402,'319'!$B:$H,7,0),0)</f>
        <v>0</v>
      </c>
      <c r="G9402" s="34" t="n">
        <f aca="false">SUMIFS('12.326ana'!$C:$C,'12.326ana'!$M:$M,redes!A9402)</f>
        <v>0</v>
      </c>
    </row>
    <row r="9403" customFormat="false" ht="14.4" hidden="true" customHeight="false" outlineLevel="0" collapsed="false">
      <c r="A9403" s="34" t="n">
        <v>5284348000171</v>
      </c>
      <c r="B9403" s="34" t="s">
        <v>19162</v>
      </c>
      <c r="C9403" s="34" t="s">
        <v>3594</v>
      </c>
      <c r="E9403" s="30" t="s">
        <v>19163</v>
      </c>
      <c r="F9403" s="34" t="n">
        <f aca="false">IFERROR(VLOOKUP($A9403,'319'!$B:$H,7,0),0)</f>
        <v>0</v>
      </c>
      <c r="G9403" s="34" t="n">
        <f aca="false">SUMIFS('12.326ana'!$C:$C,'12.326ana'!$M:$M,redes!A9403)</f>
        <v>0</v>
      </c>
    </row>
    <row r="9404" customFormat="false" ht="14.4" hidden="true" customHeight="false" outlineLevel="0" collapsed="false">
      <c r="A9404" s="34" t="n">
        <v>5286759000104</v>
      </c>
      <c r="B9404" s="34" t="s">
        <v>19164</v>
      </c>
      <c r="C9404" s="34" t="s">
        <v>77</v>
      </c>
      <c r="E9404" s="30" t="s">
        <v>19165</v>
      </c>
      <c r="F9404" s="34" t="n">
        <f aca="false">IFERROR(VLOOKUP($A9404,'319'!$B:$H,7,0),0)</f>
        <v>0</v>
      </c>
      <c r="G9404" s="34" t="n">
        <f aca="false">SUMIFS('12.326ana'!$C:$C,'12.326ana'!$M:$M,redes!A9404)</f>
        <v>0</v>
      </c>
    </row>
    <row r="9405" customFormat="false" ht="14.4" hidden="true" customHeight="false" outlineLevel="0" collapsed="false">
      <c r="A9405" s="34" t="n">
        <v>5287591000143</v>
      </c>
      <c r="B9405" s="34" t="s">
        <v>19166</v>
      </c>
      <c r="C9405" s="34" t="s">
        <v>581</v>
      </c>
      <c r="E9405" s="30" t="s">
        <v>19167</v>
      </c>
      <c r="F9405" s="34" t="n">
        <f aca="false">IFERROR(VLOOKUP($A9405,'319'!$B:$H,7,0),0)</f>
        <v>0</v>
      </c>
      <c r="G9405" s="34" t="n">
        <f aca="false">SUMIFS('12.326ana'!$C:$C,'12.326ana'!$M:$M,redes!A9405)</f>
        <v>0</v>
      </c>
    </row>
    <row r="9406" customFormat="false" ht="14.4" hidden="true" customHeight="false" outlineLevel="0" collapsed="false">
      <c r="A9406" s="34" t="n">
        <v>5288111000169</v>
      </c>
      <c r="B9406" s="34" t="s">
        <v>19168</v>
      </c>
      <c r="C9406" s="34" t="s">
        <v>713</v>
      </c>
      <c r="E9406" s="30" t="s">
        <v>19169</v>
      </c>
      <c r="F9406" s="34" t="n">
        <f aca="false">IFERROR(VLOOKUP($A9406,'319'!$B:$H,7,0),0)</f>
        <v>0</v>
      </c>
      <c r="G9406" s="34" t="n">
        <f aca="false">SUMIFS('12.326ana'!$C:$C,'12.326ana'!$M:$M,redes!A9406)</f>
        <v>0</v>
      </c>
    </row>
    <row r="9407" customFormat="false" ht="14.4" hidden="true" customHeight="false" outlineLevel="0" collapsed="false">
      <c r="A9407" s="34" t="n">
        <v>5288772000194</v>
      </c>
      <c r="B9407" s="34" t="s">
        <v>19170</v>
      </c>
      <c r="C9407" s="34" t="s">
        <v>16084</v>
      </c>
      <c r="E9407" s="30" t="s">
        <v>19171</v>
      </c>
      <c r="F9407" s="34" t="n">
        <f aca="false">IFERROR(VLOOKUP($A9407,'319'!$B:$H,7,0),0)</f>
        <v>0</v>
      </c>
      <c r="G9407" s="34" t="n">
        <f aca="false">SUMIFS('12.326ana'!$C:$C,'12.326ana'!$M:$M,redes!A9407)</f>
        <v>0</v>
      </c>
    </row>
    <row r="9408" customFormat="false" ht="14.4" hidden="true" customHeight="false" outlineLevel="0" collapsed="false">
      <c r="A9408" s="35" t="n">
        <v>5289529000190</v>
      </c>
      <c r="B9408" s="34" t="s">
        <v>19172</v>
      </c>
      <c r="C9408" s="34" t="s">
        <v>2998</v>
      </c>
      <c r="E9408" s="30" t="s">
        <v>19173</v>
      </c>
      <c r="F9408" s="34" t="n">
        <f aca="false">IFERROR(VLOOKUP($A9408,'319'!$B:$H,7,0),0)</f>
        <v>0</v>
      </c>
      <c r="G9408" s="34" t="n">
        <f aca="false">SUMIFS('12.326ana'!$C:$C,'12.326ana'!$M:$M,redes!A9408)</f>
        <v>0</v>
      </c>
    </row>
    <row r="9409" customFormat="false" ht="14.4" hidden="true" customHeight="false" outlineLevel="0" collapsed="false">
      <c r="A9409" s="35" t="n">
        <v>5291189000132</v>
      </c>
      <c r="B9409" s="34" t="s">
        <v>19174</v>
      </c>
      <c r="C9409" s="34" t="s">
        <v>139</v>
      </c>
      <c r="E9409" s="30" t="s">
        <v>19175</v>
      </c>
      <c r="F9409" s="34" t="n">
        <f aca="false">IFERROR(VLOOKUP($A9409,'319'!$B:$H,7,0),0)</f>
        <v>0</v>
      </c>
      <c r="G9409" s="34" t="n">
        <f aca="false">SUMIFS('12.326ana'!$C:$C,'12.326ana'!$M:$M,redes!A9409)</f>
        <v>0</v>
      </c>
    </row>
    <row r="9410" customFormat="false" ht="14.4" hidden="true" customHeight="false" outlineLevel="0" collapsed="false">
      <c r="A9410" s="35" t="n">
        <v>5292070000184</v>
      </c>
      <c r="B9410" s="34" t="s">
        <v>19176</v>
      </c>
      <c r="C9410" s="34" t="s">
        <v>77</v>
      </c>
      <c r="E9410" s="30" t="s">
        <v>19177</v>
      </c>
      <c r="F9410" s="34" t="n">
        <f aca="false">IFERROR(VLOOKUP($A9410,'319'!$B:$H,7,0),0)</f>
        <v>0</v>
      </c>
      <c r="G9410" s="34" t="n">
        <f aca="false">SUMIFS('12.326ana'!$C:$C,'12.326ana'!$M:$M,redes!A9410)</f>
        <v>0</v>
      </c>
    </row>
    <row r="9411" customFormat="false" ht="14.4" hidden="true" customHeight="false" outlineLevel="0" collapsed="false">
      <c r="A9411" s="34" t="n">
        <v>5292277000159</v>
      </c>
      <c r="B9411" s="34" t="s">
        <v>19178</v>
      </c>
      <c r="C9411" s="34" t="s">
        <v>1591</v>
      </c>
      <c r="E9411" s="30" t="s">
        <v>4519</v>
      </c>
      <c r="F9411" s="34" t="n">
        <f aca="false">IFERROR(VLOOKUP($A9411,'319'!$B:$H,7,0),0)</f>
        <v>0</v>
      </c>
      <c r="G9411" s="34" t="n">
        <f aca="false">SUMIFS('12.326ana'!$C:$C,'12.326ana'!$M:$M,redes!A9411)</f>
        <v>0</v>
      </c>
    </row>
    <row r="9412" customFormat="false" ht="14.4" hidden="true" customHeight="false" outlineLevel="0" collapsed="false">
      <c r="A9412" s="34" t="n">
        <v>5294007000187</v>
      </c>
      <c r="B9412" s="34" t="s">
        <v>19179</v>
      </c>
      <c r="C9412" s="34" t="s">
        <v>357</v>
      </c>
      <c r="E9412" s="30" t="s">
        <v>19180</v>
      </c>
      <c r="F9412" s="34" t="n">
        <f aca="false">IFERROR(VLOOKUP($A9412,'319'!$B:$H,7,0),0)</f>
        <v>0</v>
      </c>
      <c r="G9412" s="34" t="n">
        <f aca="false">SUMIFS('12.326ana'!$C:$C,'12.326ana'!$M:$M,redes!A9412)</f>
        <v>0</v>
      </c>
    </row>
    <row r="9413" customFormat="false" ht="14.4" hidden="true" customHeight="false" outlineLevel="0" collapsed="false">
      <c r="A9413" s="34" t="n">
        <v>5296029000186</v>
      </c>
      <c r="B9413" s="34" t="s">
        <v>19181</v>
      </c>
      <c r="C9413" s="34" t="s">
        <v>336</v>
      </c>
      <c r="E9413" s="30" t="s">
        <v>16311</v>
      </c>
      <c r="F9413" s="34" t="n">
        <f aca="false">IFERROR(VLOOKUP($A9413,'319'!$B:$H,7,0),0)</f>
        <v>0</v>
      </c>
      <c r="G9413" s="34" t="n">
        <f aca="false">SUMIFS('12.326ana'!$C:$C,'12.326ana'!$M:$M,redes!A9413)</f>
        <v>0</v>
      </c>
    </row>
    <row r="9414" customFormat="false" ht="14.4" hidden="true" customHeight="false" outlineLevel="0" collapsed="false">
      <c r="A9414" s="34" t="n">
        <v>5296037000122</v>
      </c>
      <c r="B9414" s="34" t="s">
        <v>19182</v>
      </c>
      <c r="C9414" s="34" t="s">
        <v>89</v>
      </c>
      <c r="E9414" s="30" t="s">
        <v>19183</v>
      </c>
      <c r="F9414" s="34" t="n">
        <f aca="false">IFERROR(VLOOKUP($A9414,'319'!$B:$H,7,0),0)</f>
        <v>0</v>
      </c>
      <c r="G9414" s="34" t="n">
        <f aca="false">SUMIFS('12.326ana'!$C:$C,'12.326ana'!$M:$M,redes!A9414)</f>
        <v>0</v>
      </c>
    </row>
    <row r="9415" customFormat="false" ht="14.4" hidden="true" customHeight="false" outlineLevel="0" collapsed="false">
      <c r="A9415" s="34" t="n">
        <v>5296037000203</v>
      </c>
      <c r="B9415" s="34" t="s">
        <v>19184</v>
      </c>
      <c r="C9415" s="34" t="s">
        <v>89</v>
      </c>
      <c r="E9415" s="30" t="s">
        <v>19185</v>
      </c>
      <c r="F9415" s="34" t="n">
        <f aca="false">IFERROR(VLOOKUP($A9415,'319'!$B:$H,7,0),0)</f>
        <v>0</v>
      </c>
      <c r="G9415" s="34" t="n">
        <f aca="false">SUMIFS('12.326ana'!$C:$C,'12.326ana'!$M:$M,redes!A9415)</f>
        <v>0</v>
      </c>
    </row>
    <row r="9416" customFormat="false" ht="14.4" hidden="true" customHeight="false" outlineLevel="0" collapsed="false">
      <c r="A9416" s="34" t="n">
        <v>5297259000160</v>
      </c>
      <c r="B9416" s="34" t="s">
        <v>19186</v>
      </c>
      <c r="C9416" s="34" t="s">
        <v>107</v>
      </c>
      <c r="E9416" s="30" t="s">
        <v>5510</v>
      </c>
      <c r="F9416" s="34" t="n">
        <f aca="false">IFERROR(VLOOKUP($A9416,'319'!$B:$H,7,0),0)</f>
        <v>0</v>
      </c>
      <c r="G9416" s="34" t="n">
        <f aca="false">SUMIFS('12.326ana'!$C:$C,'12.326ana'!$M:$M,redes!A9416)</f>
        <v>0</v>
      </c>
    </row>
    <row r="9417" customFormat="false" ht="14.4" hidden="true" customHeight="false" outlineLevel="0" collapsed="false">
      <c r="A9417" s="34" t="n">
        <v>5299879000138</v>
      </c>
      <c r="B9417" s="34" t="s">
        <v>19187</v>
      </c>
      <c r="C9417" s="34" t="s">
        <v>546</v>
      </c>
      <c r="E9417" s="30" t="s">
        <v>19188</v>
      </c>
      <c r="F9417" s="34" t="n">
        <f aca="false">IFERROR(VLOOKUP($A9417,'319'!$B:$H,7,0),0)</f>
        <v>0</v>
      </c>
      <c r="G9417" s="34" t="n">
        <f aca="false">SUMIFS('12.326ana'!$C:$C,'12.326ana'!$M:$M,redes!A9417)</f>
        <v>0</v>
      </c>
    </row>
    <row r="9418" customFormat="false" ht="14.4" hidden="true" customHeight="false" outlineLevel="0" collapsed="false">
      <c r="A9418" s="34" t="n">
        <v>5302145000160</v>
      </c>
      <c r="B9418" s="34" t="s">
        <v>19189</v>
      </c>
      <c r="C9418" s="34" t="s">
        <v>594</v>
      </c>
      <c r="E9418" s="30" t="s">
        <v>19190</v>
      </c>
      <c r="F9418" s="34" t="n">
        <f aca="false">IFERROR(VLOOKUP($A9418,'319'!$B:$H,7,0),0)</f>
        <v>0</v>
      </c>
      <c r="G9418" s="34" t="n">
        <f aca="false">SUMIFS('12.326ana'!$C:$C,'12.326ana'!$M:$M,redes!A9418)</f>
        <v>0</v>
      </c>
    </row>
    <row r="9419" customFormat="false" ht="14.4" hidden="true" customHeight="false" outlineLevel="0" collapsed="false">
      <c r="A9419" s="34" t="n">
        <v>5305796000104</v>
      </c>
      <c r="B9419" s="34" t="s">
        <v>19191</v>
      </c>
      <c r="C9419" s="34" t="s">
        <v>77</v>
      </c>
      <c r="E9419" s="30" t="s">
        <v>19192</v>
      </c>
      <c r="F9419" s="34" t="n">
        <f aca="false">IFERROR(VLOOKUP($A9419,'319'!$B:$H,7,0),0)</f>
        <v>0</v>
      </c>
      <c r="G9419" s="34" t="n">
        <f aca="false">SUMIFS('12.326ana'!$C:$C,'12.326ana'!$M:$M,redes!A9419)</f>
        <v>0</v>
      </c>
    </row>
    <row r="9420" customFormat="false" ht="14.4" hidden="true" customHeight="false" outlineLevel="0" collapsed="false">
      <c r="A9420" s="34" t="n">
        <v>5308628000172</v>
      </c>
      <c r="B9420" s="34" t="s">
        <v>19193</v>
      </c>
      <c r="C9420" s="34" t="s">
        <v>77</v>
      </c>
      <c r="E9420" s="30" t="s">
        <v>19194</v>
      </c>
      <c r="F9420" s="34" t="n">
        <f aca="false">IFERROR(VLOOKUP($A9420,'319'!$B:$H,7,0),0)</f>
        <v>0</v>
      </c>
      <c r="G9420" s="34" t="n">
        <f aca="false">SUMIFS('12.326ana'!$C:$C,'12.326ana'!$M:$M,redes!A9420)</f>
        <v>0</v>
      </c>
    </row>
    <row r="9421" customFormat="false" ht="14.4" hidden="true" customHeight="false" outlineLevel="0" collapsed="false">
      <c r="A9421" s="34" t="n">
        <v>5311552000134</v>
      </c>
      <c r="B9421" s="34" t="s">
        <v>19195</v>
      </c>
      <c r="C9421" s="34" t="s">
        <v>19196</v>
      </c>
      <c r="E9421" s="30" t="s">
        <v>19197</v>
      </c>
      <c r="F9421" s="34" t="n">
        <f aca="false">IFERROR(VLOOKUP($A9421,'319'!$B:$H,7,0),0)</f>
        <v>0</v>
      </c>
      <c r="G9421" s="34" t="n">
        <f aca="false">SUMIFS('12.326ana'!$C:$C,'12.326ana'!$M:$M,redes!A9421)</f>
        <v>0</v>
      </c>
    </row>
    <row r="9422" customFormat="false" ht="14.4" hidden="true" customHeight="false" outlineLevel="0" collapsed="false">
      <c r="A9422" s="34" t="n">
        <v>5313082000148</v>
      </c>
      <c r="B9422" s="34" t="s">
        <v>19198</v>
      </c>
      <c r="C9422" s="34" t="s">
        <v>77</v>
      </c>
      <c r="E9422" s="30" t="s">
        <v>19199</v>
      </c>
      <c r="F9422" s="34" t="n">
        <f aca="false">IFERROR(VLOOKUP($A9422,'319'!$B:$H,7,0),0)</f>
        <v>0</v>
      </c>
      <c r="G9422" s="34" t="n">
        <f aca="false">SUMIFS('12.326ana'!$C:$C,'12.326ana'!$M:$M,redes!A9422)</f>
        <v>0</v>
      </c>
    </row>
    <row r="9423" customFormat="false" ht="14.4" hidden="true" customHeight="false" outlineLevel="0" collapsed="false">
      <c r="A9423" s="34" t="n">
        <v>5313094000172</v>
      </c>
      <c r="B9423" s="34" t="s">
        <v>19200</v>
      </c>
      <c r="C9423" s="34" t="s">
        <v>77</v>
      </c>
      <c r="E9423" s="30" t="s">
        <v>19201</v>
      </c>
      <c r="F9423" s="34" t="n">
        <f aca="false">IFERROR(VLOOKUP($A9423,'319'!$B:$H,7,0),0)</f>
        <v>0</v>
      </c>
      <c r="G9423" s="34" t="n">
        <f aca="false">SUMIFS('12.326ana'!$C:$C,'12.326ana'!$M:$M,redes!A9423)</f>
        <v>0</v>
      </c>
    </row>
    <row r="9424" customFormat="false" ht="14.4" hidden="true" customHeight="false" outlineLevel="0" collapsed="false">
      <c r="A9424" s="34" t="n">
        <v>5313421000196</v>
      </c>
      <c r="B9424" s="34" t="s">
        <v>19202</v>
      </c>
      <c r="C9424" s="34" t="s">
        <v>207</v>
      </c>
      <c r="E9424" s="30" t="s">
        <v>7467</v>
      </c>
      <c r="F9424" s="34" t="n">
        <f aca="false">IFERROR(VLOOKUP($A9424,'319'!$B:$H,7,0),0)</f>
        <v>0</v>
      </c>
      <c r="G9424" s="34" t="n">
        <f aca="false">SUMIFS('12.326ana'!$C:$C,'12.326ana'!$M:$M,redes!A9424)</f>
        <v>0</v>
      </c>
    </row>
    <row r="9425" customFormat="false" ht="14.4" hidden="true" customHeight="false" outlineLevel="0" collapsed="false">
      <c r="A9425" s="34" t="n">
        <v>5314540000163</v>
      </c>
      <c r="B9425" s="34" t="s">
        <v>19203</v>
      </c>
      <c r="C9425" s="34" t="s">
        <v>129</v>
      </c>
      <c r="E9425" s="30" t="s">
        <v>19204</v>
      </c>
      <c r="F9425" s="34" t="n">
        <f aca="false">IFERROR(VLOOKUP($A9425,'319'!$B:$H,7,0),0)</f>
        <v>0</v>
      </c>
      <c r="G9425" s="34" t="n">
        <f aca="false">SUMIFS('12.326ana'!$C:$C,'12.326ana'!$M:$M,redes!A9425)</f>
        <v>0</v>
      </c>
    </row>
    <row r="9426" customFormat="false" ht="14.4" hidden="true" customHeight="false" outlineLevel="0" collapsed="false">
      <c r="A9426" s="34" t="n">
        <v>5315671000165</v>
      </c>
      <c r="B9426" s="34" t="s">
        <v>19205</v>
      </c>
      <c r="C9426" s="34" t="s">
        <v>631</v>
      </c>
      <c r="E9426" s="30" t="s">
        <v>19206</v>
      </c>
      <c r="F9426" s="34" t="n">
        <f aca="false">IFERROR(VLOOKUP($A9426,'319'!$B:$H,7,0),0)</f>
        <v>0</v>
      </c>
      <c r="G9426" s="34" t="n">
        <f aca="false">SUMIFS('12.326ana'!$C:$C,'12.326ana'!$M:$M,redes!A9426)</f>
        <v>0</v>
      </c>
    </row>
    <row r="9427" customFormat="false" ht="14.4" hidden="true" customHeight="false" outlineLevel="0" collapsed="false">
      <c r="A9427" s="34" t="n">
        <v>5315701000133</v>
      </c>
      <c r="B9427" s="34" t="s">
        <v>19207</v>
      </c>
      <c r="C9427" s="34" t="s">
        <v>77</v>
      </c>
      <c r="E9427" s="30" t="s">
        <v>19208</v>
      </c>
      <c r="F9427" s="34" t="n">
        <f aca="false">IFERROR(VLOOKUP($A9427,'319'!$B:$H,7,0),0)</f>
        <v>0</v>
      </c>
      <c r="G9427" s="34" t="n">
        <f aca="false">SUMIFS('12.326ana'!$C:$C,'12.326ana'!$M:$M,redes!A9427)</f>
        <v>0</v>
      </c>
    </row>
    <row r="9428" customFormat="false" ht="14.4" hidden="true" customHeight="false" outlineLevel="0" collapsed="false">
      <c r="A9428" s="34" t="n">
        <v>5316911000146</v>
      </c>
      <c r="B9428" s="34" t="s">
        <v>19209</v>
      </c>
      <c r="C9428" s="34" t="s">
        <v>103</v>
      </c>
      <c r="E9428" s="30" t="s">
        <v>19210</v>
      </c>
      <c r="F9428" s="34" t="n">
        <f aca="false">IFERROR(VLOOKUP($A9428,'319'!$B:$H,7,0),0)</f>
        <v>0</v>
      </c>
      <c r="G9428" s="34" t="n">
        <f aca="false">SUMIFS('12.326ana'!$C:$C,'12.326ana'!$M:$M,redes!A9428)</f>
        <v>0</v>
      </c>
    </row>
    <row r="9429" customFormat="false" ht="14.4" hidden="true" customHeight="false" outlineLevel="0" collapsed="false">
      <c r="A9429" s="34" t="n">
        <v>5317966000170</v>
      </c>
      <c r="B9429" s="34" t="s">
        <v>19211</v>
      </c>
      <c r="C9429" s="34" t="s">
        <v>89</v>
      </c>
      <c r="E9429" s="30" t="s">
        <v>18244</v>
      </c>
      <c r="F9429" s="34" t="n">
        <f aca="false">IFERROR(VLOOKUP($A9429,'319'!$B:$H,7,0),0)</f>
        <v>0</v>
      </c>
      <c r="G9429" s="34" t="n">
        <f aca="false">SUMIFS('12.326ana'!$C:$C,'12.326ana'!$M:$M,redes!A9429)</f>
        <v>0</v>
      </c>
    </row>
    <row r="9430" customFormat="false" ht="14.4" hidden="true" customHeight="false" outlineLevel="0" collapsed="false">
      <c r="A9430" s="34" t="n">
        <v>5318045000122</v>
      </c>
      <c r="B9430" s="34" t="s">
        <v>378</v>
      </c>
      <c r="C9430" s="34" t="s">
        <v>377</v>
      </c>
      <c r="D9430" s="34" t="s">
        <v>37</v>
      </c>
      <c r="E9430" s="30" t="s">
        <v>2846</v>
      </c>
      <c r="F9430" s="34" t="n">
        <f aca="false">IFERROR(VLOOKUP($A9430,'319'!$B:$H,7,0),0)</f>
        <v>26641.48</v>
      </c>
      <c r="G9430" s="34" t="n">
        <f aca="false">SUMIFS('12.326ana'!$C:$C,'12.326ana'!$M:$M,redes!A9430)</f>
        <v>280.23</v>
      </c>
    </row>
    <row r="9431" customFormat="false" ht="14.4" hidden="true" customHeight="false" outlineLevel="0" collapsed="false">
      <c r="A9431" s="34" t="n">
        <v>5318045000203</v>
      </c>
      <c r="B9431" s="34" t="s">
        <v>378</v>
      </c>
      <c r="C9431" s="34" t="s">
        <v>351</v>
      </c>
      <c r="D9431" s="34" t="s">
        <v>37</v>
      </c>
      <c r="E9431" s="30" t="s">
        <v>2847</v>
      </c>
      <c r="F9431" s="34" t="n">
        <f aca="false">IFERROR(VLOOKUP($A9431,'319'!$B:$H,7,0),0)</f>
        <v>19551.53</v>
      </c>
      <c r="G9431" s="34" t="n">
        <f aca="false">SUMIFS('12.326ana'!$C:$C,'12.326ana'!$M:$M,redes!A9431)</f>
        <v>0</v>
      </c>
    </row>
    <row r="9432" customFormat="false" ht="14.4" hidden="true" customHeight="false" outlineLevel="0" collapsed="false">
      <c r="A9432" s="35" t="n">
        <v>5318045000394</v>
      </c>
      <c r="B9432" s="34" t="s">
        <v>378</v>
      </c>
      <c r="C9432" s="34" t="s">
        <v>377</v>
      </c>
      <c r="D9432" s="34" t="s">
        <v>37</v>
      </c>
      <c r="E9432" s="30" t="s">
        <v>2848</v>
      </c>
      <c r="F9432" s="34" t="n">
        <f aca="false">IFERROR(VLOOKUP($A9432,'319'!$B:$H,7,0),0)</f>
        <v>9175.46</v>
      </c>
      <c r="G9432" s="34" t="n">
        <f aca="false">SUMIFS('12.326ana'!$C:$C,'12.326ana'!$M:$M,redes!A9432)</f>
        <v>0</v>
      </c>
    </row>
    <row r="9433" customFormat="false" ht="14.4" hidden="true" customHeight="false" outlineLevel="0" collapsed="false">
      <c r="A9433" s="35" t="n">
        <v>5324167000121</v>
      </c>
      <c r="B9433" s="34" t="s">
        <v>19212</v>
      </c>
      <c r="C9433" s="34" t="s">
        <v>594</v>
      </c>
      <c r="E9433" s="30" t="s">
        <v>19213</v>
      </c>
      <c r="F9433" s="34" t="n">
        <f aca="false">IFERROR(VLOOKUP($A9433,'319'!$B:$H,7,0),0)</f>
        <v>0</v>
      </c>
      <c r="G9433" s="34" t="n">
        <f aca="false">SUMIFS('12.326ana'!$C:$C,'12.326ana'!$M:$M,redes!A9433)</f>
        <v>0</v>
      </c>
    </row>
    <row r="9434" customFormat="false" ht="14.4" hidden="true" customHeight="false" outlineLevel="0" collapsed="false">
      <c r="A9434" s="35" t="n">
        <v>5324263000170</v>
      </c>
      <c r="B9434" s="34" t="s">
        <v>19214</v>
      </c>
      <c r="C9434" s="34" t="s">
        <v>935</v>
      </c>
      <c r="E9434" s="30" t="s">
        <v>19215</v>
      </c>
      <c r="F9434" s="34" t="n">
        <f aca="false">IFERROR(VLOOKUP($A9434,'319'!$B:$H,7,0),0)</f>
        <v>0</v>
      </c>
      <c r="G9434" s="34" t="n">
        <f aca="false">SUMIFS('12.326ana'!$C:$C,'12.326ana'!$M:$M,redes!A9434)</f>
        <v>0</v>
      </c>
    </row>
    <row r="9435" customFormat="false" ht="14.4" hidden="true" customHeight="false" outlineLevel="0" collapsed="false">
      <c r="A9435" s="35" t="n">
        <v>5325470000149</v>
      </c>
      <c r="B9435" s="34" t="s">
        <v>19216</v>
      </c>
      <c r="C9435" s="34" t="s">
        <v>77</v>
      </c>
      <c r="E9435" s="30" t="s">
        <v>19217</v>
      </c>
      <c r="F9435" s="34" t="n">
        <f aca="false">IFERROR(VLOOKUP($A9435,'319'!$B:$H,7,0),0)</f>
        <v>0</v>
      </c>
      <c r="G9435" s="34" t="n">
        <f aca="false">SUMIFS('12.326ana'!$C:$C,'12.326ana'!$M:$M,redes!A9435)</f>
        <v>0</v>
      </c>
    </row>
    <row r="9436" customFormat="false" ht="14.4" hidden="true" customHeight="false" outlineLevel="0" collapsed="false">
      <c r="A9436" s="34" t="n">
        <v>5325625000147</v>
      </c>
      <c r="B9436" s="34" t="s">
        <v>19218</v>
      </c>
      <c r="C9436" s="34" t="s">
        <v>77</v>
      </c>
      <c r="E9436" s="30" t="s">
        <v>19219</v>
      </c>
      <c r="F9436" s="34" t="n">
        <f aca="false">IFERROR(VLOOKUP($A9436,'319'!$B:$H,7,0),0)</f>
        <v>0</v>
      </c>
      <c r="G9436" s="34" t="n">
        <f aca="false">SUMIFS('12.326ana'!$C:$C,'12.326ana'!$M:$M,redes!A9436)</f>
        <v>0</v>
      </c>
    </row>
    <row r="9437" customFormat="false" ht="14.4" hidden="true" customHeight="false" outlineLevel="0" collapsed="false">
      <c r="A9437" s="34" t="n">
        <v>5327650000160</v>
      </c>
      <c r="B9437" s="34" t="s">
        <v>373</v>
      </c>
      <c r="C9437" s="34" t="s">
        <v>377</v>
      </c>
      <c r="E9437" s="30" t="s">
        <v>19220</v>
      </c>
      <c r="F9437" s="34" t="n">
        <f aca="false">IFERROR(VLOOKUP($A9437,'319'!$B:$H,7,0),0)</f>
        <v>-101.06</v>
      </c>
      <c r="G9437" s="34" t="n">
        <f aca="false">SUMIFS('12.326ana'!$C:$C,'12.326ana'!$M:$M,redes!A9437)</f>
        <v>57.97</v>
      </c>
    </row>
    <row r="9438" customFormat="false" ht="14.4" hidden="true" customHeight="false" outlineLevel="0" collapsed="false">
      <c r="A9438" s="34" t="n">
        <v>5327876000160</v>
      </c>
      <c r="B9438" s="34" t="s">
        <v>19221</v>
      </c>
      <c r="C9438" s="34" t="s">
        <v>77</v>
      </c>
      <c r="E9438" s="30" t="s">
        <v>19222</v>
      </c>
      <c r="F9438" s="34" t="n">
        <f aca="false">IFERROR(VLOOKUP($A9438,'319'!$B:$H,7,0),0)</f>
        <v>0</v>
      </c>
      <c r="G9438" s="34" t="n">
        <f aca="false">SUMIFS('12.326ana'!$C:$C,'12.326ana'!$M:$M,redes!A9438)</f>
        <v>0</v>
      </c>
    </row>
    <row r="9439" customFormat="false" ht="14.4" hidden="true" customHeight="false" outlineLevel="0" collapsed="false">
      <c r="A9439" s="34" t="n">
        <v>5330582000198</v>
      </c>
      <c r="B9439" s="34" t="s">
        <v>691</v>
      </c>
      <c r="C9439" s="34" t="s">
        <v>3060</v>
      </c>
      <c r="E9439" s="30" t="s">
        <v>13293</v>
      </c>
      <c r="F9439" s="34" t="n">
        <f aca="false">IFERROR(VLOOKUP($A9439,'319'!$B:$H,7,0),0)</f>
        <v>6626.29</v>
      </c>
      <c r="G9439" s="34" t="n">
        <f aca="false">SUMIFS('12.326ana'!$C:$C,'12.326ana'!$M:$M,redes!A9439)</f>
        <v>0</v>
      </c>
    </row>
    <row r="9440" customFormat="false" ht="14.4" hidden="true" customHeight="false" outlineLevel="0" collapsed="false">
      <c r="A9440" s="34" t="n">
        <v>5334539000109</v>
      </c>
      <c r="B9440" s="34" t="s">
        <v>19223</v>
      </c>
      <c r="C9440" s="34" t="s">
        <v>463</v>
      </c>
      <c r="E9440" s="30"/>
      <c r="F9440" s="34" t="n">
        <f aca="false">IFERROR(VLOOKUP($A9440,'319'!$B:$H,7,0),0)</f>
        <v>0</v>
      </c>
      <c r="G9440" s="34" t="n">
        <f aca="false">SUMIFS('12.326ana'!$C:$C,'12.326ana'!$M:$M,redes!A9440)</f>
        <v>0</v>
      </c>
    </row>
    <row r="9441" customFormat="false" ht="14.4" hidden="true" customHeight="false" outlineLevel="0" collapsed="false">
      <c r="A9441" s="34" t="n">
        <v>5335453000192</v>
      </c>
      <c r="B9441" s="34" t="s">
        <v>19224</v>
      </c>
      <c r="C9441" s="34" t="s">
        <v>405</v>
      </c>
      <c r="E9441" s="30" t="s">
        <v>19225</v>
      </c>
      <c r="F9441" s="34" t="n">
        <f aca="false">IFERROR(VLOOKUP($A9441,'319'!$B:$H,7,0),0)</f>
        <v>0</v>
      </c>
      <c r="G9441" s="34" t="n">
        <f aca="false">SUMIFS('12.326ana'!$C:$C,'12.326ana'!$M:$M,redes!A9441)</f>
        <v>0</v>
      </c>
    </row>
    <row r="9442" customFormat="false" ht="14.4" hidden="true" customHeight="false" outlineLevel="0" collapsed="false">
      <c r="A9442" s="34" t="n">
        <v>5335462000183</v>
      </c>
      <c r="B9442" s="34" t="s">
        <v>19226</v>
      </c>
      <c r="C9442" s="34" t="s">
        <v>139</v>
      </c>
      <c r="E9442" s="30" t="s">
        <v>19227</v>
      </c>
      <c r="F9442" s="34" t="n">
        <f aca="false">IFERROR(VLOOKUP($A9442,'319'!$B:$H,7,0),0)</f>
        <v>0</v>
      </c>
      <c r="G9442" s="34" t="n">
        <f aca="false">SUMIFS('12.326ana'!$C:$C,'12.326ana'!$M:$M,redes!A9442)</f>
        <v>0</v>
      </c>
    </row>
    <row r="9443" customFormat="false" ht="14.4" hidden="true" customHeight="false" outlineLevel="0" collapsed="false">
      <c r="A9443" s="34" t="n">
        <v>5335512000122</v>
      </c>
      <c r="B9443" s="34" t="s">
        <v>19228</v>
      </c>
      <c r="C9443" s="34" t="s">
        <v>117</v>
      </c>
      <c r="E9443" s="30" t="s">
        <v>19229</v>
      </c>
      <c r="F9443" s="34" t="n">
        <f aca="false">IFERROR(VLOOKUP($A9443,'319'!$B:$H,7,0),0)</f>
        <v>0</v>
      </c>
      <c r="G9443" s="34" t="n">
        <f aca="false">SUMIFS('12.326ana'!$C:$C,'12.326ana'!$M:$M,redes!A9443)</f>
        <v>0</v>
      </c>
    </row>
    <row r="9444" customFormat="false" ht="14.4" hidden="true" customHeight="false" outlineLevel="0" collapsed="false">
      <c r="A9444" s="34" t="n">
        <v>5337847000180</v>
      </c>
      <c r="B9444" s="34" t="s">
        <v>19230</v>
      </c>
      <c r="C9444" s="34" t="s">
        <v>478</v>
      </c>
      <c r="D9444" s="34" t="s">
        <v>19231</v>
      </c>
      <c r="E9444" s="30" t="s">
        <v>15503</v>
      </c>
      <c r="F9444" s="34" t="n">
        <f aca="false">IFERROR(VLOOKUP($A9444,'319'!$B:$H,7,0),0)</f>
        <v>0</v>
      </c>
      <c r="G9444" s="34" t="n">
        <f aca="false">SUMIFS('12.326ana'!$C:$C,'12.326ana'!$M:$M,redes!A9444)</f>
        <v>0</v>
      </c>
    </row>
    <row r="9445" customFormat="false" ht="14.4" hidden="true" customHeight="false" outlineLevel="0" collapsed="false">
      <c r="A9445" s="34" t="n">
        <v>5340710000184</v>
      </c>
      <c r="B9445" s="34" t="s">
        <v>19232</v>
      </c>
      <c r="C9445" s="34" t="s">
        <v>77</v>
      </c>
      <c r="E9445" s="30" t="s">
        <v>19233</v>
      </c>
      <c r="F9445" s="34" t="n">
        <f aca="false">IFERROR(VLOOKUP($A9445,'319'!$B:$H,7,0),0)</f>
        <v>0</v>
      </c>
      <c r="G9445" s="34" t="n">
        <f aca="false">SUMIFS('12.326ana'!$C:$C,'12.326ana'!$M:$M,redes!A9445)</f>
        <v>0</v>
      </c>
    </row>
    <row r="9446" customFormat="false" ht="14.4" hidden="true" customHeight="false" outlineLevel="0" collapsed="false">
      <c r="A9446" s="34" t="n">
        <v>5340715000107</v>
      </c>
      <c r="B9446" s="34" t="s">
        <v>19234</v>
      </c>
      <c r="C9446" s="34" t="s">
        <v>77</v>
      </c>
      <c r="E9446" s="30" t="s">
        <v>19235</v>
      </c>
      <c r="F9446" s="34" t="n">
        <f aca="false">IFERROR(VLOOKUP($A9446,'319'!$B:$H,7,0),0)</f>
        <v>0</v>
      </c>
      <c r="G9446" s="34" t="n">
        <f aca="false">SUMIFS('12.326ana'!$C:$C,'12.326ana'!$M:$M,redes!A9446)</f>
        <v>0</v>
      </c>
    </row>
    <row r="9447" customFormat="false" ht="14.4" hidden="true" customHeight="false" outlineLevel="0" collapsed="false">
      <c r="A9447" s="34" t="n">
        <v>5342685000178</v>
      </c>
      <c r="B9447" s="34" t="s">
        <v>19236</v>
      </c>
      <c r="C9447" s="34" t="s">
        <v>464</v>
      </c>
      <c r="E9447" s="30" t="s">
        <v>19237</v>
      </c>
      <c r="F9447" s="34" t="n">
        <f aca="false">IFERROR(VLOOKUP($A9447,'319'!$B:$H,7,0),0)</f>
        <v>0</v>
      </c>
      <c r="G9447" s="34" t="n">
        <f aca="false">SUMIFS('12.326ana'!$C:$C,'12.326ana'!$M:$M,redes!A9447)</f>
        <v>0</v>
      </c>
    </row>
    <row r="9448" customFormat="false" ht="14.4" hidden="true" customHeight="false" outlineLevel="0" collapsed="false">
      <c r="A9448" s="34" t="n">
        <v>5342915000107</v>
      </c>
      <c r="B9448" s="34" t="s">
        <v>19238</v>
      </c>
      <c r="C9448" s="34" t="s">
        <v>77</v>
      </c>
      <c r="E9448" s="30" t="s">
        <v>6591</v>
      </c>
      <c r="F9448" s="34" t="n">
        <f aca="false">IFERROR(VLOOKUP($A9448,'319'!$B:$H,7,0),0)</f>
        <v>0</v>
      </c>
      <c r="G9448" s="34" t="n">
        <f aca="false">SUMIFS('12.326ana'!$C:$C,'12.326ana'!$M:$M,redes!A9448)</f>
        <v>0</v>
      </c>
    </row>
    <row r="9449" customFormat="false" ht="14.4" hidden="true" customHeight="false" outlineLevel="0" collapsed="false">
      <c r="A9449" s="34" t="n">
        <v>5344608000157</v>
      </c>
      <c r="B9449" s="34" t="s">
        <v>19239</v>
      </c>
      <c r="C9449" s="34" t="s">
        <v>103</v>
      </c>
      <c r="E9449" s="30" t="s">
        <v>19240</v>
      </c>
      <c r="F9449" s="34" t="n">
        <f aca="false">IFERROR(VLOOKUP($A9449,'319'!$B:$H,7,0),0)</f>
        <v>0</v>
      </c>
      <c r="G9449" s="34" t="n">
        <f aca="false">SUMIFS('12.326ana'!$C:$C,'12.326ana'!$M:$M,redes!A9449)</f>
        <v>0</v>
      </c>
    </row>
    <row r="9450" customFormat="false" ht="14.4" hidden="true" customHeight="false" outlineLevel="0" collapsed="false">
      <c r="A9450" s="34" t="n">
        <v>5344624000140</v>
      </c>
      <c r="B9450" s="34" t="s">
        <v>19241</v>
      </c>
      <c r="C9450" s="34" t="s">
        <v>103</v>
      </c>
      <c r="E9450" s="30" t="s">
        <v>19242</v>
      </c>
      <c r="F9450" s="34" t="n">
        <f aca="false">IFERROR(VLOOKUP($A9450,'319'!$B:$H,7,0),0)</f>
        <v>0</v>
      </c>
      <c r="G9450" s="34" t="n">
        <f aca="false">SUMIFS('12.326ana'!$C:$C,'12.326ana'!$M:$M,redes!A9450)</f>
        <v>0</v>
      </c>
    </row>
    <row r="9451" customFormat="false" ht="14.4" hidden="true" customHeight="false" outlineLevel="0" collapsed="false">
      <c r="A9451" s="34" t="n">
        <v>5344633000130</v>
      </c>
      <c r="B9451" s="34" t="s">
        <v>19243</v>
      </c>
      <c r="C9451" s="34" t="s">
        <v>473</v>
      </c>
      <c r="E9451" s="30" t="s">
        <v>19244</v>
      </c>
      <c r="F9451" s="34" t="n">
        <f aca="false">IFERROR(VLOOKUP($A9451,'319'!$B:$H,7,0),0)</f>
        <v>0</v>
      </c>
      <c r="G9451" s="34" t="n">
        <f aca="false">SUMIFS('12.326ana'!$C:$C,'12.326ana'!$M:$M,redes!A9451)</f>
        <v>0</v>
      </c>
    </row>
    <row r="9452" customFormat="false" ht="14.4" hidden="true" customHeight="false" outlineLevel="0" collapsed="false">
      <c r="A9452" s="34" t="n">
        <v>5346509000104</v>
      </c>
      <c r="B9452" s="34" t="s">
        <v>19245</v>
      </c>
      <c r="C9452" s="34" t="s">
        <v>107</v>
      </c>
      <c r="E9452" s="30" t="s">
        <v>19246</v>
      </c>
      <c r="F9452" s="34" t="n">
        <f aca="false">IFERROR(VLOOKUP($A9452,'319'!$B:$H,7,0),0)</f>
        <v>0</v>
      </c>
      <c r="G9452" s="34" t="n">
        <f aca="false">SUMIFS('12.326ana'!$C:$C,'12.326ana'!$M:$M,redes!A9452)</f>
        <v>0</v>
      </c>
    </row>
    <row r="9453" customFormat="false" ht="14.4" hidden="true" customHeight="false" outlineLevel="0" collapsed="false">
      <c r="A9453" s="34" t="n">
        <v>5346647000193</v>
      </c>
      <c r="B9453" s="34" t="s">
        <v>19247</v>
      </c>
      <c r="C9453" s="34" t="s">
        <v>309</v>
      </c>
      <c r="E9453" s="30" t="s">
        <v>19248</v>
      </c>
      <c r="F9453" s="34" t="n">
        <f aca="false">IFERROR(VLOOKUP($A9453,'319'!$B:$H,7,0),0)</f>
        <v>0</v>
      </c>
      <c r="G9453" s="34" t="n">
        <f aca="false">SUMIFS('12.326ana'!$C:$C,'12.326ana'!$M:$M,redes!A9453)</f>
        <v>0</v>
      </c>
    </row>
    <row r="9454" customFormat="false" ht="14.4" hidden="true" customHeight="false" outlineLevel="0" collapsed="false">
      <c r="A9454" s="34" t="n">
        <v>5348350000167</v>
      </c>
      <c r="B9454" s="34" t="s">
        <v>2849</v>
      </c>
      <c r="C9454" s="34" t="s">
        <v>192</v>
      </c>
      <c r="D9454" s="34" t="s">
        <v>29</v>
      </c>
      <c r="E9454" s="30" t="s">
        <v>2850</v>
      </c>
      <c r="F9454" s="34" t="n">
        <f aca="false">IFERROR(VLOOKUP($A9454,'319'!$B:$H,7,0),0)</f>
        <v>44277.46</v>
      </c>
      <c r="G9454" s="34" t="n">
        <f aca="false">SUMIFS('12.326ana'!$C:$C,'12.326ana'!$M:$M,redes!A9454)</f>
        <v>21605.98</v>
      </c>
    </row>
    <row r="9455" customFormat="false" ht="14.4" hidden="true" customHeight="false" outlineLevel="0" collapsed="false">
      <c r="A9455" s="34" t="n">
        <v>5348350000248</v>
      </c>
      <c r="B9455" s="34" t="s">
        <v>2849</v>
      </c>
      <c r="C9455" s="34" t="s">
        <v>192</v>
      </c>
      <c r="D9455" s="34" t="s">
        <v>29</v>
      </c>
      <c r="E9455" s="30" t="s">
        <v>2851</v>
      </c>
      <c r="F9455" s="34" t="n">
        <f aca="false">IFERROR(VLOOKUP($A9455,'319'!$B:$H,7,0),0)</f>
        <v>16413.74</v>
      </c>
      <c r="G9455" s="34" t="n">
        <f aca="false">SUMIFS('12.326ana'!$C:$C,'12.326ana'!$M:$M,redes!A9455)</f>
        <v>2631.45</v>
      </c>
    </row>
    <row r="9456" customFormat="false" ht="14.4" hidden="true" customHeight="false" outlineLevel="0" collapsed="false">
      <c r="A9456" s="34" t="n">
        <v>5348350000329</v>
      </c>
      <c r="B9456" s="34" t="s">
        <v>2849</v>
      </c>
      <c r="C9456" s="34" t="s">
        <v>197</v>
      </c>
      <c r="D9456" s="34" t="s">
        <v>29</v>
      </c>
      <c r="E9456" s="30" t="s">
        <v>2852</v>
      </c>
      <c r="F9456" s="34" t="n">
        <f aca="false">IFERROR(VLOOKUP($A9456,'319'!$B:$H,7,0),0)</f>
        <v>6929.79</v>
      </c>
      <c r="G9456" s="34" t="n">
        <f aca="false">SUMIFS('12.326ana'!$C:$C,'12.326ana'!$M:$M,redes!A9456)</f>
        <v>3321.82</v>
      </c>
    </row>
    <row r="9457" customFormat="false" ht="14.4" hidden="true" customHeight="false" outlineLevel="0" collapsed="false">
      <c r="A9457" s="34" t="n">
        <v>5348350000400</v>
      </c>
      <c r="B9457" s="34" t="s">
        <v>2849</v>
      </c>
      <c r="C9457" s="34" t="s">
        <v>197</v>
      </c>
      <c r="D9457" s="34" t="s">
        <v>29</v>
      </c>
      <c r="E9457" s="30" t="s">
        <v>2853</v>
      </c>
      <c r="F9457" s="34" t="n">
        <f aca="false">IFERROR(VLOOKUP($A9457,'319'!$B:$H,7,0),0)</f>
        <v>2318.56</v>
      </c>
      <c r="G9457" s="34" t="n">
        <f aca="false">SUMIFS('12.326ana'!$C:$C,'12.326ana'!$M:$M,redes!A9457)</f>
        <v>1837.88</v>
      </c>
    </row>
    <row r="9458" customFormat="false" ht="14.4" hidden="true" customHeight="false" outlineLevel="0" collapsed="false">
      <c r="A9458" s="34" t="n">
        <v>5348366000170</v>
      </c>
      <c r="B9458" s="34" t="s">
        <v>19249</v>
      </c>
      <c r="C9458" s="34" t="s">
        <v>848</v>
      </c>
      <c r="E9458" s="30" t="s">
        <v>19250</v>
      </c>
      <c r="F9458" s="34" t="n">
        <f aca="false">IFERROR(VLOOKUP($A9458,'319'!$B:$H,7,0),0)</f>
        <v>0</v>
      </c>
      <c r="G9458" s="34" t="n">
        <f aca="false">SUMIFS('12.326ana'!$C:$C,'12.326ana'!$M:$M,redes!A9458)</f>
        <v>0</v>
      </c>
    </row>
    <row r="9459" customFormat="false" ht="14.4" hidden="true" customHeight="false" outlineLevel="0" collapsed="false">
      <c r="A9459" s="34" t="n">
        <v>5354185000156</v>
      </c>
      <c r="B9459" s="34" t="s">
        <v>19251</v>
      </c>
      <c r="C9459" s="34" t="s">
        <v>89</v>
      </c>
      <c r="E9459" s="30" t="s">
        <v>19252</v>
      </c>
      <c r="F9459" s="34" t="n">
        <f aca="false">IFERROR(VLOOKUP($A9459,'319'!$B:$H,7,0),0)</f>
        <v>0</v>
      </c>
      <c r="G9459" s="34" t="n">
        <f aca="false">SUMIFS('12.326ana'!$C:$C,'12.326ana'!$M:$M,redes!A9459)</f>
        <v>0</v>
      </c>
    </row>
    <row r="9460" customFormat="false" ht="14.4" hidden="true" customHeight="false" outlineLevel="0" collapsed="false">
      <c r="A9460" s="34" t="n">
        <v>5354547000109</v>
      </c>
      <c r="B9460" s="34" t="s">
        <v>19253</v>
      </c>
      <c r="C9460" s="34" t="s">
        <v>12298</v>
      </c>
      <c r="E9460" s="30" t="s">
        <v>19254</v>
      </c>
      <c r="F9460" s="34" t="n">
        <f aca="false">IFERROR(VLOOKUP($A9460,'319'!$B:$H,7,0),0)</f>
        <v>0</v>
      </c>
      <c r="G9460" s="34" t="n">
        <f aca="false">SUMIFS('12.326ana'!$C:$C,'12.326ana'!$M:$M,redes!A9460)</f>
        <v>0</v>
      </c>
    </row>
    <row r="9461" customFormat="false" ht="14.4" hidden="true" customHeight="false" outlineLevel="0" collapsed="false">
      <c r="A9461" s="34" t="n">
        <v>5354844000154</v>
      </c>
      <c r="B9461" s="34" t="s">
        <v>19255</v>
      </c>
      <c r="C9461" s="34" t="s">
        <v>77</v>
      </c>
      <c r="E9461" s="30" t="s">
        <v>19256</v>
      </c>
      <c r="F9461" s="34" t="n">
        <f aca="false">IFERROR(VLOOKUP($A9461,'319'!$B:$H,7,0),0)</f>
        <v>0</v>
      </c>
      <c r="G9461" s="34" t="n">
        <f aca="false">SUMIFS('12.326ana'!$C:$C,'12.326ana'!$M:$M,redes!A9461)</f>
        <v>0</v>
      </c>
    </row>
    <row r="9462" customFormat="false" ht="14.4" hidden="true" customHeight="false" outlineLevel="0" collapsed="false">
      <c r="A9462" s="34" t="n">
        <v>5356653000121</v>
      </c>
      <c r="B9462" s="34" t="s">
        <v>19257</v>
      </c>
      <c r="C9462" s="34" t="s">
        <v>565</v>
      </c>
      <c r="E9462" s="30" t="s">
        <v>19258</v>
      </c>
      <c r="F9462" s="34" t="n">
        <f aca="false">IFERROR(VLOOKUP($A9462,'319'!$B:$H,7,0),0)</f>
        <v>0</v>
      </c>
      <c r="G9462" s="34" t="n">
        <f aca="false">SUMIFS('12.326ana'!$C:$C,'12.326ana'!$M:$M,redes!A9462)</f>
        <v>0</v>
      </c>
    </row>
    <row r="9463" customFormat="false" ht="14.4" hidden="true" customHeight="false" outlineLevel="0" collapsed="false">
      <c r="A9463" s="34" t="n">
        <v>5359028000133</v>
      </c>
      <c r="B9463" s="34" t="s">
        <v>19259</v>
      </c>
      <c r="C9463" s="34" t="s">
        <v>77</v>
      </c>
      <c r="E9463" s="30" t="s">
        <v>19260</v>
      </c>
      <c r="F9463" s="34" t="n">
        <f aca="false">IFERROR(VLOOKUP($A9463,'319'!$B:$H,7,0),0)</f>
        <v>0</v>
      </c>
      <c r="G9463" s="34" t="n">
        <f aca="false">SUMIFS('12.326ana'!$C:$C,'12.326ana'!$M:$M,redes!A9463)</f>
        <v>0</v>
      </c>
    </row>
    <row r="9464" customFormat="false" ht="14.4" hidden="true" customHeight="false" outlineLevel="0" collapsed="false">
      <c r="A9464" s="34" t="n">
        <v>5360381000133</v>
      </c>
      <c r="B9464" s="34" t="s">
        <v>19261</v>
      </c>
      <c r="C9464" s="34" t="s">
        <v>139</v>
      </c>
      <c r="E9464" s="30" t="s">
        <v>19262</v>
      </c>
      <c r="F9464" s="34" t="n">
        <f aca="false">IFERROR(VLOOKUP($A9464,'319'!$B:$H,7,0),0)</f>
        <v>0</v>
      </c>
      <c r="G9464" s="34" t="n">
        <f aca="false">SUMIFS('12.326ana'!$C:$C,'12.326ana'!$M:$M,redes!A9464)</f>
        <v>0</v>
      </c>
    </row>
    <row r="9465" customFormat="false" ht="14.4" hidden="true" customHeight="false" outlineLevel="0" collapsed="false">
      <c r="A9465" s="34" t="n">
        <v>5361471000149</v>
      </c>
      <c r="B9465" s="34" t="s">
        <v>19263</v>
      </c>
      <c r="C9465" s="34" t="s">
        <v>127</v>
      </c>
      <c r="E9465" s="30" t="s">
        <v>10861</v>
      </c>
      <c r="F9465" s="34" t="n">
        <f aca="false">IFERROR(VLOOKUP($A9465,'319'!$B:$H,7,0),0)</f>
        <v>0</v>
      </c>
      <c r="G9465" s="34" t="n">
        <f aca="false">SUMIFS('12.326ana'!$C:$C,'12.326ana'!$M:$M,redes!A9465)</f>
        <v>0</v>
      </c>
    </row>
    <row r="9466" customFormat="false" ht="14.4" hidden="true" customHeight="false" outlineLevel="0" collapsed="false">
      <c r="A9466" s="34" t="n">
        <v>5362924000151</v>
      </c>
      <c r="B9466" s="34" t="s">
        <v>19264</v>
      </c>
      <c r="C9466" s="34" t="s">
        <v>562</v>
      </c>
      <c r="E9466" s="30" t="s">
        <v>19265</v>
      </c>
      <c r="F9466" s="34" t="n">
        <f aca="false">IFERROR(VLOOKUP($A9466,'319'!$B:$H,7,0),0)</f>
        <v>0</v>
      </c>
      <c r="G9466" s="34" t="n">
        <f aca="false">SUMIFS('12.326ana'!$C:$C,'12.326ana'!$M:$M,redes!A9466)</f>
        <v>0</v>
      </c>
    </row>
    <row r="9467" customFormat="false" ht="14.4" hidden="true" customHeight="false" outlineLevel="0" collapsed="false">
      <c r="A9467" s="34" t="n">
        <v>5364295000107</v>
      </c>
      <c r="B9467" s="34" t="s">
        <v>19266</v>
      </c>
      <c r="C9467" s="34" t="s">
        <v>7250</v>
      </c>
      <c r="E9467" s="30" t="s">
        <v>19267</v>
      </c>
      <c r="F9467" s="34" t="n">
        <f aca="false">IFERROR(VLOOKUP($A9467,'319'!$B:$H,7,0),0)</f>
        <v>0</v>
      </c>
      <c r="G9467" s="34" t="n">
        <f aca="false">SUMIFS('12.326ana'!$C:$C,'12.326ana'!$M:$M,redes!A9467)</f>
        <v>0</v>
      </c>
    </row>
    <row r="9468" customFormat="false" ht="14.4" hidden="true" customHeight="false" outlineLevel="0" collapsed="false">
      <c r="A9468" s="34" t="n">
        <v>5364645000127</v>
      </c>
      <c r="B9468" s="34" t="s">
        <v>19268</v>
      </c>
      <c r="C9468" s="34" t="s">
        <v>1591</v>
      </c>
      <c r="E9468" s="30" t="s">
        <v>19269</v>
      </c>
      <c r="F9468" s="34" t="n">
        <f aca="false">IFERROR(VLOOKUP($A9468,'319'!$B:$H,7,0),0)</f>
        <v>0</v>
      </c>
      <c r="G9468" s="34" t="n">
        <f aca="false">SUMIFS('12.326ana'!$C:$C,'12.326ana'!$M:$M,redes!A9468)</f>
        <v>0</v>
      </c>
    </row>
    <row r="9469" customFormat="false" ht="14.4" hidden="true" customHeight="false" outlineLevel="0" collapsed="false">
      <c r="A9469" s="34" t="n">
        <v>5365786000164</v>
      </c>
      <c r="B9469" s="34" t="s">
        <v>19270</v>
      </c>
      <c r="C9469" s="34" t="s">
        <v>77</v>
      </c>
      <c r="E9469" s="30" t="s">
        <v>19271</v>
      </c>
      <c r="F9469" s="34" t="n">
        <f aca="false">IFERROR(VLOOKUP($A9469,'319'!$B:$H,7,0),0)</f>
        <v>0</v>
      </c>
      <c r="G9469" s="34" t="n">
        <f aca="false">SUMIFS('12.326ana'!$C:$C,'12.326ana'!$M:$M,redes!A9469)</f>
        <v>0</v>
      </c>
    </row>
    <row r="9470" customFormat="false" ht="14.4" hidden="true" customHeight="false" outlineLevel="0" collapsed="false">
      <c r="A9470" s="34" t="n">
        <v>5366002000112</v>
      </c>
      <c r="B9470" s="34" t="s">
        <v>19272</v>
      </c>
      <c r="C9470" s="34" t="s">
        <v>77</v>
      </c>
      <c r="E9470" s="30" t="s">
        <v>6807</v>
      </c>
      <c r="F9470" s="34" t="n">
        <f aca="false">IFERROR(VLOOKUP($A9470,'319'!$B:$H,7,0),0)</f>
        <v>0</v>
      </c>
      <c r="G9470" s="34" t="n">
        <f aca="false">SUMIFS('12.326ana'!$C:$C,'12.326ana'!$M:$M,redes!A9470)</f>
        <v>0</v>
      </c>
    </row>
    <row r="9471" customFormat="false" ht="14.4" hidden="true" customHeight="false" outlineLevel="0" collapsed="false">
      <c r="A9471" s="34" t="n">
        <v>5366762000120</v>
      </c>
      <c r="B9471" s="34" t="s">
        <v>19273</v>
      </c>
      <c r="C9471" s="34" t="s">
        <v>1306</v>
      </c>
      <c r="E9471" s="30" t="s">
        <v>11597</v>
      </c>
      <c r="F9471" s="34" t="n">
        <f aca="false">IFERROR(VLOOKUP($A9471,'319'!$B:$H,7,0),0)</f>
        <v>0</v>
      </c>
      <c r="G9471" s="34" t="n">
        <f aca="false">SUMIFS('12.326ana'!$C:$C,'12.326ana'!$M:$M,redes!A9471)</f>
        <v>0</v>
      </c>
    </row>
    <row r="9472" customFormat="false" ht="14.4" hidden="true" customHeight="false" outlineLevel="0" collapsed="false">
      <c r="A9472" s="34" t="n">
        <v>5368106000166</v>
      </c>
      <c r="B9472" s="34" t="s">
        <v>19274</v>
      </c>
      <c r="C9472" s="34" t="s">
        <v>781</v>
      </c>
      <c r="E9472" s="30" t="s">
        <v>5070</v>
      </c>
      <c r="F9472" s="34" t="n">
        <f aca="false">IFERROR(VLOOKUP($A9472,'319'!$B:$H,7,0),0)</f>
        <v>0</v>
      </c>
      <c r="G9472" s="34" t="n">
        <f aca="false">SUMIFS('12.326ana'!$C:$C,'12.326ana'!$M:$M,redes!A9472)</f>
        <v>0</v>
      </c>
    </row>
    <row r="9473" customFormat="false" ht="14.4" hidden="true" customHeight="false" outlineLevel="0" collapsed="false">
      <c r="A9473" s="34" t="n">
        <v>5368982000192</v>
      </c>
      <c r="B9473" s="34" t="s">
        <v>19275</v>
      </c>
      <c r="C9473" s="34" t="s">
        <v>299</v>
      </c>
      <c r="E9473" s="30" t="s">
        <v>19276</v>
      </c>
      <c r="F9473" s="34" t="n">
        <f aca="false">IFERROR(VLOOKUP($A9473,'319'!$B:$H,7,0),0)</f>
        <v>0</v>
      </c>
      <c r="G9473" s="34" t="n">
        <f aca="false">SUMIFS('12.326ana'!$C:$C,'12.326ana'!$M:$M,redes!A9473)</f>
        <v>0</v>
      </c>
    </row>
    <row r="9474" customFormat="false" ht="14.4" hidden="true" customHeight="false" outlineLevel="0" collapsed="false">
      <c r="A9474" s="34" t="n">
        <v>5370826000166</v>
      </c>
      <c r="B9474" s="34" t="s">
        <v>19277</v>
      </c>
      <c r="C9474" s="34" t="s">
        <v>77</v>
      </c>
      <c r="E9474" s="30" t="s">
        <v>19278</v>
      </c>
      <c r="F9474" s="34" t="n">
        <f aca="false">IFERROR(VLOOKUP($A9474,'319'!$B:$H,7,0),0)</f>
        <v>0</v>
      </c>
      <c r="G9474" s="34" t="n">
        <f aca="false">SUMIFS('12.326ana'!$C:$C,'12.326ana'!$M:$M,redes!A9474)</f>
        <v>0</v>
      </c>
    </row>
    <row r="9475" customFormat="false" ht="14.4" hidden="true" customHeight="false" outlineLevel="0" collapsed="false">
      <c r="A9475" s="34" t="n">
        <v>5372638000177</v>
      </c>
      <c r="B9475" s="34" t="s">
        <v>19279</v>
      </c>
      <c r="C9475" s="34" t="s">
        <v>463</v>
      </c>
      <c r="E9475" s="30" t="s">
        <v>4655</v>
      </c>
      <c r="F9475" s="34" t="n">
        <f aca="false">IFERROR(VLOOKUP($A9475,'319'!$B:$H,7,0),0)</f>
        <v>0</v>
      </c>
      <c r="G9475" s="34" t="n">
        <f aca="false">SUMIFS('12.326ana'!$C:$C,'12.326ana'!$M:$M,redes!A9475)</f>
        <v>0</v>
      </c>
    </row>
    <row r="9476" customFormat="false" ht="14.4" hidden="true" customHeight="false" outlineLevel="0" collapsed="false">
      <c r="A9476" s="34" t="n">
        <v>5373080000144</v>
      </c>
      <c r="B9476" s="34" t="s">
        <v>19280</v>
      </c>
      <c r="C9476" s="34" t="s">
        <v>77</v>
      </c>
      <c r="E9476" s="30" t="s">
        <v>19281</v>
      </c>
      <c r="F9476" s="34" t="n">
        <f aca="false">IFERROR(VLOOKUP($A9476,'319'!$B:$H,7,0),0)</f>
        <v>0</v>
      </c>
      <c r="G9476" s="34" t="n">
        <f aca="false">SUMIFS('12.326ana'!$C:$C,'12.326ana'!$M:$M,redes!A9476)</f>
        <v>0</v>
      </c>
    </row>
    <row r="9477" customFormat="false" ht="14.4" hidden="true" customHeight="false" outlineLevel="0" collapsed="false">
      <c r="A9477" s="34" t="n">
        <v>5378301000177</v>
      </c>
      <c r="B9477" s="34" t="s">
        <v>19282</v>
      </c>
      <c r="C9477" s="34" t="s">
        <v>4829</v>
      </c>
      <c r="E9477" s="30" t="s">
        <v>19283</v>
      </c>
      <c r="F9477" s="34" t="n">
        <f aca="false">IFERROR(VLOOKUP($A9477,'319'!$B:$H,7,0),0)</f>
        <v>0</v>
      </c>
      <c r="G9477" s="34" t="n">
        <f aca="false">SUMIFS('12.326ana'!$C:$C,'12.326ana'!$M:$M,redes!A9477)</f>
        <v>0</v>
      </c>
    </row>
    <row r="9478" customFormat="false" ht="14.4" hidden="true" customHeight="false" outlineLevel="0" collapsed="false">
      <c r="A9478" s="34" t="n">
        <v>5379363000101</v>
      </c>
      <c r="B9478" s="34" t="s">
        <v>19284</v>
      </c>
      <c r="C9478" s="34" t="s">
        <v>473</v>
      </c>
      <c r="E9478" s="30" t="s">
        <v>8048</v>
      </c>
      <c r="F9478" s="34" t="n">
        <f aca="false">IFERROR(VLOOKUP($A9478,'319'!$B:$H,7,0),0)</f>
        <v>0</v>
      </c>
      <c r="G9478" s="34" t="n">
        <f aca="false">SUMIFS('12.326ana'!$C:$C,'12.326ana'!$M:$M,redes!A9478)</f>
        <v>0</v>
      </c>
    </row>
    <row r="9479" customFormat="false" ht="14.4" hidden="true" customHeight="false" outlineLevel="0" collapsed="false">
      <c r="A9479" s="34" t="n">
        <v>5383103000100</v>
      </c>
      <c r="B9479" s="34" t="s">
        <v>19285</v>
      </c>
      <c r="C9479" s="34" t="s">
        <v>77</v>
      </c>
      <c r="E9479" s="30" t="s">
        <v>8420</v>
      </c>
      <c r="F9479" s="34" t="n">
        <f aca="false">IFERROR(VLOOKUP($A9479,'319'!$B:$H,7,0),0)</f>
        <v>0</v>
      </c>
      <c r="G9479" s="34" t="n">
        <f aca="false">SUMIFS('12.326ana'!$C:$C,'12.326ana'!$M:$M,redes!A9479)</f>
        <v>0</v>
      </c>
    </row>
    <row r="9480" customFormat="false" ht="14.4" hidden="true" customHeight="false" outlineLevel="0" collapsed="false">
      <c r="A9480" s="34" t="n">
        <v>5385326000106</v>
      </c>
      <c r="B9480" s="34" t="s">
        <v>19286</v>
      </c>
      <c r="C9480" s="34" t="s">
        <v>77</v>
      </c>
      <c r="E9480" s="30" t="s">
        <v>19287</v>
      </c>
      <c r="F9480" s="34" t="n">
        <f aca="false">IFERROR(VLOOKUP($A9480,'319'!$B:$H,7,0),0)</f>
        <v>0</v>
      </c>
      <c r="G9480" s="34" t="n">
        <f aca="false">SUMIFS('12.326ana'!$C:$C,'12.326ana'!$M:$M,redes!A9480)</f>
        <v>0</v>
      </c>
    </row>
    <row r="9481" customFormat="false" ht="14.4" hidden="true" customHeight="false" outlineLevel="0" collapsed="false">
      <c r="A9481" s="34" t="n">
        <v>5388735000158</v>
      </c>
      <c r="B9481" s="34" t="s">
        <v>19288</v>
      </c>
      <c r="C9481" s="34" t="s">
        <v>464</v>
      </c>
      <c r="E9481" s="30" t="s">
        <v>19289</v>
      </c>
      <c r="F9481" s="34" t="n">
        <f aca="false">IFERROR(VLOOKUP($A9481,'319'!$B:$H,7,0),0)</f>
        <v>0</v>
      </c>
      <c r="G9481" s="34" t="n">
        <f aca="false">SUMIFS('12.326ana'!$C:$C,'12.326ana'!$M:$M,redes!A9481)</f>
        <v>0</v>
      </c>
    </row>
    <row r="9482" customFormat="false" ht="14.4" hidden="true" customHeight="false" outlineLevel="0" collapsed="false">
      <c r="A9482" s="34" t="n">
        <v>5388760000131</v>
      </c>
      <c r="B9482" s="34" t="s">
        <v>19290</v>
      </c>
      <c r="C9482" s="34" t="s">
        <v>77</v>
      </c>
      <c r="E9482" s="30" t="s">
        <v>19291</v>
      </c>
      <c r="F9482" s="34" t="n">
        <f aca="false">IFERROR(VLOOKUP($A9482,'319'!$B:$H,7,0),0)</f>
        <v>0</v>
      </c>
      <c r="G9482" s="34" t="n">
        <f aca="false">SUMIFS('12.326ana'!$C:$C,'12.326ana'!$M:$M,redes!A9482)</f>
        <v>0</v>
      </c>
    </row>
    <row r="9483" customFormat="false" ht="14.4" hidden="true" customHeight="false" outlineLevel="0" collapsed="false">
      <c r="A9483" s="34" t="n">
        <v>5391886000165</v>
      </c>
      <c r="B9483" s="34" t="s">
        <v>19292</v>
      </c>
      <c r="C9483" s="34" t="s">
        <v>192</v>
      </c>
      <c r="E9483" s="30" t="s">
        <v>19293</v>
      </c>
      <c r="F9483" s="34" t="n">
        <f aca="false">IFERROR(VLOOKUP($A9483,'319'!$B:$H,7,0),0)</f>
        <v>0</v>
      </c>
      <c r="G9483" s="34" t="n">
        <f aca="false">SUMIFS('12.326ana'!$C:$C,'12.326ana'!$M:$M,redes!A9483)</f>
        <v>0</v>
      </c>
    </row>
    <row r="9484" customFormat="false" ht="14.4" hidden="true" customHeight="false" outlineLevel="0" collapsed="false">
      <c r="A9484" s="34" t="n">
        <v>5391945000103</v>
      </c>
      <c r="B9484" s="34" t="s">
        <v>19294</v>
      </c>
      <c r="C9484" s="34" t="s">
        <v>77</v>
      </c>
      <c r="D9484" s="34" t="s">
        <v>3324</v>
      </c>
      <c r="E9484" s="30" t="s">
        <v>8509</v>
      </c>
      <c r="F9484" s="34" t="n">
        <f aca="false">IFERROR(VLOOKUP($A9484,'319'!$B:$H,7,0),0)</f>
        <v>0</v>
      </c>
      <c r="G9484" s="34" t="n">
        <f aca="false">SUMIFS('12.326ana'!$C:$C,'12.326ana'!$M:$M,redes!A9484)</f>
        <v>0</v>
      </c>
    </row>
    <row r="9485" customFormat="false" ht="14.4" hidden="true" customHeight="false" outlineLevel="0" collapsed="false">
      <c r="A9485" s="34" t="n">
        <v>5397259000131</v>
      </c>
      <c r="B9485" s="34" t="s">
        <v>19295</v>
      </c>
      <c r="C9485" s="34" t="s">
        <v>562</v>
      </c>
      <c r="E9485" s="30" t="s">
        <v>5167</v>
      </c>
      <c r="F9485" s="34" t="n">
        <f aca="false">IFERROR(VLOOKUP($A9485,'319'!$B:$H,7,0),0)</f>
        <v>0</v>
      </c>
      <c r="G9485" s="34" t="n">
        <f aca="false">SUMIFS('12.326ana'!$C:$C,'12.326ana'!$M:$M,redes!A9485)</f>
        <v>0</v>
      </c>
    </row>
    <row r="9486" customFormat="false" ht="14.4" hidden="true" customHeight="false" outlineLevel="0" collapsed="false">
      <c r="A9486" s="34" t="n">
        <v>5402132000163</v>
      </c>
      <c r="B9486" s="34" t="s">
        <v>19296</v>
      </c>
      <c r="C9486" s="34" t="s">
        <v>89</v>
      </c>
      <c r="E9486" s="30" t="s">
        <v>12464</v>
      </c>
      <c r="F9486" s="34" t="n">
        <f aca="false">IFERROR(VLOOKUP($A9486,'319'!$B:$H,7,0),0)</f>
        <v>0</v>
      </c>
      <c r="G9486" s="34" t="n">
        <f aca="false">SUMIFS('12.326ana'!$C:$C,'12.326ana'!$M:$M,redes!A9486)</f>
        <v>0</v>
      </c>
    </row>
    <row r="9487" customFormat="false" ht="14.4" hidden="true" customHeight="false" outlineLevel="0" collapsed="false">
      <c r="A9487" s="34" t="n">
        <v>5402137000196</v>
      </c>
      <c r="B9487" s="34" t="s">
        <v>19297</v>
      </c>
      <c r="C9487" s="34" t="s">
        <v>77</v>
      </c>
      <c r="E9487" s="30" t="s">
        <v>19298</v>
      </c>
      <c r="F9487" s="34" t="n">
        <f aca="false">IFERROR(VLOOKUP($A9487,'319'!$B:$H,7,0),0)</f>
        <v>0</v>
      </c>
      <c r="G9487" s="34" t="n">
        <f aca="false">SUMIFS('12.326ana'!$C:$C,'12.326ana'!$M:$M,redes!A9487)</f>
        <v>0</v>
      </c>
    </row>
    <row r="9488" customFormat="false" ht="14.4" hidden="true" customHeight="false" outlineLevel="0" collapsed="false">
      <c r="A9488" s="34" t="n">
        <v>5402478000161</v>
      </c>
      <c r="B9488" s="34" t="s">
        <v>19299</v>
      </c>
      <c r="C9488" s="34" t="s">
        <v>475</v>
      </c>
      <c r="E9488" s="30" t="s">
        <v>12908</v>
      </c>
      <c r="F9488" s="34" t="n">
        <f aca="false">IFERROR(VLOOKUP($A9488,'319'!$B:$H,7,0),0)</f>
        <v>0</v>
      </c>
      <c r="G9488" s="34" t="n">
        <f aca="false">SUMIFS('12.326ana'!$C:$C,'12.326ana'!$M:$M,redes!A9488)</f>
        <v>0</v>
      </c>
    </row>
    <row r="9489" customFormat="false" ht="14.4" hidden="true" customHeight="false" outlineLevel="0" collapsed="false">
      <c r="A9489" s="34" t="n">
        <v>5406227000155</v>
      </c>
      <c r="B9489" s="34" t="s">
        <v>19300</v>
      </c>
      <c r="C9489" s="34" t="s">
        <v>464</v>
      </c>
      <c r="E9489" s="30" t="s">
        <v>19301</v>
      </c>
      <c r="F9489" s="34" t="n">
        <f aca="false">IFERROR(VLOOKUP($A9489,'319'!$B:$H,7,0),0)</f>
        <v>0</v>
      </c>
      <c r="G9489" s="34" t="n">
        <f aca="false">SUMIFS('12.326ana'!$C:$C,'12.326ana'!$M:$M,redes!A9489)</f>
        <v>0</v>
      </c>
    </row>
    <row r="9490" customFormat="false" ht="14.4" hidden="true" customHeight="false" outlineLevel="0" collapsed="false">
      <c r="A9490" s="34" t="n">
        <v>5410803000138</v>
      </c>
      <c r="B9490" s="34" t="s">
        <v>19302</v>
      </c>
      <c r="C9490" s="34" t="s">
        <v>127</v>
      </c>
      <c r="E9490" s="30" t="s">
        <v>7906</v>
      </c>
      <c r="F9490" s="34" t="n">
        <f aca="false">IFERROR(VLOOKUP($A9490,'319'!$B:$H,7,0),0)</f>
        <v>0</v>
      </c>
      <c r="G9490" s="34" t="n">
        <f aca="false">SUMIFS('12.326ana'!$C:$C,'12.326ana'!$M:$M,redes!A9490)</f>
        <v>0</v>
      </c>
    </row>
    <row r="9491" customFormat="false" ht="14.4" hidden="true" customHeight="false" outlineLevel="0" collapsed="false">
      <c r="A9491" s="34" t="n">
        <v>5413664000104</v>
      </c>
      <c r="B9491" s="34" t="s">
        <v>19303</v>
      </c>
      <c r="C9491" s="34" t="s">
        <v>107</v>
      </c>
      <c r="E9491" s="30" t="s">
        <v>13561</v>
      </c>
      <c r="F9491" s="34" t="n">
        <f aca="false">IFERROR(VLOOKUP($A9491,'319'!$B:$H,7,0),0)</f>
        <v>0</v>
      </c>
      <c r="G9491" s="34" t="n">
        <f aca="false">SUMIFS('12.326ana'!$C:$C,'12.326ana'!$M:$M,redes!A9491)</f>
        <v>0</v>
      </c>
    </row>
    <row r="9492" customFormat="false" ht="14.4" hidden="true" customHeight="false" outlineLevel="0" collapsed="false">
      <c r="A9492" s="34" t="n">
        <v>5414296000100</v>
      </c>
      <c r="B9492" s="34" t="s">
        <v>19304</v>
      </c>
      <c r="C9492" s="34" t="s">
        <v>77</v>
      </c>
      <c r="E9492" s="30" t="s">
        <v>19305</v>
      </c>
      <c r="F9492" s="34" t="n">
        <f aca="false">IFERROR(VLOOKUP($A9492,'319'!$B:$H,7,0),0)</f>
        <v>0</v>
      </c>
      <c r="G9492" s="34" t="n">
        <f aca="false">SUMIFS('12.326ana'!$C:$C,'12.326ana'!$M:$M,redes!A9492)</f>
        <v>0</v>
      </c>
    </row>
    <row r="9493" customFormat="false" ht="14.4" hidden="true" customHeight="false" outlineLevel="0" collapsed="false">
      <c r="A9493" s="34" t="n">
        <v>5414311000110</v>
      </c>
      <c r="B9493" s="34" t="s">
        <v>19306</v>
      </c>
      <c r="C9493" s="34" t="s">
        <v>1680</v>
      </c>
      <c r="E9493" s="30" t="s">
        <v>19307</v>
      </c>
      <c r="F9493" s="34" t="n">
        <f aca="false">IFERROR(VLOOKUP($A9493,'319'!$B:$H,7,0),0)</f>
        <v>0</v>
      </c>
      <c r="G9493" s="34" t="n">
        <f aca="false">SUMIFS('12.326ana'!$C:$C,'12.326ana'!$M:$M,redes!A9493)</f>
        <v>0</v>
      </c>
    </row>
    <row r="9494" customFormat="false" ht="14.4" hidden="true" customHeight="false" outlineLevel="0" collapsed="false">
      <c r="A9494" s="34" t="n">
        <v>5414689000114</v>
      </c>
      <c r="B9494" s="34" t="s">
        <v>19308</v>
      </c>
      <c r="C9494" s="34" t="s">
        <v>309</v>
      </c>
      <c r="E9494" s="30" t="s">
        <v>12895</v>
      </c>
      <c r="F9494" s="34" t="n">
        <f aca="false">IFERROR(VLOOKUP($A9494,'319'!$B:$H,7,0),0)</f>
        <v>0</v>
      </c>
      <c r="G9494" s="34" t="n">
        <f aca="false">SUMIFS('12.326ana'!$C:$C,'12.326ana'!$M:$M,redes!A9494)</f>
        <v>0</v>
      </c>
    </row>
    <row r="9495" customFormat="false" ht="14.4" hidden="true" customHeight="false" outlineLevel="0" collapsed="false">
      <c r="A9495" s="34" t="n">
        <v>5415530000114</v>
      </c>
      <c r="B9495" s="34" t="s">
        <v>19309</v>
      </c>
      <c r="C9495" s="34" t="s">
        <v>77</v>
      </c>
      <c r="E9495" s="30" t="s">
        <v>19310</v>
      </c>
      <c r="F9495" s="34" t="n">
        <f aca="false">IFERROR(VLOOKUP($A9495,'319'!$B:$H,7,0),0)</f>
        <v>0</v>
      </c>
      <c r="G9495" s="34" t="n">
        <f aca="false">SUMIFS('12.326ana'!$C:$C,'12.326ana'!$M:$M,redes!A9495)</f>
        <v>0</v>
      </c>
    </row>
    <row r="9496" customFormat="false" ht="14.4" hidden="true" customHeight="false" outlineLevel="0" collapsed="false">
      <c r="A9496" s="34" t="n">
        <v>5415585000124</v>
      </c>
      <c r="B9496" s="34" t="s">
        <v>19311</v>
      </c>
      <c r="C9496" s="34" t="s">
        <v>139</v>
      </c>
      <c r="D9496" s="34" t="s">
        <v>19312</v>
      </c>
      <c r="E9496" s="30" t="s">
        <v>19313</v>
      </c>
      <c r="F9496" s="34" t="n">
        <f aca="false">IFERROR(VLOOKUP($A9496,'319'!$B:$H,7,0),0)</f>
        <v>0</v>
      </c>
      <c r="G9496" s="34" t="n">
        <f aca="false">SUMIFS('12.326ana'!$C:$C,'12.326ana'!$M:$M,redes!A9496)</f>
        <v>0</v>
      </c>
    </row>
    <row r="9497" customFormat="false" ht="14.4" hidden="true" customHeight="false" outlineLevel="0" collapsed="false">
      <c r="A9497" s="34" t="n">
        <v>5415585000205</v>
      </c>
      <c r="B9497" s="34" t="s">
        <v>19311</v>
      </c>
      <c r="C9497" s="34" t="s">
        <v>139</v>
      </c>
      <c r="D9497" s="34" t="s">
        <v>19312</v>
      </c>
      <c r="E9497" s="30" t="s">
        <v>19311</v>
      </c>
      <c r="F9497" s="34" t="n">
        <f aca="false">IFERROR(VLOOKUP($A9497,'319'!$B:$H,7,0),0)</f>
        <v>0</v>
      </c>
      <c r="G9497" s="34" t="n">
        <f aca="false">SUMIFS('12.326ana'!$C:$C,'12.326ana'!$M:$M,redes!A9497)</f>
        <v>0</v>
      </c>
    </row>
    <row r="9498" customFormat="false" ht="14.4" hidden="true" customHeight="false" outlineLevel="0" collapsed="false">
      <c r="A9498" s="34" t="n">
        <v>5415585000477</v>
      </c>
      <c r="B9498" s="34" t="s">
        <v>19311</v>
      </c>
      <c r="C9498" s="34" t="s">
        <v>139</v>
      </c>
      <c r="D9498" s="34" t="s">
        <v>19312</v>
      </c>
      <c r="E9498" s="30" t="s">
        <v>19313</v>
      </c>
      <c r="F9498" s="34" t="n">
        <f aca="false">IFERROR(VLOOKUP($A9498,'319'!$B:$H,7,0),0)</f>
        <v>0</v>
      </c>
      <c r="G9498" s="34" t="n">
        <f aca="false">SUMIFS('12.326ana'!$C:$C,'12.326ana'!$M:$M,redes!A9498)</f>
        <v>0</v>
      </c>
    </row>
    <row r="9499" customFormat="false" ht="14.4" hidden="true" customHeight="false" outlineLevel="0" collapsed="false">
      <c r="A9499" s="34" t="n">
        <v>5415585000639</v>
      </c>
      <c r="B9499" s="34" t="s">
        <v>19311</v>
      </c>
      <c r="C9499" s="34" t="s">
        <v>139</v>
      </c>
      <c r="D9499" s="34" t="s">
        <v>19312</v>
      </c>
      <c r="E9499" s="30" t="s">
        <v>19314</v>
      </c>
      <c r="F9499" s="34" t="n">
        <f aca="false">IFERROR(VLOOKUP($A9499,'319'!$B:$H,7,0),0)</f>
        <v>0</v>
      </c>
      <c r="G9499" s="34" t="n">
        <f aca="false">SUMIFS('12.326ana'!$C:$C,'12.326ana'!$M:$M,redes!A9499)</f>
        <v>0</v>
      </c>
    </row>
    <row r="9500" customFormat="false" ht="14.4" hidden="true" customHeight="false" outlineLevel="0" collapsed="false">
      <c r="A9500" s="34" t="n">
        <v>5415585000809</v>
      </c>
      <c r="B9500" s="34" t="s">
        <v>19311</v>
      </c>
      <c r="C9500" s="34" t="s">
        <v>680</v>
      </c>
      <c r="D9500" s="34" t="s">
        <v>19312</v>
      </c>
      <c r="E9500" s="30" t="s">
        <v>19313</v>
      </c>
      <c r="F9500" s="34" t="n">
        <f aca="false">IFERROR(VLOOKUP($A9500,'319'!$B:$H,7,0),0)</f>
        <v>0</v>
      </c>
      <c r="G9500" s="34" t="n">
        <f aca="false">SUMIFS('12.326ana'!$C:$C,'12.326ana'!$M:$M,redes!A9500)</f>
        <v>0</v>
      </c>
    </row>
    <row r="9501" customFormat="false" ht="14.4" hidden="true" customHeight="false" outlineLevel="0" collapsed="false">
      <c r="A9501" s="34" t="n">
        <v>5416659000147</v>
      </c>
      <c r="B9501" s="34" t="s">
        <v>19315</v>
      </c>
      <c r="C9501" s="34" t="s">
        <v>473</v>
      </c>
      <c r="E9501" s="30" t="s">
        <v>19316</v>
      </c>
      <c r="F9501" s="34" t="n">
        <f aca="false">IFERROR(VLOOKUP($A9501,'319'!$B:$H,7,0),0)</f>
        <v>0</v>
      </c>
      <c r="G9501" s="34" t="n">
        <f aca="false">SUMIFS('12.326ana'!$C:$C,'12.326ana'!$M:$M,redes!A9501)</f>
        <v>0</v>
      </c>
    </row>
    <row r="9502" customFormat="false" ht="14.4" hidden="true" customHeight="false" outlineLevel="0" collapsed="false">
      <c r="A9502" s="34" t="n">
        <v>5417592000165</v>
      </c>
      <c r="B9502" s="34" t="s">
        <v>19317</v>
      </c>
      <c r="C9502" s="34" t="s">
        <v>107</v>
      </c>
      <c r="E9502" s="30" t="s">
        <v>19318</v>
      </c>
      <c r="F9502" s="34" t="n">
        <f aca="false">IFERROR(VLOOKUP($A9502,'319'!$B:$H,7,0),0)</f>
        <v>0</v>
      </c>
      <c r="G9502" s="34" t="n">
        <f aca="false">SUMIFS('12.326ana'!$C:$C,'12.326ana'!$M:$M,redes!A9502)</f>
        <v>0</v>
      </c>
    </row>
    <row r="9503" customFormat="false" ht="14.4" hidden="true" customHeight="false" outlineLevel="0" collapsed="false">
      <c r="A9503" s="34" t="n">
        <v>5418383000136</v>
      </c>
      <c r="B9503" s="34" t="s">
        <v>19319</v>
      </c>
      <c r="C9503" s="34" t="s">
        <v>77</v>
      </c>
      <c r="E9503" s="30" t="s">
        <v>19320</v>
      </c>
      <c r="F9503" s="34" t="n">
        <f aca="false">IFERROR(VLOOKUP($A9503,'319'!$B:$H,7,0),0)</f>
        <v>0</v>
      </c>
      <c r="G9503" s="34" t="n">
        <f aca="false">SUMIFS('12.326ana'!$C:$C,'12.326ana'!$M:$M,redes!A9503)</f>
        <v>0</v>
      </c>
    </row>
    <row r="9504" customFormat="false" ht="14.4" hidden="true" customHeight="false" outlineLevel="0" collapsed="false">
      <c r="A9504" s="34" t="n">
        <v>5418385000125</v>
      </c>
      <c r="B9504" s="34" t="s">
        <v>19321</v>
      </c>
      <c r="C9504" s="34" t="s">
        <v>77</v>
      </c>
      <c r="E9504" s="30" t="s">
        <v>19322</v>
      </c>
      <c r="F9504" s="34" t="n">
        <f aca="false">IFERROR(VLOOKUP($A9504,'319'!$B:$H,7,0),0)</f>
        <v>0</v>
      </c>
      <c r="G9504" s="34" t="n">
        <f aca="false">SUMIFS('12.326ana'!$C:$C,'12.326ana'!$M:$M,redes!A9504)</f>
        <v>0</v>
      </c>
    </row>
    <row r="9505" customFormat="false" ht="14.4" hidden="true" customHeight="false" outlineLevel="0" collapsed="false">
      <c r="A9505" s="34" t="n">
        <v>5421155000115</v>
      </c>
      <c r="B9505" s="34" t="s">
        <v>19323</v>
      </c>
      <c r="C9505" s="34" t="s">
        <v>107</v>
      </c>
      <c r="E9505" s="30" t="s">
        <v>8892</v>
      </c>
      <c r="F9505" s="34" t="n">
        <f aca="false">IFERROR(VLOOKUP($A9505,'319'!$B:$H,7,0),0)</f>
        <v>0</v>
      </c>
      <c r="G9505" s="34" t="n">
        <f aca="false">SUMIFS('12.326ana'!$C:$C,'12.326ana'!$M:$M,redes!A9505)</f>
        <v>0</v>
      </c>
    </row>
    <row r="9506" customFormat="false" ht="14.4" hidden="true" customHeight="false" outlineLevel="0" collapsed="false">
      <c r="A9506" s="34" t="n">
        <v>5423963003722</v>
      </c>
      <c r="B9506" s="34" t="s">
        <v>19324</v>
      </c>
      <c r="C9506" s="34" t="s">
        <v>17741</v>
      </c>
      <c r="E9506" s="30" t="s">
        <v>19325</v>
      </c>
      <c r="F9506" s="34" t="n">
        <f aca="false">IFERROR(VLOOKUP($A9506,'319'!$B:$H,7,0),0)</f>
        <v>0</v>
      </c>
      <c r="G9506" s="34" t="n">
        <f aca="false">SUMIFS('12.326ana'!$C:$C,'12.326ana'!$M:$M,redes!A9506)</f>
        <v>0</v>
      </c>
    </row>
    <row r="9507" customFormat="false" ht="14.4" hidden="true" customHeight="false" outlineLevel="0" collapsed="false">
      <c r="A9507" s="34" t="n">
        <v>5426174000134</v>
      </c>
      <c r="B9507" s="34" t="s">
        <v>19326</v>
      </c>
      <c r="C9507" s="34" t="s">
        <v>562</v>
      </c>
      <c r="E9507" s="30" t="s">
        <v>19327</v>
      </c>
      <c r="F9507" s="34" t="n">
        <f aca="false">IFERROR(VLOOKUP($A9507,'319'!$B:$H,7,0),0)</f>
        <v>0</v>
      </c>
      <c r="G9507" s="34" t="n">
        <f aca="false">SUMIFS('12.326ana'!$C:$C,'12.326ana'!$M:$M,redes!A9507)</f>
        <v>0</v>
      </c>
    </row>
    <row r="9508" customFormat="false" ht="14.4" hidden="true" customHeight="false" outlineLevel="0" collapsed="false">
      <c r="A9508" s="34" t="n">
        <v>5427333000115</v>
      </c>
      <c r="B9508" s="34" t="s">
        <v>19328</v>
      </c>
      <c r="C9508" s="34" t="s">
        <v>77</v>
      </c>
      <c r="E9508" s="30" t="s">
        <v>19329</v>
      </c>
      <c r="F9508" s="34" t="n">
        <f aca="false">IFERROR(VLOOKUP($A9508,'319'!$B:$H,7,0),0)</f>
        <v>0</v>
      </c>
      <c r="G9508" s="34" t="n">
        <f aca="false">SUMIFS('12.326ana'!$C:$C,'12.326ana'!$M:$M,redes!A9508)</f>
        <v>0</v>
      </c>
    </row>
    <row r="9509" customFormat="false" ht="14.4" hidden="true" customHeight="false" outlineLevel="0" collapsed="false">
      <c r="A9509" s="34" t="n">
        <v>5429270000136</v>
      </c>
      <c r="B9509" s="34" t="s">
        <v>19330</v>
      </c>
      <c r="C9509" s="34" t="s">
        <v>2998</v>
      </c>
      <c r="E9509" s="30" t="s">
        <v>19331</v>
      </c>
      <c r="F9509" s="34" t="n">
        <f aca="false">IFERROR(VLOOKUP($A9509,'319'!$B:$H,7,0),0)</f>
        <v>0</v>
      </c>
      <c r="G9509" s="34" t="n">
        <f aca="false">SUMIFS('12.326ana'!$C:$C,'12.326ana'!$M:$M,redes!A9509)</f>
        <v>0</v>
      </c>
    </row>
    <row r="9510" customFormat="false" ht="14.4" hidden="true" customHeight="false" outlineLevel="0" collapsed="false">
      <c r="A9510" s="34" t="n">
        <v>5432290000166</v>
      </c>
      <c r="B9510" s="34" t="s">
        <v>1544</v>
      </c>
      <c r="C9510" s="34" t="s">
        <v>77</v>
      </c>
      <c r="E9510" s="30" t="s">
        <v>4499</v>
      </c>
      <c r="F9510" s="34" t="n">
        <f aca="false">IFERROR(VLOOKUP($A9510,'319'!$B:$H,7,0),0)</f>
        <v>111.53</v>
      </c>
      <c r="G9510" s="34" t="n">
        <f aca="false">SUMIFS('12.326ana'!$C:$C,'12.326ana'!$M:$M,redes!A9510)</f>
        <v>0</v>
      </c>
    </row>
    <row r="9511" customFormat="false" ht="14.4" hidden="true" customHeight="false" outlineLevel="0" collapsed="false">
      <c r="A9511" s="34" t="n">
        <v>5437296000126</v>
      </c>
      <c r="B9511" s="34" t="s">
        <v>19332</v>
      </c>
      <c r="C9511" s="34" t="s">
        <v>89</v>
      </c>
      <c r="E9511" s="30"/>
      <c r="F9511" s="34" t="n">
        <f aca="false">IFERROR(VLOOKUP($A9511,'319'!$B:$H,7,0),0)</f>
        <v>0</v>
      </c>
      <c r="G9511" s="34" t="n">
        <f aca="false">SUMIFS('12.326ana'!$C:$C,'12.326ana'!$M:$M,redes!A9511)</f>
        <v>0</v>
      </c>
    </row>
    <row r="9512" customFormat="false" ht="14.4" hidden="true" customHeight="false" outlineLevel="0" collapsed="false">
      <c r="A9512" s="34" t="n">
        <v>5438352000147</v>
      </c>
      <c r="B9512" s="34" t="s">
        <v>19333</v>
      </c>
      <c r="C9512" s="34" t="s">
        <v>565</v>
      </c>
      <c r="E9512" s="30" t="s">
        <v>19334</v>
      </c>
      <c r="F9512" s="34" t="n">
        <f aca="false">IFERROR(VLOOKUP($A9512,'319'!$B:$H,7,0),0)</f>
        <v>0</v>
      </c>
      <c r="G9512" s="34" t="n">
        <f aca="false">SUMIFS('12.326ana'!$C:$C,'12.326ana'!$M:$M,redes!A9512)</f>
        <v>0</v>
      </c>
    </row>
    <row r="9513" customFormat="false" ht="14.4" hidden="true" customHeight="false" outlineLevel="0" collapsed="false">
      <c r="A9513" s="34" t="n">
        <v>5438602000149</v>
      </c>
      <c r="B9513" s="34" t="s">
        <v>19335</v>
      </c>
      <c r="C9513" s="34" t="s">
        <v>342</v>
      </c>
      <c r="E9513" s="30" t="s">
        <v>19336</v>
      </c>
      <c r="F9513" s="34" t="n">
        <f aca="false">IFERROR(VLOOKUP($A9513,'319'!$B:$H,7,0),0)</f>
        <v>0</v>
      </c>
      <c r="G9513" s="34" t="n">
        <f aca="false">SUMIFS('12.326ana'!$C:$C,'12.326ana'!$M:$M,redes!A9513)</f>
        <v>0</v>
      </c>
    </row>
    <row r="9514" customFormat="false" ht="14.4" hidden="true" customHeight="false" outlineLevel="0" collapsed="false">
      <c r="A9514" s="34" t="n">
        <v>5440082000109</v>
      </c>
      <c r="B9514" s="34" t="s">
        <v>19337</v>
      </c>
      <c r="C9514" s="34" t="s">
        <v>107</v>
      </c>
      <c r="E9514" s="30" t="s">
        <v>3446</v>
      </c>
      <c r="F9514" s="34" t="n">
        <f aca="false">IFERROR(VLOOKUP($A9514,'319'!$B:$H,7,0),0)</f>
        <v>0</v>
      </c>
      <c r="G9514" s="34" t="n">
        <f aca="false">SUMIFS('12.326ana'!$C:$C,'12.326ana'!$M:$M,redes!A9514)</f>
        <v>0</v>
      </c>
    </row>
    <row r="9515" customFormat="false" ht="14.4" hidden="true" customHeight="false" outlineLevel="0" collapsed="false">
      <c r="A9515" s="34" t="n">
        <v>5440945000148</v>
      </c>
      <c r="B9515" s="34" t="s">
        <v>19338</v>
      </c>
      <c r="C9515" s="34" t="s">
        <v>77</v>
      </c>
      <c r="E9515" s="30" t="s">
        <v>19339</v>
      </c>
      <c r="F9515" s="34" t="n">
        <f aca="false">IFERROR(VLOOKUP($A9515,'319'!$B:$H,7,0),0)</f>
        <v>0</v>
      </c>
      <c r="G9515" s="34" t="n">
        <f aca="false">SUMIFS('12.326ana'!$C:$C,'12.326ana'!$M:$M,redes!A9515)</f>
        <v>0</v>
      </c>
    </row>
    <row r="9516" customFormat="false" ht="14.4" hidden="true" customHeight="false" outlineLevel="0" collapsed="false">
      <c r="A9516" s="34" t="n">
        <v>5442783000187</v>
      </c>
      <c r="B9516" s="34" t="s">
        <v>19340</v>
      </c>
      <c r="C9516" s="34" t="s">
        <v>154</v>
      </c>
      <c r="E9516" s="30" t="s">
        <v>3078</v>
      </c>
      <c r="F9516" s="34" t="n">
        <f aca="false">IFERROR(VLOOKUP($A9516,'319'!$B:$H,7,0),0)</f>
        <v>0</v>
      </c>
      <c r="G9516" s="34" t="n">
        <f aca="false">SUMIFS('12.326ana'!$C:$C,'12.326ana'!$M:$M,redes!A9516)</f>
        <v>0</v>
      </c>
    </row>
    <row r="9517" customFormat="false" ht="14.4" hidden="true" customHeight="false" outlineLevel="0" collapsed="false">
      <c r="A9517" s="34" t="n">
        <v>5443821000116</v>
      </c>
      <c r="B9517" s="34" t="s">
        <v>19341</v>
      </c>
      <c r="C9517" s="34" t="s">
        <v>464</v>
      </c>
      <c r="E9517" s="30" t="s">
        <v>19342</v>
      </c>
      <c r="F9517" s="34" t="n">
        <f aca="false">IFERROR(VLOOKUP($A9517,'319'!$B:$H,7,0),0)</f>
        <v>0</v>
      </c>
      <c r="G9517" s="34" t="n">
        <f aca="false">SUMIFS('12.326ana'!$C:$C,'12.326ana'!$M:$M,redes!A9517)</f>
        <v>0</v>
      </c>
    </row>
    <row r="9518" customFormat="false" ht="14.4" hidden="true" customHeight="false" outlineLevel="0" collapsed="false">
      <c r="A9518" s="34" t="n">
        <v>5444754000154</v>
      </c>
      <c r="B9518" s="34" t="s">
        <v>19343</v>
      </c>
      <c r="C9518" s="34" t="s">
        <v>89</v>
      </c>
      <c r="E9518" s="30" t="s">
        <v>19344</v>
      </c>
      <c r="F9518" s="34" t="n">
        <f aca="false">IFERROR(VLOOKUP($A9518,'319'!$B:$H,7,0),0)</f>
        <v>0</v>
      </c>
      <c r="G9518" s="34" t="n">
        <f aca="false">SUMIFS('12.326ana'!$C:$C,'12.326ana'!$M:$M,redes!A9518)</f>
        <v>0</v>
      </c>
    </row>
    <row r="9519" customFormat="false" ht="14.4" hidden="true" customHeight="false" outlineLevel="0" collapsed="false">
      <c r="A9519" s="34" t="n">
        <v>5445940000108</v>
      </c>
      <c r="B9519" s="34" t="s">
        <v>19345</v>
      </c>
      <c r="C9519" s="34" t="s">
        <v>631</v>
      </c>
      <c r="E9519" s="30" t="s">
        <v>19346</v>
      </c>
      <c r="F9519" s="34" t="n">
        <f aca="false">IFERROR(VLOOKUP($A9519,'319'!$B:$H,7,0),0)</f>
        <v>0</v>
      </c>
      <c r="G9519" s="34" t="n">
        <f aca="false">SUMIFS('12.326ana'!$C:$C,'12.326ana'!$M:$M,redes!A9519)</f>
        <v>0</v>
      </c>
    </row>
    <row r="9520" customFormat="false" ht="14.4" hidden="true" customHeight="false" outlineLevel="0" collapsed="false">
      <c r="A9520" s="34" t="n">
        <v>5446215000154</v>
      </c>
      <c r="B9520" s="34" t="s">
        <v>19347</v>
      </c>
      <c r="C9520" s="34" t="s">
        <v>464</v>
      </c>
      <c r="E9520" s="30" t="s">
        <v>19348</v>
      </c>
      <c r="F9520" s="34" t="n">
        <f aca="false">IFERROR(VLOOKUP($A9520,'319'!$B:$H,7,0),0)</f>
        <v>0</v>
      </c>
      <c r="G9520" s="34" t="n">
        <f aca="false">SUMIFS('12.326ana'!$C:$C,'12.326ana'!$M:$M,redes!A9520)</f>
        <v>0</v>
      </c>
    </row>
    <row r="9521" customFormat="false" ht="14.4" hidden="true" customHeight="false" outlineLevel="0" collapsed="false">
      <c r="A9521" s="34" t="n">
        <v>5452658000158</v>
      </c>
      <c r="B9521" s="34" t="s">
        <v>19349</v>
      </c>
      <c r="C9521" s="34" t="s">
        <v>1591</v>
      </c>
      <c r="E9521" s="30" t="s">
        <v>19350</v>
      </c>
      <c r="F9521" s="34" t="n">
        <f aca="false">IFERROR(VLOOKUP($A9521,'319'!$B:$H,7,0),0)</f>
        <v>0</v>
      </c>
      <c r="G9521" s="34" t="n">
        <f aca="false">SUMIFS('12.326ana'!$C:$C,'12.326ana'!$M:$M,redes!A9521)</f>
        <v>0</v>
      </c>
    </row>
    <row r="9522" customFormat="false" ht="14.4" hidden="true" customHeight="false" outlineLevel="0" collapsed="false">
      <c r="A9522" s="34" t="n">
        <v>5456506000123</v>
      </c>
      <c r="B9522" s="34" t="s">
        <v>19351</v>
      </c>
      <c r="C9522" s="34" t="s">
        <v>77</v>
      </c>
      <c r="E9522" s="30" t="s">
        <v>19352</v>
      </c>
      <c r="F9522" s="34" t="n">
        <f aca="false">IFERROR(VLOOKUP($A9522,'319'!$B:$H,7,0),0)</f>
        <v>0</v>
      </c>
      <c r="G9522" s="34" t="n">
        <f aca="false">SUMIFS('12.326ana'!$C:$C,'12.326ana'!$M:$M,redes!A9522)</f>
        <v>0</v>
      </c>
    </row>
    <row r="9523" customFormat="false" ht="14.4" hidden="true" customHeight="false" outlineLevel="0" collapsed="false">
      <c r="A9523" s="34" t="n">
        <v>5457345000192</v>
      </c>
      <c r="B9523" s="34" t="s">
        <v>19353</v>
      </c>
      <c r="C9523" s="34" t="s">
        <v>546</v>
      </c>
      <c r="E9523" s="30" t="s">
        <v>3935</v>
      </c>
      <c r="F9523" s="34" t="n">
        <f aca="false">IFERROR(VLOOKUP($A9523,'319'!$B:$H,7,0),0)</f>
        <v>0</v>
      </c>
      <c r="G9523" s="34" t="n">
        <f aca="false">SUMIFS('12.326ana'!$C:$C,'12.326ana'!$M:$M,redes!A9523)</f>
        <v>0</v>
      </c>
    </row>
    <row r="9524" customFormat="false" ht="14.4" hidden="true" customHeight="false" outlineLevel="0" collapsed="false">
      <c r="A9524" s="34" t="n">
        <v>5458717000103</v>
      </c>
      <c r="B9524" s="34" t="s">
        <v>19354</v>
      </c>
      <c r="C9524" s="34" t="s">
        <v>127</v>
      </c>
      <c r="E9524" s="30" t="s">
        <v>16490</v>
      </c>
      <c r="F9524" s="34" t="n">
        <f aca="false">IFERROR(VLOOKUP($A9524,'319'!$B:$H,7,0),0)</f>
        <v>0</v>
      </c>
      <c r="G9524" s="34" t="n">
        <f aca="false">SUMIFS('12.326ana'!$C:$C,'12.326ana'!$M:$M,redes!A9524)</f>
        <v>0</v>
      </c>
    </row>
    <row r="9525" customFormat="false" ht="14.4" hidden="true" customHeight="false" outlineLevel="0" collapsed="false">
      <c r="A9525" s="34" t="n">
        <v>5460160000137</v>
      </c>
      <c r="B9525" s="34" t="s">
        <v>19355</v>
      </c>
      <c r="C9525" s="34" t="s">
        <v>77</v>
      </c>
      <c r="E9525" s="30" t="s">
        <v>19356</v>
      </c>
      <c r="F9525" s="34" t="n">
        <f aca="false">IFERROR(VLOOKUP($A9525,'319'!$B:$H,7,0),0)</f>
        <v>0</v>
      </c>
      <c r="G9525" s="34" t="n">
        <f aca="false">SUMIFS('12.326ana'!$C:$C,'12.326ana'!$M:$M,redes!A9525)</f>
        <v>0</v>
      </c>
    </row>
    <row r="9526" customFormat="false" ht="14.4" hidden="true" customHeight="false" outlineLevel="0" collapsed="false">
      <c r="A9526" s="34" t="n">
        <v>5463247000168</v>
      </c>
      <c r="B9526" s="34" t="s">
        <v>19357</v>
      </c>
      <c r="C9526" s="34" t="s">
        <v>309</v>
      </c>
      <c r="E9526" s="30" t="s">
        <v>19358</v>
      </c>
      <c r="F9526" s="34" t="n">
        <f aca="false">IFERROR(VLOOKUP($A9526,'319'!$B:$H,7,0),0)</f>
        <v>0</v>
      </c>
      <c r="G9526" s="34" t="n">
        <f aca="false">SUMIFS('12.326ana'!$C:$C,'12.326ana'!$M:$M,redes!A9526)</f>
        <v>0</v>
      </c>
    </row>
    <row r="9527" customFormat="false" ht="14.4" hidden="true" customHeight="false" outlineLevel="0" collapsed="false">
      <c r="A9527" s="34" t="n">
        <v>5463801000107</v>
      </c>
      <c r="B9527" s="34" t="s">
        <v>19359</v>
      </c>
      <c r="C9527" s="34" t="s">
        <v>77</v>
      </c>
      <c r="E9527" s="30" t="s">
        <v>19360</v>
      </c>
      <c r="F9527" s="34" t="n">
        <f aca="false">IFERROR(VLOOKUP($A9527,'319'!$B:$H,7,0),0)</f>
        <v>0</v>
      </c>
      <c r="G9527" s="34" t="n">
        <f aca="false">SUMIFS('12.326ana'!$C:$C,'12.326ana'!$M:$M,redes!A9527)</f>
        <v>0</v>
      </c>
    </row>
    <row r="9528" customFormat="false" ht="14.4" hidden="true" customHeight="false" outlineLevel="0" collapsed="false">
      <c r="A9528" s="34" t="n">
        <v>5465359000158</v>
      </c>
      <c r="B9528" s="34" t="s">
        <v>19361</v>
      </c>
      <c r="C9528" s="34" t="s">
        <v>77</v>
      </c>
      <c r="E9528" s="30" t="s">
        <v>19362</v>
      </c>
      <c r="F9528" s="34" t="n">
        <f aca="false">IFERROR(VLOOKUP($A9528,'319'!$B:$H,7,0),0)</f>
        <v>0</v>
      </c>
      <c r="G9528" s="34" t="n">
        <f aca="false">SUMIFS('12.326ana'!$C:$C,'12.326ana'!$M:$M,redes!A9528)</f>
        <v>0</v>
      </c>
    </row>
    <row r="9529" customFormat="false" ht="14.4" hidden="true" customHeight="false" outlineLevel="0" collapsed="false">
      <c r="A9529" s="34" t="n">
        <v>5465924000187</v>
      </c>
      <c r="B9529" s="34" t="s">
        <v>19363</v>
      </c>
      <c r="C9529" s="34" t="s">
        <v>631</v>
      </c>
      <c r="D9529" s="34" t="s">
        <v>19364</v>
      </c>
      <c r="E9529" s="30" t="s">
        <v>16783</v>
      </c>
      <c r="F9529" s="34" t="n">
        <f aca="false">IFERROR(VLOOKUP($A9529,'319'!$B:$H,7,0),0)</f>
        <v>0</v>
      </c>
      <c r="G9529" s="34" t="n">
        <f aca="false">SUMIFS('12.326ana'!$C:$C,'12.326ana'!$M:$M,redes!A9529)</f>
        <v>0</v>
      </c>
    </row>
    <row r="9530" customFormat="false" ht="14.4" hidden="true" customHeight="false" outlineLevel="0" collapsed="false">
      <c r="A9530" s="34" t="n">
        <v>5465924000268</v>
      </c>
      <c r="B9530" s="34" t="s">
        <v>19363</v>
      </c>
      <c r="C9530" s="34" t="s">
        <v>631</v>
      </c>
      <c r="D9530" s="34" t="s">
        <v>19364</v>
      </c>
      <c r="E9530" s="30" t="s">
        <v>19365</v>
      </c>
      <c r="F9530" s="34" t="n">
        <f aca="false">IFERROR(VLOOKUP($A9530,'319'!$B:$H,7,0),0)</f>
        <v>0</v>
      </c>
      <c r="G9530" s="34" t="n">
        <f aca="false">SUMIFS('12.326ana'!$C:$C,'12.326ana'!$M:$M,redes!A9530)</f>
        <v>0</v>
      </c>
    </row>
    <row r="9531" customFormat="false" ht="14.4" hidden="true" customHeight="false" outlineLevel="0" collapsed="false">
      <c r="A9531" s="34" t="n">
        <v>5465924000349</v>
      </c>
      <c r="B9531" s="34" t="s">
        <v>19363</v>
      </c>
      <c r="C9531" s="34" t="s">
        <v>631</v>
      </c>
      <c r="D9531" s="34" t="s">
        <v>19364</v>
      </c>
      <c r="E9531" s="30" t="s">
        <v>16783</v>
      </c>
      <c r="F9531" s="34" t="n">
        <f aca="false">IFERROR(VLOOKUP($A9531,'319'!$B:$H,7,0),0)</f>
        <v>0</v>
      </c>
      <c r="G9531" s="34" t="n">
        <f aca="false">SUMIFS('12.326ana'!$C:$C,'12.326ana'!$M:$M,redes!A9531)</f>
        <v>0</v>
      </c>
    </row>
    <row r="9532" customFormat="false" ht="14.4" hidden="true" customHeight="false" outlineLevel="0" collapsed="false">
      <c r="A9532" s="34" t="n">
        <v>5465924000420</v>
      </c>
      <c r="B9532" s="34" t="s">
        <v>19363</v>
      </c>
      <c r="C9532" s="34" t="s">
        <v>631</v>
      </c>
      <c r="E9532" s="30" t="s">
        <v>16783</v>
      </c>
      <c r="F9532" s="34" t="n">
        <f aca="false">IFERROR(VLOOKUP($A9532,'319'!$B:$H,7,0),0)</f>
        <v>0</v>
      </c>
      <c r="G9532" s="34" t="n">
        <f aca="false">SUMIFS('12.326ana'!$C:$C,'12.326ana'!$M:$M,redes!A9532)</f>
        <v>0</v>
      </c>
    </row>
    <row r="9533" customFormat="false" ht="14.4" hidden="true" customHeight="false" outlineLevel="0" collapsed="false">
      <c r="A9533" s="34" t="n">
        <v>5466999000182</v>
      </c>
      <c r="B9533" s="34" t="s">
        <v>19366</v>
      </c>
      <c r="C9533" s="34" t="s">
        <v>848</v>
      </c>
      <c r="E9533" s="30" t="s">
        <v>12164</v>
      </c>
      <c r="F9533" s="34" t="n">
        <f aca="false">IFERROR(VLOOKUP($A9533,'319'!$B:$H,7,0),0)</f>
        <v>0</v>
      </c>
      <c r="G9533" s="34" t="n">
        <f aca="false">SUMIFS('12.326ana'!$C:$C,'12.326ana'!$M:$M,redes!A9533)</f>
        <v>0</v>
      </c>
    </row>
    <row r="9534" customFormat="false" ht="14.4" hidden="true" customHeight="false" outlineLevel="0" collapsed="false">
      <c r="A9534" s="34" t="n">
        <v>5469484000136</v>
      </c>
      <c r="B9534" s="34" t="s">
        <v>19367</v>
      </c>
      <c r="C9534" s="34" t="s">
        <v>1272</v>
      </c>
      <c r="E9534" s="30" t="s">
        <v>19368</v>
      </c>
      <c r="F9534" s="34" t="n">
        <f aca="false">IFERROR(VLOOKUP($A9534,'319'!$B:$H,7,0),0)</f>
        <v>0</v>
      </c>
      <c r="G9534" s="34" t="n">
        <f aca="false">SUMIFS('12.326ana'!$C:$C,'12.326ana'!$M:$M,redes!A9534)</f>
        <v>0</v>
      </c>
    </row>
    <row r="9535" customFormat="false" ht="14.4" hidden="true" customHeight="false" outlineLevel="0" collapsed="false">
      <c r="A9535" s="34" t="n">
        <v>5472470000171</v>
      </c>
      <c r="B9535" s="34" t="s">
        <v>19369</v>
      </c>
      <c r="C9535" s="34" t="s">
        <v>478</v>
      </c>
      <c r="E9535" s="30" t="s">
        <v>19370</v>
      </c>
      <c r="F9535" s="34" t="n">
        <f aca="false">IFERROR(VLOOKUP($A9535,'319'!$B:$H,7,0),0)</f>
        <v>0</v>
      </c>
      <c r="G9535" s="34" t="n">
        <f aca="false">SUMIFS('12.326ana'!$C:$C,'12.326ana'!$M:$M,redes!A9535)</f>
        <v>0</v>
      </c>
    </row>
    <row r="9536" customFormat="false" ht="14.4" hidden="true" customHeight="false" outlineLevel="0" collapsed="false">
      <c r="A9536" s="34" t="n">
        <v>5472732000106</v>
      </c>
      <c r="B9536" s="34" t="s">
        <v>19371</v>
      </c>
      <c r="C9536" s="34" t="s">
        <v>107</v>
      </c>
      <c r="D9536" s="34" t="s">
        <v>19372</v>
      </c>
      <c r="E9536" s="30" t="s">
        <v>19373</v>
      </c>
      <c r="F9536" s="34" t="n">
        <f aca="false">IFERROR(VLOOKUP($A9536,'319'!$B:$H,7,0),0)</f>
        <v>0</v>
      </c>
      <c r="G9536" s="34" t="n">
        <f aca="false">SUMIFS('12.326ana'!$C:$C,'12.326ana'!$M:$M,redes!A9536)</f>
        <v>0</v>
      </c>
    </row>
    <row r="9537" customFormat="false" ht="14.4" hidden="true" customHeight="false" outlineLevel="0" collapsed="false">
      <c r="A9537" s="34" t="n">
        <v>5472732000289</v>
      </c>
      <c r="B9537" s="34" t="s">
        <v>19371</v>
      </c>
      <c r="C9537" s="34" t="s">
        <v>107</v>
      </c>
      <c r="D9537" s="34" t="s">
        <v>19372</v>
      </c>
      <c r="E9537" s="30" t="s">
        <v>19374</v>
      </c>
      <c r="F9537" s="34" t="n">
        <f aca="false">IFERROR(VLOOKUP($A9537,'319'!$B:$H,7,0),0)</f>
        <v>0</v>
      </c>
      <c r="G9537" s="34" t="n">
        <f aca="false">SUMIFS('12.326ana'!$C:$C,'12.326ana'!$M:$M,redes!A9537)</f>
        <v>0</v>
      </c>
    </row>
    <row r="9538" customFormat="false" ht="14.4" hidden="true" customHeight="false" outlineLevel="0" collapsed="false">
      <c r="A9538" s="34" t="n">
        <v>5472732000360</v>
      </c>
      <c r="B9538" s="34" t="s">
        <v>19371</v>
      </c>
      <c r="C9538" s="34" t="s">
        <v>107</v>
      </c>
      <c r="D9538" s="34" t="s">
        <v>19372</v>
      </c>
      <c r="E9538" s="30" t="s">
        <v>19375</v>
      </c>
      <c r="F9538" s="34" t="n">
        <f aca="false">IFERROR(VLOOKUP($A9538,'319'!$B:$H,7,0),0)</f>
        <v>-35.02</v>
      </c>
      <c r="G9538" s="34" t="n">
        <f aca="false">SUMIFS('12.326ana'!$C:$C,'12.326ana'!$M:$M,redes!A9538)</f>
        <v>0</v>
      </c>
    </row>
    <row r="9539" customFormat="false" ht="14.4" hidden="true" customHeight="false" outlineLevel="0" collapsed="false">
      <c r="A9539" s="34" t="n">
        <v>5472732000440</v>
      </c>
      <c r="B9539" s="34" t="s">
        <v>19371</v>
      </c>
      <c r="C9539" s="34" t="s">
        <v>107</v>
      </c>
      <c r="E9539" s="30" t="s">
        <v>19376</v>
      </c>
      <c r="F9539" s="34" t="n">
        <f aca="false">IFERROR(VLOOKUP($A9539,'319'!$B:$H,7,0),0)</f>
        <v>0</v>
      </c>
      <c r="G9539" s="34" t="n">
        <f aca="false">SUMIFS('12.326ana'!$C:$C,'12.326ana'!$M:$M,redes!A9539)</f>
        <v>0</v>
      </c>
    </row>
    <row r="9540" customFormat="false" ht="14.4" hidden="true" customHeight="false" outlineLevel="0" collapsed="false">
      <c r="A9540" s="34" t="n">
        <v>5472732000521</v>
      </c>
      <c r="B9540" s="34" t="s">
        <v>19371</v>
      </c>
      <c r="C9540" s="34" t="s">
        <v>107</v>
      </c>
      <c r="D9540" s="34" t="s">
        <v>19372</v>
      </c>
      <c r="E9540" s="30" t="s">
        <v>19377</v>
      </c>
      <c r="F9540" s="34" t="n">
        <f aca="false">IFERROR(VLOOKUP($A9540,'319'!$B:$H,7,0),0)</f>
        <v>0</v>
      </c>
      <c r="G9540" s="34" t="n">
        <f aca="false">SUMIFS('12.326ana'!$C:$C,'12.326ana'!$M:$M,redes!A9540)</f>
        <v>0</v>
      </c>
    </row>
    <row r="9541" customFormat="false" ht="14.4" hidden="true" customHeight="false" outlineLevel="0" collapsed="false">
      <c r="A9541" s="34" t="n">
        <v>5475285000130</v>
      </c>
      <c r="B9541" s="34" t="s">
        <v>19378</v>
      </c>
      <c r="C9541" s="34" t="s">
        <v>107</v>
      </c>
      <c r="E9541" s="30" t="s">
        <v>19379</v>
      </c>
      <c r="F9541" s="34" t="n">
        <f aca="false">IFERROR(VLOOKUP($A9541,'319'!$B:$H,7,0),0)</f>
        <v>0</v>
      </c>
      <c r="G9541" s="34" t="n">
        <f aca="false">SUMIFS('12.326ana'!$C:$C,'12.326ana'!$M:$M,redes!A9541)</f>
        <v>0</v>
      </c>
    </row>
    <row r="9542" customFormat="false" ht="14.4" hidden="true" customHeight="false" outlineLevel="0" collapsed="false">
      <c r="A9542" s="34" t="n">
        <v>5475305000173</v>
      </c>
      <c r="B9542" s="34" t="s">
        <v>19380</v>
      </c>
      <c r="C9542" s="34" t="s">
        <v>979</v>
      </c>
      <c r="E9542" s="30" t="s">
        <v>19381</v>
      </c>
      <c r="F9542" s="34" t="n">
        <f aca="false">IFERROR(VLOOKUP($A9542,'319'!$B:$H,7,0),0)</f>
        <v>0</v>
      </c>
      <c r="G9542" s="34" t="n">
        <f aca="false">SUMIFS('12.326ana'!$C:$C,'12.326ana'!$M:$M,redes!A9542)</f>
        <v>0</v>
      </c>
    </row>
    <row r="9543" customFormat="false" ht="14.4" hidden="true" customHeight="false" outlineLevel="0" collapsed="false">
      <c r="A9543" s="34" t="n">
        <v>5475305000335</v>
      </c>
      <c r="B9543" s="34" t="s">
        <v>19380</v>
      </c>
      <c r="C9543" s="34" t="s">
        <v>89</v>
      </c>
      <c r="E9543" s="30" t="s">
        <v>19381</v>
      </c>
      <c r="F9543" s="34" t="n">
        <f aca="false">IFERROR(VLOOKUP($A9543,'319'!$B:$H,7,0),0)</f>
        <v>0</v>
      </c>
      <c r="G9543" s="34" t="n">
        <f aca="false">SUMIFS('12.326ana'!$C:$C,'12.326ana'!$M:$M,redes!A9543)</f>
        <v>0</v>
      </c>
    </row>
    <row r="9544" customFormat="false" ht="14.4" hidden="true" customHeight="false" outlineLevel="0" collapsed="false">
      <c r="A9544" s="34" t="n">
        <v>5482247000105</v>
      </c>
      <c r="B9544" s="34" t="s">
        <v>19382</v>
      </c>
      <c r="C9544" s="34" t="s">
        <v>296</v>
      </c>
      <c r="E9544" s="30" t="s">
        <v>3375</v>
      </c>
      <c r="F9544" s="34" t="n">
        <f aca="false">IFERROR(VLOOKUP($A9544,'319'!$B:$H,7,0),0)</f>
        <v>0</v>
      </c>
      <c r="G9544" s="34" t="n">
        <f aca="false">SUMIFS('12.326ana'!$C:$C,'12.326ana'!$M:$M,redes!A9544)</f>
        <v>0</v>
      </c>
    </row>
    <row r="9545" customFormat="false" ht="14.4" hidden="true" customHeight="false" outlineLevel="0" collapsed="false">
      <c r="A9545" s="34" t="n">
        <v>5483800000124</v>
      </c>
      <c r="B9545" s="34" t="s">
        <v>19383</v>
      </c>
      <c r="C9545" s="34" t="s">
        <v>77</v>
      </c>
      <c r="E9545" s="30" t="s">
        <v>19384</v>
      </c>
      <c r="F9545" s="34" t="n">
        <f aca="false">IFERROR(VLOOKUP($A9545,'319'!$B:$H,7,0),0)</f>
        <v>0</v>
      </c>
      <c r="G9545" s="34" t="n">
        <f aca="false">SUMIFS('12.326ana'!$C:$C,'12.326ana'!$M:$M,redes!A9545)</f>
        <v>0</v>
      </c>
    </row>
    <row r="9546" customFormat="false" ht="14.4" hidden="true" customHeight="false" outlineLevel="0" collapsed="false">
      <c r="A9546" s="34" t="n">
        <v>5485863000110</v>
      </c>
      <c r="B9546" s="34" t="s">
        <v>19385</v>
      </c>
      <c r="C9546" s="34" t="s">
        <v>309</v>
      </c>
      <c r="E9546" s="30" t="s">
        <v>19386</v>
      </c>
      <c r="F9546" s="34" t="n">
        <f aca="false">IFERROR(VLOOKUP($A9546,'319'!$B:$H,7,0),0)</f>
        <v>0</v>
      </c>
      <c r="G9546" s="34" t="n">
        <f aca="false">SUMIFS('12.326ana'!$C:$C,'12.326ana'!$M:$M,redes!A9546)</f>
        <v>0</v>
      </c>
    </row>
    <row r="9547" customFormat="false" ht="14.4" hidden="true" customHeight="false" outlineLevel="0" collapsed="false">
      <c r="A9547" s="34" t="n">
        <v>5486208000186</v>
      </c>
      <c r="B9547" s="34" t="s">
        <v>19387</v>
      </c>
      <c r="C9547" s="34" t="s">
        <v>77</v>
      </c>
      <c r="E9547" s="30" t="s">
        <v>19388</v>
      </c>
      <c r="F9547" s="34" t="n">
        <f aca="false">IFERROR(VLOOKUP($A9547,'319'!$B:$H,7,0),0)</f>
        <v>0</v>
      </c>
      <c r="G9547" s="34" t="n">
        <f aca="false">SUMIFS('12.326ana'!$C:$C,'12.326ana'!$M:$M,redes!A9547)</f>
        <v>0</v>
      </c>
    </row>
    <row r="9548" customFormat="false" ht="14.4" hidden="true" customHeight="false" outlineLevel="0" collapsed="false">
      <c r="A9548" s="34" t="n">
        <v>5487705000107</v>
      </c>
      <c r="B9548" s="34" t="s">
        <v>19389</v>
      </c>
      <c r="C9548" s="34" t="s">
        <v>4139</v>
      </c>
      <c r="E9548" s="30" t="s">
        <v>19390</v>
      </c>
      <c r="F9548" s="34" t="n">
        <f aca="false">IFERROR(VLOOKUP($A9548,'319'!$B:$H,7,0),0)</f>
        <v>0</v>
      </c>
      <c r="G9548" s="34" t="n">
        <f aca="false">SUMIFS('12.326ana'!$C:$C,'12.326ana'!$M:$M,redes!A9548)</f>
        <v>0</v>
      </c>
    </row>
    <row r="9549" customFormat="false" ht="14.4" hidden="true" customHeight="false" outlineLevel="0" collapsed="false">
      <c r="A9549" s="34" t="n">
        <v>5487835000131</v>
      </c>
      <c r="B9549" s="34" t="s">
        <v>19391</v>
      </c>
      <c r="C9549" s="34" t="s">
        <v>351</v>
      </c>
      <c r="E9549" s="30" t="s">
        <v>19392</v>
      </c>
      <c r="F9549" s="34" t="n">
        <f aca="false">IFERROR(VLOOKUP($A9549,'319'!$B:$H,7,0),0)</f>
        <v>0</v>
      </c>
      <c r="G9549" s="34" t="n">
        <f aca="false">SUMIFS('12.326ana'!$C:$C,'12.326ana'!$M:$M,redes!A9549)</f>
        <v>0</v>
      </c>
    </row>
    <row r="9550" customFormat="false" ht="14.4" hidden="true" customHeight="false" outlineLevel="0" collapsed="false">
      <c r="A9550" s="34" t="n">
        <v>5487844000122</v>
      </c>
      <c r="B9550" s="34" t="s">
        <v>19393</v>
      </c>
      <c r="C9550" s="34" t="s">
        <v>377</v>
      </c>
      <c r="E9550" s="30" t="s">
        <v>19394</v>
      </c>
      <c r="F9550" s="34" t="n">
        <f aca="false">IFERROR(VLOOKUP($A9550,'319'!$B:$H,7,0),0)</f>
        <v>0</v>
      </c>
      <c r="G9550" s="34" t="n">
        <f aca="false">SUMIFS('12.326ana'!$C:$C,'12.326ana'!$M:$M,redes!A9550)</f>
        <v>0</v>
      </c>
    </row>
    <row r="9551" customFormat="false" ht="14.4" hidden="true" customHeight="false" outlineLevel="0" collapsed="false">
      <c r="A9551" s="34" t="n">
        <v>5491127000174</v>
      </c>
      <c r="B9551" s="34" t="s">
        <v>19395</v>
      </c>
      <c r="C9551" s="34" t="s">
        <v>377</v>
      </c>
      <c r="E9551" s="30" t="s">
        <v>19396</v>
      </c>
      <c r="F9551" s="34" t="n">
        <f aca="false">IFERROR(VLOOKUP($A9551,'319'!$B:$H,7,0),0)</f>
        <v>0</v>
      </c>
      <c r="G9551" s="34" t="n">
        <f aca="false">SUMIFS('12.326ana'!$C:$C,'12.326ana'!$M:$M,redes!A9551)</f>
        <v>0</v>
      </c>
    </row>
    <row r="9552" customFormat="false" ht="14.4" hidden="true" customHeight="false" outlineLevel="0" collapsed="false">
      <c r="A9552" s="34" t="n">
        <v>5493357000172</v>
      </c>
      <c r="B9552" s="34" t="s">
        <v>19397</v>
      </c>
      <c r="C9552" s="34" t="s">
        <v>77</v>
      </c>
      <c r="E9552" s="30" t="s">
        <v>19398</v>
      </c>
      <c r="F9552" s="34" t="n">
        <f aca="false">IFERROR(VLOOKUP($A9552,'319'!$B:$H,7,0),0)</f>
        <v>0</v>
      </c>
      <c r="G9552" s="34" t="n">
        <f aca="false">SUMIFS('12.326ana'!$C:$C,'12.326ana'!$M:$M,redes!A9552)</f>
        <v>0</v>
      </c>
    </row>
    <row r="9553" customFormat="false" ht="14.4" hidden="true" customHeight="false" outlineLevel="0" collapsed="false">
      <c r="A9553" s="34" t="n">
        <v>5495508000121</v>
      </c>
      <c r="B9553" s="34" t="s">
        <v>19399</v>
      </c>
      <c r="C9553" s="34" t="s">
        <v>464</v>
      </c>
      <c r="E9553" s="30" t="s">
        <v>3896</v>
      </c>
      <c r="F9553" s="34" t="n">
        <f aca="false">IFERROR(VLOOKUP($A9553,'319'!$B:$H,7,0),0)</f>
        <v>0</v>
      </c>
      <c r="G9553" s="34" t="n">
        <f aca="false">SUMIFS('12.326ana'!$C:$C,'12.326ana'!$M:$M,redes!A9553)</f>
        <v>0</v>
      </c>
    </row>
    <row r="9554" customFormat="false" ht="14.4" hidden="true" customHeight="false" outlineLevel="0" collapsed="false">
      <c r="A9554" s="34" t="n">
        <v>5495843000120</v>
      </c>
      <c r="B9554" s="34" t="s">
        <v>19400</v>
      </c>
      <c r="C9554" s="34" t="s">
        <v>562</v>
      </c>
      <c r="E9554" s="30" t="s">
        <v>6029</v>
      </c>
      <c r="F9554" s="34" t="n">
        <f aca="false">IFERROR(VLOOKUP($A9554,'319'!$B:$H,7,0),0)</f>
        <v>0</v>
      </c>
      <c r="G9554" s="34" t="n">
        <f aca="false">SUMIFS('12.326ana'!$C:$C,'12.326ana'!$M:$M,redes!A9554)</f>
        <v>0</v>
      </c>
    </row>
    <row r="9555" customFormat="false" ht="14.4" hidden="true" customHeight="false" outlineLevel="0" collapsed="false">
      <c r="A9555" s="34" t="n">
        <v>5497114000102</v>
      </c>
      <c r="B9555" s="34" t="s">
        <v>19401</v>
      </c>
      <c r="C9555" s="34" t="s">
        <v>197</v>
      </c>
      <c r="E9555" s="30" t="s">
        <v>3194</v>
      </c>
      <c r="F9555" s="34" t="n">
        <f aca="false">IFERROR(VLOOKUP($A9555,'319'!$B:$H,7,0),0)</f>
        <v>0</v>
      </c>
      <c r="G9555" s="34" t="n">
        <f aca="false">SUMIFS('12.326ana'!$C:$C,'12.326ana'!$M:$M,redes!A9555)</f>
        <v>0</v>
      </c>
    </row>
    <row r="9556" customFormat="false" ht="14.4" hidden="true" customHeight="false" outlineLevel="0" collapsed="false">
      <c r="A9556" s="34" t="n">
        <v>5497384000113</v>
      </c>
      <c r="B9556" s="34" t="s">
        <v>19402</v>
      </c>
      <c r="C9556" s="34" t="s">
        <v>4462</v>
      </c>
      <c r="E9556" s="30" t="s">
        <v>6944</v>
      </c>
      <c r="F9556" s="34" t="n">
        <f aca="false">IFERROR(VLOOKUP($A9556,'319'!$B:$H,7,0),0)</f>
        <v>272.83</v>
      </c>
      <c r="G9556" s="34" t="n">
        <f aca="false">SUMIFS('12.326ana'!$C:$C,'12.326ana'!$M:$M,redes!A9556)</f>
        <v>0</v>
      </c>
    </row>
    <row r="9557" customFormat="false" ht="14.4" hidden="true" customHeight="false" outlineLevel="0" collapsed="false">
      <c r="A9557" s="34" t="n">
        <v>5498797000112</v>
      </c>
      <c r="B9557" s="34" t="s">
        <v>19403</v>
      </c>
      <c r="C9557" s="34" t="s">
        <v>89</v>
      </c>
      <c r="E9557" s="30" t="s">
        <v>19404</v>
      </c>
      <c r="F9557" s="34" t="n">
        <f aca="false">IFERROR(VLOOKUP($A9557,'319'!$B:$H,7,0),0)</f>
        <v>0</v>
      </c>
      <c r="G9557" s="34" t="n">
        <f aca="false">SUMIFS('12.326ana'!$C:$C,'12.326ana'!$M:$M,redes!A9557)</f>
        <v>0</v>
      </c>
    </row>
    <row r="9558" customFormat="false" ht="14.4" hidden="true" customHeight="false" outlineLevel="0" collapsed="false">
      <c r="A9558" s="34" t="n">
        <v>5500678000157</v>
      </c>
      <c r="B9558" s="34" t="s">
        <v>19405</v>
      </c>
      <c r="C9558" s="34" t="s">
        <v>77</v>
      </c>
      <c r="E9558" s="30" t="s">
        <v>19406</v>
      </c>
      <c r="F9558" s="34" t="n">
        <f aca="false">IFERROR(VLOOKUP($A9558,'319'!$B:$H,7,0),0)</f>
        <v>0</v>
      </c>
      <c r="G9558" s="34" t="n">
        <f aca="false">SUMIFS('12.326ana'!$C:$C,'12.326ana'!$M:$M,redes!A9558)</f>
        <v>0</v>
      </c>
    </row>
    <row r="9559" customFormat="false" ht="14.4" hidden="true" customHeight="false" outlineLevel="0" collapsed="false">
      <c r="A9559" s="34" t="n">
        <v>5504397000172</v>
      </c>
      <c r="B9559" s="34" t="s">
        <v>19407</v>
      </c>
      <c r="C9559" s="34" t="s">
        <v>979</v>
      </c>
      <c r="E9559" s="30" t="s">
        <v>19408</v>
      </c>
      <c r="F9559" s="34" t="n">
        <f aca="false">IFERROR(VLOOKUP($A9559,'319'!$B:$H,7,0),0)</f>
        <v>0</v>
      </c>
      <c r="G9559" s="34" t="n">
        <f aca="false">SUMIFS('12.326ana'!$C:$C,'12.326ana'!$M:$M,redes!A9559)</f>
        <v>0</v>
      </c>
    </row>
    <row r="9560" customFormat="false" ht="14.4" hidden="true" customHeight="false" outlineLevel="0" collapsed="false">
      <c r="A9560" s="34" t="n">
        <v>5511232000128</v>
      </c>
      <c r="B9560" s="34" t="s">
        <v>19409</v>
      </c>
      <c r="C9560" s="34" t="s">
        <v>342</v>
      </c>
      <c r="E9560" s="30" t="s">
        <v>19410</v>
      </c>
      <c r="F9560" s="34" t="n">
        <f aca="false">IFERROR(VLOOKUP($A9560,'319'!$B:$H,7,0),0)</f>
        <v>0</v>
      </c>
      <c r="G9560" s="34" t="n">
        <f aca="false">SUMIFS('12.326ana'!$C:$C,'12.326ana'!$M:$M,redes!A9560)</f>
        <v>0</v>
      </c>
    </row>
    <row r="9561" customFormat="false" ht="14.4" hidden="true" customHeight="false" outlineLevel="0" collapsed="false">
      <c r="A9561" s="34" t="n">
        <v>5511844000110</v>
      </c>
      <c r="B9561" s="34" t="s">
        <v>19411</v>
      </c>
      <c r="C9561" s="34" t="s">
        <v>77</v>
      </c>
      <c r="E9561" s="30" t="s">
        <v>19412</v>
      </c>
      <c r="F9561" s="34" t="n">
        <f aca="false">IFERROR(VLOOKUP($A9561,'319'!$B:$H,7,0),0)</f>
        <v>0</v>
      </c>
      <c r="G9561" s="34" t="n">
        <f aca="false">SUMIFS('12.326ana'!$C:$C,'12.326ana'!$M:$M,redes!A9561)</f>
        <v>0</v>
      </c>
    </row>
    <row r="9562" customFormat="false" ht="14.4" hidden="true" customHeight="false" outlineLevel="0" collapsed="false">
      <c r="A9562" s="34" t="n">
        <v>5512641000149</v>
      </c>
      <c r="B9562" s="34" t="s">
        <v>19413</v>
      </c>
      <c r="C9562" s="34" t="s">
        <v>107</v>
      </c>
      <c r="E9562" s="30" t="s">
        <v>3385</v>
      </c>
      <c r="F9562" s="34" t="n">
        <f aca="false">IFERROR(VLOOKUP($A9562,'319'!$B:$H,7,0),0)</f>
        <v>0</v>
      </c>
      <c r="G9562" s="34" t="n">
        <f aca="false">SUMIFS('12.326ana'!$C:$C,'12.326ana'!$M:$M,redes!A9562)</f>
        <v>0</v>
      </c>
    </row>
    <row r="9563" customFormat="false" ht="14.4" hidden="true" customHeight="false" outlineLevel="0" collapsed="false">
      <c r="A9563" s="34" t="n">
        <v>5513240000103</v>
      </c>
      <c r="B9563" s="34" t="s">
        <v>19414</v>
      </c>
      <c r="C9563" s="34" t="s">
        <v>107</v>
      </c>
      <c r="E9563" s="30" t="s">
        <v>19415</v>
      </c>
      <c r="F9563" s="34" t="n">
        <f aca="false">IFERROR(VLOOKUP($A9563,'319'!$B:$H,7,0),0)</f>
        <v>0</v>
      </c>
      <c r="G9563" s="34" t="n">
        <f aca="false">SUMIFS('12.326ana'!$C:$C,'12.326ana'!$M:$M,redes!A9563)</f>
        <v>0</v>
      </c>
    </row>
    <row r="9564" customFormat="false" ht="14.4" hidden="true" customHeight="false" outlineLevel="0" collapsed="false">
      <c r="A9564" s="34" t="n">
        <v>5513816000132</v>
      </c>
      <c r="B9564" s="34" t="s">
        <v>19416</v>
      </c>
      <c r="C9564" s="34" t="s">
        <v>464</v>
      </c>
      <c r="E9564" s="30" t="s">
        <v>19417</v>
      </c>
      <c r="F9564" s="34" t="n">
        <f aca="false">IFERROR(VLOOKUP($A9564,'319'!$B:$H,7,0),0)</f>
        <v>0</v>
      </c>
      <c r="G9564" s="34" t="n">
        <f aca="false">SUMIFS('12.326ana'!$C:$C,'12.326ana'!$M:$M,redes!A9564)</f>
        <v>0</v>
      </c>
    </row>
    <row r="9565" customFormat="false" ht="14.4" hidden="true" customHeight="false" outlineLevel="0" collapsed="false">
      <c r="A9565" s="34" t="n">
        <v>5514515000123</v>
      </c>
      <c r="B9565" s="34" t="s">
        <v>19418</v>
      </c>
      <c r="C9565" s="34" t="s">
        <v>309</v>
      </c>
      <c r="E9565" s="30" t="s">
        <v>19419</v>
      </c>
      <c r="F9565" s="34" t="n">
        <f aca="false">IFERROR(VLOOKUP($A9565,'319'!$B:$H,7,0),0)</f>
        <v>0</v>
      </c>
      <c r="G9565" s="34" t="n">
        <f aca="false">SUMIFS('12.326ana'!$C:$C,'12.326ana'!$M:$M,redes!A9565)</f>
        <v>0</v>
      </c>
    </row>
    <row r="9566" customFormat="false" ht="14.4" hidden="true" customHeight="false" outlineLevel="0" collapsed="false">
      <c r="A9566" s="34" t="n">
        <v>5514515000204</v>
      </c>
      <c r="B9566" s="34" t="s">
        <v>19418</v>
      </c>
      <c r="C9566" s="34" t="s">
        <v>604</v>
      </c>
      <c r="E9566" s="30" t="s">
        <v>19419</v>
      </c>
      <c r="F9566" s="34" t="n">
        <f aca="false">IFERROR(VLOOKUP($A9566,'319'!$B:$H,7,0),0)</f>
        <v>0</v>
      </c>
      <c r="G9566" s="34" t="n">
        <f aca="false">SUMIFS('12.326ana'!$C:$C,'12.326ana'!$M:$M,redes!A9566)</f>
        <v>0</v>
      </c>
    </row>
    <row r="9567" customFormat="false" ht="14.4" hidden="true" customHeight="false" outlineLevel="0" collapsed="false">
      <c r="A9567" s="34" t="n">
        <v>5516429000150</v>
      </c>
      <c r="B9567" s="34" t="s">
        <v>19420</v>
      </c>
      <c r="C9567" s="34" t="s">
        <v>77</v>
      </c>
      <c r="E9567" s="30" t="s">
        <v>19421</v>
      </c>
      <c r="F9567" s="34" t="n">
        <f aca="false">IFERROR(VLOOKUP($A9567,'319'!$B:$H,7,0),0)</f>
        <v>0</v>
      </c>
      <c r="G9567" s="34" t="n">
        <f aca="false">SUMIFS('12.326ana'!$C:$C,'12.326ana'!$M:$M,redes!A9567)</f>
        <v>0</v>
      </c>
    </row>
    <row r="9568" customFormat="false" ht="14.4" hidden="true" customHeight="false" outlineLevel="0" collapsed="false">
      <c r="A9568" s="34" t="n">
        <v>5520810000192</v>
      </c>
      <c r="B9568" s="34" t="s">
        <v>19422</v>
      </c>
      <c r="C9568" s="34" t="s">
        <v>77</v>
      </c>
      <c r="D9568" s="34" t="s">
        <v>9598</v>
      </c>
      <c r="E9568" s="30" t="s">
        <v>19423</v>
      </c>
      <c r="F9568" s="34" t="n">
        <f aca="false">IFERROR(VLOOKUP($A9568,'319'!$B:$H,7,0),0)</f>
        <v>0</v>
      </c>
      <c r="G9568" s="34" t="n">
        <f aca="false">SUMIFS('12.326ana'!$C:$C,'12.326ana'!$M:$M,redes!A9568)</f>
        <v>0</v>
      </c>
    </row>
    <row r="9569" customFormat="false" ht="14.4" hidden="true" customHeight="false" outlineLevel="0" collapsed="false">
      <c r="A9569" s="34" t="n">
        <v>5520907000103</v>
      </c>
      <c r="B9569" s="34" t="s">
        <v>19424</v>
      </c>
      <c r="C9569" s="34" t="s">
        <v>1054</v>
      </c>
      <c r="E9569" s="30" t="s">
        <v>19425</v>
      </c>
      <c r="F9569" s="34" t="n">
        <f aca="false">IFERROR(VLOOKUP($A9569,'319'!$B:$H,7,0),0)</f>
        <v>0</v>
      </c>
      <c r="G9569" s="34" t="n">
        <f aca="false">SUMIFS('12.326ana'!$C:$C,'12.326ana'!$M:$M,redes!A9569)</f>
        <v>0</v>
      </c>
    </row>
    <row r="9570" customFormat="false" ht="14.4" hidden="true" customHeight="false" outlineLevel="0" collapsed="false">
      <c r="A9570" s="34" t="n">
        <v>5520914000105</v>
      </c>
      <c r="B9570" s="34" t="s">
        <v>19426</v>
      </c>
      <c r="C9570" s="34" t="s">
        <v>77</v>
      </c>
      <c r="E9570" s="30" t="s">
        <v>19427</v>
      </c>
      <c r="F9570" s="34" t="n">
        <f aca="false">IFERROR(VLOOKUP($A9570,'319'!$B:$H,7,0),0)</f>
        <v>0</v>
      </c>
      <c r="G9570" s="34" t="n">
        <f aca="false">SUMIFS('12.326ana'!$C:$C,'12.326ana'!$M:$M,redes!A9570)</f>
        <v>0</v>
      </c>
    </row>
    <row r="9571" customFormat="false" ht="14.4" hidden="true" customHeight="false" outlineLevel="0" collapsed="false">
      <c r="A9571" s="34" t="n">
        <v>5522712000194</v>
      </c>
      <c r="B9571" s="34" t="s">
        <v>19428</v>
      </c>
      <c r="C9571" s="34" t="s">
        <v>117</v>
      </c>
      <c r="E9571" s="30" t="s">
        <v>19429</v>
      </c>
      <c r="F9571" s="34" t="n">
        <f aca="false">IFERROR(VLOOKUP($A9571,'319'!$B:$H,7,0),0)</f>
        <v>0</v>
      </c>
      <c r="G9571" s="34" t="n">
        <f aca="false">SUMIFS('12.326ana'!$C:$C,'12.326ana'!$M:$M,redes!A9571)</f>
        <v>0</v>
      </c>
    </row>
    <row r="9572" customFormat="false" ht="14.4" hidden="true" customHeight="false" outlineLevel="0" collapsed="false">
      <c r="A9572" s="34" t="n">
        <v>5522884000168</v>
      </c>
      <c r="B9572" s="34" t="s">
        <v>6767</v>
      </c>
      <c r="C9572" s="34" t="s">
        <v>357</v>
      </c>
      <c r="E9572" s="30" t="s">
        <v>19430</v>
      </c>
      <c r="F9572" s="34" t="n">
        <f aca="false">IFERROR(VLOOKUP($A9572,'319'!$B:$H,7,0),0)</f>
        <v>0</v>
      </c>
      <c r="G9572" s="34" t="n">
        <f aca="false">SUMIFS('12.326ana'!$C:$C,'12.326ana'!$M:$M,redes!A9572)</f>
        <v>0</v>
      </c>
    </row>
    <row r="9573" customFormat="false" ht="14.4" hidden="true" customHeight="false" outlineLevel="0" collapsed="false">
      <c r="A9573" s="34" t="n">
        <v>5523087000103</v>
      </c>
      <c r="B9573" s="34" t="s">
        <v>19431</v>
      </c>
      <c r="C9573" s="34" t="s">
        <v>77</v>
      </c>
      <c r="E9573" s="30" t="s">
        <v>19432</v>
      </c>
      <c r="F9573" s="34" t="n">
        <f aca="false">IFERROR(VLOOKUP($A9573,'319'!$B:$H,7,0),0)</f>
        <v>0</v>
      </c>
      <c r="G9573" s="34" t="n">
        <f aca="false">SUMIFS('12.326ana'!$C:$C,'12.326ana'!$M:$M,redes!A9573)</f>
        <v>0</v>
      </c>
    </row>
    <row r="9574" customFormat="false" ht="14.4" hidden="true" customHeight="false" outlineLevel="0" collapsed="false">
      <c r="A9574" s="34" t="n">
        <v>5523152000192</v>
      </c>
      <c r="B9574" s="34" t="s">
        <v>19433</v>
      </c>
      <c r="C9574" s="34" t="s">
        <v>77</v>
      </c>
      <c r="E9574" s="30" t="s">
        <v>19434</v>
      </c>
      <c r="F9574" s="34" t="n">
        <f aca="false">IFERROR(VLOOKUP($A9574,'319'!$B:$H,7,0),0)</f>
        <v>0</v>
      </c>
      <c r="G9574" s="34" t="n">
        <f aca="false">SUMIFS('12.326ana'!$C:$C,'12.326ana'!$M:$M,redes!A9574)</f>
        <v>0</v>
      </c>
    </row>
    <row r="9575" customFormat="false" ht="14.4" hidden="true" customHeight="false" outlineLevel="0" collapsed="false">
      <c r="A9575" s="34" t="n">
        <v>5524314000107</v>
      </c>
      <c r="B9575" s="34" t="s">
        <v>19435</v>
      </c>
      <c r="C9575" s="34" t="s">
        <v>631</v>
      </c>
      <c r="E9575" s="30" t="s">
        <v>10018</v>
      </c>
      <c r="F9575" s="34" t="n">
        <f aca="false">IFERROR(VLOOKUP($A9575,'319'!$B:$H,7,0),0)</f>
        <v>0</v>
      </c>
      <c r="G9575" s="34" t="n">
        <f aca="false">SUMIFS('12.326ana'!$C:$C,'12.326ana'!$M:$M,redes!A9575)</f>
        <v>0</v>
      </c>
    </row>
    <row r="9576" customFormat="false" ht="14.4" hidden="true" customHeight="false" outlineLevel="0" collapsed="false">
      <c r="A9576" s="34" t="n">
        <v>5525125000159</v>
      </c>
      <c r="B9576" s="34" t="s">
        <v>19436</v>
      </c>
      <c r="C9576" s="34" t="s">
        <v>77</v>
      </c>
      <c r="E9576" s="30"/>
      <c r="F9576" s="34" t="n">
        <f aca="false">IFERROR(VLOOKUP($A9576,'319'!$B:$H,7,0),0)</f>
        <v>0</v>
      </c>
      <c r="G9576" s="34" t="n">
        <f aca="false">SUMIFS('12.326ana'!$C:$C,'12.326ana'!$M:$M,redes!A9576)</f>
        <v>0</v>
      </c>
    </row>
    <row r="9577" customFormat="false" ht="14.4" hidden="true" customHeight="false" outlineLevel="0" collapsed="false">
      <c r="A9577" s="34" t="n">
        <v>5525296000188</v>
      </c>
      <c r="B9577" s="34" t="s">
        <v>19437</v>
      </c>
      <c r="C9577" s="34" t="s">
        <v>77</v>
      </c>
      <c r="E9577" s="30" t="s">
        <v>19438</v>
      </c>
      <c r="F9577" s="34" t="n">
        <f aca="false">IFERROR(VLOOKUP($A9577,'319'!$B:$H,7,0),0)</f>
        <v>0</v>
      </c>
      <c r="G9577" s="34" t="n">
        <f aca="false">SUMIFS('12.326ana'!$C:$C,'12.326ana'!$M:$M,redes!A9577)</f>
        <v>0</v>
      </c>
    </row>
    <row r="9578" customFormat="false" ht="14.4" hidden="true" customHeight="false" outlineLevel="0" collapsed="false">
      <c r="A9578" s="34" t="n">
        <v>5525339000125</v>
      </c>
      <c r="B9578" s="34" t="s">
        <v>19439</v>
      </c>
      <c r="C9578" s="34" t="s">
        <v>464</v>
      </c>
      <c r="E9578" s="30" t="s">
        <v>19440</v>
      </c>
      <c r="F9578" s="34" t="n">
        <f aca="false">IFERROR(VLOOKUP($A9578,'319'!$B:$H,7,0),0)</f>
        <v>0</v>
      </c>
      <c r="G9578" s="34" t="n">
        <f aca="false">SUMIFS('12.326ana'!$C:$C,'12.326ana'!$M:$M,redes!A9578)</f>
        <v>0</v>
      </c>
    </row>
    <row r="9579" customFormat="false" ht="14.4" hidden="true" customHeight="false" outlineLevel="0" collapsed="false">
      <c r="A9579" s="34" t="n">
        <v>5527086000129</v>
      </c>
      <c r="B9579" s="34" t="s">
        <v>19441</v>
      </c>
      <c r="C9579" s="34" t="s">
        <v>342</v>
      </c>
      <c r="E9579" s="30" t="s">
        <v>19442</v>
      </c>
      <c r="F9579" s="34" t="n">
        <f aca="false">IFERROR(VLOOKUP($A9579,'319'!$B:$H,7,0),0)</f>
        <v>0</v>
      </c>
      <c r="G9579" s="34" t="n">
        <f aca="false">SUMIFS('12.326ana'!$C:$C,'12.326ana'!$M:$M,redes!A9579)</f>
        <v>0</v>
      </c>
    </row>
    <row r="9580" customFormat="false" ht="14.4" hidden="true" customHeight="false" outlineLevel="0" collapsed="false">
      <c r="A9580" s="34" t="n">
        <v>5527410000109</v>
      </c>
      <c r="B9580" s="34" t="s">
        <v>19443</v>
      </c>
      <c r="C9580" s="34" t="s">
        <v>139</v>
      </c>
      <c r="E9580" s="30" t="s">
        <v>19444</v>
      </c>
      <c r="F9580" s="34" t="n">
        <f aca="false">IFERROR(VLOOKUP($A9580,'319'!$B:$H,7,0),0)</f>
        <v>0</v>
      </c>
      <c r="G9580" s="34" t="n">
        <f aca="false">SUMIFS('12.326ana'!$C:$C,'12.326ana'!$M:$M,redes!A9580)</f>
        <v>0</v>
      </c>
    </row>
    <row r="9581" customFormat="false" ht="14.4" hidden="true" customHeight="false" outlineLevel="0" collapsed="false">
      <c r="A9581" s="34" t="n">
        <v>5527590000129</v>
      </c>
      <c r="B9581" s="34" t="s">
        <v>19445</v>
      </c>
      <c r="C9581" s="34" t="s">
        <v>77</v>
      </c>
      <c r="E9581" s="30" t="s">
        <v>19446</v>
      </c>
      <c r="F9581" s="34" t="n">
        <f aca="false">IFERROR(VLOOKUP($A9581,'319'!$B:$H,7,0),0)</f>
        <v>0</v>
      </c>
      <c r="G9581" s="34" t="n">
        <f aca="false">SUMIFS('12.326ana'!$C:$C,'12.326ana'!$M:$M,redes!A9581)</f>
        <v>0</v>
      </c>
    </row>
    <row r="9582" customFormat="false" ht="14.4" hidden="true" customHeight="false" outlineLevel="0" collapsed="false">
      <c r="A9582" s="34" t="n">
        <v>5527611000106</v>
      </c>
      <c r="B9582" s="34" t="s">
        <v>19447</v>
      </c>
      <c r="C9582" s="34" t="s">
        <v>357</v>
      </c>
      <c r="E9582" s="30" t="s">
        <v>8135</v>
      </c>
      <c r="F9582" s="34" t="n">
        <f aca="false">IFERROR(VLOOKUP($A9582,'319'!$B:$H,7,0),0)</f>
        <v>0</v>
      </c>
      <c r="G9582" s="34" t="n">
        <f aca="false">SUMIFS('12.326ana'!$C:$C,'12.326ana'!$M:$M,redes!A9582)</f>
        <v>0</v>
      </c>
    </row>
    <row r="9583" customFormat="false" ht="14.4" hidden="true" customHeight="false" outlineLevel="0" collapsed="false">
      <c r="A9583" s="34" t="n">
        <v>5529369000100</v>
      </c>
      <c r="B9583" s="34" t="s">
        <v>19448</v>
      </c>
      <c r="C9583" s="34" t="s">
        <v>77</v>
      </c>
      <c r="E9583" s="30" t="s">
        <v>19449</v>
      </c>
      <c r="F9583" s="34" t="n">
        <f aca="false">IFERROR(VLOOKUP($A9583,'319'!$B:$H,7,0),0)</f>
        <v>0</v>
      </c>
      <c r="G9583" s="34" t="n">
        <f aca="false">SUMIFS('12.326ana'!$C:$C,'12.326ana'!$M:$M,redes!A9583)</f>
        <v>0</v>
      </c>
    </row>
    <row r="9584" customFormat="false" ht="14.4" hidden="true" customHeight="false" outlineLevel="0" collapsed="false">
      <c r="A9584" s="34" t="n">
        <v>5531377000190</v>
      </c>
      <c r="B9584" s="34" t="s">
        <v>19450</v>
      </c>
      <c r="C9584" s="34" t="s">
        <v>103</v>
      </c>
      <c r="E9584" s="30" t="s">
        <v>19451</v>
      </c>
      <c r="F9584" s="34" t="n">
        <f aca="false">IFERROR(VLOOKUP($A9584,'319'!$B:$H,7,0),0)</f>
        <v>0</v>
      </c>
      <c r="G9584" s="34" t="n">
        <f aca="false">SUMIFS('12.326ana'!$C:$C,'12.326ana'!$M:$M,redes!A9584)</f>
        <v>0</v>
      </c>
    </row>
    <row r="9585" customFormat="false" ht="14.4" hidden="true" customHeight="false" outlineLevel="0" collapsed="false">
      <c r="A9585" s="34" t="n">
        <v>5532071000159</v>
      </c>
      <c r="B9585" s="34" t="s">
        <v>10763</v>
      </c>
      <c r="C9585" s="34" t="s">
        <v>77</v>
      </c>
      <c r="E9585" s="30" t="s">
        <v>3194</v>
      </c>
      <c r="F9585" s="34" t="n">
        <f aca="false">IFERROR(VLOOKUP($A9585,'319'!$B:$H,7,0),0)</f>
        <v>0</v>
      </c>
      <c r="G9585" s="34" t="n">
        <f aca="false">SUMIFS('12.326ana'!$C:$C,'12.326ana'!$M:$M,redes!A9585)</f>
        <v>0</v>
      </c>
    </row>
    <row r="9586" customFormat="false" ht="14.4" hidden="true" customHeight="false" outlineLevel="0" collapsed="false">
      <c r="A9586" s="34" t="n">
        <v>5532780000134</v>
      </c>
      <c r="B9586" s="34" t="s">
        <v>19452</v>
      </c>
      <c r="C9586" s="34" t="s">
        <v>299</v>
      </c>
      <c r="E9586" s="30" t="s">
        <v>19453</v>
      </c>
      <c r="F9586" s="34" t="n">
        <f aca="false">IFERROR(VLOOKUP($A9586,'319'!$B:$H,7,0),0)</f>
        <v>0</v>
      </c>
      <c r="G9586" s="34" t="n">
        <f aca="false">SUMIFS('12.326ana'!$C:$C,'12.326ana'!$M:$M,redes!A9586)</f>
        <v>0</v>
      </c>
    </row>
    <row r="9587" customFormat="false" ht="14.4" hidden="true" customHeight="false" outlineLevel="0" collapsed="false">
      <c r="A9587" s="34" t="n">
        <v>5536492000158</v>
      </c>
      <c r="B9587" s="34" t="s">
        <v>19454</v>
      </c>
      <c r="C9587" s="34" t="s">
        <v>77</v>
      </c>
      <c r="E9587" s="30" t="s">
        <v>19455</v>
      </c>
      <c r="F9587" s="34" t="n">
        <f aca="false">IFERROR(VLOOKUP($A9587,'319'!$B:$H,7,0),0)</f>
        <v>0</v>
      </c>
      <c r="G9587" s="34" t="n">
        <f aca="false">SUMIFS('12.326ana'!$C:$C,'12.326ana'!$M:$M,redes!A9587)</f>
        <v>0</v>
      </c>
    </row>
    <row r="9588" customFormat="false" ht="14.4" hidden="true" customHeight="false" outlineLevel="0" collapsed="false">
      <c r="A9588" s="34" t="n">
        <v>5540732000198</v>
      </c>
      <c r="B9588" s="34" t="s">
        <v>19456</v>
      </c>
      <c r="C9588" s="34" t="s">
        <v>77</v>
      </c>
      <c r="E9588" s="30" t="s">
        <v>19457</v>
      </c>
      <c r="F9588" s="34" t="n">
        <f aca="false">IFERROR(VLOOKUP($A9588,'319'!$B:$H,7,0),0)</f>
        <v>0</v>
      </c>
      <c r="G9588" s="34" t="n">
        <f aca="false">SUMIFS('12.326ana'!$C:$C,'12.326ana'!$M:$M,redes!A9588)</f>
        <v>0</v>
      </c>
    </row>
    <row r="9589" customFormat="false" ht="14.4" hidden="true" customHeight="false" outlineLevel="0" collapsed="false">
      <c r="A9589" s="34" t="n">
        <v>5541899000173</v>
      </c>
      <c r="B9589" s="34" t="s">
        <v>19458</v>
      </c>
      <c r="C9589" s="34" t="s">
        <v>107</v>
      </c>
      <c r="E9589" s="30" t="s">
        <v>19459</v>
      </c>
      <c r="F9589" s="34" t="n">
        <f aca="false">IFERROR(VLOOKUP($A9589,'319'!$B:$H,7,0),0)</f>
        <v>0</v>
      </c>
      <c r="G9589" s="34" t="n">
        <f aca="false">SUMIFS('12.326ana'!$C:$C,'12.326ana'!$M:$M,redes!A9589)</f>
        <v>0</v>
      </c>
    </row>
    <row r="9590" customFormat="false" ht="14.4" hidden="true" customHeight="false" outlineLevel="0" collapsed="false">
      <c r="A9590" s="34" t="n">
        <v>5542293000152</v>
      </c>
      <c r="B9590" s="34" t="s">
        <v>19460</v>
      </c>
      <c r="C9590" s="34" t="s">
        <v>207</v>
      </c>
      <c r="E9590" s="30" t="s">
        <v>3337</v>
      </c>
      <c r="F9590" s="34" t="n">
        <f aca="false">IFERROR(VLOOKUP($A9590,'319'!$B:$H,7,0),0)</f>
        <v>-378.94</v>
      </c>
      <c r="G9590" s="34" t="n">
        <f aca="false">SUMIFS('12.326ana'!$C:$C,'12.326ana'!$M:$M,redes!A9590)</f>
        <v>0</v>
      </c>
    </row>
    <row r="9591" customFormat="false" ht="14.4" hidden="true" customHeight="false" outlineLevel="0" collapsed="false">
      <c r="A9591" s="34" t="n">
        <v>5543135000117</v>
      </c>
      <c r="B9591" s="34" t="s">
        <v>19461</v>
      </c>
      <c r="C9591" s="34" t="s">
        <v>77</v>
      </c>
      <c r="E9591" s="30" t="s">
        <v>19462</v>
      </c>
      <c r="F9591" s="34" t="n">
        <f aca="false">IFERROR(VLOOKUP($A9591,'319'!$B:$H,7,0),0)</f>
        <v>0</v>
      </c>
      <c r="G9591" s="34" t="n">
        <f aca="false">SUMIFS('12.326ana'!$C:$C,'12.326ana'!$M:$M,redes!A9591)</f>
        <v>0</v>
      </c>
    </row>
    <row r="9592" customFormat="false" ht="14.4" hidden="true" customHeight="false" outlineLevel="0" collapsed="false">
      <c r="A9592" s="34" t="n">
        <v>5543175000169</v>
      </c>
      <c r="B9592" s="34" t="s">
        <v>19463</v>
      </c>
      <c r="C9592" s="34" t="s">
        <v>77</v>
      </c>
      <c r="E9592" s="30" t="s">
        <v>19464</v>
      </c>
      <c r="F9592" s="34" t="n">
        <f aca="false">IFERROR(VLOOKUP($A9592,'319'!$B:$H,7,0),0)</f>
        <v>0</v>
      </c>
      <c r="G9592" s="34" t="n">
        <f aca="false">SUMIFS('12.326ana'!$C:$C,'12.326ana'!$M:$M,redes!A9592)</f>
        <v>0</v>
      </c>
    </row>
    <row r="9593" customFormat="false" ht="14.4" hidden="true" customHeight="false" outlineLevel="0" collapsed="false">
      <c r="A9593" s="34" t="n">
        <v>5544730000177</v>
      </c>
      <c r="B9593" s="34" t="s">
        <v>19465</v>
      </c>
      <c r="C9593" s="34" t="s">
        <v>475</v>
      </c>
      <c r="E9593" s="30" t="s">
        <v>19466</v>
      </c>
      <c r="F9593" s="34" t="n">
        <f aca="false">IFERROR(VLOOKUP($A9593,'319'!$B:$H,7,0),0)</f>
        <v>0</v>
      </c>
      <c r="G9593" s="34" t="n">
        <f aca="false">SUMIFS('12.326ana'!$C:$C,'12.326ana'!$M:$M,redes!A9593)</f>
        <v>0</v>
      </c>
    </row>
    <row r="9594" customFormat="false" ht="14.4" hidden="true" customHeight="false" outlineLevel="0" collapsed="false">
      <c r="A9594" s="34" t="n">
        <v>5544839000104</v>
      </c>
      <c r="B9594" s="34" t="s">
        <v>19467</v>
      </c>
      <c r="C9594" s="34" t="s">
        <v>77</v>
      </c>
      <c r="E9594" s="30" t="s">
        <v>19468</v>
      </c>
      <c r="F9594" s="34" t="n">
        <f aca="false">IFERROR(VLOOKUP($A9594,'319'!$B:$H,7,0),0)</f>
        <v>0</v>
      </c>
      <c r="G9594" s="34" t="n">
        <f aca="false">SUMIFS('12.326ana'!$C:$C,'12.326ana'!$M:$M,redes!A9594)</f>
        <v>0</v>
      </c>
    </row>
    <row r="9595" customFormat="false" ht="14.4" hidden="true" customHeight="false" outlineLevel="0" collapsed="false">
      <c r="A9595" s="34" t="n">
        <v>5546191000105</v>
      </c>
      <c r="B9595" s="34" t="s">
        <v>19469</v>
      </c>
      <c r="C9595" s="34" t="s">
        <v>737</v>
      </c>
      <c r="E9595" s="30" t="s">
        <v>19470</v>
      </c>
      <c r="F9595" s="34" t="n">
        <f aca="false">IFERROR(VLOOKUP($A9595,'319'!$B:$H,7,0),0)</f>
        <v>87.28</v>
      </c>
      <c r="G9595" s="34" t="n">
        <f aca="false">SUMIFS('12.326ana'!$C:$C,'12.326ana'!$M:$M,redes!A9595)</f>
        <v>0</v>
      </c>
    </row>
    <row r="9596" customFormat="false" ht="14.4" hidden="true" customHeight="false" outlineLevel="0" collapsed="false">
      <c r="A9596" s="34" t="n">
        <v>5547288000132</v>
      </c>
      <c r="B9596" s="34" t="s">
        <v>19471</v>
      </c>
      <c r="C9596" s="34" t="s">
        <v>1054</v>
      </c>
      <c r="E9596" s="30" t="s">
        <v>19472</v>
      </c>
      <c r="F9596" s="34" t="n">
        <f aca="false">IFERROR(VLOOKUP($A9596,'319'!$B:$H,7,0),0)</f>
        <v>0</v>
      </c>
      <c r="G9596" s="34" t="n">
        <f aca="false">SUMIFS('12.326ana'!$C:$C,'12.326ana'!$M:$M,redes!A9596)</f>
        <v>0</v>
      </c>
    </row>
    <row r="9597" customFormat="false" ht="14.4" hidden="true" customHeight="false" outlineLevel="0" collapsed="false">
      <c r="A9597" s="34" t="n">
        <v>5548002000133</v>
      </c>
      <c r="B9597" s="34" t="s">
        <v>19473</v>
      </c>
      <c r="C9597" s="34" t="s">
        <v>107</v>
      </c>
      <c r="E9597" s="30" t="s">
        <v>19474</v>
      </c>
      <c r="F9597" s="34" t="n">
        <f aca="false">IFERROR(VLOOKUP($A9597,'319'!$B:$H,7,0),0)</f>
        <v>0</v>
      </c>
      <c r="G9597" s="34" t="n">
        <f aca="false">SUMIFS('12.326ana'!$C:$C,'12.326ana'!$M:$M,redes!A9597)</f>
        <v>0</v>
      </c>
    </row>
    <row r="9598" customFormat="false" ht="14.4" hidden="true" customHeight="false" outlineLevel="0" collapsed="false">
      <c r="A9598" s="34" t="n">
        <v>5548146000190</v>
      </c>
      <c r="B9598" s="34" t="s">
        <v>19475</v>
      </c>
      <c r="C9598" s="34" t="s">
        <v>107</v>
      </c>
      <c r="E9598" s="30" t="s">
        <v>19476</v>
      </c>
      <c r="F9598" s="34" t="n">
        <f aca="false">IFERROR(VLOOKUP($A9598,'319'!$B:$H,7,0),0)</f>
        <v>0</v>
      </c>
      <c r="G9598" s="34" t="n">
        <f aca="false">SUMIFS('12.326ana'!$C:$C,'12.326ana'!$M:$M,redes!A9598)</f>
        <v>0</v>
      </c>
    </row>
    <row r="9599" customFormat="false" ht="14.4" hidden="true" customHeight="false" outlineLevel="0" collapsed="false">
      <c r="A9599" s="34" t="n">
        <v>5549075000140</v>
      </c>
      <c r="B9599" s="34" t="s">
        <v>19477</v>
      </c>
      <c r="C9599" s="34" t="s">
        <v>77</v>
      </c>
      <c r="E9599" s="30" t="s">
        <v>19478</v>
      </c>
      <c r="F9599" s="34" t="n">
        <f aca="false">IFERROR(VLOOKUP($A9599,'319'!$B:$H,7,0),0)</f>
        <v>0</v>
      </c>
      <c r="G9599" s="34" t="n">
        <f aca="false">SUMIFS('12.326ana'!$C:$C,'12.326ana'!$M:$M,redes!A9599)</f>
        <v>0</v>
      </c>
    </row>
    <row r="9600" customFormat="false" ht="14.4" hidden="true" customHeight="false" outlineLevel="0" collapsed="false">
      <c r="A9600" s="34" t="n">
        <v>5549110000120</v>
      </c>
      <c r="B9600" s="34" t="s">
        <v>19479</v>
      </c>
      <c r="C9600" s="34" t="s">
        <v>77</v>
      </c>
      <c r="E9600" s="30" t="s">
        <v>6972</v>
      </c>
      <c r="F9600" s="34" t="n">
        <f aca="false">IFERROR(VLOOKUP($A9600,'319'!$B:$H,7,0),0)</f>
        <v>0</v>
      </c>
      <c r="G9600" s="34" t="n">
        <f aca="false">SUMIFS('12.326ana'!$C:$C,'12.326ana'!$M:$M,redes!A9600)</f>
        <v>0</v>
      </c>
    </row>
    <row r="9601" customFormat="false" ht="14.4" hidden="true" customHeight="false" outlineLevel="0" collapsed="false">
      <c r="A9601" s="34" t="n">
        <v>5550382000140</v>
      </c>
      <c r="B9601" s="34" t="s">
        <v>19480</v>
      </c>
      <c r="C9601" s="34" t="s">
        <v>604</v>
      </c>
      <c r="E9601" s="30" t="s">
        <v>19481</v>
      </c>
      <c r="F9601" s="34" t="n">
        <f aca="false">IFERROR(VLOOKUP($A9601,'319'!$B:$H,7,0),0)</f>
        <v>0</v>
      </c>
      <c r="G9601" s="34" t="n">
        <f aca="false">SUMIFS('12.326ana'!$C:$C,'12.326ana'!$M:$M,redes!A9601)</f>
        <v>0</v>
      </c>
    </row>
    <row r="9602" customFormat="false" ht="14.4" hidden="true" customHeight="false" outlineLevel="0" collapsed="false">
      <c r="A9602" s="34" t="n">
        <v>5550574000157</v>
      </c>
      <c r="B9602" s="34" t="s">
        <v>8557</v>
      </c>
      <c r="C9602" s="34" t="s">
        <v>713</v>
      </c>
      <c r="E9602" s="30" t="s">
        <v>19482</v>
      </c>
      <c r="F9602" s="34" t="n">
        <f aca="false">IFERROR(VLOOKUP($A9602,'319'!$B:$H,7,0),0)</f>
        <v>-507.82</v>
      </c>
      <c r="G9602" s="34" t="n">
        <f aca="false">SUMIFS('12.326ana'!$C:$C,'12.326ana'!$M:$M,redes!A9602)</f>
        <v>0</v>
      </c>
    </row>
    <row r="9603" customFormat="false" ht="14.4" hidden="true" customHeight="false" outlineLevel="0" collapsed="false">
      <c r="A9603" s="34" t="n">
        <v>5550661000104</v>
      </c>
      <c r="B9603" s="34" t="s">
        <v>19483</v>
      </c>
      <c r="C9603" s="34" t="s">
        <v>881</v>
      </c>
      <c r="E9603" s="30" t="s">
        <v>19484</v>
      </c>
      <c r="F9603" s="34" t="n">
        <f aca="false">IFERROR(VLOOKUP($A9603,'319'!$B:$H,7,0),0)</f>
        <v>0</v>
      </c>
      <c r="G9603" s="34" t="n">
        <f aca="false">SUMIFS('12.326ana'!$C:$C,'12.326ana'!$M:$M,redes!A9603)</f>
        <v>0</v>
      </c>
    </row>
    <row r="9604" customFormat="false" ht="14.4" hidden="true" customHeight="false" outlineLevel="0" collapsed="false">
      <c r="A9604" s="34" t="n">
        <v>5551235000195</v>
      </c>
      <c r="B9604" s="34" t="s">
        <v>19485</v>
      </c>
      <c r="C9604" s="34" t="s">
        <v>598</v>
      </c>
      <c r="E9604" s="30" t="s">
        <v>3579</v>
      </c>
      <c r="F9604" s="34" t="n">
        <f aca="false">IFERROR(VLOOKUP($A9604,'319'!$B:$H,7,0),0)</f>
        <v>0</v>
      </c>
      <c r="G9604" s="34" t="n">
        <f aca="false">SUMIFS('12.326ana'!$C:$C,'12.326ana'!$M:$M,redes!A9604)</f>
        <v>0</v>
      </c>
    </row>
    <row r="9605" customFormat="false" ht="14.4" hidden="true" customHeight="false" outlineLevel="0" collapsed="false">
      <c r="A9605" s="34" t="n">
        <v>5551293000119</v>
      </c>
      <c r="B9605" s="34" t="s">
        <v>19486</v>
      </c>
      <c r="C9605" s="34" t="s">
        <v>77</v>
      </c>
      <c r="E9605" s="30" t="s">
        <v>19487</v>
      </c>
      <c r="F9605" s="34" t="n">
        <f aca="false">IFERROR(VLOOKUP($A9605,'319'!$B:$H,7,0),0)</f>
        <v>0</v>
      </c>
      <c r="G9605" s="34" t="n">
        <f aca="false">SUMIFS('12.326ana'!$C:$C,'12.326ana'!$M:$M,redes!A9605)</f>
        <v>0</v>
      </c>
    </row>
    <row r="9606" customFormat="false" ht="14.4" hidden="true" customHeight="false" outlineLevel="0" collapsed="false">
      <c r="A9606" s="34" t="n">
        <v>5552121000160</v>
      </c>
      <c r="B9606" s="34" t="s">
        <v>19488</v>
      </c>
      <c r="C9606" s="34" t="s">
        <v>804</v>
      </c>
      <c r="E9606" s="30" t="s">
        <v>19488</v>
      </c>
      <c r="F9606" s="34" t="n">
        <f aca="false">IFERROR(VLOOKUP($A9606,'319'!$B:$H,7,0),0)</f>
        <v>0</v>
      </c>
      <c r="G9606" s="34" t="n">
        <f aca="false">SUMIFS('12.326ana'!$C:$C,'12.326ana'!$M:$M,redes!A9606)</f>
        <v>0</v>
      </c>
    </row>
    <row r="9607" customFormat="false" ht="14.4" hidden="true" customHeight="false" outlineLevel="0" collapsed="false">
      <c r="A9607" s="34" t="n">
        <v>5553799000167</v>
      </c>
      <c r="B9607" s="34" t="s">
        <v>1282</v>
      </c>
      <c r="C9607" s="34" t="s">
        <v>77</v>
      </c>
      <c r="E9607" s="30" t="s">
        <v>3066</v>
      </c>
      <c r="F9607" s="34" t="n">
        <f aca="false">IFERROR(VLOOKUP($A9607,'319'!$B:$H,7,0),0)</f>
        <v>267.25</v>
      </c>
      <c r="G9607" s="34" t="n">
        <f aca="false">SUMIFS('12.326ana'!$C:$C,'12.326ana'!$M:$M,redes!A9607)</f>
        <v>0</v>
      </c>
    </row>
    <row r="9608" customFormat="false" ht="14.4" hidden="true" customHeight="false" outlineLevel="0" collapsed="false">
      <c r="A9608" s="34" t="n">
        <v>5557811000101</v>
      </c>
      <c r="B9608" s="34" t="s">
        <v>19489</v>
      </c>
      <c r="C9608" s="34" t="s">
        <v>744</v>
      </c>
      <c r="E9608" s="30" t="s">
        <v>19490</v>
      </c>
      <c r="F9608" s="34" t="n">
        <f aca="false">IFERROR(VLOOKUP($A9608,'319'!$B:$H,7,0),0)</f>
        <v>0</v>
      </c>
      <c r="G9608" s="34" t="n">
        <f aca="false">SUMIFS('12.326ana'!$C:$C,'12.326ana'!$M:$M,redes!A9608)</f>
        <v>0</v>
      </c>
    </row>
    <row r="9609" customFormat="false" ht="14.4" hidden="true" customHeight="false" outlineLevel="0" collapsed="false">
      <c r="A9609" s="34" t="n">
        <v>5558376000130</v>
      </c>
      <c r="B9609" s="34" t="s">
        <v>19491</v>
      </c>
      <c r="C9609" s="34" t="s">
        <v>192</v>
      </c>
      <c r="E9609" s="30" t="s">
        <v>8814</v>
      </c>
      <c r="F9609" s="34" t="n">
        <f aca="false">IFERROR(VLOOKUP($A9609,'319'!$B:$H,7,0),0)</f>
        <v>0</v>
      </c>
      <c r="G9609" s="34" t="n">
        <f aca="false">SUMIFS('12.326ana'!$C:$C,'12.326ana'!$M:$M,redes!A9609)</f>
        <v>0</v>
      </c>
    </row>
    <row r="9610" customFormat="false" ht="14.4" hidden="true" customHeight="false" outlineLevel="0" collapsed="false">
      <c r="A9610" s="34" t="n">
        <v>5558376000300</v>
      </c>
      <c r="B9610" s="34" t="s">
        <v>19491</v>
      </c>
      <c r="C9610" s="34" t="s">
        <v>192</v>
      </c>
      <c r="E9610" s="30" t="s">
        <v>8629</v>
      </c>
      <c r="F9610" s="34" t="n">
        <f aca="false">IFERROR(VLOOKUP($A9610,'319'!$B:$H,7,0),0)</f>
        <v>0</v>
      </c>
      <c r="G9610" s="34" t="n">
        <f aca="false">SUMIFS('12.326ana'!$C:$C,'12.326ana'!$M:$M,redes!A9610)</f>
        <v>0</v>
      </c>
    </row>
    <row r="9611" customFormat="false" ht="14.4" hidden="true" customHeight="false" outlineLevel="0" collapsed="false">
      <c r="A9611" s="34" t="n">
        <v>5558539000184</v>
      </c>
      <c r="B9611" s="34" t="s">
        <v>19492</v>
      </c>
      <c r="C9611" s="34" t="s">
        <v>77</v>
      </c>
      <c r="E9611" s="30" t="s">
        <v>14055</v>
      </c>
      <c r="F9611" s="34" t="n">
        <f aca="false">IFERROR(VLOOKUP($A9611,'319'!$B:$H,7,0),0)</f>
        <v>0</v>
      </c>
      <c r="G9611" s="34" t="n">
        <f aca="false">SUMIFS('12.326ana'!$C:$C,'12.326ana'!$M:$M,redes!A9611)</f>
        <v>0</v>
      </c>
    </row>
    <row r="9612" customFormat="false" ht="14.4" hidden="true" customHeight="false" outlineLevel="0" collapsed="false">
      <c r="A9612" s="34" t="n">
        <v>5563372000140</v>
      </c>
      <c r="B9612" s="34" t="s">
        <v>19493</v>
      </c>
      <c r="C9612" s="34" t="s">
        <v>139</v>
      </c>
      <c r="E9612" s="30" t="s">
        <v>19494</v>
      </c>
      <c r="F9612" s="34" t="n">
        <f aca="false">IFERROR(VLOOKUP($A9612,'319'!$B:$H,7,0),0)</f>
        <v>0</v>
      </c>
      <c r="G9612" s="34" t="n">
        <f aca="false">SUMIFS('12.326ana'!$C:$C,'12.326ana'!$M:$M,redes!A9612)</f>
        <v>0</v>
      </c>
    </row>
    <row r="9613" customFormat="false" ht="14.4" hidden="true" customHeight="false" outlineLevel="0" collapsed="false">
      <c r="A9613" s="34" t="n">
        <v>5563616000194</v>
      </c>
      <c r="B9613" s="34" t="s">
        <v>19495</v>
      </c>
      <c r="C9613" s="34" t="s">
        <v>139</v>
      </c>
      <c r="E9613" s="30" t="s">
        <v>11565</v>
      </c>
      <c r="F9613" s="34" t="n">
        <f aca="false">IFERROR(VLOOKUP($A9613,'319'!$B:$H,7,0),0)</f>
        <v>0</v>
      </c>
      <c r="G9613" s="34" t="n">
        <f aca="false">SUMIFS('12.326ana'!$C:$C,'12.326ana'!$M:$M,redes!A9613)</f>
        <v>0</v>
      </c>
    </row>
    <row r="9614" customFormat="false" ht="14.4" hidden="true" customHeight="false" outlineLevel="0" collapsed="false">
      <c r="A9614" s="34" t="n">
        <v>5563651000103</v>
      </c>
      <c r="B9614" s="34" t="s">
        <v>19496</v>
      </c>
      <c r="C9614" s="34" t="s">
        <v>478</v>
      </c>
      <c r="E9614" s="30" t="s">
        <v>19497</v>
      </c>
      <c r="F9614" s="34" t="n">
        <f aca="false">IFERROR(VLOOKUP($A9614,'319'!$B:$H,7,0),0)</f>
        <v>0</v>
      </c>
      <c r="G9614" s="34" t="n">
        <f aca="false">SUMIFS('12.326ana'!$C:$C,'12.326ana'!$M:$M,redes!A9614)</f>
        <v>0</v>
      </c>
    </row>
    <row r="9615" customFormat="false" ht="14.4" hidden="true" customHeight="false" outlineLevel="0" collapsed="false">
      <c r="A9615" s="34" t="n">
        <v>5565879000132</v>
      </c>
      <c r="B9615" s="34" t="s">
        <v>19498</v>
      </c>
      <c r="C9615" s="34" t="s">
        <v>804</v>
      </c>
      <c r="E9615" s="30" t="s">
        <v>19499</v>
      </c>
      <c r="F9615" s="34" t="n">
        <f aca="false">IFERROR(VLOOKUP($A9615,'319'!$B:$H,7,0),0)</f>
        <v>0</v>
      </c>
      <c r="G9615" s="34" t="n">
        <f aca="false">SUMIFS('12.326ana'!$C:$C,'12.326ana'!$M:$M,redes!A9615)</f>
        <v>0</v>
      </c>
    </row>
    <row r="9616" customFormat="false" ht="14.4" hidden="true" customHeight="false" outlineLevel="0" collapsed="false">
      <c r="A9616" s="34" t="n">
        <v>5566097000118</v>
      </c>
      <c r="B9616" s="34" t="s">
        <v>19500</v>
      </c>
      <c r="C9616" s="34" t="s">
        <v>127</v>
      </c>
      <c r="E9616" s="30" t="s">
        <v>19501</v>
      </c>
      <c r="F9616" s="34" t="n">
        <f aca="false">IFERROR(VLOOKUP($A9616,'319'!$B:$H,7,0),0)</f>
        <v>0</v>
      </c>
      <c r="G9616" s="34" t="n">
        <f aca="false">SUMIFS('12.326ana'!$C:$C,'12.326ana'!$M:$M,redes!A9616)</f>
        <v>0</v>
      </c>
    </row>
    <row r="9617" customFormat="false" ht="14.4" hidden="true" customHeight="false" outlineLevel="0" collapsed="false">
      <c r="A9617" s="34" t="n">
        <v>5573633000102</v>
      </c>
      <c r="B9617" s="34" t="s">
        <v>3510</v>
      </c>
      <c r="C9617" s="34" t="s">
        <v>77</v>
      </c>
      <c r="E9617" s="30" t="s">
        <v>6255</v>
      </c>
      <c r="F9617" s="34" t="n">
        <f aca="false">IFERROR(VLOOKUP($A9617,'319'!$B:$H,7,0),0)</f>
        <v>0</v>
      </c>
      <c r="G9617" s="34" t="n">
        <f aca="false">SUMIFS('12.326ana'!$C:$C,'12.326ana'!$M:$M,redes!A9617)</f>
        <v>0</v>
      </c>
    </row>
    <row r="9618" customFormat="false" ht="14.4" hidden="true" customHeight="false" outlineLevel="0" collapsed="false">
      <c r="A9618" s="34" t="n">
        <v>5576652000192</v>
      </c>
      <c r="B9618" s="34" t="s">
        <v>19502</v>
      </c>
      <c r="C9618" s="34" t="s">
        <v>77</v>
      </c>
      <c r="E9618" s="30" t="s">
        <v>19503</v>
      </c>
      <c r="F9618" s="34" t="n">
        <f aca="false">IFERROR(VLOOKUP($A9618,'319'!$B:$H,7,0),0)</f>
        <v>0</v>
      </c>
      <c r="G9618" s="34" t="n">
        <f aca="false">SUMIFS('12.326ana'!$C:$C,'12.326ana'!$M:$M,redes!A9618)</f>
        <v>0</v>
      </c>
    </row>
    <row r="9619" customFormat="false" ht="14.4" hidden="true" customHeight="false" outlineLevel="0" collapsed="false">
      <c r="A9619" s="34" t="n">
        <v>5578226000198</v>
      </c>
      <c r="B9619" s="34" t="s">
        <v>19504</v>
      </c>
      <c r="C9619" s="34" t="s">
        <v>842</v>
      </c>
      <c r="E9619" s="30" t="s">
        <v>17326</v>
      </c>
      <c r="F9619" s="34" t="n">
        <f aca="false">IFERROR(VLOOKUP($A9619,'319'!$B:$H,7,0),0)</f>
        <v>0</v>
      </c>
      <c r="G9619" s="34" t="n">
        <f aca="false">SUMIFS('12.326ana'!$C:$C,'12.326ana'!$M:$M,redes!A9619)</f>
        <v>0</v>
      </c>
    </row>
    <row r="9620" customFormat="false" ht="14.4" hidden="true" customHeight="false" outlineLevel="0" collapsed="false">
      <c r="A9620" s="34" t="n">
        <v>5578843000193</v>
      </c>
      <c r="B9620" s="34" t="s">
        <v>19505</v>
      </c>
      <c r="C9620" s="34" t="s">
        <v>77</v>
      </c>
      <c r="E9620" s="30" t="s">
        <v>19506</v>
      </c>
      <c r="F9620" s="34" t="n">
        <f aca="false">IFERROR(VLOOKUP($A9620,'319'!$B:$H,7,0),0)</f>
        <v>0</v>
      </c>
      <c r="G9620" s="34" t="n">
        <f aca="false">SUMIFS('12.326ana'!$C:$C,'12.326ana'!$M:$M,redes!A9620)</f>
        <v>0</v>
      </c>
    </row>
    <row r="9621" customFormat="false" ht="14.4" hidden="true" customHeight="false" outlineLevel="0" collapsed="false">
      <c r="A9621" s="34" t="n">
        <v>5580304000199</v>
      </c>
      <c r="B9621" s="34" t="s">
        <v>19507</v>
      </c>
      <c r="C9621" s="34" t="s">
        <v>342</v>
      </c>
      <c r="E9621" s="30" t="s">
        <v>14991</v>
      </c>
      <c r="F9621" s="34" t="n">
        <f aca="false">IFERROR(VLOOKUP($A9621,'319'!$B:$H,7,0),0)</f>
        <v>0</v>
      </c>
      <c r="G9621" s="34" t="n">
        <f aca="false">SUMIFS('12.326ana'!$C:$C,'12.326ana'!$M:$M,redes!A9621)</f>
        <v>0</v>
      </c>
    </row>
    <row r="9622" customFormat="false" ht="14.4" hidden="true" customHeight="false" outlineLevel="0" collapsed="false">
      <c r="A9622" s="34" t="n">
        <v>5580312000135</v>
      </c>
      <c r="B9622" s="34" t="s">
        <v>19508</v>
      </c>
      <c r="C9622" s="34" t="s">
        <v>107</v>
      </c>
      <c r="E9622" s="30" t="s">
        <v>19509</v>
      </c>
      <c r="F9622" s="34" t="n">
        <f aca="false">IFERROR(VLOOKUP($A9622,'319'!$B:$H,7,0),0)</f>
        <v>0</v>
      </c>
      <c r="G9622" s="34" t="n">
        <f aca="false">SUMIFS('12.326ana'!$C:$C,'12.326ana'!$M:$M,redes!A9622)</f>
        <v>0</v>
      </c>
    </row>
    <row r="9623" customFormat="false" ht="14.4" hidden="true" customHeight="false" outlineLevel="0" collapsed="false">
      <c r="A9623" s="34" t="n">
        <v>5581497000283</v>
      </c>
      <c r="B9623" s="34" t="s">
        <v>19510</v>
      </c>
      <c r="C9623" s="34" t="s">
        <v>77</v>
      </c>
      <c r="E9623" s="30"/>
      <c r="F9623" s="34" t="n">
        <f aca="false">IFERROR(VLOOKUP($A9623,'319'!$B:$H,7,0),0)</f>
        <v>0</v>
      </c>
      <c r="G9623" s="34" t="n">
        <f aca="false">SUMIFS('12.326ana'!$C:$C,'12.326ana'!$M:$M,redes!A9623)</f>
        <v>0</v>
      </c>
    </row>
    <row r="9624" customFormat="false" ht="14.4" hidden="true" customHeight="false" outlineLevel="0" collapsed="false">
      <c r="A9624" s="34" t="n">
        <v>5581612000139</v>
      </c>
      <c r="B9624" s="34" t="s">
        <v>19511</v>
      </c>
      <c r="C9624" s="34" t="s">
        <v>77</v>
      </c>
      <c r="E9624" s="30" t="s">
        <v>5611</v>
      </c>
      <c r="F9624" s="34" t="n">
        <f aca="false">IFERROR(VLOOKUP($A9624,'319'!$B:$H,7,0),0)</f>
        <v>0</v>
      </c>
      <c r="G9624" s="34" t="n">
        <f aca="false">SUMIFS('12.326ana'!$C:$C,'12.326ana'!$M:$M,redes!A9624)</f>
        <v>0</v>
      </c>
    </row>
    <row r="9625" customFormat="false" ht="14.4" hidden="true" customHeight="false" outlineLevel="0" collapsed="false">
      <c r="A9625" s="34" t="n">
        <v>5581621000120</v>
      </c>
      <c r="B9625" s="34" t="s">
        <v>19512</v>
      </c>
      <c r="C9625" s="34" t="s">
        <v>77</v>
      </c>
      <c r="E9625" s="30" t="s">
        <v>19513</v>
      </c>
      <c r="F9625" s="34" t="n">
        <f aca="false">IFERROR(VLOOKUP($A9625,'319'!$B:$H,7,0),0)</f>
        <v>0</v>
      </c>
      <c r="G9625" s="34" t="n">
        <f aca="false">SUMIFS('12.326ana'!$C:$C,'12.326ana'!$M:$M,redes!A9625)</f>
        <v>0</v>
      </c>
    </row>
    <row r="9626" customFormat="false" ht="14.4" hidden="true" customHeight="false" outlineLevel="0" collapsed="false">
      <c r="A9626" s="34" t="n">
        <v>5581689000109</v>
      </c>
      <c r="B9626" s="34" t="s">
        <v>19514</v>
      </c>
      <c r="C9626" s="34" t="s">
        <v>77</v>
      </c>
      <c r="E9626" s="30" t="s">
        <v>19515</v>
      </c>
      <c r="F9626" s="34" t="n">
        <f aca="false">IFERROR(VLOOKUP($A9626,'319'!$B:$H,7,0),0)</f>
        <v>0</v>
      </c>
      <c r="G9626" s="34" t="n">
        <f aca="false">SUMIFS('12.326ana'!$C:$C,'12.326ana'!$M:$M,redes!A9626)</f>
        <v>0</v>
      </c>
    </row>
    <row r="9627" customFormat="false" ht="14.4" hidden="true" customHeight="false" outlineLevel="0" collapsed="false">
      <c r="A9627" s="34" t="n">
        <v>5583656000106</v>
      </c>
      <c r="B9627" s="34" t="s">
        <v>19516</v>
      </c>
      <c r="C9627" s="34" t="s">
        <v>77</v>
      </c>
      <c r="E9627" s="30" t="s">
        <v>19517</v>
      </c>
      <c r="F9627" s="34" t="n">
        <f aca="false">IFERROR(VLOOKUP($A9627,'319'!$B:$H,7,0),0)</f>
        <v>0</v>
      </c>
      <c r="G9627" s="34" t="n">
        <f aca="false">SUMIFS('12.326ana'!$C:$C,'12.326ana'!$M:$M,redes!A9627)</f>
        <v>0</v>
      </c>
    </row>
    <row r="9628" customFormat="false" ht="14.4" hidden="true" customHeight="false" outlineLevel="0" collapsed="false">
      <c r="A9628" s="34" t="n">
        <v>5586814000173</v>
      </c>
      <c r="B9628" s="34" t="s">
        <v>19518</v>
      </c>
      <c r="C9628" s="34" t="s">
        <v>107</v>
      </c>
      <c r="E9628" s="30" t="s">
        <v>3043</v>
      </c>
      <c r="F9628" s="34" t="n">
        <f aca="false">IFERROR(VLOOKUP($A9628,'319'!$B:$H,7,0),0)</f>
        <v>0</v>
      </c>
      <c r="G9628" s="34" t="n">
        <f aca="false">SUMIFS('12.326ana'!$C:$C,'12.326ana'!$M:$M,redes!A9628)</f>
        <v>0</v>
      </c>
    </row>
    <row r="9629" customFormat="false" ht="14.4" hidden="true" customHeight="false" outlineLevel="0" collapsed="false">
      <c r="A9629" s="34" t="n">
        <v>5587976000126</v>
      </c>
      <c r="B9629" s="34" t="s">
        <v>19519</v>
      </c>
      <c r="C9629" s="34" t="s">
        <v>89</v>
      </c>
      <c r="E9629" s="30" t="s">
        <v>19520</v>
      </c>
      <c r="F9629" s="34" t="n">
        <f aca="false">IFERROR(VLOOKUP($A9629,'319'!$B:$H,7,0),0)</f>
        <v>0</v>
      </c>
      <c r="G9629" s="34" t="n">
        <f aca="false">SUMIFS('12.326ana'!$C:$C,'12.326ana'!$M:$M,redes!A9629)</f>
        <v>0</v>
      </c>
    </row>
    <row r="9630" customFormat="false" ht="14.4" hidden="true" customHeight="false" outlineLevel="0" collapsed="false">
      <c r="A9630" s="34" t="n">
        <v>5588647000108</v>
      </c>
      <c r="B9630" s="34" t="s">
        <v>19521</v>
      </c>
      <c r="C9630" s="34" t="s">
        <v>631</v>
      </c>
      <c r="E9630" s="30" t="s">
        <v>19522</v>
      </c>
      <c r="F9630" s="34" t="n">
        <f aca="false">IFERROR(VLOOKUP($A9630,'319'!$B:$H,7,0),0)</f>
        <v>0</v>
      </c>
      <c r="G9630" s="34" t="n">
        <f aca="false">SUMIFS('12.326ana'!$C:$C,'12.326ana'!$M:$M,redes!A9630)</f>
        <v>0</v>
      </c>
    </row>
    <row r="9631" customFormat="false" ht="14.4" hidden="true" customHeight="false" outlineLevel="0" collapsed="false">
      <c r="A9631" s="34" t="n">
        <v>5589493000160</v>
      </c>
      <c r="B9631" s="34" t="s">
        <v>19523</v>
      </c>
      <c r="C9631" s="34" t="s">
        <v>103</v>
      </c>
      <c r="E9631" s="30" t="s">
        <v>19524</v>
      </c>
      <c r="F9631" s="34" t="n">
        <f aca="false">IFERROR(VLOOKUP($A9631,'319'!$B:$H,7,0),0)</f>
        <v>0</v>
      </c>
      <c r="G9631" s="34" t="n">
        <f aca="false">SUMIFS('12.326ana'!$C:$C,'12.326ana'!$M:$M,redes!A9631)</f>
        <v>0</v>
      </c>
    </row>
    <row r="9632" customFormat="false" ht="14.4" hidden="true" customHeight="false" outlineLevel="0" collapsed="false">
      <c r="A9632" s="34" t="n">
        <v>5589946000159</v>
      </c>
      <c r="B9632" s="34" t="s">
        <v>19525</v>
      </c>
      <c r="C9632" s="34" t="s">
        <v>309</v>
      </c>
      <c r="E9632" s="30" t="s">
        <v>19526</v>
      </c>
      <c r="F9632" s="34" t="n">
        <f aca="false">IFERROR(VLOOKUP($A9632,'319'!$B:$H,7,0),0)</f>
        <v>0</v>
      </c>
      <c r="G9632" s="34" t="n">
        <f aca="false">SUMIFS('12.326ana'!$C:$C,'12.326ana'!$M:$M,redes!A9632)</f>
        <v>0</v>
      </c>
    </row>
    <row r="9633" customFormat="false" ht="14.4" hidden="true" customHeight="false" outlineLevel="0" collapsed="false">
      <c r="A9633" s="34" t="n">
        <v>5592314000144</v>
      </c>
      <c r="B9633" s="34" t="s">
        <v>19527</v>
      </c>
      <c r="C9633" s="34" t="s">
        <v>103</v>
      </c>
      <c r="E9633" s="30" t="s">
        <v>19528</v>
      </c>
      <c r="F9633" s="34" t="n">
        <f aca="false">IFERROR(VLOOKUP($A9633,'319'!$B:$H,7,0),0)</f>
        <v>0</v>
      </c>
      <c r="G9633" s="34" t="n">
        <f aca="false">SUMIFS('12.326ana'!$C:$C,'12.326ana'!$M:$M,redes!A9633)</f>
        <v>0</v>
      </c>
    </row>
    <row r="9634" customFormat="false" ht="14.4" hidden="true" customHeight="false" outlineLevel="0" collapsed="false">
      <c r="A9634" s="34" t="n">
        <v>5592774000172</v>
      </c>
      <c r="B9634" s="34" t="s">
        <v>19529</v>
      </c>
      <c r="C9634" s="34" t="s">
        <v>848</v>
      </c>
      <c r="E9634" s="30" t="s">
        <v>19530</v>
      </c>
      <c r="F9634" s="34" t="n">
        <f aca="false">IFERROR(VLOOKUP($A9634,'319'!$B:$H,7,0),0)</f>
        <v>0</v>
      </c>
      <c r="G9634" s="34" t="n">
        <f aca="false">SUMIFS('12.326ana'!$C:$C,'12.326ana'!$M:$M,redes!A9634)</f>
        <v>0</v>
      </c>
    </row>
    <row r="9635" customFormat="false" ht="14.4" hidden="true" customHeight="false" outlineLevel="0" collapsed="false">
      <c r="A9635" s="34" t="n">
        <v>5593242000150</v>
      </c>
      <c r="B9635" s="34" t="s">
        <v>19531</v>
      </c>
      <c r="C9635" s="34" t="s">
        <v>351</v>
      </c>
      <c r="E9635" s="30" t="s">
        <v>19532</v>
      </c>
      <c r="F9635" s="34" t="n">
        <f aca="false">IFERROR(VLOOKUP($A9635,'319'!$B:$H,7,0),0)</f>
        <v>0</v>
      </c>
      <c r="G9635" s="34" t="n">
        <f aca="false">SUMIFS('12.326ana'!$C:$C,'12.326ana'!$M:$M,redes!A9635)</f>
        <v>0</v>
      </c>
    </row>
    <row r="9636" customFormat="false" ht="14.4" hidden="true" customHeight="false" outlineLevel="0" collapsed="false">
      <c r="A9636" s="34" t="n">
        <v>5595493000173</v>
      </c>
      <c r="B9636" s="34" t="s">
        <v>19533</v>
      </c>
      <c r="C9636" s="34" t="s">
        <v>77</v>
      </c>
      <c r="E9636" s="30" t="s">
        <v>19534</v>
      </c>
      <c r="F9636" s="34" t="n">
        <f aca="false">IFERROR(VLOOKUP($A9636,'319'!$B:$H,7,0),0)</f>
        <v>0</v>
      </c>
      <c r="G9636" s="34" t="n">
        <f aca="false">SUMIFS('12.326ana'!$C:$C,'12.326ana'!$M:$M,redes!A9636)</f>
        <v>0</v>
      </c>
    </row>
    <row r="9637" customFormat="false" ht="14.4" hidden="true" customHeight="false" outlineLevel="0" collapsed="false">
      <c r="A9637" s="34" t="n">
        <v>5597863000101</v>
      </c>
      <c r="B9637" s="34" t="s">
        <v>19535</v>
      </c>
      <c r="C9637" s="34" t="s">
        <v>565</v>
      </c>
      <c r="E9637" s="30" t="s">
        <v>19536</v>
      </c>
      <c r="F9637" s="34" t="n">
        <f aca="false">IFERROR(VLOOKUP($A9637,'319'!$B:$H,7,0),0)</f>
        <v>0</v>
      </c>
      <c r="G9637" s="34" t="n">
        <f aca="false">SUMIFS('12.326ana'!$C:$C,'12.326ana'!$M:$M,redes!A9637)</f>
        <v>0</v>
      </c>
    </row>
    <row r="9638" customFormat="false" ht="14.4" hidden="true" customHeight="false" outlineLevel="0" collapsed="false">
      <c r="A9638" s="34" t="n">
        <v>5598154000140</v>
      </c>
      <c r="B9638" s="34" t="s">
        <v>19537</v>
      </c>
      <c r="C9638" s="34" t="s">
        <v>77</v>
      </c>
      <c r="E9638" s="30" t="s">
        <v>19538</v>
      </c>
      <c r="F9638" s="34" t="n">
        <f aca="false">IFERROR(VLOOKUP($A9638,'319'!$B:$H,7,0),0)</f>
        <v>0</v>
      </c>
      <c r="G9638" s="34" t="n">
        <f aca="false">SUMIFS('12.326ana'!$C:$C,'12.326ana'!$M:$M,redes!A9638)</f>
        <v>0</v>
      </c>
    </row>
    <row r="9639" customFormat="false" ht="14.4" hidden="true" customHeight="false" outlineLevel="0" collapsed="false">
      <c r="A9639" s="34" t="n">
        <v>5598184000157</v>
      </c>
      <c r="B9639" s="34" t="s">
        <v>19539</v>
      </c>
      <c r="C9639" s="34" t="s">
        <v>77</v>
      </c>
      <c r="E9639" s="30" t="s">
        <v>19540</v>
      </c>
      <c r="F9639" s="34" t="n">
        <f aca="false">IFERROR(VLOOKUP($A9639,'319'!$B:$H,7,0),0)</f>
        <v>0</v>
      </c>
      <c r="G9639" s="34" t="n">
        <f aca="false">SUMIFS('12.326ana'!$C:$C,'12.326ana'!$M:$M,redes!A9639)</f>
        <v>0</v>
      </c>
    </row>
    <row r="9640" customFormat="false" ht="14.4" hidden="true" customHeight="false" outlineLevel="0" collapsed="false">
      <c r="A9640" s="34" t="n">
        <v>5598276000137</v>
      </c>
      <c r="B9640" s="34" t="s">
        <v>19541</v>
      </c>
      <c r="C9640" s="34" t="s">
        <v>848</v>
      </c>
      <c r="E9640" s="30" t="s">
        <v>19542</v>
      </c>
      <c r="F9640" s="34" t="n">
        <f aca="false">IFERROR(VLOOKUP($A9640,'319'!$B:$H,7,0),0)</f>
        <v>0</v>
      </c>
      <c r="G9640" s="34" t="n">
        <f aca="false">SUMIFS('12.326ana'!$C:$C,'12.326ana'!$M:$M,redes!A9640)</f>
        <v>0</v>
      </c>
    </row>
    <row r="9641" customFormat="false" ht="14.4" hidden="true" customHeight="false" outlineLevel="0" collapsed="false">
      <c r="A9641" s="34" t="n">
        <v>5598282000194</v>
      </c>
      <c r="B9641" s="34" t="s">
        <v>19543</v>
      </c>
      <c r="C9641" s="34" t="s">
        <v>848</v>
      </c>
      <c r="E9641" s="30" t="s">
        <v>14659</v>
      </c>
      <c r="F9641" s="34" t="n">
        <f aca="false">IFERROR(VLOOKUP($A9641,'319'!$B:$H,7,0),0)</f>
        <v>0</v>
      </c>
      <c r="G9641" s="34" t="n">
        <f aca="false">SUMIFS('12.326ana'!$C:$C,'12.326ana'!$M:$M,redes!A9641)</f>
        <v>0</v>
      </c>
    </row>
    <row r="9642" customFormat="false" ht="14.4" hidden="true" customHeight="false" outlineLevel="0" collapsed="false">
      <c r="A9642" s="34" t="n">
        <v>5600552000154</v>
      </c>
      <c r="B9642" s="34" t="s">
        <v>19544</v>
      </c>
      <c r="C9642" s="34" t="s">
        <v>463</v>
      </c>
      <c r="E9642" s="30" t="s">
        <v>19545</v>
      </c>
      <c r="F9642" s="34" t="n">
        <f aca="false">IFERROR(VLOOKUP($A9642,'319'!$B:$H,7,0),0)</f>
        <v>0</v>
      </c>
      <c r="G9642" s="34" t="n">
        <f aca="false">SUMIFS('12.326ana'!$C:$C,'12.326ana'!$M:$M,redes!A9642)</f>
        <v>0</v>
      </c>
    </row>
    <row r="9643" customFormat="false" ht="14.4" hidden="true" customHeight="false" outlineLevel="0" collapsed="false">
      <c r="A9643" s="34" t="n">
        <v>5602226000186</v>
      </c>
      <c r="B9643" s="34" t="s">
        <v>19546</v>
      </c>
      <c r="C9643" s="34" t="s">
        <v>328</v>
      </c>
      <c r="E9643" s="30" t="s">
        <v>8059</v>
      </c>
      <c r="F9643" s="34" t="n">
        <f aca="false">IFERROR(VLOOKUP($A9643,'319'!$B:$H,7,0),0)</f>
        <v>0</v>
      </c>
      <c r="G9643" s="34" t="n">
        <f aca="false">SUMIFS('12.326ana'!$C:$C,'12.326ana'!$M:$M,redes!A9643)</f>
        <v>0</v>
      </c>
    </row>
    <row r="9644" customFormat="false" ht="14.4" hidden="true" customHeight="false" outlineLevel="0" collapsed="false">
      <c r="A9644" s="34" t="n">
        <v>5602380000158</v>
      </c>
      <c r="B9644" s="34" t="s">
        <v>19547</v>
      </c>
      <c r="C9644" s="34" t="s">
        <v>1680</v>
      </c>
      <c r="E9644" s="30" t="s">
        <v>12467</v>
      </c>
      <c r="F9644" s="34" t="n">
        <f aca="false">IFERROR(VLOOKUP($A9644,'319'!$B:$H,7,0),0)</f>
        <v>0</v>
      </c>
      <c r="G9644" s="34" t="n">
        <f aca="false">SUMIFS('12.326ana'!$C:$C,'12.326ana'!$M:$M,redes!A9644)</f>
        <v>0</v>
      </c>
    </row>
    <row r="9645" customFormat="false" ht="14.4" hidden="true" customHeight="false" outlineLevel="0" collapsed="false">
      <c r="A9645" s="34" t="n">
        <v>5602512000141</v>
      </c>
      <c r="B9645" s="34" t="s">
        <v>19548</v>
      </c>
      <c r="C9645" s="34" t="s">
        <v>77</v>
      </c>
      <c r="E9645" s="30" t="s">
        <v>19549</v>
      </c>
      <c r="F9645" s="34" t="n">
        <f aca="false">IFERROR(VLOOKUP($A9645,'319'!$B:$H,7,0),0)</f>
        <v>0</v>
      </c>
      <c r="G9645" s="34" t="n">
        <f aca="false">SUMIFS('12.326ana'!$C:$C,'12.326ana'!$M:$M,redes!A9645)</f>
        <v>0</v>
      </c>
    </row>
    <row r="9646" customFormat="false" ht="14.4" hidden="true" customHeight="false" outlineLevel="0" collapsed="false">
      <c r="A9646" s="34" t="n">
        <v>5607039000195</v>
      </c>
      <c r="B9646" s="34" t="s">
        <v>19550</v>
      </c>
      <c r="C9646" s="34" t="s">
        <v>77</v>
      </c>
      <c r="E9646" s="30" t="s">
        <v>19551</v>
      </c>
      <c r="F9646" s="34" t="n">
        <f aca="false">IFERROR(VLOOKUP($A9646,'319'!$B:$H,7,0),0)</f>
        <v>0</v>
      </c>
      <c r="G9646" s="34" t="n">
        <f aca="false">SUMIFS('12.326ana'!$C:$C,'12.326ana'!$M:$M,redes!A9646)</f>
        <v>0</v>
      </c>
    </row>
    <row r="9647" customFormat="false" ht="14.4" hidden="true" customHeight="false" outlineLevel="0" collapsed="false">
      <c r="A9647" s="34" t="n">
        <v>5612107000104</v>
      </c>
      <c r="B9647" s="34" t="s">
        <v>19552</v>
      </c>
      <c r="C9647" s="34" t="s">
        <v>77</v>
      </c>
      <c r="E9647" s="30" t="s">
        <v>6365</v>
      </c>
      <c r="F9647" s="34" t="n">
        <f aca="false">IFERROR(VLOOKUP($A9647,'319'!$B:$H,7,0),0)</f>
        <v>0</v>
      </c>
      <c r="G9647" s="34" t="n">
        <f aca="false">SUMIFS('12.326ana'!$C:$C,'12.326ana'!$M:$M,redes!A9647)</f>
        <v>0</v>
      </c>
    </row>
    <row r="9648" customFormat="false" ht="14.4" hidden="true" customHeight="false" outlineLevel="0" collapsed="false">
      <c r="A9648" s="34" t="n">
        <v>5613493000159</v>
      </c>
      <c r="B9648" s="34" t="s">
        <v>19553</v>
      </c>
      <c r="C9648" s="34" t="s">
        <v>721</v>
      </c>
      <c r="E9648" s="30" t="s">
        <v>15018</v>
      </c>
      <c r="F9648" s="34" t="n">
        <f aca="false">IFERROR(VLOOKUP($A9648,'319'!$B:$H,7,0),0)</f>
        <v>0</v>
      </c>
      <c r="G9648" s="34" t="n">
        <f aca="false">SUMIFS('12.326ana'!$C:$C,'12.326ana'!$M:$M,redes!A9648)</f>
        <v>0</v>
      </c>
    </row>
    <row r="9649" customFormat="false" ht="14.4" hidden="true" customHeight="false" outlineLevel="0" collapsed="false">
      <c r="A9649" s="34" t="n">
        <v>5613925000121</v>
      </c>
      <c r="B9649" s="34" t="s">
        <v>19554</v>
      </c>
      <c r="C9649" s="34" t="s">
        <v>4418</v>
      </c>
      <c r="E9649" s="30" t="s">
        <v>19555</v>
      </c>
      <c r="F9649" s="34" t="n">
        <f aca="false">IFERROR(VLOOKUP($A9649,'319'!$B:$H,7,0),0)</f>
        <v>0</v>
      </c>
      <c r="G9649" s="34" t="n">
        <f aca="false">SUMIFS('12.326ana'!$C:$C,'12.326ana'!$M:$M,redes!A9649)</f>
        <v>0</v>
      </c>
    </row>
    <row r="9650" customFormat="false" ht="14.4" hidden="true" customHeight="false" outlineLevel="0" collapsed="false">
      <c r="A9650" s="34" t="n">
        <v>5614114000145</v>
      </c>
      <c r="B9650" s="34" t="s">
        <v>19556</v>
      </c>
      <c r="C9650" s="34" t="s">
        <v>342</v>
      </c>
      <c r="E9650" s="30" t="s">
        <v>19557</v>
      </c>
      <c r="F9650" s="34" t="n">
        <f aca="false">IFERROR(VLOOKUP($A9650,'319'!$B:$H,7,0),0)</f>
        <v>0</v>
      </c>
      <c r="G9650" s="34" t="n">
        <f aca="false">SUMIFS('12.326ana'!$C:$C,'12.326ana'!$M:$M,redes!A9650)</f>
        <v>0</v>
      </c>
    </row>
    <row r="9651" customFormat="false" ht="14.4" hidden="true" customHeight="false" outlineLevel="0" collapsed="false">
      <c r="A9651" s="34" t="n">
        <v>5616637000120</v>
      </c>
      <c r="B9651" s="34" t="s">
        <v>7322</v>
      </c>
      <c r="C9651" s="34" t="s">
        <v>117</v>
      </c>
      <c r="E9651" s="30" t="s">
        <v>19558</v>
      </c>
      <c r="F9651" s="34" t="n">
        <f aca="false">IFERROR(VLOOKUP($A9651,'319'!$B:$H,7,0),0)</f>
        <v>0</v>
      </c>
      <c r="G9651" s="34" t="n">
        <f aca="false">SUMIFS('12.326ana'!$C:$C,'12.326ana'!$M:$M,redes!A9651)</f>
        <v>0</v>
      </c>
    </row>
    <row r="9652" customFormat="false" ht="14.4" hidden="true" customHeight="false" outlineLevel="0" collapsed="false">
      <c r="A9652" s="34" t="n">
        <v>5616659000190</v>
      </c>
      <c r="B9652" s="34" t="s">
        <v>19559</v>
      </c>
      <c r="C9652" s="34" t="s">
        <v>357</v>
      </c>
      <c r="E9652" s="30" t="s">
        <v>19560</v>
      </c>
      <c r="F9652" s="34" t="n">
        <f aca="false">IFERROR(VLOOKUP($A9652,'319'!$B:$H,7,0),0)</f>
        <v>0</v>
      </c>
      <c r="G9652" s="34" t="n">
        <f aca="false">SUMIFS('12.326ana'!$C:$C,'12.326ana'!$M:$M,redes!A9652)</f>
        <v>0</v>
      </c>
    </row>
    <row r="9653" customFormat="false" ht="14.4" hidden="true" customHeight="false" outlineLevel="0" collapsed="false">
      <c r="A9653" s="34" t="n">
        <v>5617263000168</v>
      </c>
      <c r="B9653" s="34" t="s">
        <v>19561</v>
      </c>
      <c r="C9653" s="34" t="s">
        <v>309</v>
      </c>
      <c r="E9653" s="30" t="s">
        <v>19562</v>
      </c>
      <c r="F9653" s="34" t="n">
        <f aca="false">IFERROR(VLOOKUP($A9653,'319'!$B:$H,7,0),0)</f>
        <v>0</v>
      </c>
      <c r="G9653" s="34" t="n">
        <f aca="false">SUMIFS('12.326ana'!$C:$C,'12.326ana'!$M:$M,redes!A9653)</f>
        <v>0</v>
      </c>
    </row>
    <row r="9654" customFormat="false" ht="14.4" hidden="true" customHeight="false" outlineLevel="0" collapsed="false">
      <c r="A9654" s="34" t="n">
        <v>5617528000128</v>
      </c>
      <c r="B9654" s="34" t="s">
        <v>19563</v>
      </c>
      <c r="C9654" s="34" t="s">
        <v>463</v>
      </c>
      <c r="E9654" s="30" t="s">
        <v>8038</v>
      </c>
      <c r="F9654" s="34" t="n">
        <f aca="false">IFERROR(VLOOKUP($A9654,'319'!$B:$H,7,0),0)</f>
        <v>0</v>
      </c>
      <c r="G9654" s="34" t="n">
        <f aca="false">SUMIFS('12.326ana'!$C:$C,'12.326ana'!$M:$M,redes!A9654)</f>
        <v>0</v>
      </c>
    </row>
    <row r="9655" customFormat="false" ht="14.4" hidden="true" customHeight="false" outlineLevel="0" collapsed="false">
      <c r="A9655" s="34" t="n">
        <v>5618246000145</v>
      </c>
      <c r="B9655" s="34" t="s">
        <v>19564</v>
      </c>
      <c r="C9655" s="34" t="s">
        <v>77</v>
      </c>
      <c r="E9655" s="30" t="s">
        <v>19565</v>
      </c>
      <c r="F9655" s="34" t="n">
        <f aca="false">IFERROR(VLOOKUP($A9655,'319'!$B:$H,7,0),0)</f>
        <v>0</v>
      </c>
      <c r="G9655" s="34" t="n">
        <f aca="false">SUMIFS('12.326ana'!$C:$C,'12.326ana'!$M:$M,redes!A9655)</f>
        <v>0</v>
      </c>
    </row>
    <row r="9656" customFormat="false" ht="14.4" hidden="true" customHeight="false" outlineLevel="0" collapsed="false">
      <c r="A9656" s="34" t="n">
        <v>5619548000138</v>
      </c>
      <c r="B9656" s="34" t="s">
        <v>19566</v>
      </c>
      <c r="C9656" s="34" t="s">
        <v>336</v>
      </c>
      <c r="E9656" s="30" t="s">
        <v>19567</v>
      </c>
      <c r="F9656" s="34" t="n">
        <f aca="false">IFERROR(VLOOKUP($A9656,'319'!$B:$H,7,0),0)</f>
        <v>0</v>
      </c>
      <c r="G9656" s="34" t="n">
        <f aca="false">SUMIFS('12.326ana'!$C:$C,'12.326ana'!$M:$M,redes!A9656)</f>
        <v>0</v>
      </c>
    </row>
    <row r="9657" customFormat="false" ht="14.4" hidden="true" customHeight="false" outlineLevel="0" collapsed="false">
      <c r="A9657" s="34" t="n">
        <v>5622247000163</v>
      </c>
      <c r="B9657" s="34" t="s">
        <v>19568</v>
      </c>
      <c r="C9657" s="34" t="s">
        <v>979</v>
      </c>
      <c r="E9657" s="30" t="s">
        <v>19569</v>
      </c>
      <c r="F9657" s="34" t="n">
        <f aca="false">IFERROR(VLOOKUP($A9657,'319'!$B:$H,7,0),0)</f>
        <v>0</v>
      </c>
      <c r="G9657" s="34" t="n">
        <f aca="false">SUMIFS('12.326ana'!$C:$C,'12.326ana'!$M:$M,redes!A9657)</f>
        <v>0</v>
      </c>
    </row>
    <row r="9658" customFormat="false" ht="14.4" hidden="true" customHeight="false" outlineLevel="0" collapsed="false">
      <c r="A9658" s="34" t="n">
        <v>5622300000126</v>
      </c>
      <c r="B9658" s="34" t="s">
        <v>19570</v>
      </c>
      <c r="C9658" s="34" t="s">
        <v>103</v>
      </c>
      <c r="E9658" s="30" t="s">
        <v>19571</v>
      </c>
      <c r="F9658" s="34" t="n">
        <f aca="false">IFERROR(VLOOKUP($A9658,'319'!$B:$H,7,0),0)</f>
        <v>0</v>
      </c>
      <c r="G9658" s="34" t="n">
        <f aca="false">SUMIFS('12.326ana'!$C:$C,'12.326ana'!$M:$M,redes!A9658)</f>
        <v>0</v>
      </c>
    </row>
    <row r="9659" customFormat="false" ht="14.4" hidden="true" customHeight="false" outlineLevel="0" collapsed="false">
      <c r="A9659" s="34" t="n">
        <v>5622965000130</v>
      </c>
      <c r="B9659" s="34" t="s">
        <v>19572</v>
      </c>
      <c r="C9659" s="34" t="s">
        <v>77</v>
      </c>
      <c r="E9659" s="30" t="s">
        <v>19573</v>
      </c>
      <c r="F9659" s="34" t="n">
        <f aca="false">IFERROR(VLOOKUP($A9659,'319'!$B:$H,7,0),0)</f>
        <v>0</v>
      </c>
      <c r="G9659" s="34" t="n">
        <f aca="false">SUMIFS('12.326ana'!$C:$C,'12.326ana'!$M:$M,redes!A9659)</f>
        <v>0</v>
      </c>
    </row>
    <row r="9660" customFormat="false" ht="14.4" hidden="true" customHeight="false" outlineLevel="0" collapsed="false">
      <c r="A9660" s="34" t="n">
        <v>5624626000192</v>
      </c>
      <c r="B9660" s="34" t="s">
        <v>19574</v>
      </c>
      <c r="C9660" s="34" t="s">
        <v>192</v>
      </c>
      <c r="E9660" s="30" t="s">
        <v>19575</v>
      </c>
      <c r="F9660" s="34" t="n">
        <f aca="false">IFERROR(VLOOKUP($A9660,'319'!$B:$H,7,0),0)</f>
        <v>0</v>
      </c>
      <c r="G9660" s="34" t="n">
        <f aca="false">SUMIFS('12.326ana'!$C:$C,'12.326ana'!$M:$M,redes!A9660)</f>
        <v>0</v>
      </c>
    </row>
    <row r="9661" customFormat="false" ht="14.4" hidden="true" customHeight="false" outlineLevel="0" collapsed="false">
      <c r="A9661" s="34" t="n">
        <v>5627881000199</v>
      </c>
      <c r="B9661" s="34" t="s">
        <v>19576</v>
      </c>
      <c r="C9661" s="34" t="s">
        <v>77</v>
      </c>
      <c r="E9661" s="30" t="s">
        <v>19577</v>
      </c>
      <c r="F9661" s="34" t="n">
        <f aca="false">IFERROR(VLOOKUP($A9661,'319'!$B:$H,7,0),0)</f>
        <v>0</v>
      </c>
      <c r="G9661" s="34" t="n">
        <f aca="false">SUMIFS('12.326ana'!$C:$C,'12.326ana'!$M:$M,redes!A9661)</f>
        <v>0</v>
      </c>
    </row>
    <row r="9662" customFormat="false" ht="14.4" hidden="true" customHeight="false" outlineLevel="0" collapsed="false">
      <c r="A9662" s="34" t="n">
        <v>5628386000102</v>
      </c>
      <c r="B9662" s="34" t="s">
        <v>19578</v>
      </c>
      <c r="C9662" s="34" t="s">
        <v>781</v>
      </c>
      <c r="E9662" s="30" t="s">
        <v>4154</v>
      </c>
      <c r="F9662" s="34" t="n">
        <f aca="false">IFERROR(VLOOKUP($A9662,'319'!$B:$H,7,0),0)</f>
        <v>0</v>
      </c>
      <c r="G9662" s="34" t="n">
        <f aca="false">SUMIFS('12.326ana'!$C:$C,'12.326ana'!$M:$M,redes!A9662)</f>
        <v>0</v>
      </c>
    </row>
    <row r="9663" customFormat="false" ht="14.4" hidden="true" customHeight="false" outlineLevel="0" collapsed="false">
      <c r="A9663" s="34" t="n">
        <v>5632858000192</v>
      </c>
      <c r="B9663" s="34" t="s">
        <v>19579</v>
      </c>
      <c r="C9663" s="34" t="s">
        <v>139</v>
      </c>
      <c r="E9663" s="30" t="s">
        <v>19580</v>
      </c>
      <c r="F9663" s="34" t="n">
        <f aca="false">IFERROR(VLOOKUP($A9663,'319'!$B:$H,7,0),0)</f>
        <v>0</v>
      </c>
      <c r="G9663" s="34" t="n">
        <f aca="false">SUMIFS('12.326ana'!$C:$C,'12.326ana'!$M:$M,redes!A9663)</f>
        <v>0</v>
      </c>
    </row>
    <row r="9664" customFormat="false" ht="14.4" hidden="true" customHeight="false" outlineLevel="0" collapsed="false">
      <c r="A9664" s="34" t="n">
        <v>5633585000109</v>
      </c>
      <c r="B9664" s="34" t="s">
        <v>19581</v>
      </c>
      <c r="C9664" s="34" t="s">
        <v>309</v>
      </c>
      <c r="E9664" s="30" t="s">
        <v>8653</v>
      </c>
      <c r="F9664" s="34" t="n">
        <f aca="false">IFERROR(VLOOKUP($A9664,'319'!$B:$H,7,0),0)</f>
        <v>0</v>
      </c>
      <c r="G9664" s="34" t="n">
        <f aca="false">SUMIFS('12.326ana'!$C:$C,'12.326ana'!$M:$M,redes!A9664)</f>
        <v>0</v>
      </c>
    </row>
    <row r="9665" customFormat="false" ht="14.4" hidden="true" customHeight="false" outlineLevel="0" collapsed="false">
      <c r="A9665" s="34" t="n">
        <v>5634984000186</v>
      </c>
      <c r="B9665" s="34" t="s">
        <v>19582</v>
      </c>
      <c r="C9665" s="34" t="s">
        <v>464</v>
      </c>
      <c r="E9665" s="30" t="s">
        <v>19583</v>
      </c>
      <c r="F9665" s="34" t="n">
        <f aca="false">IFERROR(VLOOKUP($A9665,'319'!$B:$H,7,0),0)</f>
        <v>0</v>
      </c>
      <c r="G9665" s="34" t="n">
        <f aca="false">SUMIFS('12.326ana'!$C:$C,'12.326ana'!$M:$M,redes!A9665)</f>
        <v>0</v>
      </c>
    </row>
    <row r="9666" customFormat="false" ht="14.4" hidden="true" customHeight="false" outlineLevel="0" collapsed="false">
      <c r="A9666" s="34" t="n">
        <v>5635063000138</v>
      </c>
      <c r="B9666" s="34" t="s">
        <v>19584</v>
      </c>
      <c r="C9666" s="34" t="s">
        <v>77</v>
      </c>
      <c r="E9666" s="30" t="s">
        <v>19585</v>
      </c>
      <c r="F9666" s="34" t="n">
        <f aca="false">IFERROR(VLOOKUP($A9666,'319'!$B:$H,7,0),0)</f>
        <v>0</v>
      </c>
      <c r="G9666" s="34" t="n">
        <f aca="false">SUMIFS('12.326ana'!$C:$C,'12.326ana'!$M:$M,redes!A9666)</f>
        <v>0</v>
      </c>
    </row>
    <row r="9667" customFormat="false" ht="14.4" hidden="true" customHeight="false" outlineLevel="0" collapsed="false">
      <c r="A9667" s="34" t="n">
        <v>5635462000107</v>
      </c>
      <c r="B9667" s="34" t="s">
        <v>19586</v>
      </c>
      <c r="C9667" s="34" t="s">
        <v>2998</v>
      </c>
      <c r="E9667" s="30" t="s">
        <v>19587</v>
      </c>
      <c r="F9667" s="34" t="n">
        <f aca="false">IFERROR(VLOOKUP($A9667,'319'!$B:$H,7,0),0)</f>
        <v>0</v>
      </c>
      <c r="G9667" s="34" t="n">
        <f aca="false">SUMIFS('12.326ana'!$C:$C,'12.326ana'!$M:$M,redes!A9667)</f>
        <v>0</v>
      </c>
    </row>
    <row r="9668" customFormat="false" ht="14.4" hidden="true" customHeight="false" outlineLevel="0" collapsed="false">
      <c r="A9668" s="34" t="n">
        <v>5637690000108</v>
      </c>
      <c r="B9668" s="34" t="s">
        <v>19588</v>
      </c>
      <c r="C9668" s="34" t="s">
        <v>77</v>
      </c>
      <c r="E9668" s="30" t="s">
        <v>19589</v>
      </c>
      <c r="F9668" s="34" t="n">
        <f aca="false">IFERROR(VLOOKUP($A9668,'319'!$B:$H,7,0),0)</f>
        <v>0</v>
      </c>
      <c r="G9668" s="34" t="n">
        <f aca="false">SUMIFS('12.326ana'!$C:$C,'12.326ana'!$M:$M,redes!A9668)</f>
        <v>0</v>
      </c>
    </row>
    <row r="9669" customFormat="false" ht="14.4" hidden="true" customHeight="false" outlineLevel="0" collapsed="false">
      <c r="A9669" s="34" t="n">
        <v>5639001000102</v>
      </c>
      <c r="B9669" s="34" t="s">
        <v>19590</v>
      </c>
      <c r="C9669" s="34" t="s">
        <v>475</v>
      </c>
      <c r="E9669" s="30" t="s">
        <v>19591</v>
      </c>
      <c r="F9669" s="34" t="n">
        <f aca="false">IFERROR(VLOOKUP($A9669,'319'!$B:$H,7,0),0)</f>
        <v>0</v>
      </c>
      <c r="G9669" s="34" t="n">
        <f aca="false">SUMIFS('12.326ana'!$C:$C,'12.326ana'!$M:$M,redes!A9669)</f>
        <v>0</v>
      </c>
    </row>
    <row r="9670" customFormat="false" ht="14.4" hidden="true" customHeight="false" outlineLevel="0" collapsed="false">
      <c r="A9670" s="34" t="n">
        <v>5640308000115</v>
      </c>
      <c r="B9670" s="34" t="s">
        <v>19592</v>
      </c>
      <c r="C9670" s="34" t="s">
        <v>764</v>
      </c>
      <c r="E9670" s="30" t="s">
        <v>19593</v>
      </c>
      <c r="F9670" s="34" t="n">
        <f aca="false">IFERROR(VLOOKUP($A9670,'319'!$B:$H,7,0),0)</f>
        <v>0</v>
      </c>
      <c r="G9670" s="34" t="n">
        <f aca="false">SUMIFS('12.326ana'!$C:$C,'12.326ana'!$M:$M,redes!A9670)</f>
        <v>0</v>
      </c>
    </row>
    <row r="9671" customFormat="false" ht="14.4" hidden="true" customHeight="false" outlineLevel="0" collapsed="false">
      <c r="A9671" s="34" t="n">
        <v>5650068000130</v>
      </c>
      <c r="B9671" s="34" t="s">
        <v>19594</v>
      </c>
      <c r="C9671" s="34" t="s">
        <v>565</v>
      </c>
      <c r="E9671" s="30" t="s">
        <v>13633</v>
      </c>
      <c r="F9671" s="34" t="n">
        <f aca="false">IFERROR(VLOOKUP($A9671,'319'!$B:$H,7,0),0)</f>
        <v>0</v>
      </c>
      <c r="G9671" s="34" t="n">
        <f aca="false">SUMIFS('12.326ana'!$C:$C,'12.326ana'!$M:$M,redes!A9671)</f>
        <v>0</v>
      </c>
    </row>
    <row r="9672" customFormat="false" ht="14.4" hidden="true" customHeight="false" outlineLevel="0" collapsed="false">
      <c r="A9672" s="34" t="n">
        <v>5652574000168</v>
      </c>
      <c r="B9672" s="34" t="s">
        <v>8222</v>
      </c>
      <c r="C9672" s="34" t="s">
        <v>77</v>
      </c>
      <c r="E9672" s="30" t="s">
        <v>19595</v>
      </c>
      <c r="F9672" s="34" t="n">
        <f aca="false">IFERROR(VLOOKUP($A9672,'319'!$B:$H,7,0),0)</f>
        <v>0</v>
      </c>
      <c r="G9672" s="34" t="n">
        <f aca="false">SUMIFS('12.326ana'!$C:$C,'12.326ana'!$M:$M,redes!A9672)</f>
        <v>0</v>
      </c>
    </row>
    <row r="9673" customFormat="false" ht="14.4" hidden="true" customHeight="false" outlineLevel="0" collapsed="false">
      <c r="A9673" s="34" t="n">
        <v>5654863000104</v>
      </c>
      <c r="B9673" s="34" t="s">
        <v>19596</v>
      </c>
      <c r="C9673" s="34" t="s">
        <v>77</v>
      </c>
      <c r="E9673" s="30" t="s">
        <v>19597</v>
      </c>
      <c r="F9673" s="34" t="n">
        <f aca="false">IFERROR(VLOOKUP($A9673,'319'!$B:$H,7,0),0)</f>
        <v>0</v>
      </c>
      <c r="G9673" s="34" t="n">
        <f aca="false">SUMIFS('12.326ana'!$C:$C,'12.326ana'!$M:$M,redes!A9673)</f>
        <v>0</v>
      </c>
    </row>
    <row r="9674" customFormat="false" ht="14.4" hidden="true" customHeight="false" outlineLevel="0" collapsed="false">
      <c r="A9674" s="34" t="n">
        <v>5655919000137</v>
      </c>
      <c r="B9674" s="34" t="s">
        <v>19598</v>
      </c>
      <c r="C9674" s="34" t="s">
        <v>107</v>
      </c>
      <c r="E9674" s="30" t="s">
        <v>19599</v>
      </c>
      <c r="F9674" s="34" t="n">
        <f aca="false">IFERROR(VLOOKUP($A9674,'319'!$B:$H,7,0),0)</f>
        <v>0</v>
      </c>
      <c r="G9674" s="34" t="n">
        <f aca="false">SUMIFS('12.326ana'!$C:$C,'12.326ana'!$M:$M,redes!A9674)</f>
        <v>0</v>
      </c>
    </row>
    <row r="9675" customFormat="false" ht="14.4" hidden="true" customHeight="false" outlineLevel="0" collapsed="false">
      <c r="A9675" s="34" t="n">
        <v>5656869000102</v>
      </c>
      <c r="B9675" s="34" t="s">
        <v>19600</v>
      </c>
      <c r="C9675" s="34" t="s">
        <v>197</v>
      </c>
      <c r="E9675" s="30" t="s">
        <v>19601</v>
      </c>
      <c r="F9675" s="34" t="n">
        <f aca="false">IFERROR(VLOOKUP($A9675,'319'!$B:$H,7,0),0)</f>
        <v>0</v>
      </c>
      <c r="G9675" s="34" t="n">
        <f aca="false">SUMIFS('12.326ana'!$C:$C,'12.326ana'!$M:$M,redes!A9675)</f>
        <v>0</v>
      </c>
    </row>
    <row r="9676" customFormat="false" ht="14.4" hidden="true" customHeight="false" outlineLevel="0" collapsed="false">
      <c r="A9676" s="34" t="n">
        <v>5657004000160</v>
      </c>
      <c r="B9676" s="34" t="s">
        <v>19602</v>
      </c>
      <c r="C9676" s="34" t="s">
        <v>478</v>
      </c>
      <c r="E9676" s="30" t="s">
        <v>19603</v>
      </c>
      <c r="F9676" s="34" t="n">
        <f aca="false">IFERROR(VLOOKUP($A9676,'319'!$B:$H,7,0),0)</f>
        <v>0</v>
      </c>
      <c r="G9676" s="34" t="n">
        <f aca="false">SUMIFS('12.326ana'!$C:$C,'12.326ana'!$M:$M,redes!A9676)</f>
        <v>0</v>
      </c>
    </row>
    <row r="9677" customFormat="false" ht="14.4" hidden="true" customHeight="false" outlineLevel="0" collapsed="false">
      <c r="A9677" s="34" t="n">
        <v>5657047000146</v>
      </c>
      <c r="B9677" s="34" t="s">
        <v>19604</v>
      </c>
      <c r="C9677" s="34" t="s">
        <v>77</v>
      </c>
      <c r="E9677" s="30" t="s">
        <v>19605</v>
      </c>
      <c r="F9677" s="34" t="n">
        <f aca="false">IFERROR(VLOOKUP($A9677,'319'!$B:$H,7,0),0)</f>
        <v>0</v>
      </c>
      <c r="G9677" s="34" t="n">
        <f aca="false">SUMIFS('12.326ana'!$C:$C,'12.326ana'!$M:$M,redes!A9677)</f>
        <v>0</v>
      </c>
    </row>
    <row r="9678" customFormat="false" ht="14.4" hidden="true" customHeight="false" outlineLevel="0" collapsed="false">
      <c r="A9678" s="34" t="n">
        <v>5659936000142</v>
      </c>
      <c r="B9678" s="34" t="s">
        <v>19606</v>
      </c>
      <c r="C9678" s="34" t="s">
        <v>737</v>
      </c>
      <c r="E9678" s="30" t="s">
        <v>19607</v>
      </c>
      <c r="F9678" s="34" t="n">
        <f aca="false">IFERROR(VLOOKUP($A9678,'319'!$B:$H,7,0),0)</f>
        <v>0</v>
      </c>
      <c r="G9678" s="34" t="n">
        <f aca="false">SUMIFS('12.326ana'!$C:$C,'12.326ana'!$M:$M,redes!A9678)</f>
        <v>0</v>
      </c>
    </row>
    <row r="9679" customFormat="false" ht="14.4" hidden="true" customHeight="false" outlineLevel="0" collapsed="false">
      <c r="A9679" s="34" t="n">
        <v>5661926000141</v>
      </c>
      <c r="B9679" s="34" t="s">
        <v>19608</v>
      </c>
      <c r="C9679" s="34" t="s">
        <v>77</v>
      </c>
      <c r="E9679" s="30" t="s">
        <v>19609</v>
      </c>
      <c r="F9679" s="34" t="n">
        <f aca="false">IFERROR(VLOOKUP($A9679,'319'!$B:$H,7,0),0)</f>
        <v>0</v>
      </c>
      <c r="G9679" s="34" t="n">
        <f aca="false">SUMIFS('12.326ana'!$C:$C,'12.326ana'!$M:$M,redes!A9679)</f>
        <v>0</v>
      </c>
    </row>
    <row r="9680" customFormat="false" ht="14.4" hidden="true" customHeight="false" outlineLevel="0" collapsed="false">
      <c r="A9680" s="34" t="n">
        <v>5662061000138</v>
      </c>
      <c r="B9680" s="34" t="s">
        <v>19610</v>
      </c>
      <c r="C9680" s="34" t="s">
        <v>77</v>
      </c>
      <c r="E9680" s="30" t="s">
        <v>19611</v>
      </c>
      <c r="F9680" s="34" t="n">
        <f aca="false">IFERROR(VLOOKUP($A9680,'319'!$B:$H,7,0),0)</f>
        <v>0</v>
      </c>
      <c r="G9680" s="34" t="n">
        <f aca="false">SUMIFS('12.326ana'!$C:$C,'12.326ana'!$M:$M,redes!A9680)</f>
        <v>0</v>
      </c>
    </row>
    <row r="9681" customFormat="false" ht="14.4" hidden="true" customHeight="false" outlineLevel="0" collapsed="false">
      <c r="A9681" s="34" t="n">
        <v>5663219000194</v>
      </c>
      <c r="B9681" s="34" t="s">
        <v>19612</v>
      </c>
      <c r="C9681" s="34" t="s">
        <v>77</v>
      </c>
      <c r="E9681" s="30" t="s">
        <v>19613</v>
      </c>
      <c r="F9681" s="34" t="n">
        <f aca="false">IFERROR(VLOOKUP($A9681,'319'!$B:$H,7,0),0)</f>
        <v>0</v>
      </c>
      <c r="G9681" s="34" t="n">
        <f aca="false">SUMIFS('12.326ana'!$C:$C,'12.326ana'!$M:$M,redes!A9681)</f>
        <v>0</v>
      </c>
    </row>
    <row r="9682" customFormat="false" ht="14.4" hidden="true" customHeight="false" outlineLevel="0" collapsed="false">
      <c r="A9682" s="34" t="n">
        <v>5665362000115</v>
      </c>
      <c r="B9682" s="34" t="s">
        <v>19614</v>
      </c>
      <c r="C9682" s="34" t="s">
        <v>1272</v>
      </c>
      <c r="E9682" s="30" t="s">
        <v>19615</v>
      </c>
      <c r="F9682" s="34" t="n">
        <f aca="false">IFERROR(VLOOKUP($A9682,'319'!$B:$H,7,0),0)</f>
        <v>0</v>
      </c>
      <c r="G9682" s="34" t="n">
        <f aca="false">SUMIFS('12.326ana'!$C:$C,'12.326ana'!$M:$M,redes!A9682)</f>
        <v>0</v>
      </c>
    </row>
    <row r="9683" customFormat="false" ht="14.4" hidden="true" customHeight="false" outlineLevel="0" collapsed="false">
      <c r="A9683" s="34" t="n">
        <v>5667644000151</v>
      </c>
      <c r="B9683" s="34" t="s">
        <v>8618</v>
      </c>
      <c r="C9683" s="34" t="s">
        <v>107</v>
      </c>
      <c r="E9683" s="30"/>
      <c r="F9683" s="34" t="n">
        <f aca="false">IFERROR(VLOOKUP($A9683,'319'!$B:$H,7,0),0)</f>
        <v>0</v>
      </c>
      <c r="G9683" s="34" t="n">
        <f aca="false">SUMIFS('12.326ana'!$C:$C,'12.326ana'!$M:$M,redes!A9683)</f>
        <v>0</v>
      </c>
    </row>
    <row r="9684" customFormat="false" ht="14.4" hidden="true" customHeight="false" outlineLevel="0" collapsed="false">
      <c r="A9684" s="34" t="n">
        <v>5670275000156</v>
      </c>
      <c r="B9684" s="34" t="s">
        <v>19616</v>
      </c>
      <c r="C9684" s="34" t="s">
        <v>342</v>
      </c>
      <c r="E9684" s="30" t="s">
        <v>12553</v>
      </c>
      <c r="F9684" s="34" t="n">
        <f aca="false">IFERROR(VLOOKUP($A9684,'319'!$B:$H,7,0),0)</f>
        <v>0</v>
      </c>
      <c r="G9684" s="34" t="n">
        <f aca="false">SUMIFS('12.326ana'!$C:$C,'12.326ana'!$M:$M,redes!A9684)</f>
        <v>0</v>
      </c>
    </row>
    <row r="9685" customFormat="false" ht="14.4" hidden="true" customHeight="false" outlineLevel="0" collapsed="false">
      <c r="A9685" s="34" t="n">
        <v>5670497000179</v>
      </c>
      <c r="B9685" s="34" t="s">
        <v>19617</v>
      </c>
      <c r="C9685" s="34" t="s">
        <v>107</v>
      </c>
      <c r="E9685" s="30" t="s">
        <v>3194</v>
      </c>
      <c r="F9685" s="34" t="n">
        <f aca="false">IFERROR(VLOOKUP($A9685,'319'!$B:$H,7,0),0)</f>
        <v>0</v>
      </c>
      <c r="G9685" s="34" t="n">
        <f aca="false">SUMIFS('12.326ana'!$C:$C,'12.326ana'!$M:$M,redes!A9685)</f>
        <v>0</v>
      </c>
    </row>
    <row r="9686" customFormat="false" ht="14.4" hidden="true" customHeight="false" outlineLevel="0" collapsed="false">
      <c r="A9686" s="34" t="n">
        <v>5671421000168</v>
      </c>
      <c r="B9686" s="34" t="s">
        <v>19618</v>
      </c>
      <c r="C9686" s="34" t="s">
        <v>328</v>
      </c>
      <c r="E9686" s="30" t="s">
        <v>19619</v>
      </c>
      <c r="F9686" s="34" t="n">
        <f aca="false">IFERROR(VLOOKUP($A9686,'319'!$B:$H,7,0),0)</f>
        <v>0</v>
      </c>
      <c r="G9686" s="34" t="n">
        <f aca="false">SUMIFS('12.326ana'!$C:$C,'12.326ana'!$M:$M,redes!A9686)</f>
        <v>0</v>
      </c>
    </row>
    <row r="9687" customFormat="false" ht="14.4" hidden="true" customHeight="false" outlineLevel="0" collapsed="false">
      <c r="A9687" s="34" t="n">
        <v>5671939000100</v>
      </c>
      <c r="B9687" s="34" t="s">
        <v>19620</v>
      </c>
      <c r="C9687" s="34" t="s">
        <v>77</v>
      </c>
      <c r="E9687" s="30" t="s">
        <v>19621</v>
      </c>
      <c r="F9687" s="34" t="n">
        <f aca="false">IFERROR(VLOOKUP($A9687,'319'!$B:$H,7,0),0)</f>
        <v>0</v>
      </c>
      <c r="G9687" s="34" t="n">
        <f aca="false">SUMIFS('12.326ana'!$C:$C,'12.326ana'!$M:$M,redes!A9687)</f>
        <v>0</v>
      </c>
    </row>
    <row r="9688" customFormat="false" ht="14.4" hidden="true" customHeight="false" outlineLevel="0" collapsed="false">
      <c r="A9688" s="34" t="n">
        <v>5671940000126</v>
      </c>
      <c r="B9688" s="34" t="s">
        <v>19622</v>
      </c>
      <c r="C9688" s="34" t="s">
        <v>351</v>
      </c>
      <c r="E9688" s="30" t="s">
        <v>19623</v>
      </c>
      <c r="F9688" s="34" t="n">
        <f aca="false">IFERROR(VLOOKUP($A9688,'319'!$B:$H,7,0),0)</f>
        <v>0</v>
      </c>
      <c r="G9688" s="34" t="n">
        <f aca="false">SUMIFS('12.326ana'!$C:$C,'12.326ana'!$M:$M,redes!A9688)</f>
        <v>0</v>
      </c>
    </row>
    <row r="9689" customFormat="false" ht="14.4" hidden="true" customHeight="false" outlineLevel="0" collapsed="false">
      <c r="A9689" s="34" t="n">
        <v>5674541000119</v>
      </c>
      <c r="B9689" s="34" t="s">
        <v>19624</v>
      </c>
      <c r="C9689" s="34" t="s">
        <v>1272</v>
      </c>
      <c r="E9689" s="30" t="s">
        <v>17449</v>
      </c>
      <c r="F9689" s="34" t="n">
        <f aca="false">IFERROR(VLOOKUP($A9689,'319'!$B:$H,7,0),0)</f>
        <v>0</v>
      </c>
      <c r="G9689" s="34" t="n">
        <f aca="false">SUMIFS('12.326ana'!$C:$C,'12.326ana'!$M:$M,redes!A9689)</f>
        <v>0</v>
      </c>
    </row>
    <row r="9690" customFormat="false" ht="14.4" hidden="true" customHeight="false" outlineLevel="0" collapsed="false">
      <c r="A9690" s="34" t="n">
        <v>5675841000112</v>
      </c>
      <c r="B9690" s="34" t="s">
        <v>19625</v>
      </c>
      <c r="C9690" s="34" t="s">
        <v>604</v>
      </c>
      <c r="E9690" s="30" t="s">
        <v>19626</v>
      </c>
      <c r="F9690" s="34" t="n">
        <f aca="false">IFERROR(VLOOKUP($A9690,'319'!$B:$H,7,0),0)</f>
        <v>0</v>
      </c>
      <c r="G9690" s="34" t="n">
        <f aca="false">SUMIFS('12.326ana'!$C:$C,'12.326ana'!$M:$M,redes!A9690)</f>
        <v>0</v>
      </c>
    </row>
    <row r="9691" customFormat="false" ht="14.4" hidden="true" customHeight="false" outlineLevel="0" collapsed="false">
      <c r="A9691" s="34" t="n">
        <v>5677619000159</v>
      </c>
      <c r="B9691" s="34" t="s">
        <v>19627</v>
      </c>
      <c r="C9691" s="34" t="s">
        <v>604</v>
      </c>
      <c r="E9691" s="30" t="s">
        <v>19628</v>
      </c>
      <c r="F9691" s="34" t="n">
        <f aca="false">IFERROR(VLOOKUP($A9691,'319'!$B:$H,7,0),0)</f>
        <v>0</v>
      </c>
      <c r="G9691" s="34" t="n">
        <f aca="false">SUMIFS('12.326ana'!$C:$C,'12.326ana'!$M:$M,redes!A9691)</f>
        <v>0</v>
      </c>
    </row>
    <row r="9692" customFormat="false" ht="14.4" hidden="true" customHeight="false" outlineLevel="0" collapsed="false">
      <c r="A9692" s="34" t="n">
        <v>5681880000122</v>
      </c>
      <c r="B9692" s="34" t="s">
        <v>19629</v>
      </c>
      <c r="C9692" s="34" t="s">
        <v>954</v>
      </c>
      <c r="E9692" s="30" t="s">
        <v>19630</v>
      </c>
      <c r="F9692" s="34" t="n">
        <f aca="false">IFERROR(VLOOKUP($A9692,'319'!$B:$H,7,0),0)</f>
        <v>0</v>
      </c>
      <c r="G9692" s="34" t="n">
        <f aca="false">SUMIFS('12.326ana'!$C:$C,'12.326ana'!$M:$M,redes!A9692)</f>
        <v>0</v>
      </c>
    </row>
    <row r="9693" customFormat="false" ht="14.4" hidden="true" customHeight="false" outlineLevel="0" collapsed="false">
      <c r="A9693" s="34" t="n">
        <v>5682069000166</v>
      </c>
      <c r="B9693" s="34" t="s">
        <v>19631</v>
      </c>
      <c r="C9693" s="34" t="s">
        <v>77</v>
      </c>
      <c r="E9693" s="30" t="s">
        <v>19632</v>
      </c>
      <c r="F9693" s="34" t="n">
        <f aca="false">IFERROR(VLOOKUP($A9693,'319'!$B:$H,7,0),0)</f>
        <v>0</v>
      </c>
      <c r="G9693" s="34" t="n">
        <f aca="false">SUMIFS('12.326ana'!$C:$C,'12.326ana'!$M:$M,redes!A9693)</f>
        <v>0</v>
      </c>
    </row>
    <row r="9694" customFormat="false" ht="14.4" hidden="true" customHeight="false" outlineLevel="0" collapsed="false">
      <c r="A9694" s="34" t="n">
        <v>5683857000177</v>
      </c>
      <c r="B9694" s="34" t="s">
        <v>19633</v>
      </c>
      <c r="C9694" s="34" t="s">
        <v>3594</v>
      </c>
      <c r="E9694" s="30" t="s">
        <v>19634</v>
      </c>
      <c r="F9694" s="34" t="n">
        <f aca="false">IFERROR(VLOOKUP($A9694,'319'!$B:$H,7,0),0)</f>
        <v>0</v>
      </c>
      <c r="G9694" s="34" t="n">
        <f aca="false">SUMIFS('12.326ana'!$C:$C,'12.326ana'!$M:$M,redes!A9694)</f>
        <v>0</v>
      </c>
    </row>
    <row r="9695" customFormat="false" ht="14.4" hidden="true" customHeight="false" outlineLevel="0" collapsed="false">
      <c r="A9695" s="34" t="n">
        <v>5684660000152</v>
      </c>
      <c r="B9695" s="34" t="s">
        <v>19635</v>
      </c>
      <c r="C9695" s="34" t="s">
        <v>77</v>
      </c>
      <c r="E9695" s="30" t="s">
        <v>11649</v>
      </c>
      <c r="F9695" s="34" t="n">
        <f aca="false">IFERROR(VLOOKUP($A9695,'319'!$B:$H,7,0),0)</f>
        <v>0</v>
      </c>
      <c r="G9695" s="34" t="n">
        <f aca="false">SUMIFS('12.326ana'!$C:$C,'12.326ana'!$M:$M,redes!A9695)</f>
        <v>0</v>
      </c>
    </row>
    <row r="9696" customFormat="false" ht="14.4" hidden="true" customHeight="false" outlineLevel="0" collapsed="false">
      <c r="A9696" s="34" t="n">
        <v>5684707000188</v>
      </c>
      <c r="B9696" s="34" t="s">
        <v>19636</v>
      </c>
      <c r="C9696" s="34" t="s">
        <v>565</v>
      </c>
      <c r="E9696" s="30" t="s">
        <v>19637</v>
      </c>
      <c r="F9696" s="34" t="n">
        <f aca="false">IFERROR(VLOOKUP($A9696,'319'!$B:$H,7,0),0)</f>
        <v>0</v>
      </c>
      <c r="G9696" s="34" t="n">
        <f aca="false">SUMIFS('12.326ana'!$C:$C,'12.326ana'!$M:$M,redes!A9696)</f>
        <v>0</v>
      </c>
    </row>
    <row r="9697" customFormat="false" ht="14.4" hidden="true" customHeight="false" outlineLevel="0" collapsed="false">
      <c r="A9697" s="34" t="n">
        <v>5689079000123</v>
      </c>
      <c r="B9697" s="34" t="s">
        <v>19638</v>
      </c>
      <c r="C9697" s="34" t="s">
        <v>2998</v>
      </c>
      <c r="E9697" s="30" t="s">
        <v>19639</v>
      </c>
      <c r="F9697" s="34" t="n">
        <f aca="false">IFERROR(VLOOKUP($A9697,'319'!$B:$H,7,0),0)</f>
        <v>0</v>
      </c>
      <c r="G9697" s="34" t="n">
        <f aca="false">SUMIFS('12.326ana'!$C:$C,'12.326ana'!$M:$M,redes!A9697)</f>
        <v>0</v>
      </c>
    </row>
    <row r="9698" customFormat="false" ht="14.4" hidden="true" customHeight="false" outlineLevel="0" collapsed="false">
      <c r="A9698" s="34" t="n">
        <v>5689108000157</v>
      </c>
      <c r="B9698" s="34" t="s">
        <v>19640</v>
      </c>
      <c r="C9698" s="34" t="s">
        <v>2998</v>
      </c>
      <c r="E9698" s="30" t="s">
        <v>19641</v>
      </c>
      <c r="F9698" s="34" t="n">
        <f aca="false">IFERROR(VLOOKUP($A9698,'319'!$B:$H,7,0),0)</f>
        <v>0</v>
      </c>
      <c r="G9698" s="34" t="n">
        <f aca="false">SUMIFS('12.326ana'!$C:$C,'12.326ana'!$M:$M,redes!A9698)</f>
        <v>0</v>
      </c>
    </row>
    <row r="9699" customFormat="false" ht="14.4" hidden="true" customHeight="false" outlineLevel="0" collapsed="false">
      <c r="A9699" s="34" t="n">
        <v>5692401000173</v>
      </c>
      <c r="B9699" s="34" t="s">
        <v>19642</v>
      </c>
      <c r="C9699" s="34" t="s">
        <v>994</v>
      </c>
      <c r="E9699" s="30" t="s">
        <v>3001</v>
      </c>
      <c r="F9699" s="34" t="n">
        <f aca="false">IFERROR(VLOOKUP($A9699,'319'!$B:$H,7,0),0)</f>
        <v>0</v>
      </c>
      <c r="G9699" s="34" t="n">
        <f aca="false">SUMIFS('12.326ana'!$C:$C,'12.326ana'!$M:$M,redes!A9699)</f>
        <v>0</v>
      </c>
    </row>
    <row r="9700" customFormat="false" ht="14.4" hidden="true" customHeight="false" outlineLevel="0" collapsed="false">
      <c r="A9700" s="34" t="n">
        <v>5692401000254</v>
      </c>
      <c r="B9700" s="34" t="s">
        <v>19642</v>
      </c>
      <c r="C9700" s="34" t="s">
        <v>994</v>
      </c>
      <c r="E9700" s="30" t="s">
        <v>19643</v>
      </c>
      <c r="F9700" s="34" t="n">
        <f aca="false">IFERROR(VLOOKUP($A9700,'319'!$B:$H,7,0),0)</f>
        <v>0</v>
      </c>
      <c r="G9700" s="34" t="n">
        <f aca="false">SUMIFS('12.326ana'!$C:$C,'12.326ana'!$M:$M,redes!A9700)</f>
        <v>0</v>
      </c>
    </row>
    <row r="9701" customFormat="false" ht="14.4" hidden="true" customHeight="false" outlineLevel="0" collapsed="false">
      <c r="A9701" s="34" t="n">
        <v>5692750000195</v>
      </c>
      <c r="B9701" s="34" t="s">
        <v>19644</v>
      </c>
      <c r="C9701" s="34" t="s">
        <v>77</v>
      </c>
      <c r="E9701" s="30" t="s">
        <v>19645</v>
      </c>
      <c r="F9701" s="34" t="n">
        <f aca="false">IFERROR(VLOOKUP($A9701,'319'!$B:$H,7,0),0)</f>
        <v>0</v>
      </c>
      <c r="G9701" s="34" t="n">
        <f aca="false">SUMIFS('12.326ana'!$C:$C,'12.326ana'!$M:$M,redes!A9701)</f>
        <v>0</v>
      </c>
    </row>
    <row r="9702" customFormat="false" ht="14.4" hidden="true" customHeight="false" outlineLevel="0" collapsed="false">
      <c r="A9702" s="34" t="n">
        <v>5692857000133</v>
      </c>
      <c r="B9702" s="34" t="s">
        <v>19646</v>
      </c>
      <c r="C9702" s="34" t="s">
        <v>1054</v>
      </c>
      <c r="E9702" s="30" t="s">
        <v>5436</v>
      </c>
      <c r="F9702" s="34" t="n">
        <f aca="false">IFERROR(VLOOKUP($A9702,'319'!$B:$H,7,0),0)</f>
        <v>0</v>
      </c>
      <c r="G9702" s="34" t="n">
        <f aca="false">SUMIFS('12.326ana'!$C:$C,'12.326ana'!$M:$M,redes!A9702)</f>
        <v>0</v>
      </c>
    </row>
    <row r="9703" customFormat="false" ht="14.4" hidden="true" customHeight="false" outlineLevel="0" collapsed="false">
      <c r="A9703" s="34" t="n">
        <v>5692957000160</v>
      </c>
      <c r="B9703" s="34" t="s">
        <v>19647</v>
      </c>
      <c r="C9703" s="34" t="s">
        <v>77</v>
      </c>
      <c r="E9703" s="30" t="s">
        <v>19648</v>
      </c>
      <c r="F9703" s="34" t="n">
        <f aca="false">IFERROR(VLOOKUP($A9703,'319'!$B:$H,7,0),0)</f>
        <v>0</v>
      </c>
      <c r="G9703" s="34" t="n">
        <f aca="false">SUMIFS('12.326ana'!$C:$C,'12.326ana'!$M:$M,redes!A9703)</f>
        <v>0</v>
      </c>
    </row>
    <row r="9704" customFormat="false" ht="14.4" hidden="true" customHeight="false" outlineLevel="0" collapsed="false">
      <c r="A9704" s="34" t="n">
        <v>5693816000161</v>
      </c>
      <c r="B9704" s="34" t="s">
        <v>19649</v>
      </c>
      <c r="C9704" s="34" t="s">
        <v>594</v>
      </c>
      <c r="E9704" s="30" t="s">
        <v>19650</v>
      </c>
      <c r="F9704" s="34" t="n">
        <f aca="false">IFERROR(VLOOKUP($A9704,'319'!$B:$H,7,0),0)</f>
        <v>0</v>
      </c>
      <c r="G9704" s="34" t="n">
        <f aca="false">SUMIFS('12.326ana'!$C:$C,'12.326ana'!$M:$M,redes!A9704)</f>
        <v>0</v>
      </c>
    </row>
    <row r="9705" customFormat="false" ht="14.4" hidden="true" customHeight="false" outlineLevel="0" collapsed="false">
      <c r="A9705" s="34" t="n">
        <v>5697421000137</v>
      </c>
      <c r="B9705" s="34" t="s">
        <v>19651</v>
      </c>
      <c r="C9705" s="34" t="s">
        <v>848</v>
      </c>
      <c r="E9705" s="30" t="s">
        <v>3644</v>
      </c>
      <c r="F9705" s="34" t="n">
        <f aca="false">IFERROR(VLOOKUP($A9705,'319'!$B:$H,7,0),0)</f>
        <v>0</v>
      </c>
      <c r="G9705" s="34" t="n">
        <f aca="false">SUMIFS('12.326ana'!$C:$C,'12.326ana'!$M:$M,redes!A9705)</f>
        <v>0</v>
      </c>
    </row>
    <row r="9706" customFormat="false" ht="14.4" hidden="true" customHeight="false" outlineLevel="0" collapsed="false">
      <c r="A9706" s="34" t="n">
        <v>5700008000184</v>
      </c>
      <c r="B9706" s="34" t="s">
        <v>19652</v>
      </c>
      <c r="C9706" s="34" t="s">
        <v>848</v>
      </c>
      <c r="E9706" s="30" t="s">
        <v>3112</v>
      </c>
      <c r="F9706" s="34" t="n">
        <f aca="false">IFERROR(VLOOKUP($A9706,'319'!$B:$H,7,0),0)</f>
        <v>0</v>
      </c>
      <c r="G9706" s="34" t="n">
        <f aca="false">SUMIFS('12.326ana'!$C:$C,'12.326ana'!$M:$M,redes!A9706)</f>
        <v>0</v>
      </c>
    </row>
    <row r="9707" customFormat="false" ht="14.4" hidden="true" customHeight="false" outlineLevel="0" collapsed="false">
      <c r="A9707" s="34" t="n">
        <v>5700479000192</v>
      </c>
      <c r="B9707" s="34" t="s">
        <v>19653</v>
      </c>
      <c r="C9707" s="34" t="s">
        <v>77</v>
      </c>
      <c r="E9707" s="30" t="s">
        <v>6075</v>
      </c>
      <c r="F9707" s="34" t="n">
        <f aca="false">IFERROR(VLOOKUP($A9707,'319'!$B:$H,7,0),0)</f>
        <v>0</v>
      </c>
      <c r="G9707" s="34" t="n">
        <f aca="false">SUMIFS('12.326ana'!$C:$C,'12.326ana'!$M:$M,redes!A9707)</f>
        <v>0</v>
      </c>
    </row>
    <row r="9708" customFormat="false" ht="14.4" hidden="true" customHeight="false" outlineLevel="0" collapsed="false">
      <c r="A9708" s="34" t="n">
        <v>5700824000198</v>
      </c>
      <c r="B9708" s="34" t="s">
        <v>19654</v>
      </c>
      <c r="C9708" s="34" t="s">
        <v>77</v>
      </c>
      <c r="E9708" s="30" t="s">
        <v>19655</v>
      </c>
      <c r="F9708" s="34" t="n">
        <f aca="false">IFERROR(VLOOKUP($A9708,'319'!$B:$H,7,0),0)</f>
        <v>0</v>
      </c>
      <c r="G9708" s="34" t="n">
        <f aca="false">SUMIFS('12.326ana'!$C:$C,'12.326ana'!$M:$M,redes!A9708)</f>
        <v>0</v>
      </c>
    </row>
    <row r="9709" customFormat="false" ht="14.4" hidden="true" customHeight="false" outlineLevel="0" collapsed="false">
      <c r="A9709" s="34" t="n">
        <v>5702316000149</v>
      </c>
      <c r="B9709" s="34" t="s">
        <v>19656</v>
      </c>
      <c r="C9709" s="34" t="s">
        <v>127</v>
      </c>
      <c r="E9709" s="30" t="s">
        <v>19657</v>
      </c>
      <c r="F9709" s="34" t="n">
        <f aca="false">IFERROR(VLOOKUP($A9709,'319'!$B:$H,7,0),0)</f>
        <v>0</v>
      </c>
      <c r="G9709" s="34" t="n">
        <f aca="false">SUMIFS('12.326ana'!$C:$C,'12.326ana'!$M:$M,redes!A9709)</f>
        <v>0</v>
      </c>
    </row>
    <row r="9710" customFormat="false" ht="14.4" hidden="true" customHeight="false" outlineLevel="0" collapsed="false">
      <c r="A9710" s="34" t="n">
        <v>5702713000110</v>
      </c>
      <c r="B9710" s="34" t="s">
        <v>19658</v>
      </c>
      <c r="C9710" s="34" t="s">
        <v>77</v>
      </c>
      <c r="E9710" s="30" t="s">
        <v>18831</v>
      </c>
      <c r="F9710" s="34" t="n">
        <f aca="false">IFERROR(VLOOKUP($A9710,'319'!$B:$H,7,0),0)</f>
        <v>0</v>
      </c>
      <c r="G9710" s="34" t="n">
        <f aca="false">SUMIFS('12.326ana'!$C:$C,'12.326ana'!$M:$M,redes!A9710)</f>
        <v>0</v>
      </c>
    </row>
    <row r="9711" customFormat="false" ht="14.4" hidden="true" customHeight="false" outlineLevel="0" collapsed="false">
      <c r="A9711" s="34" t="n">
        <v>5705078000125</v>
      </c>
      <c r="B9711" s="34" t="s">
        <v>19659</v>
      </c>
      <c r="C9711" s="34" t="s">
        <v>139</v>
      </c>
      <c r="E9711" s="30" t="s">
        <v>19660</v>
      </c>
      <c r="F9711" s="34" t="n">
        <f aca="false">IFERROR(VLOOKUP($A9711,'319'!$B:$H,7,0),0)</f>
        <v>0</v>
      </c>
      <c r="G9711" s="34" t="n">
        <f aca="false">SUMIFS('12.326ana'!$C:$C,'12.326ana'!$M:$M,redes!A9711)</f>
        <v>0</v>
      </c>
    </row>
    <row r="9712" customFormat="false" ht="14.4" hidden="true" customHeight="false" outlineLevel="0" collapsed="false">
      <c r="A9712" s="34" t="n">
        <v>5728743000104</v>
      </c>
      <c r="B9712" s="34" t="s">
        <v>19661</v>
      </c>
      <c r="C9712" s="34" t="s">
        <v>197</v>
      </c>
      <c r="E9712" s="30" t="s">
        <v>19662</v>
      </c>
      <c r="F9712" s="34" t="n">
        <f aca="false">IFERROR(VLOOKUP($A9712,'319'!$B:$H,7,0),0)</f>
        <v>0</v>
      </c>
      <c r="G9712" s="34" t="n">
        <f aca="false">SUMIFS('12.326ana'!$C:$C,'12.326ana'!$M:$M,redes!A9712)</f>
        <v>0</v>
      </c>
    </row>
    <row r="9713" customFormat="false" ht="14.4" hidden="true" customHeight="false" outlineLevel="0" collapsed="false">
      <c r="A9713" s="34" t="n">
        <v>5729311000100</v>
      </c>
      <c r="B9713" s="34" t="s">
        <v>19663</v>
      </c>
      <c r="C9713" s="34" t="s">
        <v>77</v>
      </c>
      <c r="E9713" s="30" t="s">
        <v>19664</v>
      </c>
      <c r="F9713" s="34" t="n">
        <f aca="false">IFERROR(VLOOKUP($A9713,'319'!$B:$H,7,0),0)</f>
        <v>0</v>
      </c>
      <c r="G9713" s="34" t="n">
        <f aca="false">SUMIFS('12.326ana'!$C:$C,'12.326ana'!$M:$M,redes!A9713)</f>
        <v>0</v>
      </c>
    </row>
    <row r="9714" customFormat="false" ht="14.4" hidden="true" customHeight="false" outlineLevel="0" collapsed="false">
      <c r="A9714" s="34" t="n">
        <v>5729759000123</v>
      </c>
      <c r="B9714" s="34" t="s">
        <v>19665</v>
      </c>
      <c r="C9714" s="34" t="s">
        <v>117</v>
      </c>
      <c r="E9714" s="30" t="s">
        <v>19666</v>
      </c>
      <c r="F9714" s="34" t="n">
        <f aca="false">IFERROR(VLOOKUP($A9714,'319'!$B:$H,7,0),0)</f>
        <v>0</v>
      </c>
      <c r="G9714" s="34" t="n">
        <f aca="false">SUMIFS('12.326ana'!$C:$C,'12.326ana'!$M:$M,redes!A9714)</f>
        <v>0</v>
      </c>
    </row>
    <row r="9715" customFormat="false" ht="14.4" hidden="true" customHeight="false" outlineLevel="0" collapsed="false">
      <c r="A9715" s="34" t="n">
        <v>5731734000164</v>
      </c>
      <c r="B9715" s="34" t="s">
        <v>19667</v>
      </c>
      <c r="C9715" s="34" t="s">
        <v>197</v>
      </c>
      <c r="E9715" s="30" t="s">
        <v>19668</v>
      </c>
      <c r="F9715" s="34" t="n">
        <f aca="false">IFERROR(VLOOKUP($A9715,'319'!$B:$H,7,0),0)</f>
        <v>0</v>
      </c>
      <c r="G9715" s="34" t="n">
        <f aca="false">SUMIFS('12.326ana'!$C:$C,'12.326ana'!$M:$M,redes!A9715)</f>
        <v>0</v>
      </c>
    </row>
    <row r="9716" customFormat="false" ht="14.4" hidden="true" customHeight="false" outlineLevel="0" collapsed="false">
      <c r="A9716" s="34" t="n">
        <v>5734862000161</v>
      </c>
      <c r="B9716" s="34" t="s">
        <v>19669</v>
      </c>
      <c r="C9716" s="34" t="s">
        <v>77</v>
      </c>
      <c r="D9716" s="34" t="s">
        <v>3324</v>
      </c>
      <c r="E9716" s="30" t="s">
        <v>19670</v>
      </c>
      <c r="F9716" s="34" t="n">
        <f aca="false">IFERROR(VLOOKUP($A9716,'319'!$B:$H,7,0),0)</f>
        <v>0</v>
      </c>
      <c r="G9716" s="34" t="n">
        <f aca="false">SUMIFS('12.326ana'!$C:$C,'12.326ana'!$M:$M,redes!A9716)</f>
        <v>0</v>
      </c>
    </row>
    <row r="9717" customFormat="false" ht="14.4" hidden="true" customHeight="false" outlineLevel="0" collapsed="false">
      <c r="A9717" s="34" t="n">
        <v>5734880000143</v>
      </c>
      <c r="B9717" s="34" t="s">
        <v>19671</v>
      </c>
      <c r="C9717" s="34" t="s">
        <v>77</v>
      </c>
      <c r="E9717" s="30" t="s">
        <v>19672</v>
      </c>
      <c r="F9717" s="34" t="n">
        <f aca="false">IFERROR(VLOOKUP($A9717,'319'!$B:$H,7,0),0)</f>
        <v>0</v>
      </c>
      <c r="G9717" s="34" t="n">
        <f aca="false">SUMIFS('12.326ana'!$C:$C,'12.326ana'!$M:$M,redes!A9717)</f>
        <v>0</v>
      </c>
    </row>
    <row r="9718" customFormat="false" ht="14.4" hidden="true" customHeight="false" outlineLevel="0" collapsed="false">
      <c r="A9718" s="34" t="n">
        <v>5734902000175</v>
      </c>
      <c r="B9718" s="34" t="s">
        <v>19673</v>
      </c>
      <c r="C9718" s="34" t="s">
        <v>1054</v>
      </c>
      <c r="E9718" s="30" t="s">
        <v>4972</v>
      </c>
      <c r="F9718" s="34" t="n">
        <f aca="false">IFERROR(VLOOKUP($A9718,'319'!$B:$H,7,0),0)</f>
        <v>0</v>
      </c>
      <c r="G9718" s="34" t="n">
        <f aca="false">SUMIFS('12.326ana'!$C:$C,'12.326ana'!$M:$M,redes!A9718)</f>
        <v>0</v>
      </c>
    </row>
    <row r="9719" customFormat="false" ht="14.4" hidden="true" customHeight="false" outlineLevel="0" collapsed="false">
      <c r="A9719" s="34" t="n">
        <v>5743680000157</v>
      </c>
      <c r="B9719" s="34" t="s">
        <v>19674</v>
      </c>
      <c r="C9719" s="34" t="s">
        <v>89</v>
      </c>
      <c r="E9719" s="30" t="s">
        <v>19675</v>
      </c>
      <c r="F9719" s="34" t="n">
        <f aca="false">IFERROR(VLOOKUP($A9719,'319'!$B:$H,7,0),0)</f>
        <v>0</v>
      </c>
      <c r="G9719" s="34" t="n">
        <f aca="false">SUMIFS('12.326ana'!$C:$C,'12.326ana'!$M:$M,redes!A9719)</f>
        <v>0</v>
      </c>
    </row>
    <row r="9720" customFormat="false" ht="14.4" hidden="true" customHeight="false" outlineLevel="0" collapsed="false">
      <c r="A9720" s="34" t="n">
        <v>5743820000197</v>
      </c>
      <c r="B9720" s="34" t="s">
        <v>19676</v>
      </c>
      <c r="C9720" s="34" t="s">
        <v>77</v>
      </c>
      <c r="E9720" s="30" t="s">
        <v>6896</v>
      </c>
      <c r="F9720" s="34" t="n">
        <f aca="false">IFERROR(VLOOKUP($A9720,'319'!$B:$H,7,0),0)</f>
        <v>0</v>
      </c>
      <c r="G9720" s="34" t="n">
        <f aca="false">SUMIFS('12.326ana'!$C:$C,'12.326ana'!$M:$M,redes!A9720)</f>
        <v>0</v>
      </c>
    </row>
    <row r="9721" customFormat="false" ht="14.4" hidden="true" customHeight="false" outlineLevel="0" collapsed="false">
      <c r="A9721" s="34" t="n">
        <v>5743854000181</v>
      </c>
      <c r="B9721" s="34" t="s">
        <v>19677</v>
      </c>
      <c r="C9721" s="34" t="s">
        <v>77</v>
      </c>
      <c r="E9721" s="30" t="s">
        <v>19678</v>
      </c>
      <c r="F9721" s="34" t="n">
        <f aca="false">IFERROR(VLOOKUP($A9721,'319'!$B:$H,7,0),0)</f>
        <v>0</v>
      </c>
      <c r="G9721" s="34" t="n">
        <f aca="false">SUMIFS('12.326ana'!$C:$C,'12.326ana'!$M:$M,redes!A9721)</f>
        <v>0</v>
      </c>
    </row>
    <row r="9722" customFormat="false" ht="14.4" hidden="true" customHeight="false" outlineLevel="0" collapsed="false">
      <c r="A9722" s="34" t="n">
        <v>5743889000110</v>
      </c>
      <c r="B9722" s="34" t="s">
        <v>19679</v>
      </c>
      <c r="C9722" s="34" t="s">
        <v>77</v>
      </c>
      <c r="E9722" s="30" t="s">
        <v>19680</v>
      </c>
      <c r="F9722" s="34" t="n">
        <f aca="false">IFERROR(VLOOKUP($A9722,'319'!$B:$H,7,0),0)</f>
        <v>0</v>
      </c>
      <c r="G9722" s="34" t="n">
        <f aca="false">SUMIFS('12.326ana'!$C:$C,'12.326ana'!$M:$M,redes!A9722)</f>
        <v>0</v>
      </c>
    </row>
    <row r="9723" customFormat="false" ht="14.4" hidden="true" customHeight="false" outlineLevel="0" collapsed="false">
      <c r="A9723" s="34" t="n">
        <v>5748088000148</v>
      </c>
      <c r="B9723" s="34" t="s">
        <v>19681</v>
      </c>
      <c r="C9723" s="34" t="s">
        <v>357</v>
      </c>
      <c r="E9723" s="30" t="s">
        <v>19682</v>
      </c>
      <c r="F9723" s="34" t="n">
        <f aca="false">IFERROR(VLOOKUP($A9723,'319'!$B:$H,7,0),0)</f>
        <v>0</v>
      </c>
      <c r="G9723" s="34" t="n">
        <f aca="false">SUMIFS('12.326ana'!$C:$C,'12.326ana'!$M:$M,redes!A9723)</f>
        <v>0</v>
      </c>
    </row>
    <row r="9724" customFormat="false" ht="14.4" hidden="true" customHeight="false" outlineLevel="0" collapsed="false">
      <c r="A9724" s="34" t="n">
        <v>5751736000115</v>
      </c>
      <c r="B9724" s="34" t="s">
        <v>19683</v>
      </c>
      <c r="C9724" s="34" t="s">
        <v>1306</v>
      </c>
      <c r="E9724" s="30" t="s">
        <v>19684</v>
      </c>
      <c r="F9724" s="34" t="n">
        <f aca="false">IFERROR(VLOOKUP($A9724,'319'!$B:$H,7,0),0)</f>
        <v>0</v>
      </c>
      <c r="G9724" s="34" t="n">
        <f aca="false">SUMIFS('12.326ana'!$C:$C,'12.326ana'!$M:$M,redes!A9724)</f>
        <v>0</v>
      </c>
    </row>
    <row r="9725" customFormat="false" ht="14.4" hidden="true" customHeight="false" outlineLevel="0" collapsed="false">
      <c r="A9725" s="34" t="n">
        <v>5752433000117</v>
      </c>
      <c r="B9725" s="34" t="s">
        <v>19685</v>
      </c>
      <c r="C9725" s="34" t="s">
        <v>103</v>
      </c>
      <c r="E9725" s="30" t="s">
        <v>19686</v>
      </c>
      <c r="F9725" s="34" t="n">
        <f aca="false">IFERROR(VLOOKUP($A9725,'319'!$B:$H,7,0),0)</f>
        <v>0</v>
      </c>
      <c r="G9725" s="34" t="n">
        <f aca="false">SUMIFS('12.326ana'!$C:$C,'12.326ana'!$M:$M,redes!A9725)</f>
        <v>0</v>
      </c>
    </row>
    <row r="9726" customFormat="false" ht="14.4" hidden="true" customHeight="false" outlineLevel="0" collapsed="false">
      <c r="A9726" s="34" t="n">
        <v>5753804000185</v>
      </c>
      <c r="B9726" s="34" t="s">
        <v>19687</v>
      </c>
      <c r="C9726" s="34" t="s">
        <v>463</v>
      </c>
      <c r="E9726" s="30" t="s">
        <v>9475</v>
      </c>
      <c r="F9726" s="34" t="n">
        <f aca="false">IFERROR(VLOOKUP($A9726,'319'!$B:$H,7,0),0)</f>
        <v>0</v>
      </c>
      <c r="G9726" s="34" t="n">
        <f aca="false">SUMIFS('12.326ana'!$C:$C,'12.326ana'!$M:$M,redes!A9726)</f>
        <v>0</v>
      </c>
    </row>
    <row r="9727" customFormat="false" ht="14.4" hidden="true" customHeight="false" outlineLevel="0" collapsed="false">
      <c r="A9727" s="34" t="n">
        <v>5756634000192</v>
      </c>
      <c r="B9727" s="34" t="s">
        <v>19688</v>
      </c>
      <c r="C9727" s="34" t="s">
        <v>207</v>
      </c>
      <c r="E9727" s="30" t="s">
        <v>5781</v>
      </c>
      <c r="F9727" s="34" t="n">
        <f aca="false">IFERROR(VLOOKUP($A9727,'319'!$B:$H,7,0),0)</f>
        <v>0</v>
      </c>
      <c r="G9727" s="34" t="n">
        <f aca="false">SUMIFS('12.326ana'!$C:$C,'12.326ana'!$M:$M,redes!A9727)</f>
        <v>0</v>
      </c>
    </row>
    <row r="9728" customFormat="false" ht="14.4" hidden="true" customHeight="false" outlineLevel="0" collapsed="false">
      <c r="A9728" s="34" t="n">
        <v>5757553000107</v>
      </c>
      <c r="B9728" s="34" t="s">
        <v>19689</v>
      </c>
      <c r="C9728" s="34" t="s">
        <v>213</v>
      </c>
      <c r="E9728" s="30" t="s">
        <v>19690</v>
      </c>
      <c r="F9728" s="34" t="n">
        <f aca="false">IFERROR(VLOOKUP($A9728,'319'!$B:$H,7,0),0)</f>
        <v>0</v>
      </c>
      <c r="G9728" s="34" t="n">
        <f aca="false">SUMIFS('12.326ana'!$C:$C,'12.326ana'!$M:$M,redes!A9728)</f>
        <v>0</v>
      </c>
    </row>
    <row r="9729" customFormat="false" ht="14.4" hidden="true" customHeight="false" outlineLevel="0" collapsed="false">
      <c r="A9729" s="34" t="n">
        <v>5758497000125</v>
      </c>
      <c r="B9729" s="34" t="s">
        <v>19691</v>
      </c>
      <c r="C9729" s="34" t="s">
        <v>89</v>
      </c>
      <c r="E9729" s="30" t="s">
        <v>19692</v>
      </c>
      <c r="F9729" s="34" t="n">
        <f aca="false">IFERROR(VLOOKUP($A9729,'319'!$B:$H,7,0),0)</f>
        <v>0</v>
      </c>
      <c r="G9729" s="34" t="n">
        <f aca="false">SUMIFS('12.326ana'!$C:$C,'12.326ana'!$M:$M,redes!A9729)</f>
        <v>0</v>
      </c>
    </row>
    <row r="9730" customFormat="false" ht="14.4" hidden="true" customHeight="false" outlineLevel="0" collapsed="false">
      <c r="A9730" s="34" t="n">
        <v>5758563000167</v>
      </c>
      <c r="B9730" s="34" t="s">
        <v>19693</v>
      </c>
      <c r="C9730" s="34" t="s">
        <v>77</v>
      </c>
      <c r="E9730" s="30" t="s">
        <v>19694</v>
      </c>
      <c r="F9730" s="34" t="n">
        <f aca="false">IFERROR(VLOOKUP($A9730,'319'!$B:$H,7,0),0)</f>
        <v>0</v>
      </c>
      <c r="G9730" s="34" t="n">
        <f aca="false">SUMIFS('12.326ana'!$C:$C,'12.326ana'!$M:$M,redes!A9730)</f>
        <v>0</v>
      </c>
    </row>
    <row r="9731" customFormat="false" ht="14.4" hidden="true" customHeight="false" outlineLevel="0" collapsed="false">
      <c r="A9731" s="34" t="n">
        <v>5758577000180</v>
      </c>
      <c r="B9731" s="34" t="s">
        <v>19695</v>
      </c>
      <c r="C9731" s="34" t="s">
        <v>77</v>
      </c>
      <c r="E9731" s="30" t="s">
        <v>19696</v>
      </c>
      <c r="F9731" s="34" t="n">
        <f aca="false">IFERROR(VLOOKUP($A9731,'319'!$B:$H,7,0),0)</f>
        <v>0</v>
      </c>
      <c r="G9731" s="34" t="n">
        <f aca="false">SUMIFS('12.326ana'!$C:$C,'12.326ana'!$M:$M,redes!A9731)</f>
        <v>0</v>
      </c>
    </row>
    <row r="9732" customFormat="false" ht="14.4" hidden="true" customHeight="false" outlineLevel="0" collapsed="false">
      <c r="A9732" s="34" t="n">
        <v>5759395000124</v>
      </c>
      <c r="B9732" s="34" t="s">
        <v>19697</v>
      </c>
      <c r="C9732" s="34" t="s">
        <v>77</v>
      </c>
      <c r="E9732" s="30" t="s">
        <v>19698</v>
      </c>
      <c r="F9732" s="34" t="n">
        <f aca="false">IFERROR(VLOOKUP($A9732,'319'!$B:$H,7,0),0)</f>
        <v>0</v>
      </c>
      <c r="G9732" s="34" t="n">
        <f aca="false">SUMIFS('12.326ana'!$C:$C,'12.326ana'!$M:$M,redes!A9732)</f>
        <v>0</v>
      </c>
    </row>
    <row r="9733" customFormat="false" ht="14.4" hidden="true" customHeight="false" outlineLevel="0" collapsed="false">
      <c r="A9733" s="34" t="n">
        <v>5760010000149</v>
      </c>
      <c r="B9733" s="34" t="s">
        <v>19699</v>
      </c>
      <c r="C9733" s="34" t="s">
        <v>77</v>
      </c>
      <c r="E9733" s="30" t="s">
        <v>19700</v>
      </c>
      <c r="F9733" s="34" t="n">
        <f aca="false">IFERROR(VLOOKUP($A9733,'319'!$B:$H,7,0),0)</f>
        <v>0</v>
      </c>
      <c r="G9733" s="34" t="n">
        <f aca="false">SUMIFS('12.326ana'!$C:$C,'12.326ana'!$M:$M,redes!A9733)</f>
        <v>0</v>
      </c>
    </row>
    <row r="9734" customFormat="false" ht="14.4" hidden="true" customHeight="false" outlineLevel="0" collapsed="false">
      <c r="A9734" s="34" t="n">
        <v>5761660000109</v>
      </c>
      <c r="B9734" s="34" t="s">
        <v>19701</v>
      </c>
      <c r="C9734" s="34" t="s">
        <v>631</v>
      </c>
      <c r="E9734" s="30" t="s">
        <v>19702</v>
      </c>
      <c r="F9734" s="34" t="n">
        <f aca="false">IFERROR(VLOOKUP($A9734,'319'!$B:$H,7,0),0)</f>
        <v>0</v>
      </c>
      <c r="G9734" s="34" t="n">
        <f aca="false">SUMIFS('12.326ana'!$C:$C,'12.326ana'!$M:$M,redes!A9734)</f>
        <v>0</v>
      </c>
    </row>
    <row r="9735" customFormat="false" ht="14.4" hidden="true" customHeight="false" outlineLevel="0" collapsed="false">
      <c r="A9735" s="34" t="n">
        <v>5765590000167</v>
      </c>
      <c r="B9735" s="34" t="s">
        <v>19703</v>
      </c>
      <c r="C9735" s="34" t="s">
        <v>77</v>
      </c>
      <c r="E9735" s="30" t="s">
        <v>19704</v>
      </c>
      <c r="F9735" s="34" t="n">
        <f aca="false">IFERROR(VLOOKUP($A9735,'319'!$B:$H,7,0),0)</f>
        <v>0</v>
      </c>
      <c r="G9735" s="34" t="n">
        <f aca="false">SUMIFS('12.326ana'!$C:$C,'12.326ana'!$M:$M,redes!A9735)</f>
        <v>0</v>
      </c>
    </row>
    <row r="9736" customFormat="false" ht="14.4" hidden="true" customHeight="false" outlineLevel="0" collapsed="false">
      <c r="A9736" s="34" t="n">
        <v>5765663000110</v>
      </c>
      <c r="B9736" s="34" t="s">
        <v>6998</v>
      </c>
      <c r="C9736" s="34" t="s">
        <v>77</v>
      </c>
      <c r="E9736" s="30" t="s">
        <v>19705</v>
      </c>
      <c r="F9736" s="34" t="n">
        <f aca="false">IFERROR(VLOOKUP($A9736,'319'!$B:$H,7,0),0)</f>
        <v>0</v>
      </c>
      <c r="G9736" s="34" t="n">
        <f aca="false">SUMIFS('12.326ana'!$C:$C,'12.326ana'!$M:$M,redes!A9736)</f>
        <v>0</v>
      </c>
    </row>
    <row r="9737" customFormat="false" ht="14.4" hidden="true" customHeight="false" outlineLevel="0" collapsed="false">
      <c r="A9737" s="34" t="n">
        <v>5766349000152</v>
      </c>
      <c r="B9737" s="34" t="s">
        <v>19706</v>
      </c>
      <c r="C9737" s="34" t="s">
        <v>309</v>
      </c>
      <c r="E9737" s="30" t="s">
        <v>19707</v>
      </c>
      <c r="F9737" s="34" t="n">
        <f aca="false">IFERROR(VLOOKUP($A9737,'319'!$B:$H,7,0),0)</f>
        <v>0</v>
      </c>
      <c r="G9737" s="34" t="n">
        <f aca="false">SUMIFS('12.326ana'!$C:$C,'12.326ana'!$M:$M,redes!A9737)</f>
        <v>0</v>
      </c>
    </row>
    <row r="9738" customFormat="false" ht="14.4" hidden="true" customHeight="false" outlineLevel="0" collapsed="false">
      <c r="A9738" s="34" t="n">
        <v>5768040000100</v>
      </c>
      <c r="B9738" s="34" t="s">
        <v>19708</v>
      </c>
      <c r="C9738" s="34" t="s">
        <v>77</v>
      </c>
      <c r="E9738" s="30" t="s">
        <v>15343</v>
      </c>
      <c r="F9738" s="34" t="n">
        <f aca="false">IFERROR(VLOOKUP($A9738,'319'!$B:$H,7,0),0)</f>
        <v>0</v>
      </c>
      <c r="G9738" s="34" t="n">
        <f aca="false">SUMIFS('12.326ana'!$C:$C,'12.326ana'!$M:$M,redes!A9738)</f>
        <v>0</v>
      </c>
    </row>
    <row r="9739" customFormat="false" ht="14.4" hidden="true" customHeight="false" outlineLevel="0" collapsed="false">
      <c r="A9739" s="34" t="n">
        <v>5768121000100</v>
      </c>
      <c r="B9739" s="34" t="s">
        <v>11723</v>
      </c>
      <c r="C9739" s="34" t="s">
        <v>117</v>
      </c>
      <c r="E9739" s="30" t="s">
        <v>19709</v>
      </c>
      <c r="F9739" s="34" t="n">
        <f aca="false">IFERROR(VLOOKUP($A9739,'319'!$B:$H,7,0),0)</f>
        <v>0</v>
      </c>
      <c r="G9739" s="34" t="n">
        <f aca="false">SUMIFS('12.326ana'!$C:$C,'12.326ana'!$M:$M,redes!A9739)</f>
        <v>0</v>
      </c>
    </row>
    <row r="9740" customFormat="false" ht="14.4" hidden="true" customHeight="false" outlineLevel="0" collapsed="false">
      <c r="A9740" s="34" t="n">
        <v>5768157000185</v>
      </c>
      <c r="B9740" s="34" t="s">
        <v>19710</v>
      </c>
      <c r="C9740" s="34" t="s">
        <v>139</v>
      </c>
      <c r="E9740" s="30" t="s">
        <v>19711</v>
      </c>
      <c r="F9740" s="34" t="n">
        <f aca="false">IFERROR(VLOOKUP($A9740,'319'!$B:$H,7,0),0)</f>
        <v>0</v>
      </c>
      <c r="G9740" s="34" t="n">
        <f aca="false">SUMIFS('12.326ana'!$C:$C,'12.326ana'!$M:$M,redes!A9740)</f>
        <v>0</v>
      </c>
    </row>
    <row r="9741" customFormat="false" ht="14.4" hidden="true" customHeight="false" outlineLevel="0" collapsed="false">
      <c r="A9741" s="34" t="n">
        <v>5771641000163</v>
      </c>
      <c r="B9741" s="34" t="s">
        <v>19712</v>
      </c>
      <c r="C9741" s="34" t="s">
        <v>546</v>
      </c>
      <c r="E9741" s="30" t="s">
        <v>19713</v>
      </c>
      <c r="F9741" s="34" t="n">
        <f aca="false">IFERROR(VLOOKUP($A9741,'319'!$B:$H,7,0),0)</f>
        <v>0</v>
      </c>
      <c r="G9741" s="34" t="n">
        <f aca="false">SUMIFS('12.326ana'!$C:$C,'12.326ana'!$M:$M,redes!A9741)</f>
        <v>0</v>
      </c>
    </row>
    <row r="9742" customFormat="false" ht="14.4" hidden="true" customHeight="false" outlineLevel="0" collapsed="false">
      <c r="A9742" s="34" t="n">
        <v>5772869000178</v>
      </c>
      <c r="B9742" s="34" t="s">
        <v>19714</v>
      </c>
      <c r="C9742" s="34" t="s">
        <v>781</v>
      </c>
      <c r="E9742" s="30" t="s">
        <v>19715</v>
      </c>
      <c r="F9742" s="34" t="n">
        <f aca="false">IFERROR(VLOOKUP($A9742,'319'!$B:$H,7,0),0)</f>
        <v>0</v>
      </c>
      <c r="G9742" s="34" t="n">
        <f aca="false">SUMIFS('12.326ana'!$C:$C,'12.326ana'!$M:$M,redes!A9742)</f>
        <v>0</v>
      </c>
    </row>
    <row r="9743" customFormat="false" ht="14.4" hidden="true" customHeight="false" outlineLevel="0" collapsed="false">
      <c r="A9743" s="34" t="n">
        <v>5772902000160</v>
      </c>
      <c r="B9743" s="34" t="s">
        <v>19716</v>
      </c>
      <c r="C9743" s="34" t="s">
        <v>1591</v>
      </c>
      <c r="E9743" s="30" t="s">
        <v>19717</v>
      </c>
      <c r="F9743" s="34" t="n">
        <f aca="false">IFERROR(VLOOKUP($A9743,'319'!$B:$H,7,0),0)</f>
        <v>0</v>
      </c>
      <c r="G9743" s="34" t="n">
        <f aca="false">SUMIFS('12.326ana'!$C:$C,'12.326ana'!$M:$M,redes!A9743)</f>
        <v>0</v>
      </c>
    </row>
    <row r="9744" customFormat="false" ht="14.4" hidden="true" customHeight="false" outlineLevel="0" collapsed="false">
      <c r="A9744" s="34" t="n">
        <v>5772914000194</v>
      </c>
      <c r="B9744" s="34" t="s">
        <v>19718</v>
      </c>
      <c r="C9744" s="34" t="s">
        <v>744</v>
      </c>
      <c r="E9744" s="30" t="s">
        <v>13286</v>
      </c>
      <c r="F9744" s="34" t="n">
        <f aca="false">IFERROR(VLOOKUP($A9744,'319'!$B:$H,7,0),0)</f>
        <v>0</v>
      </c>
      <c r="G9744" s="34" t="n">
        <f aca="false">SUMIFS('12.326ana'!$C:$C,'12.326ana'!$M:$M,redes!A9744)</f>
        <v>0</v>
      </c>
    </row>
    <row r="9745" customFormat="false" ht="14.4" hidden="true" customHeight="false" outlineLevel="0" collapsed="false">
      <c r="A9745" s="34" t="n">
        <v>5776096000106</v>
      </c>
      <c r="B9745" s="34" t="s">
        <v>19719</v>
      </c>
      <c r="C9745" s="34" t="s">
        <v>77</v>
      </c>
      <c r="E9745" s="30" t="s">
        <v>19720</v>
      </c>
      <c r="F9745" s="34" t="n">
        <f aca="false">IFERROR(VLOOKUP($A9745,'319'!$B:$H,7,0),0)</f>
        <v>0</v>
      </c>
      <c r="G9745" s="34" t="n">
        <f aca="false">SUMIFS('12.326ana'!$C:$C,'12.326ana'!$M:$M,redes!A9745)</f>
        <v>0</v>
      </c>
    </row>
    <row r="9746" customFormat="false" ht="14.4" hidden="true" customHeight="false" outlineLevel="0" collapsed="false">
      <c r="A9746" s="34" t="n">
        <v>5776264000155</v>
      </c>
      <c r="B9746" s="34" t="s">
        <v>19721</v>
      </c>
      <c r="C9746" s="34" t="s">
        <v>464</v>
      </c>
      <c r="E9746" s="30" t="s">
        <v>15740</v>
      </c>
      <c r="F9746" s="34" t="n">
        <f aca="false">IFERROR(VLOOKUP($A9746,'319'!$B:$H,7,0),0)</f>
        <v>0</v>
      </c>
      <c r="G9746" s="34" t="n">
        <f aca="false">SUMIFS('12.326ana'!$C:$C,'12.326ana'!$M:$M,redes!A9746)</f>
        <v>0</v>
      </c>
    </row>
    <row r="9747" customFormat="false" ht="14.4" hidden="true" customHeight="false" outlineLevel="0" collapsed="false">
      <c r="A9747" s="34" t="n">
        <v>5776436000190</v>
      </c>
      <c r="B9747" s="34" t="s">
        <v>3292</v>
      </c>
      <c r="C9747" s="34" t="s">
        <v>77</v>
      </c>
      <c r="E9747" s="30" t="s">
        <v>3293</v>
      </c>
      <c r="F9747" s="34" t="n">
        <f aca="false">IFERROR(VLOOKUP($A9747,'319'!$B:$H,7,0),0)</f>
        <v>0</v>
      </c>
      <c r="G9747" s="34" t="n">
        <f aca="false">SUMIFS('12.326ana'!$C:$C,'12.326ana'!$M:$M,redes!A9747)</f>
        <v>0</v>
      </c>
    </row>
    <row r="9748" customFormat="false" ht="14.4" hidden="true" customHeight="false" outlineLevel="0" collapsed="false">
      <c r="A9748" s="34" t="n">
        <v>5776524000192</v>
      </c>
      <c r="B9748" s="34" t="s">
        <v>19722</v>
      </c>
      <c r="C9748" s="34" t="s">
        <v>77</v>
      </c>
      <c r="E9748" s="30"/>
      <c r="F9748" s="34" t="n">
        <f aca="false">IFERROR(VLOOKUP($A9748,'319'!$B:$H,7,0),0)</f>
        <v>0</v>
      </c>
      <c r="G9748" s="34" t="n">
        <f aca="false">SUMIFS('12.326ana'!$C:$C,'12.326ana'!$M:$M,redes!A9748)</f>
        <v>0</v>
      </c>
    </row>
    <row r="9749" customFormat="false" ht="14.4" hidden="true" customHeight="false" outlineLevel="0" collapsed="false">
      <c r="A9749" s="34" t="n">
        <v>5777019000162</v>
      </c>
      <c r="B9749" s="34" t="s">
        <v>19723</v>
      </c>
      <c r="C9749" s="34" t="s">
        <v>881</v>
      </c>
      <c r="E9749" s="30" t="s">
        <v>19724</v>
      </c>
      <c r="F9749" s="34" t="n">
        <f aca="false">IFERROR(VLOOKUP($A9749,'319'!$B:$H,7,0),0)</f>
        <v>0</v>
      </c>
      <c r="G9749" s="34" t="n">
        <f aca="false">SUMIFS('12.326ana'!$C:$C,'12.326ana'!$M:$M,redes!A9749)</f>
        <v>0</v>
      </c>
    </row>
    <row r="9750" customFormat="false" ht="14.4" hidden="true" customHeight="false" outlineLevel="0" collapsed="false">
      <c r="A9750" s="34" t="n">
        <v>5777887000142</v>
      </c>
      <c r="B9750" s="34" t="s">
        <v>19725</v>
      </c>
      <c r="C9750" s="34" t="s">
        <v>77</v>
      </c>
      <c r="E9750" s="30" t="s">
        <v>19726</v>
      </c>
      <c r="F9750" s="34" t="n">
        <f aca="false">IFERROR(VLOOKUP($A9750,'319'!$B:$H,7,0),0)</f>
        <v>0</v>
      </c>
      <c r="G9750" s="34" t="n">
        <f aca="false">SUMIFS('12.326ana'!$C:$C,'12.326ana'!$M:$M,redes!A9750)</f>
        <v>0</v>
      </c>
    </row>
    <row r="9751" customFormat="false" ht="14.4" hidden="true" customHeight="false" outlineLevel="0" collapsed="false">
      <c r="A9751" s="34" t="n">
        <v>5778186000128</v>
      </c>
      <c r="B9751" s="34" t="s">
        <v>19727</v>
      </c>
      <c r="C9751" s="34" t="s">
        <v>77</v>
      </c>
      <c r="E9751" s="30" t="s">
        <v>19728</v>
      </c>
      <c r="F9751" s="34" t="n">
        <f aca="false">IFERROR(VLOOKUP($A9751,'319'!$B:$H,7,0),0)</f>
        <v>0</v>
      </c>
      <c r="G9751" s="34" t="n">
        <f aca="false">SUMIFS('12.326ana'!$C:$C,'12.326ana'!$M:$M,redes!A9751)</f>
        <v>0</v>
      </c>
    </row>
    <row r="9752" customFormat="false" ht="14.4" hidden="true" customHeight="false" outlineLevel="0" collapsed="false">
      <c r="A9752" s="34" t="n">
        <v>5778971000180</v>
      </c>
      <c r="B9752" s="34" t="s">
        <v>19729</v>
      </c>
      <c r="C9752" s="34" t="s">
        <v>336</v>
      </c>
      <c r="E9752" s="30" t="s">
        <v>19730</v>
      </c>
      <c r="F9752" s="34" t="n">
        <f aca="false">IFERROR(VLOOKUP($A9752,'319'!$B:$H,7,0),0)</f>
        <v>0</v>
      </c>
      <c r="G9752" s="34" t="n">
        <f aca="false">SUMIFS('12.326ana'!$C:$C,'12.326ana'!$M:$M,redes!A9752)</f>
        <v>0</v>
      </c>
    </row>
    <row r="9753" customFormat="false" ht="14.4" hidden="true" customHeight="false" outlineLevel="0" collapsed="false">
      <c r="A9753" s="34" t="n">
        <v>5779647000187</v>
      </c>
      <c r="B9753" s="34" t="s">
        <v>19731</v>
      </c>
      <c r="C9753" s="34" t="s">
        <v>107</v>
      </c>
      <c r="E9753" s="30" t="s">
        <v>3442</v>
      </c>
      <c r="F9753" s="34" t="n">
        <f aca="false">IFERROR(VLOOKUP($A9753,'319'!$B:$H,7,0),0)</f>
        <v>0</v>
      </c>
      <c r="G9753" s="34" t="n">
        <f aca="false">SUMIFS('12.326ana'!$C:$C,'12.326ana'!$M:$M,redes!A9753)</f>
        <v>0</v>
      </c>
    </row>
    <row r="9754" customFormat="false" ht="14.4" hidden="true" customHeight="false" outlineLevel="0" collapsed="false">
      <c r="A9754" s="34" t="n">
        <v>5779733000190</v>
      </c>
      <c r="B9754" s="34" t="s">
        <v>19732</v>
      </c>
      <c r="C9754" s="34" t="s">
        <v>473</v>
      </c>
      <c r="E9754" s="30" t="s">
        <v>19733</v>
      </c>
      <c r="F9754" s="34" t="n">
        <f aca="false">IFERROR(VLOOKUP($A9754,'319'!$B:$H,7,0),0)</f>
        <v>0</v>
      </c>
      <c r="G9754" s="34" t="n">
        <f aca="false">SUMIFS('12.326ana'!$C:$C,'12.326ana'!$M:$M,redes!A9754)</f>
        <v>0</v>
      </c>
    </row>
    <row r="9755" customFormat="false" ht="14.4" hidden="true" customHeight="false" outlineLevel="0" collapsed="false">
      <c r="A9755" s="34" t="n">
        <v>5782251000199</v>
      </c>
      <c r="B9755" s="34" t="s">
        <v>19734</v>
      </c>
      <c r="C9755" s="34" t="s">
        <v>581</v>
      </c>
      <c r="E9755" s="30" t="s">
        <v>19735</v>
      </c>
      <c r="F9755" s="34" t="n">
        <f aca="false">IFERROR(VLOOKUP($A9755,'319'!$B:$H,7,0),0)</f>
        <v>0</v>
      </c>
      <c r="G9755" s="34" t="n">
        <f aca="false">SUMIFS('12.326ana'!$C:$C,'12.326ana'!$M:$M,redes!A9755)</f>
        <v>0</v>
      </c>
    </row>
    <row r="9756" customFormat="false" ht="14.4" hidden="true" customHeight="false" outlineLevel="0" collapsed="false">
      <c r="A9756" s="34" t="n">
        <v>5787298000145</v>
      </c>
      <c r="B9756" s="34" t="s">
        <v>19736</v>
      </c>
      <c r="C9756" s="34" t="s">
        <v>1591</v>
      </c>
      <c r="E9756" s="30" t="s">
        <v>14829</v>
      </c>
      <c r="F9756" s="34" t="n">
        <f aca="false">IFERROR(VLOOKUP($A9756,'319'!$B:$H,7,0),0)</f>
        <v>0</v>
      </c>
      <c r="G9756" s="34" t="n">
        <f aca="false">SUMIFS('12.326ana'!$C:$C,'12.326ana'!$M:$M,redes!A9756)</f>
        <v>0</v>
      </c>
    </row>
    <row r="9757" customFormat="false" ht="14.4" hidden="true" customHeight="false" outlineLevel="0" collapsed="false">
      <c r="A9757" s="34" t="n">
        <v>5788904000147</v>
      </c>
      <c r="B9757" s="34" t="s">
        <v>19737</v>
      </c>
      <c r="C9757" s="34" t="s">
        <v>77</v>
      </c>
      <c r="E9757" s="30" t="s">
        <v>17087</v>
      </c>
      <c r="F9757" s="34" t="n">
        <f aca="false">IFERROR(VLOOKUP($A9757,'319'!$B:$H,7,0),0)</f>
        <v>0</v>
      </c>
      <c r="G9757" s="34" t="n">
        <f aca="false">SUMIFS('12.326ana'!$C:$C,'12.326ana'!$M:$M,redes!A9757)</f>
        <v>0</v>
      </c>
    </row>
    <row r="9758" customFormat="false" ht="14.4" hidden="true" customHeight="false" outlineLevel="0" collapsed="false">
      <c r="A9758" s="34" t="n">
        <v>5788982000141</v>
      </c>
      <c r="B9758" s="34" t="s">
        <v>19738</v>
      </c>
      <c r="C9758" s="34" t="s">
        <v>77</v>
      </c>
      <c r="E9758" s="30" t="s">
        <v>19739</v>
      </c>
      <c r="F9758" s="34" t="n">
        <f aca="false">IFERROR(VLOOKUP($A9758,'319'!$B:$H,7,0),0)</f>
        <v>0</v>
      </c>
      <c r="G9758" s="34" t="n">
        <f aca="false">SUMIFS('12.326ana'!$C:$C,'12.326ana'!$M:$M,redes!A9758)</f>
        <v>0</v>
      </c>
    </row>
    <row r="9759" customFormat="false" ht="14.4" hidden="true" customHeight="false" outlineLevel="0" collapsed="false">
      <c r="A9759" s="34" t="n">
        <v>5792169000145</v>
      </c>
      <c r="B9759" s="34" t="s">
        <v>19740</v>
      </c>
      <c r="C9759" s="34" t="s">
        <v>107</v>
      </c>
      <c r="E9759" s="30" t="s">
        <v>19741</v>
      </c>
      <c r="F9759" s="34" t="n">
        <f aca="false">IFERROR(VLOOKUP($A9759,'319'!$B:$H,7,0),0)</f>
        <v>0</v>
      </c>
      <c r="G9759" s="34" t="n">
        <f aca="false">SUMIFS('12.326ana'!$C:$C,'12.326ana'!$M:$M,redes!A9759)</f>
        <v>0</v>
      </c>
    </row>
    <row r="9760" customFormat="false" ht="14.4" hidden="true" customHeight="false" outlineLevel="0" collapsed="false">
      <c r="A9760" s="34" t="n">
        <v>5794605000115</v>
      </c>
      <c r="B9760" s="34" t="s">
        <v>19742</v>
      </c>
      <c r="C9760" s="34" t="s">
        <v>107</v>
      </c>
      <c r="E9760" s="30" t="s">
        <v>19743</v>
      </c>
      <c r="F9760" s="34" t="n">
        <f aca="false">IFERROR(VLOOKUP($A9760,'319'!$B:$H,7,0),0)</f>
        <v>0</v>
      </c>
      <c r="G9760" s="34" t="n">
        <f aca="false">SUMIFS('12.326ana'!$C:$C,'12.326ana'!$M:$M,redes!A9760)</f>
        <v>0</v>
      </c>
    </row>
    <row r="9761" customFormat="false" ht="14.4" hidden="true" customHeight="false" outlineLevel="0" collapsed="false">
      <c r="A9761" s="34" t="n">
        <v>5798080000196</v>
      </c>
      <c r="B9761" s="34" t="s">
        <v>19744</v>
      </c>
      <c r="C9761" s="34" t="s">
        <v>2998</v>
      </c>
      <c r="E9761" s="30" t="s">
        <v>5206</v>
      </c>
      <c r="F9761" s="34" t="n">
        <f aca="false">IFERROR(VLOOKUP($A9761,'319'!$B:$H,7,0),0)</f>
        <v>0</v>
      </c>
      <c r="G9761" s="34" t="n">
        <f aca="false">SUMIFS('12.326ana'!$C:$C,'12.326ana'!$M:$M,redes!A9761)</f>
        <v>0</v>
      </c>
    </row>
    <row r="9762" customFormat="false" ht="14.4" hidden="true" customHeight="false" outlineLevel="0" collapsed="false">
      <c r="A9762" s="34" t="n">
        <v>5808085000233</v>
      </c>
      <c r="B9762" s="34" t="s">
        <v>19745</v>
      </c>
      <c r="C9762" s="34" t="s">
        <v>77</v>
      </c>
      <c r="E9762" s="30" t="s">
        <v>19746</v>
      </c>
      <c r="F9762" s="34" t="n">
        <f aca="false">IFERROR(VLOOKUP($A9762,'319'!$B:$H,7,0),0)</f>
        <v>0</v>
      </c>
      <c r="G9762" s="34" t="n">
        <f aca="false">SUMIFS('12.326ana'!$C:$C,'12.326ana'!$M:$M,redes!A9762)</f>
        <v>0</v>
      </c>
    </row>
    <row r="9763" customFormat="false" ht="14.4" hidden="true" customHeight="false" outlineLevel="0" collapsed="false">
      <c r="A9763" s="34" t="n">
        <v>5808300000115</v>
      </c>
      <c r="B9763" s="34" t="s">
        <v>19747</v>
      </c>
      <c r="C9763" s="34" t="s">
        <v>309</v>
      </c>
      <c r="E9763" s="30" t="s">
        <v>19748</v>
      </c>
      <c r="F9763" s="34" t="n">
        <f aca="false">IFERROR(VLOOKUP($A9763,'319'!$B:$H,7,0),0)</f>
        <v>0</v>
      </c>
      <c r="G9763" s="34" t="n">
        <f aca="false">SUMIFS('12.326ana'!$C:$C,'12.326ana'!$M:$M,redes!A9763)</f>
        <v>0</v>
      </c>
    </row>
    <row r="9764" customFormat="false" ht="14.4" hidden="true" customHeight="false" outlineLevel="0" collapsed="false">
      <c r="A9764" s="34" t="n">
        <v>5809052000127</v>
      </c>
      <c r="B9764" s="34" t="s">
        <v>19749</v>
      </c>
      <c r="C9764" s="34" t="s">
        <v>77</v>
      </c>
      <c r="E9764" s="30" t="s">
        <v>19750</v>
      </c>
      <c r="F9764" s="34" t="n">
        <f aca="false">IFERROR(VLOOKUP($A9764,'319'!$B:$H,7,0),0)</f>
        <v>0</v>
      </c>
      <c r="G9764" s="34" t="n">
        <f aca="false">SUMIFS('12.326ana'!$C:$C,'12.326ana'!$M:$M,redes!A9764)</f>
        <v>0</v>
      </c>
    </row>
    <row r="9765" customFormat="false" ht="14.4" hidden="true" customHeight="false" outlineLevel="0" collapsed="false">
      <c r="A9765" s="34" t="n">
        <v>5809328000177</v>
      </c>
      <c r="B9765" s="34" t="s">
        <v>19751</v>
      </c>
      <c r="C9765" s="34" t="s">
        <v>604</v>
      </c>
      <c r="E9765" s="30" t="s">
        <v>19752</v>
      </c>
      <c r="F9765" s="34" t="n">
        <f aca="false">IFERROR(VLOOKUP($A9765,'319'!$B:$H,7,0),0)</f>
        <v>0</v>
      </c>
      <c r="G9765" s="34" t="n">
        <f aca="false">SUMIFS('12.326ana'!$C:$C,'12.326ana'!$M:$M,redes!A9765)</f>
        <v>0</v>
      </c>
    </row>
    <row r="9766" customFormat="false" ht="14.4" hidden="true" customHeight="false" outlineLevel="0" collapsed="false">
      <c r="A9766" s="34" t="n">
        <v>5815262000128</v>
      </c>
      <c r="B9766" s="34" t="s">
        <v>19753</v>
      </c>
      <c r="C9766" s="34" t="s">
        <v>77</v>
      </c>
      <c r="E9766" s="30" t="s">
        <v>19754</v>
      </c>
      <c r="F9766" s="34" t="n">
        <f aca="false">IFERROR(VLOOKUP($A9766,'319'!$B:$H,7,0),0)</f>
        <v>0</v>
      </c>
      <c r="G9766" s="34" t="n">
        <f aca="false">SUMIFS('12.326ana'!$C:$C,'12.326ana'!$M:$M,redes!A9766)</f>
        <v>0</v>
      </c>
    </row>
    <row r="9767" customFormat="false" ht="14.4" hidden="true" customHeight="false" outlineLevel="0" collapsed="false">
      <c r="A9767" s="34" t="n">
        <v>5816116000117</v>
      </c>
      <c r="B9767" s="34" t="s">
        <v>9398</v>
      </c>
      <c r="C9767" s="34" t="s">
        <v>192</v>
      </c>
      <c r="E9767" s="30" t="s">
        <v>19755</v>
      </c>
      <c r="F9767" s="34" t="n">
        <f aca="false">IFERROR(VLOOKUP($A9767,'319'!$B:$H,7,0),0)</f>
        <v>0</v>
      </c>
      <c r="G9767" s="34" t="n">
        <f aca="false">SUMIFS('12.326ana'!$C:$C,'12.326ana'!$M:$M,redes!A9767)</f>
        <v>0</v>
      </c>
    </row>
    <row r="9768" customFormat="false" ht="14.4" hidden="true" customHeight="false" outlineLevel="0" collapsed="false">
      <c r="A9768" s="34" t="n">
        <v>5816116000206</v>
      </c>
      <c r="B9768" s="34" t="s">
        <v>9398</v>
      </c>
      <c r="C9768" s="34" t="s">
        <v>192</v>
      </c>
      <c r="E9768" s="30" t="s">
        <v>19756</v>
      </c>
      <c r="F9768" s="34" t="n">
        <f aca="false">IFERROR(VLOOKUP($A9768,'319'!$B:$H,7,0),0)</f>
        <v>0</v>
      </c>
      <c r="G9768" s="34" t="n">
        <f aca="false">SUMIFS('12.326ana'!$C:$C,'12.326ana'!$M:$M,redes!A9768)</f>
        <v>0</v>
      </c>
    </row>
    <row r="9769" customFormat="false" ht="14.4" hidden="true" customHeight="false" outlineLevel="0" collapsed="false">
      <c r="A9769" s="34" t="n">
        <v>5818854000101</v>
      </c>
      <c r="B9769" s="34" t="s">
        <v>19757</v>
      </c>
      <c r="C9769" s="34" t="s">
        <v>299</v>
      </c>
      <c r="E9769" s="30" t="s">
        <v>19758</v>
      </c>
      <c r="F9769" s="34" t="n">
        <f aca="false">IFERROR(VLOOKUP($A9769,'319'!$B:$H,7,0),0)</f>
        <v>0</v>
      </c>
      <c r="G9769" s="34" t="n">
        <f aca="false">SUMIFS('12.326ana'!$C:$C,'12.326ana'!$M:$M,redes!A9769)</f>
        <v>0</v>
      </c>
    </row>
    <row r="9770" customFormat="false" ht="14.4" hidden="true" customHeight="false" outlineLevel="0" collapsed="false">
      <c r="A9770" s="34" t="n">
        <v>5819902000178</v>
      </c>
      <c r="B9770" s="34" t="s">
        <v>4593</v>
      </c>
      <c r="C9770" s="34" t="s">
        <v>77</v>
      </c>
      <c r="E9770" s="30" t="s">
        <v>12851</v>
      </c>
      <c r="F9770" s="34" t="n">
        <f aca="false">IFERROR(VLOOKUP($A9770,'319'!$B:$H,7,0),0)</f>
        <v>0</v>
      </c>
      <c r="G9770" s="34" t="n">
        <f aca="false">SUMIFS('12.326ana'!$C:$C,'12.326ana'!$M:$M,redes!A9770)</f>
        <v>0</v>
      </c>
    </row>
    <row r="9771" customFormat="false" ht="14.4" hidden="true" customHeight="false" outlineLevel="0" collapsed="false">
      <c r="A9771" s="34" t="n">
        <v>5820843000158</v>
      </c>
      <c r="B9771" s="34" t="s">
        <v>19759</v>
      </c>
      <c r="C9771" s="34" t="s">
        <v>154</v>
      </c>
      <c r="E9771" s="30" t="s">
        <v>19760</v>
      </c>
      <c r="F9771" s="34" t="n">
        <f aca="false">IFERROR(VLOOKUP($A9771,'319'!$B:$H,7,0),0)</f>
        <v>0</v>
      </c>
      <c r="G9771" s="34" t="n">
        <f aca="false">SUMIFS('12.326ana'!$C:$C,'12.326ana'!$M:$M,redes!A9771)</f>
        <v>0</v>
      </c>
    </row>
    <row r="9772" customFormat="false" ht="14.4" hidden="true" customHeight="false" outlineLevel="0" collapsed="false">
      <c r="A9772" s="34" t="n">
        <v>5821524000167</v>
      </c>
      <c r="B9772" s="34" t="s">
        <v>19761</v>
      </c>
      <c r="C9772" s="34" t="s">
        <v>103</v>
      </c>
      <c r="E9772" s="30" t="s">
        <v>19762</v>
      </c>
      <c r="F9772" s="34" t="n">
        <f aca="false">IFERROR(VLOOKUP($A9772,'319'!$B:$H,7,0),0)</f>
        <v>0</v>
      </c>
      <c r="G9772" s="34" t="n">
        <f aca="false">SUMIFS('12.326ana'!$C:$C,'12.326ana'!$M:$M,redes!A9772)</f>
        <v>0</v>
      </c>
    </row>
    <row r="9773" customFormat="false" ht="14.4" hidden="true" customHeight="false" outlineLevel="0" collapsed="false">
      <c r="A9773" s="34" t="n">
        <v>5821545000182</v>
      </c>
      <c r="B9773" s="34" t="s">
        <v>19763</v>
      </c>
      <c r="C9773" s="34" t="s">
        <v>77</v>
      </c>
      <c r="E9773" s="30" t="s">
        <v>19764</v>
      </c>
      <c r="F9773" s="34" t="n">
        <f aca="false">IFERROR(VLOOKUP($A9773,'319'!$B:$H,7,0),0)</f>
        <v>0</v>
      </c>
      <c r="G9773" s="34" t="n">
        <f aca="false">SUMIFS('12.326ana'!$C:$C,'12.326ana'!$M:$M,redes!A9773)</f>
        <v>0</v>
      </c>
    </row>
    <row r="9774" customFormat="false" ht="14.4" hidden="true" customHeight="false" outlineLevel="0" collapsed="false">
      <c r="A9774" s="34" t="n">
        <v>5825432000155</v>
      </c>
      <c r="B9774" s="34" t="s">
        <v>19765</v>
      </c>
      <c r="C9774" s="34" t="s">
        <v>77</v>
      </c>
      <c r="E9774" s="30" t="s">
        <v>19766</v>
      </c>
      <c r="F9774" s="34" t="n">
        <f aca="false">IFERROR(VLOOKUP($A9774,'319'!$B:$H,7,0),0)</f>
        <v>0</v>
      </c>
      <c r="G9774" s="34" t="n">
        <f aca="false">SUMIFS('12.326ana'!$C:$C,'12.326ana'!$M:$M,redes!A9774)</f>
        <v>0</v>
      </c>
    </row>
    <row r="9775" customFormat="false" ht="14.4" hidden="true" customHeight="false" outlineLevel="0" collapsed="false">
      <c r="A9775" s="34" t="n">
        <v>5831918000104</v>
      </c>
      <c r="B9775" s="34" t="s">
        <v>19767</v>
      </c>
      <c r="C9775" s="34" t="s">
        <v>1341</v>
      </c>
      <c r="E9775" s="30" t="s">
        <v>19768</v>
      </c>
      <c r="F9775" s="34" t="n">
        <f aca="false">IFERROR(VLOOKUP($A9775,'319'!$B:$H,7,0),0)</f>
        <v>0</v>
      </c>
      <c r="G9775" s="34" t="n">
        <f aca="false">SUMIFS('12.326ana'!$C:$C,'12.326ana'!$M:$M,redes!A9775)</f>
        <v>0</v>
      </c>
    </row>
    <row r="9776" customFormat="false" ht="14.4" hidden="true" customHeight="false" outlineLevel="0" collapsed="false">
      <c r="A9776" s="34" t="n">
        <v>5832306000128</v>
      </c>
      <c r="B9776" s="34" t="s">
        <v>19769</v>
      </c>
      <c r="C9776" s="34" t="s">
        <v>463</v>
      </c>
      <c r="E9776" s="30" t="s">
        <v>19770</v>
      </c>
      <c r="F9776" s="34" t="n">
        <f aca="false">IFERROR(VLOOKUP($A9776,'319'!$B:$H,7,0),0)</f>
        <v>0</v>
      </c>
      <c r="G9776" s="34" t="n">
        <f aca="false">SUMIFS('12.326ana'!$C:$C,'12.326ana'!$M:$M,redes!A9776)</f>
        <v>0</v>
      </c>
    </row>
    <row r="9777" customFormat="false" ht="14.4" hidden="true" customHeight="false" outlineLevel="0" collapsed="false">
      <c r="A9777" s="34" t="n">
        <v>5832843000178</v>
      </c>
      <c r="B9777" s="34" t="s">
        <v>19771</v>
      </c>
      <c r="C9777" s="34" t="s">
        <v>77</v>
      </c>
      <c r="E9777" s="30" t="s">
        <v>19772</v>
      </c>
      <c r="F9777" s="34" t="n">
        <f aca="false">IFERROR(VLOOKUP($A9777,'319'!$B:$H,7,0),0)</f>
        <v>0</v>
      </c>
      <c r="G9777" s="34" t="n">
        <f aca="false">SUMIFS('12.326ana'!$C:$C,'12.326ana'!$M:$M,redes!A9777)</f>
        <v>0</v>
      </c>
    </row>
    <row r="9778" customFormat="false" ht="14.4" hidden="true" customHeight="false" outlineLevel="0" collapsed="false">
      <c r="A9778" s="34" t="n">
        <v>5834324000149</v>
      </c>
      <c r="B9778" s="34" t="s">
        <v>19773</v>
      </c>
      <c r="C9778" s="34" t="s">
        <v>77</v>
      </c>
      <c r="E9778" s="30" t="s">
        <v>19774</v>
      </c>
      <c r="F9778" s="34" t="n">
        <f aca="false">IFERROR(VLOOKUP($A9778,'319'!$B:$H,7,0),0)</f>
        <v>0</v>
      </c>
      <c r="G9778" s="34" t="n">
        <f aca="false">SUMIFS('12.326ana'!$C:$C,'12.326ana'!$M:$M,redes!A9778)</f>
        <v>0</v>
      </c>
    </row>
    <row r="9779" customFormat="false" ht="14.4" hidden="true" customHeight="false" outlineLevel="0" collapsed="false">
      <c r="A9779" s="34" t="n">
        <v>5834336000173</v>
      </c>
      <c r="B9779" s="34" t="s">
        <v>19775</v>
      </c>
      <c r="C9779" s="34" t="s">
        <v>77</v>
      </c>
      <c r="E9779" s="30" t="s">
        <v>19776</v>
      </c>
      <c r="F9779" s="34" t="n">
        <f aca="false">IFERROR(VLOOKUP($A9779,'319'!$B:$H,7,0),0)</f>
        <v>0</v>
      </c>
      <c r="G9779" s="34" t="n">
        <f aca="false">SUMIFS('12.326ana'!$C:$C,'12.326ana'!$M:$M,redes!A9779)</f>
        <v>0</v>
      </c>
    </row>
    <row r="9780" customFormat="false" ht="14.4" hidden="true" customHeight="false" outlineLevel="0" collapsed="false">
      <c r="A9780" s="34" t="n">
        <v>5835391000188</v>
      </c>
      <c r="B9780" s="34" t="s">
        <v>19777</v>
      </c>
      <c r="C9780" s="34" t="s">
        <v>77</v>
      </c>
      <c r="E9780" s="30" t="s">
        <v>19778</v>
      </c>
      <c r="F9780" s="34" t="n">
        <f aca="false">IFERROR(VLOOKUP($A9780,'319'!$B:$H,7,0),0)</f>
        <v>0</v>
      </c>
      <c r="G9780" s="34" t="n">
        <f aca="false">SUMIFS('12.326ana'!$C:$C,'12.326ana'!$M:$M,redes!A9780)</f>
        <v>0</v>
      </c>
    </row>
    <row r="9781" customFormat="false" ht="14.4" hidden="true" customHeight="false" outlineLevel="0" collapsed="false">
      <c r="A9781" s="34" t="n">
        <v>5844951000160</v>
      </c>
      <c r="B9781" s="34" t="s">
        <v>19779</v>
      </c>
      <c r="C9781" s="34" t="s">
        <v>77</v>
      </c>
      <c r="E9781" s="30" t="s">
        <v>19780</v>
      </c>
      <c r="F9781" s="34" t="n">
        <f aca="false">IFERROR(VLOOKUP($A9781,'319'!$B:$H,7,0),0)</f>
        <v>0</v>
      </c>
      <c r="G9781" s="34" t="n">
        <f aca="false">SUMIFS('12.326ana'!$C:$C,'12.326ana'!$M:$M,redes!A9781)</f>
        <v>0</v>
      </c>
    </row>
    <row r="9782" customFormat="false" ht="14.4" hidden="true" customHeight="false" outlineLevel="0" collapsed="false">
      <c r="A9782" s="34" t="n">
        <v>5845025000100</v>
      </c>
      <c r="B9782" s="34" t="s">
        <v>19781</v>
      </c>
      <c r="C9782" s="34" t="s">
        <v>478</v>
      </c>
      <c r="E9782" s="30"/>
      <c r="F9782" s="34" t="n">
        <f aca="false">IFERROR(VLOOKUP($A9782,'319'!$B:$H,7,0),0)</f>
        <v>0</v>
      </c>
      <c r="G9782" s="34" t="n">
        <f aca="false">SUMIFS('12.326ana'!$C:$C,'12.326ana'!$M:$M,redes!A9782)</f>
        <v>0</v>
      </c>
    </row>
    <row r="9783" customFormat="false" ht="14.4" hidden="true" customHeight="false" outlineLevel="0" collapsed="false">
      <c r="A9783" s="34" t="n">
        <v>5845418000113</v>
      </c>
      <c r="B9783" s="34" t="s">
        <v>19782</v>
      </c>
      <c r="C9783" s="34" t="s">
        <v>781</v>
      </c>
      <c r="E9783" s="30" t="s">
        <v>17935</v>
      </c>
      <c r="F9783" s="34" t="n">
        <f aca="false">IFERROR(VLOOKUP($A9783,'319'!$B:$H,7,0),0)</f>
        <v>0</v>
      </c>
      <c r="G9783" s="34" t="n">
        <f aca="false">SUMIFS('12.326ana'!$C:$C,'12.326ana'!$M:$M,redes!A9783)</f>
        <v>0</v>
      </c>
    </row>
    <row r="9784" customFormat="false" ht="14.4" hidden="true" customHeight="false" outlineLevel="0" collapsed="false">
      <c r="A9784" s="34" t="n">
        <v>5847774000176</v>
      </c>
      <c r="B9784" s="34" t="s">
        <v>19783</v>
      </c>
      <c r="C9784" s="34" t="s">
        <v>631</v>
      </c>
      <c r="E9784" s="30" t="s">
        <v>6196</v>
      </c>
      <c r="F9784" s="34" t="n">
        <f aca="false">IFERROR(VLOOKUP($A9784,'319'!$B:$H,7,0),0)</f>
        <v>0</v>
      </c>
      <c r="G9784" s="34" t="n">
        <f aca="false">SUMIFS('12.326ana'!$C:$C,'12.326ana'!$M:$M,redes!A9784)</f>
        <v>0</v>
      </c>
    </row>
    <row r="9785" customFormat="false" ht="14.4" hidden="true" customHeight="false" outlineLevel="0" collapsed="false">
      <c r="A9785" s="34" t="n">
        <v>5850741000185</v>
      </c>
      <c r="B9785" s="34" t="s">
        <v>19784</v>
      </c>
      <c r="C9785" s="34" t="s">
        <v>77</v>
      </c>
      <c r="E9785" s="30" t="s">
        <v>19785</v>
      </c>
      <c r="F9785" s="34" t="n">
        <f aca="false">IFERROR(VLOOKUP($A9785,'319'!$B:$H,7,0),0)</f>
        <v>0</v>
      </c>
      <c r="G9785" s="34" t="n">
        <f aca="false">SUMIFS('12.326ana'!$C:$C,'12.326ana'!$M:$M,redes!A9785)</f>
        <v>0</v>
      </c>
    </row>
    <row r="9786" customFormat="false" ht="14.4" hidden="true" customHeight="false" outlineLevel="0" collapsed="false">
      <c r="A9786" s="34" t="n">
        <v>5850753000100</v>
      </c>
      <c r="B9786" s="34" t="s">
        <v>19786</v>
      </c>
      <c r="C9786" s="34" t="s">
        <v>77</v>
      </c>
      <c r="E9786" s="30" t="s">
        <v>19787</v>
      </c>
      <c r="F9786" s="34" t="n">
        <f aca="false">IFERROR(VLOOKUP($A9786,'319'!$B:$H,7,0),0)</f>
        <v>0</v>
      </c>
      <c r="G9786" s="34" t="n">
        <f aca="false">SUMIFS('12.326ana'!$C:$C,'12.326ana'!$M:$M,redes!A9786)</f>
        <v>0</v>
      </c>
    </row>
    <row r="9787" customFormat="false" ht="14.4" hidden="true" customHeight="false" outlineLevel="0" collapsed="false">
      <c r="A9787" s="34" t="n">
        <v>5851397000149</v>
      </c>
      <c r="B9787" s="34" t="s">
        <v>19788</v>
      </c>
      <c r="C9787" s="34" t="s">
        <v>77</v>
      </c>
      <c r="E9787" s="30" t="s">
        <v>19789</v>
      </c>
      <c r="F9787" s="34" t="n">
        <f aca="false">IFERROR(VLOOKUP($A9787,'319'!$B:$H,7,0),0)</f>
        <v>0</v>
      </c>
      <c r="G9787" s="34" t="n">
        <f aca="false">SUMIFS('12.326ana'!$C:$C,'12.326ana'!$M:$M,redes!A9787)</f>
        <v>0</v>
      </c>
    </row>
    <row r="9788" customFormat="false" ht="14.4" hidden="true" customHeight="false" outlineLevel="0" collapsed="false">
      <c r="A9788" s="34" t="n">
        <v>5852872000100</v>
      </c>
      <c r="B9788" s="34" t="s">
        <v>19790</v>
      </c>
      <c r="C9788" s="34" t="s">
        <v>478</v>
      </c>
      <c r="E9788" s="30" t="s">
        <v>7656</v>
      </c>
      <c r="F9788" s="34" t="n">
        <f aca="false">IFERROR(VLOOKUP($A9788,'319'!$B:$H,7,0),0)</f>
        <v>0</v>
      </c>
      <c r="G9788" s="34" t="n">
        <f aca="false">SUMIFS('12.326ana'!$C:$C,'12.326ana'!$M:$M,redes!A9788)</f>
        <v>0</v>
      </c>
    </row>
    <row r="9789" customFormat="false" ht="14.4" hidden="true" customHeight="false" outlineLevel="0" collapsed="false">
      <c r="A9789" s="34" t="n">
        <v>5852910000116</v>
      </c>
      <c r="B9789" s="34" t="s">
        <v>19791</v>
      </c>
      <c r="C9789" s="34" t="s">
        <v>357</v>
      </c>
      <c r="E9789" s="30" t="s">
        <v>19792</v>
      </c>
      <c r="F9789" s="34" t="n">
        <f aca="false">IFERROR(VLOOKUP($A9789,'319'!$B:$H,7,0),0)</f>
        <v>0</v>
      </c>
      <c r="G9789" s="34" t="n">
        <f aca="false">SUMIFS('12.326ana'!$C:$C,'12.326ana'!$M:$M,redes!A9789)</f>
        <v>0</v>
      </c>
    </row>
    <row r="9790" customFormat="false" ht="14.4" hidden="true" customHeight="false" outlineLevel="0" collapsed="false">
      <c r="A9790" s="34" t="n">
        <v>5853233000150</v>
      </c>
      <c r="B9790" s="34" t="s">
        <v>19793</v>
      </c>
      <c r="C9790" s="34" t="s">
        <v>77</v>
      </c>
      <c r="E9790" s="30" t="s">
        <v>19794</v>
      </c>
      <c r="F9790" s="34" t="n">
        <f aca="false">IFERROR(VLOOKUP($A9790,'319'!$B:$H,7,0),0)</f>
        <v>0</v>
      </c>
      <c r="G9790" s="34" t="n">
        <f aca="false">SUMIFS('12.326ana'!$C:$C,'12.326ana'!$M:$M,redes!A9790)</f>
        <v>0</v>
      </c>
    </row>
    <row r="9791" customFormat="false" ht="14.4" hidden="true" customHeight="false" outlineLevel="0" collapsed="false">
      <c r="A9791" s="34" t="n">
        <v>5855082000170</v>
      </c>
      <c r="B9791" s="34" t="s">
        <v>19795</v>
      </c>
      <c r="C9791" s="34" t="s">
        <v>89</v>
      </c>
      <c r="E9791" s="30" t="s">
        <v>19796</v>
      </c>
      <c r="F9791" s="34" t="n">
        <f aca="false">IFERROR(VLOOKUP($A9791,'319'!$B:$H,7,0),0)</f>
        <v>0</v>
      </c>
      <c r="G9791" s="34" t="n">
        <f aca="false">SUMIFS('12.326ana'!$C:$C,'12.326ana'!$M:$M,redes!A9791)</f>
        <v>0</v>
      </c>
    </row>
    <row r="9792" customFormat="false" ht="14.4" hidden="true" customHeight="false" outlineLevel="0" collapsed="false">
      <c r="A9792" s="34" t="n">
        <v>5855974000502</v>
      </c>
      <c r="B9792" s="34" t="s">
        <v>19797</v>
      </c>
      <c r="C9792" s="34" t="s">
        <v>19798</v>
      </c>
      <c r="E9792" s="30" t="s">
        <v>19799</v>
      </c>
      <c r="F9792" s="34" t="n">
        <f aca="false">IFERROR(VLOOKUP($A9792,'319'!$B:$H,7,0),0)</f>
        <v>0</v>
      </c>
      <c r="G9792" s="34" t="n">
        <f aca="false">SUMIFS('12.326ana'!$C:$C,'12.326ana'!$M:$M,redes!A9792)</f>
        <v>0</v>
      </c>
    </row>
    <row r="9793" customFormat="false" ht="14.4" hidden="true" customHeight="false" outlineLevel="0" collapsed="false">
      <c r="A9793" s="34" t="n">
        <v>5857483000169</v>
      </c>
      <c r="B9793" s="34" t="s">
        <v>19800</v>
      </c>
      <c r="C9793" s="34" t="s">
        <v>103</v>
      </c>
      <c r="E9793" s="30" t="s">
        <v>19801</v>
      </c>
      <c r="F9793" s="34" t="n">
        <f aca="false">IFERROR(VLOOKUP($A9793,'319'!$B:$H,7,0),0)</f>
        <v>0</v>
      </c>
      <c r="G9793" s="34" t="n">
        <f aca="false">SUMIFS('12.326ana'!$C:$C,'12.326ana'!$M:$M,redes!A9793)</f>
        <v>0</v>
      </c>
    </row>
    <row r="9794" customFormat="false" ht="14.4" hidden="true" customHeight="false" outlineLevel="0" collapsed="false">
      <c r="A9794" s="34" t="n">
        <v>5862406000105</v>
      </c>
      <c r="B9794" s="34" t="s">
        <v>19802</v>
      </c>
      <c r="C9794" s="34" t="s">
        <v>448</v>
      </c>
      <c r="E9794" s="30" t="s">
        <v>19803</v>
      </c>
      <c r="F9794" s="34" t="n">
        <f aca="false">IFERROR(VLOOKUP($A9794,'319'!$B:$H,7,0),0)</f>
        <v>0</v>
      </c>
      <c r="G9794" s="34" t="n">
        <f aca="false">SUMIFS('12.326ana'!$C:$C,'12.326ana'!$M:$M,redes!A9794)</f>
        <v>0</v>
      </c>
    </row>
    <row r="9795" customFormat="false" ht="14.4" hidden="true" customHeight="false" outlineLevel="0" collapsed="false">
      <c r="A9795" s="34" t="n">
        <v>5862406000288</v>
      </c>
      <c r="B9795" s="34" t="s">
        <v>19802</v>
      </c>
      <c r="C9795" s="34" t="s">
        <v>448</v>
      </c>
      <c r="E9795" s="30" t="s">
        <v>19804</v>
      </c>
      <c r="F9795" s="34" t="n">
        <f aca="false">IFERROR(VLOOKUP($A9795,'319'!$B:$H,7,0),0)</f>
        <v>0</v>
      </c>
      <c r="G9795" s="34" t="n">
        <f aca="false">SUMIFS('12.326ana'!$C:$C,'12.326ana'!$M:$M,redes!A9795)</f>
        <v>0</v>
      </c>
    </row>
    <row r="9796" customFormat="false" ht="14.4" hidden="true" customHeight="false" outlineLevel="0" collapsed="false">
      <c r="A9796" s="34" t="n">
        <v>5865139000111</v>
      </c>
      <c r="B9796" s="34" t="s">
        <v>1573</v>
      </c>
      <c r="C9796" s="34" t="s">
        <v>139</v>
      </c>
      <c r="E9796" s="30" t="s">
        <v>14933</v>
      </c>
      <c r="F9796" s="34" t="n">
        <f aca="false">IFERROR(VLOOKUP($A9796,'319'!$B:$H,7,0),0)</f>
        <v>89.71</v>
      </c>
      <c r="G9796" s="34" t="n">
        <f aca="false">SUMIFS('12.326ana'!$C:$C,'12.326ana'!$M:$M,redes!A9796)</f>
        <v>0</v>
      </c>
    </row>
    <row r="9797" customFormat="false" ht="14.4" hidden="true" customHeight="false" outlineLevel="0" collapsed="false">
      <c r="A9797" s="34" t="n">
        <v>5867754000167</v>
      </c>
      <c r="B9797" s="34" t="s">
        <v>19805</v>
      </c>
      <c r="C9797" s="34" t="s">
        <v>107</v>
      </c>
      <c r="E9797" s="30" t="s">
        <v>14193</v>
      </c>
      <c r="F9797" s="34" t="n">
        <f aca="false">IFERROR(VLOOKUP($A9797,'319'!$B:$H,7,0),0)</f>
        <v>0</v>
      </c>
      <c r="G9797" s="34" t="n">
        <f aca="false">SUMIFS('12.326ana'!$C:$C,'12.326ana'!$M:$M,redes!A9797)</f>
        <v>0</v>
      </c>
    </row>
    <row r="9798" customFormat="false" ht="14.4" hidden="true" customHeight="false" outlineLevel="0" collapsed="false">
      <c r="A9798" s="34" t="n">
        <v>5867911000134</v>
      </c>
      <c r="B9798" s="34" t="s">
        <v>19806</v>
      </c>
      <c r="C9798" s="34" t="s">
        <v>405</v>
      </c>
      <c r="E9798" s="30" t="s">
        <v>6351</v>
      </c>
      <c r="F9798" s="34" t="n">
        <f aca="false">IFERROR(VLOOKUP($A9798,'319'!$B:$H,7,0),0)</f>
        <v>0</v>
      </c>
      <c r="G9798" s="34" t="n">
        <f aca="false">SUMIFS('12.326ana'!$C:$C,'12.326ana'!$M:$M,redes!A9798)</f>
        <v>0</v>
      </c>
    </row>
    <row r="9799" customFormat="false" ht="14.4" hidden="true" customHeight="false" outlineLevel="0" collapsed="false">
      <c r="A9799" s="34" t="n">
        <v>5868213000153</v>
      </c>
      <c r="B9799" s="34" t="s">
        <v>19807</v>
      </c>
      <c r="C9799" s="34" t="s">
        <v>77</v>
      </c>
      <c r="E9799" s="30" t="s">
        <v>19808</v>
      </c>
      <c r="F9799" s="34" t="n">
        <f aca="false">IFERROR(VLOOKUP($A9799,'319'!$B:$H,7,0),0)</f>
        <v>0</v>
      </c>
      <c r="G9799" s="34" t="n">
        <f aca="false">SUMIFS('12.326ana'!$C:$C,'12.326ana'!$M:$M,redes!A9799)</f>
        <v>0</v>
      </c>
    </row>
    <row r="9800" customFormat="false" ht="14.4" hidden="true" customHeight="false" outlineLevel="0" collapsed="false">
      <c r="A9800" s="34" t="n">
        <v>5868796000112</v>
      </c>
      <c r="B9800" s="34" t="s">
        <v>19809</v>
      </c>
      <c r="C9800" s="34" t="s">
        <v>77</v>
      </c>
      <c r="E9800" s="30"/>
      <c r="F9800" s="34" t="n">
        <f aca="false">IFERROR(VLOOKUP($A9800,'319'!$B:$H,7,0),0)</f>
        <v>0</v>
      </c>
      <c r="G9800" s="34" t="n">
        <f aca="false">SUMIFS('12.326ana'!$C:$C,'12.326ana'!$M:$M,redes!A9800)</f>
        <v>0</v>
      </c>
    </row>
    <row r="9801" customFormat="false" ht="14.4" hidden="true" customHeight="false" outlineLevel="0" collapsed="false">
      <c r="A9801" s="34" t="n">
        <v>5870732000156</v>
      </c>
      <c r="B9801" s="34" t="s">
        <v>19810</v>
      </c>
      <c r="C9801" s="34" t="s">
        <v>77</v>
      </c>
      <c r="E9801" s="30" t="s">
        <v>19811</v>
      </c>
      <c r="F9801" s="34" t="n">
        <f aca="false">IFERROR(VLOOKUP($A9801,'319'!$B:$H,7,0),0)</f>
        <v>0</v>
      </c>
      <c r="G9801" s="34" t="n">
        <f aca="false">SUMIFS('12.326ana'!$C:$C,'12.326ana'!$M:$M,redes!A9801)</f>
        <v>0</v>
      </c>
    </row>
    <row r="9802" customFormat="false" ht="14.4" hidden="true" customHeight="false" outlineLevel="0" collapsed="false">
      <c r="A9802" s="34" t="n">
        <v>5871833000141</v>
      </c>
      <c r="B9802" s="34" t="s">
        <v>19812</v>
      </c>
      <c r="C9802" s="34" t="s">
        <v>107</v>
      </c>
      <c r="E9802" s="30" t="s">
        <v>7565</v>
      </c>
      <c r="F9802" s="34" t="n">
        <f aca="false">IFERROR(VLOOKUP($A9802,'319'!$B:$H,7,0),0)</f>
        <v>0</v>
      </c>
      <c r="G9802" s="34" t="n">
        <f aca="false">SUMIFS('12.326ana'!$C:$C,'12.326ana'!$M:$M,redes!A9802)</f>
        <v>0</v>
      </c>
    </row>
    <row r="9803" customFormat="false" ht="14.4" hidden="true" customHeight="false" outlineLevel="0" collapsed="false">
      <c r="A9803" s="34" t="n">
        <v>5872057000102</v>
      </c>
      <c r="B9803" s="34" t="s">
        <v>19813</v>
      </c>
      <c r="C9803" s="34" t="s">
        <v>594</v>
      </c>
      <c r="E9803" s="30" t="s">
        <v>19814</v>
      </c>
      <c r="F9803" s="34" t="n">
        <f aca="false">IFERROR(VLOOKUP($A9803,'319'!$B:$H,7,0),0)</f>
        <v>0</v>
      </c>
      <c r="G9803" s="34" t="n">
        <f aca="false">SUMIFS('12.326ana'!$C:$C,'12.326ana'!$M:$M,redes!A9803)</f>
        <v>0</v>
      </c>
    </row>
    <row r="9804" customFormat="false" ht="14.4" hidden="true" customHeight="false" outlineLevel="0" collapsed="false">
      <c r="A9804" s="34" t="n">
        <v>5873679000147</v>
      </c>
      <c r="B9804" s="34" t="s">
        <v>19815</v>
      </c>
      <c r="C9804" s="34" t="s">
        <v>77</v>
      </c>
      <c r="E9804" s="30" t="s">
        <v>18644</v>
      </c>
      <c r="F9804" s="34" t="n">
        <f aca="false">IFERROR(VLOOKUP($A9804,'319'!$B:$H,7,0),0)</f>
        <v>0</v>
      </c>
      <c r="G9804" s="34" t="n">
        <f aca="false">SUMIFS('12.326ana'!$C:$C,'12.326ana'!$M:$M,redes!A9804)</f>
        <v>0</v>
      </c>
    </row>
    <row r="9805" customFormat="false" ht="14.4" hidden="true" customHeight="false" outlineLevel="0" collapsed="false">
      <c r="A9805" s="34" t="n">
        <v>5876326000109</v>
      </c>
      <c r="B9805" s="34" t="s">
        <v>19816</v>
      </c>
      <c r="C9805" s="34" t="s">
        <v>77</v>
      </c>
      <c r="E9805" s="30" t="s">
        <v>19817</v>
      </c>
      <c r="F9805" s="34" t="n">
        <f aca="false">IFERROR(VLOOKUP($A9805,'319'!$B:$H,7,0),0)</f>
        <v>0</v>
      </c>
      <c r="G9805" s="34" t="n">
        <f aca="false">SUMIFS('12.326ana'!$C:$C,'12.326ana'!$M:$M,redes!A9805)</f>
        <v>0</v>
      </c>
    </row>
    <row r="9806" customFormat="false" ht="14.4" hidden="true" customHeight="false" outlineLevel="0" collapsed="false">
      <c r="A9806" s="34" t="n">
        <v>5878682000153</v>
      </c>
      <c r="B9806" s="34" t="s">
        <v>19818</v>
      </c>
      <c r="C9806" s="34" t="s">
        <v>565</v>
      </c>
      <c r="E9806" s="30" t="s">
        <v>19819</v>
      </c>
      <c r="F9806" s="34" t="n">
        <f aca="false">IFERROR(VLOOKUP($A9806,'319'!$B:$H,7,0),0)</f>
        <v>0</v>
      </c>
      <c r="G9806" s="34" t="n">
        <f aca="false">SUMIFS('12.326ana'!$C:$C,'12.326ana'!$M:$M,redes!A9806)</f>
        <v>0</v>
      </c>
    </row>
    <row r="9807" customFormat="false" ht="14.4" hidden="true" customHeight="false" outlineLevel="0" collapsed="false">
      <c r="A9807" s="34" t="n">
        <v>5879120000124</v>
      </c>
      <c r="B9807" s="34" t="s">
        <v>19820</v>
      </c>
      <c r="C9807" s="34" t="s">
        <v>77</v>
      </c>
      <c r="E9807" s="30" t="s">
        <v>2912</v>
      </c>
      <c r="F9807" s="34" t="n">
        <f aca="false">IFERROR(VLOOKUP($A9807,'319'!$B:$H,7,0),0)</f>
        <v>0</v>
      </c>
      <c r="G9807" s="34" t="n">
        <f aca="false">SUMIFS('12.326ana'!$C:$C,'12.326ana'!$M:$M,redes!A9807)</f>
        <v>0</v>
      </c>
    </row>
    <row r="9808" customFormat="false" ht="14.4" hidden="true" customHeight="false" outlineLevel="0" collapsed="false">
      <c r="A9808" s="34" t="n">
        <v>5880012000171</v>
      </c>
      <c r="B9808" s="34" t="s">
        <v>19821</v>
      </c>
      <c r="C9808" s="34" t="s">
        <v>1591</v>
      </c>
      <c r="E9808" s="30" t="s">
        <v>19269</v>
      </c>
      <c r="F9808" s="34" t="n">
        <f aca="false">IFERROR(VLOOKUP($A9808,'319'!$B:$H,7,0),0)</f>
        <v>0</v>
      </c>
      <c r="G9808" s="34" t="n">
        <f aca="false">SUMIFS('12.326ana'!$C:$C,'12.326ana'!$M:$M,redes!A9808)</f>
        <v>0</v>
      </c>
    </row>
    <row r="9809" customFormat="false" ht="14.4" hidden="true" customHeight="false" outlineLevel="0" collapsed="false">
      <c r="A9809" s="34" t="n">
        <v>5880022000107</v>
      </c>
      <c r="B9809" s="34" t="s">
        <v>3964</v>
      </c>
      <c r="C9809" s="34" t="s">
        <v>77</v>
      </c>
      <c r="E9809" s="30" t="s">
        <v>19822</v>
      </c>
      <c r="F9809" s="34" t="n">
        <f aca="false">IFERROR(VLOOKUP($A9809,'319'!$B:$H,7,0),0)</f>
        <v>0</v>
      </c>
      <c r="G9809" s="34" t="n">
        <f aca="false">SUMIFS('12.326ana'!$C:$C,'12.326ana'!$M:$M,redes!A9809)</f>
        <v>0</v>
      </c>
    </row>
    <row r="9810" customFormat="false" ht="14.4" hidden="true" customHeight="false" outlineLevel="0" collapsed="false">
      <c r="A9810" s="34" t="n">
        <v>5880618000298</v>
      </c>
      <c r="B9810" s="34" t="s">
        <v>19823</v>
      </c>
      <c r="C9810" s="34" t="s">
        <v>562</v>
      </c>
      <c r="E9810" s="30" t="s">
        <v>19824</v>
      </c>
      <c r="F9810" s="34" t="n">
        <f aca="false">IFERROR(VLOOKUP($A9810,'319'!$B:$H,7,0),0)</f>
        <v>-2292.76</v>
      </c>
      <c r="G9810" s="34" t="n">
        <f aca="false">SUMIFS('12.326ana'!$C:$C,'12.326ana'!$M:$M,redes!A9810)</f>
        <v>0</v>
      </c>
    </row>
    <row r="9811" customFormat="false" ht="14.4" hidden="true" customHeight="false" outlineLevel="0" collapsed="false">
      <c r="A9811" s="34" t="n">
        <v>5880618000379</v>
      </c>
      <c r="B9811" s="34" t="s">
        <v>19825</v>
      </c>
      <c r="C9811" s="34" t="s">
        <v>562</v>
      </c>
      <c r="E9811" s="30" t="s">
        <v>19826</v>
      </c>
      <c r="F9811" s="34" t="n">
        <f aca="false">IFERROR(VLOOKUP($A9811,'319'!$B:$H,7,0),0)</f>
        <v>0</v>
      </c>
      <c r="G9811" s="34" t="n">
        <f aca="false">SUMIFS('12.326ana'!$C:$C,'12.326ana'!$M:$M,redes!A9811)</f>
        <v>0</v>
      </c>
    </row>
    <row r="9812" customFormat="false" ht="14.4" hidden="true" customHeight="false" outlineLevel="0" collapsed="false">
      <c r="A9812" s="34" t="n">
        <v>5880641000100</v>
      </c>
      <c r="B9812" s="34" t="s">
        <v>19827</v>
      </c>
      <c r="C9812" s="34" t="s">
        <v>103</v>
      </c>
      <c r="E9812" s="30" t="s">
        <v>19828</v>
      </c>
      <c r="F9812" s="34" t="n">
        <f aca="false">IFERROR(VLOOKUP($A9812,'319'!$B:$H,7,0),0)</f>
        <v>0</v>
      </c>
      <c r="G9812" s="34" t="n">
        <f aca="false">SUMIFS('12.326ana'!$C:$C,'12.326ana'!$M:$M,redes!A9812)</f>
        <v>0</v>
      </c>
    </row>
    <row r="9813" customFormat="false" ht="14.4" hidden="true" customHeight="false" outlineLevel="0" collapsed="false">
      <c r="A9813" s="34" t="n">
        <v>5880659000101</v>
      </c>
      <c r="B9813" s="34" t="s">
        <v>19829</v>
      </c>
      <c r="C9813" s="34" t="s">
        <v>103</v>
      </c>
      <c r="E9813" s="30" t="s">
        <v>17842</v>
      </c>
      <c r="F9813" s="34" t="n">
        <f aca="false">IFERROR(VLOOKUP($A9813,'319'!$B:$H,7,0),0)</f>
        <v>0</v>
      </c>
      <c r="G9813" s="34" t="n">
        <f aca="false">SUMIFS('12.326ana'!$C:$C,'12.326ana'!$M:$M,redes!A9813)</f>
        <v>0</v>
      </c>
    </row>
    <row r="9814" customFormat="false" ht="14.4" hidden="true" customHeight="false" outlineLevel="0" collapsed="false">
      <c r="A9814" s="34" t="n">
        <v>5883513000101</v>
      </c>
      <c r="B9814" s="34" t="s">
        <v>19830</v>
      </c>
      <c r="C9814" s="34" t="s">
        <v>979</v>
      </c>
      <c r="E9814" s="30" t="s">
        <v>19831</v>
      </c>
      <c r="F9814" s="34" t="n">
        <f aca="false">IFERROR(VLOOKUP($A9814,'319'!$B:$H,7,0),0)</f>
        <v>0</v>
      </c>
      <c r="G9814" s="34" t="n">
        <f aca="false">SUMIFS('12.326ana'!$C:$C,'12.326ana'!$M:$M,redes!A9814)</f>
        <v>0</v>
      </c>
    </row>
    <row r="9815" customFormat="false" ht="14.4" hidden="true" customHeight="false" outlineLevel="0" collapsed="false">
      <c r="A9815" s="34" t="n">
        <v>5884058000169</v>
      </c>
      <c r="B9815" s="34" t="s">
        <v>19832</v>
      </c>
      <c r="C9815" s="34" t="s">
        <v>77</v>
      </c>
      <c r="E9815" s="30"/>
      <c r="F9815" s="34" t="n">
        <f aca="false">IFERROR(VLOOKUP($A9815,'319'!$B:$H,7,0),0)</f>
        <v>0</v>
      </c>
      <c r="G9815" s="34" t="n">
        <f aca="false">SUMIFS('12.326ana'!$C:$C,'12.326ana'!$M:$M,redes!A9815)</f>
        <v>0</v>
      </c>
    </row>
    <row r="9816" customFormat="false" ht="14.4" hidden="true" customHeight="false" outlineLevel="0" collapsed="false">
      <c r="A9816" s="34" t="n">
        <v>5884644000103</v>
      </c>
      <c r="B9816" s="34" t="s">
        <v>19833</v>
      </c>
      <c r="C9816" s="34" t="s">
        <v>77</v>
      </c>
      <c r="E9816" s="30" t="s">
        <v>19834</v>
      </c>
      <c r="F9816" s="34" t="n">
        <f aca="false">IFERROR(VLOOKUP($A9816,'319'!$B:$H,7,0),0)</f>
        <v>0</v>
      </c>
      <c r="G9816" s="34" t="n">
        <f aca="false">SUMIFS('12.326ana'!$C:$C,'12.326ana'!$M:$M,redes!A9816)</f>
        <v>0</v>
      </c>
    </row>
    <row r="9817" customFormat="false" ht="14.4" hidden="true" customHeight="false" outlineLevel="0" collapsed="false">
      <c r="A9817" s="34" t="n">
        <v>5885879000110</v>
      </c>
      <c r="B9817" s="34" t="s">
        <v>19835</v>
      </c>
      <c r="C9817" s="34" t="s">
        <v>594</v>
      </c>
      <c r="E9817" s="30" t="s">
        <v>15712</v>
      </c>
      <c r="F9817" s="34" t="n">
        <f aca="false">IFERROR(VLOOKUP($A9817,'319'!$B:$H,7,0),0)</f>
        <v>178.57</v>
      </c>
      <c r="G9817" s="34" t="n">
        <f aca="false">SUMIFS('12.326ana'!$C:$C,'12.326ana'!$M:$M,redes!A9817)</f>
        <v>0</v>
      </c>
    </row>
    <row r="9818" customFormat="false" ht="14.4" hidden="true" customHeight="false" outlineLevel="0" collapsed="false">
      <c r="A9818" s="34" t="n">
        <v>5887495000136</v>
      </c>
      <c r="B9818" s="34" t="s">
        <v>19836</v>
      </c>
      <c r="C9818" s="34" t="s">
        <v>89</v>
      </c>
      <c r="E9818" s="30" t="s">
        <v>19837</v>
      </c>
      <c r="F9818" s="34" t="n">
        <f aca="false">IFERROR(VLOOKUP($A9818,'319'!$B:$H,7,0),0)</f>
        <v>0</v>
      </c>
      <c r="G9818" s="34" t="n">
        <f aca="false">SUMIFS('12.326ana'!$C:$C,'12.326ana'!$M:$M,redes!A9818)</f>
        <v>0</v>
      </c>
    </row>
    <row r="9819" customFormat="false" ht="14.4" hidden="true" customHeight="false" outlineLevel="0" collapsed="false">
      <c r="A9819" s="34" t="n">
        <v>5888218000148</v>
      </c>
      <c r="B9819" s="34" t="s">
        <v>19838</v>
      </c>
      <c r="C9819" s="34" t="s">
        <v>706</v>
      </c>
      <c r="E9819" s="30" t="s">
        <v>3003</v>
      </c>
      <c r="F9819" s="34" t="n">
        <f aca="false">IFERROR(VLOOKUP($A9819,'319'!$B:$H,7,0),0)</f>
        <v>0</v>
      </c>
      <c r="G9819" s="34" t="n">
        <f aca="false">SUMIFS('12.326ana'!$C:$C,'12.326ana'!$M:$M,redes!A9819)</f>
        <v>0</v>
      </c>
    </row>
    <row r="9820" customFormat="false" ht="14.4" hidden="true" customHeight="false" outlineLevel="0" collapsed="false">
      <c r="A9820" s="34" t="n">
        <v>5888317000120</v>
      </c>
      <c r="B9820" s="34" t="s">
        <v>19839</v>
      </c>
      <c r="C9820" s="34" t="s">
        <v>103</v>
      </c>
      <c r="E9820" s="30" t="s">
        <v>19840</v>
      </c>
      <c r="F9820" s="34" t="n">
        <f aca="false">IFERROR(VLOOKUP($A9820,'319'!$B:$H,7,0),0)</f>
        <v>0</v>
      </c>
      <c r="G9820" s="34" t="n">
        <f aca="false">SUMIFS('12.326ana'!$C:$C,'12.326ana'!$M:$M,redes!A9820)</f>
        <v>0</v>
      </c>
    </row>
    <row r="9821" customFormat="false" ht="14.4" hidden="true" customHeight="false" outlineLevel="0" collapsed="false">
      <c r="A9821" s="34" t="n">
        <v>5889763000159</v>
      </c>
      <c r="B9821" s="34" t="s">
        <v>19841</v>
      </c>
      <c r="C9821" s="34" t="s">
        <v>77</v>
      </c>
      <c r="D9821" s="34" t="s">
        <v>3324</v>
      </c>
      <c r="E9821" s="30" t="s">
        <v>19842</v>
      </c>
      <c r="F9821" s="34" t="n">
        <f aca="false">IFERROR(VLOOKUP($A9821,'319'!$B:$H,7,0),0)</f>
        <v>0</v>
      </c>
      <c r="G9821" s="34" t="n">
        <f aca="false">SUMIFS('12.326ana'!$C:$C,'12.326ana'!$M:$M,redes!A9821)</f>
        <v>0</v>
      </c>
    </row>
    <row r="9822" customFormat="false" ht="14.4" hidden="true" customHeight="false" outlineLevel="0" collapsed="false">
      <c r="A9822" s="34" t="n">
        <v>5890056000182</v>
      </c>
      <c r="B9822" s="34" t="s">
        <v>19843</v>
      </c>
      <c r="C9822" s="34" t="s">
        <v>464</v>
      </c>
      <c r="E9822" s="30" t="s">
        <v>16449</v>
      </c>
      <c r="F9822" s="34" t="n">
        <f aca="false">IFERROR(VLOOKUP($A9822,'319'!$B:$H,7,0),0)</f>
        <v>0</v>
      </c>
      <c r="G9822" s="34" t="n">
        <f aca="false">SUMIFS('12.326ana'!$C:$C,'12.326ana'!$M:$M,redes!A9822)</f>
        <v>0</v>
      </c>
    </row>
    <row r="9823" customFormat="false" ht="14.4" hidden="true" customHeight="false" outlineLevel="0" collapsed="false">
      <c r="A9823" s="34" t="n">
        <v>5895281000101</v>
      </c>
      <c r="B9823" s="34" t="s">
        <v>19844</v>
      </c>
      <c r="C9823" s="34" t="s">
        <v>77</v>
      </c>
      <c r="E9823" s="30" t="s">
        <v>19845</v>
      </c>
      <c r="F9823" s="34" t="n">
        <f aca="false">IFERROR(VLOOKUP($A9823,'319'!$B:$H,7,0),0)</f>
        <v>0</v>
      </c>
      <c r="G9823" s="34" t="n">
        <f aca="false">SUMIFS('12.326ana'!$C:$C,'12.326ana'!$M:$M,redes!A9823)</f>
        <v>0</v>
      </c>
    </row>
    <row r="9824" customFormat="false" ht="14.4" hidden="true" customHeight="false" outlineLevel="0" collapsed="false">
      <c r="A9824" s="34" t="n">
        <v>5897773000136</v>
      </c>
      <c r="B9824" s="34" t="s">
        <v>19846</v>
      </c>
      <c r="C9824" s="34" t="s">
        <v>139</v>
      </c>
      <c r="E9824" s="30"/>
      <c r="F9824" s="34" t="n">
        <f aca="false">IFERROR(VLOOKUP($A9824,'319'!$B:$H,7,0),0)</f>
        <v>0</v>
      </c>
      <c r="G9824" s="34" t="n">
        <f aca="false">SUMIFS('12.326ana'!$C:$C,'12.326ana'!$M:$M,redes!A9824)</f>
        <v>0</v>
      </c>
    </row>
    <row r="9825" customFormat="false" ht="14.4" hidden="true" customHeight="false" outlineLevel="0" collapsed="false">
      <c r="A9825" s="34" t="n">
        <v>5900468000156</v>
      </c>
      <c r="B9825" s="34" t="s">
        <v>19847</v>
      </c>
      <c r="C9825" s="34" t="s">
        <v>77</v>
      </c>
      <c r="E9825" s="30" t="s">
        <v>19848</v>
      </c>
      <c r="F9825" s="34" t="n">
        <f aca="false">IFERROR(VLOOKUP($A9825,'319'!$B:$H,7,0),0)</f>
        <v>0</v>
      </c>
      <c r="G9825" s="34" t="n">
        <f aca="false">SUMIFS('12.326ana'!$C:$C,'12.326ana'!$M:$M,redes!A9825)</f>
        <v>0</v>
      </c>
    </row>
    <row r="9826" customFormat="false" ht="14.4" hidden="true" customHeight="false" outlineLevel="0" collapsed="false">
      <c r="A9826" s="34" t="n">
        <v>5901906000109</v>
      </c>
      <c r="B9826" s="34" t="s">
        <v>1052</v>
      </c>
      <c r="C9826" s="34" t="s">
        <v>962</v>
      </c>
      <c r="E9826" s="30" t="s">
        <v>19849</v>
      </c>
      <c r="F9826" s="34" t="n">
        <f aca="false">IFERROR(VLOOKUP($A9826,'319'!$B:$H,7,0),0)</f>
        <v>739.02</v>
      </c>
      <c r="G9826" s="34" t="n">
        <f aca="false">SUMIFS('12.326ana'!$C:$C,'12.326ana'!$M:$M,redes!A9826)</f>
        <v>0</v>
      </c>
    </row>
    <row r="9827" customFormat="false" ht="14.4" hidden="true" customHeight="false" outlineLevel="0" collapsed="false">
      <c r="A9827" s="34" t="n">
        <v>5901906000281</v>
      </c>
      <c r="B9827" s="34" t="s">
        <v>19850</v>
      </c>
      <c r="C9827" s="34" t="s">
        <v>962</v>
      </c>
      <c r="E9827" s="30" t="s">
        <v>19851</v>
      </c>
      <c r="F9827" s="34" t="n">
        <f aca="false">IFERROR(VLOOKUP($A9827,'319'!$B:$H,7,0),0)</f>
        <v>0</v>
      </c>
      <c r="G9827" s="34" t="n">
        <f aca="false">SUMIFS('12.326ana'!$C:$C,'12.326ana'!$M:$M,redes!A9827)</f>
        <v>0</v>
      </c>
    </row>
    <row r="9828" customFormat="false" ht="14.4" hidden="true" customHeight="false" outlineLevel="0" collapsed="false">
      <c r="A9828" s="34" t="n">
        <v>5904060000152</v>
      </c>
      <c r="B9828" s="34" t="s">
        <v>1422</v>
      </c>
      <c r="C9828" s="34" t="s">
        <v>107</v>
      </c>
      <c r="E9828" s="30" t="s">
        <v>8258</v>
      </c>
      <c r="F9828" s="34" t="n">
        <f aca="false">IFERROR(VLOOKUP($A9828,'319'!$B:$H,7,0),0)</f>
        <v>207.68</v>
      </c>
      <c r="G9828" s="34" t="n">
        <f aca="false">SUMIFS('12.326ana'!$C:$C,'12.326ana'!$M:$M,redes!A9828)</f>
        <v>0</v>
      </c>
    </row>
    <row r="9829" customFormat="false" ht="14.4" hidden="true" customHeight="false" outlineLevel="0" collapsed="false">
      <c r="A9829" s="34" t="n">
        <v>5906104000183</v>
      </c>
      <c r="B9829" s="34" t="s">
        <v>19852</v>
      </c>
      <c r="C9829" s="34" t="s">
        <v>77</v>
      </c>
      <c r="E9829" s="30" t="s">
        <v>3843</v>
      </c>
      <c r="F9829" s="34" t="n">
        <f aca="false">IFERROR(VLOOKUP($A9829,'319'!$B:$H,7,0),0)</f>
        <v>0</v>
      </c>
      <c r="G9829" s="34" t="n">
        <f aca="false">SUMIFS('12.326ana'!$C:$C,'12.326ana'!$M:$M,redes!A9829)</f>
        <v>0</v>
      </c>
    </row>
    <row r="9830" customFormat="false" ht="14.4" hidden="true" customHeight="false" outlineLevel="0" collapsed="false">
      <c r="A9830" s="34" t="n">
        <v>5908377000167</v>
      </c>
      <c r="B9830" s="34" t="s">
        <v>19853</v>
      </c>
      <c r="C9830" s="34" t="s">
        <v>77</v>
      </c>
      <c r="E9830" s="30" t="s">
        <v>19854</v>
      </c>
      <c r="F9830" s="34" t="n">
        <f aca="false">IFERROR(VLOOKUP($A9830,'319'!$B:$H,7,0),0)</f>
        <v>0</v>
      </c>
      <c r="G9830" s="34" t="n">
        <f aca="false">SUMIFS('12.326ana'!$C:$C,'12.326ana'!$M:$M,redes!A9830)</f>
        <v>0</v>
      </c>
    </row>
    <row r="9831" customFormat="false" ht="14.4" hidden="true" customHeight="false" outlineLevel="0" collapsed="false">
      <c r="A9831" s="34" t="n">
        <v>5908864000120</v>
      </c>
      <c r="B9831" s="34" t="s">
        <v>19855</v>
      </c>
      <c r="C9831" s="34" t="s">
        <v>935</v>
      </c>
      <c r="E9831" s="30" t="s">
        <v>6427</v>
      </c>
      <c r="F9831" s="34" t="n">
        <f aca="false">IFERROR(VLOOKUP($A9831,'319'!$B:$H,7,0),0)</f>
        <v>0</v>
      </c>
      <c r="G9831" s="34" t="n">
        <f aca="false">SUMIFS('12.326ana'!$C:$C,'12.326ana'!$M:$M,redes!A9831)</f>
        <v>0</v>
      </c>
    </row>
    <row r="9832" customFormat="false" ht="14.4" hidden="true" customHeight="false" outlineLevel="0" collapsed="false">
      <c r="A9832" s="34" t="n">
        <v>5910494000165</v>
      </c>
      <c r="B9832" s="34" t="s">
        <v>19856</v>
      </c>
      <c r="C9832" s="34" t="s">
        <v>77</v>
      </c>
      <c r="E9832" s="30" t="s">
        <v>6690</v>
      </c>
      <c r="F9832" s="34" t="n">
        <f aca="false">IFERROR(VLOOKUP($A9832,'319'!$B:$H,7,0),0)</f>
        <v>0</v>
      </c>
      <c r="G9832" s="34" t="n">
        <f aca="false">SUMIFS('12.326ana'!$C:$C,'12.326ana'!$M:$M,redes!A9832)</f>
        <v>0</v>
      </c>
    </row>
    <row r="9833" customFormat="false" ht="14.4" hidden="true" customHeight="false" outlineLevel="0" collapsed="false">
      <c r="A9833" s="34" t="n">
        <v>5910498000143</v>
      </c>
      <c r="B9833" s="34" t="s">
        <v>19857</v>
      </c>
      <c r="C9833" s="34" t="s">
        <v>77</v>
      </c>
      <c r="E9833" s="30" t="s">
        <v>19858</v>
      </c>
      <c r="F9833" s="34" t="n">
        <f aca="false">IFERROR(VLOOKUP($A9833,'319'!$B:$H,7,0),0)</f>
        <v>0</v>
      </c>
      <c r="G9833" s="34" t="n">
        <f aca="false">SUMIFS('12.326ana'!$C:$C,'12.326ana'!$M:$M,redes!A9833)</f>
        <v>0</v>
      </c>
    </row>
    <row r="9834" customFormat="false" ht="14.4" hidden="true" customHeight="false" outlineLevel="0" collapsed="false">
      <c r="A9834" s="34" t="n">
        <v>5910535000113</v>
      </c>
      <c r="B9834" s="34" t="s">
        <v>19859</v>
      </c>
      <c r="C9834" s="34" t="s">
        <v>77</v>
      </c>
      <c r="E9834" s="30" t="s">
        <v>19860</v>
      </c>
      <c r="F9834" s="34" t="n">
        <f aca="false">IFERROR(VLOOKUP($A9834,'319'!$B:$H,7,0),0)</f>
        <v>0</v>
      </c>
      <c r="G9834" s="34" t="n">
        <f aca="false">SUMIFS('12.326ana'!$C:$C,'12.326ana'!$M:$M,redes!A9834)</f>
        <v>0</v>
      </c>
    </row>
    <row r="9835" customFormat="false" ht="14.4" hidden="true" customHeight="false" outlineLevel="0" collapsed="false">
      <c r="A9835" s="34" t="n">
        <v>5912288000194</v>
      </c>
      <c r="B9835" s="34" t="s">
        <v>19861</v>
      </c>
      <c r="C9835" s="34" t="s">
        <v>848</v>
      </c>
      <c r="E9835" s="30" t="s">
        <v>19862</v>
      </c>
      <c r="F9835" s="34" t="n">
        <f aca="false">IFERROR(VLOOKUP($A9835,'319'!$B:$H,7,0),0)</f>
        <v>0</v>
      </c>
      <c r="G9835" s="34" t="n">
        <f aca="false">SUMIFS('12.326ana'!$C:$C,'12.326ana'!$M:$M,redes!A9835)</f>
        <v>0</v>
      </c>
    </row>
    <row r="9836" customFormat="false" ht="14.4" hidden="true" customHeight="false" outlineLevel="0" collapsed="false">
      <c r="A9836" s="34" t="n">
        <v>5912921000144</v>
      </c>
      <c r="B9836" s="34" t="s">
        <v>19863</v>
      </c>
      <c r="C9836" s="34" t="s">
        <v>357</v>
      </c>
      <c r="E9836" s="30" t="s">
        <v>19864</v>
      </c>
      <c r="F9836" s="34" t="n">
        <f aca="false">IFERROR(VLOOKUP($A9836,'319'!$B:$H,7,0),0)</f>
        <v>0</v>
      </c>
      <c r="G9836" s="34" t="n">
        <f aca="false">SUMIFS('12.326ana'!$C:$C,'12.326ana'!$M:$M,redes!A9836)</f>
        <v>0</v>
      </c>
    </row>
    <row r="9837" customFormat="false" ht="14.4" hidden="true" customHeight="false" outlineLevel="0" collapsed="false">
      <c r="A9837" s="34" t="n">
        <v>5913027000199</v>
      </c>
      <c r="B9837" s="34" t="s">
        <v>19865</v>
      </c>
      <c r="C9837" s="34" t="s">
        <v>77</v>
      </c>
      <c r="E9837" s="30" t="s">
        <v>4944</v>
      </c>
      <c r="F9837" s="34" t="n">
        <f aca="false">IFERROR(VLOOKUP($A9837,'319'!$B:$H,7,0),0)</f>
        <v>0</v>
      </c>
      <c r="G9837" s="34" t="n">
        <f aca="false">SUMIFS('12.326ana'!$C:$C,'12.326ana'!$M:$M,redes!A9837)</f>
        <v>0</v>
      </c>
    </row>
    <row r="9838" customFormat="false" ht="14.4" hidden="true" customHeight="false" outlineLevel="0" collapsed="false">
      <c r="A9838" s="34" t="n">
        <v>5913027000270</v>
      </c>
      <c r="B9838" s="34" t="s">
        <v>19865</v>
      </c>
      <c r="C9838" s="34" t="s">
        <v>77</v>
      </c>
      <c r="E9838" s="30" t="s">
        <v>19866</v>
      </c>
      <c r="F9838" s="34" t="n">
        <f aca="false">IFERROR(VLOOKUP($A9838,'319'!$B:$H,7,0),0)</f>
        <v>0</v>
      </c>
      <c r="G9838" s="34" t="n">
        <f aca="false">SUMIFS('12.326ana'!$C:$C,'12.326ana'!$M:$M,redes!A9838)</f>
        <v>0</v>
      </c>
    </row>
    <row r="9839" customFormat="false" ht="14.4" hidden="true" customHeight="false" outlineLevel="0" collapsed="false">
      <c r="A9839" s="34" t="n">
        <v>5913860000130</v>
      </c>
      <c r="B9839" s="34" t="s">
        <v>19867</v>
      </c>
      <c r="C9839" s="34" t="s">
        <v>103</v>
      </c>
      <c r="E9839" s="30" t="s">
        <v>19868</v>
      </c>
      <c r="F9839" s="34" t="n">
        <f aca="false">IFERROR(VLOOKUP($A9839,'319'!$B:$H,7,0),0)</f>
        <v>0</v>
      </c>
      <c r="G9839" s="34" t="n">
        <f aca="false">SUMIFS('12.326ana'!$C:$C,'12.326ana'!$M:$M,redes!A9839)</f>
        <v>0</v>
      </c>
    </row>
    <row r="9840" customFormat="false" ht="14.4" hidden="true" customHeight="false" outlineLevel="0" collapsed="false">
      <c r="A9840" s="34" t="n">
        <v>5915817000103</v>
      </c>
      <c r="B9840" s="34" t="s">
        <v>19869</v>
      </c>
      <c r="C9840" s="34" t="s">
        <v>77</v>
      </c>
      <c r="E9840" s="30" t="s">
        <v>19870</v>
      </c>
      <c r="F9840" s="34" t="n">
        <f aca="false">IFERROR(VLOOKUP($A9840,'319'!$B:$H,7,0),0)</f>
        <v>0</v>
      </c>
      <c r="G9840" s="34" t="n">
        <f aca="false">SUMIFS('12.326ana'!$C:$C,'12.326ana'!$M:$M,redes!A9840)</f>
        <v>0</v>
      </c>
    </row>
    <row r="9841" customFormat="false" ht="14.4" hidden="true" customHeight="false" outlineLevel="0" collapsed="false">
      <c r="A9841" s="34" t="n">
        <v>5915819000100</v>
      </c>
      <c r="B9841" s="34" t="s">
        <v>19871</v>
      </c>
      <c r="C9841" s="34" t="s">
        <v>77</v>
      </c>
      <c r="E9841" s="30" t="s">
        <v>19872</v>
      </c>
      <c r="F9841" s="34" t="n">
        <f aca="false">IFERROR(VLOOKUP($A9841,'319'!$B:$H,7,0),0)</f>
        <v>0</v>
      </c>
      <c r="G9841" s="34" t="n">
        <f aca="false">SUMIFS('12.326ana'!$C:$C,'12.326ana'!$M:$M,redes!A9841)</f>
        <v>0</v>
      </c>
    </row>
    <row r="9842" customFormat="false" ht="14.4" hidden="true" customHeight="false" outlineLevel="0" collapsed="false">
      <c r="A9842" s="34" t="n">
        <v>5916529000173</v>
      </c>
      <c r="B9842" s="34" t="s">
        <v>19873</v>
      </c>
      <c r="C9842" s="34" t="s">
        <v>107</v>
      </c>
      <c r="E9842" s="30" t="s">
        <v>19874</v>
      </c>
      <c r="F9842" s="34" t="n">
        <f aca="false">IFERROR(VLOOKUP($A9842,'319'!$B:$H,7,0),0)</f>
        <v>0</v>
      </c>
      <c r="G9842" s="34" t="n">
        <f aca="false">SUMIFS('12.326ana'!$C:$C,'12.326ana'!$M:$M,redes!A9842)</f>
        <v>0</v>
      </c>
    </row>
    <row r="9843" customFormat="false" ht="14.4" hidden="true" customHeight="false" outlineLevel="0" collapsed="false">
      <c r="A9843" s="34" t="n">
        <v>5919753000119</v>
      </c>
      <c r="B9843" s="34" t="s">
        <v>19875</v>
      </c>
      <c r="C9843" s="34" t="s">
        <v>336</v>
      </c>
      <c r="E9843" s="30" t="s">
        <v>19876</v>
      </c>
      <c r="F9843" s="34" t="n">
        <f aca="false">IFERROR(VLOOKUP($A9843,'319'!$B:$H,7,0),0)</f>
        <v>0</v>
      </c>
      <c r="G9843" s="34" t="n">
        <f aca="false">SUMIFS('12.326ana'!$C:$C,'12.326ana'!$M:$M,redes!A9843)</f>
        <v>0</v>
      </c>
    </row>
    <row r="9844" customFormat="false" ht="14.4" hidden="true" customHeight="false" outlineLevel="0" collapsed="false">
      <c r="A9844" s="34" t="n">
        <v>5919761000165</v>
      </c>
      <c r="B9844" s="34" t="s">
        <v>19877</v>
      </c>
      <c r="C9844" s="34" t="s">
        <v>328</v>
      </c>
      <c r="E9844" s="30" t="s">
        <v>19878</v>
      </c>
      <c r="F9844" s="34" t="n">
        <f aca="false">IFERROR(VLOOKUP($A9844,'319'!$B:$H,7,0),0)</f>
        <v>0</v>
      </c>
      <c r="G9844" s="34" t="n">
        <f aca="false">SUMIFS('12.326ana'!$C:$C,'12.326ana'!$M:$M,redes!A9844)</f>
        <v>0</v>
      </c>
    </row>
    <row r="9845" customFormat="false" ht="14.4" hidden="true" customHeight="false" outlineLevel="0" collapsed="false">
      <c r="A9845" s="34" t="n">
        <v>5920907000192</v>
      </c>
      <c r="B9845" s="34" t="s">
        <v>19879</v>
      </c>
      <c r="C9845" s="34" t="s">
        <v>77</v>
      </c>
      <c r="E9845" s="30" t="s">
        <v>17788</v>
      </c>
      <c r="F9845" s="34" t="n">
        <f aca="false">IFERROR(VLOOKUP($A9845,'319'!$B:$H,7,0),0)</f>
        <v>0</v>
      </c>
      <c r="G9845" s="34" t="n">
        <f aca="false">SUMIFS('12.326ana'!$C:$C,'12.326ana'!$M:$M,redes!A9845)</f>
        <v>0</v>
      </c>
    </row>
    <row r="9846" customFormat="false" ht="14.4" hidden="true" customHeight="false" outlineLevel="0" collapsed="false">
      <c r="A9846" s="34" t="n">
        <v>5923097000128</v>
      </c>
      <c r="B9846" s="34" t="s">
        <v>19880</v>
      </c>
      <c r="C9846" s="34" t="s">
        <v>77</v>
      </c>
      <c r="E9846" s="30" t="s">
        <v>3066</v>
      </c>
      <c r="F9846" s="34" t="n">
        <f aca="false">IFERROR(VLOOKUP($A9846,'319'!$B:$H,7,0),0)</f>
        <v>0</v>
      </c>
      <c r="G9846" s="34" t="n">
        <f aca="false">SUMIFS('12.326ana'!$C:$C,'12.326ana'!$M:$M,redes!A9846)</f>
        <v>0</v>
      </c>
    </row>
    <row r="9847" customFormat="false" ht="14.4" hidden="true" customHeight="false" outlineLevel="0" collapsed="false">
      <c r="A9847" s="34" t="n">
        <v>5925129000124</v>
      </c>
      <c r="B9847" s="34" t="s">
        <v>19881</v>
      </c>
      <c r="C9847" s="34" t="s">
        <v>935</v>
      </c>
      <c r="E9847" s="30" t="s">
        <v>19882</v>
      </c>
      <c r="F9847" s="34" t="n">
        <f aca="false">IFERROR(VLOOKUP($A9847,'319'!$B:$H,7,0),0)</f>
        <v>0</v>
      </c>
      <c r="G9847" s="34" t="n">
        <f aca="false">SUMIFS('12.326ana'!$C:$C,'12.326ana'!$M:$M,redes!A9847)</f>
        <v>0</v>
      </c>
    </row>
    <row r="9848" customFormat="false" ht="14.4" hidden="true" customHeight="false" outlineLevel="0" collapsed="false">
      <c r="A9848" s="34" t="n">
        <v>5925133000192</v>
      </c>
      <c r="B9848" s="34" t="s">
        <v>19883</v>
      </c>
      <c r="C9848" s="34" t="s">
        <v>935</v>
      </c>
      <c r="E9848" s="30" t="s">
        <v>19884</v>
      </c>
      <c r="F9848" s="34" t="n">
        <f aca="false">IFERROR(VLOOKUP($A9848,'319'!$B:$H,7,0),0)</f>
        <v>0</v>
      </c>
      <c r="G9848" s="34" t="n">
        <f aca="false">SUMIFS('12.326ana'!$C:$C,'12.326ana'!$M:$M,redes!A9848)</f>
        <v>0</v>
      </c>
    </row>
    <row r="9849" customFormat="false" ht="14.4" hidden="true" customHeight="false" outlineLevel="0" collapsed="false">
      <c r="A9849" s="34" t="n">
        <v>5926227000186</v>
      </c>
      <c r="B9849" s="34" t="s">
        <v>19885</v>
      </c>
      <c r="C9849" s="34" t="s">
        <v>77</v>
      </c>
      <c r="E9849" s="30" t="s">
        <v>19886</v>
      </c>
      <c r="F9849" s="34" t="n">
        <f aca="false">IFERROR(VLOOKUP($A9849,'319'!$B:$H,7,0),0)</f>
        <v>0</v>
      </c>
      <c r="G9849" s="34" t="n">
        <f aca="false">SUMIFS('12.326ana'!$C:$C,'12.326ana'!$M:$M,redes!A9849)</f>
        <v>0</v>
      </c>
    </row>
    <row r="9850" customFormat="false" ht="14.4" hidden="true" customHeight="false" outlineLevel="0" collapsed="false">
      <c r="A9850" s="34" t="n">
        <v>5927687000129</v>
      </c>
      <c r="B9850" s="34" t="s">
        <v>19887</v>
      </c>
      <c r="C9850" s="34" t="s">
        <v>604</v>
      </c>
      <c r="E9850" s="30" t="s">
        <v>19888</v>
      </c>
      <c r="F9850" s="34" t="n">
        <f aca="false">IFERROR(VLOOKUP($A9850,'319'!$B:$H,7,0),0)</f>
        <v>0</v>
      </c>
      <c r="G9850" s="34" t="n">
        <f aca="false">SUMIFS('12.326ana'!$C:$C,'12.326ana'!$M:$M,redes!A9850)</f>
        <v>0</v>
      </c>
    </row>
    <row r="9851" customFormat="false" ht="14.4" hidden="true" customHeight="false" outlineLevel="0" collapsed="false">
      <c r="A9851" s="34" t="n">
        <v>5928729000146</v>
      </c>
      <c r="B9851" s="34" t="s">
        <v>19889</v>
      </c>
      <c r="C9851" s="34" t="s">
        <v>77</v>
      </c>
      <c r="E9851" s="30" t="s">
        <v>19890</v>
      </c>
      <c r="F9851" s="34" t="n">
        <f aca="false">IFERROR(VLOOKUP($A9851,'319'!$B:$H,7,0),0)</f>
        <v>0</v>
      </c>
      <c r="G9851" s="34" t="n">
        <f aca="false">SUMIFS('12.326ana'!$C:$C,'12.326ana'!$M:$M,redes!A9851)</f>
        <v>0</v>
      </c>
    </row>
    <row r="9852" customFormat="false" ht="14.4" hidden="true" customHeight="false" outlineLevel="0" collapsed="false">
      <c r="A9852" s="34" t="n">
        <v>5930420000190</v>
      </c>
      <c r="B9852" s="34" t="s">
        <v>19891</v>
      </c>
      <c r="C9852" s="34" t="s">
        <v>475</v>
      </c>
      <c r="E9852" s="30" t="s">
        <v>19892</v>
      </c>
      <c r="F9852" s="34" t="n">
        <f aca="false">IFERROR(VLOOKUP($A9852,'319'!$B:$H,7,0),0)</f>
        <v>0</v>
      </c>
      <c r="G9852" s="34" t="n">
        <f aca="false">SUMIFS('12.326ana'!$C:$C,'12.326ana'!$M:$M,redes!A9852)</f>
        <v>0</v>
      </c>
    </row>
    <row r="9853" customFormat="false" ht="14.4" hidden="true" customHeight="false" outlineLevel="0" collapsed="false">
      <c r="A9853" s="34" t="n">
        <v>5936424000186</v>
      </c>
      <c r="B9853" s="34" t="s">
        <v>19893</v>
      </c>
      <c r="C9853" s="34" t="s">
        <v>207</v>
      </c>
      <c r="E9853" s="30" t="s">
        <v>19894</v>
      </c>
      <c r="F9853" s="34" t="n">
        <f aca="false">IFERROR(VLOOKUP($A9853,'319'!$B:$H,7,0),0)</f>
        <v>0</v>
      </c>
      <c r="G9853" s="34" t="n">
        <f aca="false">SUMIFS('12.326ana'!$C:$C,'12.326ana'!$M:$M,redes!A9853)</f>
        <v>0</v>
      </c>
    </row>
    <row r="9854" customFormat="false" ht="14.4" hidden="true" customHeight="false" outlineLevel="0" collapsed="false">
      <c r="A9854" s="34" t="n">
        <v>5939607000155</v>
      </c>
      <c r="B9854" s="34" t="s">
        <v>19895</v>
      </c>
      <c r="C9854" s="34" t="s">
        <v>77</v>
      </c>
      <c r="E9854" s="30" t="s">
        <v>19896</v>
      </c>
      <c r="F9854" s="34" t="n">
        <f aca="false">IFERROR(VLOOKUP($A9854,'319'!$B:$H,7,0),0)</f>
        <v>0</v>
      </c>
      <c r="G9854" s="34" t="n">
        <f aca="false">SUMIFS('12.326ana'!$C:$C,'12.326ana'!$M:$M,redes!A9854)</f>
        <v>0</v>
      </c>
    </row>
    <row r="9855" customFormat="false" ht="14.4" hidden="true" customHeight="false" outlineLevel="0" collapsed="false">
      <c r="A9855" s="34" t="n">
        <v>5941606000145</v>
      </c>
      <c r="B9855" s="34" t="s">
        <v>1808</v>
      </c>
      <c r="C9855" s="34" t="s">
        <v>357</v>
      </c>
      <c r="E9855" s="30" t="s">
        <v>19897</v>
      </c>
      <c r="F9855" s="34" t="n">
        <f aca="false">IFERROR(VLOOKUP($A9855,'319'!$B:$H,7,0),0)</f>
        <v>-208.29</v>
      </c>
      <c r="G9855" s="34" t="n">
        <f aca="false">SUMIFS('12.326ana'!$C:$C,'12.326ana'!$M:$M,redes!A9855)</f>
        <v>0</v>
      </c>
    </row>
    <row r="9856" customFormat="false" ht="14.4" hidden="true" customHeight="false" outlineLevel="0" collapsed="false">
      <c r="A9856" s="34" t="n">
        <v>5942088000184</v>
      </c>
      <c r="B9856" s="34" t="s">
        <v>19898</v>
      </c>
      <c r="C9856" s="34" t="s">
        <v>89</v>
      </c>
      <c r="E9856" s="30" t="s">
        <v>19899</v>
      </c>
      <c r="F9856" s="34" t="n">
        <f aca="false">IFERROR(VLOOKUP($A9856,'319'!$B:$H,7,0),0)</f>
        <v>0</v>
      </c>
      <c r="G9856" s="34" t="n">
        <f aca="false">SUMIFS('12.326ana'!$C:$C,'12.326ana'!$M:$M,redes!A9856)</f>
        <v>0</v>
      </c>
    </row>
    <row r="9857" customFormat="false" ht="14.4" hidden="true" customHeight="false" outlineLevel="0" collapsed="false">
      <c r="A9857" s="34" t="n">
        <v>5943547000144</v>
      </c>
      <c r="B9857" s="34" t="s">
        <v>19900</v>
      </c>
      <c r="C9857" s="34" t="s">
        <v>107</v>
      </c>
      <c r="E9857" s="30" t="s">
        <v>19901</v>
      </c>
      <c r="F9857" s="34" t="n">
        <f aca="false">IFERROR(VLOOKUP($A9857,'319'!$B:$H,7,0),0)</f>
        <v>0</v>
      </c>
      <c r="G9857" s="34" t="n">
        <f aca="false">SUMIFS('12.326ana'!$C:$C,'12.326ana'!$M:$M,redes!A9857)</f>
        <v>0</v>
      </c>
    </row>
    <row r="9858" customFormat="false" ht="14.4" hidden="true" customHeight="false" outlineLevel="0" collapsed="false">
      <c r="A9858" s="34" t="n">
        <v>5944569000129</v>
      </c>
      <c r="B9858" s="34" t="s">
        <v>19902</v>
      </c>
      <c r="C9858" s="34" t="s">
        <v>77</v>
      </c>
      <c r="E9858" s="30" t="s">
        <v>19903</v>
      </c>
      <c r="F9858" s="34" t="n">
        <f aca="false">IFERROR(VLOOKUP($A9858,'319'!$B:$H,7,0),0)</f>
        <v>0</v>
      </c>
      <c r="G9858" s="34" t="n">
        <f aca="false">SUMIFS('12.326ana'!$C:$C,'12.326ana'!$M:$M,redes!A9858)</f>
        <v>0</v>
      </c>
    </row>
    <row r="9859" customFormat="false" ht="14.4" hidden="true" customHeight="false" outlineLevel="0" collapsed="false">
      <c r="A9859" s="34" t="n">
        <v>5944956000165</v>
      </c>
      <c r="B9859" s="34" t="s">
        <v>19904</v>
      </c>
      <c r="C9859" s="34" t="s">
        <v>463</v>
      </c>
      <c r="E9859" s="30" t="s">
        <v>19905</v>
      </c>
      <c r="F9859" s="34" t="n">
        <f aca="false">IFERROR(VLOOKUP($A9859,'319'!$B:$H,7,0),0)</f>
        <v>0</v>
      </c>
      <c r="G9859" s="34" t="n">
        <f aca="false">SUMIFS('12.326ana'!$C:$C,'12.326ana'!$M:$M,redes!A9859)</f>
        <v>0</v>
      </c>
    </row>
    <row r="9860" customFormat="false" ht="14.4" hidden="true" customHeight="false" outlineLevel="0" collapsed="false">
      <c r="A9860" s="34" t="n">
        <v>5946414000121</v>
      </c>
      <c r="B9860" s="34" t="s">
        <v>19906</v>
      </c>
      <c r="C9860" s="34" t="s">
        <v>604</v>
      </c>
      <c r="E9860" s="30" t="s">
        <v>19907</v>
      </c>
      <c r="F9860" s="34" t="n">
        <f aca="false">IFERROR(VLOOKUP($A9860,'319'!$B:$H,7,0),0)</f>
        <v>0</v>
      </c>
      <c r="G9860" s="34" t="n">
        <f aca="false">SUMIFS('12.326ana'!$C:$C,'12.326ana'!$M:$M,redes!A9860)</f>
        <v>0</v>
      </c>
    </row>
    <row r="9861" customFormat="false" ht="14.4" hidden="true" customHeight="false" outlineLevel="0" collapsed="false">
      <c r="A9861" s="34" t="n">
        <v>5949379000102</v>
      </c>
      <c r="B9861" s="34" t="s">
        <v>19908</v>
      </c>
      <c r="C9861" s="34" t="s">
        <v>328</v>
      </c>
      <c r="E9861" s="30" t="s">
        <v>5316</v>
      </c>
      <c r="F9861" s="34" t="n">
        <f aca="false">IFERROR(VLOOKUP($A9861,'319'!$B:$H,7,0),0)</f>
        <v>0</v>
      </c>
      <c r="G9861" s="34" t="n">
        <f aca="false">SUMIFS('12.326ana'!$C:$C,'12.326ana'!$M:$M,redes!A9861)</f>
        <v>0</v>
      </c>
    </row>
    <row r="9862" customFormat="false" ht="14.4" hidden="true" customHeight="false" outlineLevel="0" collapsed="false">
      <c r="A9862" s="34" t="n">
        <v>5956002000172</v>
      </c>
      <c r="B9862" s="34" t="s">
        <v>19909</v>
      </c>
      <c r="C9862" s="34" t="s">
        <v>351</v>
      </c>
      <c r="E9862" s="30" t="s">
        <v>19910</v>
      </c>
      <c r="F9862" s="34" t="n">
        <f aca="false">IFERROR(VLOOKUP($A9862,'319'!$B:$H,7,0),0)</f>
        <v>0</v>
      </c>
      <c r="G9862" s="34" t="n">
        <f aca="false">SUMIFS('12.326ana'!$C:$C,'12.326ana'!$M:$M,redes!A9862)</f>
        <v>0</v>
      </c>
    </row>
    <row r="9863" customFormat="false" ht="14.4" hidden="true" customHeight="false" outlineLevel="0" collapsed="false">
      <c r="A9863" s="34" t="n">
        <v>5956017000130</v>
      </c>
      <c r="B9863" s="34" t="s">
        <v>19911</v>
      </c>
      <c r="C9863" s="34" t="s">
        <v>478</v>
      </c>
      <c r="E9863" s="30" t="s">
        <v>19912</v>
      </c>
      <c r="F9863" s="34" t="n">
        <f aca="false">IFERROR(VLOOKUP($A9863,'319'!$B:$H,7,0),0)</f>
        <v>0</v>
      </c>
      <c r="G9863" s="34" t="n">
        <f aca="false">SUMIFS('12.326ana'!$C:$C,'12.326ana'!$M:$M,redes!A9863)</f>
        <v>0</v>
      </c>
    </row>
    <row r="9864" customFormat="false" ht="14.4" hidden="true" customHeight="false" outlineLevel="0" collapsed="false">
      <c r="A9864" s="34" t="n">
        <v>5958813000102</v>
      </c>
      <c r="B9864" s="34" t="s">
        <v>924</v>
      </c>
      <c r="C9864" s="34" t="s">
        <v>342</v>
      </c>
      <c r="E9864" s="30" t="s">
        <v>19913</v>
      </c>
      <c r="F9864" s="34" t="n">
        <f aca="false">IFERROR(VLOOKUP($A9864,'319'!$B:$H,7,0),0)</f>
        <v>1295.93</v>
      </c>
      <c r="G9864" s="34" t="n">
        <f aca="false">SUMIFS('12.326ana'!$C:$C,'12.326ana'!$M:$M,redes!A9864)</f>
        <v>0</v>
      </c>
    </row>
    <row r="9865" customFormat="false" ht="14.4" hidden="true" customHeight="false" outlineLevel="0" collapsed="false">
      <c r="A9865" s="34" t="n">
        <v>5961242000165</v>
      </c>
      <c r="B9865" s="34" t="s">
        <v>19914</v>
      </c>
      <c r="C9865" s="34" t="s">
        <v>77</v>
      </c>
      <c r="E9865" s="30" t="s">
        <v>19915</v>
      </c>
      <c r="F9865" s="34" t="n">
        <f aca="false">IFERROR(VLOOKUP($A9865,'319'!$B:$H,7,0),0)</f>
        <v>0</v>
      </c>
      <c r="G9865" s="34" t="n">
        <f aca="false">SUMIFS('12.326ana'!$C:$C,'12.326ana'!$M:$M,redes!A9865)</f>
        <v>0</v>
      </c>
    </row>
    <row r="9866" customFormat="false" ht="14.4" hidden="true" customHeight="false" outlineLevel="0" collapsed="false">
      <c r="A9866" s="34" t="n">
        <v>5963349000142</v>
      </c>
      <c r="B9866" s="34" t="s">
        <v>19916</v>
      </c>
      <c r="C9866" s="34" t="s">
        <v>77</v>
      </c>
      <c r="E9866" s="30" t="s">
        <v>19917</v>
      </c>
      <c r="F9866" s="34" t="n">
        <f aca="false">IFERROR(VLOOKUP($A9866,'319'!$B:$H,7,0),0)</f>
        <v>0</v>
      </c>
      <c r="G9866" s="34" t="n">
        <f aca="false">SUMIFS('12.326ana'!$C:$C,'12.326ana'!$M:$M,redes!A9866)</f>
        <v>0</v>
      </c>
    </row>
    <row r="9867" customFormat="false" ht="14.4" hidden="true" customHeight="false" outlineLevel="0" collapsed="false">
      <c r="A9867" s="34" t="n">
        <v>5963395000141</v>
      </c>
      <c r="B9867" s="34" t="s">
        <v>19918</v>
      </c>
      <c r="C9867" s="34" t="s">
        <v>139</v>
      </c>
      <c r="E9867" s="30" t="s">
        <v>15408</v>
      </c>
      <c r="F9867" s="34" t="n">
        <f aca="false">IFERROR(VLOOKUP($A9867,'319'!$B:$H,7,0),0)</f>
        <v>0</v>
      </c>
      <c r="G9867" s="34" t="n">
        <f aca="false">SUMIFS('12.326ana'!$C:$C,'12.326ana'!$M:$M,redes!A9867)</f>
        <v>0</v>
      </c>
    </row>
    <row r="9868" customFormat="false" ht="14.4" hidden="true" customHeight="false" outlineLevel="0" collapsed="false">
      <c r="A9868" s="34" t="n">
        <v>5967352000134</v>
      </c>
      <c r="B9868" s="34" t="s">
        <v>3631</v>
      </c>
      <c r="C9868" s="34" t="s">
        <v>77</v>
      </c>
      <c r="E9868" s="30" t="s">
        <v>3632</v>
      </c>
      <c r="F9868" s="34" t="n">
        <f aca="false">IFERROR(VLOOKUP($A9868,'319'!$B:$H,7,0),0)</f>
        <v>0</v>
      </c>
      <c r="G9868" s="34" t="n">
        <f aca="false">SUMIFS('12.326ana'!$C:$C,'12.326ana'!$M:$M,redes!A9868)</f>
        <v>0</v>
      </c>
    </row>
    <row r="9869" customFormat="false" ht="14.4" hidden="true" customHeight="false" outlineLevel="0" collapsed="false">
      <c r="A9869" s="34" t="n">
        <v>5967439000101</v>
      </c>
      <c r="B9869" s="34" t="s">
        <v>19919</v>
      </c>
      <c r="C9869" s="34" t="s">
        <v>77</v>
      </c>
      <c r="E9869" s="30" t="s">
        <v>3588</v>
      </c>
      <c r="F9869" s="34" t="n">
        <f aca="false">IFERROR(VLOOKUP($A9869,'319'!$B:$H,7,0),0)</f>
        <v>0</v>
      </c>
      <c r="G9869" s="34" t="n">
        <f aca="false">SUMIFS('12.326ana'!$C:$C,'12.326ana'!$M:$M,redes!A9869)</f>
        <v>0</v>
      </c>
    </row>
    <row r="9870" customFormat="false" ht="14.4" hidden="true" customHeight="false" outlineLevel="0" collapsed="false">
      <c r="A9870" s="34" t="n">
        <v>5973411000187</v>
      </c>
      <c r="B9870" s="34" t="s">
        <v>19920</v>
      </c>
      <c r="C9870" s="34" t="s">
        <v>77</v>
      </c>
      <c r="E9870" s="30" t="s">
        <v>19780</v>
      </c>
      <c r="F9870" s="34" t="n">
        <f aca="false">IFERROR(VLOOKUP($A9870,'319'!$B:$H,7,0),0)</f>
        <v>0</v>
      </c>
      <c r="G9870" s="34" t="n">
        <f aca="false">SUMIFS('12.326ana'!$C:$C,'12.326ana'!$M:$M,redes!A9870)</f>
        <v>0</v>
      </c>
    </row>
    <row r="9871" customFormat="false" ht="14.4" hidden="true" customHeight="false" outlineLevel="0" collapsed="false">
      <c r="A9871" s="34" t="n">
        <v>5974015000174</v>
      </c>
      <c r="B9871" s="34" t="s">
        <v>19921</v>
      </c>
      <c r="C9871" s="34" t="s">
        <v>336</v>
      </c>
      <c r="E9871" s="30" t="s">
        <v>19922</v>
      </c>
      <c r="F9871" s="34" t="n">
        <f aca="false">IFERROR(VLOOKUP($A9871,'319'!$B:$H,7,0),0)</f>
        <v>0</v>
      </c>
      <c r="G9871" s="34" t="n">
        <f aca="false">SUMIFS('12.326ana'!$C:$C,'12.326ana'!$M:$M,redes!A9871)</f>
        <v>0</v>
      </c>
    </row>
    <row r="9872" customFormat="false" ht="14.4" hidden="true" customHeight="false" outlineLevel="0" collapsed="false">
      <c r="A9872" s="34" t="n">
        <v>5974400000111</v>
      </c>
      <c r="B9872" s="34" t="s">
        <v>19923</v>
      </c>
      <c r="C9872" s="34" t="s">
        <v>2998</v>
      </c>
      <c r="E9872" s="30" t="s">
        <v>19924</v>
      </c>
      <c r="F9872" s="34" t="n">
        <f aca="false">IFERROR(VLOOKUP($A9872,'319'!$B:$H,7,0),0)</f>
        <v>0</v>
      </c>
      <c r="G9872" s="34" t="n">
        <f aca="false">SUMIFS('12.326ana'!$C:$C,'12.326ana'!$M:$M,redes!A9872)</f>
        <v>0</v>
      </c>
    </row>
    <row r="9873" customFormat="false" ht="14.4" hidden="true" customHeight="false" outlineLevel="0" collapsed="false">
      <c r="A9873" s="34" t="n">
        <v>5975679000158</v>
      </c>
      <c r="B9873" s="34" t="s">
        <v>19925</v>
      </c>
      <c r="C9873" s="34" t="s">
        <v>77</v>
      </c>
      <c r="E9873" s="30" t="s">
        <v>19926</v>
      </c>
      <c r="F9873" s="34" t="n">
        <f aca="false">IFERROR(VLOOKUP($A9873,'319'!$B:$H,7,0),0)</f>
        <v>0</v>
      </c>
      <c r="G9873" s="34" t="n">
        <f aca="false">SUMIFS('12.326ana'!$C:$C,'12.326ana'!$M:$M,redes!A9873)</f>
        <v>0</v>
      </c>
    </row>
    <row r="9874" customFormat="false" ht="14.4" hidden="true" customHeight="false" outlineLevel="0" collapsed="false">
      <c r="A9874" s="34" t="n">
        <v>5976784000101</v>
      </c>
      <c r="B9874" s="34" t="s">
        <v>19927</v>
      </c>
      <c r="C9874" s="34" t="s">
        <v>604</v>
      </c>
      <c r="E9874" s="30" t="s">
        <v>19928</v>
      </c>
      <c r="F9874" s="34" t="n">
        <f aca="false">IFERROR(VLOOKUP($A9874,'319'!$B:$H,7,0),0)</f>
        <v>0</v>
      </c>
      <c r="G9874" s="34" t="n">
        <f aca="false">SUMIFS('12.326ana'!$C:$C,'12.326ana'!$M:$M,redes!A9874)</f>
        <v>0</v>
      </c>
    </row>
    <row r="9875" customFormat="false" ht="14.4" hidden="true" customHeight="false" outlineLevel="0" collapsed="false">
      <c r="A9875" s="34" t="n">
        <v>5978856000150</v>
      </c>
      <c r="B9875" s="34" t="s">
        <v>19929</v>
      </c>
      <c r="C9875" s="34" t="s">
        <v>77</v>
      </c>
      <c r="E9875" s="30" t="s">
        <v>17970</v>
      </c>
      <c r="F9875" s="34" t="n">
        <f aca="false">IFERROR(VLOOKUP($A9875,'319'!$B:$H,7,0),0)</f>
        <v>0</v>
      </c>
      <c r="G9875" s="34" t="n">
        <f aca="false">SUMIFS('12.326ana'!$C:$C,'12.326ana'!$M:$M,redes!A9875)</f>
        <v>0</v>
      </c>
    </row>
    <row r="9876" customFormat="false" ht="14.4" hidden="true" customHeight="false" outlineLevel="0" collapsed="false">
      <c r="A9876" s="34" t="n">
        <v>5983488000138</v>
      </c>
      <c r="B9876" s="34" t="s">
        <v>19930</v>
      </c>
      <c r="C9876" s="34" t="s">
        <v>77</v>
      </c>
      <c r="E9876" s="30" t="s">
        <v>10567</v>
      </c>
      <c r="F9876" s="34" t="n">
        <f aca="false">IFERROR(VLOOKUP($A9876,'319'!$B:$H,7,0),0)</f>
        <v>0</v>
      </c>
      <c r="G9876" s="34" t="n">
        <f aca="false">SUMIFS('12.326ana'!$C:$C,'12.326ana'!$M:$M,redes!A9876)</f>
        <v>0</v>
      </c>
    </row>
    <row r="9877" customFormat="false" ht="14.4" hidden="true" customHeight="false" outlineLevel="0" collapsed="false">
      <c r="A9877" s="34" t="n">
        <v>5983839000100</v>
      </c>
      <c r="B9877" s="34" t="s">
        <v>19931</v>
      </c>
      <c r="C9877" s="34" t="s">
        <v>336</v>
      </c>
      <c r="E9877" s="30" t="s">
        <v>14909</v>
      </c>
      <c r="F9877" s="34" t="n">
        <f aca="false">IFERROR(VLOOKUP($A9877,'319'!$B:$H,7,0),0)</f>
        <v>0</v>
      </c>
      <c r="G9877" s="34" t="n">
        <f aca="false">SUMIFS('12.326ana'!$C:$C,'12.326ana'!$M:$M,redes!A9877)</f>
        <v>0</v>
      </c>
    </row>
    <row r="9878" customFormat="false" ht="14.4" hidden="true" customHeight="false" outlineLevel="0" collapsed="false">
      <c r="A9878" s="34" t="n">
        <v>5984411000182</v>
      </c>
      <c r="B9878" s="34" t="s">
        <v>19932</v>
      </c>
      <c r="C9878" s="34" t="s">
        <v>107</v>
      </c>
      <c r="E9878" s="30" t="s">
        <v>19933</v>
      </c>
      <c r="F9878" s="34" t="n">
        <f aca="false">IFERROR(VLOOKUP($A9878,'319'!$B:$H,7,0),0)</f>
        <v>0</v>
      </c>
      <c r="G9878" s="34" t="n">
        <f aca="false">SUMIFS('12.326ana'!$C:$C,'12.326ana'!$M:$M,redes!A9878)</f>
        <v>0</v>
      </c>
    </row>
    <row r="9879" customFormat="false" ht="14.4" hidden="true" customHeight="false" outlineLevel="0" collapsed="false">
      <c r="A9879" s="34" t="n">
        <v>5988664000124</v>
      </c>
      <c r="B9879" s="34" t="s">
        <v>19934</v>
      </c>
      <c r="C9879" s="34" t="s">
        <v>77</v>
      </c>
      <c r="E9879" s="30" t="s">
        <v>3112</v>
      </c>
      <c r="F9879" s="34" t="n">
        <f aca="false">IFERROR(VLOOKUP($A9879,'319'!$B:$H,7,0),0)</f>
        <v>0</v>
      </c>
      <c r="G9879" s="34" t="n">
        <f aca="false">SUMIFS('12.326ana'!$C:$C,'12.326ana'!$M:$M,redes!A9879)</f>
        <v>0</v>
      </c>
    </row>
    <row r="9880" customFormat="false" ht="14.4" hidden="true" customHeight="false" outlineLevel="0" collapsed="false">
      <c r="A9880" s="34" t="n">
        <v>5990575000112</v>
      </c>
      <c r="B9880" s="34" t="s">
        <v>19935</v>
      </c>
      <c r="C9880" s="34" t="s">
        <v>77</v>
      </c>
      <c r="E9880" s="30" t="s">
        <v>5264</v>
      </c>
      <c r="F9880" s="34" t="n">
        <f aca="false">IFERROR(VLOOKUP($A9880,'319'!$B:$H,7,0),0)</f>
        <v>0</v>
      </c>
      <c r="G9880" s="34" t="n">
        <f aca="false">SUMIFS('12.326ana'!$C:$C,'12.326ana'!$M:$M,redes!A9880)</f>
        <v>0</v>
      </c>
    </row>
    <row r="9881" customFormat="false" ht="14.4" hidden="true" customHeight="false" outlineLevel="0" collapsed="false">
      <c r="A9881" s="34" t="n">
        <v>5992440000196</v>
      </c>
      <c r="B9881" s="34" t="s">
        <v>19936</v>
      </c>
      <c r="C9881" s="34" t="s">
        <v>103</v>
      </c>
      <c r="E9881" s="30" t="s">
        <v>3192</v>
      </c>
      <c r="F9881" s="34" t="n">
        <f aca="false">IFERROR(VLOOKUP($A9881,'319'!$B:$H,7,0),0)</f>
        <v>0</v>
      </c>
      <c r="G9881" s="34" t="n">
        <f aca="false">SUMIFS('12.326ana'!$C:$C,'12.326ana'!$M:$M,redes!A9881)</f>
        <v>0</v>
      </c>
    </row>
    <row r="9882" customFormat="false" ht="14.4" hidden="true" customHeight="false" outlineLevel="0" collapsed="false">
      <c r="A9882" s="34" t="n">
        <v>5992964000187</v>
      </c>
      <c r="B9882" s="34" t="s">
        <v>19937</v>
      </c>
      <c r="C9882" s="34" t="s">
        <v>89</v>
      </c>
      <c r="E9882" s="30" t="s">
        <v>19938</v>
      </c>
      <c r="F9882" s="34" t="n">
        <f aca="false">IFERROR(VLOOKUP($A9882,'319'!$B:$H,7,0),0)</f>
        <v>0</v>
      </c>
      <c r="G9882" s="34" t="n">
        <f aca="false">SUMIFS('12.326ana'!$C:$C,'12.326ana'!$M:$M,redes!A9882)</f>
        <v>0</v>
      </c>
    </row>
    <row r="9883" customFormat="false" ht="14.4" hidden="true" customHeight="false" outlineLevel="0" collapsed="false">
      <c r="A9883" s="34" t="n">
        <v>5992971000189</v>
      </c>
      <c r="B9883" s="34" t="s">
        <v>19939</v>
      </c>
      <c r="C9883" s="34" t="s">
        <v>77</v>
      </c>
      <c r="E9883" s="30" t="s">
        <v>19940</v>
      </c>
      <c r="F9883" s="34" t="n">
        <f aca="false">IFERROR(VLOOKUP($A9883,'319'!$B:$H,7,0),0)</f>
        <v>0</v>
      </c>
      <c r="G9883" s="34" t="n">
        <f aca="false">SUMIFS('12.326ana'!$C:$C,'12.326ana'!$M:$M,redes!A9883)</f>
        <v>0</v>
      </c>
    </row>
    <row r="9884" customFormat="false" ht="14.4" hidden="true" customHeight="false" outlineLevel="0" collapsed="false">
      <c r="A9884" s="34" t="n">
        <v>5994432000189</v>
      </c>
      <c r="B9884" s="34" t="s">
        <v>19941</v>
      </c>
      <c r="C9884" s="34" t="s">
        <v>737</v>
      </c>
      <c r="E9884" s="30" t="s">
        <v>19942</v>
      </c>
      <c r="F9884" s="34" t="n">
        <f aca="false">IFERROR(VLOOKUP($A9884,'319'!$B:$H,7,0),0)</f>
        <v>0</v>
      </c>
      <c r="G9884" s="34" t="n">
        <f aca="false">SUMIFS('12.326ana'!$C:$C,'12.326ana'!$M:$M,redes!A9884)</f>
        <v>0</v>
      </c>
    </row>
    <row r="9885" customFormat="false" ht="14.4" hidden="true" customHeight="false" outlineLevel="0" collapsed="false">
      <c r="A9885" s="34" t="n">
        <v>5996719000148</v>
      </c>
      <c r="B9885" s="34" t="s">
        <v>19943</v>
      </c>
      <c r="C9885" s="34" t="s">
        <v>89</v>
      </c>
      <c r="E9885" s="30" t="s">
        <v>9125</v>
      </c>
      <c r="F9885" s="34" t="n">
        <f aca="false">IFERROR(VLOOKUP($A9885,'319'!$B:$H,7,0),0)</f>
        <v>0</v>
      </c>
      <c r="G9885" s="34" t="n">
        <f aca="false">SUMIFS('12.326ana'!$C:$C,'12.326ana'!$M:$M,redes!A9885)</f>
        <v>0</v>
      </c>
    </row>
    <row r="9886" customFormat="false" ht="14.4" hidden="true" customHeight="false" outlineLevel="0" collapsed="false">
      <c r="A9886" s="34" t="n">
        <v>5997658000133</v>
      </c>
      <c r="B9886" s="34" t="s">
        <v>19944</v>
      </c>
      <c r="C9886" s="34" t="s">
        <v>809</v>
      </c>
      <c r="E9886" s="30" t="s">
        <v>19945</v>
      </c>
      <c r="F9886" s="34" t="n">
        <f aca="false">IFERROR(VLOOKUP($A9886,'319'!$B:$H,7,0),0)</f>
        <v>0</v>
      </c>
      <c r="G9886" s="34" t="n">
        <f aca="false">SUMIFS('12.326ana'!$C:$C,'12.326ana'!$M:$M,redes!A9886)</f>
        <v>0</v>
      </c>
    </row>
    <row r="9887" customFormat="false" ht="14.4" hidden="true" customHeight="false" outlineLevel="0" collapsed="false">
      <c r="A9887" s="34" t="n">
        <v>5997669000113</v>
      </c>
      <c r="B9887" s="34" t="s">
        <v>19946</v>
      </c>
      <c r="C9887" s="34" t="s">
        <v>336</v>
      </c>
      <c r="E9887" s="30" t="s">
        <v>19947</v>
      </c>
      <c r="F9887" s="34" t="n">
        <f aca="false">IFERROR(VLOOKUP($A9887,'319'!$B:$H,7,0),0)</f>
        <v>0</v>
      </c>
      <c r="G9887" s="34" t="n">
        <f aca="false">SUMIFS('12.326ana'!$C:$C,'12.326ana'!$M:$M,redes!A9887)</f>
        <v>0</v>
      </c>
    </row>
    <row r="9888" customFormat="false" ht="14.4" hidden="true" customHeight="false" outlineLevel="0" collapsed="false">
      <c r="A9888" s="34" t="n">
        <v>5998013000115</v>
      </c>
      <c r="B9888" s="34" t="s">
        <v>19948</v>
      </c>
      <c r="C9888" s="34" t="s">
        <v>464</v>
      </c>
      <c r="E9888" s="30" t="s">
        <v>19949</v>
      </c>
      <c r="F9888" s="34" t="n">
        <f aca="false">IFERROR(VLOOKUP($A9888,'319'!$B:$H,7,0),0)</f>
        <v>0</v>
      </c>
      <c r="G9888" s="34" t="n">
        <f aca="false">SUMIFS('12.326ana'!$C:$C,'12.326ana'!$M:$M,redes!A9888)</f>
        <v>0</v>
      </c>
    </row>
    <row r="9889" customFormat="false" ht="14.4" hidden="true" customHeight="false" outlineLevel="0" collapsed="false">
      <c r="A9889" s="34" t="n">
        <v>5999649000424</v>
      </c>
      <c r="B9889" s="34" t="s">
        <v>19950</v>
      </c>
      <c r="C9889" s="34" t="s">
        <v>89</v>
      </c>
      <c r="E9889" s="30" t="s">
        <v>19951</v>
      </c>
      <c r="F9889" s="34" t="n">
        <f aca="false">IFERROR(VLOOKUP($A9889,'319'!$B:$H,7,0),0)</f>
        <v>0</v>
      </c>
      <c r="G9889" s="34" t="n">
        <f aca="false">SUMIFS('12.326ana'!$C:$C,'12.326ana'!$M:$M,redes!A9889)</f>
        <v>0</v>
      </c>
    </row>
    <row r="9890" customFormat="false" ht="14.4" hidden="true" customHeight="false" outlineLevel="0" collapsed="false">
      <c r="A9890" s="34" t="n">
        <v>5999649000505</v>
      </c>
      <c r="B9890" s="34" t="s">
        <v>19950</v>
      </c>
      <c r="C9890" s="34" t="s">
        <v>89</v>
      </c>
      <c r="E9890" s="30" t="s">
        <v>19951</v>
      </c>
      <c r="F9890" s="34" t="n">
        <f aca="false">IFERROR(VLOOKUP($A9890,'319'!$B:$H,7,0),0)</f>
        <v>0</v>
      </c>
      <c r="G9890" s="34" t="n">
        <f aca="false">SUMIFS('12.326ana'!$C:$C,'12.326ana'!$M:$M,redes!A9890)</f>
        <v>0</v>
      </c>
    </row>
    <row r="9891" customFormat="false" ht="14.4" hidden="true" customHeight="false" outlineLevel="0" collapsed="false">
      <c r="A9891" s="34" t="n">
        <v>6000179000163</v>
      </c>
      <c r="B9891" s="34" t="s">
        <v>19952</v>
      </c>
      <c r="C9891" s="34" t="s">
        <v>351</v>
      </c>
      <c r="E9891" s="30" t="s">
        <v>12960</v>
      </c>
      <c r="F9891" s="34" t="n">
        <f aca="false">IFERROR(VLOOKUP($A9891,'319'!$B:$H,7,0),0)</f>
        <v>0</v>
      </c>
      <c r="G9891" s="34" t="n">
        <f aca="false">SUMIFS('12.326ana'!$C:$C,'12.326ana'!$M:$M,redes!A9891)</f>
        <v>0</v>
      </c>
    </row>
    <row r="9892" customFormat="false" ht="14.4" hidden="true" customHeight="false" outlineLevel="0" collapsed="false">
      <c r="A9892" s="34" t="n">
        <v>6002476000148</v>
      </c>
      <c r="B9892" s="34" t="s">
        <v>19953</v>
      </c>
      <c r="C9892" s="34" t="s">
        <v>994</v>
      </c>
      <c r="E9892" s="30" t="s">
        <v>17756</v>
      </c>
      <c r="F9892" s="34" t="n">
        <f aca="false">IFERROR(VLOOKUP($A9892,'319'!$B:$H,7,0),0)</f>
        <v>0</v>
      </c>
      <c r="G9892" s="34" t="n">
        <f aca="false">SUMIFS('12.326ana'!$C:$C,'12.326ana'!$M:$M,redes!A9892)</f>
        <v>0</v>
      </c>
    </row>
    <row r="9893" customFormat="false" ht="14.4" hidden="true" customHeight="false" outlineLevel="0" collapsed="false">
      <c r="A9893" s="34" t="n">
        <v>6003013000109</v>
      </c>
      <c r="B9893" s="34" t="s">
        <v>19954</v>
      </c>
      <c r="C9893" s="34" t="s">
        <v>77</v>
      </c>
      <c r="E9893" s="30" t="s">
        <v>3194</v>
      </c>
      <c r="F9893" s="34" t="n">
        <f aca="false">IFERROR(VLOOKUP($A9893,'319'!$B:$H,7,0),0)</f>
        <v>0</v>
      </c>
      <c r="G9893" s="34" t="n">
        <f aca="false">SUMIFS('12.326ana'!$C:$C,'12.326ana'!$M:$M,redes!A9893)</f>
        <v>0</v>
      </c>
    </row>
    <row r="9894" customFormat="false" ht="14.4" hidden="true" customHeight="false" outlineLevel="0" collapsed="false">
      <c r="A9894" s="34" t="n">
        <v>6008110000186</v>
      </c>
      <c r="B9894" s="34" t="s">
        <v>19955</v>
      </c>
      <c r="C9894" s="34" t="s">
        <v>127</v>
      </c>
      <c r="E9894" s="30" t="s">
        <v>19956</v>
      </c>
      <c r="F9894" s="34" t="n">
        <f aca="false">IFERROR(VLOOKUP($A9894,'319'!$B:$H,7,0),0)</f>
        <v>0</v>
      </c>
      <c r="G9894" s="34" t="n">
        <f aca="false">SUMIFS('12.326ana'!$C:$C,'12.326ana'!$M:$M,redes!A9894)</f>
        <v>0</v>
      </c>
    </row>
    <row r="9895" customFormat="false" ht="14.4" hidden="true" customHeight="false" outlineLevel="0" collapsed="false">
      <c r="A9895" s="34" t="n">
        <v>6008188000109</v>
      </c>
      <c r="B9895" s="34" t="s">
        <v>19957</v>
      </c>
      <c r="C9895" s="34" t="s">
        <v>77</v>
      </c>
      <c r="E9895" s="30" t="s">
        <v>19958</v>
      </c>
      <c r="F9895" s="34" t="n">
        <f aca="false">IFERROR(VLOOKUP($A9895,'319'!$B:$H,7,0),0)</f>
        <v>0</v>
      </c>
      <c r="G9895" s="34" t="n">
        <f aca="false">SUMIFS('12.326ana'!$C:$C,'12.326ana'!$M:$M,redes!A9895)</f>
        <v>0</v>
      </c>
    </row>
    <row r="9896" customFormat="false" ht="14.4" hidden="true" customHeight="false" outlineLevel="0" collapsed="false">
      <c r="A9896" s="34" t="n">
        <v>6008765000154</v>
      </c>
      <c r="B9896" s="34" t="s">
        <v>19959</v>
      </c>
      <c r="C9896" s="34" t="s">
        <v>464</v>
      </c>
      <c r="E9896" s="30" t="s">
        <v>19960</v>
      </c>
      <c r="F9896" s="34" t="n">
        <f aca="false">IFERROR(VLOOKUP($A9896,'319'!$B:$H,7,0),0)</f>
        <v>0</v>
      </c>
      <c r="G9896" s="34" t="n">
        <f aca="false">SUMIFS('12.326ana'!$C:$C,'12.326ana'!$M:$M,redes!A9896)</f>
        <v>0</v>
      </c>
    </row>
    <row r="9897" customFormat="false" ht="14.4" hidden="true" customHeight="false" outlineLevel="0" collapsed="false">
      <c r="A9897" s="34" t="n">
        <v>6010876000103</v>
      </c>
      <c r="B9897" s="34" t="s">
        <v>19961</v>
      </c>
      <c r="C9897" s="34" t="s">
        <v>197</v>
      </c>
      <c r="E9897" s="30" t="s">
        <v>19962</v>
      </c>
      <c r="F9897" s="34" t="n">
        <f aca="false">IFERROR(VLOOKUP($A9897,'319'!$B:$H,7,0),0)</f>
        <v>0</v>
      </c>
      <c r="G9897" s="34" t="n">
        <f aca="false">SUMIFS('12.326ana'!$C:$C,'12.326ana'!$M:$M,redes!A9897)</f>
        <v>0</v>
      </c>
    </row>
    <row r="9898" customFormat="false" ht="14.4" hidden="true" customHeight="false" outlineLevel="0" collapsed="false">
      <c r="A9898" s="34" t="n">
        <v>6013929000131</v>
      </c>
      <c r="B9898" s="34" t="s">
        <v>19963</v>
      </c>
      <c r="C9898" s="34" t="s">
        <v>77</v>
      </c>
      <c r="E9898" s="30" t="s">
        <v>19964</v>
      </c>
      <c r="F9898" s="34" t="n">
        <f aca="false">IFERROR(VLOOKUP($A9898,'319'!$B:$H,7,0),0)</f>
        <v>0</v>
      </c>
      <c r="G9898" s="34" t="n">
        <f aca="false">SUMIFS('12.326ana'!$C:$C,'12.326ana'!$M:$M,redes!A9898)</f>
        <v>0</v>
      </c>
    </row>
    <row r="9899" customFormat="false" ht="14.4" hidden="true" customHeight="false" outlineLevel="0" collapsed="false">
      <c r="A9899" s="34" t="n">
        <v>6014084000107</v>
      </c>
      <c r="B9899" s="34" t="s">
        <v>19965</v>
      </c>
      <c r="C9899" s="34" t="s">
        <v>77</v>
      </c>
      <c r="E9899" s="30" t="s">
        <v>19966</v>
      </c>
      <c r="F9899" s="34" t="n">
        <f aca="false">IFERROR(VLOOKUP($A9899,'319'!$B:$H,7,0),0)</f>
        <v>0</v>
      </c>
      <c r="G9899" s="34" t="n">
        <f aca="false">SUMIFS('12.326ana'!$C:$C,'12.326ana'!$M:$M,redes!A9899)</f>
        <v>0</v>
      </c>
    </row>
    <row r="9900" customFormat="false" ht="14.4" hidden="true" customHeight="false" outlineLevel="0" collapsed="false">
      <c r="A9900" s="34" t="n">
        <v>6016263000175</v>
      </c>
      <c r="B9900" s="34" t="s">
        <v>19967</v>
      </c>
      <c r="C9900" s="34" t="s">
        <v>342</v>
      </c>
      <c r="E9900" s="30" t="s">
        <v>9832</v>
      </c>
      <c r="F9900" s="34" t="n">
        <f aca="false">IFERROR(VLOOKUP($A9900,'319'!$B:$H,7,0),0)</f>
        <v>0</v>
      </c>
      <c r="G9900" s="34" t="n">
        <f aca="false">SUMIFS('12.326ana'!$C:$C,'12.326ana'!$M:$M,redes!A9900)</f>
        <v>0</v>
      </c>
    </row>
    <row r="9901" customFormat="false" ht="14.4" hidden="true" customHeight="false" outlineLevel="0" collapsed="false">
      <c r="A9901" s="34" t="n">
        <v>6018492000129</v>
      </c>
      <c r="B9901" s="34" t="s">
        <v>19968</v>
      </c>
      <c r="C9901" s="34" t="s">
        <v>464</v>
      </c>
      <c r="E9901" s="30" t="s">
        <v>19969</v>
      </c>
      <c r="F9901" s="34" t="n">
        <f aca="false">IFERROR(VLOOKUP($A9901,'319'!$B:$H,7,0),0)</f>
        <v>0</v>
      </c>
      <c r="G9901" s="34" t="n">
        <f aca="false">SUMIFS('12.326ana'!$C:$C,'12.326ana'!$M:$M,redes!A9901)</f>
        <v>0</v>
      </c>
    </row>
    <row r="9902" customFormat="false" ht="14.4" hidden="true" customHeight="false" outlineLevel="0" collapsed="false">
      <c r="A9902" s="34" t="n">
        <v>6020521000197</v>
      </c>
      <c r="B9902" s="34" t="s">
        <v>19970</v>
      </c>
      <c r="C9902" s="34" t="s">
        <v>77</v>
      </c>
      <c r="E9902" s="30" t="s">
        <v>4445</v>
      </c>
      <c r="F9902" s="34" t="n">
        <f aca="false">IFERROR(VLOOKUP($A9902,'319'!$B:$H,7,0),0)</f>
        <v>0</v>
      </c>
      <c r="G9902" s="34" t="n">
        <f aca="false">SUMIFS('12.326ana'!$C:$C,'12.326ana'!$M:$M,redes!A9902)</f>
        <v>0</v>
      </c>
    </row>
    <row r="9903" customFormat="false" ht="14.4" hidden="true" customHeight="false" outlineLevel="0" collapsed="false">
      <c r="A9903" s="34" t="n">
        <v>6024067000142</v>
      </c>
      <c r="B9903" s="34" t="s">
        <v>19971</v>
      </c>
      <c r="C9903" s="34" t="s">
        <v>342</v>
      </c>
      <c r="E9903" s="30" t="s">
        <v>5121</v>
      </c>
      <c r="F9903" s="34" t="n">
        <f aca="false">IFERROR(VLOOKUP($A9903,'319'!$B:$H,7,0),0)</f>
        <v>0</v>
      </c>
      <c r="G9903" s="34" t="n">
        <f aca="false">SUMIFS('12.326ana'!$C:$C,'12.326ana'!$M:$M,redes!A9903)</f>
        <v>0</v>
      </c>
    </row>
    <row r="9904" customFormat="false" ht="14.4" hidden="true" customHeight="false" outlineLevel="0" collapsed="false">
      <c r="A9904" s="34" t="n">
        <v>6024789000105</v>
      </c>
      <c r="B9904" s="34" t="s">
        <v>19972</v>
      </c>
      <c r="C9904" s="34" t="s">
        <v>77</v>
      </c>
      <c r="E9904" s="30" t="s">
        <v>19973</v>
      </c>
      <c r="F9904" s="34" t="n">
        <f aca="false">IFERROR(VLOOKUP($A9904,'319'!$B:$H,7,0),0)</f>
        <v>0</v>
      </c>
      <c r="G9904" s="34" t="n">
        <f aca="false">SUMIFS('12.326ana'!$C:$C,'12.326ana'!$M:$M,redes!A9904)</f>
        <v>0</v>
      </c>
    </row>
    <row r="9905" customFormat="false" ht="14.4" hidden="true" customHeight="false" outlineLevel="0" collapsed="false">
      <c r="A9905" s="34" t="n">
        <v>6027032000167</v>
      </c>
      <c r="B9905" s="34" t="s">
        <v>19974</v>
      </c>
      <c r="C9905" s="34" t="s">
        <v>631</v>
      </c>
      <c r="E9905" s="30" t="s">
        <v>19975</v>
      </c>
      <c r="F9905" s="34" t="n">
        <f aca="false">IFERROR(VLOOKUP($A9905,'319'!$B:$H,7,0),0)</f>
        <v>0</v>
      </c>
      <c r="G9905" s="34" t="n">
        <f aca="false">SUMIFS('12.326ana'!$C:$C,'12.326ana'!$M:$M,redes!A9905)</f>
        <v>0</v>
      </c>
    </row>
    <row r="9906" customFormat="false" ht="14.4" hidden="true" customHeight="false" outlineLevel="0" collapsed="false">
      <c r="A9906" s="34" t="n">
        <v>6029278000178</v>
      </c>
      <c r="B9906" s="34" t="s">
        <v>19976</v>
      </c>
      <c r="C9906" s="34" t="s">
        <v>77</v>
      </c>
      <c r="E9906" s="30" t="s">
        <v>3238</v>
      </c>
      <c r="F9906" s="34" t="n">
        <f aca="false">IFERROR(VLOOKUP($A9906,'319'!$B:$H,7,0),0)</f>
        <v>0</v>
      </c>
      <c r="G9906" s="34" t="n">
        <f aca="false">SUMIFS('12.326ana'!$C:$C,'12.326ana'!$M:$M,redes!A9906)</f>
        <v>0</v>
      </c>
    </row>
    <row r="9907" customFormat="false" ht="14.4" hidden="true" customHeight="false" outlineLevel="0" collapsed="false">
      <c r="A9907" s="34" t="n">
        <v>6029289000158</v>
      </c>
      <c r="B9907" s="34" t="s">
        <v>19977</v>
      </c>
      <c r="C9907" s="34" t="s">
        <v>77</v>
      </c>
      <c r="E9907" s="30" t="s">
        <v>19978</v>
      </c>
      <c r="F9907" s="34" t="n">
        <f aca="false">IFERROR(VLOOKUP($A9907,'319'!$B:$H,7,0),0)</f>
        <v>0</v>
      </c>
      <c r="G9907" s="34" t="n">
        <f aca="false">SUMIFS('12.326ana'!$C:$C,'12.326ana'!$M:$M,redes!A9907)</f>
        <v>0</v>
      </c>
    </row>
    <row r="9908" customFormat="false" ht="14.4" hidden="true" customHeight="false" outlineLevel="0" collapsed="false">
      <c r="A9908" s="34" t="n">
        <v>6030156000100</v>
      </c>
      <c r="B9908" s="34" t="s">
        <v>19979</v>
      </c>
      <c r="C9908" s="34" t="s">
        <v>107</v>
      </c>
      <c r="E9908" s="30" t="s">
        <v>19980</v>
      </c>
      <c r="F9908" s="34" t="n">
        <f aca="false">IFERROR(VLOOKUP($A9908,'319'!$B:$H,7,0),0)</f>
        <v>0</v>
      </c>
      <c r="G9908" s="34" t="n">
        <f aca="false">SUMIFS('12.326ana'!$C:$C,'12.326ana'!$M:$M,redes!A9908)</f>
        <v>0</v>
      </c>
    </row>
    <row r="9909" customFormat="false" ht="14.4" hidden="true" customHeight="false" outlineLevel="0" collapsed="false">
      <c r="A9909" s="34" t="n">
        <v>6031943000168</v>
      </c>
      <c r="B9909" s="34" t="s">
        <v>19981</v>
      </c>
      <c r="C9909" s="34" t="s">
        <v>103</v>
      </c>
      <c r="E9909" s="30" t="s">
        <v>19982</v>
      </c>
      <c r="F9909" s="34" t="n">
        <f aca="false">IFERROR(VLOOKUP($A9909,'319'!$B:$H,7,0),0)</f>
        <v>0</v>
      </c>
      <c r="G9909" s="34" t="n">
        <f aca="false">SUMIFS('12.326ana'!$C:$C,'12.326ana'!$M:$M,redes!A9909)</f>
        <v>0</v>
      </c>
    </row>
    <row r="9910" customFormat="false" ht="14.4" hidden="true" customHeight="false" outlineLevel="0" collapsed="false">
      <c r="A9910" s="34" t="n">
        <v>6033471000182</v>
      </c>
      <c r="B9910" s="34" t="s">
        <v>19983</v>
      </c>
      <c r="C9910" s="34" t="s">
        <v>77</v>
      </c>
      <c r="E9910" s="30" t="s">
        <v>19984</v>
      </c>
      <c r="F9910" s="34" t="n">
        <f aca="false">IFERROR(VLOOKUP($A9910,'319'!$B:$H,7,0),0)</f>
        <v>0</v>
      </c>
      <c r="G9910" s="34" t="n">
        <f aca="false">SUMIFS('12.326ana'!$C:$C,'12.326ana'!$M:$M,redes!A9910)</f>
        <v>0</v>
      </c>
    </row>
    <row r="9911" customFormat="false" ht="14.4" hidden="true" customHeight="false" outlineLevel="0" collapsed="false">
      <c r="A9911" s="34" t="n">
        <v>6034685000173</v>
      </c>
      <c r="B9911" s="34" t="s">
        <v>19985</v>
      </c>
      <c r="C9911" s="34" t="s">
        <v>781</v>
      </c>
      <c r="E9911" s="30" t="s">
        <v>13612</v>
      </c>
      <c r="F9911" s="34" t="n">
        <f aca="false">IFERROR(VLOOKUP($A9911,'319'!$B:$H,7,0),0)</f>
        <v>0</v>
      </c>
      <c r="G9911" s="34" t="n">
        <f aca="false">SUMIFS('12.326ana'!$C:$C,'12.326ana'!$M:$M,redes!A9911)</f>
        <v>0</v>
      </c>
    </row>
    <row r="9912" customFormat="false" ht="14.4" hidden="true" customHeight="false" outlineLevel="0" collapsed="false">
      <c r="A9912" s="34" t="n">
        <v>6034843000195</v>
      </c>
      <c r="B9912" s="34" t="s">
        <v>19986</v>
      </c>
      <c r="C9912" s="34" t="s">
        <v>139</v>
      </c>
      <c r="E9912" s="30" t="s">
        <v>19987</v>
      </c>
      <c r="F9912" s="34" t="n">
        <f aca="false">IFERROR(VLOOKUP($A9912,'319'!$B:$H,7,0),0)</f>
        <v>0</v>
      </c>
      <c r="G9912" s="34" t="n">
        <f aca="false">SUMIFS('12.326ana'!$C:$C,'12.326ana'!$M:$M,redes!A9912)</f>
        <v>0</v>
      </c>
    </row>
    <row r="9913" customFormat="false" ht="14.4" hidden="true" customHeight="false" outlineLevel="0" collapsed="false">
      <c r="A9913" s="34" t="n">
        <v>6035811000104</v>
      </c>
      <c r="B9913" s="34" t="s">
        <v>19988</v>
      </c>
      <c r="C9913" s="34" t="s">
        <v>77</v>
      </c>
      <c r="E9913" s="30" t="s">
        <v>19989</v>
      </c>
      <c r="F9913" s="34" t="n">
        <f aca="false">IFERROR(VLOOKUP($A9913,'319'!$B:$H,7,0),0)</f>
        <v>0</v>
      </c>
      <c r="G9913" s="34" t="n">
        <f aca="false">SUMIFS('12.326ana'!$C:$C,'12.326ana'!$M:$M,redes!A9913)</f>
        <v>0</v>
      </c>
    </row>
    <row r="9914" customFormat="false" ht="14.4" hidden="true" customHeight="false" outlineLevel="0" collapsed="false">
      <c r="A9914" s="34" t="n">
        <v>6035900000150</v>
      </c>
      <c r="B9914" s="34" t="s">
        <v>19990</v>
      </c>
      <c r="C9914" s="34" t="s">
        <v>77</v>
      </c>
      <c r="E9914" s="30" t="s">
        <v>19991</v>
      </c>
      <c r="F9914" s="34" t="n">
        <f aca="false">IFERROR(VLOOKUP($A9914,'319'!$B:$H,7,0),0)</f>
        <v>0</v>
      </c>
      <c r="G9914" s="34" t="n">
        <f aca="false">SUMIFS('12.326ana'!$C:$C,'12.326ana'!$M:$M,redes!A9914)</f>
        <v>0</v>
      </c>
    </row>
    <row r="9915" customFormat="false" ht="14.4" hidden="true" customHeight="false" outlineLevel="0" collapsed="false">
      <c r="A9915" s="34" t="n">
        <v>6038167000128</v>
      </c>
      <c r="B9915" s="34" t="s">
        <v>19992</v>
      </c>
      <c r="C9915" s="34" t="s">
        <v>2998</v>
      </c>
      <c r="E9915" s="30" t="s">
        <v>19993</v>
      </c>
      <c r="F9915" s="34" t="n">
        <f aca="false">IFERROR(VLOOKUP($A9915,'319'!$B:$H,7,0),0)</f>
        <v>0</v>
      </c>
      <c r="G9915" s="34" t="n">
        <f aca="false">SUMIFS('12.326ana'!$C:$C,'12.326ana'!$M:$M,redes!A9915)</f>
        <v>0</v>
      </c>
    </row>
    <row r="9916" customFormat="false" ht="14.4" hidden="true" customHeight="false" outlineLevel="0" collapsed="false">
      <c r="A9916" s="34" t="n">
        <v>6039324000110</v>
      </c>
      <c r="B9916" s="34" t="s">
        <v>19994</v>
      </c>
      <c r="C9916" s="34" t="s">
        <v>448</v>
      </c>
      <c r="E9916" s="30" t="s">
        <v>19995</v>
      </c>
      <c r="F9916" s="34" t="n">
        <f aca="false">IFERROR(VLOOKUP($A9916,'319'!$B:$H,7,0),0)</f>
        <v>0</v>
      </c>
      <c r="G9916" s="34" t="n">
        <f aca="false">SUMIFS('12.326ana'!$C:$C,'12.326ana'!$M:$M,redes!A9916)</f>
        <v>0</v>
      </c>
    </row>
    <row r="9917" customFormat="false" ht="14.4" hidden="true" customHeight="false" outlineLevel="0" collapsed="false">
      <c r="A9917" s="34" t="n">
        <v>6040030000108</v>
      </c>
      <c r="B9917" s="34" t="s">
        <v>19996</v>
      </c>
      <c r="C9917" s="34" t="s">
        <v>77</v>
      </c>
      <c r="E9917" s="30" t="s">
        <v>19997</v>
      </c>
      <c r="F9917" s="34" t="n">
        <f aca="false">IFERROR(VLOOKUP($A9917,'319'!$B:$H,7,0),0)</f>
        <v>0</v>
      </c>
      <c r="G9917" s="34" t="n">
        <f aca="false">SUMIFS('12.326ana'!$C:$C,'12.326ana'!$M:$M,redes!A9917)</f>
        <v>0</v>
      </c>
    </row>
    <row r="9918" customFormat="false" ht="14.4" hidden="true" customHeight="false" outlineLevel="0" collapsed="false">
      <c r="A9918" s="34" t="n">
        <v>6040031000152</v>
      </c>
      <c r="B9918" s="34" t="s">
        <v>19998</v>
      </c>
      <c r="C9918" s="34" t="s">
        <v>77</v>
      </c>
      <c r="E9918" s="30" t="s">
        <v>19999</v>
      </c>
      <c r="F9918" s="34" t="n">
        <f aca="false">IFERROR(VLOOKUP($A9918,'319'!$B:$H,7,0),0)</f>
        <v>0</v>
      </c>
      <c r="G9918" s="34" t="n">
        <f aca="false">SUMIFS('12.326ana'!$C:$C,'12.326ana'!$M:$M,redes!A9918)</f>
        <v>0</v>
      </c>
    </row>
    <row r="9919" customFormat="false" ht="14.4" hidden="true" customHeight="false" outlineLevel="0" collapsed="false">
      <c r="A9919" s="34" t="n">
        <v>6040153000149</v>
      </c>
      <c r="B9919" s="34" t="s">
        <v>20000</v>
      </c>
      <c r="C9919" s="34" t="s">
        <v>139</v>
      </c>
      <c r="E9919" s="30" t="s">
        <v>5121</v>
      </c>
      <c r="F9919" s="34" t="n">
        <f aca="false">IFERROR(VLOOKUP($A9919,'319'!$B:$H,7,0),0)</f>
        <v>0</v>
      </c>
      <c r="G9919" s="34" t="n">
        <f aca="false">SUMIFS('12.326ana'!$C:$C,'12.326ana'!$M:$M,redes!A9919)</f>
        <v>0</v>
      </c>
    </row>
    <row r="9920" customFormat="false" ht="14.4" hidden="true" customHeight="false" outlineLevel="0" collapsed="false">
      <c r="A9920" s="34" t="n">
        <v>6041652000150</v>
      </c>
      <c r="B9920" s="34" t="s">
        <v>20001</v>
      </c>
      <c r="C9920" s="34" t="s">
        <v>1272</v>
      </c>
      <c r="E9920" s="30" t="s">
        <v>20002</v>
      </c>
      <c r="F9920" s="34" t="n">
        <f aca="false">IFERROR(VLOOKUP($A9920,'319'!$B:$H,7,0),0)</f>
        <v>0</v>
      </c>
      <c r="G9920" s="34" t="n">
        <f aca="false">SUMIFS('12.326ana'!$C:$C,'12.326ana'!$M:$M,redes!A9920)</f>
        <v>0</v>
      </c>
    </row>
    <row r="9921" customFormat="false" ht="14.4" hidden="true" customHeight="false" outlineLevel="0" collapsed="false">
      <c r="A9921" s="34" t="n">
        <v>6046773000195</v>
      </c>
      <c r="B9921" s="34" t="s">
        <v>20003</v>
      </c>
      <c r="C9921" s="34" t="s">
        <v>4156</v>
      </c>
      <c r="E9921" s="30" t="s">
        <v>20004</v>
      </c>
      <c r="F9921" s="34" t="n">
        <f aca="false">IFERROR(VLOOKUP($A9921,'319'!$B:$H,7,0),0)</f>
        <v>0</v>
      </c>
      <c r="G9921" s="34" t="n">
        <f aca="false">SUMIFS('12.326ana'!$C:$C,'12.326ana'!$M:$M,redes!A9921)</f>
        <v>0</v>
      </c>
    </row>
    <row r="9922" customFormat="false" ht="14.4" hidden="true" customHeight="false" outlineLevel="0" collapsed="false">
      <c r="A9922" s="34" t="n">
        <v>6048591000153</v>
      </c>
      <c r="B9922" s="34" t="s">
        <v>20005</v>
      </c>
      <c r="C9922" s="34" t="s">
        <v>594</v>
      </c>
      <c r="E9922" s="30" t="s">
        <v>20006</v>
      </c>
      <c r="F9922" s="34" t="n">
        <f aca="false">IFERROR(VLOOKUP($A9922,'319'!$B:$H,7,0),0)</f>
        <v>0</v>
      </c>
      <c r="G9922" s="34" t="n">
        <f aca="false">SUMIFS('12.326ana'!$C:$C,'12.326ana'!$M:$M,redes!A9922)</f>
        <v>0</v>
      </c>
    </row>
    <row r="9923" customFormat="false" ht="14.4" hidden="true" customHeight="false" outlineLevel="0" collapsed="false">
      <c r="A9923" s="34" t="n">
        <v>6051360000107</v>
      </c>
      <c r="B9923" s="34" t="s">
        <v>20007</v>
      </c>
      <c r="C9923" s="34" t="s">
        <v>357</v>
      </c>
      <c r="E9923" s="30" t="s">
        <v>8449</v>
      </c>
      <c r="F9923" s="34" t="n">
        <f aca="false">IFERROR(VLOOKUP($A9923,'319'!$B:$H,7,0),0)</f>
        <v>0</v>
      </c>
      <c r="G9923" s="34" t="n">
        <f aca="false">SUMIFS('12.326ana'!$C:$C,'12.326ana'!$M:$M,redes!A9923)</f>
        <v>0</v>
      </c>
    </row>
    <row r="9924" customFormat="false" ht="14.4" hidden="true" customHeight="false" outlineLevel="0" collapsed="false">
      <c r="A9924" s="34" t="n">
        <v>6051369000100</v>
      </c>
      <c r="B9924" s="34" t="s">
        <v>20008</v>
      </c>
      <c r="C9924" s="34" t="s">
        <v>77</v>
      </c>
      <c r="E9924" s="30" t="s">
        <v>20009</v>
      </c>
      <c r="F9924" s="34" t="n">
        <f aca="false">IFERROR(VLOOKUP($A9924,'319'!$B:$H,7,0),0)</f>
        <v>0</v>
      </c>
      <c r="G9924" s="34" t="n">
        <f aca="false">SUMIFS('12.326ana'!$C:$C,'12.326ana'!$M:$M,redes!A9924)</f>
        <v>0</v>
      </c>
    </row>
    <row r="9925" customFormat="false" ht="14.4" hidden="true" customHeight="false" outlineLevel="0" collapsed="false">
      <c r="A9925" s="34" t="n">
        <v>6056219000199</v>
      </c>
      <c r="B9925" s="34" t="s">
        <v>11190</v>
      </c>
      <c r="C9925" s="34" t="s">
        <v>737</v>
      </c>
      <c r="E9925" s="30" t="s">
        <v>11191</v>
      </c>
      <c r="F9925" s="34" t="n">
        <f aca="false">IFERROR(VLOOKUP($A9925,'319'!$B:$H,7,0),0)</f>
        <v>0</v>
      </c>
      <c r="G9925" s="34" t="n">
        <f aca="false">SUMIFS('12.326ana'!$C:$C,'12.326ana'!$M:$M,redes!A9925)</f>
        <v>0</v>
      </c>
    </row>
    <row r="9926" customFormat="false" ht="14.4" hidden="true" customHeight="false" outlineLevel="0" collapsed="false">
      <c r="A9926" s="34" t="n">
        <v>6056611000138</v>
      </c>
      <c r="B9926" s="34" t="s">
        <v>20010</v>
      </c>
      <c r="C9926" s="34" t="s">
        <v>107</v>
      </c>
      <c r="E9926" s="30" t="s">
        <v>20011</v>
      </c>
      <c r="F9926" s="34" t="n">
        <f aca="false">IFERROR(VLOOKUP($A9926,'319'!$B:$H,7,0),0)</f>
        <v>0</v>
      </c>
      <c r="G9926" s="34" t="n">
        <f aca="false">SUMIFS('12.326ana'!$C:$C,'12.326ana'!$M:$M,redes!A9926)</f>
        <v>0</v>
      </c>
    </row>
    <row r="9927" customFormat="false" ht="14.4" hidden="true" customHeight="false" outlineLevel="0" collapsed="false">
      <c r="A9927" s="34" t="n">
        <v>6056611000219</v>
      </c>
      <c r="B9927" s="34" t="s">
        <v>20010</v>
      </c>
      <c r="C9927" s="34" t="s">
        <v>107</v>
      </c>
      <c r="E9927" s="30" t="s">
        <v>20012</v>
      </c>
      <c r="F9927" s="34" t="n">
        <f aca="false">IFERROR(VLOOKUP($A9927,'319'!$B:$H,7,0),0)</f>
        <v>0</v>
      </c>
      <c r="G9927" s="34" t="n">
        <f aca="false">SUMIFS('12.326ana'!$C:$C,'12.326ana'!$M:$M,redes!A9927)</f>
        <v>0</v>
      </c>
    </row>
    <row r="9928" customFormat="false" ht="14.4" hidden="true" customHeight="false" outlineLevel="0" collapsed="false">
      <c r="A9928" s="34" t="n">
        <v>6057223030240</v>
      </c>
      <c r="B9928" s="34" t="s">
        <v>20013</v>
      </c>
      <c r="C9928" s="34" t="s">
        <v>77</v>
      </c>
      <c r="D9928" s="34" t="s">
        <v>20014</v>
      </c>
      <c r="E9928" s="30" t="s">
        <v>20015</v>
      </c>
      <c r="F9928" s="34" t="n">
        <f aca="false">IFERROR(VLOOKUP($A9928,'319'!$B:$H,7,0),0)</f>
        <v>0</v>
      </c>
      <c r="G9928" s="34" t="n">
        <f aca="false">SUMIFS('12.326ana'!$C:$C,'12.326ana'!$M:$M,redes!A9928)</f>
        <v>0</v>
      </c>
    </row>
    <row r="9929" customFormat="false" ht="14.4" hidden="true" customHeight="false" outlineLevel="0" collapsed="false">
      <c r="A9929" s="34" t="n">
        <v>6057223030321</v>
      </c>
      <c r="B9929" s="34" t="s">
        <v>20016</v>
      </c>
      <c r="C9929" s="34" t="s">
        <v>77</v>
      </c>
      <c r="D9929" s="34" t="s">
        <v>20014</v>
      </c>
      <c r="E9929" s="30" t="s">
        <v>20017</v>
      </c>
      <c r="F9929" s="34" t="n">
        <f aca="false">IFERROR(VLOOKUP($A9929,'319'!$B:$H,7,0),0)</f>
        <v>0</v>
      </c>
      <c r="G9929" s="34" t="n">
        <f aca="false">SUMIFS('12.326ana'!$C:$C,'12.326ana'!$M:$M,redes!A9929)</f>
        <v>0</v>
      </c>
    </row>
    <row r="9930" customFormat="false" ht="14.4" hidden="true" customHeight="false" outlineLevel="0" collapsed="false">
      <c r="A9930" s="34" t="n">
        <v>6057223030917</v>
      </c>
      <c r="B9930" s="34" t="s">
        <v>20018</v>
      </c>
      <c r="C9930" s="34" t="s">
        <v>107</v>
      </c>
      <c r="D9930" s="34" t="s">
        <v>20014</v>
      </c>
      <c r="E9930" s="30" t="s">
        <v>20019</v>
      </c>
      <c r="F9930" s="34" t="n">
        <f aca="false">IFERROR(VLOOKUP($A9930,'319'!$B:$H,7,0),0)</f>
        <v>0</v>
      </c>
      <c r="G9930" s="34" t="n">
        <f aca="false">SUMIFS('12.326ana'!$C:$C,'12.326ana'!$M:$M,redes!A9930)</f>
        <v>0</v>
      </c>
    </row>
    <row r="9931" customFormat="false" ht="14.4" hidden="true" customHeight="false" outlineLevel="0" collapsed="false">
      <c r="A9931" s="34" t="n">
        <v>6057223041013</v>
      </c>
      <c r="B9931" s="34" t="s">
        <v>20018</v>
      </c>
      <c r="C9931" s="34" t="s">
        <v>77</v>
      </c>
      <c r="D9931" s="34" t="s">
        <v>20014</v>
      </c>
      <c r="E9931" s="30" t="s">
        <v>20020</v>
      </c>
      <c r="F9931" s="34" t="n">
        <f aca="false">IFERROR(VLOOKUP($A9931,'319'!$B:$H,7,0),0)</f>
        <v>0</v>
      </c>
      <c r="G9931" s="34" t="n">
        <f aca="false">SUMIFS('12.326ana'!$C:$C,'12.326ana'!$M:$M,redes!A9931)</f>
        <v>0</v>
      </c>
    </row>
    <row r="9932" customFormat="false" ht="14.4" hidden="true" customHeight="false" outlineLevel="0" collapsed="false">
      <c r="A9932" s="34" t="n">
        <v>6057432000115</v>
      </c>
      <c r="B9932" s="34" t="s">
        <v>20021</v>
      </c>
      <c r="C9932" s="34" t="s">
        <v>77</v>
      </c>
      <c r="E9932" s="30" t="s">
        <v>20022</v>
      </c>
      <c r="F9932" s="34" t="n">
        <f aca="false">IFERROR(VLOOKUP($A9932,'319'!$B:$H,7,0),0)</f>
        <v>0</v>
      </c>
      <c r="G9932" s="34" t="n">
        <f aca="false">SUMIFS('12.326ana'!$C:$C,'12.326ana'!$M:$M,redes!A9932)</f>
        <v>0</v>
      </c>
    </row>
    <row r="9933" customFormat="false" ht="14.4" hidden="true" customHeight="false" outlineLevel="0" collapsed="false">
      <c r="A9933" s="34" t="n">
        <v>6058094000136</v>
      </c>
      <c r="B9933" s="34" t="s">
        <v>20023</v>
      </c>
      <c r="C9933" s="34" t="s">
        <v>473</v>
      </c>
      <c r="E9933" s="30" t="s">
        <v>20024</v>
      </c>
      <c r="F9933" s="34" t="n">
        <f aca="false">IFERROR(VLOOKUP($A9933,'319'!$B:$H,7,0),0)</f>
        <v>0</v>
      </c>
      <c r="G9933" s="34" t="n">
        <f aca="false">SUMIFS('12.326ana'!$C:$C,'12.326ana'!$M:$M,redes!A9933)</f>
        <v>0</v>
      </c>
    </row>
    <row r="9934" customFormat="false" ht="14.4" hidden="true" customHeight="false" outlineLevel="0" collapsed="false">
      <c r="A9934" s="34" t="n">
        <v>6060498000164</v>
      </c>
      <c r="B9934" s="34" t="s">
        <v>20025</v>
      </c>
      <c r="C9934" s="34" t="s">
        <v>77</v>
      </c>
      <c r="E9934" s="30" t="s">
        <v>20026</v>
      </c>
      <c r="F9934" s="34" t="n">
        <f aca="false">IFERROR(VLOOKUP($A9934,'319'!$B:$H,7,0),0)</f>
        <v>0</v>
      </c>
      <c r="G9934" s="34" t="n">
        <f aca="false">SUMIFS('12.326ana'!$C:$C,'12.326ana'!$M:$M,redes!A9934)</f>
        <v>0</v>
      </c>
    </row>
    <row r="9935" customFormat="false" ht="14.4" hidden="true" customHeight="false" outlineLevel="0" collapsed="false">
      <c r="A9935" s="34" t="n">
        <v>6062615000129</v>
      </c>
      <c r="B9935" s="34" t="s">
        <v>20027</v>
      </c>
      <c r="C9935" s="34" t="s">
        <v>207</v>
      </c>
      <c r="E9935" s="30" t="s">
        <v>7874</v>
      </c>
      <c r="F9935" s="34" t="n">
        <f aca="false">IFERROR(VLOOKUP($A9935,'319'!$B:$H,7,0),0)</f>
        <v>0</v>
      </c>
      <c r="G9935" s="34" t="n">
        <f aca="false">SUMIFS('12.326ana'!$C:$C,'12.326ana'!$M:$M,redes!A9935)</f>
        <v>0</v>
      </c>
    </row>
    <row r="9936" customFormat="false" ht="14.4" hidden="true" customHeight="false" outlineLevel="0" collapsed="false">
      <c r="A9936" s="34" t="n">
        <v>6063525000152</v>
      </c>
      <c r="B9936" s="34" t="s">
        <v>20028</v>
      </c>
      <c r="C9936" s="34" t="s">
        <v>77</v>
      </c>
      <c r="E9936" s="30" t="s">
        <v>20029</v>
      </c>
      <c r="F9936" s="34" t="n">
        <f aca="false">IFERROR(VLOOKUP($A9936,'319'!$B:$H,7,0),0)</f>
        <v>0</v>
      </c>
      <c r="G9936" s="34" t="n">
        <f aca="false">SUMIFS('12.326ana'!$C:$C,'12.326ana'!$M:$M,redes!A9936)</f>
        <v>0</v>
      </c>
    </row>
    <row r="9937" customFormat="false" ht="14.4" hidden="true" customHeight="false" outlineLevel="0" collapsed="false">
      <c r="A9937" s="34" t="n">
        <v>6065453000182</v>
      </c>
      <c r="B9937" s="34" t="s">
        <v>20030</v>
      </c>
      <c r="C9937" s="34" t="s">
        <v>631</v>
      </c>
      <c r="E9937" s="30"/>
      <c r="F9937" s="34" t="n">
        <f aca="false">IFERROR(VLOOKUP($A9937,'319'!$B:$H,7,0),0)</f>
        <v>0</v>
      </c>
      <c r="G9937" s="34" t="n">
        <f aca="false">SUMIFS('12.326ana'!$C:$C,'12.326ana'!$M:$M,redes!A9937)</f>
        <v>0</v>
      </c>
    </row>
    <row r="9938" customFormat="false" ht="14.4" hidden="true" customHeight="false" outlineLevel="0" collapsed="false">
      <c r="A9938" s="34" t="n">
        <v>6067436000184</v>
      </c>
      <c r="B9938" s="34" t="s">
        <v>20031</v>
      </c>
      <c r="C9938" s="34" t="s">
        <v>473</v>
      </c>
      <c r="E9938" s="30" t="s">
        <v>20032</v>
      </c>
      <c r="F9938" s="34" t="n">
        <f aca="false">IFERROR(VLOOKUP($A9938,'319'!$B:$H,7,0),0)</f>
        <v>0</v>
      </c>
      <c r="G9938" s="34" t="n">
        <f aca="false">SUMIFS('12.326ana'!$C:$C,'12.326ana'!$M:$M,redes!A9938)</f>
        <v>0</v>
      </c>
    </row>
    <row r="9939" customFormat="false" ht="14.4" hidden="true" customHeight="false" outlineLevel="0" collapsed="false">
      <c r="A9939" s="34" t="n">
        <v>6077530000114</v>
      </c>
      <c r="B9939" s="34" t="s">
        <v>20033</v>
      </c>
      <c r="C9939" s="34" t="s">
        <v>139</v>
      </c>
      <c r="E9939" s="30" t="s">
        <v>7231</v>
      </c>
      <c r="F9939" s="34" t="n">
        <f aca="false">IFERROR(VLOOKUP($A9939,'319'!$B:$H,7,0),0)</f>
        <v>0</v>
      </c>
      <c r="G9939" s="34" t="n">
        <f aca="false">SUMIFS('12.326ana'!$C:$C,'12.326ana'!$M:$M,redes!A9939)</f>
        <v>0</v>
      </c>
    </row>
    <row r="9940" customFormat="false" ht="14.4" hidden="true" customHeight="false" outlineLevel="0" collapsed="false">
      <c r="A9940" s="34" t="n">
        <v>6078468000185</v>
      </c>
      <c r="B9940" s="34" t="s">
        <v>20034</v>
      </c>
      <c r="C9940" s="34" t="s">
        <v>342</v>
      </c>
      <c r="E9940" s="30" t="s">
        <v>20035</v>
      </c>
      <c r="F9940" s="34" t="n">
        <f aca="false">IFERROR(VLOOKUP($A9940,'319'!$B:$H,7,0),0)</f>
        <v>0</v>
      </c>
      <c r="G9940" s="34" t="n">
        <f aca="false">SUMIFS('12.326ana'!$C:$C,'12.326ana'!$M:$M,redes!A9940)</f>
        <v>0</v>
      </c>
    </row>
    <row r="9941" customFormat="false" ht="14.4" hidden="true" customHeight="false" outlineLevel="0" collapsed="false">
      <c r="A9941" s="34" t="n">
        <v>6081139000193</v>
      </c>
      <c r="B9941" s="34" t="s">
        <v>20036</v>
      </c>
      <c r="C9941" s="34" t="s">
        <v>299</v>
      </c>
      <c r="E9941" s="30"/>
      <c r="F9941" s="34" t="n">
        <f aca="false">IFERROR(VLOOKUP($A9941,'319'!$B:$H,7,0),0)</f>
        <v>0</v>
      </c>
      <c r="G9941" s="34" t="n">
        <f aca="false">SUMIFS('12.326ana'!$C:$C,'12.326ana'!$M:$M,redes!A9941)</f>
        <v>0</v>
      </c>
    </row>
    <row r="9942" customFormat="false" ht="14.4" hidden="true" customHeight="false" outlineLevel="0" collapsed="false">
      <c r="A9942" s="34" t="n">
        <v>6081498000140</v>
      </c>
      <c r="B9942" s="34" t="s">
        <v>20037</v>
      </c>
      <c r="C9942" s="34" t="s">
        <v>1272</v>
      </c>
      <c r="E9942" s="30" t="s">
        <v>20038</v>
      </c>
      <c r="F9942" s="34" t="n">
        <f aca="false">IFERROR(VLOOKUP($A9942,'319'!$B:$H,7,0),0)</f>
        <v>0</v>
      </c>
      <c r="G9942" s="34" t="n">
        <f aca="false">SUMIFS('12.326ana'!$C:$C,'12.326ana'!$M:$M,redes!A9942)</f>
        <v>0</v>
      </c>
    </row>
    <row r="9943" customFormat="false" ht="14.4" hidden="true" customHeight="false" outlineLevel="0" collapsed="false">
      <c r="A9943" s="34" t="n">
        <v>6081770000192</v>
      </c>
      <c r="B9943" s="34" t="s">
        <v>20039</v>
      </c>
      <c r="C9943" s="34" t="s">
        <v>631</v>
      </c>
      <c r="E9943" s="30" t="s">
        <v>20040</v>
      </c>
      <c r="F9943" s="34" t="n">
        <f aca="false">IFERROR(VLOOKUP($A9943,'319'!$B:$H,7,0),0)</f>
        <v>0</v>
      </c>
      <c r="G9943" s="34" t="n">
        <f aca="false">SUMIFS('12.326ana'!$C:$C,'12.326ana'!$M:$M,redes!A9943)</f>
        <v>0</v>
      </c>
    </row>
    <row r="9944" customFormat="false" ht="14.4" hidden="true" customHeight="false" outlineLevel="0" collapsed="false">
      <c r="A9944" s="34" t="n">
        <v>6083587000126</v>
      </c>
      <c r="B9944" s="34" t="s">
        <v>20041</v>
      </c>
      <c r="C9944" s="34" t="s">
        <v>89</v>
      </c>
      <c r="E9944" s="30" t="s">
        <v>20042</v>
      </c>
      <c r="F9944" s="34" t="n">
        <f aca="false">IFERROR(VLOOKUP($A9944,'319'!$B:$H,7,0),0)</f>
        <v>0</v>
      </c>
      <c r="G9944" s="34" t="n">
        <f aca="false">SUMIFS('12.326ana'!$C:$C,'12.326ana'!$M:$M,redes!A9944)</f>
        <v>0</v>
      </c>
    </row>
    <row r="9945" customFormat="false" ht="14.4" hidden="true" customHeight="false" outlineLevel="0" collapsed="false">
      <c r="A9945" s="34" t="n">
        <v>6084684000133</v>
      </c>
      <c r="B9945" s="34" t="s">
        <v>20043</v>
      </c>
      <c r="C9945" s="34" t="s">
        <v>4139</v>
      </c>
      <c r="E9945" s="30" t="s">
        <v>20044</v>
      </c>
      <c r="F9945" s="34" t="n">
        <f aca="false">IFERROR(VLOOKUP($A9945,'319'!$B:$H,7,0),0)</f>
        <v>0</v>
      </c>
      <c r="G9945" s="34" t="n">
        <f aca="false">SUMIFS('12.326ana'!$C:$C,'12.326ana'!$M:$M,redes!A9945)</f>
        <v>0</v>
      </c>
    </row>
    <row r="9946" customFormat="false" ht="14.4" hidden="true" customHeight="false" outlineLevel="0" collapsed="false">
      <c r="A9946" s="34" t="n">
        <v>6088542000144</v>
      </c>
      <c r="B9946" s="34" t="s">
        <v>20045</v>
      </c>
      <c r="C9946" s="34" t="s">
        <v>475</v>
      </c>
      <c r="D9946" s="34" t="s">
        <v>20046</v>
      </c>
      <c r="E9946" s="30" t="s">
        <v>8633</v>
      </c>
      <c r="F9946" s="34" t="n">
        <f aca="false">IFERROR(VLOOKUP($A9946,'319'!$B:$H,7,0),0)</f>
        <v>591.52</v>
      </c>
      <c r="G9946" s="34" t="n">
        <f aca="false">SUMIFS('12.326ana'!$C:$C,'12.326ana'!$M:$M,redes!A9946)</f>
        <v>0</v>
      </c>
    </row>
    <row r="9947" customFormat="false" ht="14.4" hidden="true" customHeight="false" outlineLevel="0" collapsed="false">
      <c r="A9947" s="34" t="n">
        <v>6088542000306</v>
      </c>
      <c r="B9947" s="34" t="s">
        <v>20045</v>
      </c>
      <c r="C9947" s="34" t="s">
        <v>1618</v>
      </c>
      <c r="D9947" s="34" t="s">
        <v>20046</v>
      </c>
      <c r="E9947" s="30" t="s">
        <v>20045</v>
      </c>
      <c r="F9947" s="34" t="n">
        <f aca="false">IFERROR(VLOOKUP($A9947,'319'!$B:$H,7,0),0)</f>
        <v>0</v>
      </c>
      <c r="G9947" s="34" t="n">
        <f aca="false">SUMIFS('12.326ana'!$C:$C,'12.326ana'!$M:$M,redes!A9947)</f>
        <v>0</v>
      </c>
    </row>
    <row r="9948" customFormat="false" ht="14.4" hidden="true" customHeight="false" outlineLevel="0" collapsed="false">
      <c r="A9948" s="34" t="n">
        <v>6088542000497</v>
      </c>
      <c r="B9948" s="34" t="s">
        <v>20045</v>
      </c>
      <c r="C9948" s="34" t="s">
        <v>389</v>
      </c>
      <c r="D9948" s="34" t="s">
        <v>20046</v>
      </c>
      <c r="E9948" s="30" t="s">
        <v>20045</v>
      </c>
      <c r="F9948" s="34" t="n">
        <f aca="false">IFERROR(VLOOKUP($A9948,'319'!$B:$H,7,0),0)</f>
        <v>0</v>
      </c>
      <c r="G9948" s="34" t="n">
        <f aca="false">SUMIFS('12.326ana'!$C:$C,'12.326ana'!$M:$M,redes!A9948)</f>
        <v>0</v>
      </c>
    </row>
    <row r="9949" customFormat="false" ht="14.4" hidden="true" customHeight="false" outlineLevel="0" collapsed="false">
      <c r="A9949" s="34" t="n">
        <v>6089483000129</v>
      </c>
      <c r="B9949" s="34" t="s">
        <v>20047</v>
      </c>
      <c r="C9949" s="34" t="s">
        <v>89</v>
      </c>
      <c r="E9949" s="30" t="s">
        <v>20048</v>
      </c>
      <c r="F9949" s="34" t="n">
        <f aca="false">IFERROR(VLOOKUP($A9949,'319'!$B:$H,7,0),0)</f>
        <v>0</v>
      </c>
      <c r="G9949" s="34" t="n">
        <f aca="false">SUMIFS('12.326ana'!$C:$C,'12.326ana'!$M:$M,redes!A9949)</f>
        <v>0</v>
      </c>
    </row>
    <row r="9950" customFormat="false" ht="14.4" hidden="true" customHeight="false" outlineLevel="0" collapsed="false">
      <c r="A9950" s="34" t="n">
        <v>6089542000169</v>
      </c>
      <c r="B9950" s="34" t="s">
        <v>20049</v>
      </c>
      <c r="C9950" s="34" t="s">
        <v>744</v>
      </c>
      <c r="E9950" s="30" t="s">
        <v>20050</v>
      </c>
      <c r="F9950" s="34" t="n">
        <f aca="false">IFERROR(VLOOKUP($A9950,'319'!$B:$H,7,0),0)</f>
        <v>0</v>
      </c>
      <c r="G9950" s="34" t="n">
        <f aca="false">SUMIFS('12.326ana'!$C:$C,'12.326ana'!$M:$M,redes!A9950)</f>
        <v>0</v>
      </c>
    </row>
    <row r="9951" customFormat="false" ht="14.4" hidden="true" customHeight="false" outlineLevel="0" collapsed="false">
      <c r="A9951" s="34" t="n">
        <v>6090697000115</v>
      </c>
      <c r="B9951" s="34" t="s">
        <v>20051</v>
      </c>
      <c r="C9951" s="34" t="s">
        <v>848</v>
      </c>
      <c r="E9951" s="30" t="s">
        <v>20052</v>
      </c>
      <c r="F9951" s="34" t="n">
        <f aca="false">IFERROR(VLOOKUP($A9951,'319'!$B:$H,7,0),0)</f>
        <v>0</v>
      </c>
      <c r="G9951" s="34" t="n">
        <f aca="false">SUMIFS('12.326ana'!$C:$C,'12.326ana'!$M:$M,redes!A9951)</f>
        <v>0</v>
      </c>
    </row>
    <row r="9952" customFormat="false" ht="14.4" hidden="true" customHeight="false" outlineLevel="0" collapsed="false">
      <c r="A9952" s="34" t="n">
        <v>6091322000170</v>
      </c>
      <c r="B9952" s="34" t="s">
        <v>20053</v>
      </c>
      <c r="C9952" s="34" t="s">
        <v>107</v>
      </c>
      <c r="E9952" s="30" t="s">
        <v>20054</v>
      </c>
      <c r="F9952" s="34" t="n">
        <f aca="false">IFERROR(VLOOKUP($A9952,'319'!$B:$H,7,0),0)</f>
        <v>0</v>
      </c>
      <c r="G9952" s="34" t="n">
        <f aca="false">SUMIFS('12.326ana'!$C:$C,'12.326ana'!$M:$M,redes!A9952)</f>
        <v>0</v>
      </c>
    </row>
    <row r="9953" customFormat="false" ht="14.4" hidden="true" customHeight="false" outlineLevel="0" collapsed="false">
      <c r="A9953" s="34" t="n">
        <v>6092771000132</v>
      </c>
      <c r="B9953" s="34" t="s">
        <v>20055</v>
      </c>
      <c r="C9953" s="34" t="s">
        <v>351</v>
      </c>
      <c r="E9953" s="30" t="s">
        <v>16690</v>
      </c>
      <c r="F9953" s="34" t="n">
        <f aca="false">IFERROR(VLOOKUP($A9953,'319'!$B:$H,7,0),0)</f>
        <v>0</v>
      </c>
      <c r="G9953" s="34" t="n">
        <f aca="false">SUMIFS('12.326ana'!$C:$C,'12.326ana'!$M:$M,redes!A9953)</f>
        <v>0</v>
      </c>
    </row>
    <row r="9954" customFormat="false" ht="14.4" hidden="true" customHeight="false" outlineLevel="0" collapsed="false">
      <c r="A9954" s="34" t="n">
        <v>6097496000140</v>
      </c>
      <c r="B9954" s="34" t="s">
        <v>20056</v>
      </c>
      <c r="C9954" s="34" t="s">
        <v>962</v>
      </c>
      <c r="E9954" s="30" t="s">
        <v>20057</v>
      </c>
      <c r="F9954" s="34" t="n">
        <f aca="false">IFERROR(VLOOKUP($A9954,'319'!$B:$H,7,0),0)</f>
        <v>0</v>
      </c>
      <c r="G9954" s="34" t="n">
        <f aca="false">SUMIFS('12.326ana'!$C:$C,'12.326ana'!$M:$M,redes!A9954)</f>
        <v>0</v>
      </c>
    </row>
    <row r="9955" customFormat="false" ht="14.4" hidden="true" customHeight="false" outlineLevel="0" collapsed="false">
      <c r="A9955" s="34" t="n">
        <v>6100892000189</v>
      </c>
      <c r="B9955" s="34" t="s">
        <v>20058</v>
      </c>
      <c r="C9955" s="34" t="s">
        <v>77</v>
      </c>
      <c r="D9955" s="34" t="s">
        <v>12694</v>
      </c>
      <c r="E9955" s="30" t="s">
        <v>12695</v>
      </c>
      <c r="F9955" s="34" t="n">
        <f aca="false">IFERROR(VLOOKUP($A9955,'319'!$B:$H,7,0),0)</f>
        <v>0</v>
      </c>
      <c r="G9955" s="34" t="n">
        <f aca="false">SUMIFS('12.326ana'!$C:$C,'12.326ana'!$M:$M,redes!A9955)</f>
        <v>0</v>
      </c>
    </row>
    <row r="9956" customFormat="false" ht="14.4" hidden="true" customHeight="false" outlineLevel="0" collapsed="false">
      <c r="A9956" s="34" t="n">
        <v>6102366000158</v>
      </c>
      <c r="B9956" s="34" t="s">
        <v>20059</v>
      </c>
      <c r="C9956" s="34" t="s">
        <v>405</v>
      </c>
      <c r="E9956" s="30" t="s">
        <v>20060</v>
      </c>
      <c r="F9956" s="34" t="n">
        <f aca="false">IFERROR(VLOOKUP($A9956,'319'!$B:$H,7,0),0)</f>
        <v>0</v>
      </c>
      <c r="G9956" s="34" t="n">
        <f aca="false">SUMIFS('12.326ana'!$C:$C,'12.326ana'!$M:$M,redes!A9956)</f>
        <v>0</v>
      </c>
    </row>
    <row r="9957" customFormat="false" ht="14.4" hidden="true" customHeight="false" outlineLevel="0" collapsed="false">
      <c r="A9957" s="34" t="n">
        <v>6105368000109</v>
      </c>
      <c r="B9957" s="34" t="s">
        <v>20061</v>
      </c>
      <c r="C9957" s="34" t="s">
        <v>77</v>
      </c>
      <c r="E9957" s="30" t="s">
        <v>20062</v>
      </c>
      <c r="F9957" s="34" t="n">
        <f aca="false">IFERROR(VLOOKUP($A9957,'319'!$B:$H,7,0),0)</f>
        <v>0</v>
      </c>
      <c r="G9957" s="34" t="n">
        <f aca="false">SUMIFS('12.326ana'!$C:$C,'12.326ana'!$M:$M,redes!A9957)</f>
        <v>0</v>
      </c>
    </row>
    <row r="9958" customFormat="false" ht="14.4" hidden="true" customHeight="false" outlineLevel="0" collapsed="false">
      <c r="A9958" s="34" t="n">
        <v>6109588000100</v>
      </c>
      <c r="B9958" s="34" t="s">
        <v>20063</v>
      </c>
      <c r="C9958" s="34" t="s">
        <v>463</v>
      </c>
      <c r="E9958" s="30" t="s">
        <v>20064</v>
      </c>
      <c r="F9958" s="34" t="n">
        <f aca="false">IFERROR(VLOOKUP($A9958,'319'!$B:$H,7,0),0)</f>
        <v>0</v>
      </c>
      <c r="G9958" s="34" t="n">
        <f aca="false">SUMIFS('12.326ana'!$C:$C,'12.326ana'!$M:$M,redes!A9958)</f>
        <v>0</v>
      </c>
    </row>
    <row r="9959" customFormat="false" ht="14.4" hidden="true" customHeight="false" outlineLevel="0" collapsed="false">
      <c r="A9959" s="34" t="n">
        <v>6109604000157</v>
      </c>
      <c r="B9959" s="34" t="s">
        <v>20065</v>
      </c>
      <c r="C9959" s="34" t="s">
        <v>781</v>
      </c>
      <c r="E9959" s="30" t="s">
        <v>20066</v>
      </c>
      <c r="F9959" s="34" t="n">
        <f aca="false">IFERROR(VLOOKUP($A9959,'319'!$B:$H,7,0),0)</f>
        <v>0</v>
      </c>
      <c r="G9959" s="34" t="n">
        <f aca="false">SUMIFS('12.326ana'!$C:$C,'12.326ana'!$M:$M,redes!A9959)</f>
        <v>0</v>
      </c>
    </row>
    <row r="9960" customFormat="false" ht="14.4" hidden="true" customHeight="false" outlineLevel="0" collapsed="false">
      <c r="A9960" s="34" t="n">
        <v>6114188000185</v>
      </c>
      <c r="B9960" s="34" t="s">
        <v>20067</v>
      </c>
      <c r="C9960" s="34" t="s">
        <v>139</v>
      </c>
      <c r="E9960" s="30" t="s">
        <v>16245</v>
      </c>
      <c r="F9960" s="34" t="n">
        <f aca="false">IFERROR(VLOOKUP($A9960,'319'!$B:$H,7,0),0)</f>
        <v>0</v>
      </c>
      <c r="G9960" s="34" t="n">
        <f aca="false">SUMIFS('12.326ana'!$C:$C,'12.326ana'!$M:$M,redes!A9960)</f>
        <v>0</v>
      </c>
    </row>
    <row r="9961" customFormat="false" ht="14.4" hidden="true" customHeight="false" outlineLevel="0" collapsed="false">
      <c r="A9961" s="34" t="n">
        <v>6116524000129</v>
      </c>
      <c r="B9961" s="34" t="s">
        <v>20068</v>
      </c>
      <c r="C9961" s="34" t="s">
        <v>565</v>
      </c>
      <c r="E9961" s="30" t="s">
        <v>20069</v>
      </c>
      <c r="F9961" s="34" t="n">
        <f aca="false">IFERROR(VLOOKUP($A9961,'319'!$B:$H,7,0),0)</f>
        <v>0</v>
      </c>
      <c r="G9961" s="34" t="n">
        <f aca="false">SUMIFS('12.326ana'!$C:$C,'12.326ana'!$M:$M,redes!A9961)</f>
        <v>0</v>
      </c>
    </row>
    <row r="9962" customFormat="false" ht="14.4" hidden="true" customHeight="false" outlineLevel="0" collapsed="false">
      <c r="A9962" s="34" t="n">
        <v>6116629000188</v>
      </c>
      <c r="B9962" s="34" t="s">
        <v>20070</v>
      </c>
      <c r="C9962" s="34" t="s">
        <v>77</v>
      </c>
      <c r="E9962" s="30" t="s">
        <v>14034</v>
      </c>
      <c r="F9962" s="34" t="n">
        <f aca="false">IFERROR(VLOOKUP($A9962,'319'!$B:$H,7,0),0)</f>
        <v>0</v>
      </c>
      <c r="G9962" s="34" t="n">
        <f aca="false">SUMIFS('12.326ana'!$C:$C,'12.326ana'!$M:$M,redes!A9962)</f>
        <v>0</v>
      </c>
    </row>
    <row r="9963" customFormat="false" ht="14.4" hidden="true" customHeight="false" outlineLevel="0" collapsed="false">
      <c r="A9963" s="34" t="n">
        <v>6116704000100</v>
      </c>
      <c r="B9963" s="34" t="s">
        <v>20071</v>
      </c>
      <c r="C9963" s="34" t="s">
        <v>77</v>
      </c>
      <c r="E9963" s="30" t="s">
        <v>20072</v>
      </c>
      <c r="F9963" s="34" t="n">
        <f aca="false">IFERROR(VLOOKUP($A9963,'319'!$B:$H,7,0),0)</f>
        <v>0</v>
      </c>
      <c r="G9963" s="34" t="n">
        <f aca="false">SUMIFS('12.326ana'!$C:$C,'12.326ana'!$M:$M,redes!A9963)</f>
        <v>0</v>
      </c>
    </row>
    <row r="9964" customFormat="false" ht="14.4" hidden="true" customHeight="false" outlineLevel="0" collapsed="false">
      <c r="A9964" s="34" t="n">
        <v>6119478000111</v>
      </c>
      <c r="B9964" s="34" t="s">
        <v>20073</v>
      </c>
      <c r="C9964" s="34" t="s">
        <v>631</v>
      </c>
      <c r="E9964" s="30" t="s">
        <v>6603</v>
      </c>
      <c r="F9964" s="34" t="n">
        <f aca="false">IFERROR(VLOOKUP($A9964,'319'!$B:$H,7,0),0)</f>
        <v>0</v>
      </c>
      <c r="G9964" s="34" t="n">
        <f aca="false">SUMIFS('12.326ana'!$C:$C,'12.326ana'!$M:$M,redes!A9964)</f>
        <v>0</v>
      </c>
    </row>
    <row r="9965" customFormat="false" ht="14.4" hidden="true" customHeight="false" outlineLevel="0" collapsed="false">
      <c r="A9965" s="34" t="n">
        <v>6120896000129</v>
      </c>
      <c r="B9965" s="34" t="s">
        <v>20074</v>
      </c>
      <c r="C9965" s="34" t="s">
        <v>77</v>
      </c>
      <c r="D9965" s="34" t="s">
        <v>14670</v>
      </c>
      <c r="E9965" s="30" t="s">
        <v>8866</v>
      </c>
      <c r="F9965" s="34" t="n">
        <f aca="false">IFERROR(VLOOKUP($A9965,'319'!$B:$H,7,0),0)</f>
        <v>0</v>
      </c>
      <c r="G9965" s="34" t="n">
        <f aca="false">SUMIFS('12.326ana'!$C:$C,'12.326ana'!$M:$M,redes!A9965)</f>
        <v>0</v>
      </c>
    </row>
    <row r="9966" customFormat="false" ht="14.4" hidden="true" customHeight="false" outlineLevel="0" collapsed="false">
      <c r="A9966" s="34" t="n">
        <v>6124393000121</v>
      </c>
      <c r="B9966" s="34" t="s">
        <v>20075</v>
      </c>
      <c r="C9966" s="34" t="s">
        <v>129</v>
      </c>
      <c r="E9966" s="30" t="s">
        <v>12035</v>
      </c>
      <c r="F9966" s="34" t="n">
        <f aca="false">IFERROR(VLOOKUP($A9966,'319'!$B:$H,7,0),0)</f>
        <v>0</v>
      </c>
      <c r="G9966" s="34" t="n">
        <f aca="false">SUMIFS('12.326ana'!$C:$C,'12.326ana'!$M:$M,redes!A9966)</f>
        <v>0</v>
      </c>
    </row>
    <row r="9967" customFormat="false" ht="14.4" hidden="true" customHeight="false" outlineLevel="0" collapsed="false">
      <c r="A9967" s="34" t="n">
        <v>6129040000114</v>
      </c>
      <c r="B9967" s="34" t="s">
        <v>20076</v>
      </c>
      <c r="C9967" s="34" t="s">
        <v>197</v>
      </c>
      <c r="E9967" s="30" t="s">
        <v>6446</v>
      </c>
      <c r="F9967" s="34" t="n">
        <f aca="false">IFERROR(VLOOKUP($A9967,'319'!$B:$H,7,0),0)</f>
        <v>0</v>
      </c>
      <c r="G9967" s="34" t="n">
        <f aca="false">SUMIFS('12.326ana'!$C:$C,'12.326ana'!$M:$M,redes!A9967)</f>
        <v>0</v>
      </c>
    </row>
    <row r="9968" customFormat="false" ht="14.4" hidden="true" customHeight="false" outlineLevel="0" collapsed="false">
      <c r="A9968" s="34" t="n">
        <v>6131406000190</v>
      </c>
      <c r="B9968" s="34" t="s">
        <v>20077</v>
      </c>
      <c r="C9968" s="34" t="s">
        <v>77</v>
      </c>
      <c r="E9968" s="30" t="s">
        <v>20078</v>
      </c>
      <c r="F9968" s="34" t="n">
        <f aca="false">IFERROR(VLOOKUP($A9968,'319'!$B:$H,7,0),0)</f>
        <v>0</v>
      </c>
      <c r="G9968" s="34" t="n">
        <f aca="false">SUMIFS('12.326ana'!$C:$C,'12.326ana'!$M:$M,redes!A9968)</f>
        <v>0</v>
      </c>
    </row>
    <row r="9969" customFormat="false" ht="14.4" hidden="true" customHeight="false" outlineLevel="0" collapsed="false">
      <c r="A9969" s="34" t="n">
        <v>6131714000115</v>
      </c>
      <c r="B9969" s="34" t="s">
        <v>20079</v>
      </c>
      <c r="C9969" s="34" t="s">
        <v>77</v>
      </c>
      <c r="E9969" s="30" t="s">
        <v>6896</v>
      </c>
      <c r="F9969" s="34" t="n">
        <f aca="false">IFERROR(VLOOKUP($A9969,'319'!$B:$H,7,0),0)</f>
        <v>0</v>
      </c>
      <c r="G9969" s="34" t="n">
        <f aca="false">SUMIFS('12.326ana'!$C:$C,'12.326ana'!$M:$M,redes!A9969)</f>
        <v>0</v>
      </c>
    </row>
    <row r="9970" customFormat="false" ht="14.4" hidden="true" customHeight="false" outlineLevel="0" collapsed="false">
      <c r="A9970" s="34" t="n">
        <v>6133042000187</v>
      </c>
      <c r="B9970" s="34" t="s">
        <v>20080</v>
      </c>
      <c r="C9970" s="34" t="s">
        <v>207</v>
      </c>
      <c r="E9970" s="30" t="s">
        <v>5682</v>
      </c>
      <c r="F9970" s="34" t="n">
        <f aca="false">IFERROR(VLOOKUP($A9970,'319'!$B:$H,7,0),0)</f>
        <v>0</v>
      </c>
      <c r="G9970" s="34" t="n">
        <f aca="false">SUMIFS('12.326ana'!$C:$C,'12.326ana'!$M:$M,redes!A9970)</f>
        <v>0</v>
      </c>
    </row>
    <row r="9971" customFormat="false" ht="14.4" hidden="true" customHeight="false" outlineLevel="0" collapsed="false">
      <c r="A9971" s="34" t="n">
        <v>6133298000194</v>
      </c>
      <c r="B9971" s="34" t="s">
        <v>20081</v>
      </c>
      <c r="C9971" s="34" t="s">
        <v>342</v>
      </c>
      <c r="E9971" s="30" t="s">
        <v>20082</v>
      </c>
      <c r="F9971" s="34" t="n">
        <f aca="false">IFERROR(VLOOKUP($A9971,'319'!$B:$H,7,0),0)</f>
        <v>0</v>
      </c>
      <c r="G9971" s="34" t="n">
        <f aca="false">SUMIFS('12.326ana'!$C:$C,'12.326ana'!$M:$M,redes!A9971)</f>
        <v>0</v>
      </c>
    </row>
    <row r="9972" customFormat="false" ht="14.4" hidden="true" customHeight="false" outlineLevel="0" collapsed="false">
      <c r="A9972" s="34" t="n">
        <v>6135856000150</v>
      </c>
      <c r="B9972" s="34" t="s">
        <v>20083</v>
      </c>
      <c r="C9972" s="34" t="s">
        <v>336</v>
      </c>
      <c r="E9972" s="30" t="s">
        <v>20084</v>
      </c>
      <c r="F9972" s="34" t="n">
        <f aca="false">IFERROR(VLOOKUP($A9972,'319'!$B:$H,7,0),0)</f>
        <v>0</v>
      </c>
      <c r="G9972" s="34" t="n">
        <f aca="false">SUMIFS('12.326ana'!$C:$C,'12.326ana'!$M:$M,redes!A9972)</f>
        <v>0</v>
      </c>
    </row>
    <row r="9973" customFormat="false" ht="14.4" hidden="true" customHeight="false" outlineLevel="0" collapsed="false">
      <c r="A9973" s="34" t="n">
        <v>6135862000108</v>
      </c>
      <c r="B9973" s="34" t="s">
        <v>20085</v>
      </c>
      <c r="C9973" s="34" t="s">
        <v>77</v>
      </c>
      <c r="E9973" s="30" t="s">
        <v>20086</v>
      </c>
      <c r="F9973" s="34" t="n">
        <f aca="false">IFERROR(VLOOKUP($A9973,'319'!$B:$H,7,0),0)</f>
        <v>0</v>
      </c>
      <c r="G9973" s="34" t="n">
        <f aca="false">SUMIFS('12.326ana'!$C:$C,'12.326ana'!$M:$M,redes!A9973)</f>
        <v>0</v>
      </c>
    </row>
    <row r="9974" customFormat="false" ht="14.4" hidden="true" customHeight="false" outlineLevel="0" collapsed="false">
      <c r="A9974" s="34" t="n">
        <v>6137136000124</v>
      </c>
      <c r="B9974" s="34" t="s">
        <v>20087</v>
      </c>
      <c r="C9974" s="34" t="s">
        <v>192</v>
      </c>
      <c r="E9974" s="30" t="s">
        <v>20088</v>
      </c>
      <c r="F9974" s="34" t="n">
        <f aca="false">IFERROR(VLOOKUP($A9974,'319'!$B:$H,7,0),0)</f>
        <v>0</v>
      </c>
      <c r="G9974" s="34" t="n">
        <f aca="false">SUMIFS('12.326ana'!$C:$C,'12.326ana'!$M:$M,redes!A9974)</f>
        <v>0</v>
      </c>
    </row>
    <row r="9975" customFormat="false" ht="14.4" hidden="true" customHeight="false" outlineLevel="0" collapsed="false">
      <c r="A9975" s="34" t="n">
        <v>6139684000193</v>
      </c>
      <c r="B9975" s="34" t="s">
        <v>20089</v>
      </c>
      <c r="C9975" s="34" t="s">
        <v>103</v>
      </c>
      <c r="E9975" s="30" t="s">
        <v>20090</v>
      </c>
      <c r="F9975" s="34" t="n">
        <f aca="false">IFERROR(VLOOKUP($A9975,'319'!$B:$H,7,0),0)</f>
        <v>0</v>
      </c>
      <c r="G9975" s="34" t="n">
        <f aca="false">SUMIFS('12.326ana'!$C:$C,'12.326ana'!$M:$M,redes!A9975)</f>
        <v>0</v>
      </c>
    </row>
    <row r="9976" customFormat="false" ht="14.4" hidden="true" customHeight="false" outlineLevel="0" collapsed="false">
      <c r="A9976" s="34" t="n">
        <v>6140983000148</v>
      </c>
      <c r="B9976" s="34" t="s">
        <v>20091</v>
      </c>
      <c r="C9976" s="34" t="s">
        <v>77</v>
      </c>
      <c r="E9976" s="30" t="s">
        <v>20092</v>
      </c>
      <c r="F9976" s="34" t="n">
        <f aca="false">IFERROR(VLOOKUP($A9976,'319'!$B:$H,7,0),0)</f>
        <v>0</v>
      </c>
      <c r="G9976" s="34" t="n">
        <f aca="false">SUMIFS('12.326ana'!$C:$C,'12.326ana'!$M:$M,redes!A9976)</f>
        <v>0</v>
      </c>
    </row>
    <row r="9977" customFormat="false" ht="14.4" hidden="true" customHeight="false" outlineLevel="0" collapsed="false">
      <c r="A9977" s="34" t="n">
        <v>6140983000229</v>
      </c>
      <c r="B9977" s="34" t="s">
        <v>20093</v>
      </c>
      <c r="C9977" s="34" t="s">
        <v>20094</v>
      </c>
      <c r="E9977" s="30" t="s">
        <v>20095</v>
      </c>
      <c r="F9977" s="34" t="n">
        <f aca="false">IFERROR(VLOOKUP($A9977,'319'!$B:$H,7,0),0)</f>
        <v>0</v>
      </c>
      <c r="G9977" s="34" t="n">
        <f aca="false">SUMIFS('12.326ana'!$C:$C,'12.326ana'!$M:$M,redes!A9977)</f>
        <v>0</v>
      </c>
    </row>
    <row r="9978" customFormat="false" ht="14.4" hidden="true" customHeight="false" outlineLevel="0" collapsed="false">
      <c r="A9978" s="34" t="n">
        <v>6143209000190</v>
      </c>
      <c r="B9978" s="34" t="s">
        <v>20096</v>
      </c>
      <c r="C9978" s="34" t="s">
        <v>357</v>
      </c>
      <c r="E9978" s="30"/>
      <c r="F9978" s="34" t="n">
        <f aca="false">IFERROR(VLOOKUP($A9978,'319'!$B:$H,7,0),0)</f>
        <v>0</v>
      </c>
      <c r="G9978" s="34" t="n">
        <f aca="false">SUMIFS('12.326ana'!$C:$C,'12.326ana'!$M:$M,redes!A9978)</f>
        <v>0</v>
      </c>
    </row>
    <row r="9979" customFormat="false" ht="14.4" hidden="true" customHeight="false" outlineLevel="0" collapsed="false">
      <c r="A9979" s="34" t="n">
        <v>6143221000103</v>
      </c>
      <c r="B9979" s="34" t="s">
        <v>20097</v>
      </c>
      <c r="C9979" s="34" t="s">
        <v>357</v>
      </c>
      <c r="E9979" s="30"/>
      <c r="F9979" s="34" t="n">
        <f aca="false">IFERROR(VLOOKUP($A9979,'319'!$B:$H,7,0),0)</f>
        <v>0</v>
      </c>
      <c r="G9979" s="34" t="n">
        <f aca="false">SUMIFS('12.326ana'!$C:$C,'12.326ana'!$M:$M,redes!A9979)</f>
        <v>0</v>
      </c>
    </row>
    <row r="9980" customFormat="false" ht="14.4" hidden="true" customHeight="false" outlineLevel="0" collapsed="false">
      <c r="A9980" s="34" t="n">
        <v>6147055000105</v>
      </c>
      <c r="B9980" s="34" t="s">
        <v>20098</v>
      </c>
      <c r="C9980" s="34" t="s">
        <v>464</v>
      </c>
      <c r="E9980" s="30" t="s">
        <v>8917</v>
      </c>
      <c r="F9980" s="34" t="n">
        <f aca="false">IFERROR(VLOOKUP($A9980,'319'!$B:$H,7,0),0)</f>
        <v>0</v>
      </c>
      <c r="G9980" s="34" t="n">
        <f aca="false">SUMIFS('12.326ana'!$C:$C,'12.326ana'!$M:$M,redes!A9980)</f>
        <v>0</v>
      </c>
    </row>
    <row r="9981" customFormat="false" ht="14.4" hidden="true" customHeight="false" outlineLevel="0" collapsed="false">
      <c r="A9981" s="34" t="n">
        <v>6147234000142</v>
      </c>
      <c r="B9981" s="34" t="s">
        <v>20099</v>
      </c>
      <c r="C9981" s="34" t="s">
        <v>979</v>
      </c>
      <c r="E9981" s="30" t="s">
        <v>11374</v>
      </c>
      <c r="F9981" s="34" t="n">
        <f aca="false">IFERROR(VLOOKUP($A9981,'319'!$B:$H,7,0),0)</f>
        <v>0</v>
      </c>
      <c r="G9981" s="34" t="n">
        <f aca="false">SUMIFS('12.326ana'!$C:$C,'12.326ana'!$M:$M,redes!A9981)</f>
        <v>0</v>
      </c>
    </row>
    <row r="9982" customFormat="false" ht="14.4" hidden="true" customHeight="false" outlineLevel="0" collapsed="false">
      <c r="A9982" s="34" t="n">
        <v>6148098000105</v>
      </c>
      <c r="B9982" s="34" t="s">
        <v>20100</v>
      </c>
      <c r="C9982" s="34" t="s">
        <v>296</v>
      </c>
      <c r="E9982" s="30" t="s">
        <v>20101</v>
      </c>
      <c r="F9982" s="34" t="n">
        <f aca="false">IFERROR(VLOOKUP($A9982,'319'!$B:$H,7,0),0)</f>
        <v>0</v>
      </c>
      <c r="G9982" s="34" t="n">
        <f aca="false">SUMIFS('12.326ana'!$C:$C,'12.326ana'!$M:$M,redes!A9982)</f>
        <v>0</v>
      </c>
    </row>
    <row r="9983" customFormat="false" ht="14.4" hidden="true" customHeight="false" outlineLevel="0" collapsed="false">
      <c r="A9983" s="34" t="n">
        <v>6150715000107</v>
      </c>
      <c r="B9983" s="34" t="s">
        <v>20102</v>
      </c>
      <c r="C9983" s="34" t="s">
        <v>994</v>
      </c>
      <c r="E9983" s="30" t="s">
        <v>6310</v>
      </c>
      <c r="F9983" s="34" t="n">
        <f aca="false">IFERROR(VLOOKUP($A9983,'319'!$B:$H,7,0),0)</f>
        <v>0</v>
      </c>
      <c r="G9983" s="34" t="n">
        <f aca="false">SUMIFS('12.326ana'!$C:$C,'12.326ana'!$M:$M,redes!A9983)</f>
        <v>0</v>
      </c>
    </row>
    <row r="9984" customFormat="false" ht="14.4" hidden="true" customHeight="false" outlineLevel="0" collapsed="false">
      <c r="A9984" s="34" t="n">
        <v>6151160000118</v>
      </c>
      <c r="B9984" s="34" t="s">
        <v>20103</v>
      </c>
      <c r="C9984" s="34" t="s">
        <v>77</v>
      </c>
      <c r="E9984" s="30" t="s">
        <v>20104</v>
      </c>
      <c r="F9984" s="34" t="n">
        <f aca="false">IFERROR(VLOOKUP($A9984,'319'!$B:$H,7,0),0)</f>
        <v>0</v>
      </c>
      <c r="G9984" s="34" t="n">
        <f aca="false">SUMIFS('12.326ana'!$C:$C,'12.326ana'!$M:$M,redes!A9984)</f>
        <v>0</v>
      </c>
    </row>
    <row r="9985" customFormat="false" ht="14.4" hidden="true" customHeight="false" outlineLevel="0" collapsed="false">
      <c r="A9985" s="34" t="n">
        <v>6152653000172</v>
      </c>
      <c r="B9985" s="34" t="s">
        <v>8174</v>
      </c>
      <c r="C9985" s="34" t="s">
        <v>207</v>
      </c>
      <c r="E9985" s="30" t="s">
        <v>8175</v>
      </c>
      <c r="F9985" s="34" t="n">
        <f aca="false">IFERROR(VLOOKUP($A9985,'319'!$B:$H,7,0),0)</f>
        <v>0</v>
      </c>
      <c r="G9985" s="34" t="n">
        <f aca="false">SUMIFS('12.326ana'!$C:$C,'12.326ana'!$M:$M,redes!A9985)</f>
        <v>0</v>
      </c>
    </row>
    <row r="9986" customFormat="false" ht="14.4" hidden="true" customHeight="false" outlineLevel="0" collapsed="false">
      <c r="A9986" s="34" t="n">
        <v>6153177000104</v>
      </c>
      <c r="B9986" s="34" t="s">
        <v>20105</v>
      </c>
      <c r="C9986" s="34" t="s">
        <v>127</v>
      </c>
      <c r="E9986" s="30" t="s">
        <v>20106</v>
      </c>
      <c r="F9986" s="34" t="n">
        <f aca="false">IFERROR(VLOOKUP($A9986,'319'!$B:$H,7,0),0)</f>
        <v>0</v>
      </c>
      <c r="G9986" s="34" t="n">
        <f aca="false">SUMIFS('12.326ana'!$C:$C,'12.326ana'!$M:$M,redes!A9986)</f>
        <v>0</v>
      </c>
    </row>
    <row r="9987" customFormat="false" ht="14.4" hidden="true" customHeight="false" outlineLevel="0" collapsed="false">
      <c r="A9987" s="34" t="n">
        <v>6154774000153</v>
      </c>
      <c r="B9987" s="34" t="s">
        <v>20107</v>
      </c>
      <c r="C9987" s="34" t="s">
        <v>594</v>
      </c>
      <c r="E9987" s="30" t="s">
        <v>20108</v>
      </c>
      <c r="F9987" s="34" t="n">
        <f aca="false">IFERROR(VLOOKUP($A9987,'319'!$B:$H,7,0),0)</f>
        <v>0</v>
      </c>
      <c r="G9987" s="34" t="n">
        <f aca="false">SUMIFS('12.326ana'!$C:$C,'12.326ana'!$M:$M,redes!A9987)</f>
        <v>0</v>
      </c>
    </row>
    <row r="9988" customFormat="false" ht="14.4" hidden="true" customHeight="false" outlineLevel="0" collapsed="false">
      <c r="A9988" s="34" t="n">
        <v>6154808000100</v>
      </c>
      <c r="B9988" s="34" t="s">
        <v>20109</v>
      </c>
      <c r="C9988" s="34" t="s">
        <v>299</v>
      </c>
      <c r="E9988" s="30" t="s">
        <v>20110</v>
      </c>
      <c r="F9988" s="34" t="n">
        <f aca="false">IFERROR(VLOOKUP($A9988,'319'!$B:$H,7,0),0)</f>
        <v>0</v>
      </c>
      <c r="G9988" s="34" t="n">
        <f aca="false">SUMIFS('12.326ana'!$C:$C,'12.326ana'!$M:$M,redes!A9988)</f>
        <v>0</v>
      </c>
    </row>
    <row r="9989" customFormat="false" ht="14.4" hidden="true" customHeight="false" outlineLevel="0" collapsed="false">
      <c r="A9989" s="34" t="n">
        <v>6158509000143</v>
      </c>
      <c r="B9989" s="34" t="s">
        <v>20111</v>
      </c>
      <c r="C9989" s="34" t="s">
        <v>77</v>
      </c>
      <c r="E9989" s="30" t="s">
        <v>20112</v>
      </c>
      <c r="F9989" s="34" t="n">
        <f aca="false">IFERROR(VLOOKUP($A9989,'319'!$B:$H,7,0),0)</f>
        <v>0</v>
      </c>
      <c r="G9989" s="34" t="n">
        <f aca="false">SUMIFS('12.326ana'!$C:$C,'12.326ana'!$M:$M,redes!A9989)</f>
        <v>0</v>
      </c>
    </row>
    <row r="9990" customFormat="false" ht="14.4" hidden="true" customHeight="false" outlineLevel="0" collapsed="false">
      <c r="A9990" s="34" t="n">
        <v>6158555000142</v>
      </c>
      <c r="B9990" s="34" t="s">
        <v>7528</v>
      </c>
      <c r="C9990" s="34" t="s">
        <v>77</v>
      </c>
      <c r="D9990" s="34" t="s">
        <v>3324</v>
      </c>
      <c r="E9990" s="30" t="s">
        <v>16195</v>
      </c>
      <c r="F9990" s="34" t="n">
        <f aca="false">IFERROR(VLOOKUP($A9990,'319'!$B:$H,7,0),0)</f>
        <v>0</v>
      </c>
      <c r="G9990" s="34" t="n">
        <f aca="false">SUMIFS('12.326ana'!$C:$C,'12.326ana'!$M:$M,redes!A9990)</f>
        <v>0</v>
      </c>
    </row>
    <row r="9991" customFormat="false" ht="14.4" hidden="true" customHeight="false" outlineLevel="0" collapsed="false">
      <c r="A9991" s="34" t="n">
        <v>6158555000223</v>
      </c>
      <c r="B9991" s="34" t="s">
        <v>7528</v>
      </c>
      <c r="C9991" s="34" t="s">
        <v>357</v>
      </c>
      <c r="E9991" s="30" t="s">
        <v>20113</v>
      </c>
      <c r="F9991" s="34" t="n">
        <f aca="false">IFERROR(VLOOKUP($A9991,'319'!$B:$H,7,0),0)</f>
        <v>0</v>
      </c>
      <c r="G9991" s="34" t="n">
        <f aca="false">SUMIFS('12.326ana'!$C:$C,'12.326ana'!$M:$M,redes!A9991)</f>
        <v>0</v>
      </c>
    </row>
    <row r="9992" customFormat="false" ht="14.4" hidden="true" customHeight="false" outlineLevel="0" collapsed="false">
      <c r="A9992" s="34" t="n">
        <v>6162516000119</v>
      </c>
      <c r="B9992" s="34" t="s">
        <v>20114</v>
      </c>
      <c r="C9992" s="34" t="s">
        <v>721</v>
      </c>
      <c r="E9992" s="30" t="s">
        <v>20115</v>
      </c>
      <c r="F9992" s="34" t="n">
        <f aca="false">IFERROR(VLOOKUP($A9992,'319'!$B:$H,7,0),0)</f>
        <v>0</v>
      </c>
      <c r="G9992" s="34" t="n">
        <f aca="false">SUMIFS('12.326ana'!$C:$C,'12.326ana'!$M:$M,redes!A9992)</f>
        <v>0</v>
      </c>
    </row>
    <row r="9993" customFormat="false" ht="14.4" hidden="true" customHeight="false" outlineLevel="0" collapsed="false">
      <c r="A9993" s="34" t="n">
        <v>6163593000193</v>
      </c>
      <c r="B9993" s="34" t="s">
        <v>10228</v>
      </c>
      <c r="C9993" s="34" t="s">
        <v>77</v>
      </c>
      <c r="E9993" s="30" t="s">
        <v>10229</v>
      </c>
      <c r="F9993" s="34" t="n">
        <f aca="false">IFERROR(VLOOKUP($A9993,'319'!$B:$H,7,0),0)</f>
        <v>0</v>
      </c>
      <c r="G9993" s="34" t="n">
        <f aca="false">SUMIFS('12.326ana'!$C:$C,'12.326ana'!$M:$M,redes!A9993)</f>
        <v>0</v>
      </c>
    </row>
    <row r="9994" customFormat="false" ht="14.4" hidden="true" customHeight="false" outlineLevel="0" collapsed="false">
      <c r="A9994" s="34" t="n">
        <v>6163642000198</v>
      </c>
      <c r="B9994" s="34" t="s">
        <v>20116</v>
      </c>
      <c r="C9994" s="34" t="s">
        <v>77</v>
      </c>
      <c r="E9994" s="30" t="s">
        <v>20117</v>
      </c>
      <c r="F9994" s="34" t="n">
        <f aca="false">IFERROR(VLOOKUP($A9994,'319'!$B:$H,7,0),0)</f>
        <v>0</v>
      </c>
      <c r="G9994" s="34" t="n">
        <f aca="false">SUMIFS('12.326ana'!$C:$C,'12.326ana'!$M:$M,redes!A9994)</f>
        <v>0</v>
      </c>
    </row>
    <row r="9995" customFormat="false" ht="14.4" hidden="true" customHeight="false" outlineLevel="0" collapsed="false">
      <c r="A9995" s="34" t="n">
        <v>6166420000129</v>
      </c>
      <c r="B9995" s="34" t="s">
        <v>20118</v>
      </c>
      <c r="C9995" s="34" t="s">
        <v>464</v>
      </c>
      <c r="E9995" s="30" t="s">
        <v>20119</v>
      </c>
      <c r="F9995" s="34" t="n">
        <f aca="false">IFERROR(VLOOKUP($A9995,'319'!$B:$H,7,0),0)</f>
        <v>0</v>
      </c>
      <c r="G9995" s="34" t="n">
        <f aca="false">SUMIFS('12.326ana'!$C:$C,'12.326ana'!$M:$M,redes!A9995)</f>
        <v>0</v>
      </c>
    </row>
    <row r="9996" customFormat="false" ht="14.4" hidden="true" customHeight="false" outlineLevel="0" collapsed="false">
      <c r="A9996" s="34" t="n">
        <v>6166591000158</v>
      </c>
      <c r="B9996" s="34" t="s">
        <v>1701</v>
      </c>
      <c r="C9996" s="34" t="s">
        <v>377</v>
      </c>
      <c r="E9996" s="30" t="s">
        <v>3794</v>
      </c>
      <c r="F9996" s="34" t="n">
        <f aca="false">IFERROR(VLOOKUP($A9996,'319'!$B:$H,7,0),0)</f>
        <v>41.68</v>
      </c>
      <c r="G9996" s="34" t="n">
        <f aca="false">SUMIFS('12.326ana'!$C:$C,'12.326ana'!$M:$M,redes!A9996)</f>
        <v>0</v>
      </c>
    </row>
    <row r="9997" customFormat="false" ht="14.4" hidden="true" customHeight="false" outlineLevel="0" collapsed="false">
      <c r="A9997" s="34" t="n">
        <v>6168162000110</v>
      </c>
      <c r="B9997" s="34" t="s">
        <v>7117</v>
      </c>
      <c r="C9997" s="34" t="s">
        <v>103</v>
      </c>
      <c r="E9997" s="30" t="s">
        <v>4445</v>
      </c>
      <c r="F9997" s="34" t="n">
        <f aca="false">IFERROR(VLOOKUP($A9997,'319'!$B:$H,7,0),0)</f>
        <v>0</v>
      </c>
      <c r="G9997" s="34" t="n">
        <f aca="false">SUMIFS('12.326ana'!$C:$C,'12.326ana'!$M:$M,redes!A9997)</f>
        <v>0</v>
      </c>
    </row>
    <row r="9998" customFormat="false" ht="14.4" hidden="true" customHeight="false" outlineLevel="0" collapsed="false">
      <c r="A9998" s="34" t="n">
        <v>6168163000164</v>
      </c>
      <c r="B9998" s="34" t="s">
        <v>20120</v>
      </c>
      <c r="C9998" s="34" t="s">
        <v>89</v>
      </c>
      <c r="E9998" s="30" t="s">
        <v>20121</v>
      </c>
      <c r="F9998" s="34" t="n">
        <f aca="false">IFERROR(VLOOKUP($A9998,'319'!$B:$H,7,0),0)</f>
        <v>0</v>
      </c>
      <c r="G9998" s="34" t="n">
        <f aca="false">SUMIFS('12.326ana'!$C:$C,'12.326ana'!$M:$M,redes!A9998)</f>
        <v>0</v>
      </c>
    </row>
    <row r="9999" customFormat="false" ht="14.4" hidden="true" customHeight="false" outlineLevel="0" collapsed="false">
      <c r="A9999" s="34" t="n">
        <v>6171414000160</v>
      </c>
      <c r="B9999" s="34" t="s">
        <v>20122</v>
      </c>
      <c r="C9999" s="34" t="s">
        <v>77</v>
      </c>
      <c r="E9999" s="30" t="s">
        <v>15467</v>
      </c>
      <c r="F9999" s="34" t="n">
        <f aca="false">IFERROR(VLOOKUP($A9999,'319'!$B:$H,7,0),0)</f>
        <v>0</v>
      </c>
      <c r="G9999" s="34" t="n">
        <f aca="false">SUMIFS('12.326ana'!$C:$C,'12.326ana'!$M:$M,redes!A9999)</f>
        <v>0</v>
      </c>
    </row>
    <row r="10000" customFormat="false" ht="14.4" hidden="true" customHeight="false" outlineLevel="0" collapsed="false">
      <c r="A10000" s="34" t="n">
        <v>6176403000172</v>
      </c>
      <c r="B10000" s="34" t="s">
        <v>20123</v>
      </c>
      <c r="C10000" s="34" t="s">
        <v>464</v>
      </c>
      <c r="E10000" s="30" t="s">
        <v>20124</v>
      </c>
      <c r="F10000" s="34" t="n">
        <f aca="false">IFERROR(VLOOKUP($A10000,'319'!$B:$H,7,0),0)</f>
        <v>0</v>
      </c>
      <c r="G10000" s="34" t="n">
        <f aca="false">SUMIFS('12.326ana'!$C:$C,'12.326ana'!$M:$M,redes!A10000)</f>
        <v>0</v>
      </c>
    </row>
    <row r="10001" customFormat="false" ht="14.4" hidden="true" customHeight="false" outlineLevel="0" collapsed="false">
      <c r="A10001" s="34" t="n">
        <v>6176464000130</v>
      </c>
      <c r="B10001" s="34" t="s">
        <v>20125</v>
      </c>
      <c r="C10001" s="34" t="s">
        <v>1272</v>
      </c>
      <c r="E10001" s="30" t="s">
        <v>19589</v>
      </c>
      <c r="F10001" s="34" t="n">
        <f aca="false">IFERROR(VLOOKUP($A10001,'319'!$B:$H,7,0),0)</f>
        <v>0</v>
      </c>
      <c r="G10001" s="34" t="n">
        <f aca="false">SUMIFS('12.326ana'!$C:$C,'12.326ana'!$M:$M,redes!A10001)</f>
        <v>0</v>
      </c>
    </row>
    <row r="10002" customFormat="false" ht="14.4" hidden="true" customHeight="false" outlineLevel="0" collapsed="false">
      <c r="A10002" s="34" t="n">
        <v>6177172000111</v>
      </c>
      <c r="B10002" s="34" t="s">
        <v>20126</v>
      </c>
      <c r="C10002" s="34" t="s">
        <v>604</v>
      </c>
      <c r="E10002" s="30" t="s">
        <v>20127</v>
      </c>
      <c r="F10002" s="34" t="n">
        <f aca="false">IFERROR(VLOOKUP($A10002,'319'!$B:$H,7,0),0)</f>
        <v>0</v>
      </c>
      <c r="G10002" s="34" t="n">
        <f aca="false">SUMIFS('12.326ana'!$C:$C,'12.326ana'!$M:$M,redes!A10002)</f>
        <v>0</v>
      </c>
    </row>
    <row r="10003" customFormat="false" ht="14.4" hidden="true" customHeight="false" outlineLevel="0" collapsed="false">
      <c r="A10003" s="34" t="n">
        <v>6177453000174</v>
      </c>
      <c r="B10003" s="34" t="s">
        <v>20128</v>
      </c>
      <c r="C10003" s="34" t="s">
        <v>781</v>
      </c>
      <c r="E10003" s="30" t="s">
        <v>20129</v>
      </c>
      <c r="F10003" s="34" t="n">
        <f aca="false">IFERROR(VLOOKUP($A10003,'319'!$B:$H,7,0),0)</f>
        <v>0</v>
      </c>
      <c r="G10003" s="34" t="n">
        <f aca="false">SUMIFS('12.326ana'!$C:$C,'12.326ana'!$M:$M,redes!A10003)</f>
        <v>0</v>
      </c>
    </row>
    <row r="10004" customFormat="false" ht="14.4" hidden="true" customHeight="false" outlineLevel="0" collapsed="false">
      <c r="A10004" s="34" t="n">
        <v>6177663000162</v>
      </c>
      <c r="B10004" s="34" t="s">
        <v>20130</v>
      </c>
      <c r="C10004" s="34" t="s">
        <v>197</v>
      </c>
      <c r="E10004" s="30" t="s">
        <v>20131</v>
      </c>
      <c r="F10004" s="34" t="n">
        <f aca="false">IFERROR(VLOOKUP($A10004,'319'!$B:$H,7,0),0)</f>
        <v>0</v>
      </c>
      <c r="G10004" s="34" t="n">
        <f aca="false">SUMIFS('12.326ana'!$C:$C,'12.326ana'!$M:$M,redes!A10004)</f>
        <v>0</v>
      </c>
    </row>
    <row r="10005" customFormat="false" ht="14.4" hidden="true" customHeight="false" outlineLevel="0" collapsed="false">
      <c r="A10005" s="34" t="n">
        <v>6178400000178</v>
      </c>
      <c r="B10005" s="34" t="s">
        <v>20132</v>
      </c>
      <c r="C10005" s="34" t="s">
        <v>464</v>
      </c>
      <c r="E10005" s="30" t="s">
        <v>20133</v>
      </c>
      <c r="F10005" s="34" t="n">
        <f aca="false">IFERROR(VLOOKUP($A10005,'319'!$B:$H,7,0),0)</f>
        <v>0</v>
      </c>
      <c r="G10005" s="34" t="n">
        <f aca="false">SUMIFS('12.326ana'!$C:$C,'12.326ana'!$M:$M,redes!A10005)</f>
        <v>0</v>
      </c>
    </row>
    <row r="10006" customFormat="false" ht="14.4" hidden="true" customHeight="false" outlineLevel="0" collapsed="false">
      <c r="A10006" s="34" t="n">
        <v>6178454000133</v>
      </c>
      <c r="B10006" s="34" t="s">
        <v>20134</v>
      </c>
      <c r="C10006" s="34" t="s">
        <v>192</v>
      </c>
      <c r="E10006" s="30" t="s">
        <v>20135</v>
      </c>
      <c r="F10006" s="34" t="n">
        <f aca="false">IFERROR(VLOOKUP($A10006,'319'!$B:$H,7,0),0)</f>
        <v>0</v>
      </c>
      <c r="G10006" s="34" t="n">
        <f aca="false">SUMIFS('12.326ana'!$C:$C,'12.326ana'!$M:$M,redes!A10006)</f>
        <v>0</v>
      </c>
    </row>
    <row r="10007" customFormat="false" ht="14.4" hidden="true" customHeight="false" outlineLevel="0" collapsed="false">
      <c r="A10007" s="34" t="n">
        <v>6178512000129</v>
      </c>
      <c r="B10007" s="34" t="s">
        <v>20136</v>
      </c>
      <c r="C10007" s="34" t="s">
        <v>77</v>
      </c>
      <c r="E10007" s="30" t="s">
        <v>20137</v>
      </c>
      <c r="F10007" s="34" t="n">
        <f aca="false">IFERROR(VLOOKUP($A10007,'319'!$B:$H,7,0),0)</f>
        <v>0</v>
      </c>
      <c r="G10007" s="34" t="n">
        <f aca="false">SUMIFS('12.326ana'!$C:$C,'12.326ana'!$M:$M,redes!A10007)</f>
        <v>0</v>
      </c>
    </row>
    <row r="10008" customFormat="false" ht="14.4" hidden="true" customHeight="false" outlineLevel="0" collapsed="false">
      <c r="A10008" s="34" t="n">
        <v>6179298000125</v>
      </c>
      <c r="B10008" s="34" t="s">
        <v>20138</v>
      </c>
      <c r="C10008" s="34" t="s">
        <v>342</v>
      </c>
      <c r="E10008" s="30" t="s">
        <v>8534</v>
      </c>
      <c r="F10008" s="34" t="n">
        <f aca="false">IFERROR(VLOOKUP($A10008,'319'!$B:$H,7,0),0)</f>
        <v>0</v>
      </c>
      <c r="G10008" s="34" t="n">
        <f aca="false">SUMIFS('12.326ana'!$C:$C,'12.326ana'!$M:$M,redes!A10008)</f>
        <v>0</v>
      </c>
    </row>
    <row r="10009" customFormat="false" ht="14.4" hidden="true" customHeight="false" outlineLevel="0" collapsed="false">
      <c r="A10009" s="34" t="n">
        <v>6180085000113</v>
      </c>
      <c r="B10009" s="34" t="s">
        <v>20139</v>
      </c>
      <c r="C10009" s="34" t="s">
        <v>77</v>
      </c>
      <c r="E10009" s="30" t="s">
        <v>20140</v>
      </c>
      <c r="F10009" s="34" t="n">
        <f aca="false">IFERROR(VLOOKUP($A10009,'319'!$B:$H,7,0),0)</f>
        <v>0</v>
      </c>
      <c r="G10009" s="34" t="n">
        <f aca="false">SUMIFS('12.326ana'!$C:$C,'12.326ana'!$M:$M,redes!A10009)</f>
        <v>0</v>
      </c>
    </row>
    <row r="10010" customFormat="false" ht="14.4" hidden="true" customHeight="false" outlineLevel="0" collapsed="false">
      <c r="A10010" s="34" t="n">
        <v>6181567000198</v>
      </c>
      <c r="B10010" s="34" t="s">
        <v>20141</v>
      </c>
      <c r="C10010" s="34" t="s">
        <v>77</v>
      </c>
      <c r="E10010" s="30" t="s">
        <v>20142</v>
      </c>
      <c r="F10010" s="34" t="n">
        <f aca="false">IFERROR(VLOOKUP($A10010,'319'!$B:$H,7,0),0)</f>
        <v>0</v>
      </c>
      <c r="G10010" s="34" t="n">
        <f aca="false">SUMIFS('12.326ana'!$C:$C,'12.326ana'!$M:$M,redes!A10010)</f>
        <v>0</v>
      </c>
    </row>
    <row r="10011" customFormat="false" ht="14.4" hidden="true" customHeight="false" outlineLevel="0" collapsed="false">
      <c r="A10011" s="34" t="n">
        <v>6181585000170</v>
      </c>
      <c r="B10011" s="34" t="s">
        <v>20143</v>
      </c>
      <c r="C10011" s="34" t="s">
        <v>77</v>
      </c>
      <c r="E10011" s="30" t="s">
        <v>4630</v>
      </c>
      <c r="F10011" s="34" t="n">
        <f aca="false">IFERROR(VLOOKUP($A10011,'319'!$B:$H,7,0),0)</f>
        <v>0</v>
      </c>
      <c r="G10011" s="34" t="n">
        <f aca="false">SUMIFS('12.326ana'!$C:$C,'12.326ana'!$M:$M,redes!A10011)</f>
        <v>0</v>
      </c>
    </row>
    <row r="10012" customFormat="false" ht="14.4" hidden="true" customHeight="false" outlineLevel="0" collapsed="false">
      <c r="A10012" s="34" t="n">
        <v>6184148000100</v>
      </c>
      <c r="B10012" s="34" t="s">
        <v>20144</v>
      </c>
      <c r="C10012" s="34" t="s">
        <v>89</v>
      </c>
      <c r="E10012" s="30" t="s">
        <v>20145</v>
      </c>
      <c r="F10012" s="34" t="n">
        <f aca="false">IFERROR(VLOOKUP($A10012,'319'!$B:$H,7,0),0)</f>
        <v>0</v>
      </c>
      <c r="G10012" s="34" t="n">
        <f aca="false">SUMIFS('12.326ana'!$C:$C,'12.326ana'!$M:$M,redes!A10012)</f>
        <v>0</v>
      </c>
    </row>
    <row r="10013" customFormat="false" ht="14.4" hidden="true" customHeight="false" outlineLevel="0" collapsed="false">
      <c r="A10013" s="34" t="n">
        <v>6185043000175</v>
      </c>
      <c r="B10013" s="34" t="s">
        <v>20146</v>
      </c>
      <c r="C10013" s="34" t="s">
        <v>4462</v>
      </c>
      <c r="E10013" s="30" t="s">
        <v>20147</v>
      </c>
      <c r="F10013" s="34" t="n">
        <f aca="false">IFERROR(VLOOKUP($A10013,'319'!$B:$H,7,0),0)</f>
        <v>0</v>
      </c>
      <c r="G10013" s="34" t="n">
        <f aca="false">SUMIFS('12.326ana'!$C:$C,'12.326ana'!$M:$M,redes!A10013)</f>
        <v>0</v>
      </c>
    </row>
    <row r="10014" customFormat="false" ht="14.4" hidden="true" customHeight="false" outlineLevel="0" collapsed="false">
      <c r="A10014" s="34" t="n">
        <v>6191625000164</v>
      </c>
      <c r="B10014" s="34" t="s">
        <v>20148</v>
      </c>
      <c r="C10014" s="34" t="s">
        <v>594</v>
      </c>
      <c r="E10014" s="30" t="s">
        <v>20149</v>
      </c>
      <c r="F10014" s="34" t="n">
        <f aca="false">IFERROR(VLOOKUP($A10014,'319'!$B:$H,7,0),0)</f>
        <v>0</v>
      </c>
      <c r="G10014" s="34" t="n">
        <f aca="false">SUMIFS('12.326ana'!$C:$C,'12.326ana'!$M:$M,redes!A10014)</f>
        <v>0</v>
      </c>
    </row>
    <row r="10015" customFormat="false" ht="14.4" hidden="true" customHeight="false" outlineLevel="0" collapsed="false">
      <c r="A10015" s="34" t="n">
        <v>6191632000166</v>
      </c>
      <c r="B10015" s="34" t="s">
        <v>20150</v>
      </c>
      <c r="C10015" s="34" t="s">
        <v>129</v>
      </c>
      <c r="E10015" s="30" t="s">
        <v>20151</v>
      </c>
      <c r="F10015" s="34" t="n">
        <f aca="false">IFERROR(VLOOKUP($A10015,'319'!$B:$H,7,0),0)</f>
        <v>0</v>
      </c>
      <c r="G10015" s="34" t="n">
        <f aca="false">SUMIFS('12.326ana'!$C:$C,'12.326ana'!$M:$M,redes!A10015)</f>
        <v>0</v>
      </c>
    </row>
    <row r="10016" customFormat="false" ht="14.4" hidden="true" customHeight="false" outlineLevel="0" collapsed="false">
      <c r="A10016" s="34" t="n">
        <v>6192573000140</v>
      </c>
      <c r="B10016" s="34" t="s">
        <v>20152</v>
      </c>
      <c r="C10016" s="34" t="s">
        <v>139</v>
      </c>
      <c r="E10016" s="30" t="s">
        <v>20153</v>
      </c>
      <c r="F10016" s="34" t="n">
        <f aca="false">IFERROR(VLOOKUP($A10016,'319'!$B:$H,7,0),0)</f>
        <v>0</v>
      </c>
      <c r="G10016" s="34" t="n">
        <f aca="false">SUMIFS('12.326ana'!$C:$C,'12.326ana'!$M:$M,redes!A10016)</f>
        <v>0</v>
      </c>
    </row>
    <row r="10017" customFormat="false" ht="14.4" hidden="true" customHeight="false" outlineLevel="0" collapsed="false">
      <c r="A10017" s="34" t="n">
        <v>6192849000190</v>
      </c>
      <c r="B10017" s="34" t="s">
        <v>20154</v>
      </c>
      <c r="C10017" s="34" t="s">
        <v>77</v>
      </c>
      <c r="E10017" s="30" t="s">
        <v>9452</v>
      </c>
      <c r="F10017" s="34" t="n">
        <f aca="false">IFERROR(VLOOKUP($A10017,'319'!$B:$H,7,0),0)</f>
        <v>0</v>
      </c>
      <c r="G10017" s="34" t="n">
        <f aca="false">SUMIFS('12.326ana'!$C:$C,'12.326ana'!$M:$M,redes!A10017)</f>
        <v>0</v>
      </c>
    </row>
    <row r="10018" customFormat="false" ht="14.4" hidden="true" customHeight="false" outlineLevel="0" collapsed="false">
      <c r="A10018" s="34" t="n">
        <v>6194791000114</v>
      </c>
      <c r="B10018" s="34" t="s">
        <v>20155</v>
      </c>
      <c r="C10018" s="34" t="s">
        <v>77</v>
      </c>
      <c r="E10018" s="30" t="s">
        <v>20156</v>
      </c>
      <c r="F10018" s="34" t="n">
        <f aca="false">IFERROR(VLOOKUP($A10018,'319'!$B:$H,7,0),0)</f>
        <v>0</v>
      </c>
      <c r="G10018" s="34" t="n">
        <f aca="false">SUMIFS('12.326ana'!$C:$C,'12.326ana'!$M:$M,redes!A10018)</f>
        <v>0</v>
      </c>
    </row>
    <row r="10019" customFormat="false" ht="14.4" hidden="true" customHeight="false" outlineLevel="0" collapsed="false">
      <c r="A10019" s="34" t="n">
        <v>6195193000160</v>
      </c>
      <c r="B10019" s="34" t="s">
        <v>20157</v>
      </c>
      <c r="C10019" s="34" t="s">
        <v>77</v>
      </c>
      <c r="E10019" s="30" t="s">
        <v>20158</v>
      </c>
      <c r="F10019" s="34" t="n">
        <f aca="false">IFERROR(VLOOKUP($A10019,'319'!$B:$H,7,0),0)</f>
        <v>0</v>
      </c>
      <c r="G10019" s="34" t="n">
        <f aca="false">SUMIFS('12.326ana'!$C:$C,'12.326ana'!$M:$M,redes!A10019)</f>
        <v>0</v>
      </c>
    </row>
    <row r="10020" customFormat="false" ht="14.4" hidden="true" customHeight="false" outlineLevel="0" collapsed="false">
      <c r="A10020" s="34" t="n">
        <v>6197288000112</v>
      </c>
      <c r="B10020" s="34" t="s">
        <v>20159</v>
      </c>
      <c r="C10020" s="34" t="s">
        <v>77</v>
      </c>
      <c r="E10020" s="30" t="s">
        <v>20160</v>
      </c>
      <c r="F10020" s="34" t="n">
        <f aca="false">IFERROR(VLOOKUP($A10020,'319'!$B:$H,7,0),0)</f>
        <v>0</v>
      </c>
      <c r="G10020" s="34" t="n">
        <f aca="false">SUMIFS('12.326ana'!$C:$C,'12.326ana'!$M:$M,redes!A10020)</f>
        <v>0</v>
      </c>
    </row>
    <row r="10021" customFormat="false" ht="14.4" hidden="true" customHeight="false" outlineLevel="0" collapsed="false">
      <c r="A10021" s="34" t="n">
        <v>6200019000168</v>
      </c>
      <c r="B10021" s="34" t="s">
        <v>20161</v>
      </c>
      <c r="C10021" s="34" t="s">
        <v>336</v>
      </c>
      <c r="E10021" s="30" t="s">
        <v>20162</v>
      </c>
      <c r="F10021" s="34" t="n">
        <f aca="false">IFERROR(VLOOKUP($A10021,'319'!$B:$H,7,0),0)</f>
        <v>647.61</v>
      </c>
      <c r="G10021" s="34" t="n">
        <f aca="false">SUMIFS('12.326ana'!$C:$C,'12.326ana'!$M:$M,redes!A10021)</f>
        <v>0</v>
      </c>
    </row>
    <row r="10022" customFormat="false" ht="14.4" hidden="true" customHeight="false" outlineLevel="0" collapsed="false">
      <c r="A10022" s="34" t="n">
        <v>6202835000100</v>
      </c>
      <c r="B10022" s="34" t="s">
        <v>20163</v>
      </c>
      <c r="C10022" s="34" t="s">
        <v>478</v>
      </c>
      <c r="E10022" s="30" t="s">
        <v>20164</v>
      </c>
      <c r="F10022" s="34" t="n">
        <f aca="false">IFERROR(VLOOKUP($A10022,'319'!$B:$H,7,0),0)</f>
        <v>0</v>
      </c>
      <c r="G10022" s="34" t="n">
        <f aca="false">SUMIFS('12.326ana'!$C:$C,'12.326ana'!$M:$M,redes!A10022)</f>
        <v>0</v>
      </c>
    </row>
    <row r="10023" customFormat="false" ht="14.4" hidden="true" customHeight="false" outlineLevel="0" collapsed="false">
      <c r="A10023" s="34" t="n">
        <v>6202968000187</v>
      </c>
      <c r="B10023" s="34" t="s">
        <v>20165</v>
      </c>
      <c r="C10023" s="34" t="s">
        <v>4139</v>
      </c>
      <c r="E10023" s="30" t="s">
        <v>20166</v>
      </c>
      <c r="F10023" s="34" t="n">
        <f aca="false">IFERROR(VLOOKUP($A10023,'319'!$B:$H,7,0),0)</f>
        <v>0</v>
      </c>
      <c r="G10023" s="34" t="n">
        <f aca="false">SUMIFS('12.326ana'!$C:$C,'12.326ana'!$M:$M,redes!A10023)</f>
        <v>0</v>
      </c>
    </row>
    <row r="10024" customFormat="false" ht="14.4" hidden="true" customHeight="false" outlineLevel="0" collapsed="false">
      <c r="A10024" s="34" t="n">
        <v>6204272000190</v>
      </c>
      <c r="B10024" s="34" t="s">
        <v>20167</v>
      </c>
      <c r="C10024" s="34" t="s">
        <v>631</v>
      </c>
      <c r="E10024" s="30" t="s">
        <v>20168</v>
      </c>
      <c r="F10024" s="34" t="n">
        <f aca="false">IFERROR(VLOOKUP($A10024,'319'!$B:$H,7,0),0)</f>
        <v>0</v>
      </c>
      <c r="G10024" s="34" t="n">
        <f aca="false">SUMIFS('12.326ana'!$C:$C,'12.326ana'!$M:$M,redes!A10024)</f>
        <v>0</v>
      </c>
    </row>
    <row r="10025" customFormat="false" ht="14.4" hidden="true" customHeight="false" outlineLevel="0" collapsed="false">
      <c r="A10025" s="34" t="n">
        <v>6205714000112</v>
      </c>
      <c r="B10025" s="34" t="s">
        <v>20169</v>
      </c>
      <c r="C10025" s="34" t="s">
        <v>463</v>
      </c>
      <c r="E10025" s="30" t="s">
        <v>20170</v>
      </c>
      <c r="F10025" s="34" t="n">
        <f aca="false">IFERROR(VLOOKUP($A10025,'319'!$B:$H,7,0),0)</f>
        <v>0</v>
      </c>
      <c r="G10025" s="34" t="n">
        <f aca="false">SUMIFS('12.326ana'!$C:$C,'12.326ana'!$M:$M,redes!A10025)</f>
        <v>0</v>
      </c>
    </row>
    <row r="10026" customFormat="false" ht="14.4" hidden="true" customHeight="false" outlineLevel="0" collapsed="false">
      <c r="A10026" s="34" t="n">
        <v>6205758000142</v>
      </c>
      <c r="B10026" s="34" t="s">
        <v>20171</v>
      </c>
      <c r="C10026" s="34" t="s">
        <v>631</v>
      </c>
      <c r="E10026" s="30" t="s">
        <v>9102</v>
      </c>
      <c r="F10026" s="34" t="n">
        <f aca="false">IFERROR(VLOOKUP($A10026,'319'!$B:$H,7,0),0)</f>
        <v>0</v>
      </c>
      <c r="G10026" s="34" t="n">
        <f aca="false">SUMIFS('12.326ana'!$C:$C,'12.326ana'!$M:$M,redes!A10026)</f>
        <v>0</v>
      </c>
    </row>
    <row r="10027" customFormat="false" ht="14.4" hidden="true" customHeight="false" outlineLevel="0" collapsed="false">
      <c r="A10027" s="34" t="n">
        <v>6207855000174</v>
      </c>
      <c r="B10027" s="34" t="s">
        <v>20172</v>
      </c>
      <c r="C10027" s="34" t="s">
        <v>129</v>
      </c>
      <c r="E10027" s="30" t="s">
        <v>20173</v>
      </c>
      <c r="F10027" s="34" t="n">
        <f aca="false">IFERROR(VLOOKUP($A10027,'319'!$B:$H,7,0),0)</f>
        <v>0</v>
      </c>
      <c r="G10027" s="34" t="n">
        <f aca="false">SUMIFS('12.326ana'!$C:$C,'12.326ana'!$M:$M,redes!A10027)</f>
        <v>0</v>
      </c>
    </row>
    <row r="10028" customFormat="false" ht="14.4" hidden="true" customHeight="false" outlineLevel="0" collapsed="false">
      <c r="A10028" s="34" t="n">
        <v>6207991000164</v>
      </c>
      <c r="B10028" s="34" t="s">
        <v>20174</v>
      </c>
      <c r="C10028" s="34" t="s">
        <v>77</v>
      </c>
      <c r="E10028" s="30" t="s">
        <v>20175</v>
      </c>
      <c r="F10028" s="34" t="n">
        <f aca="false">IFERROR(VLOOKUP($A10028,'319'!$B:$H,7,0),0)</f>
        <v>0</v>
      </c>
      <c r="G10028" s="34" t="n">
        <f aca="false">SUMIFS('12.326ana'!$C:$C,'12.326ana'!$M:$M,redes!A10028)</f>
        <v>0</v>
      </c>
    </row>
    <row r="10029" customFormat="false" ht="14.4" hidden="true" customHeight="false" outlineLevel="0" collapsed="false">
      <c r="A10029" s="34" t="n">
        <v>6212881000190</v>
      </c>
      <c r="B10029" s="34" t="s">
        <v>20176</v>
      </c>
      <c r="C10029" s="34" t="s">
        <v>127</v>
      </c>
      <c r="E10029" s="30"/>
      <c r="F10029" s="34" t="n">
        <f aca="false">IFERROR(VLOOKUP($A10029,'319'!$B:$H,7,0),0)</f>
        <v>0</v>
      </c>
      <c r="G10029" s="34" t="n">
        <f aca="false">SUMIFS('12.326ana'!$C:$C,'12.326ana'!$M:$M,redes!A10029)</f>
        <v>0</v>
      </c>
    </row>
    <row r="10030" customFormat="false" ht="14.4" hidden="true" customHeight="false" outlineLevel="0" collapsed="false">
      <c r="A10030" s="34" t="n">
        <v>6217001000179</v>
      </c>
      <c r="B10030" s="34" t="s">
        <v>20177</v>
      </c>
      <c r="C10030" s="34" t="s">
        <v>463</v>
      </c>
      <c r="E10030" s="30" t="s">
        <v>11474</v>
      </c>
      <c r="F10030" s="34" t="n">
        <f aca="false">IFERROR(VLOOKUP($A10030,'319'!$B:$H,7,0),0)</f>
        <v>0</v>
      </c>
      <c r="G10030" s="34" t="n">
        <f aca="false">SUMIFS('12.326ana'!$C:$C,'12.326ana'!$M:$M,redes!A10030)</f>
        <v>0</v>
      </c>
    </row>
    <row r="10031" customFormat="false" ht="14.4" hidden="true" customHeight="false" outlineLevel="0" collapsed="false">
      <c r="A10031" s="34" t="n">
        <v>6218059000137</v>
      </c>
      <c r="B10031" s="34" t="s">
        <v>20178</v>
      </c>
      <c r="C10031" s="34" t="s">
        <v>77</v>
      </c>
      <c r="E10031" s="30" t="s">
        <v>20179</v>
      </c>
      <c r="F10031" s="34" t="n">
        <f aca="false">IFERROR(VLOOKUP($A10031,'319'!$B:$H,7,0),0)</f>
        <v>0</v>
      </c>
      <c r="G10031" s="34" t="n">
        <f aca="false">SUMIFS('12.326ana'!$C:$C,'12.326ana'!$M:$M,redes!A10031)</f>
        <v>0</v>
      </c>
    </row>
    <row r="10032" customFormat="false" ht="14.4" hidden="true" customHeight="false" outlineLevel="0" collapsed="false">
      <c r="A10032" s="34" t="n">
        <v>6220336000146</v>
      </c>
      <c r="B10032" s="34" t="s">
        <v>20180</v>
      </c>
      <c r="C10032" s="34" t="s">
        <v>139</v>
      </c>
      <c r="E10032" s="30" t="s">
        <v>20181</v>
      </c>
      <c r="F10032" s="34" t="n">
        <f aca="false">IFERROR(VLOOKUP($A10032,'319'!$B:$H,7,0),0)</f>
        <v>0</v>
      </c>
      <c r="G10032" s="34" t="n">
        <f aca="false">SUMIFS('12.326ana'!$C:$C,'12.326ana'!$M:$M,redes!A10032)</f>
        <v>0</v>
      </c>
    </row>
    <row r="10033" customFormat="false" ht="14.4" hidden="true" customHeight="false" outlineLevel="0" collapsed="false">
      <c r="A10033" s="34" t="n">
        <v>6225394000162</v>
      </c>
      <c r="B10033" s="34" t="s">
        <v>20182</v>
      </c>
      <c r="C10033" s="34" t="s">
        <v>77</v>
      </c>
      <c r="E10033" s="30" t="s">
        <v>20183</v>
      </c>
      <c r="F10033" s="34" t="n">
        <f aca="false">IFERROR(VLOOKUP($A10033,'319'!$B:$H,7,0),0)</f>
        <v>0</v>
      </c>
      <c r="G10033" s="34" t="n">
        <f aca="false">SUMIFS('12.326ana'!$C:$C,'12.326ana'!$M:$M,redes!A10033)</f>
        <v>0</v>
      </c>
    </row>
    <row r="10034" customFormat="false" ht="14.4" hidden="true" customHeight="false" outlineLevel="0" collapsed="false">
      <c r="A10034" s="34" t="n">
        <v>6229100000170</v>
      </c>
      <c r="B10034" s="34" t="s">
        <v>20184</v>
      </c>
      <c r="C10034" s="34" t="s">
        <v>309</v>
      </c>
      <c r="E10034" s="30" t="s">
        <v>16556</v>
      </c>
      <c r="F10034" s="34" t="n">
        <f aca="false">IFERROR(VLOOKUP($A10034,'319'!$B:$H,7,0),0)</f>
        <v>0</v>
      </c>
      <c r="G10034" s="34" t="n">
        <f aca="false">SUMIFS('12.326ana'!$C:$C,'12.326ana'!$M:$M,redes!A10034)</f>
        <v>0</v>
      </c>
    </row>
    <row r="10035" customFormat="false" ht="14.4" hidden="true" customHeight="false" outlineLevel="0" collapsed="false">
      <c r="A10035" s="34" t="n">
        <v>6230631000183</v>
      </c>
      <c r="B10035" s="34" t="s">
        <v>20185</v>
      </c>
      <c r="C10035" s="34" t="s">
        <v>2998</v>
      </c>
      <c r="E10035" s="30" t="s">
        <v>5597</v>
      </c>
      <c r="F10035" s="34" t="n">
        <f aca="false">IFERROR(VLOOKUP($A10035,'319'!$B:$H,7,0),0)</f>
        <v>0</v>
      </c>
      <c r="G10035" s="34" t="n">
        <f aca="false">SUMIFS('12.326ana'!$C:$C,'12.326ana'!$M:$M,redes!A10035)</f>
        <v>0</v>
      </c>
    </row>
    <row r="10036" customFormat="false" ht="14.4" hidden="true" customHeight="false" outlineLevel="0" collapsed="false">
      <c r="A10036" s="34" t="n">
        <v>6234726000175</v>
      </c>
      <c r="B10036" s="34" t="s">
        <v>20186</v>
      </c>
      <c r="C10036" s="34" t="s">
        <v>77</v>
      </c>
      <c r="E10036" s="30" t="s">
        <v>16771</v>
      </c>
      <c r="F10036" s="34" t="n">
        <f aca="false">IFERROR(VLOOKUP($A10036,'319'!$B:$H,7,0),0)</f>
        <v>0</v>
      </c>
      <c r="G10036" s="34" t="n">
        <f aca="false">SUMIFS('12.326ana'!$C:$C,'12.326ana'!$M:$M,redes!A10036)</f>
        <v>0</v>
      </c>
    </row>
    <row r="10037" customFormat="false" ht="14.4" hidden="true" customHeight="false" outlineLevel="0" collapsed="false">
      <c r="A10037" s="34" t="n">
        <v>6236262000136</v>
      </c>
      <c r="B10037" s="34" t="s">
        <v>20187</v>
      </c>
      <c r="C10037" s="34" t="s">
        <v>213</v>
      </c>
      <c r="E10037" s="30" t="s">
        <v>20188</v>
      </c>
      <c r="F10037" s="34" t="n">
        <f aca="false">IFERROR(VLOOKUP($A10037,'319'!$B:$H,7,0),0)</f>
        <v>0</v>
      </c>
      <c r="G10037" s="34" t="n">
        <f aca="false">SUMIFS('12.326ana'!$C:$C,'12.326ana'!$M:$M,redes!A10037)</f>
        <v>0</v>
      </c>
    </row>
    <row r="10038" customFormat="false" ht="14.4" hidden="true" customHeight="false" outlineLevel="0" collapsed="false">
      <c r="A10038" s="34" t="n">
        <v>6236262000217</v>
      </c>
      <c r="B10038" s="34" t="s">
        <v>20187</v>
      </c>
      <c r="C10038" s="34" t="s">
        <v>213</v>
      </c>
      <c r="E10038" s="30" t="s">
        <v>20189</v>
      </c>
      <c r="F10038" s="34" t="n">
        <f aca="false">IFERROR(VLOOKUP($A10038,'319'!$B:$H,7,0),0)</f>
        <v>0</v>
      </c>
      <c r="G10038" s="34" t="n">
        <f aca="false">SUMIFS('12.326ana'!$C:$C,'12.326ana'!$M:$M,redes!A10038)</f>
        <v>0</v>
      </c>
    </row>
    <row r="10039" customFormat="false" ht="14.4" hidden="true" customHeight="false" outlineLevel="0" collapsed="false">
      <c r="A10039" s="34" t="n">
        <v>6239408000105</v>
      </c>
      <c r="B10039" s="34" t="s">
        <v>20190</v>
      </c>
      <c r="C10039" s="34" t="s">
        <v>342</v>
      </c>
      <c r="E10039" s="30" t="s">
        <v>20191</v>
      </c>
      <c r="F10039" s="34" t="n">
        <f aca="false">IFERROR(VLOOKUP($A10039,'319'!$B:$H,7,0),0)</f>
        <v>0</v>
      </c>
      <c r="G10039" s="34" t="n">
        <f aca="false">SUMIFS('12.326ana'!$C:$C,'12.326ana'!$M:$M,redes!A10039)</f>
        <v>0</v>
      </c>
    </row>
    <row r="10040" customFormat="false" ht="14.4" hidden="true" customHeight="false" outlineLevel="0" collapsed="false">
      <c r="A10040" s="34" t="n">
        <v>6240520000158</v>
      </c>
      <c r="B10040" s="34" t="s">
        <v>8421</v>
      </c>
      <c r="C10040" s="34" t="s">
        <v>77</v>
      </c>
      <c r="E10040" s="30" t="s">
        <v>20192</v>
      </c>
      <c r="F10040" s="34" t="n">
        <f aca="false">IFERROR(VLOOKUP($A10040,'319'!$B:$H,7,0),0)</f>
        <v>0</v>
      </c>
      <c r="G10040" s="34" t="n">
        <f aca="false">SUMIFS('12.326ana'!$C:$C,'12.326ana'!$M:$M,redes!A10040)</f>
        <v>0</v>
      </c>
    </row>
    <row r="10041" customFormat="false" ht="14.4" hidden="true" customHeight="false" outlineLevel="0" collapsed="false">
      <c r="A10041" s="34" t="n">
        <v>6242486000150</v>
      </c>
      <c r="B10041" s="34" t="s">
        <v>20193</v>
      </c>
      <c r="C10041" s="34" t="s">
        <v>594</v>
      </c>
      <c r="E10041" s="30" t="s">
        <v>20194</v>
      </c>
      <c r="F10041" s="34" t="n">
        <f aca="false">IFERROR(VLOOKUP($A10041,'319'!$B:$H,7,0),0)</f>
        <v>0</v>
      </c>
      <c r="G10041" s="34" t="n">
        <f aca="false">SUMIFS('12.326ana'!$C:$C,'12.326ana'!$M:$M,redes!A10041)</f>
        <v>0</v>
      </c>
    </row>
    <row r="10042" customFormat="false" ht="14.4" hidden="true" customHeight="false" outlineLevel="0" collapsed="false">
      <c r="A10042" s="34" t="n">
        <v>6242490000119</v>
      </c>
      <c r="B10042" s="34" t="s">
        <v>20195</v>
      </c>
      <c r="C10042" s="34" t="s">
        <v>935</v>
      </c>
      <c r="E10042" s="30" t="s">
        <v>20196</v>
      </c>
      <c r="F10042" s="34" t="n">
        <f aca="false">IFERROR(VLOOKUP($A10042,'319'!$B:$H,7,0),0)</f>
        <v>89.71</v>
      </c>
      <c r="G10042" s="34" t="n">
        <f aca="false">SUMIFS('12.326ana'!$C:$C,'12.326ana'!$M:$M,redes!A10042)</f>
        <v>0</v>
      </c>
    </row>
    <row r="10043" customFormat="false" ht="14.4" hidden="true" customHeight="false" outlineLevel="0" collapsed="false">
      <c r="A10043" s="34" t="n">
        <v>6244483000156</v>
      </c>
      <c r="B10043" s="34" t="s">
        <v>6563</v>
      </c>
      <c r="C10043" s="34" t="s">
        <v>336</v>
      </c>
      <c r="E10043" s="30" t="s">
        <v>20197</v>
      </c>
      <c r="F10043" s="34" t="n">
        <f aca="false">IFERROR(VLOOKUP($A10043,'319'!$B:$H,7,0),0)</f>
        <v>0</v>
      </c>
      <c r="G10043" s="34" t="n">
        <f aca="false">SUMIFS('12.326ana'!$C:$C,'12.326ana'!$M:$M,redes!A10043)</f>
        <v>0</v>
      </c>
    </row>
    <row r="10044" customFormat="false" ht="14.4" hidden="true" customHeight="false" outlineLevel="0" collapsed="false">
      <c r="A10044" s="34" t="n">
        <v>6244584000127</v>
      </c>
      <c r="B10044" s="34" t="s">
        <v>20198</v>
      </c>
      <c r="C10044" s="34" t="s">
        <v>89</v>
      </c>
      <c r="E10044" s="30" t="s">
        <v>20199</v>
      </c>
      <c r="F10044" s="34" t="n">
        <f aca="false">IFERROR(VLOOKUP($A10044,'319'!$B:$H,7,0),0)</f>
        <v>0</v>
      </c>
      <c r="G10044" s="34" t="n">
        <f aca="false">SUMIFS('12.326ana'!$C:$C,'12.326ana'!$M:$M,redes!A10044)</f>
        <v>0</v>
      </c>
    </row>
    <row r="10045" customFormat="false" ht="14.4" hidden="true" customHeight="false" outlineLevel="0" collapsed="false">
      <c r="A10045" s="34" t="n">
        <v>6245844000189</v>
      </c>
      <c r="B10045" s="34" t="s">
        <v>11463</v>
      </c>
      <c r="C10045" s="34" t="s">
        <v>737</v>
      </c>
      <c r="E10045" s="30" t="s">
        <v>20200</v>
      </c>
      <c r="F10045" s="34" t="n">
        <f aca="false">IFERROR(VLOOKUP($A10045,'319'!$B:$H,7,0),0)</f>
        <v>0</v>
      </c>
      <c r="G10045" s="34" t="n">
        <f aca="false">SUMIFS('12.326ana'!$C:$C,'12.326ana'!$M:$M,redes!A10045)</f>
        <v>0</v>
      </c>
    </row>
    <row r="10046" customFormat="false" ht="14.4" hidden="true" customHeight="false" outlineLevel="0" collapsed="false">
      <c r="A10046" s="34" t="n">
        <v>6246092000170</v>
      </c>
      <c r="B10046" s="34" t="s">
        <v>20201</v>
      </c>
      <c r="C10046" s="34" t="s">
        <v>103</v>
      </c>
      <c r="E10046" s="30" t="s">
        <v>20202</v>
      </c>
      <c r="F10046" s="34" t="n">
        <f aca="false">IFERROR(VLOOKUP($A10046,'319'!$B:$H,7,0),0)</f>
        <v>0</v>
      </c>
      <c r="G10046" s="34" t="n">
        <f aca="false">SUMIFS('12.326ana'!$C:$C,'12.326ana'!$M:$M,redes!A10046)</f>
        <v>0</v>
      </c>
    </row>
    <row r="10047" customFormat="false" ht="14.4" hidden="true" customHeight="false" outlineLevel="0" collapsed="false">
      <c r="A10047" s="34" t="n">
        <v>6246097000101</v>
      </c>
      <c r="B10047" s="34" t="s">
        <v>20203</v>
      </c>
      <c r="C10047" s="34" t="s">
        <v>103</v>
      </c>
      <c r="E10047" s="30" t="s">
        <v>20204</v>
      </c>
      <c r="F10047" s="34" t="n">
        <f aca="false">IFERROR(VLOOKUP($A10047,'319'!$B:$H,7,0),0)</f>
        <v>0</v>
      </c>
      <c r="G10047" s="34" t="n">
        <f aca="false">SUMIFS('12.326ana'!$C:$C,'12.326ana'!$M:$M,redes!A10047)</f>
        <v>0</v>
      </c>
    </row>
    <row r="10048" customFormat="false" ht="14.4" hidden="true" customHeight="false" outlineLevel="0" collapsed="false">
      <c r="A10048" s="34" t="n">
        <v>6246603000154</v>
      </c>
      <c r="B10048" s="34" t="s">
        <v>20205</v>
      </c>
      <c r="C10048" s="34" t="s">
        <v>77</v>
      </c>
      <c r="E10048" s="30" t="s">
        <v>20206</v>
      </c>
      <c r="F10048" s="34" t="n">
        <f aca="false">IFERROR(VLOOKUP($A10048,'319'!$B:$H,7,0),0)</f>
        <v>0</v>
      </c>
      <c r="G10048" s="34" t="n">
        <f aca="false">SUMIFS('12.326ana'!$C:$C,'12.326ana'!$M:$M,redes!A10048)</f>
        <v>0</v>
      </c>
    </row>
    <row r="10049" customFormat="false" ht="14.4" hidden="true" customHeight="false" outlineLevel="0" collapsed="false">
      <c r="A10049" s="34" t="n">
        <v>6248711000166</v>
      </c>
      <c r="B10049" s="34" t="s">
        <v>20207</v>
      </c>
      <c r="C10049" s="34" t="s">
        <v>77</v>
      </c>
      <c r="E10049" s="30" t="s">
        <v>20208</v>
      </c>
      <c r="F10049" s="34" t="n">
        <f aca="false">IFERROR(VLOOKUP($A10049,'319'!$B:$H,7,0),0)</f>
        <v>0</v>
      </c>
      <c r="G10049" s="34" t="n">
        <f aca="false">SUMIFS('12.326ana'!$C:$C,'12.326ana'!$M:$M,redes!A10049)</f>
        <v>0</v>
      </c>
    </row>
    <row r="10050" customFormat="false" ht="14.4" hidden="true" customHeight="false" outlineLevel="0" collapsed="false">
      <c r="A10050" s="34" t="n">
        <v>6249497000162</v>
      </c>
      <c r="B10050" s="34" t="s">
        <v>20209</v>
      </c>
      <c r="C10050" s="34" t="s">
        <v>464</v>
      </c>
      <c r="E10050" s="30" t="s">
        <v>20210</v>
      </c>
      <c r="F10050" s="34" t="n">
        <f aca="false">IFERROR(VLOOKUP($A10050,'319'!$B:$H,7,0),0)</f>
        <v>0</v>
      </c>
      <c r="G10050" s="34" t="n">
        <f aca="false">SUMIFS('12.326ana'!$C:$C,'12.326ana'!$M:$M,redes!A10050)</f>
        <v>0</v>
      </c>
    </row>
    <row r="10051" customFormat="false" ht="14.4" hidden="true" customHeight="false" outlineLevel="0" collapsed="false">
      <c r="A10051" s="34" t="n">
        <v>6249603000108</v>
      </c>
      <c r="B10051" s="34" t="s">
        <v>20211</v>
      </c>
      <c r="C10051" s="34" t="s">
        <v>77</v>
      </c>
      <c r="E10051" s="30" t="s">
        <v>20212</v>
      </c>
      <c r="F10051" s="34" t="n">
        <f aca="false">IFERROR(VLOOKUP($A10051,'319'!$B:$H,7,0),0)</f>
        <v>0</v>
      </c>
      <c r="G10051" s="34" t="n">
        <f aca="false">SUMIFS('12.326ana'!$C:$C,'12.326ana'!$M:$M,redes!A10051)</f>
        <v>0</v>
      </c>
    </row>
    <row r="10052" customFormat="false" ht="14.4" hidden="true" customHeight="false" outlineLevel="0" collapsed="false">
      <c r="A10052" s="34" t="n">
        <v>6252403000104</v>
      </c>
      <c r="B10052" s="34" t="s">
        <v>20213</v>
      </c>
      <c r="C10052" s="34" t="s">
        <v>737</v>
      </c>
      <c r="E10052" s="30" t="s">
        <v>10273</v>
      </c>
      <c r="F10052" s="34" t="n">
        <f aca="false">IFERROR(VLOOKUP($A10052,'319'!$B:$H,7,0),0)</f>
        <v>0</v>
      </c>
      <c r="G10052" s="34" t="n">
        <f aca="false">SUMIFS('12.326ana'!$C:$C,'12.326ana'!$M:$M,redes!A10052)</f>
        <v>0</v>
      </c>
    </row>
    <row r="10053" customFormat="false" ht="14.4" hidden="true" customHeight="false" outlineLevel="0" collapsed="false">
      <c r="A10053" s="34" t="n">
        <v>6255043000102</v>
      </c>
      <c r="B10053" s="34" t="s">
        <v>20214</v>
      </c>
      <c r="C10053" s="34" t="s">
        <v>4418</v>
      </c>
      <c r="E10053" s="30" t="s">
        <v>20215</v>
      </c>
      <c r="F10053" s="34" t="n">
        <f aca="false">IFERROR(VLOOKUP($A10053,'319'!$B:$H,7,0),0)</f>
        <v>0</v>
      </c>
      <c r="G10053" s="34" t="n">
        <f aca="false">SUMIFS('12.326ana'!$C:$C,'12.326ana'!$M:$M,redes!A10053)</f>
        <v>0</v>
      </c>
    </row>
    <row r="10054" customFormat="false" ht="14.4" hidden="true" customHeight="false" outlineLevel="0" collapsed="false">
      <c r="A10054" s="34" t="n">
        <v>6256615000240</v>
      </c>
      <c r="B10054" s="34" t="s">
        <v>20216</v>
      </c>
      <c r="C10054" s="34" t="s">
        <v>197</v>
      </c>
      <c r="E10054" s="30" t="s">
        <v>20217</v>
      </c>
      <c r="F10054" s="34" t="n">
        <f aca="false">IFERROR(VLOOKUP($A10054,'319'!$B:$H,7,0),0)</f>
        <v>0</v>
      </c>
      <c r="G10054" s="34" t="n">
        <f aca="false">SUMIFS('12.326ana'!$C:$C,'12.326ana'!$M:$M,redes!A10054)</f>
        <v>0</v>
      </c>
    </row>
    <row r="10055" customFormat="false" ht="14.4" hidden="true" customHeight="false" outlineLevel="0" collapsed="false">
      <c r="A10055" s="34" t="n">
        <v>6257777000112</v>
      </c>
      <c r="B10055" s="34" t="s">
        <v>20218</v>
      </c>
      <c r="C10055" s="34" t="s">
        <v>737</v>
      </c>
      <c r="E10055" s="30" t="s">
        <v>20219</v>
      </c>
      <c r="F10055" s="34" t="n">
        <f aca="false">IFERROR(VLOOKUP($A10055,'319'!$B:$H,7,0),0)</f>
        <v>0</v>
      </c>
      <c r="G10055" s="34" t="n">
        <f aca="false">SUMIFS('12.326ana'!$C:$C,'12.326ana'!$M:$M,redes!A10055)</f>
        <v>0</v>
      </c>
    </row>
    <row r="10056" customFormat="false" ht="14.4" hidden="true" customHeight="false" outlineLevel="0" collapsed="false">
      <c r="A10056" s="34" t="n">
        <v>6258046000191</v>
      </c>
      <c r="B10056" s="34" t="s">
        <v>20220</v>
      </c>
      <c r="C10056" s="34" t="s">
        <v>77</v>
      </c>
      <c r="E10056" s="30" t="s">
        <v>20221</v>
      </c>
      <c r="F10056" s="34" t="n">
        <f aca="false">IFERROR(VLOOKUP($A10056,'319'!$B:$H,7,0),0)</f>
        <v>0</v>
      </c>
      <c r="G10056" s="34" t="n">
        <f aca="false">SUMIFS('12.326ana'!$C:$C,'12.326ana'!$M:$M,redes!A10056)</f>
        <v>0</v>
      </c>
    </row>
    <row r="10057" customFormat="false" ht="14.4" hidden="true" customHeight="false" outlineLevel="0" collapsed="false">
      <c r="A10057" s="34" t="n">
        <v>6264398000150</v>
      </c>
      <c r="B10057" s="34" t="s">
        <v>20222</v>
      </c>
      <c r="C10057" s="34" t="s">
        <v>77</v>
      </c>
      <c r="E10057" s="30" t="s">
        <v>20223</v>
      </c>
      <c r="F10057" s="34" t="n">
        <f aca="false">IFERROR(VLOOKUP($A10057,'319'!$B:$H,7,0),0)</f>
        <v>0</v>
      </c>
      <c r="G10057" s="34" t="n">
        <f aca="false">SUMIFS('12.326ana'!$C:$C,'12.326ana'!$M:$M,redes!A10057)</f>
        <v>0</v>
      </c>
    </row>
    <row r="10058" customFormat="false" ht="14.4" hidden="true" customHeight="false" outlineLevel="0" collapsed="false">
      <c r="A10058" s="34" t="n">
        <v>6264960000145</v>
      </c>
      <c r="B10058" s="34" t="s">
        <v>20224</v>
      </c>
      <c r="C10058" s="34" t="s">
        <v>139</v>
      </c>
      <c r="E10058" s="30" t="s">
        <v>20225</v>
      </c>
      <c r="F10058" s="34" t="n">
        <f aca="false">IFERROR(VLOOKUP($A10058,'319'!$B:$H,7,0),0)</f>
        <v>0</v>
      </c>
      <c r="G10058" s="34" t="n">
        <f aca="false">SUMIFS('12.326ana'!$C:$C,'12.326ana'!$M:$M,redes!A10058)</f>
        <v>0</v>
      </c>
    </row>
    <row r="10059" customFormat="false" ht="14.4" hidden="true" customHeight="false" outlineLevel="0" collapsed="false">
      <c r="A10059" s="34" t="n">
        <v>6265339000104</v>
      </c>
      <c r="B10059" s="34" t="s">
        <v>20226</v>
      </c>
      <c r="C10059" s="34" t="s">
        <v>77</v>
      </c>
      <c r="E10059" s="30" t="s">
        <v>20227</v>
      </c>
      <c r="F10059" s="34" t="n">
        <f aca="false">IFERROR(VLOOKUP($A10059,'319'!$B:$H,7,0),0)</f>
        <v>0</v>
      </c>
      <c r="G10059" s="34" t="n">
        <f aca="false">SUMIFS('12.326ana'!$C:$C,'12.326ana'!$M:$M,redes!A10059)</f>
        <v>0</v>
      </c>
    </row>
    <row r="10060" customFormat="false" ht="14.4" hidden="true" customHeight="false" outlineLevel="0" collapsed="false">
      <c r="A10060" s="34" t="n">
        <v>6265683000195</v>
      </c>
      <c r="B10060" s="34" t="s">
        <v>20228</v>
      </c>
      <c r="C10060" s="34" t="s">
        <v>197</v>
      </c>
      <c r="E10060" s="30" t="s">
        <v>20229</v>
      </c>
      <c r="F10060" s="34" t="n">
        <f aca="false">IFERROR(VLOOKUP($A10060,'319'!$B:$H,7,0),0)</f>
        <v>0</v>
      </c>
      <c r="G10060" s="34" t="n">
        <f aca="false">SUMIFS('12.326ana'!$C:$C,'12.326ana'!$M:$M,redes!A10060)</f>
        <v>0</v>
      </c>
    </row>
    <row r="10061" customFormat="false" ht="14.4" hidden="true" customHeight="false" outlineLevel="0" collapsed="false">
      <c r="A10061" s="34" t="n">
        <v>6266101000195</v>
      </c>
      <c r="B10061" s="34" t="s">
        <v>20230</v>
      </c>
      <c r="C10061" s="34" t="s">
        <v>77</v>
      </c>
      <c r="E10061" s="30" t="s">
        <v>20231</v>
      </c>
      <c r="F10061" s="34" t="n">
        <f aca="false">IFERROR(VLOOKUP($A10061,'319'!$B:$H,7,0),0)</f>
        <v>0</v>
      </c>
      <c r="G10061" s="34" t="n">
        <f aca="false">SUMIFS('12.326ana'!$C:$C,'12.326ana'!$M:$M,redes!A10061)</f>
        <v>0</v>
      </c>
    </row>
    <row r="10062" customFormat="false" ht="14.4" hidden="true" customHeight="false" outlineLevel="0" collapsed="false">
      <c r="A10062" s="34" t="n">
        <v>6272567000101</v>
      </c>
      <c r="B10062" s="34" t="s">
        <v>20232</v>
      </c>
      <c r="C10062" s="34" t="s">
        <v>1272</v>
      </c>
      <c r="E10062" s="30" t="s">
        <v>20233</v>
      </c>
      <c r="F10062" s="34" t="n">
        <f aca="false">IFERROR(VLOOKUP($A10062,'319'!$B:$H,7,0),0)</f>
        <v>0</v>
      </c>
      <c r="G10062" s="34" t="n">
        <f aca="false">SUMIFS('12.326ana'!$C:$C,'12.326ana'!$M:$M,redes!A10062)</f>
        <v>0</v>
      </c>
    </row>
    <row r="10063" customFormat="false" ht="14.4" hidden="true" customHeight="false" outlineLevel="0" collapsed="false">
      <c r="A10063" s="34" t="n">
        <v>6273264000103</v>
      </c>
      <c r="B10063" s="34" t="s">
        <v>20234</v>
      </c>
      <c r="C10063" s="34" t="s">
        <v>781</v>
      </c>
      <c r="E10063" s="30" t="s">
        <v>20235</v>
      </c>
      <c r="F10063" s="34" t="n">
        <f aca="false">IFERROR(VLOOKUP($A10063,'319'!$B:$H,7,0),0)</f>
        <v>0</v>
      </c>
      <c r="G10063" s="34" t="n">
        <f aca="false">SUMIFS('12.326ana'!$C:$C,'12.326ana'!$M:$M,redes!A10063)</f>
        <v>0</v>
      </c>
    </row>
    <row r="10064" customFormat="false" ht="14.4" hidden="true" customHeight="false" outlineLevel="0" collapsed="false">
      <c r="A10064" s="34" t="n">
        <v>6274561000165</v>
      </c>
      <c r="B10064" s="34" t="s">
        <v>20236</v>
      </c>
      <c r="C10064" s="34" t="s">
        <v>77</v>
      </c>
      <c r="E10064" s="30" t="s">
        <v>20237</v>
      </c>
      <c r="F10064" s="34" t="n">
        <f aca="false">IFERROR(VLOOKUP($A10064,'319'!$B:$H,7,0),0)</f>
        <v>0</v>
      </c>
      <c r="G10064" s="34" t="n">
        <f aca="false">SUMIFS('12.326ana'!$C:$C,'12.326ana'!$M:$M,redes!A10064)</f>
        <v>0</v>
      </c>
    </row>
    <row r="10065" customFormat="false" ht="14.4" hidden="true" customHeight="false" outlineLevel="0" collapsed="false">
      <c r="A10065" s="34" t="n">
        <v>6274585000114</v>
      </c>
      <c r="B10065" s="34" t="s">
        <v>20238</v>
      </c>
      <c r="C10065" s="34" t="s">
        <v>139</v>
      </c>
      <c r="E10065" s="30" t="s">
        <v>20239</v>
      </c>
      <c r="F10065" s="34" t="n">
        <f aca="false">IFERROR(VLOOKUP($A10065,'319'!$B:$H,7,0),0)</f>
        <v>0</v>
      </c>
      <c r="G10065" s="34" t="n">
        <f aca="false">SUMIFS('12.326ana'!$C:$C,'12.326ana'!$M:$M,redes!A10065)</f>
        <v>0</v>
      </c>
    </row>
    <row r="10066" customFormat="false" ht="14.4" hidden="true" customHeight="false" outlineLevel="0" collapsed="false">
      <c r="A10066" s="34" t="n">
        <v>6276622000123</v>
      </c>
      <c r="B10066" s="34" t="s">
        <v>9600</v>
      </c>
      <c r="C10066" s="34" t="s">
        <v>197</v>
      </c>
      <c r="E10066" s="30" t="s">
        <v>9601</v>
      </c>
      <c r="F10066" s="34" t="n">
        <f aca="false">IFERROR(VLOOKUP($A10066,'319'!$B:$H,7,0),0)</f>
        <v>0</v>
      </c>
      <c r="G10066" s="34" t="n">
        <f aca="false">SUMIFS('12.326ana'!$C:$C,'12.326ana'!$M:$M,redes!A10066)</f>
        <v>0</v>
      </c>
    </row>
    <row r="10067" customFormat="false" ht="14.4" hidden="true" customHeight="false" outlineLevel="0" collapsed="false">
      <c r="A10067" s="34" t="n">
        <v>6278577000146</v>
      </c>
      <c r="B10067" s="34" t="s">
        <v>20240</v>
      </c>
      <c r="C10067" s="34" t="s">
        <v>107</v>
      </c>
      <c r="E10067" s="30" t="s">
        <v>20241</v>
      </c>
      <c r="F10067" s="34" t="n">
        <f aca="false">IFERROR(VLOOKUP($A10067,'319'!$B:$H,7,0),0)</f>
        <v>0</v>
      </c>
      <c r="G10067" s="34" t="n">
        <f aca="false">SUMIFS('12.326ana'!$C:$C,'12.326ana'!$M:$M,redes!A10067)</f>
        <v>0</v>
      </c>
    </row>
    <row r="10068" customFormat="false" ht="14.4" hidden="true" customHeight="false" outlineLevel="0" collapsed="false">
      <c r="A10068" s="34" t="n">
        <v>6278687000108</v>
      </c>
      <c r="B10068" s="34" t="s">
        <v>20242</v>
      </c>
      <c r="C10068" s="34" t="s">
        <v>842</v>
      </c>
      <c r="E10068" s="30" t="s">
        <v>20243</v>
      </c>
      <c r="F10068" s="34" t="n">
        <f aca="false">IFERROR(VLOOKUP($A10068,'319'!$B:$H,7,0),0)</f>
        <v>0</v>
      </c>
      <c r="G10068" s="34" t="n">
        <f aca="false">SUMIFS('12.326ana'!$C:$C,'12.326ana'!$M:$M,redes!A10068)</f>
        <v>0</v>
      </c>
    </row>
    <row r="10069" customFormat="false" ht="14.4" hidden="true" customHeight="false" outlineLevel="0" collapsed="false">
      <c r="A10069" s="34" t="n">
        <v>6278928000119</v>
      </c>
      <c r="B10069" s="34" t="s">
        <v>20244</v>
      </c>
      <c r="C10069" s="34" t="s">
        <v>77</v>
      </c>
      <c r="E10069" s="30" t="s">
        <v>15457</v>
      </c>
      <c r="F10069" s="34" t="n">
        <f aca="false">IFERROR(VLOOKUP($A10069,'319'!$B:$H,7,0),0)</f>
        <v>0</v>
      </c>
      <c r="G10069" s="34" t="n">
        <f aca="false">SUMIFS('12.326ana'!$C:$C,'12.326ana'!$M:$M,redes!A10069)</f>
        <v>0</v>
      </c>
    </row>
    <row r="10070" customFormat="false" ht="14.4" hidden="true" customHeight="false" outlineLevel="0" collapsed="false">
      <c r="A10070" s="34" t="n">
        <v>6283183000186</v>
      </c>
      <c r="B10070" s="34" t="s">
        <v>20245</v>
      </c>
      <c r="C10070" s="34" t="s">
        <v>77</v>
      </c>
      <c r="E10070" s="30" t="s">
        <v>20246</v>
      </c>
      <c r="F10070" s="34" t="n">
        <f aca="false">IFERROR(VLOOKUP($A10070,'319'!$B:$H,7,0),0)</f>
        <v>0</v>
      </c>
      <c r="G10070" s="34" t="n">
        <f aca="false">SUMIFS('12.326ana'!$C:$C,'12.326ana'!$M:$M,redes!A10070)</f>
        <v>0</v>
      </c>
    </row>
    <row r="10071" customFormat="false" ht="14.4" hidden="true" customHeight="false" outlineLevel="0" collapsed="false">
      <c r="A10071" s="34" t="n">
        <v>6283258000129</v>
      </c>
      <c r="B10071" s="34" t="s">
        <v>20247</v>
      </c>
      <c r="C10071" s="34" t="s">
        <v>77</v>
      </c>
      <c r="E10071" s="30" t="s">
        <v>20248</v>
      </c>
      <c r="F10071" s="34" t="n">
        <f aca="false">IFERROR(VLOOKUP($A10071,'319'!$B:$H,7,0),0)</f>
        <v>0</v>
      </c>
      <c r="G10071" s="34" t="n">
        <f aca="false">SUMIFS('12.326ana'!$C:$C,'12.326ana'!$M:$M,redes!A10071)</f>
        <v>0</v>
      </c>
    </row>
    <row r="10072" customFormat="false" ht="14.4" hidden="true" customHeight="false" outlineLevel="0" collapsed="false">
      <c r="A10072" s="34" t="n">
        <v>6286453000102</v>
      </c>
      <c r="B10072" s="34" t="s">
        <v>20249</v>
      </c>
      <c r="C10072" s="34" t="s">
        <v>77</v>
      </c>
      <c r="E10072" s="30" t="s">
        <v>20250</v>
      </c>
      <c r="F10072" s="34" t="n">
        <f aca="false">IFERROR(VLOOKUP($A10072,'319'!$B:$H,7,0),0)</f>
        <v>0</v>
      </c>
      <c r="G10072" s="34" t="n">
        <f aca="false">SUMIFS('12.326ana'!$C:$C,'12.326ana'!$M:$M,redes!A10072)</f>
        <v>0</v>
      </c>
    </row>
    <row r="10073" customFormat="false" ht="14.4" hidden="true" customHeight="false" outlineLevel="0" collapsed="false">
      <c r="A10073" s="34" t="n">
        <v>6289186000127</v>
      </c>
      <c r="B10073" s="34" t="s">
        <v>20251</v>
      </c>
      <c r="C10073" s="34" t="s">
        <v>77</v>
      </c>
      <c r="E10073" s="30" t="s">
        <v>20252</v>
      </c>
      <c r="F10073" s="34" t="n">
        <f aca="false">IFERROR(VLOOKUP($A10073,'319'!$B:$H,7,0),0)</f>
        <v>0</v>
      </c>
      <c r="G10073" s="34" t="n">
        <f aca="false">SUMIFS('12.326ana'!$C:$C,'12.326ana'!$M:$M,redes!A10073)</f>
        <v>0</v>
      </c>
    </row>
    <row r="10074" customFormat="false" ht="14.4" hidden="true" customHeight="false" outlineLevel="0" collapsed="false">
      <c r="A10074" s="34" t="n">
        <v>6292103000159</v>
      </c>
      <c r="B10074" s="34" t="s">
        <v>20253</v>
      </c>
      <c r="C10074" s="34" t="s">
        <v>781</v>
      </c>
      <c r="E10074" s="30" t="s">
        <v>20254</v>
      </c>
      <c r="F10074" s="34" t="n">
        <f aca="false">IFERROR(VLOOKUP($A10074,'319'!$B:$H,7,0),0)</f>
        <v>0</v>
      </c>
      <c r="G10074" s="34" t="n">
        <f aca="false">SUMIFS('12.326ana'!$C:$C,'12.326ana'!$M:$M,redes!A10074)</f>
        <v>0</v>
      </c>
    </row>
    <row r="10075" customFormat="false" ht="14.4" hidden="true" customHeight="false" outlineLevel="0" collapsed="false">
      <c r="A10075" s="34" t="n">
        <v>6292103000230</v>
      </c>
      <c r="B10075" s="34" t="s">
        <v>20253</v>
      </c>
      <c r="C10075" s="34" t="s">
        <v>781</v>
      </c>
      <c r="E10075" s="30" t="s">
        <v>20255</v>
      </c>
      <c r="F10075" s="34" t="n">
        <f aca="false">IFERROR(VLOOKUP($A10075,'319'!$B:$H,7,0),0)</f>
        <v>0</v>
      </c>
      <c r="G10075" s="34" t="n">
        <f aca="false">SUMIFS('12.326ana'!$C:$C,'12.326ana'!$M:$M,redes!A10075)</f>
        <v>0</v>
      </c>
    </row>
    <row r="10076" customFormat="false" ht="14.4" hidden="true" customHeight="false" outlineLevel="0" collapsed="false">
      <c r="A10076" s="34" t="n">
        <v>6294257000180</v>
      </c>
      <c r="B10076" s="34" t="s">
        <v>5008</v>
      </c>
      <c r="C10076" s="34" t="s">
        <v>77</v>
      </c>
      <c r="E10076" s="30" t="s">
        <v>20256</v>
      </c>
      <c r="F10076" s="34" t="n">
        <f aca="false">IFERROR(VLOOKUP($A10076,'319'!$B:$H,7,0),0)</f>
        <v>0</v>
      </c>
      <c r="G10076" s="34" t="n">
        <f aca="false">SUMIFS('12.326ana'!$C:$C,'12.326ana'!$M:$M,redes!A10076)</f>
        <v>0</v>
      </c>
    </row>
    <row r="10077" customFormat="false" ht="14.4" hidden="true" customHeight="false" outlineLevel="0" collapsed="false">
      <c r="A10077" s="34" t="n">
        <v>6298069000120</v>
      </c>
      <c r="B10077" s="34" t="s">
        <v>6356</v>
      </c>
      <c r="C10077" s="34" t="s">
        <v>299</v>
      </c>
      <c r="E10077" s="30" t="s">
        <v>20257</v>
      </c>
      <c r="F10077" s="34" t="n">
        <f aca="false">IFERROR(VLOOKUP($A10077,'319'!$B:$H,7,0),0)</f>
        <v>0</v>
      </c>
      <c r="G10077" s="34" t="n">
        <f aca="false">SUMIFS('12.326ana'!$C:$C,'12.326ana'!$M:$M,redes!A10077)</f>
        <v>0</v>
      </c>
    </row>
    <row r="10078" customFormat="false" ht="14.4" hidden="true" customHeight="false" outlineLevel="0" collapsed="false">
      <c r="A10078" s="34" t="n">
        <v>6298109000133</v>
      </c>
      <c r="B10078" s="34" t="s">
        <v>20258</v>
      </c>
      <c r="C10078" s="34" t="s">
        <v>581</v>
      </c>
      <c r="E10078" s="30" t="s">
        <v>5070</v>
      </c>
      <c r="F10078" s="34" t="n">
        <f aca="false">IFERROR(VLOOKUP($A10078,'319'!$B:$H,7,0),0)</f>
        <v>0</v>
      </c>
      <c r="G10078" s="34" t="n">
        <f aca="false">SUMIFS('12.326ana'!$C:$C,'12.326ana'!$M:$M,redes!A10078)</f>
        <v>0</v>
      </c>
    </row>
    <row r="10079" customFormat="false" ht="14.4" hidden="true" customHeight="false" outlineLevel="0" collapsed="false">
      <c r="A10079" s="34" t="n">
        <v>6299031000171</v>
      </c>
      <c r="B10079" s="34" t="s">
        <v>9901</v>
      </c>
      <c r="C10079" s="34" t="s">
        <v>357</v>
      </c>
      <c r="E10079" s="30" t="s">
        <v>9902</v>
      </c>
      <c r="F10079" s="34" t="n">
        <f aca="false">IFERROR(VLOOKUP($A10079,'319'!$B:$H,7,0),0)</f>
        <v>0</v>
      </c>
      <c r="G10079" s="34" t="n">
        <f aca="false">SUMIFS('12.326ana'!$C:$C,'12.326ana'!$M:$M,redes!A10079)</f>
        <v>0</v>
      </c>
    </row>
    <row r="10080" customFormat="false" ht="14.4" hidden="true" customHeight="false" outlineLevel="0" collapsed="false">
      <c r="A10080" s="34" t="n">
        <v>6302685000107</v>
      </c>
      <c r="B10080" s="34" t="s">
        <v>20259</v>
      </c>
      <c r="C10080" s="34" t="s">
        <v>20260</v>
      </c>
      <c r="E10080" s="30" t="s">
        <v>20261</v>
      </c>
      <c r="F10080" s="34" t="n">
        <f aca="false">IFERROR(VLOOKUP($A10080,'319'!$B:$H,7,0),0)</f>
        <v>0</v>
      </c>
      <c r="G10080" s="34" t="n">
        <f aca="false">SUMIFS('12.326ana'!$C:$C,'12.326ana'!$M:$M,redes!A10080)</f>
        <v>0</v>
      </c>
    </row>
    <row r="10081" customFormat="false" ht="14.4" hidden="true" customHeight="false" outlineLevel="0" collapsed="false">
      <c r="A10081" s="34" t="n">
        <v>6305092000102</v>
      </c>
      <c r="B10081" s="34" t="s">
        <v>20262</v>
      </c>
      <c r="C10081" s="34" t="s">
        <v>77</v>
      </c>
      <c r="E10081" s="30" t="s">
        <v>20263</v>
      </c>
      <c r="F10081" s="34" t="n">
        <f aca="false">IFERROR(VLOOKUP($A10081,'319'!$B:$H,7,0),0)</f>
        <v>0</v>
      </c>
      <c r="G10081" s="34" t="n">
        <f aca="false">SUMIFS('12.326ana'!$C:$C,'12.326ana'!$M:$M,redes!A10081)</f>
        <v>0</v>
      </c>
    </row>
    <row r="10082" customFormat="false" ht="14.4" hidden="true" customHeight="false" outlineLevel="0" collapsed="false">
      <c r="A10082" s="34" t="n">
        <v>6308730000130</v>
      </c>
      <c r="B10082" s="34" t="s">
        <v>20264</v>
      </c>
      <c r="C10082" s="34" t="s">
        <v>2998</v>
      </c>
      <c r="E10082" s="30" t="s">
        <v>20265</v>
      </c>
      <c r="F10082" s="34" t="n">
        <f aca="false">IFERROR(VLOOKUP($A10082,'319'!$B:$H,7,0),0)</f>
        <v>0</v>
      </c>
      <c r="G10082" s="34" t="n">
        <f aca="false">SUMIFS('12.326ana'!$C:$C,'12.326ana'!$M:$M,redes!A10082)</f>
        <v>0</v>
      </c>
    </row>
    <row r="10083" customFormat="false" ht="14.4" hidden="true" customHeight="false" outlineLevel="0" collapsed="false">
      <c r="A10083" s="34" t="n">
        <v>6309510000121</v>
      </c>
      <c r="B10083" s="34" t="s">
        <v>20266</v>
      </c>
      <c r="C10083" s="34" t="s">
        <v>473</v>
      </c>
      <c r="E10083" s="30" t="s">
        <v>20267</v>
      </c>
      <c r="F10083" s="34" t="n">
        <f aca="false">IFERROR(VLOOKUP($A10083,'319'!$B:$H,7,0),0)</f>
        <v>0</v>
      </c>
      <c r="G10083" s="34" t="n">
        <f aca="false">SUMIFS('12.326ana'!$C:$C,'12.326ana'!$M:$M,redes!A10083)</f>
        <v>0</v>
      </c>
    </row>
    <row r="10084" customFormat="false" ht="14.4" hidden="true" customHeight="false" outlineLevel="0" collapsed="false">
      <c r="A10084" s="34" t="n">
        <v>6309552000162</v>
      </c>
      <c r="B10084" s="34" t="s">
        <v>20268</v>
      </c>
      <c r="C10084" s="34" t="s">
        <v>103</v>
      </c>
      <c r="E10084" s="30" t="s">
        <v>20268</v>
      </c>
      <c r="F10084" s="34" t="n">
        <f aca="false">IFERROR(VLOOKUP($A10084,'319'!$B:$H,7,0),0)</f>
        <v>0</v>
      </c>
      <c r="G10084" s="34" t="n">
        <f aca="false">SUMIFS('12.326ana'!$C:$C,'12.326ana'!$M:$M,redes!A10084)</f>
        <v>0</v>
      </c>
    </row>
    <row r="10085" customFormat="false" ht="14.4" hidden="true" customHeight="false" outlineLevel="0" collapsed="false">
      <c r="A10085" s="34" t="n">
        <v>6310117000158</v>
      </c>
      <c r="B10085" s="34" t="s">
        <v>20269</v>
      </c>
      <c r="C10085" s="34" t="s">
        <v>77</v>
      </c>
      <c r="E10085" s="30" t="s">
        <v>20270</v>
      </c>
      <c r="F10085" s="34" t="n">
        <f aca="false">IFERROR(VLOOKUP($A10085,'319'!$B:$H,7,0),0)</f>
        <v>0</v>
      </c>
      <c r="G10085" s="34" t="n">
        <f aca="false">SUMIFS('12.326ana'!$C:$C,'12.326ana'!$M:$M,redes!A10085)</f>
        <v>0</v>
      </c>
    </row>
    <row r="10086" customFormat="false" ht="14.4" hidden="true" customHeight="false" outlineLevel="0" collapsed="false">
      <c r="A10086" s="34" t="n">
        <v>6310298000112</v>
      </c>
      <c r="B10086" s="34" t="s">
        <v>20271</v>
      </c>
      <c r="C10086" s="34" t="s">
        <v>4139</v>
      </c>
      <c r="E10086" s="30" t="s">
        <v>11474</v>
      </c>
      <c r="F10086" s="34" t="n">
        <f aca="false">IFERROR(VLOOKUP($A10086,'319'!$B:$H,7,0),0)</f>
        <v>0</v>
      </c>
      <c r="G10086" s="34" t="n">
        <f aca="false">SUMIFS('12.326ana'!$C:$C,'12.326ana'!$M:$M,redes!A10086)</f>
        <v>0</v>
      </c>
    </row>
    <row r="10087" customFormat="false" ht="14.4" hidden="true" customHeight="false" outlineLevel="0" collapsed="false">
      <c r="A10087" s="34" t="n">
        <v>6311168000102</v>
      </c>
      <c r="B10087" s="34" t="s">
        <v>20272</v>
      </c>
      <c r="C10087" s="34" t="s">
        <v>4156</v>
      </c>
      <c r="E10087" s="30" t="s">
        <v>20273</v>
      </c>
      <c r="F10087" s="34" t="n">
        <f aca="false">IFERROR(VLOOKUP($A10087,'319'!$B:$H,7,0),0)</f>
        <v>0</v>
      </c>
      <c r="G10087" s="34" t="n">
        <f aca="false">SUMIFS('12.326ana'!$C:$C,'12.326ana'!$M:$M,redes!A10087)</f>
        <v>0</v>
      </c>
    </row>
    <row r="10088" customFormat="false" ht="14.4" hidden="true" customHeight="false" outlineLevel="0" collapsed="false">
      <c r="A10088" s="34" t="n">
        <v>6314994000105</v>
      </c>
      <c r="B10088" s="34" t="s">
        <v>20274</v>
      </c>
      <c r="C10088" s="34" t="s">
        <v>464</v>
      </c>
      <c r="E10088" s="30" t="s">
        <v>20275</v>
      </c>
      <c r="F10088" s="34" t="n">
        <f aca="false">IFERROR(VLOOKUP($A10088,'319'!$B:$H,7,0),0)</f>
        <v>0</v>
      </c>
      <c r="G10088" s="34" t="n">
        <f aca="false">SUMIFS('12.326ana'!$C:$C,'12.326ana'!$M:$M,redes!A10088)</f>
        <v>0</v>
      </c>
    </row>
    <row r="10089" customFormat="false" ht="14.4" hidden="true" customHeight="false" outlineLevel="0" collapsed="false">
      <c r="A10089" s="34" t="n">
        <v>6316789000170</v>
      </c>
      <c r="B10089" s="34" t="s">
        <v>20276</v>
      </c>
      <c r="C10089" s="34" t="s">
        <v>562</v>
      </c>
      <c r="E10089" s="30" t="s">
        <v>20277</v>
      </c>
      <c r="F10089" s="34" t="n">
        <f aca="false">IFERROR(VLOOKUP($A10089,'319'!$B:$H,7,0),0)</f>
        <v>0</v>
      </c>
      <c r="G10089" s="34" t="n">
        <f aca="false">SUMIFS('12.326ana'!$C:$C,'12.326ana'!$M:$M,redes!A10089)</f>
        <v>0</v>
      </c>
    </row>
    <row r="10090" customFormat="false" ht="14.4" hidden="true" customHeight="false" outlineLevel="0" collapsed="false">
      <c r="A10090" s="34" t="n">
        <v>6317477000181</v>
      </c>
      <c r="B10090" s="34" t="s">
        <v>20278</v>
      </c>
      <c r="C10090" s="34" t="s">
        <v>107</v>
      </c>
      <c r="E10090" s="30" t="s">
        <v>15901</v>
      </c>
      <c r="F10090" s="34" t="n">
        <f aca="false">IFERROR(VLOOKUP($A10090,'319'!$B:$H,7,0),0)</f>
        <v>0</v>
      </c>
      <c r="G10090" s="34" t="n">
        <f aca="false">SUMIFS('12.326ana'!$C:$C,'12.326ana'!$M:$M,redes!A10090)</f>
        <v>0</v>
      </c>
    </row>
    <row r="10091" customFormat="false" ht="14.4" hidden="true" customHeight="false" outlineLevel="0" collapsed="false">
      <c r="A10091" s="34" t="n">
        <v>6317660000187</v>
      </c>
      <c r="B10091" s="34" t="s">
        <v>20279</v>
      </c>
      <c r="C10091" s="34" t="s">
        <v>77</v>
      </c>
      <c r="E10091" s="30" t="s">
        <v>20280</v>
      </c>
      <c r="F10091" s="34" t="n">
        <f aca="false">IFERROR(VLOOKUP($A10091,'319'!$B:$H,7,0),0)</f>
        <v>0</v>
      </c>
      <c r="G10091" s="34" t="n">
        <f aca="false">SUMIFS('12.326ana'!$C:$C,'12.326ana'!$M:$M,redes!A10091)</f>
        <v>0</v>
      </c>
    </row>
    <row r="10092" customFormat="false" ht="14.4" hidden="true" customHeight="false" outlineLevel="0" collapsed="false">
      <c r="A10092" s="34" t="n">
        <v>6318170000103</v>
      </c>
      <c r="B10092" s="34" t="s">
        <v>20281</v>
      </c>
      <c r="C10092" s="34" t="s">
        <v>77</v>
      </c>
      <c r="E10092" s="30" t="s">
        <v>3080</v>
      </c>
      <c r="F10092" s="34" t="n">
        <f aca="false">IFERROR(VLOOKUP($A10092,'319'!$B:$H,7,0),0)</f>
        <v>0</v>
      </c>
      <c r="G10092" s="34" t="n">
        <f aca="false">SUMIFS('12.326ana'!$C:$C,'12.326ana'!$M:$M,redes!A10092)</f>
        <v>0</v>
      </c>
    </row>
    <row r="10093" customFormat="false" ht="14.4" hidden="true" customHeight="false" outlineLevel="0" collapsed="false">
      <c r="A10093" s="34" t="n">
        <v>6321930000123</v>
      </c>
      <c r="B10093" s="34" t="s">
        <v>20282</v>
      </c>
      <c r="C10093" s="34" t="s">
        <v>1054</v>
      </c>
      <c r="E10093" s="30" t="s">
        <v>20283</v>
      </c>
      <c r="F10093" s="34" t="n">
        <f aca="false">IFERROR(VLOOKUP($A10093,'319'!$B:$H,7,0),0)</f>
        <v>0</v>
      </c>
      <c r="G10093" s="34" t="n">
        <f aca="false">SUMIFS('12.326ana'!$C:$C,'12.326ana'!$M:$M,redes!A10093)</f>
        <v>0</v>
      </c>
    </row>
    <row r="10094" customFormat="false" ht="14.4" hidden="true" customHeight="false" outlineLevel="0" collapsed="false">
      <c r="A10094" s="34" t="n">
        <v>6322722000149</v>
      </c>
      <c r="B10094" s="34" t="s">
        <v>20284</v>
      </c>
      <c r="C10094" s="34" t="s">
        <v>77</v>
      </c>
      <c r="E10094" s="30" t="s">
        <v>20285</v>
      </c>
      <c r="F10094" s="34" t="n">
        <f aca="false">IFERROR(VLOOKUP($A10094,'319'!$B:$H,7,0),0)</f>
        <v>0</v>
      </c>
      <c r="G10094" s="34" t="n">
        <f aca="false">SUMIFS('12.326ana'!$C:$C,'12.326ana'!$M:$M,redes!A10094)</f>
        <v>0</v>
      </c>
    </row>
    <row r="10095" customFormat="false" ht="14.4" hidden="true" customHeight="false" outlineLevel="0" collapsed="false">
      <c r="A10095" s="34" t="n">
        <v>6322769000102</v>
      </c>
      <c r="B10095" s="34" t="s">
        <v>20286</v>
      </c>
      <c r="C10095" s="34" t="s">
        <v>77</v>
      </c>
      <c r="E10095" s="30" t="s">
        <v>20287</v>
      </c>
      <c r="F10095" s="34" t="n">
        <f aca="false">IFERROR(VLOOKUP($A10095,'319'!$B:$H,7,0),0)</f>
        <v>0</v>
      </c>
      <c r="G10095" s="34" t="n">
        <f aca="false">SUMIFS('12.326ana'!$C:$C,'12.326ana'!$M:$M,redes!A10095)</f>
        <v>0</v>
      </c>
    </row>
    <row r="10096" customFormat="false" ht="14.4" hidden="true" customHeight="false" outlineLevel="0" collapsed="false">
      <c r="A10096" s="34" t="n">
        <v>6325156000129</v>
      </c>
      <c r="B10096" s="34" t="s">
        <v>20288</v>
      </c>
      <c r="C10096" s="34" t="s">
        <v>737</v>
      </c>
      <c r="E10096" s="30" t="s">
        <v>20289</v>
      </c>
      <c r="F10096" s="34" t="n">
        <f aca="false">IFERROR(VLOOKUP($A10096,'319'!$B:$H,7,0),0)</f>
        <v>0</v>
      </c>
      <c r="G10096" s="34" t="n">
        <f aca="false">SUMIFS('12.326ana'!$C:$C,'12.326ana'!$M:$M,redes!A10096)</f>
        <v>0</v>
      </c>
    </row>
    <row r="10097" customFormat="false" ht="14.4" hidden="true" customHeight="false" outlineLevel="0" collapsed="false">
      <c r="A10097" s="34" t="n">
        <v>6327796000178</v>
      </c>
      <c r="B10097" s="34" t="s">
        <v>20290</v>
      </c>
      <c r="C10097" s="34" t="s">
        <v>127</v>
      </c>
      <c r="E10097" s="30" t="s">
        <v>12557</v>
      </c>
      <c r="F10097" s="34" t="n">
        <f aca="false">IFERROR(VLOOKUP($A10097,'319'!$B:$H,7,0),0)</f>
        <v>0</v>
      </c>
      <c r="G10097" s="34" t="n">
        <f aca="false">SUMIFS('12.326ana'!$C:$C,'12.326ana'!$M:$M,redes!A10097)</f>
        <v>0</v>
      </c>
    </row>
    <row r="10098" customFormat="false" ht="14.4" hidden="true" customHeight="false" outlineLevel="0" collapsed="false">
      <c r="A10098" s="34" t="n">
        <v>6332561000174</v>
      </c>
      <c r="B10098" s="34" t="s">
        <v>20291</v>
      </c>
      <c r="C10098" s="34" t="s">
        <v>197</v>
      </c>
      <c r="E10098" s="30" t="s">
        <v>20292</v>
      </c>
      <c r="F10098" s="34" t="n">
        <f aca="false">IFERROR(VLOOKUP($A10098,'319'!$B:$H,7,0),0)</f>
        <v>0</v>
      </c>
      <c r="G10098" s="34" t="n">
        <f aca="false">SUMIFS('12.326ana'!$C:$C,'12.326ana'!$M:$M,redes!A10098)</f>
        <v>0</v>
      </c>
    </row>
    <row r="10099" customFormat="false" ht="14.4" hidden="true" customHeight="false" outlineLevel="0" collapsed="false">
      <c r="A10099" s="34" t="n">
        <v>6336268000185</v>
      </c>
      <c r="B10099" s="34" t="s">
        <v>20293</v>
      </c>
      <c r="C10099" s="34" t="s">
        <v>77</v>
      </c>
      <c r="E10099" s="30" t="s">
        <v>20294</v>
      </c>
      <c r="F10099" s="34" t="n">
        <f aca="false">IFERROR(VLOOKUP($A10099,'319'!$B:$H,7,0),0)</f>
        <v>0</v>
      </c>
      <c r="G10099" s="34" t="n">
        <f aca="false">SUMIFS('12.326ana'!$C:$C,'12.326ana'!$M:$M,redes!A10099)</f>
        <v>0</v>
      </c>
    </row>
    <row r="10100" customFormat="false" ht="14.4" hidden="true" customHeight="false" outlineLevel="0" collapsed="false">
      <c r="A10100" s="34" t="n">
        <v>6338576000140</v>
      </c>
      <c r="B10100" s="34" t="s">
        <v>20295</v>
      </c>
      <c r="C10100" s="34" t="s">
        <v>1272</v>
      </c>
      <c r="E10100" s="30" t="s">
        <v>2912</v>
      </c>
      <c r="F10100" s="34" t="n">
        <f aca="false">IFERROR(VLOOKUP($A10100,'319'!$B:$H,7,0),0)</f>
        <v>0</v>
      </c>
      <c r="G10100" s="34" t="n">
        <f aca="false">SUMIFS('12.326ana'!$C:$C,'12.326ana'!$M:$M,redes!A10100)</f>
        <v>0</v>
      </c>
    </row>
    <row r="10101" customFormat="false" ht="14.4" hidden="true" customHeight="false" outlineLevel="0" collapsed="false">
      <c r="A10101" s="35" t="n">
        <v>6341660000112</v>
      </c>
      <c r="B10101" s="34" t="s">
        <v>20296</v>
      </c>
      <c r="C10101" s="34" t="s">
        <v>463</v>
      </c>
      <c r="E10101" s="30" t="s">
        <v>20297</v>
      </c>
      <c r="F10101" s="34" t="n">
        <f aca="false">IFERROR(VLOOKUP($A10101,'319'!$B:$H,7,0),0)</f>
        <v>0</v>
      </c>
      <c r="G10101" s="34" t="n">
        <f aca="false">SUMIFS('12.326ana'!$C:$C,'12.326ana'!$M:$M,redes!A10101)</f>
        <v>0</v>
      </c>
    </row>
    <row r="10102" customFormat="false" ht="14.4" hidden="true" customHeight="false" outlineLevel="0" collapsed="false">
      <c r="A10102" s="35" t="n">
        <v>6345325000192</v>
      </c>
      <c r="B10102" s="34" t="s">
        <v>20298</v>
      </c>
      <c r="C10102" s="34" t="s">
        <v>139</v>
      </c>
      <c r="E10102" s="30" t="s">
        <v>20299</v>
      </c>
      <c r="F10102" s="34" t="n">
        <f aca="false">IFERROR(VLOOKUP($A10102,'319'!$B:$H,7,0),0)</f>
        <v>0</v>
      </c>
      <c r="G10102" s="34" t="n">
        <f aca="false">SUMIFS('12.326ana'!$C:$C,'12.326ana'!$M:$M,redes!A10102)</f>
        <v>0</v>
      </c>
    </row>
    <row r="10103" customFormat="false" ht="14.4" hidden="true" customHeight="false" outlineLevel="0" collapsed="false">
      <c r="A10103" s="35" t="n">
        <v>6349980000119</v>
      </c>
      <c r="B10103" s="34" t="s">
        <v>20300</v>
      </c>
      <c r="C10103" s="34" t="s">
        <v>604</v>
      </c>
      <c r="E10103" s="30" t="s">
        <v>20301</v>
      </c>
      <c r="F10103" s="34" t="n">
        <f aca="false">IFERROR(VLOOKUP($A10103,'319'!$B:$H,7,0),0)</f>
        <v>0</v>
      </c>
      <c r="G10103" s="34" t="n">
        <f aca="false">SUMIFS('12.326ana'!$C:$C,'12.326ana'!$M:$M,redes!A10103)</f>
        <v>0</v>
      </c>
    </row>
    <row r="10104" customFormat="false" ht="14.4" hidden="true" customHeight="false" outlineLevel="0" collapsed="false">
      <c r="A10104" s="35" t="n">
        <v>6351090000141</v>
      </c>
      <c r="B10104" s="34" t="s">
        <v>20302</v>
      </c>
      <c r="C10104" s="34" t="s">
        <v>77</v>
      </c>
      <c r="E10104" s="30" t="s">
        <v>20303</v>
      </c>
      <c r="F10104" s="34" t="n">
        <f aca="false">IFERROR(VLOOKUP($A10104,'319'!$B:$H,7,0),0)</f>
        <v>0</v>
      </c>
      <c r="G10104" s="34" t="n">
        <f aca="false">SUMIFS('12.326ana'!$C:$C,'12.326ana'!$M:$M,redes!A10104)</f>
        <v>0</v>
      </c>
    </row>
    <row r="10105" customFormat="false" ht="14.4" hidden="true" customHeight="false" outlineLevel="0" collapsed="false">
      <c r="A10105" s="35" t="n">
        <v>6354392000173</v>
      </c>
      <c r="B10105" s="34" t="s">
        <v>20304</v>
      </c>
      <c r="C10105" s="34" t="s">
        <v>342</v>
      </c>
      <c r="E10105" s="30" t="s">
        <v>14407</v>
      </c>
      <c r="F10105" s="34" t="n">
        <f aca="false">IFERROR(VLOOKUP($A10105,'319'!$B:$H,7,0),0)</f>
        <v>0</v>
      </c>
      <c r="G10105" s="34" t="n">
        <f aca="false">SUMIFS('12.326ana'!$C:$C,'12.326ana'!$M:$M,redes!A10105)</f>
        <v>0</v>
      </c>
    </row>
    <row r="10106" customFormat="false" ht="14.4" hidden="true" customHeight="false" outlineLevel="0" collapsed="false">
      <c r="A10106" s="35" t="n">
        <v>6371206000104</v>
      </c>
      <c r="B10106" s="34" t="s">
        <v>20305</v>
      </c>
      <c r="C10106" s="34" t="s">
        <v>89</v>
      </c>
      <c r="E10106" s="30" t="s">
        <v>7071</v>
      </c>
      <c r="F10106" s="34" t="n">
        <f aca="false">IFERROR(VLOOKUP($A10106,'319'!$B:$H,7,0),0)</f>
        <v>0</v>
      </c>
      <c r="G10106" s="34" t="n">
        <f aca="false">SUMIFS('12.326ana'!$C:$C,'12.326ana'!$M:$M,redes!A10106)</f>
        <v>0</v>
      </c>
    </row>
    <row r="10107" customFormat="false" ht="14.4" hidden="true" customHeight="false" outlineLevel="0" collapsed="false">
      <c r="A10107" s="35" t="n">
        <v>6372090000128</v>
      </c>
      <c r="B10107" s="34" t="s">
        <v>20306</v>
      </c>
      <c r="C10107" s="34" t="s">
        <v>309</v>
      </c>
      <c r="E10107" s="30" t="s">
        <v>9554</v>
      </c>
      <c r="F10107" s="34" t="n">
        <f aca="false">IFERROR(VLOOKUP($A10107,'319'!$B:$H,7,0),0)</f>
        <v>0</v>
      </c>
      <c r="G10107" s="34" t="n">
        <f aca="false">SUMIFS('12.326ana'!$C:$C,'12.326ana'!$M:$M,redes!A10107)</f>
        <v>0</v>
      </c>
    </row>
    <row r="10108" customFormat="false" ht="14.4" hidden="true" customHeight="false" outlineLevel="0" collapsed="false">
      <c r="A10108" s="35" t="n">
        <v>6372588000190</v>
      </c>
      <c r="B10108" s="34" t="s">
        <v>20307</v>
      </c>
      <c r="C10108" s="34" t="s">
        <v>107</v>
      </c>
      <c r="E10108" s="30" t="s">
        <v>8871</v>
      </c>
      <c r="F10108" s="34" t="n">
        <f aca="false">IFERROR(VLOOKUP($A10108,'319'!$B:$H,7,0),0)</f>
        <v>0</v>
      </c>
      <c r="G10108" s="34" t="n">
        <f aca="false">SUMIFS('12.326ana'!$C:$C,'12.326ana'!$M:$M,redes!A10108)</f>
        <v>0</v>
      </c>
    </row>
    <row r="10109" customFormat="false" ht="14.4" hidden="true" customHeight="false" outlineLevel="0" collapsed="false">
      <c r="A10109" s="35" t="n">
        <v>6376188000153</v>
      </c>
      <c r="B10109" s="34" t="s">
        <v>20308</v>
      </c>
      <c r="C10109" s="34" t="s">
        <v>377</v>
      </c>
      <c r="E10109" s="30" t="s">
        <v>4006</v>
      </c>
      <c r="F10109" s="34" t="n">
        <f aca="false">IFERROR(VLOOKUP($A10109,'319'!$B:$H,7,0),0)</f>
        <v>0</v>
      </c>
      <c r="G10109" s="34" t="n">
        <f aca="false">SUMIFS('12.326ana'!$C:$C,'12.326ana'!$M:$M,redes!A10109)</f>
        <v>0</v>
      </c>
    </row>
    <row r="10110" customFormat="false" ht="14.4" hidden="true" customHeight="false" outlineLevel="0" collapsed="false">
      <c r="A10110" s="35" t="n">
        <v>6376346000175</v>
      </c>
      <c r="B10110" s="34" t="s">
        <v>20309</v>
      </c>
      <c r="C10110" s="34" t="s">
        <v>89</v>
      </c>
      <c r="E10110" s="30" t="s">
        <v>20310</v>
      </c>
      <c r="F10110" s="34" t="n">
        <f aca="false">IFERROR(VLOOKUP($A10110,'319'!$B:$H,7,0),0)</f>
        <v>0</v>
      </c>
      <c r="G10110" s="34" t="n">
        <f aca="false">SUMIFS('12.326ana'!$C:$C,'12.326ana'!$M:$M,redes!A10110)</f>
        <v>0</v>
      </c>
    </row>
    <row r="10111" customFormat="false" ht="14.4" hidden="true" customHeight="false" outlineLevel="0" collapsed="false">
      <c r="A10111" s="35" t="n">
        <v>6376996000110</v>
      </c>
      <c r="B10111" s="34" t="s">
        <v>20311</v>
      </c>
      <c r="C10111" s="34" t="s">
        <v>139</v>
      </c>
      <c r="E10111" s="30" t="s">
        <v>11160</v>
      </c>
      <c r="F10111" s="34" t="n">
        <f aca="false">IFERROR(VLOOKUP($A10111,'319'!$B:$H,7,0),0)</f>
        <v>0</v>
      </c>
      <c r="G10111" s="34" t="n">
        <f aca="false">SUMIFS('12.326ana'!$C:$C,'12.326ana'!$M:$M,redes!A10111)</f>
        <v>0</v>
      </c>
    </row>
    <row r="10112" customFormat="false" ht="14.4" hidden="true" customHeight="false" outlineLevel="0" collapsed="false">
      <c r="A10112" s="35" t="n">
        <v>6532523000165</v>
      </c>
      <c r="B10112" s="34" t="s">
        <v>20312</v>
      </c>
      <c r="C10112" s="34" t="s">
        <v>781</v>
      </c>
      <c r="E10112" s="30" t="s">
        <v>20313</v>
      </c>
      <c r="F10112" s="34" t="n">
        <f aca="false">IFERROR(VLOOKUP($A10112,'319'!$B:$H,7,0),0)</f>
        <v>0</v>
      </c>
      <c r="G10112" s="34" t="n">
        <f aca="false">SUMIFS('12.326ana'!$C:$C,'12.326ana'!$M:$M,redes!A10112)</f>
        <v>0</v>
      </c>
    </row>
    <row r="10113" customFormat="false" ht="14.4" hidden="true" customHeight="false" outlineLevel="0" collapsed="false">
      <c r="A10113" s="34" t="n">
        <v>6538480000125</v>
      </c>
      <c r="B10113" s="34" t="s">
        <v>20314</v>
      </c>
      <c r="C10113" s="34" t="s">
        <v>139</v>
      </c>
      <c r="E10113" s="30" t="s">
        <v>20315</v>
      </c>
      <c r="F10113" s="34" t="n">
        <f aca="false">IFERROR(VLOOKUP($A10113,'319'!$B:$H,7,0),0)</f>
        <v>0</v>
      </c>
      <c r="G10113" s="34" t="n">
        <f aca="false">SUMIFS('12.326ana'!$C:$C,'12.326ana'!$M:$M,redes!A10113)</f>
        <v>0</v>
      </c>
    </row>
    <row r="10114" customFormat="false" ht="14.4" hidden="true" customHeight="false" outlineLevel="0" collapsed="false">
      <c r="A10114" s="34" t="n">
        <v>6560659000189</v>
      </c>
      <c r="B10114" s="34" t="s">
        <v>20316</v>
      </c>
      <c r="C10114" s="34" t="s">
        <v>463</v>
      </c>
      <c r="D10114" s="34" t="s">
        <v>9598</v>
      </c>
      <c r="E10114" s="30" t="s">
        <v>3066</v>
      </c>
      <c r="F10114" s="34" t="n">
        <f aca="false">IFERROR(VLOOKUP($A10114,'319'!$B:$H,7,0),0)</f>
        <v>0</v>
      </c>
      <c r="G10114" s="34" t="n">
        <f aca="false">SUMIFS('12.326ana'!$C:$C,'12.326ana'!$M:$M,redes!A10114)</f>
        <v>0</v>
      </c>
    </row>
    <row r="10115" customFormat="false" ht="14.4" hidden="true" customHeight="false" outlineLevel="0" collapsed="false">
      <c r="A10115" s="34" t="n">
        <v>6568720000134</v>
      </c>
      <c r="B10115" s="34" t="s">
        <v>20317</v>
      </c>
      <c r="C10115" s="34" t="s">
        <v>562</v>
      </c>
      <c r="E10115" s="30" t="s">
        <v>20318</v>
      </c>
      <c r="F10115" s="34" t="n">
        <f aca="false">IFERROR(VLOOKUP($A10115,'319'!$B:$H,7,0),0)</f>
        <v>0</v>
      </c>
      <c r="G10115" s="34" t="n">
        <f aca="false">SUMIFS('12.326ana'!$C:$C,'12.326ana'!$M:$M,redes!A10115)</f>
        <v>0</v>
      </c>
    </row>
    <row r="10116" customFormat="false" ht="14.4" hidden="true" customHeight="false" outlineLevel="0" collapsed="false">
      <c r="A10116" s="34" t="n">
        <v>6659082000167</v>
      </c>
      <c r="B10116" s="34" t="s">
        <v>20319</v>
      </c>
      <c r="C10116" s="34" t="s">
        <v>77</v>
      </c>
      <c r="E10116" s="30" t="s">
        <v>20320</v>
      </c>
      <c r="F10116" s="34" t="n">
        <f aca="false">IFERROR(VLOOKUP($A10116,'319'!$B:$H,7,0),0)</f>
        <v>0</v>
      </c>
      <c r="G10116" s="34" t="n">
        <f aca="false">SUMIFS('12.326ana'!$C:$C,'12.326ana'!$M:$M,redes!A10116)</f>
        <v>0</v>
      </c>
    </row>
    <row r="10117" customFormat="false" ht="14.4" hidden="true" customHeight="false" outlineLevel="0" collapsed="false">
      <c r="A10117" s="34" t="n">
        <v>6698562000137</v>
      </c>
      <c r="B10117" s="34" t="s">
        <v>20321</v>
      </c>
      <c r="C10117" s="34" t="s">
        <v>77</v>
      </c>
      <c r="E10117" s="30" t="s">
        <v>20322</v>
      </c>
      <c r="F10117" s="34" t="n">
        <f aca="false">IFERROR(VLOOKUP($A10117,'319'!$B:$H,7,0),0)</f>
        <v>0</v>
      </c>
      <c r="G10117" s="34" t="n">
        <f aca="false">SUMIFS('12.326ana'!$C:$C,'12.326ana'!$M:$M,redes!A10117)</f>
        <v>0</v>
      </c>
    </row>
    <row r="10118" customFormat="false" ht="14.4" hidden="true" customHeight="false" outlineLevel="0" collapsed="false">
      <c r="A10118" s="34" t="n">
        <v>6698705000100</v>
      </c>
      <c r="B10118" s="34" t="s">
        <v>20323</v>
      </c>
      <c r="C10118" s="34" t="s">
        <v>139</v>
      </c>
      <c r="E10118" s="30" t="s">
        <v>20324</v>
      </c>
      <c r="F10118" s="34" t="n">
        <f aca="false">IFERROR(VLOOKUP($A10118,'319'!$B:$H,7,0),0)</f>
        <v>0</v>
      </c>
      <c r="G10118" s="34" t="n">
        <f aca="false">SUMIFS('12.326ana'!$C:$C,'12.326ana'!$M:$M,redes!A10118)</f>
        <v>0</v>
      </c>
    </row>
    <row r="10119" customFormat="false" ht="14.4" hidden="true" customHeight="false" outlineLevel="0" collapsed="false">
      <c r="A10119" s="34" t="n">
        <v>6707931000100</v>
      </c>
      <c r="B10119" s="34" t="s">
        <v>20325</v>
      </c>
      <c r="C10119" s="34" t="s">
        <v>107</v>
      </c>
      <c r="E10119" s="30"/>
      <c r="F10119" s="34" t="n">
        <f aca="false">IFERROR(VLOOKUP($A10119,'319'!$B:$H,7,0),0)</f>
        <v>0</v>
      </c>
      <c r="G10119" s="34" t="n">
        <f aca="false">SUMIFS('12.326ana'!$C:$C,'12.326ana'!$M:$M,redes!A10119)</f>
        <v>0</v>
      </c>
    </row>
    <row r="10120" customFormat="false" ht="14.4" hidden="true" customHeight="false" outlineLevel="0" collapsed="false">
      <c r="A10120" s="34" t="n">
        <v>6766291000100</v>
      </c>
      <c r="B10120" s="34" t="s">
        <v>20326</v>
      </c>
      <c r="C10120" s="34" t="s">
        <v>107</v>
      </c>
      <c r="E10120" s="30" t="s">
        <v>20327</v>
      </c>
      <c r="F10120" s="34" t="n">
        <f aca="false">IFERROR(VLOOKUP($A10120,'319'!$B:$H,7,0),0)</f>
        <v>0</v>
      </c>
      <c r="G10120" s="34" t="n">
        <f aca="false">SUMIFS('12.326ana'!$C:$C,'12.326ana'!$M:$M,redes!A10120)</f>
        <v>0</v>
      </c>
    </row>
    <row r="10121" customFormat="false" ht="14.4" hidden="true" customHeight="false" outlineLevel="0" collapsed="false">
      <c r="A10121" s="34" t="n">
        <v>6784319000131</v>
      </c>
      <c r="B10121" s="34" t="s">
        <v>20328</v>
      </c>
      <c r="C10121" s="34" t="s">
        <v>342</v>
      </c>
      <c r="E10121" s="30" t="s">
        <v>15289</v>
      </c>
      <c r="F10121" s="34" t="n">
        <f aca="false">IFERROR(VLOOKUP($A10121,'319'!$B:$H,7,0),0)</f>
        <v>0</v>
      </c>
      <c r="G10121" s="34" t="n">
        <f aca="false">SUMIFS('12.326ana'!$C:$C,'12.326ana'!$M:$M,redes!A10121)</f>
        <v>0</v>
      </c>
    </row>
    <row r="10122" customFormat="false" ht="14.4" hidden="true" customHeight="false" outlineLevel="0" collapsed="false">
      <c r="A10122" s="34" t="n">
        <v>6789272000107</v>
      </c>
      <c r="B10122" s="34" t="s">
        <v>1050</v>
      </c>
      <c r="C10122" s="34" t="s">
        <v>77</v>
      </c>
      <c r="E10122" s="30" t="s">
        <v>7179</v>
      </c>
      <c r="F10122" s="34" t="n">
        <f aca="false">IFERROR(VLOOKUP($A10122,'319'!$B:$H,7,0),0)</f>
        <v>742.51</v>
      </c>
      <c r="G10122" s="34" t="n">
        <f aca="false">SUMIFS('12.326ana'!$C:$C,'12.326ana'!$M:$M,redes!A10122)</f>
        <v>0</v>
      </c>
    </row>
    <row r="10123" customFormat="false" ht="14.4" hidden="true" customHeight="false" outlineLevel="0" collapsed="false">
      <c r="A10123" s="34" t="n">
        <v>6789576000166</v>
      </c>
      <c r="B10123" s="34" t="s">
        <v>20329</v>
      </c>
      <c r="C10123" s="34" t="s">
        <v>77</v>
      </c>
      <c r="E10123" s="30" t="s">
        <v>4960</v>
      </c>
      <c r="F10123" s="34" t="n">
        <f aca="false">IFERROR(VLOOKUP($A10123,'319'!$B:$H,7,0),0)</f>
        <v>0</v>
      </c>
      <c r="G10123" s="34" t="n">
        <f aca="false">SUMIFS('12.326ana'!$C:$C,'12.326ana'!$M:$M,redes!A10123)</f>
        <v>0</v>
      </c>
    </row>
    <row r="10124" customFormat="false" ht="14.4" hidden="true" customHeight="false" outlineLevel="0" collapsed="false">
      <c r="A10124" s="34" t="n">
        <v>6813685000171</v>
      </c>
      <c r="B10124" s="34" t="s">
        <v>512</v>
      </c>
      <c r="C10124" s="34" t="s">
        <v>309</v>
      </c>
      <c r="D10124" s="34" t="s">
        <v>26</v>
      </c>
      <c r="E10124" s="30" t="s">
        <v>2854</v>
      </c>
      <c r="F10124" s="34" t="n">
        <f aca="false">IFERROR(VLOOKUP($A10124,'319'!$B:$H,7,0),0)</f>
        <v>0</v>
      </c>
      <c r="G10124" s="34" t="n">
        <f aca="false">SUMIFS('12.326ana'!$C:$C,'12.326ana'!$M:$M,redes!A10124)</f>
        <v>0</v>
      </c>
    </row>
    <row r="10125" customFormat="false" ht="14.4" hidden="true" customHeight="false" outlineLevel="0" collapsed="false">
      <c r="A10125" s="34" t="n">
        <v>6813685000333</v>
      </c>
      <c r="B10125" s="34" t="s">
        <v>512</v>
      </c>
      <c r="C10125" s="34" t="s">
        <v>1591</v>
      </c>
      <c r="D10125" s="34" t="s">
        <v>26</v>
      </c>
      <c r="E10125" s="30" t="s">
        <v>2854</v>
      </c>
      <c r="F10125" s="34" t="n">
        <f aca="false">IFERROR(VLOOKUP($A10125,'319'!$B:$H,7,0),0)</f>
        <v>0</v>
      </c>
      <c r="G10125" s="34" t="n">
        <f aca="false">SUMIFS('12.326ana'!$C:$C,'12.326ana'!$M:$M,redes!A10125)</f>
        <v>0</v>
      </c>
    </row>
    <row r="10126" customFormat="false" ht="14.4" hidden="true" customHeight="false" outlineLevel="0" collapsed="false">
      <c r="A10126" s="34" t="n">
        <v>6813685000414</v>
      </c>
      <c r="B10126" s="34" t="s">
        <v>512</v>
      </c>
      <c r="C10126" s="34" t="s">
        <v>309</v>
      </c>
      <c r="D10126" s="34" t="s">
        <v>26</v>
      </c>
      <c r="E10126" s="30" t="s">
        <v>2855</v>
      </c>
      <c r="F10126" s="34" t="n">
        <f aca="false">IFERROR(VLOOKUP($A10126,'319'!$B:$H,7,0),0)</f>
        <v>0</v>
      </c>
      <c r="G10126" s="34" t="n">
        <f aca="false">SUMIFS('12.326ana'!$C:$C,'12.326ana'!$M:$M,redes!A10126)</f>
        <v>0</v>
      </c>
    </row>
    <row r="10127" customFormat="false" ht="14.4" hidden="true" customHeight="false" outlineLevel="0" collapsed="false">
      <c r="A10127" s="34" t="n">
        <v>6813685000503</v>
      </c>
      <c r="B10127" s="34" t="s">
        <v>512</v>
      </c>
      <c r="C10127" s="34" t="s">
        <v>309</v>
      </c>
      <c r="D10127" s="34" t="s">
        <v>26</v>
      </c>
      <c r="E10127" s="30" t="s">
        <v>2854</v>
      </c>
      <c r="F10127" s="34" t="n">
        <f aca="false">IFERROR(VLOOKUP($A10127,'319'!$B:$H,7,0),0)</f>
        <v>0</v>
      </c>
      <c r="G10127" s="34" t="n">
        <f aca="false">SUMIFS('12.326ana'!$C:$C,'12.326ana'!$M:$M,redes!A10127)</f>
        <v>0</v>
      </c>
    </row>
    <row r="10128" customFormat="false" ht="14.4" hidden="true" customHeight="false" outlineLevel="0" collapsed="false">
      <c r="A10128" s="34" t="n">
        <v>6813685000767</v>
      </c>
      <c r="B10128" s="34" t="s">
        <v>512</v>
      </c>
      <c r="C10128" s="34" t="s">
        <v>309</v>
      </c>
      <c r="D10128" s="34" t="s">
        <v>26</v>
      </c>
      <c r="E10128" s="30" t="s">
        <v>2854</v>
      </c>
      <c r="F10128" s="34" t="n">
        <f aca="false">IFERROR(VLOOKUP($A10128,'319'!$B:$H,7,0),0)</f>
        <v>0</v>
      </c>
      <c r="G10128" s="34" t="n">
        <f aca="false">SUMIFS('12.326ana'!$C:$C,'12.326ana'!$M:$M,redes!A10128)</f>
        <v>0</v>
      </c>
    </row>
    <row r="10129" customFormat="false" ht="14.4" hidden="true" customHeight="false" outlineLevel="0" collapsed="false">
      <c r="A10129" s="34" t="n">
        <v>6813685000848</v>
      </c>
      <c r="B10129" s="34" t="s">
        <v>512</v>
      </c>
      <c r="C10129" s="34" t="s">
        <v>309</v>
      </c>
      <c r="D10129" s="34" t="s">
        <v>26</v>
      </c>
      <c r="E10129" s="30" t="s">
        <v>512</v>
      </c>
      <c r="F10129" s="34" t="n">
        <f aca="false">IFERROR(VLOOKUP($A10129,'319'!$B:$H,7,0),0)</f>
        <v>0</v>
      </c>
      <c r="G10129" s="34" t="n">
        <f aca="false">SUMIFS('12.326ana'!$C:$C,'12.326ana'!$M:$M,redes!A10129)</f>
        <v>0</v>
      </c>
    </row>
    <row r="10130" customFormat="false" ht="14.4" hidden="true" customHeight="false" outlineLevel="0" collapsed="false">
      <c r="A10130" s="34" t="n">
        <v>6813685000929</v>
      </c>
      <c r="B10130" s="34" t="s">
        <v>512</v>
      </c>
      <c r="C10130" s="34" t="s">
        <v>604</v>
      </c>
      <c r="D10130" s="34" t="s">
        <v>26</v>
      </c>
      <c r="E10130" s="30" t="s">
        <v>2856</v>
      </c>
      <c r="F10130" s="34" t="n">
        <f aca="false">IFERROR(VLOOKUP($A10130,'319'!$B:$H,7,0),0)</f>
        <v>0</v>
      </c>
      <c r="G10130" s="34" t="n">
        <f aca="false">SUMIFS('12.326ana'!$C:$C,'12.326ana'!$M:$M,redes!A10130)</f>
        <v>0</v>
      </c>
    </row>
    <row r="10131" customFormat="false" ht="14.4" hidden="true" customHeight="false" outlineLevel="0" collapsed="false">
      <c r="A10131" s="34" t="n">
        <v>6813685001062</v>
      </c>
      <c r="B10131" s="34" t="s">
        <v>512</v>
      </c>
      <c r="C10131" s="34" t="s">
        <v>935</v>
      </c>
      <c r="D10131" s="34" t="s">
        <v>26</v>
      </c>
      <c r="E10131" s="30" t="s">
        <v>2857</v>
      </c>
      <c r="F10131" s="34" t="n">
        <f aca="false">IFERROR(VLOOKUP($A10131,'319'!$B:$H,7,0),0)</f>
        <v>0</v>
      </c>
      <c r="G10131" s="34" t="n">
        <f aca="false">SUMIFS('12.326ana'!$C:$C,'12.326ana'!$M:$M,redes!A10131)</f>
        <v>0</v>
      </c>
    </row>
    <row r="10132" customFormat="false" ht="14.4" hidden="true" customHeight="false" outlineLevel="0" collapsed="false">
      <c r="A10132" s="34" t="n">
        <v>6813685001143</v>
      </c>
      <c r="B10132" s="34" t="s">
        <v>512</v>
      </c>
      <c r="C10132" s="34" t="s">
        <v>309</v>
      </c>
      <c r="D10132" s="34" t="s">
        <v>26</v>
      </c>
      <c r="E10132" s="30" t="s">
        <v>2858</v>
      </c>
      <c r="F10132" s="34" t="n">
        <f aca="false">IFERROR(VLOOKUP($A10132,'319'!$B:$H,7,0),0)</f>
        <v>0</v>
      </c>
      <c r="G10132" s="34" t="n">
        <f aca="false">SUMIFS('12.326ana'!$C:$C,'12.326ana'!$M:$M,redes!A10132)</f>
        <v>0</v>
      </c>
    </row>
    <row r="10133" customFormat="false" ht="14.4" hidden="true" customHeight="false" outlineLevel="0" collapsed="false">
      <c r="A10133" s="34" t="n">
        <v>6813685001305</v>
      </c>
      <c r="B10133" s="34" t="s">
        <v>512</v>
      </c>
      <c r="C10133" s="34" t="s">
        <v>139</v>
      </c>
      <c r="D10133" s="34" t="s">
        <v>26</v>
      </c>
      <c r="E10133" s="30" t="s">
        <v>2859</v>
      </c>
      <c r="F10133" s="34" t="n">
        <f aca="false">IFERROR(VLOOKUP($A10133,'319'!$B:$H,7,0),0)</f>
        <v>0</v>
      </c>
      <c r="G10133" s="34" t="n">
        <f aca="false">SUMIFS('12.326ana'!$C:$C,'12.326ana'!$M:$M,redes!A10133)</f>
        <v>0</v>
      </c>
    </row>
    <row r="10134" customFormat="false" ht="14.4" hidden="true" customHeight="false" outlineLevel="0" collapsed="false">
      <c r="A10134" s="34" t="n">
        <v>6813685001496</v>
      </c>
      <c r="B10134" s="34" t="s">
        <v>512</v>
      </c>
      <c r="C10134" s="34" t="s">
        <v>309</v>
      </c>
      <c r="D10134" s="34" t="s">
        <v>26</v>
      </c>
      <c r="E10134" s="30" t="s">
        <v>2860</v>
      </c>
      <c r="F10134" s="34" t="n">
        <f aca="false">IFERROR(VLOOKUP($A10134,'319'!$B:$H,7,0),0)</f>
        <v>78869.4</v>
      </c>
      <c r="G10134" s="34" t="n">
        <f aca="false">SUMIFS('12.326ana'!$C:$C,'12.326ana'!$M:$M,redes!A10134)</f>
        <v>92383.44</v>
      </c>
    </row>
    <row r="10135" customFormat="false" ht="14.4" hidden="true" customHeight="false" outlineLevel="0" collapsed="false">
      <c r="A10135" s="34" t="n">
        <v>6813685001577</v>
      </c>
      <c r="B10135" s="34" t="s">
        <v>512</v>
      </c>
      <c r="C10135" s="34" t="s">
        <v>139</v>
      </c>
      <c r="D10135" s="34" t="s">
        <v>26</v>
      </c>
      <c r="E10135" s="30" t="s">
        <v>512</v>
      </c>
      <c r="F10135" s="34" t="n">
        <f aca="false">IFERROR(VLOOKUP($A10135,'319'!$B:$H,7,0),0)</f>
        <v>52724.26</v>
      </c>
      <c r="G10135" s="34" t="n">
        <f aca="false">SUMIFS('12.326ana'!$C:$C,'12.326ana'!$M:$M,redes!A10135)</f>
        <v>57683.67</v>
      </c>
    </row>
    <row r="10136" customFormat="false" ht="14.4" hidden="true" customHeight="false" outlineLevel="0" collapsed="false">
      <c r="A10136" s="34" t="n">
        <v>6832093000105</v>
      </c>
      <c r="B10136" s="34" t="s">
        <v>20330</v>
      </c>
      <c r="C10136" s="34" t="s">
        <v>994</v>
      </c>
      <c r="E10136" s="30" t="s">
        <v>20331</v>
      </c>
      <c r="F10136" s="34" t="n">
        <f aca="false">IFERROR(VLOOKUP($A10136,'319'!$B:$H,7,0),0)</f>
        <v>0</v>
      </c>
      <c r="G10136" s="34" t="n">
        <f aca="false">SUMIFS('12.326ana'!$C:$C,'12.326ana'!$M:$M,redes!A10136)</f>
        <v>0</v>
      </c>
    </row>
    <row r="10137" customFormat="false" ht="14.4" hidden="true" customHeight="false" outlineLevel="0" collapsed="false">
      <c r="A10137" s="34" t="n">
        <v>6859612000110</v>
      </c>
      <c r="B10137" s="34" t="s">
        <v>20332</v>
      </c>
      <c r="C10137" s="34" t="s">
        <v>336</v>
      </c>
      <c r="E10137" s="30" t="s">
        <v>20333</v>
      </c>
      <c r="F10137" s="34" t="n">
        <f aca="false">IFERROR(VLOOKUP($A10137,'319'!$B:$H,7,0),0)</f>
        <v>0</v>
      </c>
      <c r="G10137" s="34" t="n">
        <f aca="false">SUMIFS('12.326ana'!$C:$C,'12.326ana'!$M:$M,redes!A10137)</f>
        <v>0</v>
      </c>
    </row>
    <row r="10138" customFormat="false" ht="14.4" hidden="true" customHeight="false" outlineLevel="0" collapsed="false">
      <c r="A10138" s="34" t="n">
        <v>6859681000124</v>
      </c>
      <c r="B10138" s="34" t="s">
        <v>20334</v>
      </c>
      <c r="C10138" s="34" t="s">
        <v>328</v>
      </c>
      <c r="E10138" s="30" t="s">
        <v>20335</v>
      </c>
      <c r="F10138" s="34" t="n">
        <f aca="false">IFERROR(VLOOKUP($A10138,'319'!$B:$H,7,0),0)</f>
        <v>0</v>
      </c>
      <c r="G10138" s="34" t="n">
        <f aca="false">SUMIFS('12.326ana'!$C:$C,'12.326ana'!$M:$M,redes!A10138)</f>
        <v>0</v>
      </c>
    </row>
    <row r="10139" customFormat="false" ht="14.4" hidden="true" customHeight="false" outlineLevel="0" collapsed="false">
      <c r="A10139" s="34" t="n">
        <v>6864059000104</v>
      </c>
      <c r="B10139" s="34" t="s">
        <v>20336</v>
      </c>
      <c r="C10139" s="34" t="s">
        <v>117</v>
      </c>
      <c r="E10139" s="30" t="s">
        <v>3194</v>
      </c>
      <c r="F10139" s="34" t="n">
        <f aca="false">IFERROR(VLOOKUP($A10139,'319'!$B:$H,7,0),0)</f>
        <v>0</v>
      </c>
      <c r="G10139" s="34" t="n">
        <f aca="false">SUMIFS('12.326ana'!$C:$C,'12.326ana'!$M:$M,redes!A10139)</f>
        <v>0</v>
      </c>
    </row>
    <row r="10140" customFormat="false" ht="14.4" hidden="true" customHeight="false" outlineLevel="0" collapsed="false">
      <c r="A10140" s="34" t="n">
        <v>6864332000109</v>
      </c>
      <c r="B10140" s="34" t="s">
        <v>20337</v>
      </c>
      <c r="C10140" s="34" t="s">
        <v>336</v>
      </c>
      <c r="E10140" s="30" t="s">
        <v>20338</v>
      </c>
      <c r="F10140" s="34" t="n">
        <f aca="false">IFERROR(VLOOKUP($A10140,'319'!$B:$H,7,0),0)</f>
        <v>0</v>
      </c>
      <c r="G10140" s="34" t="n">
        <f aca="false">SUMIFS('12.326ana'!$C:$C,'12.326ana'!$M:$M,redes!A10140)</f>
        <v>0</v>
      </c>
    </row>
    <row r="10141" customFormat="false" ht="14.4" hidden="true" customHeight="false" outlineLevel="0" collapsed="false">
      <c r="A10141" s="34" t="n">
        <v>6876948000191</v>
      </c>
      <c r="B10141" s="34" t="s">
        <v>20339</v>
      </c>
      <c r="C10141" s="34" t="s">
        <v>77</v>
      </c>
      <c r="E10141" s="30" t="s">
        <v>20340</v>
      </c>
      <c r="F10141" s="34" t="n">
        <f aca="false">IFERROR(VLOOKUP($A10141,'319'!$B:$H,7,0),0)</f>
        <v>0</v>
      </c>
      <c r="G10141" s="34" t="n">
        <f aca="false">SUMIFS('12.326ana'!$C:$C,'12.326ana'!$M:$M,redes!A10141)</f>
        <v>0</v>
      </c>
    </row>
    <row r="10142" customFormat="false" ht="14.4" hidden="true" customHeight="false" outlineLevel="0" collapsed="false">
      <c r="A10142" s="34" t="n">
        <v>6878184000173</v>
      </c>
      <c r="B10142" s="34" t="s">
        <v>20341</v>
      </c>
      <c r="C10142" s="34" t="s">
        <v>103</v>
      </c>
      <c r="E10142" s="30" t="s">
        <v>20342</v>
      </c>
      <c r="F10142" s="34" t="n">
        <f aca="false">IFERROR(VLOOKUP($A10142,'319'!$B:$H,7,0),0)</f>
        <v>0</v>
      </c>
      <c r="G10142" s="34" t="n">
        <f aca="false">SUMIFS('12.326ana'!$C:$C,'12.326ana'!$M:$M,redes!A10142)</f>
        <v>0</v>
      </c>
    </row>
    <row r="10143" customFormat="false" ht="14.4" hidden="true" customHeight="false" outlineLevel="0" collapsed="false">
      <c r="A10143" s="34" t="n">
        <v>6879110000151</v>
      </c>
      <c r="B10143" s="34" t="s">
        <v>20343</v>
      </c>
      <c r="C10143" s="34" t="s">
        <v>77</v>
      </c>
      <c r="E10143" s="30" t="s">
        <v>20206</v>
      </c>
      <c r="F10143" s="34" t="n">
        <f aca="false">IFERROR(VLOOKUP($A10143,'319'!$B:$H,7,0),0)</f>
        <v>0</v>
      </c>
      <c r="G10143" s="34" t="n">
        <f aca="false">SUMIFS('12.326ana'!$C:$C,'12.326ana'!$M:$M,redes!A10143)</f>
        <v>0</v>
      </c>
    </row>
    <row r="10144" customFormat="false" ht="14.4" hidden="true" customHeight="false" outlineLevel="0" collapsed="false">
      <c r="A10144" s="34" t="n">
        <v>6885475000199</v>
      </c>
      <c r="B10144" s="34" t="s">
        <v>20344</v>
      </c>
      <c r="C10144" s="34" t="s">
        <v>213</v>
      </c>
      <c r="E10144" s="30" t="s">
        <v>20345</v>
      </c>
      <c r="F10144" s="34" t="n">
        <f aca="false">IFERROR(VLOOKUP($A10144,'319'!$B:$H,7,0),0)</f>
        <v>0</v>
      </c>
      <c r="G10144" s="34" t="n">
        <f aca="false">SUMIFS('12.326ana'!$C:$C,'12.326ana'!$M:$M,redes!A10144)</f>
        <v>0</v>
      </c>
    </row>
    <row r="10145" customFormat="false" ht="14.4" hidden="true" customHeight="false" outlineLevel="0" collapsed="false">
      <c r="A10145" s="34" t="n">
        <v>6894427000167</v>
      </c>
      <c r="B10145" s="34" t="s">
        <v>20346</v>
      </c>
      <c r="C10145" s="34" t="s">
        <v>463</v>
      </c>
      <c r="E10145" s="30" t="s">
        <v>20347</v>
      </c>
      <c r="F10145" s="34" t="n">
        <f aca="false">IFERROR(VLOOKUP($A10145,'319'!$B:$H,7,0),0)</f>
        <v>0</v>
      </c>
      <c r="G10145" s="34" t="n">
        <f aca="false">SUMIFS('12.326ana'!$C:$C,'12.326ana'!$M:$M,redes!A10145)</f>
        <v>0</v>
      </c>
    </row>
    <row r="10146" customFormat="false" ht="14.4" hidden="true" customHeight="false" outlineLevel="0" collapsed="false">
      <c r="A10146" s="34" t="n">
        <v>6895046000100</v>
      </c>
      <c r="B10146" s="34" t="s">
        <v>20348</v>
      </c>
      <c r="C10146" s="34" t="s">
        <v>103</v>
      </c>
      <c r="E10146" s="30" t="s">
        <v>20349</v>
      </c>
      <c r="F10146" s="34" t="n">
        <f aca="false">IFERROR(VLOOKUP($A10146,'319'!$B:$H,7,0),0)</f>
        <v>0</v>
      </c>
      <c r="G10146" s="34" t="n">
        <f aca="false">SUMIFS('12.326ana'!$C:$C,'12.326ana'!$M:$M,redes!A10146)</f>
        <v>0</v>
      </c>
    </row>
    <row r="10147" customFormat="false" ht="14.4" hidden="true" customHeight="false" outlineLevel="0" collapsed="false">
      <c r="A10147" s="34" t="n">
        <v>6901109000186</v>
      </c>
      <c r="B10147" s="34" t="s">
        <v>20350</v>
      </c>
      <c r="C10147" s="34" t="s">
        <v>77</v>
      </c>
      <c r="E10147" s="30" t="s">
        <v>20351</v>
      </c>
      <c r="F10147" s="34" t="n">
        <f aca="false">IFERROR(VLOOKUP($A10147,'319'!$B:$H,7,0),0)</f>
        <v>0</v>
      </c>
      <c r="G10147" s="34" t="n">
        <f aca="false">SUMIFS('12.326ana'!$C:$C,'12.326ana'!$M:$M,redes!A10147)</f>
        <v>0</v>
      </c>
    </row>
    <row r="10148" customFormat="false" ht="14.4" hidden="true" customHeight="false" outlineLevel="0" collapsed="false">
      <c r="A10148" s="34" t="n">
        <v>6907292000127</v>
      </c>
      <c r="B10148" s="34" t="s">
        <v>20352</v>
      </c>
      <c r="C10148" s="34" t="s">
        <v>77</v>
      </c>
      <c r="E10148" s="30" t="s">
        <v>20353</v>
      </c>
      <c r="F10148" s="34" t="n">
        <f aca="false">IFERROR(VLOOKUP($A10148,'319'!$B:$H,7,0),0)</f>
        <v>0</v>
      </c>
      <c r="G10148" s="34" t="n">
        <f aca="false">SUMIFS('12.326ana'!$C:$C,'12.326ana'!$M:$M,redes!A10148)</f>
        <v>0</v>
      </c>
    </row>
    <row r="10149" customFormat="false" ht="14.4" hidden="true" customHeight="false" outlineLevel="0" collapsed="false">
      <c r="A10149" s="34" t="n">
        <v>6907685000130</v>
      </c>
      <c r="B10149" s="34" t="s">
        <v>20354</v>
      </c>
      <c r="C10149" s="34" t="s">
        <v>2998</v>
      </c>
      <c r="E10149" s="30" t="s">
        <v>20355</v>
      </c>
      <c r="F10149" s="34" t="n">
        <f aca="false">IFERROR(VLOOKUP($A10149,'319'!$B:$H,7,0),0)</f>
        <v>0</v>
      </c>
      <c r="G10149" s="34" t="n">
        <f aca="false">SUMIFS('12.326ana'!$C:$C,'12.326ana'!$M:$M,redes!A10149)</f>
        <v>0</v>
      </c>
    </row>
    <row r="10150" customFormat="false" ht="14.4" hidden="true" customHeight="false" outlineLevel="0" collapsed="false">
      <c r="A10150" s="34" t="n">
        <v>6908555000112</v>
      </c>
      <c r="B10150" s="34" t="s">
        <v>20356</v>
      </c>
      <c r="C10150" s="34" t="s">
        <v>473</v>
      </c>
      <c r="E10150" s="30" t="s">
        <v>12494</v>
      </c>
      <c r="F10150" s="34" t="n">
        <f aca="false">IFERROR(VLOOKUP($A10150,'319'!$B:$H,7,0),0)</f>
        <v>0</v>
      </c>
      <c r="G10150" s="34" t="n">
        <f aca="false">SUMIFS('12.326ana'!$C:$C,'12.326ana'!$M:$M,redes!A10150)</f>
        <v>0</v>
      </c>
    </row>
    <row r="10151" customFormat="false" ht="14.4" hidden="true" customHeight="false" outlineLevel="0" collapsed="false">
      <c r="A10151" s="34" t="n">
        <v>6912230000103</v>
      </c>
      <c r="B10151" s="34" t="s">
        <v>20357</v>
      </c>
      <c r="C10151" s="34" t="s">
        <v>77</v>
      </c>
      <c r="E10151" s="30" t="s">
        <v>20358</v>
      </c>
      <c r="F10151" s="34" t="n">
        <f aca="false">IFERROR(VLOOKUP($A10151,'319'!$B:$H,7,0),0)</f>
        <v>0</v>
      </c>
      <c r="G10151" s="34" t="n">
        <f aca="false">SUMIFS('12.326ana'!$C:$C,'12.326ana'!$M:$M,redes!A10151)</f>
        <v>0</v>
      </c>
    </row>
    <row r="10152" customFormat="false" ht="14.4" hidden="true" customHeight="false" outlineLevel="0" collapsed="false">
      <c r="A10152" s="34" t="n">
        <v>6912234000191</v>
      </c>
      <c r="B10152" s="34" t="s">
        <v>20359</v>
      </c>
      <c r="C10152" s="34" t="s">
        <v>562</v>
      </c>
      <c r="E10152" s="30" t="s">
        <v>20360</v>
      </c>
      <c r="F10152" s="34" t="n">
        <f aca="false">IFERROR(VLOOKUP($A10152,'319'!$B:$H,7,0),0)</f>
        <v>0</v>
      </c>
      <c r="G10152" s="34" t="n">
        <f aca="false">SUMIFS('12.326ana'!$C:$C,'12.326ana'!$M:$M,redes!A10152)</f>
        <v>0</v>
      </c>
    </row>
    <row r="10153" customFormat="false" ht="14.4" hidden="true" customHeight="false" outlineLevel="0" collapsed="false">
      <c r="A10153" s="34" t="n">
        <v>6914827000197</v>
      </c>
      <c r="B10153" s="34" t="s">
        <v>20361</v>
      </c>
      <c r="C10153" s="34" t="s">
        <v>77</v>
      </c>
      <c r="E10153" s="30" t="s">
        <v>20362</v>
      </c>
      <c r="F10153" s="34" t="n">
        <f aca="false">IFERROR(VLOOKUP($A10153,'319'!$B:$H,7,0),0)</f>
        <v>723.58</v>
      </c>
      <c r="G10153" s="34" t="n">
        <f aca="false">SUMIFS('12.326ana'!$C:$C,'12.326ana'!$M:$M,redes!A10153)</f>
        <v>0</v>
      </c>
    </row>
    <row r="10154" customFormat="false" ht="14.4" hidden="true" customHeight="false" outlineLevel="0" collapsed="false">
      <c r="A10154" s="34" t="n">
        <v>6914890000123</v>
      </c>
      <c r="B10154" s="34" t="s">
        <v>20363</v>
      </c>
      <c r="C10154" s="34" t="s">
        <v>77</v>
      </c>
      <c r="E10154" s="30" t="s">
        <v>20364</v>
      </c>
      <c r="F10154" s="34" t="n">
        <f aca="false">IFERROR(VLOOKUP($A10154,'319'!$B:$H,7,0),0)</f>
        <v>0</v>
      </c>
      <c r="G10154" s="34" t="n">
        <f aca="false">SUMIFS('12.326ana'!$C:$C,'12.326ana'!$M:$M,redes!A10154)</f>
        <v>0</v>
      </c>
    </row>
    <row r="10155" customFormat="false" ht="14.4" hidden="true" customHeight="false" outlineLevel="0" collapsed="false">
      <c r="A10155" s="34" t="n">
        <v>6916099000152</v>
      </c>
      <c r="B10155" s="34" t="s">
        <v>20365</v>
      </c>
      <c r="C10155" s="34" t="s">
        <v>309</v>
      </c>
      <c r="E10155" s="30" t="s">
        <v>20366</v>
      </c>
      <c r="F10155" s="34" t="n">
        <f aca="false">IFERROR(VLOOKUP($A10155,'319'!$B:$H,7,0),0)</f>
        <v>0</v>
      </c>
      <c r="G10155" s="34" t="n">
        <f aca="false">SUMIFS('12.326ana'!$C:$C,'12.326ana'!$M:$M,redes!A10155)</f>
        <v>0</v>
      </c>
    </row>
    <row r="10156" customFormat="false" ht="14.4" hidden="true" customHeight="false" outlineLevel="0" collapsed="false">
      <c r="A10156" s="34" t="n">
        <v>6921346000370</v>
      </c>
      <c r="B10156" s="34" t="s">
        <v>20367</v>
      </c>
      <c r="C10156" s="34" t="s">
        <v>77</v>
      </c>
      <c r="E10156" s="30" t="s">
        <v>20368</v>
      </c>
      <c r="F10156" s="34" t="n">
        <f aca="false">IFERROR(VLOOKUP($A10156,'319'!$B:$H,7,0),0)</f>
        <v>0</v>
      </c>
      <c r="G10156" s="34" t="n">
        <f aca="false">SUMIFS('12.326ana'!$C:$C,'12.326ana'!$M:$M,redes!A10156)</f>
        <v>0</v>
      </c>
    </row>
    <row r="10157" customFormat="false" ht="14.4" hidden="true" customHeight="false" outlineLevel="0" collapsed="false">
      <c r="A10157" s="34" t="n">
        <v>6921387000103</v>
      </c>
      <c r="B10157" s="34" t="s">
        <v>20369</v>
      </c>
      <c r="C10157" s="34" t="s">
        <v>77</v>
      </c>
      <c r="E10157" s="30" t="s">
        <v>4969</v>
      </c>
      <c r="F10157" s="34" t="n">
        <f aca="false">IFERROR(VLOOKUP($A10157,'319'!$B:$H,7,0),0)</f>
        <v>0</v>
      </c>
      <c r="G10157" s="34" t="n">
        <f aca="false">SUMIFS('12.326ana'!$C:$C,'12.326ana'!$M:$M,redes!A10157)</f>
        <v>0</v>
      </c>
    </row>
    <row r="10158" customFormat="false" ht="14.4" hidden="true" customHeight="false" outlineLevel="0" collapsed="false">
      <c r="A10158" s="34" t="n">
        <v>6922578000181</v>
      </c>
      <c r="B10158" s="34" t="s">
        <v>20370</v>
      </c>
      <c r="C10158" s="34" t="s">
        <v>781</v>
      </c>
      <c r="E10158" s="30" t="s">
        <v>7268</v>
      </c>
      <c r="F10158" s="34" t="n">
        <f aca="false">IFERROR(VLOOKUP($A10158,'319'!$B:$H,7,0),0)</f>
        <v>32.22</v>
      </c>
      <c r="G10158" s="34" t="n">
        <f aca="false">SUMIFS('12.326ana'!$C:$C,'12.326ana'!$M:$M,redes!A10158)</f>
        <v>0</v>
      </c>
    </row>
    <row r="10159" customFormat="false" ht="14.4" hidden="true" customHeight="false" outlineLevel="0" collapsed="false">
      <c r="A10159" s="34" t="n">
        <v>6923720000105</v>
      </c>
      <c r="B10159" s="34" t="s">
        <v>20371</v>
      </c>
      <c r="C10159" s="34" t="s">
        <v>357</v>
      </c>
      <c r="E10159" s="30" t="s">
        <v>20372</v>
      </c>
      <c r="F10159" s="34" t="n">
        <f aca="false">IFERROR(VLOOKUP($A10159,'319'!$B:$H,7,0),0)</f>
        <v>0</v>
      </c>
      <c r="G10159" s="34" t="n">
        <f aca="false">SUMIFS('12.326ana'!$C:$C,'12.326ana'!$M:$M,redes!A10159)</f>
        <v>0</v>
      </c>
    </row>
    <row r="10160" customFormat="false" ht="14.4" hidden="true" customHeight="false" outlineLevel="0" collapsed="false">
      <c r="A10160" s="34" t="n">
        <v>6929992000112</v>
      </c>
      <c r="B10160" s="34" t="s">
        <v>20373</v>
      </c>
      <c r="C10160" s="34" t="s">
        <v>77</v>
      </c>
      <c r="E10160" s="30" t="s">
        <v>10847</v>
      </c>
      <c r="F10160" s="34" t="n">
        <f aca="false">IFERROR(VLOOKUP($A10160,'319'!$B:$H,7,0),0)</f>
        <v>0</v>
      </c>
      <c r="G10160" s="34" t="n">
        <f aca="false">SUMIFS('12.326ana'!$C:$C,'12.326ana'!$M:$M,redes!A10160)</f>
        <v>0</v>
      </c>
    </row>
    <row r="10161" customFormat="false" ht="14.4" hidden="true" customHeight="false" outlineLevel="0" collapsed="false">
      <c r="A10161" s="34" t="n">
        <v>6933781000153</v>
      </c>
      <c r="B10161" s="34" t="s">
        <v>20374</v>
      </c>
      <c r="C10161" s="34" t="s">
        <v>107</v>
      </c>
      <c r="E10161" s="30" t="s">
        <v>20375</v>
      </c>
      <c r="F10161" s="34" t="n">
        <f aca="false">IFERROR(VLOOKUP($A10161,'319'!$B:$H,7,0),0)</f>
        <v>0</v>
      </c>
      <c r="G10161" s="34" t="n">
        <f aca="false">SUMIFS('12.326ana'!$C:$C,'12.326ana'!$M:$M,redes!A10161)</f>
        <v>0</v>
      </c>
    </row>
    <row r="10162" customFormat="false" ht="14.4" hidden="true" customHeight="false" outlineLevel="0" collapsed="false">
      <c r="A10162" s="34" t="n">
        <v>6934454000116</v>
      </c>
      <c r="B10162" s="34" t="s">
        <v>20376</v>
      </c>
      <c r="C10162" s="34" t="s">
        <v>77</v>
      </c>
      <c r="E10162" s="30" t="s">
        <v>20377</v>
      </c>
      <c r="F10162" s="34" t="n">
        <f aca="false">IFERROR(VLOOKUP($A10162,'319'!$B:$H,7,0),0)</f>
        <v>0</v>
      </c>
      <c r="G10162" s="34" t="n">
        <f aca="false">SUMIFS('12.326ana'!$C:$C,'12.326ana'!$M:$M,redes!A10162)</f>
        <v>0</v>
      </c>
    </row>
    <row r="10163" customFormat="false" ht="14.4" hidden="true" customHeight="false" outlineLevel="0" collapsed="false">
      <c r="A10163" s="34" t="n">
        <v>6934577000157</v>
      </c>
      <c r="B10163" s="34" t="s">
        <v>20378</v>
      </c>
      <c r="C10163" s="34" t="s">
        <v>77</v>
      </c>
      <c r="E10163" s="30" t="s">
        <v>20379</v>
      </c>
      <c r="F10163" s="34" t="n">
        <f aca="false">IFERROR(VLOOKUP($A10163,'319'!$B:$H,7,0),0)</f>
        <v>0</v>
      </c>
      <c r="G10163" s="34" t="n">
        <f aca="false">SUMIFS('12.326ana'!$C:$C,'12.326ana'!$M:$M,redes!A10163)</f>
        <v>0</v>
      </c>
    </row>
    <row r="10164" customFormat="false" ht="14.4" hidden="true" customHeight="false" outlineLevel="0" collapsed="false">
      <c r="A10164" s="34" t="n">
        <v>6938659000170</v>
      </c>
      <c r="B10164" s="34" t="s">
        <v>20380</v>
      </c>
      <c r="C10164" s="34" t="s">
        <v>77</v>
      </c>
      <c r="E10164" s="30" t="s">
        <v>20381</v>
      </c>
      <c r="F10164" s="34" t="n">
        <f aca="false">IFERROR(VLOOKUP($A10164,'319'!$B:$H,7,0),0)</f>
        <v>0</v>
      </c>
      <c r="G10164" s="34" t="n">
        <f aca="false">SUMIFS('12.326ana'!$C:$C,'12.326ana'!$M:$M,redes!A10164)</f>
        <v>0</v>
      </c>
    </row>
    <row r="10165" customFormat="false" ht="14.4" hidden="true" customHeight="false" outlineLevel="0" collapsed="false">
      <c r="A10165" s="34" t="n">
        <v>6940775000123</v>
      </c>
      <c r="B10165" s="34" t="s">
        <v>20382</v>
      </c>
      <c r="C10165" s="34" t="s">
        <v>77</v>
      </c>
      <c r="E10165" s="30" t="s">
        <v>20383</v>
      </c>
      <c r="F10165" s="34" t="n">
        <f aca="false">IFERROR(VLOOKUP($A10165,'319'!$B:$H,7,0),0)</f>
        <v>0</v>
      </c>
      <c r="G10165" s="34" t="n">
        <f aca="false">SUMIFS('12.326ana'!$C:$C,'12.326ana'!$M:$M,redes!A10165)</f>
        <v>0</v>
      </c>
    </row>
    <row r="10166" customFormat="false" ht="14.4" hidden="true" customHeight="false" outlineLevel="0" collapsed="false">
      <c r="A10166" s="34" t="n">
        <v>6942134000108</v>
      </c>
      <c r="B10166" s="34" t="s">
        <v>20384</v>
      </c>
      <c r="C10166" s="34" t="s">
        <v>89</v>
      </c>
      <c r="E10166" s="30" t="s">
        <v>20385</v>
      </c>
      <c r="F10166" s="34" t="n">
        <f aca="false">IFERROR(VLOOKUP($A10166,'319'!$B:$H,7,0),0)</f>
        <v>0</v>
      </c>
      <c r="G10166" s="34" t="n">
        <f aca="false">SUMIFS('12.326ana'!$C:$C,'12.326ana'!$M:$M,redes!A10166)</f>
        <v>0</v>
      </c>
    </row>
    <row r="10167" customFormat="false" ht="14.4" hidden="true" customHeight="false" outlineLevel="0" collapsed="false">
      <c r="A10167" s="34" t="n">
        <v>6944216000191</v>
      </c>
      <c r="B10167" s="34" t="s">
        <v>20386</v>
      </c>
      <c r="C10167" s="34" t="s">
        <v>197</v>
      </c>
      <c r="E10167" s="30" t="s">
        <v>3001</v>
      </c>
      <c r="F10167" s="34" t="n">
        <f aca="false">IFERROR(VLOOKUP($A10167,'319'!$B:$H,7,0),0)</f>
        <v>0</v>
      </c>
      <c r="G10167" s="34" t="n">
        <f aca="false">SUMIFS('12.326ana'!$C:$C,'12.326ana'!$M:$M,redes!A10167)</f>
        <v>0</v>
      </c>
    </row>
    <row r="10168" customFormat="false" ht="14.4" hidden="true" customHeight="false" outlineLevel="0" collapsed="false">
      <c r="A10168" s="34" t="n">
        <v>6949535000190</v>
      </c>
      <c r="B10168" s="34" t="s">
        <v>20387</v>
      </c>
      <c r="C10168" s="34" t="s">
        <v>77</v>
      </c>
      <c r="E10168" s="30" t="s">
        <v>20388</v>
      </c>
      <c r="F10168" s="34" t="n">
        <f aca="false">IFERROR(VLOOKUP($A10168,'319'!$B:$H,7,0),0)</f>
        <v>0</v>
      </c>
      <c r="G10168" s="34" t="n">
        <f aca="false">SUMIFS('12.326ana'!$C:$C,'12.326ana'!$M:$M,redes!A10168)</f>
        <v>0</v>
      </c>
    </row>
    <row r="10169" customFormat="false" ht="14.4" hidden="true" customHeight="false" outlineLevel="0" collapsed="false">
      <c r="A10169" s="34" t="n">
        <v>6950005000161</v>
      </c>
      <c r="B10169" s="34" t="s">
        <v>20389</v>
      </c>
      <c r="C10169" s="34" t="s">
        <v>604</v>
      </c>
      <c r="E10169" s="30" t="s">
        <v>20390</v>
      </c>
      <c r="F10169" s="34" t="n">
        <f aca="false">IFERROR(VLOOKUP($A10169,'319'!$B:$H,7,0),0)</f>
        <v>0</v>
      </c>
      <c r="G10169" s="34" t="n">
        <f aca="false">SUMIFS('12.326ana'!$C:$C,'12.326ana'!$M:$M,redes!A10169)</f>
        <v>0</v>
      </c>
    </row>
    <row r="10170" customFormat="false" ht="14.4" hidden="true" customHeight="false" outlineLevel="0" collapsed="false">
      <c r="A10170" s="34" t="n">
        <v>6953367000106</v>
      </c>
      <c r="B10170" s="34" t="s">
        <v>20391</v>
      </c>
      <c r="C10170" s="34" t="s">
        <v>473</v>
      </c>
      <c r="E10170" s="30" t="s">
        <v>20392</v>
      </c>
      <c r="F10170" s="34" t="n">
        <f aca="false">IFERROR(VLOOKUP($A10170,'319'!$B:$H,7,0),0)</f>
        <v>0</v>
      </c>
      <c r="G10170" s="34" t="n">
        <f aca="false">SUMIFS('12.326ana'!$C:$C,'12.326ana'!$M:$M,redes!A10170)</f>
        <v>0</v>
      </c>
    </row>
    <row r="10171" customFormat="false" ht="14.4" hidden="true" customHeight="false" outlineLevel="0" collapsed="false">
      <c r="A10171" s="34" t="n">
        <v>6954973000146</v>
      </c>
      <c r="B10171" s="34" t="s">
        <v>20393</v>
      </c>
      <c r="C10171" s="34" t="s">
        <v>737</v>
      </c>
      <c r="D10171" s="34" t="s">
        <v>20394</v>
      </c>
      <c r="E10171" s="30" t="s">
        <v>20395</v>
      </c>
      <c r="F10171" s="34" t="n">
        <f aca="false">IFERROR(VLOOKUP($A10171,'319'!$B:$H,7,0),0)</f>
        <v>4044.98</v>
      </c>
      <c r="G10171" s="34" t="n">
        <f aca="false">SUMIFS('12.326ana'!$C:$C,'12.326ana'!$M:$M,redes!A10171)</f>
        <v>0</v>
      </c>
    </row>
    <row r="10172" customFormat="false" ht="14.4" hidden="true" customHeight="false" outlineLevel="0" collapsed="false">
      <c r="A10172" s="34" t="n">
        <v>6955524000112</v>
      </c>
      <c r="B10172" s="34" t="s">
        <v>1757</v>
      </c>
      <c r="C10172" s="34" t="s">
        <v>631</v>
      </c>
      <c r="E10172" s="30" t="s">
        <v>20396</v>
      </c>
      <c r="F10172" s="34" t="n">
        <f aca="false">IFERROR(VLOOKUP($A10172,'319'!$B:$H,7,0),0)</f>
        <v>-25.7</v>
      </c>
      <c r="G10172" s="34" t="n">
        <f aca="false">SUMIFS('12.326ana'!$C:$C,'12.326ana'!$M:$M,redes!A10172)</f>
        <v>0</v>
      </c>
    </row>
    <row r="10173" customFormat="false" ht="14.4" hidden="true" customHeight="false" outlineLevel="0" collapsed="false">
      <c r="A10173" s="34" t="n">
        <v>6958973000114</v>
      </c>
      <c r="B10173" s="34" t="s">
        <v>20397</v>
      </c>
      <c r="C10173" s="34" t="s">
        <v>473</v>
      </c>
      <c r="E10173" s="30" t="s">
        <v>20398</v>
      </c>
      <c r="F10173" s="34" t="n">
        <f aca="false">IFERROR(VLOOKUP($A10173,'319'!$B:$H,7,0),0)</f>
        <v>0</v>
      </c>
      <c r="G10173" s="34" t="n">
        <f aca="false">SUMIFS('12.326ana'!$C:$C,'12.326ana'!$M:$M,redes!A10173)</f>
        <v>0</v>
      </c>
    </row>
    <row r="10174" customFormat="false" ht="14.4" hidden="true" customHeight="false" outlineLevel="0" collapsed="false">
      <c r="A10174" s="34" t="n">
        <v>6965048000110</v>
      </c>
      <c r="B10174" s="34" t="s">
        <v>20399</v>
      </c>
      <c r="C10174" s="34" t="s">
        <v>967</v>
      </c>
      <c r="E10174" s="30" t="s">
        <v>3078</v>
      </c>
      <c r="F10174" s="34" t="n">
        <f aca="false">IFERROR(VLOOKUP($A10174,'319'!$B:$H,7,0),0)</f>
        <v>0</v>
      </c>
      <c r="G10174" s="34" t="n">
        <f aca="false">SUMIFS('12.326ana'!$C:$C,'12.326ana'!$M:$M,redes!A10174)</f>
        <v>0</v>
      </c>
    </row>
    <row r="10175" customFormat="false" ht="14.4" hidden="true" customHeight="false" outlineLevel="0" collapsed="false">
      <c r="A10175" s="34" t="n">
        <v>6968830000193</v>
      </c>
      <c r="B10175" s="34" t="s">
        <v>1856</v>
      </c>
      <c r="C10175" s="34" t="s">
        <v>631</v>
      </c>
      <c r="D10175" s="34" t="s">
        <v>20400</v>
      </c>
      <c r="E10175" s="30" t="s">
        <v>5266</v>
      </c>
      <c r="F10175" s="34" t="n">
        <f aca="false">IFERROR(VLOOKUP($A10175,'319'!$B:$H,7,0),0)</f>
        <v>-2733.26</v>
      </c>
      <c r="G10175" s="34" t="n">
        <f aca="false">SUMIFS('12.326ana'!$C:$C,'12.326ana'!$M:$M,redes!A10175)</f>
        <v>0</v>
      </c>
    </row>
    <row r="10176" customFormat="false" ht="14.4" hidden="true" customHeight="false" outlineLevel="0" collapsed="false">
      <c r="A10176" s="34" t="n">
        <v>6968830000274</v>
      </c>
      <c r="B10176" s="34" t="s">
        <v>1856</v>
      </c>
      <c r="C10176" s="34" t="s">
        <v>842</v>
      </c>
      <c r="D10176" s="34" t="s">
        <v>20400</v>
      </c>
      <c r="E10176" s="30" t="s">
        <v>5266</v>
      </c>
      <c r="F10176" s="34" t="n">
        <f aca="false">IFERROR(VLOOKUP($A10176,'319'!$B:$H,7,0),0)</f>
        <v>-26324.66</v>
      </c>
      <c r="G10176" s="34" t="n">
        <f aca="false">SUMIFS('12.326ana'!$C:$C,'12.326ana'!$M:$M,redes!A10176)</f>
        <v>0</v>
      </c>
    </row>
    <row r="10177" customFormat="false" ht="14.4" hidden="true" customHeight="false" outlineLevel="0" collapsed="false">
      <c r="A10177" s="34" t="n">
        <v>6970841000108</v>
      </c>
      <c r="B10177" s="34" t="s">
        <v>20401</v>
      </c>
      <c r="C10177" s="34" t="s">
        <v>139</v>
      </c>
      <c r="E10177" s="30" t="s">
        <v>14529</v>
      </c>
      <c r="F10177" s="34" t="n">
        <f aca="false">IFERROR(VLOOKUP($A10177,'319'!$B:$H,7,0),0)</f>
        <v>0</v>
      </c>
      <c r="G10177" s="34" t="n">
        <f aca="false">SUMIFS('12.326ana'!$C:$C,'12.326ana'!$M:$M,redes!A10177)</f>
        <v>0</v>
      </c>
    </row>
    <row r="10178" customFormat="false" ht="14.4" hidden="true" customHeight="false" outlineLevel="0" collapsed="false">
      <c r="A10178" s="34" t="n">
        <v>6970879000180</v>
      </c>
      <c r="B10178" s="34" t="s">
        <v>20402</v>
      </c>
      <c r="C10178" s="34" t="s">
        <v>77</v>
      </c>
      <c r="E10178" s="30" t="s">
        <v>20403</v>
      </c>
      <c r="F10178" s="34" t="n">
        <f aca="false">IFERROR(VLOOKUP($A10178,'319'!$B:$H,7,0),0)</f>
        <v>0</v>
      </c>
      <c r="G10178" s="34" t="n">
        <f aca="false">SUMIFS('12.326ana'!$C:$C,'12.326ana'!$M:$M,redes!A10178)</f>
        <v>0</v>
      </c>
    </row>
    <row r="10179" customFormat="false" ht="14.4" hidden="true" customHeight="false" outlineLevel="0" collapsed="false">
      <c r="A10179" s="34" t="n">
        <v>6970936000121</v>
      </c>
      <c r="B10179" s="34" t="s">
        <v>20404</v>
      </c>
      <c r="C10179" s="34" t="s">
        <v>463</v>
      </c>
      <c r="E10179" s="30" t="s">
        <v>8490</v>
      </c>
      <c r="F10179" s="34" t="n">
        <f aca="false">IFERROR(VLOOKUP($A10179,'319'!$B:$H,7,0),0)</f>
        <v>0</v>
      </c>
      <c r="G10179" s="34" t="n">
        <f aca="false">SUMIFS('12.326ana'!$C:$C,'12.326ana'!$M:$M,redes!A10179)</f>
        <v>0</v>
      </c>
    </row>
    <row r="10180" customFormat="false" ht="14.4" hidden="true" customHeight="false" outlineLevel="0" collapsed="false">
      <c r="A10180" s="34" t="n">
        <v>6973276000132</v>
      </c>
      <c r="B10180" s="34" t="s">
        <v>20405</v>
      </c>
      <c r="C10180" s="34" t="s">
        <v>478</v>
      </c>
      <c r="E10180" s="30" t="s">
        <v>10682</v>
      </c>
      <c r="F10180" s="34" t="n">
        <f aca="false">IFERROR(VLOOKUP($A10180,'319'!$B:$H,7,0),0)</f>
        <v>0</v>
      </c>
      <c r="G10180" s="34" t="n">
        <f aca="false">SUMIFS('12.326ana'!$C:$C,'12.326ana'!$M:$M,redes!A10180)</f>
        <v>0</v>
      </c>
    </row>
    <row r="10181" customFormat="false" ht="14.4" hidden="true" customHeight="false" outlineLevel="0" collapsed="false">
      <c r="A10181" s="34" t="n">
        <v>6974546000120</v>
      </c>
      <c r="B10181" s="34" t="s">
        <v>20406</v>
      </c>
      <c r="C10181" s="34" t="s">
        <v>309</v>
      </c>
      <c r="E10181" s="30" t="s">
        <v>20406</v>
      </c>
      <c r="F10181" s="34" t="n">
        <f aca="false">IFERROR(VLOOKUP($A10181,'319'!$B:$H,7,0),0)</f>
        <v>0</v>
      </c>
      <c r="G10181" s="34" t="n">
        <f aca="false">SUMIFS('12.326ana'!$C:$C,'12.326ana'!$M:$M,redes!A10181)</f>
        <v>0</v>
      </c>
    </row>
    <row r="10182" customFormat="false" ht="14.4" hidden="true" customHeight="false" outlineLevel="0" collapsed="false">
      <c r="A10182" s="34" t="n">
        <v>6978342000167</v>
      </c>
      <c r="B10182" s="34" t="s">
        <v>8033</v>
      </c>
      <c r="C10182" s="34" t="s">
        <v>77</v>
      </c>
      <c r="E10182" s="30" t="s">
        <v>8034</v>
      </c>
      <c r="F10182" s="34" t="n">
        <f aca="false">IFERROR(VLOOKUP($A10182,'319'!$B:$H,7,0),0)</f>
        <v>0</v>
      </c>
      <c r="G10182" s="34" t="n">
        <f aca="false">SUMIFS('12.326ana'!$C:$C,'12.326ana'!$M:$M,redes!A10182)</f>
        <v>0</v>
      </c>
    </row>
    <row r="10183" customFormat="false" ht="14.4" hidden="true" customHeight="false" outlineLevel="0" collapsed="false">
      <c r="A10183" s="34" t="n">
        <v>6982507000174</v>
      </c>
      <c r="B10183" s="34" t="s">
        <v>20407</v>
      </c>
      <c r="C10183" s="34" t="s">
        <v>129</v>
      </c>
      <c r="E10183" s="30" t="s">
        <v>20408</v>
      </c>
      <c r="F10183" s="34" t="n">
        <f aca="false">IFERROR(VLOOKUP($A10183,'319'!$B:$H,7,0),0)</f>
        <v>0</v>
      </c>
      <c r="G10183" s="34" t="n">
        <f aca="false">SUMIFS('12.326ana'!$C:$C,'12.326ana'!$M:$M,redes!A10183)</f>
        <v>0</v>
      </c>
    </row>
    <row r="10184" customFormat="false" ht="14.4" hidden="true" customHeight="false" outlineLevel="0" collapsed="false">
      <c r="A10184" s="34" t="n">
        <v>6983849000109</v>
      </c>
      <c r="B10184" s="34" t="s">
        <v>20409</v>
      </c>
      <c r="C10184" s="34" t="s">
        <v>107</v>
      </c>
      <c r="E10184" s="30" t="s">
        <v>20410</v>
      </c>
      <c r="F10184" s="34" t="n">
        <f aca="false">IFERROR(VLOOKUP($A10184,'319'!$B:$H,7,0),0)</f>
        <v>0</v>
      </c>
      <c r="G10184" s="34" t="n">
        <f aca="false">SUMIFS('12.326ana'!$C:$C,'12.326ana'!$M:$M,redes!A10184)</f>
        <v>0</v>
      </c>
    </row>
    <row r="10185" customFormat="false" ht="14.4" hidden="true" customHeight="false" outlineLevel="0" collapsed="false">
      <c r="A10185" s="34" t="n">
        <v>6986068000178</v>
      </c>
      <c r="B10185" s="34" t="s">
        <v>20411</v>
      </c>
      <c r="C10185" s="34" t="s">
        <v>89</v>
      </c>
      <c r="E10185" s="30" t="s">
        <v>20412</v>
      </c>
      <c r="F10185" s="34" t="n">
        <f aca="false">IFERROR(VLOOKUP($A10185,'319'!$B:$H,7,0),0)</f>
        <v>0</v>
      </c>
      <c r="G10185" s="34" t="n">
        <f aca="false">SUMIFS('12.326ana'!$C:$C,'12.326ana'!$M:$M,redes!A10185)</f>
        <v>0</v>
      </c>
    </row>
    <row r="10186" customFormat="false" ht="14.4" hidden="true" customHeight="false" outlineLevel="0" collapsed="false">
      <c r="A10186" s="34" t="n">
        <v>6989005000175</v>
      </c>
      <c r="B10186" s="34" t="s">
        <v>20413</v>
      </c>
      <c r="C10186" s="34" t="s">
        <v>631</v>
      </c>
      <c r="E10186" s="30" t="s">
        <v>3922</v>
      </c>
      <c r="F10186" s="34" t="n">
        <f aca="false">IFERROR(VLOOKUP($A10186,'319'!$B:$H,7,0),0)</f>
        <v>0</v>
      </c>
      <c r="G10186" s="34" t="n">
        <f aca="false">SUMIFS('12.326ana'!$C:$C,'12.326ana'!$M:$M,redes!A10186)</f>
        <v>0</v>
      </c>
    </row>
    <row r="10187" customFormat="false" ht="14.4" hidden="true" customHeight="false" outlineLevel="0" collapsed="false">
      <c r="A10187" s="34" t="n">
        <v>6991476000118</v>
      </c>
      <c r="B10187" s="34" t="s">
        <v>20414</v>
      </c>
      <c r="C10187" s="34" t="s">
        <v>77</v>
      </c>
      <c r="E10187" s="30" t="s">
        <v>20415</v>
      </c>
      <c r="F10187" s="34" t="n">
        <f aca="false">IFERROR(VLOOKUP($A10187,'319'!$B:$H,7,0),0)</f>
        <v>0</v>
      </c>
      <c r="G10187" s="34" t="n">
        <f aca="false">SUMIFS('12.326ana'!$C:$C,'12.326ana'!$M:$M,redes!A10187)</f>
        <v>0</v>
      </c>
    </row>
    <row r="10188" customFormat="false" ht="14.4" hidden="true" customHeight="false" outlineLevel="0" collapsed="false">
      <c r="A10188" s="34" t="n">
        <v>6991600000145</v>
      </c>
      <c r="B10188" s="34" t="s">
        <v>20416</v>
      </c>
      <c r="C10188" s="34" t="s">
        <v>631</v>
      </c>
      <c r="E10188" s="30" t="s">
        <v>17680</v>
      </c>
      <c r="F10188" s="34" t="n">
        <f aca="false">IFERROR(VLOOKUP($A10188,'319'!$B:$H,7,0),0)</f>
        <v>0</v>
      </c>
      <c r="G10188" s="34" t="n">
        <f aca="false">SUMIFS('12.326ana'!$C:$C,'12.326ana'!$M:$M,redes!A10188)</f>
        <v>0</v>
      </c>
    </row>
    <row r="10189" customFormat="false" ht="14.4" hidden="true" customHeight="false" outlineLevel="0" collapsed="false">
      <c r="A10189" s="34" t="n">
        <v>6993564000159</v>
      </c>
      <c r="B10189" s="34" t="s">
        <v>20417</v>
      </c>
      <c r="C10189" s="34" t="s">
        <v>631</v>
      </c>
      <c r="E10189" s="30" t="s">
        <v>20418</v>
      </c>
      <c r="F10189" s="34" t="n">
        <f aca="false">IFERROR(VLOOKUP($A10189,'319'!$B:$H,7,0),0)</f>
        <v>0</v>
      </c>
      <c r="G10189" s="34" t="n">
        <f aca="false">SUMIFS('12.326ana'!$C:$C,'12.326ana'!$M:$M,redes!A10189)</f>
        <v>0</v>
      </c>
    </row>
    <row r="10190" customFormat="false" ht="14.4" hidden="true" customHeight="false" outlineLevel="0" collapsed="false">
      <c r="A10190" s="34" t="n">
        <v>6995803000100</v>
      </c>
      <c r="B10190" s="34" t="s">
        <v>20419</v>
      </c>
      <c r="C10190" s="34" t="s">
        <v>192</v>
      </c>
      <c r="E10190" s="30" t="s">
        <v>18698</v>
      </c>
      <c r="F10190" s="34" t="n">
        <f aca="false">IFERROR(VLOOKUP($A10190,'319'!$B:$H,7,0),0)</f>
        <v>0</v>
      </c>
      <c r="G10190" s="34" t="n">
        <f aca="false">SUMIFS('12.326ana'!$C:$C,'12.326ana'!$M:$M,redes!A10190)</f>
        <v>0</v>
      </c>
    </row>
    <row r="10191" customFormat="false" ht="14.4" hidden="true" customHeight="false" outlineLevel="0" collapsed="false">
      <c r="A10191" s="34" t="n">
        <v>6996018000171</v>
      </c>
      <c r="B10191" s="34" t="s">
        <v>20420</v>
      </c>
      <c r="C10191" s="34" t="s">
        <v>77</v>
      </c>
      <c r="E10191" s="30" t="s">
        <v>20421</v>
      </c>
      <c r="F10191" s="34" t="n">
        <f aca="false">IFERROR(VLOOKUP($A10191,'319'!$B:$H,7,0),0)</f>
        <v>0</v>
      </c>
      <c r="G10191" s="34" t="n">
        <f aca="false">SUMIFS('12.326ana'!$C:$C,'12.326ana'!$M:$M,redes!A10191)</f>
        <v>0</v>
      </c>
    </row>
    <row r="10192" customFormat="false" ht="14.4" hidden="true" customHeight="false" outlineLevel="0" collapsed="false">
      <c r="A10192" s="34" t="n">
        <v>6997771000181</v>
      </c>
      <c r="B10192" s="34" t="s">
        <v>20422</v>
      </c>
      <c r="C10192" s="34" t="s">
        <v>299</v>
      </c>
      <c r="E10192" s="30" t="s">
        <v>5316</v>
      </c>
      <c r="F10192" s="34" t="n">
        <f aca="false">IFERROR(VLOOKUP($A10192,'319'!$B:$H,7,0),0)</f>
        <v>0</v>
      </c>
      <c r="G10192" s="34" t="n">
        <f aca="false">SUMIFS('12.326ana'!$C:$C,'12.326ana'!$M:$M,redes!A10192)</f>
        <v>0</v>
      </c>
    </row>
    <row r="10193" customFormat="false" ht="14.4" hidden="true" customHeight="false" outlineLevel="0" collapsed="false">
      <c r="A10193" s="34" t="n">
        <v>6998149000198</v>
      </c>
      <c r="B10193" s="34" t="s">
        <v>20423</v>
      </c>
      <c r="C10193" s="34" t="s">
        <v>737</v>
      </c>
      <c r="E10193" s="30" t="s">
        <v>20424</v>
      </c>
      <c r="F10193" s="34" t="n">
        <f aca="false">IFERROR(VLOOKUP($A10193,'319'!$B:$H,7,0),0)</f>
        <v>0</v>
      </c>
      <c r="G10193" s="34" t="n">
        <f aca="false">SUMIFS('12.326ana'!$C:$C,'12.326ana'!$M:$M,redes!A10193)</f>
        <v>0</v>
      </c>
    </row>
    <row r="10194" customFormat="false" ht="14.4" hidden="true" customHeight="false" outlineLevel="0" collapsed="false">
      <c r="A10194" s="34" t="n">
        <v>6998166000125</v>
      </c>
      <c r="B10194" s="34" t="s">
        <v>20425</v>
      </c>
      <c r="C10194" s="34" t="s">
        <v>77</v>
      </c>
      <c r="E10194" s="30" t="s">
        <v>20426</v>
      </c>
      <c r="F10194" s="34" t="n">
        <f aca="false">IFERROR(VLOOKUP($A10194,'319'!$B:$H,7,0),0)</f>
        <v>0</v>
      </c>
      <c r="G10194" s="34" t="n">
        <f aca="false">SUMIFS('12.326ana'!$C:$C,'12.326ana'!$M:$M,redes!A10194)</f>
        <v>0</v>
      </c>
    </row>
    <row r="10195" customFormat="false" ht="14.4" hidden="true" customHeight="false" outlineLevel="0" collapsed="false">
      <c r="A10195" s="34" t="n">
        <v>6998386000159</v>
      </c>
      <c r="B10195" s="34" t="s">
        <v>20427</v>
      </c>
      <c r="C10195" s="34" t="s">
        <v>77</v>
      </c>
      <c r="E10195" s="30" t="s">
        <v>19120</v>
      </c>
      <c r="F10195" s="34" t="n">
        <f aca="false">IFERROR(VLOOKUP($A10195,'319'!$B:$H,7,0),0)</f>
        <v>0</v>
      </c>
      <c r="G10195" s="34" t="n">
        <f aca="false">SUMIFS('12.326ana'!$C:$C,'12.326ana'!$M:$M,redes!A10195)</f>
        <v>0</v>
      </c>
    </row>
    <row r="10196" customFormat="false" ht="14.4" hidden="true" customHeight="false" outlineLevel="0" collapsed="false">
      <c r="A10196" s="34" t="n">
        <v>6998648000185</v>
      </c>
      <c r="B10196" s="34" t="s">
        <v>20428</v>
      </c>
      <c r="C10196" s="34" t="s">
        <v>4139</v>
      </c>
      <c r="E10196" s="30" t="s">
        <v>20429</v>
      </c>
      <c r="F10196" s="34" t="n">
        <f aca="false">IFERROR(VLOOKUP($A10196,'319'!$B:$H,7,0),0)</f>
        <v>0</v>
      </c>
      <c r="G10196" s="34" t="n">
        <f aca="false">SUMIFS('12.326ana'!$C:$C,'12.326ana'!$M:$M,redes!A10196)</f>
        <v>0</v>
      </c>
    </row>
    <row r="10197" customFormat="false" ht="14.4" hidden="true" customHeight="false" outlineLevel="0" collapsed="false">
      <c r="A10197" s="34" t="n">
        <v>7001205000130</v>
      </c>
      <c r="B10197" s="34" t="s">
        <v>20430</v>
      </c>
      <c r="C10197" s="34" t="s">
        <v>139</v>
      </c>
      <c r="E10197" s="30" t="s">
        <v>20431</v>
      </c>
      <c r="F10197" s="34" t="n">
        <f aca="false">IFERROR(VLOOKUP($A10197,'319'!$B:$H,7,0),0)</f>
        <v>0</v>
      </c>
      <c r="G10197" s="34" t="n">
        <f aca="false">SUMIFS('12.326ana'!$C:$C,'12.326ana'!$M:$M,redes!A10197)</f>
        <v>0</v>
      </c>
    </row>
    <row r="10198" customFormat="false" ht="14.4" hidden="true" customHeight="false" outlineLevel="0" collapsed="false">
      <c r="A10198" s="34" t="n">
        <v>7003680000146</v>
      </c>
      <c r="B10198" s="34" t="s">
        <v>20432</v>
      </c>
      <c r="C10198" s="34" t="s">
        <v>77</v>
      </c>
      <c r="E10198" s="30" t="s">
        <v>20433</v>
      </c>
      <c r="F10198" s="34" t="n">
        <f aca="false">IFERROR(VLOOKUP($A10198,'319'!$B:$H,7,0),0)</f>
        <v>0</v>
      </c>
      <c r="G10198" s="34" t="n">
        <f aca="false">SUMIFS('12.326ana'!$C:$C,'12.326ana'!$M:$M,redes!A10198)</f>
        <v>0</v>
      </c>
    </row>
    <row r="10199" customFormat="false" ht="14.4" hidden="true" customHeight="false" outlineLevel="0" collapsed="false">
      <c r="A10199" s="34" t="n">
        <v>7005540000107</v>
      </c>
      <c r="B10199" s="34" t="s">
        <v>20434</v>
      </c>
      <c r="C10199" s="34" t="s">
        <v>7250</v>
      </c>
      <c r="E10199" s="30" t="s">
        <v>20435</v>
      </c>
      <c r="F10199" s="34" t="n">
        <f aca="false">IFERROR(VLOOKUP($A10199,'319'!$B:$H,7,0),0)</f>
        <v>0</v>
      </c>
      <c r="G10199" s="34" t="n">
        <f aca="false">SUMIFS('12.326ana'!$C:$C,'12.326ana'!$M:$M,redes!A10199)</f>
        <v>0</v>
      </c>
    </row>
    <row r="10200" customFormat="false" ht="14.4" hidden="true" customHeight="false" outlineLevel="0" collapsed="false">
      <c r="A10200" s="34" t="n">
        <v>7006285000117</v>
      </c>
      <c r="B10200" s="34" t="s">
        <v>20436</v>
      </c>
      <c r="C10200" s="34" t="s">
        <v>77</v>
      </c>
      <c r="E10200" s="30" t="s">
        <v>8156</v>
      </c>
      <c r="F10200" s="34" t="n">
        <f aca="false">IFERROR(VLOOKUP($A10200,'319'!$B:$H,7,0),0)</f>
        <v>0</v>
      </c>
      <c r="G10200" s="34" t="n">
        <f aca="false">SUMIFS('12.326ana'!$C:$C,'12.326ana'!$M:$M,redes!A10200)</f>
        <v>0</v>
      </c>
    </row>
    <row r="10201" customFormat="false" ht="14.4" hidden="true" customHeight="false" outlineLevel="0" collapsed="false">
      <c r="A10201" s="34" t="n">
        <v>7011170000110</v>
      </c>
      <c r="B10201" s="34" t="s">
        <v>20437</v>
      </c>
      <c r="C10201" s="34" t="s">
        <v>139</v>
      </c>
      <c r="E10201" s="30" t="s">
        <v>20438</v>
      </c>
      <c r="F10201" s="34" t="n">
        <f aca="false">IFERROR(VLOOKUP($A10201,'319'!$B:$H,7,0),0)</f>
        <v>0</v>
      </c>
      <c r="G10201" s="34" t="n">
        <f aca="false">SUMIFS('12.326ana'!$C:$C,'12.326ana'!$M:$M,redes!A10201)</f>
        <v>0</v>
      </c>
    </row>
    <row r="10202" customFormat="false" ht="14.4" hidden="true" customHeight="false" outlineLevel="0" collapsed="false">
      <c r="A10202" s="34" t="n">
        <v>7014453000116</v>
      </c>
      <c r="B10202" s="34" t="s">
        <v>20439</v>
      </c>
      <c r="C10202" s="34" t="s">
        <v>107</v>
      </c>
      <c r="E10202" s="30" t="s">
        <v>6255</v>
      </c>
      <c r="F10202" s="34" t="n">
        <f aca="false">IFERROR(VLOOKUP($A10202,'319'!$B:$H,7,0),0)</f>
        <v>0</v>
      </c>
      <c r="G10202" s="34" t="n">
        <f aca="false">SUMIFS('12.326ana'!$C:$C,'12.326ana'!$M:$M,redes!A10202)</f>
        <v>0</v>
      </c>
    </row>
    <row r="10203" customFormat="false" ht="14.4" hidden="true" customHeight="false" outlineLevel="0" collapsed="false">
      <c r="A10203" s="34" t="n">
        <v>7015744000129</v>
      </c>
      <c r="B10203" s="34" t="s">
        <v>20440</v>
      </c>
      <c r="C10203" s="34" t="s">
        <v>77</v>
      </c>
      <c r="E10203" s="30" t="s">
        <v>20441</v>
      </c>
      <c r="F10203" s="34" t="n">
        <f aca="false">IFERROR(VLOOKUP($A10203,'319'!$B:$H,7,0),0)</f>
        <v>0</v>
      </c>
      <c r="G10203" s="34" t="n">
        <f aca="false">SUMIFS('12.326ana'!$C:$C,'12.326ana'!$M:$M,redes!A10203)</f>
        <v>0</v>
      </c>
    </row>
    <row r="10204" customFormat="false" ht="14.4" hidden="true" customHeight="false" outlineLevel="0" collapsed="false">
      <c r="A10204" s="34" t="n">
        <v>7015744000390</v>
      </c>
      <c r="B10204" s="34" t="s">
        <v>20440</v>
      </c>
      <c r="C10204" s="34" t="s">
        <v>77</v>
      </c>
      <c r="E10204" s="30" t="s">
        <v>20442</v>
      </c>
      <c r="F10204" s="34" t="n">
        <f aca="false">IFERROR(VLOOKUP($A10204,'319'!$B:$H,7,0),0)</f>
        <v>0</v>
      </c>
      <c r="G10204" s="34" t="n">
        <f aca="false">SUMIFS('12.326ana'!$C:$C,'12.326ana'!$M:$M,redes!A10204)</f>
        <v>0</v>
      </c>
    </row>
    <row r="10205" customFormat="false" ht="14.4" hidden="true" customHeight="false" outlineLevel="0" collapsed="false">
      <c r="A10205" s="34" t="n">
        <v>7015744000471</v>
      </c>
      <c r="B10205" s="34" t="s">
        <v>20440</v>
      </c>
      <c r="C10205" s="34" t="s">
        <v>77</v>
      </c>
      <c r="E10205" s="30" t="s">
        <v>20441</v>
      </c>
      <c r="F10205" s="34" t="n">
        <f aca="false">IFERROR(VLOOKUP($A10205,'319'!$B:$H,7,0),0)</f>
        <v>0</v>
      </c>
      <c r="G10205" s="34" t="n">
        <f aca="false">SUMIFS('12.326ana'!$C:$C,'12.326ana'!$M:$M,redes!A10205)</f>
        <v>0</v>
      </c>
    </row>
    <row r="10206" customFormat="false" ht="14.4" hidden="true" customHeight="false" outlineLevel="0" collapsed="false">
      <c r="A10206" s="34" t="n">
        <v>7017026000191</v>
      </c>
      <c r="B10206" s="34" t="s">
        <v>20443</v>
      </c>
      <c r="C10206" s="34" t="s">
        <v>107</v>
      </c>
      <c r="E10206" s="30" t="s">
        <v>20444</v>
      </c>
      <c r="F10206" s="34" t="n">
        <f aca="false">IFERROR(VLOOKUP($A10206,'319'!$B:$H,7,0),0)</f>
        <v>0</v>
      </c>
      <c r="G10206" s="34" t="n">
        <f aca="false">SUMIFS('12.326ana'!$C:$C,'12.326ana'!$M:$M,redes!A10206)</f>
        <v>0</v>
      </c>
    </row>
    <row r="10207" customFormat="false" ht="14.4" hidden="true" customHeight="false" outlineLevel="0" collapsed="false">
      <c r="A10207" s="34" t="n">
        <v>7018076000193</v>
      </c>
      <c r="B10207" s="34" t="s">
        <v>2985</v>
      </c>
      <c r="C10207" s="34" t="s">
        <v>77</v>
      </c>
      <c r="E10207" s="30" t="s">
        <v>20445</v>
      </c>
      <c r="F10207" s="34" t="n">
        <f aca="false">IFERROR(VLOOKUP($A10207,'319'!$B:$H,7,0),0)</f>
        <v>0</v>
      </c>
      <c r="G10207" s="34" t="n">
        <f aca="false">SUMIFS('12.326ana'!$C:$C,'12.326ana'!$M:$M,redes!A10207)</f>
        <v>0</v>
      </c>
    </row>
    <row r="10208" customFormat="false" ht="14.4" hidden="true" customHeight="false" outlineLevel="0" collapsed="false">
      <c r="A10208" s="34" t="n">
        <v>7019069000106</v>
      </c>
      <c r="B10208" s="34" t="s">
        <v>20446</v>
      </c>
      <c r="C10208" s="34" t="s">
        <v>107</v>
      </c>
      <c r="E10208" s="30" t="s">
        <v>20447</v>
      </c>
      <c r="F10208" s="34" t="n">
        <f aca="false">IFERROR(VLOOKUP($A10208,'319'!$B:$H,7,0),0)</f>
        <v>0</v>
      </c>
      <c r="G10208" s="34" t="n">
        <f aca="false">SUMIFS('12.326ana'!$C:$C,'12.326ana'!$M:$M,redes!A10208)</f>
        <v>0</v>
      </c>
    </row>
    <row r="10209" customFormat="false" ht="14.4" hidden="true" customHeight="false" outlineLevel="0" collapsed="false">
      <c r="A10209" s="34" t="n">
        <v>7019960000142</v>
      </c>
      <c r="B10209" s="34" t="s">
        <v>20448</v>
      </c>
      <c r="C10209" s="34" t="s">
        <v>103</v>
      </c>
      <c r="E10209" s="30" t="s">
        <v>20449</v>
      </c>
      <c r="F10209" s="34" t="n">
        <f aca="false">IFERROR(VLOOKUP($A10209,'319'!$B:$H,7,0),0)</f>
        <v>0</v>
      </c>
      <c r="G10209" s="34" t="n">
        <f aca="false">SUMIFS('12.326ana'!$C:$C,'12.326ana'!$M:$M,redes!A10209)</f>
        <v>0</v>
      </c>
    </row>
    <row r="10210" customFormat="false" ht="14.4" hidden="true" customHeight="false" outlineLevel="0" collapsed="false">
      <c r="A10210" s="34" t="n">
        <v>7025501000171</v>
      </c>
      <c r="B10210" s="34" t="s">
        <v>20450</v>
      </c>
      <c r="C10210" s="34" t="s">
        <v>631</v>
      </c>
      <c r="E10210" s="30" t="s">
        <v>15646</v>
      </c>
      <c r="F10210" s="34" t="n">
        <f aca="false">IFERROR(VLOOKUP($A10210,'319'!$B:$H,7,0),0)</f>
        <v>0</v>
      </c>
      <c r="G10210" s="34" t="n">
        <f aca="false">SUMIFS('12.326ana'!$C:$C,'12.326ana'!$M:$M,redes!A10210)</f>
        <v>0</v>
      </c>
    </row>
    <row r="10211" customFormat="false" ht="14.4" hidden="true" customHeight="false" outlineLevel="0" collapsed="false">
      <c r="A10211" s="34" t="n">
        <v>7026823000135</v>
      </c>
      <c r="B10211" s="34" t="s">
        <v>20451</v>
      </c>
      <c r="C10211" s="34" t="s">
        <v>77</v>
      </c>
      <c r="E10211" s="30" t="s">
        <v>20452</v>
      </c>
      <c r="F10211" s="34" t="n">
        <f aca="false">IFERROR(VLOOKUP($A10211,'319'!$B:$H,7,0),0)</f>
        <v>0</v>
      </c>
      <c r="G10211" s="34" t="n">
        <f aca="false">SUMIFS('12.326ana'!$C:$C,'12.326ana'!$M:$M,redes!A10211)</f>
        <v>0</v>
      </c>
    </row>
    <row r="10212" customFormat="false" ht="14.4" hidden="true" customHeight="false" outlineLevel="0" collapsed="false">
      <c r="A10212" s="34" t="n">
        <v>7027727000101</v>
      </c>
      <c r="B10212" s="34" t="s">
        <v>761</v>
      </c>
      <c r="C10212" s="34" t="s">
        <v>1341</v>
      </c>
      <c r="E10212" s="30" t="s">
        <v>20453</v>
      </c>
      <c r="F10212" s="34" t="n">
        <f aca="false">IFERROR(VLOOKUP($A10212,'319'!$B:$H,7,0),0)</f>
        <v>3827.09</v>
      </c>
      <c r="G10212" s="34" t="n">
        <f aca="false">SUMIFS('12.326ana'!$C:$C,'12.326ana'!$M:$M,redes!A10212)</f>
        <v>0</v>
      </c>
    </row>
    <row r="10213" customFormat="false" ht="14.4" hidden="true" customHeight="false" outlineLevel="0" collapsed="false">
      <c r="A10213" s="34" t="n">
        <v>7027820000116</v>
      </c>
      <c r="B10213" s="34" t="s">
        <v>20454</v>
      </c>
      <c r="C10213" s="34" t="s">
        <v>107</v>
      </c>
      <c r="E10213" s="30" t="s">
        <v>20455</v>
      </c>
      <c r="F10213" s="34" t="n">
        <f aca="false">IFERROR(VLOOKUP($A10213,'319'!$B:$H,7,0),0)</f>
        <v>0</v>
      </c>
      <c r="G10213" s="34" t="n">
        <f aca="false">SUMIFS('12.326ana'!$C:$C,'12.326ana'!$M:$M,redes!A10213)</f>
        <v>0</v>
      </c>
    </row>
    <row r="10214" customFormat="false" ht="14.4" hidden="true" customHeight="false" outlineLevel="0" collapsed="false">
      <c r="A10214" s="34" t="n">
        <v>7028514000102</v>
      </c>
      <c r="B10214" s="34" t="s">
        <v>20456</v>
      </c>
      <c r="C10214" s="34" t="s">
        <v>631</v>
      </c>
      <c r="D10214" s="34" t="s">
        <v>12504</v>
      </c>
      <c r="E10214" s="30" t="s">
        <v>20457</v>
      </c>
      <c r="F10214" s="34" t="n">
        <f aca="false">IFERROR(VLOOKUP($A10214,'319'!$B:$H,7,0),0)</f>
        <v>2356.94</v>
      </c>
      <c r="G10214" s="34" t="n">
        <f aca="false">SUMIFS('12.326ana'!$C:$C,'12.326ana'!$M:$M,redes!A10214)</f>
        <v>0</v>
      </c>
    </row>
    <row r="10215" customFormat="false" ht="14.4" hidden="true" customHeight="false" outlineLevel="0" collapsed="false">
      <c r="A10215" s="34" t="n">
        <v>7028514000285</v>
      </c>
      <c r="B10215" s="34" t="s">
        <v>20458</v>
      </c>
      <c r="C10215" s="34" t="s">
        <v>2998</v>
      </c>
      <c r="D10215" s="34" t="s">
        <v>12504</v>
      </c>
      <c r="E10215" s="30" t="s">
        <v>20457</v>
      </c>
      <c r="F10215" s="34" t="n">
        <f aca="false">IFERROR(VLOOKUP($A10215,'319'!$B:$H,7,0),0)</f>
        <v>-194.21</v>
      </c>
      <c r="G10215" s="34" t="n">
        <f aca="false">SUMIFS('12.326ana'!$C:$C,'12.326ana'!$M:$M,redes!A10215)</f>
        <v>0</v>
      </c>
    </row>
    <row r="10216" customFormat="false" ht="14.4" hidden="true" customHeight="false" outlineLevel="0" collapsed="false">
      <c r="A10216" s="34" t="n">
        <v>7028514000366</v>
      </c>
      <c r="B10216" s="34" t="s">
        <v>20456</v>
      </c>
      <c r="C10216" s="34" t="s">
        <v>631</v>
      </c>
      <c r="D10216" s="34" t="s">
        <v>12504</v>
      </c>
      <c r="E10216" s="30" t="s">
        <v>20459</v>
      </c>
      <c r="F10216" s="34" t="n">
        <f aca="false">IFERROR(VLOOKUP($A10216,'319'!$B:$H,7,0),0)</f>
        <v>8571.55</v>
      </c>
      <c r="G10216" s="34" t="n">
        <f aca="false">SUMIFS('12.326ana'!$C:$C,'12.326ana'!$M:$M,redes!A10216)</f>
        <v>0</v>
      </c>
    </row>
    <row r="10217" customFormat="false" ht="14.4" hidden="true" customHeight="false" outlineLevel="0" collapsed="false">
      <c r="A10217" s="34" t="n">
        <v>7028514000447</v>
      </c>
      <c r="B10217" s="34" t="s">
        <v>20460</v>
      </c>
      <c r="C10217" s="34" t="s">
        <v>2998</v>
      </c>
      <c r="D10217" s="34" t="s">
        <v>12504</v>
      </c>
      <c r="E10217" s="30" t="s">
        <v>12504</v>
      </c>
      <c r="F10217" s="34" t="n">
        <f aca="false">IFERROR(VLOOKUP($A10217,'319'!$B:$H,7,0),0)</f>
        <v>8603.85</v>
      </c>
      <c r="G10217" s="34" t="n">
        <f aca="false">SUMIFS('12.326ana'!$C:$C,'12.326ana'!$M:$M,redes!A10217)</f>
        <v>0</v>
      </c>
    </row>
    <row r="10218" customFormat="false" ht="14.4" hidden="true" customHeight="false" outlineLevel="0" collapsed="false">
      <c r="A10218" s="34" t="n">
        <v>7028514000528</v>
      </c>
      <c r="B10218" s="34" t="s">
        <v>778</v>
      </c>
      <c r="C10218" s="34" t="s">
        <v>631</v>
      </c>
      <c r="E10218" s="30" t="s">
        <v>778</v>
      </c>
      <c r="F10218" s="34" t="n">
        <f aca="false">IFERROR(VLOOKUP($A10218,'319'!$B:$H,7,0),0)</f>
        <v>3359.78</v>
      </c>
      <c r="G10218" s="34" t="n">
        <f aca="false">SUMIFS('12.326ana'!$C:$C,'12.326ana'!$M:$M,redes!A10218)</f>
        <v>0</v>
      </c>
    </row>
    <row r="10219" customFormat="false" ht="14.4" hidden="true" customHeight="false" outlineLevel="0" collapsed="false">
      <c r="A10219" s="34" t="n">
        <v>7029909000111</v>
      </c>
      <c r="B10219" s="34" t="s">
        <v>20461</v>
      </c>
      <c r="C10219" s="34" t="s">
        <v>77</v>
      </c>
      <c r="E10219" s="30" t="s">
        <v>5149</v>
      </c>
      <c r="F10219" s="34" t="n">
        <f aca="false">IFERROR(VLOOKUP($A10219,'319'!$B:$H,7,0),0)</f>
        <v>0</v>
      </c>
      <c r="G10219" s="34" t="n">
        <f aca="false">SUMIFS('12.326ana'!$C:$C,'12.326ana'!$M:$M,redes!A10219)</f>
        <v>0</v>
      </c>
    </row>
    <row r="10220" customFormat="false" ht="14.4" hidden="true" customHeight="false" outlineLevel="0" collapsed="false">
      <c r="A10220" s="34" t="n">
        <v>7030511000103</v>
      </c>
      <c r="B10220" s="34" t="s">
        <v>20462</v>
      </c>
      <c r="C10220" s="34" t="s">
        <v>979</v>
      </c>
      <c r="E10220" s="30" t="s">
        <v>3571</v>
      </c>
      <c r="F10220" s="34" t="n">
        <f aca="false">IFERROR(VLOOKUP($A10220,'319'!$B:$H,7,0),0)</f>
        <v>0</v>
      </c>
      <c r="G10220" s="34" t="n">
        <f aca="false">SUMIFS('12.326ana'!$C:$C,'12.326ana'!$M:$M,redes!A10220)</f>
        <v>0</v>
      </c>
    </row>
    <row r="10221" customFormat="false" ht="14.4" hidden="true" customHeight="false" outlineLevel="0" collapsed="false">
      <c r="A10221" s="34" t="n">
        <v>7033833000106</v>
      </c>
      <c r="B10221" s="34" t="s">
        <v>20463</v>
      </c>
      <c r="C10221" s="34" t="s">
        <v>77</v>
      </c>
      <c r="E10221" s="30" t="s">
        <v>20464</v>
      </c>
      <c r="F10221" s="34" t="n">
        <f aca="false">IFERROR(VLOOKUP($A10221,'319'!$B:$H,7,0),0)</f>
        <v>0</v>
      </c>
      <c r="G10221" s="34" t="n">
        <f aca="false">SUMIFS('12.326ana'!$C:$C,'12.326ana'!$M:$M,redes!A10221)</f>
        <v>0</v>
      </c>
    </row>
    <row r="10222" customFormat="false" ht="14.4" hidden="true" customHeight="false" outlineLevel="0" collapsed="false">
      <c r="A10222" s="34" t="n">
        <v>7034000000151</v>
      </c>
      <c r="B10222" s="34" t="s">
        <v>20465</v>
      </c>
      <c r="C10222" s="34" t="s">
        <v>463</v>
      </c>
      <c r="E10222" s="30" t="s">
        <v>20466</v>
      </c>
      <c r="F10222" s="34" t="n">
        <f aca="false">IFERROR(VLOOKUP($A10222,'319'!$B:$H,7,0),0)</f>
        <v>0</v>
      </c>
      <c r="G10222" s="34" t="n">
        <f aca="false">SUMIFS('12.326ana'!$C:$C,'12.326ana'!$M:$M,redes!A10222)</f>
        <v>0</v>
      </c>
    </row>
    <row r="10223" customFormat="false" ht="14.4" hidden="true" customHeight="false" outlineLevel="0" collapsed="false">
      <c r="A10223" s="34" t="n">
        <v>7036004000179</v>
      </c>
      <c r="B10223" s="34" t="s">
        <v>20467</v>
      </c>
      <c r="C10223" s="34" t="s">
        <v>77</v>
      </c>
      <c r="E10223" s="30" t="s">
        <v>20468</v>
      </c>
      <c r="F10223" s="34" t="n">
        <f aca="false">IFERROR(VLOOKUP($A10223,'319'!$B:$H,7,0),0)</f>
        <v>0</v>
      </c>
      <c r="G10223" s="34" t="n">
        <f aca="false">SUMIFS('12.326ana'!$C:$C,'12.326ana'!$M:$M,redes!A10223)</f>
        <v>0</v>
      </c>
    </row>
    <row r="10224" customFormat="false" ht="14.4" hidden="true" customHeight="false" outlineLevel="0" collapsed="false">
      <c r="A10224" s="34" t="n">
        <v>7040159000189</v>
      </c>
      <c r="B10224" s="34" t="s">
        <v>20469</v>
      </c>
      <c r="C10224" s="34" t="s">
        <v>20470</v>
      </c>
      <c r="E10224" s="30" t="s">
        <v>20471</v>
      </c>
      <c r="F10224" s="34" t="n">
        <f aca="false">IFERROR(VLOOKUP($A10224,'319'!$B:$H,7,0),0)</f>
        <v>0</v>
      </c>
      <c r="G10224" s="34" t="n">
        <f aca="false">SUMIFS('12.326ana'!$C:$C,'12.326ana'!$M:$M,redes!A10224)</f>
        <v>0</v>
      </c>
    </row>
    <row r="10225" customFormat="false" ht="14.4" hidden="true" customHeight="false" outlineLevel="0" collapsed="false">
      <c r="A10225" s="34" t="n">
        <v>7041169000139</v>
      </c>
      <c r="B10225" s="34" t="s">
        <v>6871</v>
      </c>
      <c r="C10225" s="34" t="s">
        <v>77</v>
      </c>
      <c r="E10225" s="30" t="s">
        <v>6872</v>
      </c>
      <c r="F10225" s="34" t="n">
        <f aca="false">IFERROR(VLOOKUP($A10225,'319'!$B:$H,7,0),0)</f>
        <v>0</v>
      </c>
      <c r="G10225" s="34" t="n">
        <f aca="false">SUMIFS('12.326ana'!$C:$C,'12.326ana'!$M:$M,redes!A10225)</f>
        <v>0</v>
      </c>
    </row>
    <row r="10226" customFormat="false" ht="14.4" hidden="true" customHeight="false" outlineLevel="0" collapsed="false">
      <c r="A10226" s="34" t="n">
        <v>7047190000141</v>
      </c>
      <c r="B10226" s="34" t="s">
        <v>20472</v>
      </c>
      <c r="C10226" s="34" t="s">
        <v>77</v>
      </c>
      <c r="E10226" s="30" t="s">
        <v>20473</v>
      </c>
      <c r="F10226" s="34" t="n">
        <f aca="false">IFERROR(VLOOKUP($A10226,'319'!$B:$H,7,0),0)</f>
        <v>0</v>
      </c>
      <c r="G10226" s="34" t="n">
        <f aca="false">SUMIFS('12.326ana'!$C:$C,'12.326ana'!$M:$M,redes!A10226)</f>
        <v>0</v>
      </c>
    </row>
    <row r="10227" customFormat="false" ht="14.4" hidden="true" customHeight="false" outlineLevel="0" collapsed="false">
      <c r="A10227" s="34" t="n">
        <v>7047421000117</v>
      </c>
      <c r="B10227" s="34" t="s">
        <v>20474</v>
      </c>
      <c r="C10227" s="34" t="s">
        <v>192</v>
      </c>
      <c r="E10227" s="30" t="s">
        <v>20475</v>
      </c>
      <c r="F10227" s="34" t="n">
        <f aca="false">IFERROR(VLOOKUP($A10227,'319'!$B:$H,7,0),0)</f>
        <v>0</v>
      </c>
      <c r="G10227" s="34" t="n">
        <f aca="false">SUMIFS('12.326ana'!$C:$C,'12.326ana'!$M:$M,redes!A10227)</f>
        <v>0</v>
      </c>
    </row>
    <row r="10228" customFormat="false" ht="14.4" hidden="true" customHeight="false" outlineLevel="0" collapsed="false">
      <c r="A10228" s="34" t="n">
        <v>7047709000191</v>
      </c>
      <c r="B10228" s="34" t="s">
        <v>20476</v>
      </c>
      <c r="C10228" s="34" t="s">
        <v>631</v>
      </c>
      <c r="E10228" s="30" t="s">
        <v>16765</v>
      </c>
      <c r="F10228" s="34" t="n">
        <f aca="false">IFERROR(VLOOKUP($A10228,'319'!$B:$H,7,0),0)</f>
        <v>0</v>
      </c>
      <c r="G10228" s="34" t="n">
        <f aca="false">SUMIFS('12.326ana'!$C:$C,'12.326ana'!$M:$M,redes!A10228)</f>
        <v>0</v>
      </c>
    </row>
    <row r="10229" customFormat="false" ht="14.4" hidden="true" customHeight="false" outlineLevel="0" collapsed="false">
      <c r="A10229" s="34" t="n">
        <v>7048029000192</v>
      </c>
      <c r="B10229" s="34" t="s">
        <v>20477</v>
      </c>
      <c r="C10229" s="34" t="s">
        <v>107</v>
      </c>
      <c r="E10229" s="30" t="s">
        <v>20478</v>
      </c>
      <c r="F10229" s="34" t="n">
        <f aca="false">IFERROR(VLOOKUP($A10229,'319'!$B:$H,7,0),0)</f>
        <v>0</v>
      </c>
      <c r="G10229" s="34" t="n">
        <f aca="false">SUMIFS('12.326ana'!$C:$C,'12.326ana'!$M:$M,redes!A10229)</f>
        <v>0</v>
      </c>
    </row>
    <row r="10230" customFormat="false" ht="14.4" hidden="true" customHeight="false" outlineLevel="0" collapsed="false">
      <c r="A10230" s="34" t="n">
        <v>7049079000194</v>
      </c>
      <c r="B10230" s="34" t="s">
        <v>20479</v>
      </c>
      <c r="C10230" s="34" t="s">
        <v>77</v>
      </c>
      <c r="E10230" s="30" t="s">
        <v>20480</v>
      </c>
      <c r="F10230" s="34" t="n">
        <f aca="false">IFERROR(VLOOKUP($A10230,'319'!$B:$H,7,0),0)</f>
        <v>0</v>
      </c>
      <c r="G10230" s="34" t="n">
        <f aca="false">SUMIFS('12.326ana'!$C:$C,'12.326ana'!$M:$M,redes!A10230)</f>
        <v>0</v>
      </c>
    </row>
    <row r="10231" customFormat="false" ht="14.4" hidden="true" customHeight="false" outlineLevel="0" collapsed="false">
      <c r="A10231" s="34" t="n">
        <v>7055321000132</v>
      </c>
      <c r="B10231" s="34" t="s">
        <v>20481</v>
      </c>
      <c r="C10231" s="34" t="s">
        <v>604</v>
      </c>
      <c r="D10231" s="34" t="s">
        <v>20482</v>
      </c>
      <c r="E10231" s="30" t="s">
        <v>20483</v>
      </c>
      <c r="F10231" s="34" t="n">
        <f aca="false">IFERROR(VLOOKUP($A10231,'319'!$B:$H,7,0),0)</f>
        <v>0</v>
      </c>
      <c r="G10231" s="34" t="n">
        <f aca="false">SUMIFS('12.326ana'!$C:$C,'12.326ana'!$M:$M,redes!A10231)</f>
        <v>0</v>
      </c>
    </row>
    <row r="10232" customFormat="false" ht="14.4" hidden="true" customHeight="false" outlineLevel="0" collapsed="false">
      <c r="A10232" s="34" t="n">
        <v>7055321000213</v>
      </c>
      <c r="B10232" s="34" t="s">
        <v>20481</v>
      </c>
      <c r="C10232" s="34" t="s">
        <v>604</v>
      </c>
      <c r="E10232" s="30" t="s">
        <v>20484</v>
      </c>
      <c r="F10232" s="34" t="n">
        <f aca="false">IFERROR(VLOOKUP($A10232,'319'!$B:$H,7,0),0)</f>
        <v>0</v>
      </c>
      <c r="G10232" s="34" t="n">
        <f aca="false">SUMIFS('12.326ana'!$C:$C,'12.326ana'!$M:$M,redes!A10232)</f>
        <v>0</v>
      </c>
    </row>
    <row r="10233" customFormat="false" ht="14.4" hidden="true" customHeight="false" outlineLevel="0" collapsed="false">
      <c r="A10233" s="34" t="n">
        <v>7056190000108</v>
      </c>
      <c r="B10233" s="34" t="s">
        <v>20485</v>
      </c>
      <c r="C10233" s="34" t="s">
        <v>139</v>
      </c>
      <c r="E10233" s="30" t="s">
        <v>13509</v>
      </c>
      <c r="F10233" s="34" t="n">
        <f aca="false">IFERROR(VLOOKUP($A10233,'319'!$B:$H,7,0),0)</f>
        <v>0</v>
      </c>
      <c r="G10233" s="34" t="n">
        <f aca="false">SUMIFS('12.326ana'!$C:$C,'12.326ana'!$M:$M,redes!A10233)</f>
        <v>0</v>
      </c>
    </row>
    <row r="10234" customFormat="false" ht="14.4" hidden="true" customHeight="false" outlineLevel="0" collapsed="false">
      <c r="A10234" s="34" t="n">
        <v>7057115000161</v>
      </c>
      <c r="B10234" s="34" t="s">
        <v>9239</v>
      </c>
      <c r="C10234" s="34" t="s">
        <v>1602</v>
      </c>
      <c r="E10234" s="30" t="s">
        <v>20486</v>
      </c>
      <c r="F10234" s="34" t="n">
        <f aca="false">IFERROR(VLOOKUP($A10234,'319'!$B:$H,7,0),0)</f>
        <v>0</v>
      </c>
      <c r="G10234" s="34" t="n">
        <f aca="false">SUMIFS('12.326ana'!$C:$C,'12.326ana'!$M:$M,redes!A10234)</f>
        <v>0</v>
      </c>
    </row>
    <row r="10235" customFormat="false" ht="14.4" hidden="true" customHeight="false" outlineLevel="0" collapsed="false">
      <c r="A10235" s="34" t="n">
        <v>7059667000109</v>
      </c>
      <c r="B10235" s="34" t="s">
        <v>20487</v>
      </c>
      <c r="C10235" s="34" t="s">
        <v>107</v>
      </c>
      <c r="E10235" s="30" t="s">
        <v>5611</v>
      </c>
      <c r="F10235" s="34" t="n">
        <f aca="false">IFERROR(VLOOKUP($A10235,'319'!$B:$H,7,0),0)</f>
        <v>0</v>
      </c>
      <c r="G10235" s="34" t="n">
        <f aca="false">SUMIFS('12.326ana'!$C:$C,'12.326ana'!$M:$M,redes!A10235)</f>
        <v>0</v>
      </c>
    </row>
    <row r="10236" customFormat="false" ht="14.4" hidden="true" customHeight="false" outlineLevel="0" collapsed="false">
      <c r="A10236" s="34" t="n">
        <v>7060216000191</v>
      </c>
      <c r="B10236" s="34" t="s">
        <v>20488</v>
      </c>
      <c r="C10236" s="34" t="s">
        <v>107</v>
      </c>
      <c r="E10236" s="30" t="s">
        <v>20489</v>
      </c>
      <c r="F10236" s="34" t="n">
        <f aca="false">IFERROR(VLOOKUP($A10236,'319'!$B:$H,7,0),0)</f>
        <v>0</v>
      </c>
      <c r="G10236" s="34" t="n">
        <f aca="false">SUMIFS('12.326ana'!$C:$C,'12.326ana'!$M:$M,redes!A10236)</f>
        <v>0</v>
      </c>
    </row>
    <row r="10237" customFormat="false" ht="14.4" hidden="true" customHeight="false" outlineLevel="0" collapsed="false">
      <c r="A10237" s="34" t="n">
        <v>7061439000173</v>
      </c>
      <c r="B10237" s="34" t="s">
        <v>20490</v>
      </c>
      <c r="C10237" s="34" t="s">
        <v>77</v>
      </c>
      <c r="E10237" s="30" t="s">
        <v>9706</v>
      </c>
      <c r="F10237" s="34" t="n">
        <f aca="false">IFERROR(VLOOKUP($A10237,'319'!$B:$H,7,0),0)</f>
        <v>0</v>
      </c>
      <c r="G10237" s="34" t="n">
        <f aca="false">SUMIFS('12.326ana'!$C:$C,'12.326ana'!$M:$M,redes!A10237)</f>
        <v>0</v>
      </c>
    </row>
    <row r="10238" customFormat="false" ht="14.4" hidden="true" customHeight="false" outlineLevel="0" collapsed="false">
      <c r="A10238" s="34" t="n">
        <v>7065069000142</v>
      </c>
      <c r="B10238" s="34" t="s">
        <v>20491</v>
      </c>
      <c r="C10238" s="34" t="s">
        <v>764</v>
      </c>
      <c r="E10238" s="30" t="s">
        <v>20492</v>
      </c>
      <c r="F10238" s="34" t="n">
        <f aca="false">IFERROR(VLOOKUP($A10238,'319'!$B:$H,7,0),0)</f>
        <v>0</v>
      </c>
      <c r="G10238" s="34" t="n">
        <f aca="false">SUMIFS('12.326ana'!$C:$C,'12.326ana'!$M:$M,redes!A10238)</f>
        <v>0</v>
      </c>
    </row>
    <row r="10239" customFormat="false" ht="14.4" hidden="true" customHeight="false" outlineLevel="0" collapsed="false">
      <c r="A10239" s="34" t="n">
        <v>7066560000198</v>
      </c>
      <c r="B10239" s="34" t="s">
        <v>20493</v>
      </c>
      <c r="C10239" s="34" t="s">
        <v>4139</v>
      </c>
      <c r="E10239" s="30" t="s">
        <v>20494</v>
      </c>
      <c r="F10239" s="34" t="n">
        <f aca="false">IFERROR(VLOOKUP($A10239,'319'!$B:$H,7,0),0)</f>
        <v>0</v>
      </c>
      <c r="G10239" s="34" t="n">
        <f aca="false">SUMIFS('12.326ana'!$C:$C,'12.326ana'!$M:$M,redes!A10239)</f>
        <v>0</v>
      </c>
    </row>
    <row r="10240" customFormat="false" ht="14.4" hidden="true" customHeight="false" outlineLevel="0" collapsed="false">
      <c r="A10240" s="34" t="n">
        <v>7070227000152</v>
      </c>
      <c r="B10240" s="34" t="s">
        <v>20495</v>
      </c>
      <c r="C10240" s="34" t="s">
        <v>107</v>
      </c>
      <c r="E10240" s="30" t="s">
        <v>20496</v>
      </c>
      <c r="F10240" s="34" t="n">
        <f aca="false">IFERROR(VLOOKUP($A10240,'319'!$B:$H,7,0),0)</f>
        <v>0</v>
      </c>
      <c r="G10240" s="34" t="n">
        <f aca="false">SUMIFS('12.326ana'!$C:$C,'12.326ana'!$M:$M,redes!A10240)</f>
        <v>0</v>
      </c>
    </row>
    <row r="10241" customFormat="false" ht="14.4" hidden="true" customHeight="false" outlineLevel="0" collapsed="false">
      <c r="A10241" s="34" t="n">
        <v>7070392000104</v>
      </c>
      <c r="B10241" s="34" t="s">
        <v>20497</v>
      </c>
      <c r="C10241" s="34" t="s">
        <v>764</v>
      </c>
      <c r="E10241" s="30" t="s">
        <v>20498</v>
      </c>
      <c r="F10241" s="34" t="n">
        <f aca="false">IFERROR(VLOOKUP($A10241,'319'!$B:$H,7,0),0)</f>
        <v>0</v>
      </c>
      <c r="G10241" s="34" t="n">
        <f aca="false">SUMIFS('12.326ana'!$C:$C,'12.326ana'!$M:$M,redes!A10241)</f>
        <v>0</v>
      </c>
    </row>
    <row r="10242" customFormat="false" ht="14.4" hidden="true" customHeight="false" outlineLevel="0" collapsed="false">
      <c r="A10242" s="34" t="n">
        <v>7071458000180</v>
      </c>
      <c r="B10242" s="34" t="s">
        <v>20499</v>
      </c>
      <c r="C10242" s="34" t="s">
        <v>117</v>
      </c>
      <c r="E10242" s="30" t="s">
        <v>6310</v>
      </c>
      <c r="F10242" s="34" t="n">
        <f aca="false">IFERROR(VLOOKUP($A10242,'319'!$B:$H,7,0),0)</f>
        <v>0</v>
      </c>
      <c r="G10242" s="34" t="n">
        <f aca="false">SUMIFS('12.326ana'!$C:$C,'12.326ana'!$M:$M,redes!A10242)</f>
        <v>0</v>
      </c>
    </row>
    <row r="10243" customFormat="false" ht="14.4" hidden="true" customHeight="false" outlineLevel="0" collapsed="false">
      <c r="A10243" s="34" t="n">
        <v>7071689000194</v>
      </c>
      <c r="B10243" s="34" t="s">
        <v>20500</v>
      </c>
      <c r="C10243" s="34" t="s">
        <v>107</v>
      </c>
      <c r="E10243" s="30" t="s">
        <v>20501</v>
      </c>
      <c r="F10243" s="34" t="n">
        <f aca="false">IFERROR(VLOOKUP($A10243,'319'!$B:$H,7,0),0)</f>
        <v>0</v>
      </c>
      <c r="G10243" s="34" t="n">
        <f aca="false">SUMIFS('12.326ana'!$C:$C,'12.326ana'!$M:$M,redes!A10243)</f>
        <v>0</v>
      </c>
    </row>
    <row r="10244" customFormat="false" ht="14.4" hidden="true" customHeight="false" outlineLevel="0" collapsed="false">
      <c r="A10244" s="34" t="n">
        <v>7072590000107</v>
      </c>
      <c r="B10244" s="34" t="s">
        <v>20502</v>
      </c>
      <c r="C10244" s="34" t="s">
        <v>848</v>
      </c>
      <c r="E10244" s="30" t="s">
        <v>19024</v>
      </c>
      <c r="F10244" s="34" t="n">
        <f aca="false">IFERROR(VLOOKUP($A10244,'319'!$B:$H,7,0),0)</f>
        <v>0</v>
      </c>
      <c r="G10244" s="34" t="n">
        <f aca="false">SUMIFS('12.326ana'!$C:$C,'12.326ana'!$M:$M,redes!A10244)</f>
        <v>0</v>
      </c>
    </row>
    <row r="10245" customFormat="false" ht="14.4" hidden="true" customHeight="false" outlineLevel="0" collapsed="false">
      <c r="A10245" s="34" t="n">
        <v>7074556000171</v>
      </c>
      <c r="B10245" s="34" t="s">
        <v>20503</v>
      </c>
      <c r="C10245" s="34" t="s">
        <v>107</v>
      </c>
      <c r="E10245" s="30" t="s">
        <v>16839</v>
      </c>
      <c r="F10245" s="34" t="n">
        <f aca="false">IFERROR(VLOOKUP($A10245,'319'!$B:$H,7,0),0)</f>
        <v>0</v>
      </c>
      <c r="G10245" s="34" t="n">
        <f aca="false">SUMIFS('12.326ana'!$C:$C,'12.326ana'!$M:$M,redes!A10245)</f>
        <v>0</v>
      </c>
    </row>
    <row r="10246" customFormat="false" ht="14.4" hidden="true" customHeight="false" outlineLevel="0" collapsed="false">
      <c r="A10246" s="34" t="n">
        <v>7079722000122</v>
      </c>
      <c r="B10246" s="34" t="s">
        <v>20504</v>
      </c>
      <c r="C10246" s="34" t="s">
        <v>781</v>
      </c>
      <c r="E10246" s="30" t="s">
        <v>8993</v>
      </c>
      <c r="F10246" s="34" t="n">
        <f aca="false">IFERROR(VLOOKUP($A10246,'319'!$B:$H,7,0),0)</f>
        <v>0</v>
      </c>
      <c r="G10246" s="34" t="n">
        <f aca="false">SUMIFS('12.326ana'!$C:$C,'12.326ana'!$M:$M,redes!A10246)</f>
        <v>0</v>
      </c>
    </row>
    <row r="10247" customFormat="false" ht="14.4" hidden="true" customHeight="false" outlineLevel="0" collapsed="false">
      <c r="A10247" s="34" t="n">
        <v>7080343000152</v>
      </c>
      <c r="B10247" s="34" t="s">
        <v>20505</v>
      </c>
      <c r="C10247" s="34" t="s">
        <v>77</v>
      </c>
      <c r="E10247" s="30" t="s">
        <v>20506</v>
      </c>
      <c r="F10247" s="34" t="n">
        <f aca="false">IFERROR(VLOOKUP($A10247,'319'!$B:$H,7,0),0)</f>
        <v>0</v>
      </c>
      <c r="G10247" s="34" t="n">
        <f aca="false">SUMIFS('12.326ana'!$C:$C,'12.326ana'!$M:$M,redes!A10247)</f>
        <v>0</v>
      </c>
    </row>
    <row r="10248" customFormat="false" ht="14.4" hidden="true" customHeight="false" outlineLevel="0" collapsed="false">
      <c r="A10248" s="34" t="n">
        <v>7084104000170</v>
      </c>
      <c r="B10248" s="34" t="s">
        <v>20507</v>
      </c>
      <c r="C10248" s="34" t="s">
        <v>1618</v>
      </c>
      <c r="E10248" s="30" t="s">
        <v>20508</v>
      </c>
      <c r="F10248" s="34" t="n">
        <f aca="false">IFERROR(VLOOKUP($A10248,'319'!$B:$H,7,0),0)</f>
        <v>0</v>
      </c>
      <c r="G10248" s="34" t="n">
        <f aca="false">SUMIFS('12.326ana'!$C:$C,'12.326ana'!$M:$M,redes!A10248)</f>
        <v>0</v>
      </c>
    </row>
    <row r="10249" customFormat="false" ht="14.4" hidden="true" customHeight="false" outlineLevel="0" collapsed="false">
      <c r="A10249" s="34" t="n">
        <v>7085809000102</v>
      </c>
      <c r="B10249" s="34" t="s">
        <v>20509</v>
      </c>
      <c r="C10249" s="34" t="s">
        <v>77</v>
      </c>
      <c r="E10249" s="30" t="s">
        <v>20510</v>
      </c>
      <c r="F10249" s="34" t="n">
        <f aca="false">IFERROR(VLOOKUP($A10249,'319'!$B:$H,7,0),0)</f>
        <v>0</v>
      </c>
      <c r="G10249" s="34" t="n">
        <f aca="false">SUMIFS('12.326ana'!$C:$C,'12.326ana'!$M:$M,redes!A10249)</f>
        <v>0</v>
      </c>
    </row>
    <row r="10250" customFormat="false" ht="14.4" hidden="true" customHeight="false" outlineLevel="0" collapsed="false">
      <c r="A10250" s="34" t="n">
        <v>7086595000199</v>
      </c>
      <c r="B10250" s="34" t="s">
        <v>20511</v>
      </c>
      <c r="C10250" s="34" t="s">
        <v>598</v>
      </c>
      <c r="E10250" s="30" t="s">
        <v>20512</v>
      </c>
      <c r="F10250" s="34" t="n">
        <f aca="false">IFERROR(VLOOKUP($A10250,'319'!$B:$H,7,0),0)</f>
        <v>0</v>
      </c>
      <c r="G10250" s="34" t="n">
        <f aca="false">SUMIFS('12.326ana'!$C:$C,'12.326ana'!$M:$M,redes!A10250)</f>
        <v>0</v>
      </c>
    </row>
    <row r="10251" customFormat="false" ht="14.4" hidden="true" customHeight="false" outlineLevel="0" collapsed="false">
      <c r="A10251" s="34" t="n">
        <v>7086605000196</v>
      </c>
      <c r="B10251" s="34" t="s">
        <v>20513</v>
      </c>
      <c r="C10251" s="34" t="s">
        <v>77</v>
      </c>
      <c r="E10251" s="30" t="s">
        <v>20514</v>
      </c>
      <c r="F10251" s="34" t="n">
        <f aca="false">IFERROR(VLOOKUP($A10251,'319'!$B:$H,7,0),0)</f>
        <v>0</v>
      </c>
      <c r="G10251" s="34" t="n">
        <f aca="false">SUMIFS('12.326ana'!$C:$C,'12.326ana'!$M:$M,redes!A10251)</f>
        <v>0</v>
      </c>
    </row>
    <row r="10252" customFormat="false" ht="14.4" hidden="true" customHeight="false" outlineLevel="0" collapsed="false">
      <c r="A10252" s="34" t="n">
        <v>7087378000113</v>
      </c>
      <c r="B10252" s="34" t="s">
        <v>20515</v>
      </c>
      <c r="C10252" s="34" t="s">
        <v>604</v>
      </c>
      <c r="E10252" s="30" t="s">
        <v>6085</v>
      </c>
      <c r="F10252" s="34" t="n">
        <f aca="false">IFERROR(VLOOKUP($A10252,'319'!$B:$H,7,0),0)</f>
        <v>0</v>
      </c>
      <c r="G10252" s="34" t="n">
        <f aca="false">SUMIFS('12.326ana'!$C:$C,'12.326ana'!$M:$M,redes!A10252)</f>
        <v>0</v>
      </c>
    </row>
    <row r="10253" customFormat="false" ht="14.4" hidden="true" customHeight="false" outlineLevel="0" collapsed="false">
      <c r="A10253" s="34" t="n">
        <v>7089595000142</v>
      </c>
      <c r="B10253" s="34" t="s">
        <v>20516</v>
      </c>
      <c r="C10253" s="34" t="s">
        <v>77</v>
      </c>
      <c r="E10253" s="30" t="s">
        <v>20517</v>
      </c>
      <c r="F10253" s="34" t="n">
        <f aca="false">IFERROR(VLOOKUP($A10253,'319'!$B:$H,7,0),0)</f>
        <v>0</v>
      </c>
      <c r="G10253" s="34" t="n">
        <f aca="false">SUMIFS('12.326ana'!$C:$C,'12.326ana'!$M:$M,redes!A10253)</f>
        <v>0</v>
      </c>
    </row>
    <row r="10254" customFormat="false" ht="14.4" hidden="true" customHeight="false" outlineLevel="0" collapsed="false">
      <c r="A10254" s="34" t="n">
        <v>7090923000120</v>
      </c>
      <c r="B10254" s="34" t="s">
        <v>20518</v>
      </c>
      <c r="C10254" s="34" t="s">
        <v>77</v>
      </c>
      <c r="E10254" s="30" t="s">
        <v>14327</v>
      </c>
      <c r="F10254" s="34" t="n">
        <f aca="false">IFERROR(VLOOKUP($A10254,'319'!$B:$H,7,0),0)</f>
        <v>0</v>
      </c>
      <c r="G10254" s="34" t="n">
        <f aca="false">SUMIFS('12.326ana'!$C:$C,'12.326ana'!$M:$M,redes!A10254)</f>
        <v>0</v>
      </c>
    </row>
    <row r="10255" customFormat="false" ht="14.4" hidden="true" customHeight="false" outlineLevel="0" collapsed="false">
      <c r="A10255" s="34" t="n">
        <v>7104447000150</v>
      </c>
      <c r="B10255" s="34" t="s">
        <v>20519</v>
      </c>
      <c r="C10255" s="34" t="s">
        <v>594</v>
      </c>
      <c r="E10255" s="30" t="s">
        <v>11002</v>
      </c>
      <c r="F10255" s="34" t="n">
        <f aca="false">IFERROR(VLOOKUP($A10255,'319'!$B:$H,7,0),0)</f>
        <v>0</v>
      </c>
      <c r="G10255" s="34" t="n">
        <f aca="false">SUMIFS('12.326ana'!$C:$C,'12.326ana'!$M:$M,redes!A10255)</f>
        <v>0</v>
      </c>
    </row>
    <row r="10256" customFormat="false" ht="14.4" hidden="true" customHeight="false" outlineLevel="0" collapsed="false">
      <c r="A10256" s="34" t="n">
        <v>7106700000104</v>
      </c>
      <c r="B10256" s="34" t="s">
        <v>20520</v>
      </c>
      <c r="C10256" s="34" t="s">
        <v>77</v>
      </c>
      <c r="D10256" s="34" t="s">
        <v>13713</v>
      </c>
      <c r="E10256" s="30" t="s">
        <v>20521</v>
      </c>
      <c r="F10256" s="34" t="n">
        <f aca="false">IFERROR(VLOOKUP($A10256,'319'!$B:$H,7,0),0)</f>
        <v>0</v>
      </c>
      <c r="G10256" s="34" t="n">
        <f aca="false">SUMIFS('12.326ana'!$C:$C,'12.326ana'!$M:$M,redes!A10256)</f>
        <v>0</v>
      </c>
    </row>
    <row r="10257" customFormat="false" ht="14.4" hidden="true" customHeight="false" outlineLevel="0" collapsed="false">
      <c r="A10257" s="34" t="n">
        <v>7110035000122</v>
      </c>
      <c r="B10257" s="34" t="s">
        <v>20522</v>
      </c>
      <c r="C10257" s="34" t="s">
        <v>213</v>
      </c>
      <c r="E10257" s="30" t="s">
        <v>20523</v>
      </c>
      <c r="F10257" s="34" t="n">
        <f aca="false">IFERROR(VLOOKUP($A10257,'319'!$B:$H,7,0),0)</f>
        <v>0</v>
      </c>
      <c r="G10257" s="34" t="n">
        <f aca="false">SUMIFS('12.326ana'!$C:$C,'12.326ana'!$M:$M,redes!A10257)</f>
        <v>0</v>
      </c>
    </row>
    <row r="10258" customFormat="false" ht="14.4" hidden="true" customHeight="false" outlineLevel="0" collapsed="false">
      <c r="A10258" s="34" t="n">
        <v>7110477000179</v>
      </c>
      <c r="B10258" s="34" t="s">
        <v>20524</v>
      </c>
      <c r="C10258" s="34" t="s">
        <v>309</v>
      </c>
      <c r="E10258" s="30" t="s">
        <v>20525</v>
      </c>
      <c r="F10258" s="34" t="n">
        <f aca="false">IFERROR(VLOOKUP($A10258,'319'!$B:$H,7,0),0)</f>
        <v>0</v>
      </c>
      <c r="G10258" s="34" t="n">
        <f aca="false">SUMIFS('12.326ana'!$C:$C,'12.326ana'!$M:$M,redes!A10258)</f>
        <v>0</v>
      </c>
    </row>
    <row r="10259" customFormat="false" ht="14.4" hidden="true" customHeight="false" outlineLevel="0" collapsed="false">
      <c r="A10259" s="34" t="n">
        <v>7110508000191</v>
      </c>
      <c r="B10259" s="34" t="s">
        <v>20526</v>
      </c>
      <c r="C10259" s="34" t="s">
        <v>979</v>
      </c>
      <c r="E10259" s="30" t="s">
        <v>20527</v>
      </c>
      <c r="F10259" s="34" t="n">
        <f aca="false">IFERROR(VLOOKUP($A10259,'319'!$B:$H,7,0),0)</f>
        <v>0</v>
      </c>
      <c r="G10259" s="34" t="n">
        <f aca="false">SUMIFS('12.326ana'!$C:$C,'12.326ana'!$M:$M,redes!A10259)</f>
        <v>0</v>
      </c>
    </row>
    <row r="10260" customFormat="false" ht="14.4" hidden="true" customHeight="false" outlineLevel="0" collapsed="false">
      <c r="A10260" s="34" t="n">
        <v>7111185000150</v>
      </c>
      <c r="B10260" s="34" t="s">
        <v>20528</v>
      </c>
      <c r="C10260" s="34" t="s">
        <v>77</v>
      </c>
      <c r="E10260" s="30" t="s">
        <v>20529</v>
      </c>
      <c r="F10260" s="34" t="n">
        <f aca="false">IFERROR(VLOOKUP($A10260,'319'!$B:$H,7,0),0)</f>
        <v>0</v>
      </c>
      <c r="G10260" s="34" t="n">
        <f aca="false">SUMIFS('12.326ana'!$C:$C,'12.326ana'!$M:$M,redes!A10260)</f>
        <v>0</v>
      </c>
    </row>
    <row r="10261" customFormat="false" ht="14.4" hidden="true" customHeight="false" outlineLevel="0" collapsed="false">
      <c r="A10261" s="34" t="n">
        <v>7111428000150</v>
      </c>
      <c r="B10261" s="34" t="s">
        <v>20530</v>
      </c>
      <c r="C10261" s="34" t="s">
        <v>77</v>
      </c>
      <c r="E10261" s="30" t="s">
        <v>20531</v>
      </c>
      <c r="F10261" s="34" t="n">
        <f aca="false">IFERROR(VLOOKUP($A10261,'319'!$B:$H,7,0),0)</f>
        <v>0</v>
      </c>
      <c r="G10261" s="34" t="n">
        <f aca="false">SUMIFS('12.326ana'!$C:$C,'12.326ana'!$M:$M,redes!A10261)</f>
        <v>0</v>
      </c>
    </row>
    <row r="10262" customFormat="false" ht="14.4" hidden="true" customHeight="false" outlineLevel="0" collapsed="false">
      <c r="A10262" s="34" t="n">
        <v>7111468000100</v>
      </c>
      <c r="B10262" s="34" t="s">
        <v>20532</v>
      </c>
      <c r="C10262" s="34" t="s">
        <v>77</v>
      </c>
      <c r="E10262" s="30" t="s">
        <v>20533</v>
      </c>
      <c r="F10262" s="34" t="n">
        <f aca="false">IFERROR(VLOOKUP($A10262,'319'!$B:$H,7,0),0)</f>
        <v>0</v>
      </c>
      <c r="G10262" s="34" t="n">
        <f aca="false">SUMIFS('12.326ana'!$C:$C,'12.326ana'!$M:$M,redes!A10262)</f>
        <v>0</v>
      </c>
    </row>
    <row r="10263" customFormat="false" ht="14.4" hidden="true" customHeight="false" outlineLevel="0" collapsed="false">
      <c r="A10263" s="34" t="n">
        <v>7115202000128</v>
      </c>
      <c r="B10263" s="34" t="s">
        <v>20534</v>
      </c>
      <c r="C10263" s="34" t="s">
        <v>103</v>
      </c>
      <c r="E10263" s="30" t="s">
        <v>20535</v>
      </c>
      <c r="F10263" s="34" t="n">
        <f aca="false">IFERROR(VLOOKUP($A10263,'319'!$B:$H,7,0),0)</f>
        <v>0</v>
      </c>
      <c r="G10263" s="34" t="n">
        <f aca="false">SUMIFS('12.326ana'!$C:$C,'12.326ana'!$M:$M,redes!A10263)</f>
        <v>0</v>
      </c>
    </row>
    <row r="10264" customFormat="false" ht="14.4" hidden="true" customHeight="false" outlineLevel="0" collapsed="false">
      <c r="A10264" s="34" t="n">
        <v>7115254000102</v>
      </c>
      <c r="B10264" s="34" t="s">
        <v>20536</v>
      </c>
      <c r="C10264" s="34" t="s">
        <v>107</v>
      </c>
      <c r="E10264" s="30" t="s">
        <v>20537</v>
      </c>
      <c r="F10264" s="34" t="n">
        <f aca="false">IFERROR(VLOOKUP($A10264,'319'!$B:$H,7,0),0)</f>
        <v>0</v>
      </c>
      <c r="G10264" s="34" t="n">
        <f aca="false">SUMIFS('12.326ana'!$C:$C,'12.326ana'!$M:$M,redes!A10264)</f>
        <v>0</v>
      </c>
    </row>
    <row r="10265" customFormat="false" ht="14.4" hidden="true" customHeight="false" outlineLevel="0" collapsed="false">
      <c r="A10265" s="34" t="n">
        <v>7117632000189</v>
      </c>
      <c r="B10265" s="34" t="s">
        <v>20538</v>
      </c>
      <c r="C10265" s="34" t="s">
        <v>77</v>
      </c>
      <c r="E10265" s="30" t="s">
        <v>20539</v>
      </c>
      <c r="F10265" s="34" t="n">
        <f aca="false">IFERROR(VLOOKUP($A10265,'319'!$B:$H,7,0),0)</f>
        <v>0</v>
      </c>
      <c r="G10265" s="34" t="n">
        <f aca="false">SUMIFS('12.326ana'!$C:$C,'12.326ana'!$M:$M,redes!A10265)</f>
        <v>0</v>
      </c>
    </row>
    <row r="10266" customFormat="false" ht="14.4" hidden="true" customHeight="false" outlineLevel="0" collapsed="false">
      <c r="A10266" s="34" t="n">
        <v>7117653000102</v>
      </c>
      <c r="B10266" s="34" t="s">
        <v>20540</v>
      </c>
      <c r="C10266" s="34" t="s">
        <v>77</v>
      </c>
      <c r="E10266" s="30"/>
      <c r="F10266" s="34" t="n">
        <f aca="false">IFERROR(VLOOKUP($A10266,'319'!$B:$H,7,0),0)</f>
        <v>0</v>
      </c>
      <c r="G10266" s="34" t="n">
        <f aca="false">SUMIFS('12.326ana'!$C:$C,'12.326ana'!$M:$M,redes!A10266)</f>
        <v>0</v>
      </c>
    </row>
    <row r="10267" customFormat="false" ht="14.4" hidden="true" customHeight="false" outlineLevel="0" collapsed="false">
      <c r="A10267" s="34" t="n">
        <v>7117750000197</v>
      </c>
      <c r="B10267" s="34" t="s">
        <v>20541</v>
      </c>
      <c r="C10267" s="34" t="s">
        <v>77</v>
      </c>
      <c r="E10267" s="30" t="s">
        <v>20542</v>
      </c>
      <c r="F10267" s="34" t="n">
        <f aca="false">IFERROR(VLOOKUP($A10267,'319'!$B:$H,7,0),0)</f>
        <v>0</v>
      </c>
      <c r="G10267" s="34" t="n">
        <f aca="false">SUMIFS('12.326ana'!$C:$C,'12.326ana'!$M:$M,redes!A10267)</f>
        <v>0</v>
      </c>
    </row>
    <row r="10268" customFormat="false" ht="14.4" hidden="true" customHeight="false" outlineLevel="0" collapsed="false">
      <c r="A10268" s="34" t="n">
        <v>7121032000194</v>
      </c>
      <c r="B10268" s="34" t="s">
        <v>20543</v>
      </c>
      <c r="C10268" s="34" t="s">
        <v>77</v>
      </c>
      <c r="E10268" s="30" t="s">
        <v>10978</v>
      </c>
      <c r="F10268" s="34" t="n">
        <f aca="false">IFERROR(VLOOKUP($A10268,'319'!$B:$H,7,0),0)</f>
        <v>0</v>
      </c>
      <c r="G10268" s="34" t="n">
        <f aca="false">SUMIFS('12.326ana'!$C:$C,'12.326ana'!$M:$M,redes!A10268)</f>
        <v>0</v>
      </c>
    </row>
    <row r="10269" customFormat="false" ht="14.4" hidden="true" customHeight="false" outlineLevel="0" collapsed="false">
      <c r="A10269" s="34" t="n">
        <v>7124093000105</v>
      </c>
      <c r="B10269" s="34" t="s">
        <v>20544</v>
      </c>
      <c r="C10269" s="34" t="s">
        <v>464</v>
      </c>
      <c r="D10269" s="34" t="s">
        <v>14479</v>
      </c>
      <c r="E10269" s="30" t="s">
        <v>14480</v>
      </c>
      <c r="F10269" s="34" t="n">
        <f aca="false">IFERROR(VLOOKUP($A10269,'319'!$B:$H,7,0),0)</f>
        <v>0</v>
      </c>
      <c r="G10269" s="34" t="n">
        <f aca="false">SUMIFS('12.326ana'!$C:$C,'12.326ana'!$M:$M,redes!A10269)</f>
        <v>0</v>
      </c>
    </row>
    <row r="10270" customFormat="false" ht="14.4" hidden="true" customHeight="false" outlineLevel="0" collapsed="false">
      <c r="A10270" s="34" t="n">
        <v>7124093000296</v>
      </c>
      <c r="B10270" s="34" t="s">
        <v>20544</v>
      </c>
      <c r="C10270" s="34" t="s">
        <v>737</v>
      </c>
      <c r="D10270" s="34" t="s">
        <v>14479</v>
      </c>
      <c r="E10270" s="30" t="s">
        <v>14480</v>
      </c>
      <c r="F10270" s="34" t="n">
        <f aca="false">IFERROR(VLOOKUP($A10270,'319'!$B:$H,7,0),0)</f>
        <v>0</v>
      </c>
      <c r="G10270" s="34" t="n">
        <f aca="false">SUMIFS('12.326ana'!$C:$C,'12.326ana'!$M:$M,redes!A10270)</f>
        <v>0</v>
      </c>
    </row>
    <row r="10271" customFormat="false" ht="14.4" hidden="true" customHeight="false" outlineLevel="0" collapsed="false">
      <c r="A10271" s="34" t="n">
        <v>7124215000163</v>
      </c>
      <c r="B10271" s="34" t="s">
        <v>20545</v>
      </c>
      <c r="C10271" s="34" t="s">
        <v>976</v>
      </c>
      <c r="E10271" s="30" t="s">
        <v>20546</v>
      </c>
      <c r="F10271" s="34" t="n">
        <f aca="false">IFERROR(VLOOKUP($A10271,'319'!$B:$H,7,0),0)</f>
        <v>0</v>
      </c>
      <c r="G10271" s="34" t="n">
        <f aca="false">SUMIFS('12.326ana'!$C:$C,'12.326ana'!$M:$M,redes!A10271)</f>
        <v>0</v>
      </c>
    </row>
    <row r="10272" customFormat="false" ht="14.4" hidden="true" customHeight="false" outlineLevel="0" collapsed="false">
      <c r="A10272" s="34" t="n">
        <v>7124220000176</v>
      </c>
      <c r="B10272" s="34" t="s">
        <v>20547</v>
      </c>
      <c r="C10272" s="34" t="s">
        <v>967</v>
      </c>
      <c r="E10272" s="30"/>
      <c r="F10272" s="34" t="n">
        <f aca="false">IFERROR(VLOOKUP($A10272,'319'!$B:$H,7,0),0)</f>
        <v>0</v>
      </c>
      <c r="G10272" s="34" t="n">
        <f aca="false">SUMIFS('12.326ana'!$C:$C,'12.326ana'!$M:$M,redes!A10272)</f>
        <v>0</v>
      </c>
    </row>
    <row r="10273" customFormat="false" ht="14.4" hidden="true" customHeight="false" outlineLevel="0" collapsed="false">
      <c r="A10273" s="34" t="n">
        <v>7126898000198</v>
      </c>
      <c r="B10273" s="34" t="s">
        <v>20548</v>
      </c>
      <c r="C10273" s="34" t="s">
        <v>89</v>
      </c>
      <c r="E10273" s="30" t="s">
        <v>15277</v>
      </c>
      <c r="F10273" s="34" t="n">
        <f aca="false">IFERROR(VLOOKUP($A10273,'319'!$B:$H,7,0),0)</f>
        <v>0</v>
      </c>
      <c r="G10273" s="34" t="n">
        <f aca="false">SUMIFS('12.326ana'!$C:$C,'12.326ana'!$M:$M,redes!A10273)</f>
        <v>0</v>
      </c>
    </row>
    <row r="10274" customFormat="false" ht="14.4" hidden="true" customHeight="false" outlineLevel="0" collapsed="false">
      <c r="A10274" s="34" t="n">
        <v>7127789000195</v>
      </c>
      <c r="B10274" s="34" t="s">
        <v>20549</v>
      </c>
      <c r="C10274" s="34" t="s">
        <v>1272</v>
      </c>
      <c r="E10274" s="30" t="s">
        <v>20550</v>
      </c>
      <c r="F10274" s="34" t="n">
        <f aca="false">IFERROR(VLOOKUP($A10274,'319'!$B:$H,7,0),0)</f>
        <v>0</v>
      </c>
      <c r="G10274" s="34" t="n">
        <f aca="false">SUMIFS('12.326ana'!$C:$C,'12.326ana'!$M:$M,redes!A10274)</f>
        <v>0</v>
      </c>
    </row>
    <row r="10275" customFormat="false" ht="14.4" hidden="true" customHeight="false" outlineLevel="0" collapsed="false">
      <c r="A10275" s="34" t="n">
        <v>7128802000120</v>
      </c>
      <c r="B10275" s="34" t="s">
        <v>20551</v>
      </c>
      <c r="C10275" s="34" t="s">
        <v>107</v>
      </c>
      <c r="E10275" s="30" t="s">
        <v>20552</v>
      </c>
      <c r="F10275" s="34" t="n">
        <f aca="false">IFERROR(VLOOKUP($A10275,'319'!$B:$H,7,0),0)</f>
        <v>0</v>
      </c>
      <c r="G10275" s="34" t="n">
        <f aca="false">SUMIFS('12.326ana'!$C:$C,'12.326ana'!$M:$M,redes!A10275)</f>
        <v>0</v>
      </c>
    </row>
    <row r="10276" customFormat="false" ht="14.4" hidden="true" customHeight="false" outlineLevel="0" collapsed="false">
      <c r="A10276" s="34" t="n">
        <v>7129963000139</v>
      </c>
      <c r="B10276" s="34" t="s">
        <v>20553</v>
      </c>
      <c r="C10276" s="34" t="s">
        <v>77</v>
      </c>
      <c r="E10276" s="30" t="s">
        <v>20554</v>
      </c>
      <c r="F10276" s="34" t="n">
        <f aca="false">IFERROR(VLOOKUP($A10276,'319'!$B:$H,7,0),0)</f>
        <v>0</v>
      </c>
      <c r="G10276" s="34" t="n">
        <f aca="false">SUMIFS('12.326ana'!$C:$C,'12.326ana'!$M:$M,redes!A10276)</f>
        <v>0</v>
      </c>
    </row>
    <row r="10277" customFormat="false" ht="14.4" hidden="true" customHeight="false" outlineLevel="0" collapsed="false">
      <c r="A10277" s="34" t="n">
        <v>7136185000105</v>
      </c>
      <c r="B10277" s="34" t="s">
        <v>20555</v>
      </c>
      <c r="C10277" s="34" t="s">
        <v>89</v>
      </c>
      <c r="E10277" s="30" t="s">
        <v>20556</v>
      </c>
      <c r="F10277" s="34" t="n">
        <f aca="false">IFERROR(VLOOKUP($A10277,'319'!$B:$H,7,0),0)</f>
        <v>0</v>
      </c>
      <c r="G10277" s="34" t="n">
        <f aca="false">SUMIFS('12.326ana'!$C:$C,'12.326ana'!$M:$M,redes!A10277)</f>
        <v>0</v>
      </c>
    </row>
    <row r="10278" customFormat="false" ht="14.4" hidden="true" customHeight="false" outlineLevel="0" collapsed="false">
      <c r="A10278" s="34" t="n">
        <v>7139095000178</v>
      </c>
      <c r="B10278" s="34" t="s">
        <v>20557</v>
      </c>
      <c r="C10278" s="34" t="s">
        <v>1272</v>
      </c>
      <c r="E10278" s="30" t="s">
        <v>20558</v>
      </c>
      <c r="F10278" s="34" t="n">
        <f aca="false">IFERROR(VLOOKUP($A10278,'319'!$B:$H,7,0),0)</f>
        <v>0</v>
      </c>
      <c r="G10278" s="34" t="n">
        <f aca="false">SUMIFS('12.326ana'!$C:$C,'12.326ana'!$M:$M,redes!A10278)</f>
        <v>0</v>
      </c>
    </row>
    <row r="10279" customFormat="false" ht="14.4" hidden="true" customHeight="false" outlineLevel="0" collapsed="false">
      <c r="A10279" s="34" t="n">
        <v>7140563000124</v>
      </c>
      <c r="B10279" s="34" t="s">
        <v>20559</v>
      </c>
      <c r="C10279" s="34" t="s">
        <v>377</v>
      </c>
      <c r="E10279" s="30" t="s">
        <v>12083</v>
      </c>
      <c r="F10279" s="34" t="n">
        <f aca="false">IFERROR(VLOOKUP($A10279,'319'!$B:$H,7,0),0)</f>
        <v>0</v>
      </c>
      <c r="G10279" s="34" t="n">
        <f aca="false">SUMIFS('12.326ana'!$C:$C,'12.326ana'!$M:$M,redes!A10279)</f>
        <v>0</v>
      </c>
    </row>
    <row r="10280" customFormat="false" ht="14.4" hidden="true" customHeight="false" outlineLevel="0" collapsed="false">
      <c r="A10280" s="34" t="n">
        <v>7140724000180</v>
      </c>
      <c r="B10280" s="34" t="s">
        <v>20560</v>
      </c>
      <c r="C10280" s="34" t="s">
        <v>77</v>
      </c>
      <c r="D10280" s="34" t="s">
        <v>20561</v>
      </c>
      <c r="E10280" s="30" t="s">
        <v>20562</v>
      </c>
      <c r="F10280" s="34" t="n">
        <f aca="false">IFERROR(VLOOKUP($A10280,'319'!$B:$H,7,0),0)</f>
        <v>0</v>
      </c>
      <c r="G10280" s="34" t="n">
        <f aca="false">SUMIFS('12.326ana'!$C:$C,'12.326ana'!$M:$M,redes!A10280)</f>
        <v>0</v>
      </c>
    </row>
    <row r="10281" customFormat="false" ht="14.4" hidden="true" customHeight="false" outlineLevel="0" collapsed="false">
      <c r="A10281" s="34" t="n">
        <v>7140724000260</v>
      </c>
      <c r="B10281" s="34" t="s">
        <v>20560</v>
      </c>
      <c r="C10281" s="34" t="s">
        <v>77</v>
      </c>
      <c r="D10281" s="34" t="s">
        <v>20561</v>
      </c>
      <c r="E10281" s="30" t="s">
        <v>20562</v>
      </c>
      <c r="F10281" s="34" t="n">
        <f aca="false">IFERROR(VLOOKUP($A10281,'319'!$B:$H,7,0),0)</f>
        <v>0</v>
      </c>
      <c r="G10281" s="34" t="n">
        <f aca="false">SUMIFS('12.326ana'!$C:$C,'12.326ana'!$M:$M,redes!A10281)</f>
        <v>0</v>
      </c>
    </row>
    <row r="10282" customFormat="false" ht="14.4" hidden="true" customHeight="false" outlineLevel="0" collapsed="false">
      <c r="A10282" s="34" t="n">
        <v>7143304000157</v>
      </c>
      <c r="B10282" s="34" t="s">
        <v>20563</v>
      </c>
      <c r="C10282" s="34" t="s">
        <v>139</v>
      </c>
      <c r="E10282" s="30" t="s">
        <v>15142</v>
      </c>
      <c r="F10282" s="34" t="n">
        <f aca="false">IFERROR(VLOOKUP($A10282,'319'!$B:$H,7,0),0)</f>
        <v>0</v>
      </c>
      <c r="G10282" s="34" t="n">
        <f aca="false">SUMIFS('12.326ana'!$C:$C,'12.326ana'!$M:$M,redes!A10282)</f>
        <v>0</v>
      </c>
    </row>
    <row r="10283" customFormat="false" ht="14.4" hidden="true" customHeight="false" outlineLevel="0" collapsed="false">
      <c r="A10283" s="34" t="n">
        <v>7146678000126</v>
      </c>
      <c r="B10283" s="34" t="s">
        <v>7601</v>
      </c>
      <c r="C10283" s="34" t="s">
        <v>1272</v>
      </c>
      <c r="E10283" s="30" t="s">
        <v>20564</v>
      </c>
      <c r="F10283" s="34" t="n">
        <f aca="false">IFERROR(VLOOKUP($A10283,'319'!$B:$H,7,0),0)</f>
        <v>0</v>
      </c>
      <c r="G10283" s="34" t="n">
        <f aca="false">SUMIFS('12.326ana'!$C:$C,'12.326ana'!$M:$M,redes!A10283)</f>
        <v>0</v>
      </c>
    </row>
    <row r="10284" customFormat="false" ht="14.4" hidden="true" customHeight="false" outlineLevel="0" collapsed="false">
      <c r="A10284" s="34" t="n">
        <v>7147777000122</v>
      </c>
      <c r="B10284" s="34" t="s">
        <v>20565</v>
      </c>
      <c r="C10284" s="34" t="s">
        <v>77</v>
      </c>
      <c r="E10284" s="30" t="s">
        <v>20566</v>
      </c>
      <c r="F10284" s="34" t="n">
        <f aca="false">IFERROR(VLOOKUP($A10284,'319'!$B:$H,7,0),0)</f>
        <v>0</v>
      </c>
      <c r="G10284" s="34" t="n">
        <f aca="false">SUMIFS('12.326ana'!$C:$C,'12.326ana'!$M:$M,redes!A10284)</f>
        <v>0</v>
      </c>
    </row>
    <row r="10285" customFormat="false" ht="14.4" hidden="true" customHeight="false" outlineLevel="0" collapsed="false">
      <c r="A10285" s="34" t="n">
        <v>7152096000152</v>
      </c>
      <c r="B10285" s="34" t="s">
        <v>8761</v>
      </c>
      <c r="C10285" s="34" t="s">
        <v>979</v>
      </c>
      <c r="E10285" s="30" t="s">
        <v>20567</v>
      </c>
      <c r="F10285" s="34" t="n">
        <f aca="false">IFERROR(VLOOKUP($A10285,'319'!$B:$H,7,0),0)</f>
        <v>0</v>
      </c>
      <c r="G10285" s="34" t="n">
        <f aca="false">SUMIFS('12.326ana'!$C:$C,'12.326ana'!$M:$M,redes!A10285)</f>
        <v>0</v>
      </c>
    </row>
    <row r="10286" customFormat="false" ht="14.4" hidden="true" customHeight="false" outlineLevel="0" collapsed="false">
      <c r="A10286" s="34" t="n">
        <v>7152117000130</v>
      </c>
      <c r="B10286" s="34" t="s">
        <v>6041</v>
      </c>
      <c r="C10286" s="34" t="s">
        <v>107</v>
      </c>
      <c r="E10286" s="30" t="s">
        <v>7493</v>
      </c>
      <c r="F10286" s="34" t="n">
        <f aca="false">IFERROR(VLOOKUP($A10286,'319'!$B:$H,7,0),0)</f>
        <v>0</v>
      </c>
      <c r="G10286" s="34" t="n">
        <f aca="false">SUMIFS('12.326ana'!$C:$C,'12.326ana'!$M:$M,redes!A10286)</f>
        <v>0</v>
      </c>
    </row>
    <row r="10287" customFormat="false" ht="14.4" hidden="true" customHeight="false" outlineLevel="0" collapsed="false">
      <c r="A10287" s="34" t="n">
        <v>7152229000190</v>
      </c>
      <c r="B10287" s="34" t="s">
        <v>20568</v>
      </c>
      <c r="C10287" s="34" t="s">
        <v>107</v>
      </c>
      <c r="E10287" s="30" t="s">
        <v>20569</v>
      </c>
      <c r="F10287" s="34" t="n">
        <f aca="false">IFERROR(VLOOKUP($A10287,'319'!$B:$H,7,0),0)</f>
        <v>0</v>
      </c>
      <c r="G10287" s="34" t="n">
        <f aca="false">SUMIFS('12.326ana'!$C:$C,'12.326ana'!$M:$M,redes!A10287)</f>
        <v>0</v>
      </c>
    </row>
    <row r="10288" customFormat="false" ht="14.4" hidden="true" customHeight="false" outlineLevel="0" collapsed="false">
      <c r="A10288" s="34" t="n">
        <v>7154835000145</v>
      </c>
      <c r="B10288" s="34" t="s">
        <v>20570</v>
      </c>
      <c r="C10288" s="34" t="s">
        <v>1591</v>
      </c>
      <c r="E10288" s="30" t="s">
        <v>20571</v>
      </c>
      <c r="F10288" s="34" t="n">
        <f aca="false">IFERROR(VLOOKUP($A10288,'319'!$B:$H,7,0),0)</f>
        <v>0</v>
      </c>
      <c r="G10288" s="34" t="n">
        <f aca="false">SUMIFS('12.326ana'!$C:$C,'12.326ana'!$M:$M,redes!A10288)</f>
        <v>0</v>
      </c>
    </row>
    <row r="10289" customFormat="false" ht="14.4" hidden="true" customHeight="false" outlineLevel="0" collapsed="false">
      <c r="A10289" s="34" t="n">
        <v>7154962000144</v>
      </c>
      <c r="B10289" s="34" t="s">
        <v>20572</v>
      </c>
      <c r="C10289" s="34" t="s">
        <v>127</v>
      </c>
      <c r="E10289" s="30" t="s">
        <v>20573</v>
      </c>
      <c r="F10289" s="34" t="n">
        <f aca="false">IFERROR(VLOOKUP($A10289,'319'!$B:$H,7,0),0)</f>
        <v>0</v>
      </c>
      <c r="G10289" s="34" t="n">
        <f aca="false">SUMIFS('12.326ana'!$C:$C,'12.326ana'!$M:$M,redes!A10289)</f>
        <v>0</v>
      </c>
    </row>
    <row r="10290" customFormat="false" ht="14.4" hidden="true" customHeight="false" outlineLevel="0" collapsed="false">
      <c r="A10290" s="34" t="n">
        <v>7155950000134</v>
      </c>
      <c r="B10290" s="34" t="s">
        <v>20574</v>
      </c>
      <c r="C10290" s="34" t="s">
        <v>781</v>
      </c>
      <c r="E10290" s="30" t="s">
        <v>20575</v>
      </c>
      <c r="F10290" s="34" t="n">
        <f aca="false">IFERROR(VLOOKUP($A10290,'319'!$B:$H,7,0),0)</f>
        <v>0</v>
      </c>
      <c r="G10290" s="34" t="n">
        <f aca="false">SUMIFS('12.326ana'!$C:$C,'12.326ana'!$M:$M,redes!A10290)</f>
        <v>0</v>
      </c>
    </row>
    <row r="10291" customFormat="false" ht="14.4" hidden="true" customHeight="false" outlineLevel="0" collapsed="false">
      <c r="A10291" s="34" t="n">
        <v>7156834000130</v>
      </c>
      <c r="B10291" s="34" t="s">
        <v>20576</v>
      </c>
      <c r="C10291" s="34" t="s">
        <v>77</v>
      </c>
      <c r="E10291" s="30" t="s">
        <v>20577</v>
      </c>
      <c r="F10291" s="34" t="n">
        <f aca="false">IFERROR(VLOOKUP($A10291,'319'!$B:$H,7,0),0)</f>
        <v>0</v>
      </c>
      <c r="G10291" s="34" t="n">
        <f aca="false">SUMIFS('12.326ana'!$C:$C,'12.326ana'!$M:$M,redes!A10291)</f>
        <v>0</v>
      </c>
    </row>
    <row r="10292" customFormat="false" ht="14.4" hidden="true" customHeight="false" outlineLevel="0" collapsed="false">
      <c r="A10292" s="34" t="n">
        <v>7161363000158</v>
      </c>
      <c r="B10292" s="34" t="s">
        <v>20578</v>
      </c>
      <c r="C10292" s="34" t="s">
        <v>77</v>
      </c>
      <c r="E10292" s="30" t="s">
        <v>20579</v>
      </c>
      <c r="F10292" s="34" t="n">
        <f aca="false">IFERROR(VLOOKUP($A10292,'319'!$B:$H,7,0),0)</f>
        <v>0</v>
      </c>
      <c r="G10292" s="34" t="n">
        <f aca="false">SUMIFS('12.326ana'!$C:$C,'12.326ana'!$M:$M,redes!A10292)</f>
        <v>0</v>
      </c>
    </row>
    <row r="10293" customFormat="false" ht="14.4" hidden="true" customHeight="false" outlineLevel="0" collapsed="false">
      <c r="A10293" s="34" t="n">
        <v>7163881000100</v>
      </c>
      <c r="B10293" s="34" t="s">
        <v>20580</v>
      </c>
      <c r="C10293" s="34" t="s">
        <v>77</v>
      </c>
      <c r="E10293" s="30" t="s">
        <v>20581</v>
      </c>
      <c r="F10293" s="34" t="n">
        <f aca="false">IFERROR(VLOOKUP($A10293,'319'!$B:$H,7,0),0)</f>
        <v>0</v>
      </c>
      <c r="G10293" s="34" t="n">
        <f aca="false">SUMIFS('12.326ana'!$C:$C,'12.326ana'!$M:$M,redes!A10293)</f>
        <v>0</v>
      </c>
    </row>
    <row r="10294" customFormat="false" ht="14.4" hidden="true" customHeight="false" outlineLevel="0" collapsed="false">
      <c r="A10294" s="34" t="n">
        <v>7168159000169</v>
      </c>
      <c r="B10294" s="34" t="s">
        <v>20582</v>
      </c>
      <c r="C10294" s="34" t="s">
        <v>4139</v>
      </c>
      <c r="E10294" s="30" t="s">
        <v>20583</v>
      </c>
      <c r="F10294" s="34" t="n">
        <f aca="false">IFERROR(VLOOKUP($A10294,'319'!$B:$H,7,0),0)</f>
        <v>0</v>
      </c>
      <c r="G10294" s="34" t="n">
        <f aca="false">SUMIFS('12.326ana'!$C:$C,'12.326ana'!$M:$M,redes!A10294)</f>
        <v>0</v>
      </c>
    </row>
    <row r="10295" customFormat="false" ht="14.4" hidden="true" customHeight="false" outlineLevel="0" collapsed="false">
      <c r="A10295" s="34" t="n">
        <v>7170410000120</v>
      </c>
      <c r="B10295" s="34" t="s">
        <v>20584</v>
      </c>
      <c r="C10295" s="34" t="s">
        <v>89</v>
      </c>
      <c r="E10295" s="30" t="s">
        <v>20585</v>
      </c>
      <c r="F10295" s="34" t="n">
        <f aca="false">IFERROR(VLOOKUP($A10295,'319'!$B:$H,7,0),0)</f>
        <v>0</v>
      </c>
      <c r="G10295" s="34" t="n">
        <f aca="false">SUMIFS('12.326ana'!$C:$C,'12.326ana'!$M:$M,redes!A10295)</f>
        <v>0</v>
      </c>
    </row>
    <row r="10296" customFormat="false" ht="14.4" hidden="true" customHeight="false" outlineLevel="0" collapsed="false">
      <c r="A10296" s="34" t="n">
        <v>7172151000176</v>
      </c>
      <c r="B10296" s="34" t="s">
        <v>20586</v>
      </c>
      <c r="C10296" s="34" t="s">
        <v>565</v>
      </c>
      <c r="E10296" s="30" t="s">
        <v>20587</v>
      </c>
      <c r="F10296" s="34" t="n">
        <f aca="false">IFERROR(VLOOKUP($A10296,'319'!$B:$H,7,0),0)</f>
        <v>0</v>
      </c>
      <c r="G10296" s="34" t="n">
        <f aca="false">SUMIFS('12.326ana'!$C:$C,'12.326ana'!$M:$M,redes!A10296)</f>
        <v>0</v>
      </c>
    </row>
    <row r="10297" customFormat="false" ht="14.4" hidden="true" customHeight="false" outlineLevel="0" collapsed="false">
      <c r="A10297" s="34" t="n">
        <v>7177890000150</v>
      </c>
      <c r="B10297" s="34" t="s">
        <v>20588</v>
      </c>
      <c r="C10297" s="34" t="s">
        <v>2998</v>
      </c>
      <c r="E10297" s="30" t="s">
        <v>20589</v>
      </c>
      <c r="F10297" s="34" t="n">
        <f aca="false">IFERROR(VLOOKUP($A10297,'319'!$B:$H,7,0),0)</f>
        <v>0</v>
      </c>
      <c r="G10297" s="34" t="n">
        <f aca="false">SUMIFS('12.326ana'!$C:$C,'12.326ana'!$M:$M,redes!A10297)</f>
        <v>0</v>
      </c>
    </row>
    <row r="10298" customFormat="false" ht="14.4" hidden="true" customHeight="false" outlineLevel="0" collapsed="false">
      <c r="A10298" s="34" t="n">
        <v>7179558000125</v>
      </c>
      <c r="B10298" s="34" t="s">
        <v>20590</v>
      </c>
      <c r="C10298" s="34" t="s">
        <v>77</v>
      </c>
      <c r="E10298" s="30" t="s">
        <v>20591</v>
      </c>
      <c r="F10298" s="34" t="n">
        <f aca="false">IFERROR(VLOOKUP($A10298,'319'!$B:$H,7,0),0)</f>
        <v>0</v>
      </c>
      <c r="G10298" s="34" t="n">
        <f aca="false">SUMIFS('12.326ana'!$C:$C,'12.326ana'!$M:$M,redes!A10298)</f>
        <v>0</v>
      </c>
    </row>
    <row r="10299" customFormat="false" ht="14.4" hidden="true" customHeight="false" outlineLevel="0" collapsed="false">
      <c r="A10299" s="34" t="n">
        <v>7181367000106</v>
      </c>
      <c r="B10299" s="34" t="s">
        <v>4340</v>
      </c>
      <c r="C10299" s="34" t="s">
        <v>77</v>
      </c>
      <c r="E10299" s="30" t="s">
        <v>4341</v>
      </c>
      <c r="F10299" s="34" t="n">
        <f aca="false">IFERROR(VLOOKUP($A10299,'319'!$B:$H,7,0),0)</f>
        <v>0</v>
      </c>
      <c r="G10299" s="34" t="n">
        <f aca="false">SUMIFS('12.326ana'!$C:$C,'12.326ana'!$M:$M,redes!A10299)</f>
        <v>0</v>
      </c>
    </row>
    <row r="10300" customFormat="false" ht="14.4" hidden="true" customHeight="false" outlineLevel="0" collapsed="false">
      <c r="A10300" s="34" t="n">
        <v>7182218000153</v>
      </c>
      <c r="B10300" s="34" t="s">
        <v>20592</v>
      </c>
      <c r="C10300" s="34" t="s">
        <v>475</v>
      </c>
      <c r="E10300" s="30" t="s">
        <v>20593</v>
      </c>
      <c r="F10300" s="34" t="n">
        <f aca="false">IFERROR(VLOOKUP($A10300,'319'!$B:$H,7,0),0)</f>
        <v>0</v>
      </c>
      <c r="G10300" s="34" t="n">
        <f aca="false">SUMIFS('12.326ana'!$C:$C,'12.326ana'!$M:$M,redes!A10300)</f>
        <v>0</v>
      </c>
    </row>
    <row r="10301" customFormat="false" ht="14.4" hidden="true" customHeight="false" outlineLevel="0" collapsed="false">
      <c r="A10301" s="34" t="n">
        <v>7186080000160</v>
      </c>
      <c r="B10301" s="34" t="s">
        <v>20594</v>
      </c>
      <c r="C10301" s="34" t="s">
        <v>139</v>
      </c>
      <c r="E10301" s="30" t="s">
        <v>12263</v>
      </c>
      <c r="F10301" s="34" t="n">
        <f aca="false">IFERROR(VLOOKUP($A10301,'319'!$B:$H,7,0),0)</f>
        <v>0</v>
      </c>
      <c r="G10301" s="34" t="n">
        <f aca="false">SUMIFS('12.326ana'!$C:$C,'12.326ana'!$M:$M,redes!A10301)</f>
        <v>0</v>
      </c>
    </row>
    <row r="10302" customFormat="false" ht="14.4" hidden="true" customHeight="false" outlineLevel="0" collapsed="false">
      <c r="A10302" s="34" t="n">
        <v>7190308000196</v>
      </c>
      <c r="B10302" s="34" t="s">
        <v>20595</v>
      </c>
      <c r="C10302" s="34" t="s">
        <v>464</v>
      </c>
      <c r="E10302" s="30" t="s">
        <v>20596</v>
      </c>
      <c r="F10302" s="34" t="n">
        <f aca="false">IFERROR(VLOOKUP($A10302,'319'!$B:$H,7,0),0)</f>
        <v>0</v>
      </c>
      <c r="G10302" s="34" t="n">
        <f aca="false">SUMIFS('12.326ana'!$C:$C,'12.326ana'!$M:$M,redes!A10302)</f>
        <v>0</v>
      </c>
    </row>
    <row r="10303" customFormat="false" ht="14.4" hidden="true" customHeight="false" outlineLevel="0" collapsed="false">
      <c r="A10303" s="34" t="n">
        <v>7191282000109</v>
      </c>
      <c r="B10303" s="34" t="s">
        <v>20597</v>
      </c>
      <c r="C10303" s="34" t="s">
        <v>4139</v>
      </c>
      <c r="E10303" s="30" t="s">
        <v>20598</v>
      </c>
      <c r="F10303" s="34" t="n">
        <f aca="false">IFERROR(VLOOKUP($A10303,'319'!$B:$H,7,0),0)</f>
        <v>0</v>
      </c>
      <c r="G10303" s="34" t="n">
        <f aca="false">SUMIFS('12.326ana'!$C:$C,'12.326ana'!$M:$M,redes!A10303)</f>
        <v>0</v>
      </c>
    </row>
    <row r="10304" customFormat="false" ht="14.4" hidden="true" customHeight="false" outlineLevel="0" collapsed="false">
      <c r="A10304" s="34" t="n">
        <v>7195863000100</v>
      </c>
      <c r="B10304" s="34" t="s">
        <v>20599</v>
      </c>
      <c r="C10304" s="34" t="s">
        <v>77</v>
      </c>
      <c r="E10304" s="30" t="s">
        <v>20600</v>
      </c>
      <c r="F10304" s="34" t="n">
        <f aca="false">IFERROR(VLOOKUP($A10304,'319'!$B:$H,7,0),0)</f>
        <v>0</v>
      </c>
      <c r="G10304" s="34" t="n">
        <f aca="false">SUMIFS('12.326ana'!$C:$C,'12.326ana'!$M:$M,redes!A10304)</f>
        <v>0</v>
      </c>
    </row>
    <row r="10305" customFormat="false" ht="14.4" hidden="true" customHeight="false" outlineLevel="0" collapsed="false">
      <c r="A10305" s="34" t="n">
        <v>7196105000107</v>
      </c>
      <c r="B10305" s="34" t="s">
        <v>20601</v>
      </c>
      <c r="C10305" s="34" t="s">
        <v>357</v>
      </c>
      <c r="E10305" s="30" t="s">
        <v>20602</v>
      </c>
      <c r="F10305" s="34" t="n">
        <f aca="false">IFERROR(VLOOKUP($A10305,'319'!$B:$H,7,0),0)</f>
        <v>0</v>
      </c>
      <c r="G10305" s="34" t="n">
        <f aca="false">SUMIFS('12.326ana'!$C:$C,'12.326ana'!$M:$M,redes!A10305)</f>
        <v>0</v>
      </c>
    </row>
    <row r="10306" customFormat="false" ht="14.4" hidden="true" customHeight="false" outlineLevel="0" collapsed="false">
      <c r="A10306" s="34" t="n">
        <v>7196105000298</v>
      </c>
      <c r="B10306" s="34" t="s">
        <v>20603</v>
      </c>
      <c r="C10306" s="34" t="s">
        <v>357</v>
      </c>
      <c r="E10306" s="30" t="s">
        <v>4040</v>
      </c>
      <c r="F10306" s="34" t="n">
        <f aca="false">IFERROR(VLOOKUP($A10306,'319'!$B:$H,7,0),0)</f>
        <v>0</v>
      </c>
      <c r="G10306" s="34" t="n">
        <f aca="false">SUMIFS('12.326ana'!$C:$C,'12.326ana'!$M:$M,redes!A10306)</f>
        <v>0</v>
      </c>
    </row>
    <row r="10307" customFormat="false" ht="14.4" hidden="true" customHeight="false" outlineLevel="0" collapsed="false">
      <c r="A10307" s="34" t="n">
        <v>7196112000109</v>
      </c>
      <c r="B10307" s="34" t="s">
        <v>20604</v>
      </c>
      <c r="C10307" s="34" t="s">
        <v>389</v>
      </c>
      <c r="E10307" s="30" t="s">
        <v>20605</v>
      </c>
      <c r="F10307" s="34" t="n">
        <f aca="false">IFERROR(VLOOKUP($A10307,'319'!$B:$H,7,0),0)</f>
        <v>0</v>
      </c>
      <c r="G10307" s="34" t="n">
        <f aca="false">SUMIFS('12.326ana'!$C:$C,'12.326ana'!$M:$M,redes!A10307)</f>
        <v>0</v>
      </c>
    </row>
    <row r="10308" customFormat="false" ht="14.4" hidden="true" customHeight="false" outlineLevel="0" collapsed="false">
      <c r="A10308" s="34" t="n">
        <v>7197194000106</v>
      </c>
      <c r="B10308" s="34" t="s">
        <v>20606</v>
      </c>
      <c r="C10308" s="34" t="s">
        <v>77</v>
      </c>
      <c r="E10308" s="30" t="s">
        <v>5149</v>
      </c>
      <c r="F10308" s="34" t="n">
        <f aca="false">IFERROR(VLOOKUP($A10308,'319'!$B:$H,7,0),0)</f>
        <v>0</v>
      </c>
      <c r="G10308" s="34" t="n">
        <f aca="false">SUMIFS('12.326ana'!$C:$C,'12.326ana'!$M:$M,redes!A10308)</f>
        <v>0</v>
      </c>
    </row>
    <row r="10309" customFormat="false" ht="14.4" hidden="true" customHeight="false" outlineLevel="0" collapsed="false">
      <c r="A10309" s="34" t="n">
        <v>7198099000127</v>
      </c>
      <c r="B10309" s="34" t="s">
        <v>20607</v>
      </c>
      <c r="C10309" s="34" t="s">
        <v>1680</v>
      </c>
      <c r="E10309" s="30" t="s">
        <v>20608</v>
      </c>
      <c r="F10309" s="34" t="n">
        <f aca="false">IFERROR(VLOOKUP($A10309,'319'!$B:$H,7,0),0)</f>
        <v>0</v>
      </c>
      <c r="G10309" s="34" t="n">
        <f aca="false">SUMIFS('12.326ana'!$C:$C,'12.326ana'!$M:$M,redes!A10309)</f>
        <v>0</v>
      </c>
    </row>
    <row r="10310" customFormat="false" ht="14.4" hidden="true" customHeight="false" outlineLevel="0" collapsed="false">
      <c r="A10310" s="34" t="n">
        <v>7199076000137</v>
      </c>
      <c r="B10310" s="34" t="s">
        <v>20609</v>
      </c>
      <c r="C10310" s="34" t="s">
        <v>842</v>
      </c>
      <c r="E10310" s="30" t="s">
        <v>20610</v>
      </c>
      <c r="F10310" s="34" t="n">
        <f aca="false">IFERROR(VLOOKUP($A10310,'319'!$B:$H,7,0),0)</f>
        <v>0</v>
      </c>
      <c r="G10310" s="34" t="n">
        <f aca="false">SUMIFS('12.326ana'!$C:$C,'12.326ana'!$M:$M,redes!A10310)</f>
        <v>0</v>
      </c>
    </row>
    <row r="10311" customFormat="false" ht="14.4" hidden="true" customHeight="false" outlineLevel="0" collapsed="false">
      <c r="A10311" s="34" t="n">
        <v>7199756000150</v>
      </c>
      <c r="B10311" s="34" t="s">
        <v>20611</v>
      </c>
      <c r="C10311" s="34" t="s">
        <v>107</v>
      </c>
      <c r="E10311" s="30" t="s">
        <v>20612</v>
      </c>
      <c r="F10311" s="34" t="n">
        <f aca="false">IFERROR(VLOOKUP($A10311,'319'!$B:$H,7,0),0)</f>
        <v>0</v>
      </c>
      <c r="G10311" s="34" t="n">
        <f aca="false">SUMIFS('12.326ana'!$C:$C,'12.326ana'!$M:$M,redes!A10311)</f>
        <v>0</v>
      </c>
    </row>
    <row r="10312" customFormat="false" ht="14.4" hidden="true" customHeight="false" outlineLevel="0" collapsed="false">
      <c r="A10312" s="34" t="n">
        <v>7199762000108</v>
      </c>
      <c r="B10312" s="34" t="s">
        <v>20613</v>
      </c>
      <c r="C10312" s="34" t="s">
        <v>107</v>
      </c>
      <c r="E10312" s="30" t="s">
        <v>20614</v>
      </c>
      <c r="F10312" s="34" t="n">
        <f aca="false">IFERROR(VLOOKUP($A10312,'319'!$B:$H,7,0),0)</f>
        <v>0</v>
      </c>
      <c r="G10312" s="34" t="n">
        <f aca="false">SUMIFS('12.326ana'!$C:$C,'12.326ana'!$M:$M,redes!A10312)</f>
        <v>0</v>
      </c>
    </row>
    <row r="10313" customFormat="false" ht="14.4" hidden="true" customHeight="false" outlineLevel="0" collapsed="false">
      <c r="A10313" s="34" t="n">
        <v>7203364000118</v>
      </c>
      <c r="B10313" s="34" t="s">
        <v>20615</v>
      </c>
      <c r="C10313" s="34" t="s">
        <v>89</v>
      </c>
      <c r="E10313" s="30" t="s">
        <v>17022</v>
      </c>
      <c r="F10313" s="34" t="n">
        <f aca="false">IFERROR(VLOOKUP($A10313,'319'!$B:$H,7,0),0)</f>
        <v>0</v>
      </c>
      <c r="G10313" s="34" t="n">
        <f aca="false">SUMIFS('12.326ana'!$C:$C,'12.326ana'!$M:$M,redes!A10313)</f>
        <v>0</v>
      </c>
    </row>
    <row r="10314" customFormat="false" ht="14.4" hidden="true" customHeight="false" outlineLevel="0" collapsed="false">
      <c r="A10314" s="34" t="n">
        <v>7204992000118</v>
      </c>
      <c r="B10314" s="34" t="s">
        <v>20616</v>
      </c>
      <c r="C10314" s="34" t="s">
        <v>7250</v>
      </c>
      <c r="E10314" s="30" t="s">
        <v>3066</v>
      </c>
      <c r="F10314" s="34" t="n">
        <f aca="false">IFERROR(VLOOKUP($A10314,'319'!$B:$H,7,0),0)</f>
        <v>0</v>
      </c>
      <c r="G10314" s="34" t="n">
        <f aca="false">SUMIFS('12.326ana'!$C:$C,'12.326ana'!$M:$M,redes!A10314)</f>
        <v>0</v>
      </c>
    </row>
    <row r="10315" customFormat="false" ht="14.4" hidden="true" customHeight="false" outlineLevel="0" collapsed="false">
      <c r="A10315" s="34" t="n">
        <v>7206816000700</v>
      </c>
      <c r="B10315" s="34" t="s">
        <v>20617</v>
      </c>
      <c r="C10315" s="34" t="s">
        <v>20618</v>
      </c>
      <c r="E10315" s="30" t="s">
        <v>20619</v>
      </c>
      <c r="F10315" s="34" t="n">
        <f aca="false">IFERROR(VLOOKUP($A10315,'319'!$B:$H,7,0),0)</f>
        <v>0</v>
      </c>
      <c r="G10315" s="34" t="n">
        <f aca="false">SUMIFS('12.326ana'!$C:$C,'12.326ana'!$M:$M,redes!A10315)</f>
        <v>0</v>
      </c>
    </row>
    <row r="10316" customFormat="false" ht="14.4" hidden="true" customHeight="false" outlineLevel="0" collapsed="false">
      <c r="A10316" s="34" t="n">
        <v>7206816004374</v>
      </c>
      <c r="B10316" s="34" t="s">
        <v>20619</v>
      </c>
      <c r="C10316" s="34" t="s">
        <v>20620</v>
      </c>
      <c r="E10316" s="30" t="s">
        <v>20621</v>
      </c>
      <c r="F10316" s="34" t="n">
        <f aca="false">IFERROR(VLOOKUP($A10316,'319'!$B:$H,7,0),0)</f>
        <v>0</v>
      </c>
      <c r="G10316" s="34" t="n">
        <f aca="false">SUMIFS('12.326ana'!$C:$C,'12.326ana'!$M:$M,redes!A10316)</f>
        <v>0</v>
      </c>
    </row>
    <row r="10317" customFormat="false" ht="14.4" hidden="true" customHeight="false" outlineLevel="0" collapsed="false">
      <c r="A10317" s="34" t="n">
        <v>7206816004455</v>
      </c>
      <c r="B10317" s="34" t="s">
        <v>20622</v>
      </c>
      <c r="C10317" s="34" t="s">
        <v>20620</v>
      </c>
      <c r="E10317" s="30" t="s">
        <v>20619</v>
      </c>
      <c r="F10317" s="34" t="n">
        <f aca="false">IFERROR(VLOOKUP($A10317,'319'!$B:$H,7,0),0)</f>
        <v>0</v>
      </c>
      <c r="G10317" s="34" t="n">
        <f aca="false">SUMIFS('12.326ana'!$C:$C,'12.326ana'!$M:$M,redes!A10317)</f>
        <v>0</v>
      </c>
    </row>
    <row r="10318" customFormat="false" ht="14.4" hidden="true" customHeight="false" outlineLevel="0" collapsed="false">
      <c r="A10318" s="34" t="n">
        <v>7206816005265</v>
      </c>
      <c r="B10318" s="34" t="s">
        <v>20623</v>
      </c>
      <c r="C10318" s="34" t="s">
        <v>20624</v>
      </c>
      <c r="E10318" s="30" t="s">
        <v>20619</v>
      </c>
      <c r="F10318" s="34" t="n">
        <f aca="false">IFERROR(VLOOKUP($A10318,'319'!$B:$H,7,0),0)</f>
        <v>0</v>
      </c>
      <c r="G10318" s="34" t="n">
        <f aca="false">SUMIFS('12.326ana'!$C:$C,'12.326ana'!$M:$M,redes!A10318)</f>
        <v>0</v>
      </c>
    </row>
    <row r="10319" customFormat="false" ht="14.4" hidden="true" customHeight="false" outlineLevel="0" collapsed="false">
      <c r="A10319" s="34" t="n">
        <v>7207084000188</v>
      </c>
      <c r="B10319" s="34" t="s">
        <v>20625</v>
      </c>
      <c r="C10319" s="34" t="s">
        <v>604</v>
      </c>
      <c r="E10319" s="30" t="s">
        <v>20626</v>
      </c>
      <c r="F10319" s="34" t="n">
        <f aca="false">IFERROR(VLOOKUP($A10319,'319'!$B:$H,7,0),0)</f>
        <v>0</v>
      </c>
      <c r="G10319" s="34" t="n">
        <f aca="false">SUMIFS('12.326ana'!$C:$C,'12.326ana'!$M:$M,redes!A10319)</f>
        <v>0</v>
      </c>
    </row>
    <row r="10320" customFormat="false" ht="14.4" hidden="true" customHeight="false" outlineLevel="0" collapsed="false">
      <c r="A10320" s="34" t="n">
        <v>7208106000124</v>
      </c>
      <c r="B10320" s="34" t="s">
        <v>20627</v>
      </c>
      <c r="C10320" s="34" t="s">
        <v>342</v>
      </c>
      <c r="E10320" s="30" t="s">
        <v>20628</v>
      </c>
      <c r="F10320" s="34" t="n">
        <f aca="false">IFERROR(VLOOKUP($A10320,'319'!$B:$H,7,0),0)</f>
        <v>0</v>
      </c>
      <c r="G10320" s="34" t="n">
        <f aca="false">SUMIFS('12.326ana'!$C:$C,'12.326ana'!$M:$M,redes!A10320)</f>
        <v>0</v>
      </c>
    </row>
    <row r="10321" customFormat="false" ht="14.4" hidden="true" customHeight="false" outlineLevel="0" collapsed="false">
      <c r="A10321" s="34" t="n">
        <v>7210197000132</v>
      </c>
      <c r="B10321" s="34" t="s">
        <v>20629</v>
      </c>
      <c r="C10321" s="34" t="s">
        <v>77</v>
      </c>
      <c r="E10321" s="30" t="s">
        <v>20630</v>
      </c>
      <c r="F10321" s="34" t="n">
        <f aca="false">IFERROR(VLOOKUP($A10321,'319'!$B:$H,7,0),0)</f>
        <v>0</v>
      </c>
      <c r="G10321" s="34" t="n">
        <f aca="false">SUMIFS('12.326ana'!$C:$C,'12.326ana'!$M:$M,redes!A10321)</f>
        <v>0</v>
      </c>
    </row>
    <row r="10322" customFormat="false" ht="14.4" hidden="true" customHeight="false" outlineLevel="0" collapsed="false">
      <c r="A10322" s="34" t="n">
        <v>7213348000106</v>
      </c>
      <c r="B10322" s="34" t="s">
        <v>20631</v>
      </c>
      <c r="C10322" s="34" t="s">
        <v>77</v>
      </c>
      <c r="E10322" s="30" t="s">
        <v>20632</v>
      </c>
      <c r="F10322" s="34" t="n">
        <f aca="false">IFERROR(VLOOKUP($A10322,'319'!$B:$H,7,0),0)</f>
        <v>0</v>
      </c>
      <c r="G10322" s="34" t="n">
        <f aca="false">SUMIFS('12.326ana'!$C:$C,'12.326ana'!$M:$M,redes!A10322)</f>
        <v>0</v>
      </c>
    </row>
    <row r="10323" customFormat="false" ht="14.4" hidden="true" customHeight="false" outlineLevel="0" collapsed="false">
      <c r="A10323" s="34" t="n">
        <v>7214898000140</v>
      </c>
      <c r="B10323" s="34" t="s">
        <v>5789</v>
      </c>
      <c r="C10323" s="34" t="s">
        <v>464</v>
      </c>
      <c r="E10323" s="30" t="s">
        <v>4655</v>
      </c>
      <c r="F10323" s="34" t="n">
        <f aca="false">IFERROR(VLOOKUP($A10323,'319'!$B:$H,7,0),0)</f>
        <v>0</v>
      </c>
      <c r="G10323" s="34" t="n">
        <f aca="false">SUMIFS('12.326ana'!$C:$C,'12.326ana'!$M:$M,redes!A10323)</f>
        <v>0</v>
      </c>
    </row>
    <row r="10324" customFormat="false" ht="14.4" hidden="true" customHeight="false" outlineLevel="0" collapsed="false">
      <c r="A10324" s="34" t="n">
        <v>7216525000108</v>
      </c>
      <c r="B10324" s="34" t="s">
        <v>20633</v>
      </c>
      <c r="C10324" s="34" t="s">
        <v>77</v>
      </c>
      <c r="E10324" s="30" t="s">
        <v>20634</v>
      </c>
      <c r="F10324" s="34" t="n">
        <f aca="false">IFERROR(VLOOKUP($A10324,'319'!$B:$H,7,0),0)</f>
        <v>0</v>
      </c>
      <c r="G10324" s="34" t="n">
        <f aca="false">SUMIFS('12.326ana'!$C:$C,'12.326ana'!$M:$M,redes!A10324)</f>
        <v>0</v>
      </c>
    </row>
    <row r="10325" customFormat="false" ht="14.4" hidden="true" customHeight="false" outlineLevel="0" collapsed="false">
      <c r="A10325" s="34" t="n">
        <v>7218778000110</v>
      </c>
      <c r="B10325" s="34" t="s">
        <v>20635</v>
      </c>
      <c r="C10325" s="34" t="s">
        <v>4156</v>
      </c>
      <c r="E10325" s="30" t="s">
        <v>20636</v>
      </c>
      <c r="F10325" s="34" t="n">
        <f aca="false">IFERROR(VLOOKUP($A10325,'319'!$B:$H,7,0),0)</f>
        <v>0</v>
      </c>
      <c r="G10325" s="34" t="n">
        <f aca="false">SUMIFS('12.326ana'!$C:$C,'12.326ana'!$M:$M,redes!A10325)</f>
        <v>0</v>
      </c>
    </row>
    <row r="10326" customFormat="false" ht="14.4" hidden="true" customHeight="false" outlineLevel="0" collapsed="false">
      <c r="A10326" s="34" t="n">
        <v>7219788000170</v>
      </c>
      <c r="B10326" s="34" t="s">
        <v>20637</v>
      </c>
      <c r="C10326" s="34" t="s">
        <v>631</v>
      </c>
      <c r="E10326" s="30" t="s">
        <v>20638</v>
      </c>
      <c r="F10326" s="34" t="n">
        <f aca="false">IFERROR(VLOOKUP($A10326,'319'!$B:$H,7,0),0)</f>
        <v>0</v>
      </c>
      <c r="G10326" s="34" t="n">
        <f aca="false">SUMIFS('12.326ana'!$C:$C,'12.326ana'!$M:$M,redes!A10326)</f>
        <v>0</v>
      </c>
    </row>
    <row r="10327" customFormat="false" ht="14.4" hidden="true" customHeight="false" outlineLevel="0" collapsed="false">
      <c r="A10327" s="34" t="n">
        <v>7220252000175</v>
      </c>
      <c r="B10327" s="34" t="s">
        <v>20639</v>
      </c>
      <c r="C10327" s="34" t="s">
        <v>77</v>
      </c>
      <c r="E10327" s="30" t="s">
        <v>20640</v>
      </c>
      <c r="F10327" s="34" t="n">
        <f aca="false">IFERROR(VLOOKUP($A10327,'319'!$B:$H,7,0),0)</f>
        <v>0</v>
      </c>
      <c r="G10327" s="34" t="n">
        <f aca="false">SUMIFS('12.326ana'!$C:$C,'12.326ana'!$M:$M,redes!A10327)</f>
        <v>0</v>
      </c>
    </row>
    <row r="10328" customFormat="false" ht="14.4" hidden="true" customHeight="false" outlineLevel="0" collapsed="false">
      <c r="A10328" s="34" t="n">
        <v>7221762000167</v>
      </c>
      <c r="B10328" s="34" t="s">
        <v>6468</v>
      </c>
      <c r="C10328" s="34" t="s">
        <v>342</v>
      </c>
      <c r="E10328" s="30" t="s">
        <v>17761</v>
      </c>
      <c r="F10328" s="34" t="n">
        <f aca="false">IFERROR(VLOOKUP($A10328,'319'!$B:$H,7,0),0)</f>
        <v>0</v>
      </c>
      <c r="G10328" s="34" t="n">
        <f aca="false">SUMIFS('12.326ana'!$C:$C,'12.326ana'!$M:$M,redes!A10328)</f>
        <v>0</v>
      </c>
    </row>
    <row r="10329" customFormat="false" ht="14.4" hidden="true" customHeight="false" outlineLevel="0" collapsed="false">
      <c r="A10329" s="34" t="n">
        <v>7224465000175</v>
      </c>
      <c r="B10329" s="34" t="s">
        <v>20641</v>
      </c>
      <c r="C10329" s="34" t="s">
        <v>713</v>
      </c>
      <c r="E10329" s="30" t="s">
        <v>9251</v>
      </c>
      <c r="F10329" s="34" t="n">
        <f aca="false">IFERROR(VLOOKUP($A10329,'319'!$B:$H,7,0),0)</f>
        <v>0</v>
      </c>
      <c r="G10329" s="34" t="n">
        <f aca="false">SUMIFS('12.326ana'!$C:$C,'12.326ana'!$M:$M,redes!A10329)</f>
        <v>0</v>
      </c>
    </row>
    <row r="10330" customFormat="false" ht="14.4" hidden="true" customHeight="false" outlineLevel="0" collapsed="false">
      <c r="A10330" s="34" t="n">
        <v>7226011000133</v>
      </c>
      <c r="B10330" s="34" t="s">
        <v>20642</v>
      </c>
      <c r="C10330" s="34" t="s">
        <v>77</v>
      </c>
      <c r="E10330" s="30"/>
      <c r="F10330" s="34" t="n">
        <f aca="false">IFERROR(VLOOKUP($A10330,'319'!$B:$H,7,0),0)</f>
        <v>0</v>
      </c>
      <c r="G10330" s="34" t="n">
        <f aca="false">SUMIFS('12.326ana'!$C:$C,'12.326ana'!$M:$M,redes!A10330)</f>
        <v>0</v>
      </c>
    </row>
    <row r="10331" customFormat="false" ht="14.4" hidden="true" customHeight="false" outlineLevel="0" collapsed="false">
      <c r="A10331" s="34" t="n">
        <v>7227502000107</v>
      </c>
      <c r="B10331" s="34" t="s">
        <v>20643</v>
      </c>
      <c r="C10331" s="34" t="s">
        <v>77</v>
      </c>
      <c r="E10331" s="30" t="s">
        <v>20644</v>
      </c>
      <c r="F10331" s="34" t="n">
        <f aca="false">IFERROR(VLOOKUP($A10331,'319'!$B:$H,7,0),0)</f>
        <v>0</v>
      </c>
      <c r="G10331" s="34" t="n">
        <f aca="false">SUMIFS('12.326ana'!$C:$C,'12.326ana'!$M:$M,redes!A10331)</f>
        <v>0</v>
      </c>
    </row>
    <row r="10332" customFormat="false" ht="14.4" hidden="true" customHeight="false" outlineLevel="0" collapsed="false">
      <c r="A10332" s="34" t="n">
        <v>7229679000134</v>
      </c>
      <c r="B10332" s="34" t="s">
        <v>20645</v>
      </c>
      <c r="C10332" s="34" t="s">
        <v>89</v>
      </c>
      <c r="E10332" s="30" t="s">
        <v>20646</v>
      </c>
      <c r="F10332" s="34" t="n">
        <f aca="false">IFERROR(VLOOKUP($A10332,'319'!$B:$H,7,0),0)</f>
        <v>0</v>
      </c>
      <c r="G10332" s="34" t="n">
        <f aca="false">SUMIFS('12.326ana'!$C:$C,'12.326ana'!$M:$M,redes!A10332)</f>
        <v>0</v>
      </c>
    </row>
    <row r="10333" customFormat="false" ht="14.4" hidden="true" customHeight="false" outlineLevel="0" collapsed="false">
      <c r="A10333" s="34" t="n">
        <v>7229746000110</v>
      </c>
      <c r="B10333" s="34" t="s">
        <v>20647</v>
      </c>
      <c r="C10333" s="34" t="s">
        <v>7250</v>
      </c>
      <c r="E10333" s="30" t="s">
        <v>3579</v>
      </c>
      <c r="F10333" s="34" t="n">
        <f aca="false">IFERROR(VLOOKUP($A10333,'319'!$B:$H,7,0),0)</f>
        <v>0</v>
      </c>
      <c r="G10333" s="34" t="n">
        <f aca="false">SUMIFS('12.326ana'!$C:$C,'12.326ana'!$M:$M,redes!A10333)</f>
        <v>0</v>
      </c>
    </row>
    <row r="10334" customFormat="false" ht="14.4" hidden="true" customHeight="false" outlineLevel="0" collapsed="false">
      <c r="A10334" s="34" t="n">
        <v>7230004000105</v>
      </c>
      <c r="B10334" s="34" t="s">
        <v>20648</v>
      </c>
      <c r="C10334" s="34" t="s">
        <v>7250</v>
      </c>
      <c r="E10334" s="30" t="s">
        <v>20649</v>
      </c>
      <c r="F10334" s="34" t="n">
        <f aca="false">IFERROR(VLOOKUP($A10334,'319'!$B:$H,7,0),0)</f>
        <v>0</v>
      </c>
      <c r="G10334" s="34" t="n">
        <f aca="false">SUMIFS('12.326ana'!$C:$C,'12.326ana'!$M:$M,redes!A10334)</f>
        <v>0</v>
      </c>
    </row>
    <row r="10335" customFormat="false" ht="14.4" hidden="true" customHeight="false" outlineLevel="0" collapsed="false">
      <c r="A10335" s="34" t="n">
        <v>7230983000100</v>
      </c>
      <c r="B10335" s="34" t="s">
        <v>20650</v>
      </c>
      <c r="C10335" s="34" t="s">
        <v>357</v>
      </c>
      <c r="E10335" s="30" t="s">
        <v>20651</v>
      </c>
      <c r="F10335" s="34" t="n">
        <f aca="false">IFERROR(VLOOKUP($A10335,'319'!$B:$H,7,0),0)</f>
        <v>0</v>
      </c>
      <c r="G10335" s="34" t="n">
        <f aca="false">SUMIFS('12.326ana'!$C:$C,'12.326ana'!$M:$M,redes!A10335)</f>
        <v>0</v>
      </c>
    </row>
    <row r="10336" customFormat="false" ht="14.4" hidden="true" customHeight="false" outlineLevel="0" collapsed="false">
      <c r="A10336" s="34" t="n">
        <v>7232612000159</v>
      </c>
      <c r="B10336" s="34" t="s">
        <v>20652</v>
      </c>
      <c r="C10336" s="34" t="s">
        <v>77</v>
      </c>
      <c r="E10336" s="30" t="s">
        <v>20653</v>
      </c>
      <c r="F10336" s="34" t="n">
        <f aca="false">IFERROR(VLOOKUP($A10336,'319'!$B:$H,7,0),0)</f>
        <v>0</v>
      </c>
      <c r="G10336" s="34" t="n">
        <f aca="false">SUMIFS('12.326ana'!$C:$C,'12.326ana'!$M:$M,redes!A10336)</f>
        <v>0</v>
      </c>
    </row>
    <row r="10337" customFormat="false" ht="14.4" hidden="true" customHeight="false" outlineLevel="0" collapsed="false">
      <c r="A10337" s="34" t="n">
        <v>7234410000146</v>
      </c>
      <c r="B10337" s="34" t="s">
        <v>20654</v>
      </c>
      <c r="C10337" s="34" t="s">
        <v>342</v>
      </c>
      <c r="E10337" s="30" t="s">
        <v>20655</v>
      </c>
      <c r="F10337" s="34" t="n">
        <f aca="false">IFERROR(VLOOKUP($A10337,'319'!$B:$H,7,0),0)</f>
        <v>0</v>
      </c>
      <c r="G10337" s="34" t="n">
        <f aca="false">SUMIFS('12.326ana'!$C:$C,'12.326ana'!$M:$M,redes!A10337)</f>
        <v>0</v>
      </c>
    </row>
    <row r="10338" customFormat="false" ht="14.4" hidden="true" customHeight="false" outlineLevel="0" collapsed="false">
      <c r="A10338" s="34" t="n">
        <v>7240290000190</v>
      </c>
      <c r="B10338" s="34" t="s">
        <v>20656</v>
      </c>
      <c r="C10338" s="34" t="s">
        <v>103</v>
      </c>
      <c r="E10338" s="30" t="s">
        <v>20657</v>
      </c>
      <c r="F10338" s="34" t="n">
        <f aca="false">IFERROR(VLOOKUP($A10338,'319'!$B:$H,7,0),0)</f>
        <v>0</v>
      </c>
      <c r="G10338" s="34" t="n">
        <f aca="false">SUMIFS('12.326ana'!$C:$C,'12.326ana'!$M:$M,redes!A10338)</f>
        <v>0</v>
      </c>
    </row>
    <row r="10339" customFormat="false" ht="14.4" hidden="true" customHeight="false" outlineLevel="0" collapsed="false">
      <c r="A10339" s="34" t="n">
        <v>7241996000176</v>
      </c>
      <c r="B10339" s="34" t="s">
        <v>20658</v>
      </c>
      <c r="C10339" s="34" t="s">
        <v>781</v>
      </c>
      <c r="E10339" s="30" t="s">
        <v>20659</v>
      </c>
      <c r="F10339" s="34" t="n">
        <f aca="false">IFERROR(VLOOKUP($A10339,'319'!$B:$H,7,0),0)</f>
        <v>0</v>
      </c>
      <c r="G10339" s="34" t="n">
        <f aca="false">SUMIFS('12.326ana'!$C:$C,'12.326ana'!$M:$M,redes!A10339)</f>
        <v>0</v>
      </c>
    </row>
    <row r="10340" customFormat="false" ht="14.4" hidden="true" customHeight="false" outlineLevel="0" collapsed="false">
      <c r="A10340" s="34" t="n">
        <v>7244795000122</v>
      </c>
      <c r="B10340" s="34" t="s">
        <v>20660</v>
      </c>
      <c r="C10340" s="34" t="s">
        <v>737</v>
      </c>
      <c r="E10340" s="30" t="s">
        <v>20661</v>
      </c>
      <c r="F10340" s="34" t="n">
        <f aca="false">IFERROR(VLOOKUP($A10340,'319'!$B:$H,7,0),0)</f>
        <v>0</v>
      </c>
      <c r="G10340" s="34" t="n">
        <f aca="false">SUMIFS('12.326ana'!$C:$C,'12.326ana'!$M:$M,redes!A10340)</f>
        <v>0</v>
      </c>
    </row>
    <row r="10341" customFormat="false" ht="14.4" hidden="true" customHeight="false" outlineLevel="0" collapsed="false">
      <c r="A10341" s="34" t="n">
        <v>7245405000139</v>
      </c>
      <c r="B10341" s="34" t="s">
        <v>20662</v>
      </c>
      <c r="C10341" s="34" t="s">
        <v>107</v>
      </c>
      <c r="E10341" s="30" t="s">
        <v>8257</v>
      </c>
      <c r="F10341" s="34" t="n">
        <f aca="false">IFERROR(VLOOKUP($A10341,'319'!$B:$H,7,0),0)</f>
        <v>0</v>
      </c>
      <c r="G10341" s="34" t="n">
        <f aca="false">SUMIFS('12.326ana'!$C:$C,'12.326ana'!$M:$M,redes!A10341)</f>
        <v>0</v>
      </c>
    </row>
    <row r="10342" customFormat="false" ht="14.4" hidden="true" customHeight="false" outlineLevel="0" collapsed="false">
      <c r="A10342" s="34" t="n">
        <v>7245739000102</v>
      </c>
      <c r="B10342" s="34" t="s">
        <v>20663</v>
      </c>
      <c r="C10342" s="34" t="s">
        <v>77</v>
      </c>
      <c r="E10342" s="30" t="s">
        <v>20664</v>
      </c>
      <c r="F10342" s="34" t="n">
        <f aca="false">IFERROR(VLOOKUP($A10342,'319'!$B:$H,7,0),0)</f>
        <v>0</v>
      </c>
      <c r="G10342" s="34" t="n">
        <f aca="false">SUMIFS('12.326ana'!$C:$C,'12.326ana'!$M:$M,redes!A10342)</f>
        <v>0</v>
      </c>
    </row>
    <row r="10343" customFormat="false" ht="14.4" hidden="true" customHeight="false" outlineLevel="0" collapsed="false">
      <c r="A10343" s="34" t="n">
        <v>7245950000125</v>
      </c>
      <c r="B10343" s="34" t="s">
        <v>1087</v>
      </c>
      <c r="C10343" s="34" t="s">
        <v>967</v>
      </c>
      <c r="E10343" s="30" t="s">
        <v>20665</v>
      </c>
      <c r="F10343" s="34" t="n">
        <f aca="false">IFERROR(VLOOKUP($A10343,'319'!$B:$H,7,0),0)</f>
        <v>603.48</v>
      </c>
      <c r="G10343" s="34" t="n">
        <f aca="false">SUMIFS('12.326ana'!$C:$C,'12.326ana'!$M:$M,redes!A10343)</f>
        <v>0</v>
      </c>
    </row>
    <row r="10344" customFormat="false" ht="14.4" hidden="true" customHeight="false" outlineLevel="0" collapsed="false">
      <c r="A10344" s="34" t="n">
        <v>7246019000161</v>
      </c>
      <c r="B10344" s="34" t="s">
        <v>20666</v>
      </c>
      <c r="C10344" s="34" t="s">
        <v>594</v>
      </c>
      <c r="E10344" s="30" t="s">
        <v>20667</v>
      </c>
      <c r="F10344" s="34" t="n">
        <f aca="false">IFERROR(VLOOKUP($A10344,'319'!$B:$H,7,0),0)</f>
        <v>0</v>
      </c>
      <c r="G10344" s="34" t="n">
        <f aca="false">SUMIFS('12.326ana'!$C:$C,'12.326ana'!$M:$M,redes!A10344)</f>
        <v>0</v>
      </c>
    </row>
    <row r="10345" customFormat="false" ht="14.4" hidden="true" customHeight="false" outlineLevel="0" collapsed="false">
      <c r="A10345" s="34" t="n">
        <v>7249369000181</v>
      </c>
      <c r="B10345" s="34" t="s">
        <v>657</v>
      </c>
      <c r="C10345" s="34" t="s">
        <v>207</v>
      </c>
      <c r="D10345" s="34" t="s">
        <v>20668</v>
      </c>
      <c r="E10345" s="30" t="s">
        <v>20669</v>
      </c>
      <c r="F10345" s="34" t="n">
        <f aca="false">IFERROR(VLOOKUP($A10345,'319'!$B:$H,7,0),0)</f>
        <v>8350.93</v>
      </c>
      <c r="G10345" s="34" t="n">
        <f aca="false">SUMIFS('12.326ana'!$C:$C,'12.326ana'!$M:$M,redes!A10345)</f>
        <v>0</v>
      </c>
    </row>
    <row r="10346" customFormat="false" ht="14.4" hidden="true" customHeight="false" outlineLevel="0" collapsed="false">
      <c r="A10346" s="34" t="n">
        <v>7249369000262</v>
      </c>
      <c r="B10346" s="34" t="s">
        <v>657</v>
      </c>
      <c r="C10346" s="34" t="s">
        <v>207</v>
      </c>
      <c r="D10346" s="34" t="s">
        <v>20668</v>
      </c>
      <c r="E10346" s="30" t="s">
        <v>20670</v>
      </c>
      <c r="F10346" s="34" t="n">
        <f aca="false">IFERROR(VLOOKUP($A10346,'319'!$B:$H,7,0),0)</f>
        <v>0</v>
      </c>
      <c r="G10346" s="34" t="n">
        <f aca="false">SUMIFS('12.326ana'!$C:$C,'12.326ana'!$M:$M,redes!A10346)</f>
        <v>0</v>
      </c>
    </row>
    <row r="10347" customFormat="false" ht="14.4" hidden="true" customHeight="false" outlineLevel="0" collapsed="false">
      <c r="A10347" s="34" t="n">
        <v>7252373000107</v>
      </c>
      <c r="B10347" s="34" t="s">
        <v>20671</v>
      </c>
      <c r="C10347" s="34" t="s">
        <v>77</v>
      </c>
      <c r="E10347" s="30" t="s">
        <v>20672</v>
      </c>
      <c r="F10347" s="34" t="n">
        <f aca="false">IFERROR(VLOOKUP($A10347,'319'!$B:$H,7,0),0)</f>
        <v>0</v>
      </c>
      <c r="G10347" s="34" t="n">
        <f aca="false">SUMIFS('12.326ana'!$C:$C,'12.326ana'!$M:$M,redes!A10347)</f>
        <v>0</v>
      </c>
    </row>
    <row r="10348" customFormat="false" ht="14.4" hidden="true" customHeight="false" outlineLevel="0" collapsed="false">
      <c r="A10348" s="34" t="n">
        <v>7257490000155</v>
      </c>
      <c r="B10348" s="34" t="s">
        <v>20673</v>
      </c>
      <c r="C10348" s="34" t="s">
        <v>464</v>
      </c>
      <c r="E10348" s="30" t="s">
        <v>20674</v>
      </c>
      <c r="F10348" s="34" t="n">
        <f aca="false">IFERROR(VLOOKUP($A10348,'319'!$B:$H,7,0),0)</f>
        <v>0</v>
      </c>
      <c r="G10348" s="34" t="n">
        <f aca="false">SUMIFS('12.326ana'!$C:$C,'12.326ana'!$M:$M,redes!A10348)</f>
        <v>0</v>
      </c>
    </row>
    <row r="10349" customFormat="false" ht="14.4" hidden="true" customHeight="false" outlineLevel="0" collapsed="false">
      <c r="A10349" s="34" t="n">
        <v>7257920000139</v>
      </c>
      <c r="B10349" s="34" t="s">
        <v>20675</v>
      </c>
      <c r="C10349" s="34" t="s">
        <v>77</v>
      </c>
      <c r="E10349" s="30" t="s">
        <v>13744</v>
      </c>
      <c r="F10349" s="34" t="n">
        <f aca="false">IFERROR(VLOOKUP($A10349,'319'!$B:$H,7,0),0)</f>
        <v>0</v>
      </c>
      <c r="G10349" s="34" t="n">
        <f aca="false">SUMIFS('12.326ana'!$C:$C,'12.326ana'!$M:$M,redes!A10349)</f>
        <v>0</v>
      </c>
    </row>
    <row r="10350" customFormat="false" ht="14.4" hidden="true" customHeight="false" outlineLevel="0" collapsed="false">
      <c r="A10350" s="34" t="n">
        <v>7257953000189</v>
      </c>
      <c r="B10350" s="34" t="s">
        <v>20676</v>
      </c>
      <c r="C10350" s="34" t="s">
        <v>77</v>
      </c>
      <c r="E10350" s="30" t="s">
        <v>20677</v>
      </c>
      <c r="F10350" s="34" t="n">
        <f aca="false">IFERROR(VLOOKUP($A10350,'319'!$B:$H,7,0),0)</f>
        <v>0</v>
      </c>
      <c r="G10350" s="34" t="n">
        <f aca="false">SUMIFS('12.326ana'!$C:$C,'12.326ana'!$M:$M,redes!A10350)</f>
        <v>0</v>
      </c>
    </row>
    <row r="10351" customFormat="false" ht="14.4" hidden="true" customHeight="false" outlineLevel="0" collapsed="false">
      <c r="A10351" s="34" t="n">
        <v>7257996000164</v>
      </c>
      <c r="B10351" s="34" t="s">
        <v>20678</v>
      </c>
      <c r="C10351" s="34" t="s">
        <v>77</v>
      </c>
      <c r="E10351" s="30" t="s">
        <v>20679</v>
      </c>
      <c r="F10351" s="34" t="n">
        <f aca="false">IFERROR(VLOOKUP($A10351,'319'!$B:$H,7,0),0)</f>
        <v>0</v>
      </c>
      <c r="G10351" s="34" t="n">
        <f aca="false">SUMIFS('12.326ana'!$C:$C,'12.326ana'!$M:$M,redes!A10351)</f>
        <v>0</v>
      </c>
    </row>
    <row r="10352" customFormat="false" ht="14.4" hidden="true" customHeight="false" outlineLevel="0" collapsed="false">
      <c r="A10352" s="34" t="n">
        <v>7260091000143</v>
      </c>
      <c r="B10352" s="34" t="s">
        <v>20680</v>
      </c>
      <c r="C10352" s="34" t="s">
        <v>107</v>
      </c>
      <c r="E10352" s="30" t="s">
        <v>20681</v>
      </c>
      <c r="F10352" s="34" t="n">
        <f aca="false">IFERROR(VLOOKUP($A10352,'319'!$B:$H,7,0),0)</f>
        <v>0</v>
      </c>
      <c r="G10352" s="34" t="n">
        <f aca="false">SUMIFS('12.326ana'!$C:$C,'12.326ana'!$M:$M,redes!A10352)</f>
        <v>0</v>
      </c>
    </row>
    <row r="10353" customFormat="false" ht="14.4" hidden="true" customHeight="false" outlineLevel="0" collapsed="false">
      <c r="A10353" s="34" t="n">
        <v>7260427000178</v>
      </c>
      <c r="B10353" s="34" t="s">
        <v>20682</v>
      </c>
      <c r="C10353" s="34" t="s">
        <v>107</v>
      </c>
      <c r="E10353" s="30" t="s">
        <v>20683</v>
      </c>
      <c r="F10353" s="34" t="n">
        <f aca="false">IFERROR(VLOOKUP($A10353,'319'!$B:$H,7,0),0)</f>
        <v>0</v>
      </c>
      <c r="G10353" s="34" t="n">
        <f aca="false">SUMIFS('12.326ana'!$C:$C,'12.326ana'!$M:$M,redes!A10353)</f>
        <v>0</v>
      </c>
    </row>
    <row r="10354" customFormat="false" ht="14.4" hidden="true" customHeight="false" outlineLevel="0" collapsed="false">
      <c r="A10354" s="34" t="n">
        <v>7262131000196</v>
      </c>
      <c r="B10354" s="34" t="s">
        <v>20684</v>
      </c>
      <c r="C10354" s="34" t="s">
        <v>342</v>
      </c>
      <c r="E10354" s="30" t="s">
        <v>20685</v>
      </c>
      <c r="F10354" s="34" t="n">
        <f aca="false">IFERROR(VLOOKUP($A10354,'319'!$B:$H,7,0),0)</f>
        <v>0</v>
      </c>
      <c r="G10354" s="34" t="n">
        <f aca="false">SUMIFS('12.326ana'!$C:$C,'12.326ana'!$M:$M,redes!A10354)</f>
        <v>0</v>
      </c>
    </row>
    <row r="10355" customFormat="false" ht="14.4" hidden="true" customHeight="false" outlineLevel="0" collapsed="false">
      <c r="A10355" s="34" t="n">
        <v>7263216000199</v>
      </c>
      <c r="B10355" s="34" t="s">
        <v>20686</v>
      </c>
      <c r="C10355" s="34" t="s">
        <v>680</v>
      </c>
      <c r="E10355" s="30" t="s">
        <v>20687</v>
      </c>
      <c r="F10355" s="34" t="n">
        <f aca="false">IFERROR(VLOOKUP($A10355,'319'!$B:$H,7,0),0)</f>
        <v>0</v>
      </c>
      <c r="G10355" s="34" t="n">
        <f aca="false">SUMIFS('12.326ana'!$C:$C,'12.326ana'!$M:$M,redes!A10355)</f>
        <v>0</v>
      </c>
    </row>
    <row r="10356" customFormat="false" ht="14.4" hidden="true" customHeight="false" outlineLevel="0" collapsed="false">
      <c r="A10356" s="34" t="n">
        <v>7263243000161</v>
      </c>
      <c r="B10356" s="34" t="s">
        <v>20688</v>
      </c>
      <c r="C10356" s="34" t="s">
        <v>139</v>
      </c>
      <c r="E10356" s="30" t="s">
        <v>20689</v>
      </c>
      <c r="F10356" s="34" t="n">
        <f aca="false">IFERROR(VLOOKUP($A10356,'319'!$B:$H,7,0),0)</f>
        <v>0</v>
      </c>
      <c r="G10356" s="34" t="n">
        <f aca="false">SUMIFS('12.326ana'!$C:$C,'12.326ana'!$M:$M,redes!A10356)</f>
        <v>0</v>
      </c>
    </row>
    <row r="10357" customFormat="false" ht="14.4" hidden="true" customHeight="false" outlineLevel="0" collapsed="false">
      <c r="A10357" s="34" t="n">
        <v>7263744000148</v>
      </c>
      <c r="B10357" s="34" t="s">
        <v>20690</v>
      </c>
      <c r="C10357" s="34" t="s">
        <v>89</v>
      </c>
      <c r="E10357" s="30" t="s">
        <v>20691</v>
      </c>
      <c r="F10357" s="34" t="n">
        <f aca="false">IFERROR(VLOOKUP($A10357,'319'!$B:$H,7,0),0)</f>
        <v>0</v>
      </c>
      <c r="G10357" s="34" t="n">
        <f aca="false">SUMIFS('12.326ana'!$C:$C,'12.326ana'!$M:$M,redes!A10357)</f>
        <v>0</v>
      </c>
    </row>
    <row r="10358" customFormat="false" ht="14.4" hidden="true" customHeight="false" outlineLevel="0" collapsed="false">
      <c r="A10358" s="34" t="n">
        <v>7264556000134</v>
      </c>
      <c r="B10358" s="34" t="s">
        <v>20692</v>
      </c>
      <c r="C10358" s="34" t="s">
        <v>107</v>
      </c>
      <c r="E10358" s="30" t="s">
        <v>20693</v>
      </c>
      <c r="F10358" s="34" t="n">
        <f aca="false">IFERROR(VLOOKUP($A10358,'319'!$B:$H,7,0),0)</f>
        <v>0</v>
      </c>
      <c r="G10358" s="34" t="n">
        <f aca="false">SUMIFS('12.326ana'!$C:$C,'12.326ana'!$M:$M,redes!A10358)</f>
        <v>0</v>
      </c>
    </row>
    <row r="10359" customFormat="false" ht="14.4" hidden="true" customHeight="false" outlineLevel="0" collapsed="false">
      <c r="A10359" s="34" t="n">
        <v>7266415000150</v>
      </c>
      <c r="B10359" s="34" t="s">
        <v>20694</v>
      </c>
      <c r="C10359" s="34" t="s">
        <v>781</v>
      </c>
      <c r="E10359" s="30" t="s">
        <v>20695</v>
      </c>
      <c r="F10359" s="34" t="n">
        <f aca="false">IFERROR(VLOOKUP($A10359,'319'!$B:$H,7,0),0)</f>
        <v>0</v>
      </c>
      <c r="G10359" s="34" t="n">
        <f aca="false">SUMIFS('12.326ana'!$C:$C,'12.326ana'!$M:$M,redes!A10359)</f>
        <v>0</v>
      </c>
    </row>
    <row r="10360" customFormat="false" ht="14.4" hidden="true" customHeight="false" outlineLevel="0" collapsed="false">
      <c r="A10360" s="34" t="n">
        <v>7266454000158</v>
      </c>
      <c r="B10360" s="34" t="s">
        <v>20696</v>
      </c>
      <c r="C10360" s="34" t="s">
        <v>842</v>
      </c>
      <c r="E10360" s="30" t="s">
        <v>20697</v>
      </c>
      <c r="F10360" s="34" t="n">
        <f aca="false">IFERROR(VLOOKUP($A10360,'319'!$B:$H,7,0),0)</f>
        <v>0</v>
      </c>
      <c r="G10360" s="34" t="n">
        <f aca="false">SUMIFS('12.326ana'!$C:$C,'12.326ana'!$M:$M,redes!A10360)</f>
        <v>0</v>
      </c>
    </row>
    <row r="10361" customFormat="false" ht="14.4" hidden="true" customHeight="false" outlineLevel="0" collapsed="false">
      <c r="A10361" s="34" t="n">
        <v>7274744000143</v>
      </c>
      <c r="B10361" s="34" t="s">
        <v>20698</v>
      </c>
      <c r="C10361" s="34" t="s">
        <v>1272</v>
      </c>
      <c r="E10361" s="30" t="s">
        <v>20699</v>
      </c>
      <c r="F10361" s="34" t="n">
        <f aca="false">IFERROR(VLOOKUP($A10361,'319'!$B:$H,7,0),0)</f>
        <v>0</v>
      </c>
      <c r="G10361" s="34" t="n">
        <f aca="false">SUMIFS('12.326ana'!$C:$C,'12.326ana'!$M:$M,redes!A10361)</f>
        <v>0</v>
      </c>
    </row>
    <row r="10362" customFormat="false" ht="14.4" hidden="true" customHeight="false" outlineLevel="0" collapsed="false">
      <c r="A10362" s="34" t="n">
        <v>7274779000182</v>
      </c>
      <c r="B10362" s="34" t="s">
        <v>20700</v>
      </c>
      <c r="C10362" s="34" t="s">
        <v>631</v>
      </c>
      <c r="E10362" s="30" t="s">
        <v>20701</v>
      </c>
      <c r="F10362" s="34" t="n">
        <f aca="false">IFERROR(VLOOKUP($A10362,'319'!$B:$H,7,0),0)</f>
        <v>0</v>
      </c>
      <c r="G10362" s="34" t="n">
        <f aca="false">SUMIFS('12.326ana'!$C:$C,'12.326ana'!$M:$M,redes!A10362)</f>
        <v>0</v>
      </c>
    </row>
    <row r="10363" customFormat="false" ht="14.4" hidden="true" customHeight="false" outlineLevel="0" collapsed="false">
      <c r="A10363" s="34" t="n">
        <v>7276813000158</v>
      </c>
      <c r="B10363" s="34" t="s">
        <v>20702</v>
      </c>
      <c r="C10363" s="34" t="s">
        <v>954</v>
      </c>
      <c r="E10363" s="30" t="s">
        <v>20703</v>
      </c>
      <c r="F10363" s="34" t="n">
        <f aca="false">IFERROR(VLOOKUP($A10363,'319'!$B:$H,7,0),0)</f>
        <v>0</v>
      </c>
      <c r="G10363" s="34" t="n">
        <f aca="false">SUMIFS('12.326ana'!$C:$C,'12.326ana'!$M:$M,redes!A10363)</f>
        <v>0</v>
      </c>
    </row>
    <row r="10364" customFormat="false" ht="14.4" hidden="true" customHeight="false" outlineLevel="0" collapsed="false">
      <c r="A10364" s="34" t="n">
        <v>7279625000183</v>
      </c>
      <c r="B10364" s="34" t="s">
        <v>20704</v>
      </c>
      <c r="C10364" s="34" t="s">
        <v>77</v>
      </c>
      <c r="E10364" s="30" t="s">
        <v>20705</v>
      </c>
      <c r="F10364" s="34" t="n">
        <f aca="false">IFERROR(VLOOKUP($A10364,'319'!$B:$H,7,0),0)</f>
        <v>0</v>
      </c>
      <c r="G10364" s="34" t="n">
        <f aca="false">SUMIFS('12.326ana'!$C:$C,'12.326ana'!$M:$M,redes!A10364)</f>
        <v>0</v>
      </c>
    </row>
    <row r="10365" customFormat="false" ht="14.4" hidden="true" customHeight="false" outlineLevel="0" collapsed="false">
      <c r="A10365" s="34" t="n">
        <v>7281872000114</v>
      </c>
      <c r="B10365" s="34" t="s">
        <v>20706</v>
      </c>
      <c r="C10365" s="34" t="s">
        <v>107</v>
      </c>
      <c r="E10365" s="30" t="s">
        <v>20707</v>
      </c>
      <c r="F10365" s="34" t="n">
        <f aca="false">IFERROR(VLOOKUP($A10365,'319'!$B:$H,7,0),0)</f>
        <v>0</v>
      </c>
      <c r="G10365" s="34" t="n">
        <f aca="false">SUMIFS('12.326ana'!$C:$C,'12.326ana'!$M:$M,redes!A10365)</f>
        <v>0</v>
      </c>
    </row>
    <row r="10366" customFormat="false" ht="14.4" hidden="true" customHeight="false" outlineLevel="0" collapsed="false">
      <c r="A10366" s="34" t="n">
        <v>7281891000140</v>
      </c>
      <c r="B10366" s="34" t="s">
        <v>20708</v>
      </c>
      <c r="C10366" s="34" t="s">
        <v>107</v>
      </c>
      <c r="E10366" s="30" t="s">
        <v>20709</v>
      </c>
      <c r="F10366" s="34" t="n">
        <f aca="false">IFERROR(VLOOKUP($A10366,'319'!$B:$H,7,0),0)</f>
        <v>0</v>
      </c>
      <c r="G10366" s="34" t="n">
        <f aca="false">SUMIFS('12.326ana'!$C:$C,'12.326ana'!$M:$M,redes!A10366)</f>
        <v>0</v>
      </c>
    </row>
    <row r="10367" customFormat="false" ht="14.4" hidden="true" customHeight="false" outlineLevel="0" collapsed="false">
      <c r="A10367" s="34" t="n">
        <v>7282436000160</v>
      </c>
      <c r="B10367" s="34" t="s">
        <v>20710</v>
      </c>
      <c r="C10367" s="34" t="s">
        <v>2998</v>
      </c>
      <c r="E10367" s="30" t="s">
        <v>13293</v>
      </c>
      <c r="F10367" s="34" t="n">
        <f aca="false">IFERROR(VLOOKUP($A10367,'319'!$B:$H,7,0),0)</f>
        <v>0</v>
      </c>
      <c r="G10367" s="34" t="n">
        <f aca="false">SUMIFS('12.326ana'!$C:$C,'12.326ana'!$M:$M,redes!A10367)</f>
        <v>0</v>
      </c>
    </row>
    <row r="10368" customFormat="false" ht="14.4" hidden="true" customHeight="false" outlineLevel="0" collapsed="false">
      <c r="A10368" s="34" t="n">
        <v>7284256000117</v>
      </c>
      <c r="B10368" s="34" t="s">
        <v>20711</v>
      </c>
      <c r="C10368" s="34" t="s">
        <v>107</v>
      </c>
      <c r="E10368" s="30" t="s">
        <v>20712</v>
      </c>
      <c r="F10368" s="34" t="n">
        <f aca="false">IFERROR(VLOOKUP($A10368,'319'!$B:$H,7,0),0)</f>
        <v>0</v>
      </c>
      <c r="G10368" s="34" t="n">
        <f aca="false">SUMIFS('12.326ana'!$C:$C,'12.326ana'!$M:$M,redes!A10368)</f>
        <v>0</v>
      </c>
    </row>
    <row r="10369" customFormat="false" ht="14.4" hidden="true" customHeight="false" outlineLevel="0" collapsed="false">
      <c r="A10369" s="34" t="n">
        <v>7284283000190</v>
      </c>
      <c r="B10369" s="34" t="s">
        <v>20713</v>
      </c>
      <c r="C10369" s="34" t="s">
        <v>604</v>
      </c>
      <c r="E10369" s="30" t="s">
        <v>20714</v>
      </c>
      <c r="F10369" s="34" t="n">
        <f aca="false">IFERROR(VLOOKUP($A10369,'319'!$B:$H,7,0),0)</f>
        <v>0</v>
      </c>
      <c r="G10369" s="34" t="n">
        <f aca="false">SUMIFS('12.326ana'!$C:$C,'12.326ana'!$M:$M,redes!A10369)</f>
        <v>0</v>
      </c>
    </row>
    <row r="10370" customFormat="false" ht="14.4" hidden="true" customHeight="false" outlineLevel="0" collapsed="false">
      <c r="A10370" s="34" t="n">
        <v>7284636000151</v>
      </c>
      <c r="B10370" s="34" t="s">
        <v>20715</v>
      </c>
      <c r="C10370" s="34" t="s">
        <v>77</v>
      </c>
      <c r="E10370" s="30" t="s">
        <v>14409</v>
      </c>
      <c r="F10370" s="34" t="n">
        <f aca="false">IFERROR(VLOOKUP($A10370,'319'!$B:$H,7,0),0)</f>
        <v>0</v>
      </c>
      <c r="G10370" s="34" t="n">
        <f aca="false">SUMIFS('12.326ana'!$C:$C,'12.326ana'!$M:$M,redes!A10370)</f>
        <v>0</v>
      </c>
    </row>
    <row r="10371" customFormat="false" ht="14.4" hidden="true" customHeight="false" outlineLevel="0" collapsed="false">
      <c r="A10371" s="34" t="n">
        <v>7287900000100</v>
      </c>
      <c r="B10371" s="34" t="s">
        <v>20716</v>
      </c>
      <c r="C10371" s="34" t="s">
        <v>77</v>
      </c>
      <c r="E10371" s="30" t="s">
        <v>20717</v>
      </c>
      <c r="F10371" s="34" t="n">
        <f aca="false">IFERROR(VLOOKUP($A10371,'319'!$B:$H,7,0),0)</f>
        <v>403.77</v>
      </c>
      <c r="G10371" s="34" t="n">
        <f aca="false">SUMIFS('12.326ana'!$C:$C,'12.326ana'!$M:$M,redes!A10371)</f>
        <v>0</v>
      </c>
    </row>
    <row r="10372" customFormat="false" ht="14.4" hidden="true" customHeight="false" outlineLevel="0" collapsed="false">
      <c r="A10372" s="34" t="n">
        <v>7288218000132</v>
      </c>
      <c r="B10372" s="34" t="s">
        <v>20718</v>
      </c>
      <c r="C10372" s="34" t="s">
        <v>809</v>
      </c>
      <c r="E10372" s="30" t="s">
        <v>20719</v>
      </c>
      <c r="F10372" s="34" t="n">
        <f aca="false">IFERROR(VLOOKUP($A10372,'319'!$B:$H,7,0),0)</f>
        <v>0</v>
      </c>
      <c r="G10372" s="34" t="n">
        <f aca="false">SUMIFS('12.326ana'!$C:$C,'12.326ana'!$M:$M,redes!A10372)</f>
        <v>0</v>
      </c>
    </row>
    <row r="10373" customFormat="false" ht="14.4" hidden="true" customHeight="false" outlineLevel="0" collapsed="false">
      <c r="A10373" s="34" t="n">
        <v>7295756000154</v>
      </c>
      <c r="B10373" s="34" t="s">
        <v>20720</v>
      </c>
      <c r="C10373" s="34" t="s">
        <v>107</v>
      </c>
      <c r="D10373" s="34" t="s">
        <v>20721</v>
      </c>
      <c r="E10373" s="30" t="s">
        <v>2854</v>
      </c>
      <c r="F10373" s="34" t="n">
        <f aca="false">IFERROR(VLOOKUP($A10373,'319'!$B:$H,7,0),0)</f>
        <v>0</v>
      </c>
      <c r="G10373" s="34" t="n">
        <f aca="false">SUMIFS('12.326ana'!$C:$C,'12.326ana'!$M:$M,redes!A10373)</f>
        <v>0</v>
      </c>
    </row>
    <row r="10374" customFormat="false" ht="14.4" hidden="true" customHeight="false" outlineLevel="0" collapsed="false">
      <c r="A10374" s="34" t="n">
        <v>7295756000235</v>
      </c>
      <c r="B10374" s="34" t="s">
        <v>20722</v>
      </c>
      <c r="C10374" s="34" t="s">
        <v>107</v>
      </c>
      <c r="D10374" s="34" t="s">
        <v>20721</v>
      </c>
      <c r="E10374" s="30" t="s">
        <v>20723</v>
      </c>
      <c r="F10374" s="34" t="n">
        <f aca="false">IFERROR(VLOOKUP($A10374,'319'!$B:$H,7,0),0)</f>
        <v>0</v>
      </c>
      <c r="G10374" s="34" t="n">
        <f aca="false">SUMIFS('12.326ana'!$C:$C,'12.326ana'!$M:$M,redes!A10374)</f>
        <v>0</v>
      </c>
    </row>
    <row r="10375" customFormat="false" ht="14.4" hidden="true" customHeight="false" outlineLevel="0" collapsed="false">
      <c r="A10375" s="34" t="n">
        <v>7295756000316</v>
      </c>
      <c r="B10375" s="34" t="s">
        <v>20722</v>
      </c>
      <c r="C10375" s="34" t="s">
        <v>107</v>
      </c>
      <c r="D10375" s="34" t="s">
        <v>20721</v>
      </c>
      <c r="E10375" s="30" t="s">
        <v>2854</v>
      </c>
      <c r="F10375" s="34" t="n">
        <f aca="false">IFERROR(VLOOKUP($A10375,'319'!$B:$H,7,0),0)</f>
        <v>0</v>
      </c>
      <c r="G10375" s="34" t="n">
        <f aca="false">SUMIFS('12.326ana'!$C:$C,'12.326ana'!$M:$M,redes!A10375)</f>
        <v>0</v>
      </c>
    </row>
    <row r="10376" customFormat="false" ht="14.4" hidden="true" customHeight="false" outlineLevel="0" collapsed="false">
      <c r="A10376" s="34" t="n">
        <v>7295756000405</v>
      </c>
      <c r="B10376" s="34" t="s">
        <v>20722</v>
      </c>
      <c r="C10376" s="34" t="s">
        <v>107</v>
      </c>
      <c r="E10376" s="30" t="s">
        <v>20724</v>
      </c>
      <c r="F10376" s="34" t="n">
        <f aca="false">IFERROR(VLOOKUP($A10376,'319'!$B:$H,7,0),0)</f>
        <v>0</v>
      </c>
      <c r="G10376" s="34" t="n">
        <f aca="false">SUMIFS('12.326ana'!$C:$C,'12.326ana'!$M:$M,redes!A10376)</f>
        <v>0</v>
      </c>
    </row>
    <row r="10377" customFormat="false" ht="14.4" hidden="true" customHeight="false" outlineLevel="0" collapsed="false">
      <c r="A10377" s="34" t="n">
        <v>7295756000588</v>
      </c>
      <c r="B10377" s="34" t="s">
        <v>20722</v>
      </c>
      <c r="C10377" s="34" t="s">
        <v>342</v>
      </c>
      <c r="D10377" s="34" t="s">
        <v>20721</v>
      </c>
      <c r="E10377" s="30" t="s">
        <v>2854</v>
      </c>
      <c r="F10377" s="34" t="n">
        <f aca="false">IFERROR(VLOOKUP($A10377,'319'!$B:$H,7,0),0)</f>
        <v>0</v>
      </c>
      <c r="G10377" s="34" t="n">
        <f aca="false">SUMIFS('12.326ana'!$C:$C,'12.326ana'!$M:$M,redes!A10377)</f>
        <v>0</v>
      </c>
    </row>
    <row r="10378" customFormat="false" ht="14.4" hidden="true" customHeight="false" outlineLevel="0" collapsed="false">
      <c r="A10378" s="34" t="n">
        <v>7297361000190</v>
      </c>
      <c r="B10378" s="34" t="s">
        <v>20725</v>
      </c>
      <c r="C10378" s="34" t="s">
        <v>342</v>
      </c>
      <c r="E10378" s="30" t="s">
        <v>20726</v>
      </c>
      <c r="F10378" s="34" t="n">
        <f aca="false">IFERROR(VLOOKUP($A10378,'319'!$B:$H,7,0),0)</f>
        <v>31078.77</v>
      </c>
      <c r="G10378" s="34" t="n">
        <f aca="false">SUMIFS('12.326ana'!$C:$C,'12.326ana'!$M:$M,redes!A10378)</f>
        <v>0</v>
      </c>
    </row>
    <row r="10379" customFormat="false" ht="14.4" hidden="true" customHeight="false" outlineLevel="0" collapsed="false">
      <c r="A10379" s="34" t="n">
        <v>7298624000186</v>
      </c>
      <c r="B10379" s="34" t="s">
        <v>20727</v>
      </c>
      <c r="C10379" s="34" t="s">
        <v>207</v>
      </c>
      <c r="E10379" s="30" t="s">
        <v>20728</v>
      </c>
      <c r="F10379" s="34" t="n">
        <f aca="false">IFERROR(VLOOKUP($A10379,'319'!$B:$H,7,0),0)</f>
        <v>0</v>
      </c>
      <c r="G10379" s="34" t="n">
        <f aca="false">SUMIFS('12.326ana'!$C:$C,'12.326ana'!$M:$M,redes!A10379)</f>
        <v>0</v>
      </c>
    </row>
    <row r="10380" customFormat="false" ht="14.4" hidden="true" customHeight="false" outlineLevel="0" collapsed="false">
      <c r="A10380" s="34" t="n">
        <v>7299843000180</v>
      </c>
      <c r="B10380" s="34" t="s">
        <v>20729</v>
      </c>
      <c r="C10380" s="34" t="s">
        <v>631</v>
      </c>
      <c r="E10380" s="30" t="s">
        <v>20730</v>
      </c>
      <c r="F10380" s="34" t="n">
        <f aca="false">IFERROR(VLOOKUP($A10380,'319'!$B:$H,7,0),0)</f>
        <v>0</v>
      </c>
      <c r="G10380" s="34" t="n">
        <f aca="false">SUMIFS('12.326ana'!$C:$C,'12.326ana'!$M:$M,redes!A10380)</f>
        <v>0</v>
      </c>
    </row>
    <row r="10381" customFormat="false" ht="14.4" hidden="true" customHeight="false" outlineLevel="0" collapsed="false">
      <c r="A10381" s="34" t="n">
        <v>7303667000102</v>
      </c>
      <c r="B10381" s="34" t="s">
        <v>20731</v>
      </c>
      <c r="C10381" s="34" t="s">
        <v>103</v>
      </c>
      <c r="E10381" s="30" t="s">
        <v>20732</v>
      </c>
      <c r="F10381" s="34" t="n">
        <f aca="false">IFERROR(VLOOKUP($A10381,'319'!$B:$H,7,0),0)</f>
        <v>0</v>
      </c>
      <c r="G10381" s="34" t="n">
        <f aca="false">SUMIFS('12.326ana'!$C:$C,'12.326ana'!$M:$M,redes!A10381)</f>
        <v>0</v>
      </c>
    </row>
    <row r="10382" customFormat="false" ht="14.4" hidden="true" customHeight="false" outlineLevel="0" collapsed="false">
      <c r="A10382" s="34" t="n">
        <v>7307691000110</v>
      </c>
      <c r="B10382" s="34" t="s">
        <v>20733</v>
      </c>
      <c r="C10382" s="34" t="s">
        <v>77</v>
      </c>
      <c r="E10382" s="30" t="s">
        <v>20734</v>
      </c>
      <c r="F10382" s="34" t="n">
        <f aca="false">IFERROR(VLOOKUP($A10382,'319'!$B:$H,7,0),0)</f>
        <v>0</v>
      </c>
      <c r="G10382" s="34" t="n">
        <f aca="false">SUMIFS('12.326ana'!$C:$C,'12.326ana'!$M:$M,redes!A10382)</f>
        <v>0</v>
      </c>
    </row>
    <row r="10383" customFormat="false" ht="14.4" hidden="true" customHeight="false" outlineLevel="0" collapsed="false">
      <c r="A10383" s="34" t="n">
        <v>7307950000102</v>
      </c>
      <c r="B10383" s="34" t="s">
        <v>20735</v>
      </c>
      <c r="C10383" s="34" t="s">
        <v>77</v>
      </c>
      <c r="E10383" s="30" t="s">
        <v>20736</v>
      </c>
      <c r="F10383" s="34" t="n">
        <f aca="false">IFERROR(VLOOKUP($A10383,'319'!$B:$H,7,0),0)</f>
        <v>0</v>
      </c>
      <c r="G10383" s="34" t="n">
        <f aca="false">SUMIFS('12.326ana'!$C:$C,'12.326ana'!$M:$M,redes!A10383)</f>
        <v>0</v>
      </c>
    </row>
    <row r="10384" customFormat="false" ht="14.4" hidden="true" customHeight="false" outlineLevel="0" collapsed="false">
      <c r="A10384" s="34" t="n">
        <v>7307976000150</v>
      </c>
      <c r="B10384" s="34" t="s">
        <v>20737</v>
      </c>
      <c r="C10384" s="34" t="s">
        <v>77</v>
      </c>
      <c r="E10384" s="30" t="s">
        <v>20738</v>
      </c>
      <c r="F10384" s="34" t="n">
        <f aca="false">IFERROR(VLOOKUP($A10384,'319'!$B:$H,7,0),0)</f>
        <v>0</v>
      </c>
      <c r="G10384" s="34" t="n">
        <f aca="false">SUMIFS('12.326ana'!$C:$C,'12.326ana'!$M:$M,redes!A10384)</f>
        <v>0</v>
      </c>
    </row>
    <row r="10385" customFormat="false" ht="14.4" hidden="true" customHeight="false" outlineLevel="0" collapsed="false">
      <c r="A10385" s="34" t="n">
        <v>7308758000130</v>
      </c>
      <c r="B10385" s="34" t="s">
        <v>20739</v>
      </c>
      <c r="C10385" s="34" t="s">
        <v>77</v>
      </c>
      <c r="E10385" s="30" t="s">
        <v>20740</v>
      </c>
      <c r="F10385" s="34" t="n">
        <f aca="false">IFERROR(VLOOKUP($A10385,'319'!$B:$H,7,0),0)</f>
        <v>0</v>
      </c>
      <c r="G10385" s="34" t="n">
        <f aca="false">SUMIFS('12.326ana'!$C:$C,'12.326ana'!$M:$M,redes!A10385)</f>
        <v>0</v>
      </c>
    </row>
    <row r="10386" customFormat="false" ht="14.4" hidden="true" customHeight="false" outlineLevel="0" collapsed="false">
      <c r="A10386" s="34" t="n">
        <v>7308834000108</v>
      </c>
      <c r="B10386" s="34" t="s">
        <v>20741</v>
      </c>
      <c r="C10386" s="34" t="s">
        <v>127</v>
      </c>
      <c r="E10386" s="30" t="s">
        <v>20742</v>
      </c>
      <c r="F10386" s="34" t="n">
        <f aca="false">IFERROR(VLOOKUP($A10386,'319'!$B:$H,7,0),0)</f>
        <v>0</v>
      </c>
      <c r="G10386" s="34" t="n">
        <f aca="false">SUMIFS('12.326ana'!$C:$C,'12.326ana'!$M:$M,redes!A10386)</f>
        <v>0</v>
      </c>
    </row>
    <row r="10387" customFormat="false" ht="14.4" hidden="true" customHeight="false" outlineLevel="0" collapsed="false">
      <c r="A10387" s="34" t="n">
        <v>7308909000150</v>
      </c>
      <c r="B10387" s="34" t="s">
        <v>20743</v>
      </c>
      <c r="C10387" s="34" t="s">
        <v>77</v>
      </c>
      <c r="D10387" s="34" t="s">
        <v>9598</v>
      </c>
      <c r="E10387" s="30" t="s">
        <v>3001</v>
      </c>
      <c r="F10387" s="34" t="n">
        <f aca="false">IFERROR(VLOOKUP($A10387,'319'!$B:$H,7,0),0)</f>
        <v>0</v>
      </c>
      <c r="G10387" s="34" t="n">
        <f aca="false">SUMIFS('12.326ana'!$C:$C,'12.326ana'!$M:$M,redes!A10387)</f>
        <v>0</v>
      </c>
    </row>
    <row r="10388" customFormat="false" ht="14.4" hidden="true" customHeight="false" outlineLevel="0" collapsed="false">
      <c r="A10388" s="34" t="n">
        <v>7309864000139</v>
      </c>
      <c r="B10388" s="34" t="s">
        <v>20744</v>
      </c>
      <c r="C10388" s="34" t="s">
        <v>117</v>
      </c>
      <c r="E10388" s="30" t="s">
        <v>20745</v>
      </c>
      <c r="F10388" s="34" t="n">
        <f aca="false">IFERROR(VLOOKUP($A10388,'319'!$B:$H,7,0),0)</f>
        <v>0</v>
      </c>
      <c r="G10388" s="34" t="n">
        <f aca="false">SUMIFS('12.326ana'!$C:$C,'12.326ana'!$M:$M,redes!A10388)</f>
        <v>0</v>
      </c>
    </row>
    <row r="10389" customFormat="false" ht="14.4" hidden="true" customHeight="false" outlineLevel="0" collapsed="false">
      <c r="A10389" s="34" t="n">
        <v>7310870000106</v>
      </c>
      <c r="B10389" s="34" t="s">
        <v>20746</v>
      </c>
      <c r="C10389" s="34" t="s">
        <v>197</v>
      </c>
      <c r="E10389" s="30" t="s">
        <v>20747</v>
      </c>
      <c r="F10389" s="34" t="n">
        <f aca="false">IFERROR(VLOOKUP($A10389,'319'!$B:$H,7,0),0)</f>
        <v>0</v>
      </c>
      <c r="G10389" s="34" t="n">
        <f aca="false">SUMIFS('12.326ana'!$C:$C,'12.326ana'!$M:$M,redes!A10389)</f>
        <v>0</v>
      </c>
    </row>
    <row r="10390" customFormat="false" ht="14.4" hidden="true" customHeight="false" outlineLevel="0" collapsed="false">
      <c r="A10390" s="34" t="n">
        <v>7312498000177</v>
      </c>
      <c r="B10390" s="34" t="s">
        <v>20748</v>
      </c>
      <c r="C10390" s="34" t="s">
        <v>464</v>
      </c>
      <c r="E10390" s="30" t="s">
        <v>11386</v>
      </c>
      <c r="F10390" s="34" t="n">
        <f aca="false">IFERROR(VLOOKUP($A10390,'319'!$B:$H,7,0),0)</f>
        <v>0</v>
      </c>
      <c r="G10390" s="34" t="n">
        <f aca="false">SUMIFS('12.326ana'!$C:$C,'12.326ana'!$M:$M,redes!A10390)</f>
        <v>0</v>
      </c>
    </row>
    <row r="10391" customFormat="false" ht="14.4" hidden="true" customHeight="false" outlineLevel="0" collapsed="false">
      <c r="A10391" s="34" t="n">
        <v>7312537000136</v>
      </c>
      <c r="B10391" s="34" t="s">
        <v>20749</v>
      </c>
      <c r="C10391" s="34" t="s">
        <v>565</v>
      </c>
      <c r="E10391" s="30" t="s">
        <v>3588</v>
      </c>
      <c r="F10391" s="34" t="n">
        <f aca="false">IFERROR(VLOOKUP($A10391,'319'!$B:$H,7,0),0)</f>
        <v>0</v>
      </c>
      <c r="G10391" s="34" t="n">
        <f aca="false">SUMIFS('12.326ana'!$C:$C,'12.326ana'!$M:$M,redes!A10391)</f>
        <v>0</v>
      </c>
    </row>
    <row r="10392" customFormat="false" ht="14.4" hidden="true" customHeight="false" outlineLevel="0" collapsed="false">
      <c r="A10392" s="34" t="n">
        <v>7314372000131</v>
      </c>
      <c r="B10392" s="34" t="s">
        <v>20750</v>
      </c>
      <c r="C10392" s="34" t="s">
        <v>1054</v>
      </c>
      <c r="E10392" s="30" t="s">
        <v>10728</v>
      </c>
      <c r="F10392" s="34" t="n">
        <f aca="false">IFERROR(VLOOKUP($A10392,'319'!$B:$H,7,0),0)</f>
        <v>0</v>
      </c>
      <c r="G10392" s="34" t="n">
        <f aca="false">SUMIFS('12.326ana'!$C:$C,'12.326ana'!$M:$M,redes!A10392)</f>
        <v>0</v>
      </c>
    </row>
    <row r="10393" customFormat="false" ht="14.4" hidden="true" customHeight="false" outlineLevel="0" collapsed="false">
      <c r="A10393" s="34" t="n">
        <v>7314913000121</v>
      </c>
      <c r="B10393" s="34" t="s">
        <v>20751</v>
      </c>
      <c r="C10393" s="34" t="s">
        <v>475</v>
      </c>
      <c r="E10393" s="30" t="s">
        <v>17911</v>
      </c>
      <c r="F10393" s="34" t="n">
        <f aca="false">IFERROR(VLOOKUP($A10393,'319'!$B:$H,7,0),0)</f>
        <v>0</v>
      </c>
      <c r="G10393" s="34" t="n">
        <f aca="false">SUMIFS('12.326ana'!$C:$C,'12.326ana'!$M:$M,redes!A10393)</f>
        <v>0</v>
      </c>
    </row>
    <row r="10394" customFormat="false" ht="14.4" hidden="true" customHeight="false" outlineLevel="0" collapsed="false">
      <c r="A10394" s="34" t="n">
        <v>7317095000110</v>
      </c>
      <c r="B10394" s="34" t="s">
        <v>1221</v>
      </c>
      <c r="C10394" s="34" t="s">
        <v>405</v>
      </c>
      <c r="E10394" s="30" t="s">
        <v>20752</v>
      </c>
      <c r="F10394" s="34" t="n">
        <f aca="false">IFERROR(VLOOKUP($A10394,'319'!$B:$H,7,0),0)</f>
        <v>308.67</v>
      </c>
      <c r="G10394" s="34" t="n">
        <f aca="false">SUMIFS('12.326ana'!$C:$C,'12.326ana'!$M:$M,redes!A10394)</f>
        <v>256.39</v>
      </c>
    </row>
    <row r="10395" customFormat="false" ht="14.4" hidden="true" customHeight="false" outlineLevel="0" collapsed="false">
      <c r="A10395" s="34" t="n">
        <v>7318910000166</v>
      </c>
      <c r="B10395" s="34" t="s">
        <v>20753</v>
      </c>
      <c r="C10395" s="34" t="s">
        <v>107</v>
      </c>
      <c r="E10395" s="30" t="s">
        <v>20754</v>
      </c>
      <c r="F10395" s="34" t="n">
        <f aca="false">IFERROR(VLOOKUP($A10395,'319'!$B:$H,7,0),0)</f>
        <v>0</v>
      </c>
      <c r="G10395" s="34" t="n">
        <f aca="false">SUMIFS('12.326ana'!$C:$C,'12.326ana'!$M:$M,redes!A10395)</f>
        <v>0</v>
      </c>
    </row>
    <row r="10396" customFormat="false" ht="14.4" hidden="true" customHeight="false" outlineLevel="0" collapsed="false">
      <c r="A10396" s="34" t="n">
        <v>7322082000130</v>
      </c>
      <c r="B10396" s="34" t="s">
        <v>20755</v>
      </c>
      <c r="C10396" s="34" t="s">
        <v>77</v>
      </c>
      <c r="E10396" s="30" t="s">
        <v>16297</v>
      </c>
      <c r="F10396" s="34" t="n">
        <f aca="false">IFERROR(VLOOKUP($A10396,'319'!$B:$H,7,0),0)</f>
        <v>0</v>
      </c>
      <c r="G10396" s="34" t="n">
        <f aca="false">SUMIFS('12.326ana'!$C:$C,'12.326ana'!$M:$M,redes!A10396)</f>
        <v>0</v>
      </c>
    </row>
    <row r="10397" customFormat="false" ht="14.4" hidden="true" customHeight="false" outlineLevel="0" collapsed="false">
      <c r="A10397" s="34" t="n">
        <v>7322777000111</v>
      </c>
      <c r="B10397" s="34" t="s">
        <v>20756</v>
      </c>
      <c r="C10397" s="34" t="s">
        <v>107</v>
      </c>
      <c r="E10397" s="30" t="s">
        <v>20757</v>
      </c>
      <c r="F10397" s="34" t="n">
        <f aca="false">IFERROR(VLOOKUP($A10397,'319'!$B:$H,7,0),0)</f>
        <v>0</v>
      </c>
      <c r="G10397" s="34" t="n">
        <f aca="false">SUMIFS('12.326ana'!$C:$C,'12.326ana'!$M:$M,redes!A10397)</f>
        <v>0</v>
      </c>
    </row>
    <row r="10398" customFormat="false" ht="14.4" hidden="true" customHeight="false" outlineLevel="0" collapsed="false">
      <c r="A10398" s="34" t="n">
        <v>7323961000186</v>
      </c>
      <c r="B10398" s="34" t="s">
        <v>20758</v>
      </c>
      <c r="C10398" s="34" t="s">
        <v>475</v>
      </c>
      <c r="E10398" s="30" t="s">
        <v>20759</v>
      </c>
      <c r="F10398" s="34" t="n">
        <f aca="false">IFERROR(VLOOKUP($A10398,'319'!$B:$H,7,0),0)</f>
        <v>0</v>
      </c>
      <c r="G10398" s="34" t="n">
        <f aca="false">SUMIFS('12.326ana'!$C:$C,'12.326ana'!$M:$M,redes!A10398)</f>
        <v>0</v>
      </c>
    </row>
    <row r="10399" customFormat="false" ht="14.4" hidden="true" customHeight="false" outlineLevel="0" collapsed="false">
      <c r="A10399" s="34" t="n">
        <v>7332424000100</v>
      </c>
      <c r="B10399" s="34" t="s">
        <v>20760</v>
      </c>
      <c r="C10399" s="34" t="s">
        <v>463</v>
      </c>
      <c r="E10399" s="30" t="s">
        <v>20761</v>
      </c>
      <c r="F10399" s="34" t="n">
        <f aca="false">IFERROR(VLOOKUP($A10399,'319'!$B:$H,7,0),0)</f>
        <v>0</v>
      </c>
      <c r="G10399" s="34" t="n">
        <f aca="false">SUMIFS('12.326ana'!$C:$C,'12.326ana'!$M:$M,redes!A10399)</f>
        <v>0</v>
      </c>
    </row>
    <row r="10400" customFormat="false" ht="14.4" hidden="true" customHeight="false" outlineLevel="0" collapsed="false">
      <c r="A10400" s="34" t="n">
        <v>7333643000104</v>
      </c>
      <c r="B10400" s="34" t="s">
        <v>20762</v>
      </c>
      <c r="C10400" s="34" t="s">
        <v>103</v>
      </c>
      <c r="E10400" s="30" t="s">
        <v>20763</v>
      </c>
      <c r="F10400" s="34" t="n">
        <f aca="false">IFERROR(VLOOKUP($A10400,'319'!$B:$H,7,0),0)</f>
        <v>0</v>
      </c>
      <c r="G10400" s="34" t="n">
        <f aca="false">SUMIFS('12.326ana'!$C:$C,'12.326ana'!$M:$M,redes!A10400)</f>
        <v>0</v>
      </c>
    </row>
    <row r="10401" customFormat="false" ht="14.4" hidden="true" customHeight="false" outlineLevel="0" collapsed="false">
      <c r="A10401" s="34" t="n">
        <v>7335669000183</v>
      </c>
      <c r="B10401" s="34" t="s">
        <v>20764</v>
      </c>
      <c r="C10401" s="34" t="s">
        <v>309</v>
      </c>
      <c r="E10401" s="30" t="s">
        <v>13633</v>
      </c>
      <c r="F10401" s="34" t="n">
        <f aca="false">IFERROR(VLOOKUP($A10401,'319'!$B:$H,7,0),0)</f>
        <v>0</v>
      </c>
      <c r="G10401" s="34" t="n">
        <f aca="false">SUMIFS('12.326ana'!$C:$C,'12.326ana'!$M:$M,redes!A10401)</f>
        <v>0</v>
      </c>
    </row>
    <row r="10402" customFormat="false" ht="14.4" hidden="true" customHeight="false" outlineLevel="0" collapsed="false">
      <c r="A10402" s="34" t="n">
        <v>7341220000128</v>
      </c>
      <c r="B10402" s="34" t="s">
        <v>20765</v>
      </c>
      <c r="C10402" s="34" t="s">
        <v>77</v>
      </c>
      <c r="E10402" s="30" t="s">
        <v>20766</v>
      </c>
      <c r="F10402" s="34" t="n">
        <f aca="false">IFERROR(VLOOKUP($A10402,'319'!$B:$H,7,0),0)</f>
        <v>0</v>
      </c>
      <c r="G10402" s="34" t="n">
        <f aca="false">SUMIFS('12.326ana'!$C:$C,'12.326ana'!$M:$M,redes!A10402)</f>
        <v>0</v>
      </c>
    </row>
    <row r="10403" customFormat="false" ht="14.4" hidden="true" customHeight="false" outlineLevel="0" collapsed="false">
      <c r="A10403" s="34" t="n">
        <v>7342671000180</v>
      </c>
      <c r="B10403" s="34" t="s">
        <v>20767</v>
      </c>
      <c r="C10403" s="34" t="s">
        <v>20768</v>
      </c>
      <c r="E10403" s="30" t="s">
        <v>20769</v>
      </c>
      <c r="F10403" s="34" t="n">
        <f aca="false">IFERROR(VLOOKUP($A10403,'319'!$B:$H,7,0),0)</f>
        <v>0</v>
      </c>
      <c r="G10403" s="34" t="n">
        <f aca="false">SUMIFS('12.326ana'!$C:$C,'12.326ana'!$M:$M,redes!A10403)</f>
        <v>0</v>
      </c>
    </row>
    <row r="10404" customFormat="false" ht="14.4" hidden="true" customHeight="false" outlineLevel="0" collapsed="false">
      <c r="A10404" s="34" t="n">
        <v>7342671000260</v>
      </c>
      <c r="B10404" s="34" t="s">
        <v>20767</v>
      </c>
      <c r="C10404" s="34" t="s">
        <v>20770</v>
      </c>
      <c r="E10404" s="30" t="s">
        <v>20769</v>
      </c>
      <c r="F10404" s="34" t="n">
        <f aca="false">IFERROR(VLOOKUP($A10404,'319'!$B:$H,7,0),0)</f>
        <v>0</v>
      </c>
      <c r="G10404" s="34" t="n">
        <f aca="false">SUMIFS('12.326ana'!$C:$C,'12.326ana'!$M:$M,redes!A10404)</f>
        <v>0</v>
      </c>
    </row>
    <row r="10405" customFormat="false" ht="14.4" hidden="true" customHeight="false" outlineLevel="0" collapsed="false">
      <c r="A10405" s="34" t="n">
        <v>7343349000175</v>
      </c>
      <c r="B10405" s="34" t="s">
        <v>20771</v>
      </c>
      <c r="C10405" s="34" t="s">
        <v>737</v>
      </c>
      <c r="E10405" s="30" t="s">
        <v>20772</v>
      </c>
      <c r="F10405" s="34" t="n">
        <f aca="false">IFERROR(VLOOKUP($A10405,'319'!$B:$H,7,0),0)</f>
        <v>0</v>
      </c>
      <c r="G10405" s="34" t="n">
        <f aca="false">SUMIFS('12.326ana'!$C:$C,'12.326ana'!$M:$M,redes!A10405)</f>
        <v>0</v>
      </c>
    </row>
    <row r="10406" customFormat="false" ht="14.4" hidden="true" customHeight="false" outlineLevel="0" collapsed="false">
      <c r="A10406" s="34" t="n">
        <v>7347621000195</v>
      </c>
      <c r="B10406" s="34" t="s">
        <v>20773</v>
      </c>
      <c r="C10406" s="34" t="s">
        <v>129</v>
      </c>
      <c r="E10406" s="30" t="s">
        <v>20774</v>
      </c>
      <c r="F10406" s="34" t="n">
        <f aca="false">IFERROR(VLOOKUP($A10406,'319'!$B:$H,7,0),0)</f>
        <v>0</v>
      </c>
      <c r="G10406" s="34" t="n">
        <f aca="false">SUMIFS('12.326ana'!$C:$C,'12.326ana'!$M:$M,redes!A10406)</f>
        <v>0</v>
      </c>
    </row>
    <row r="10407" customFormat="false" ht="14.4" hidden="true" customHeight="false" outlineLevel="0" collapsed="false">
      <c r="A10407" s="34" t="n">
        <v>7348224000138</v>
      </c>
      <c r="B10407" s="34" t="s">
        <v>20775</v>
      </c>
      <c r="C10407" s="34" t="s">
        <v>77</v>
      </c>
      <c r="E10407" s="30" t="s">
        <v>20776</v>
      </c>
      <c r="F10407" s="34" t="n">
        <f aca="false">IFERROR(VLOOKUP($A10407,'319'!$B:$H,7,0),0)</f>
        <v>0</v>
      </c>
      <c r="G10407" s="34" t="n">
        <f aca="false">SUMIFS('12.326ana'!$C:$C,'12.326ana'!$M:$M,redes!A10407)</f>
        <v>0</v>
      </c>
    </row>
    <row r="10408" customFormat="false" ht="14.4" hidden="true" customHeight="false" outlineLevel="0" collapsed="false">
      <c r="A10408" s="34" t="n">
        <v>7352523000146</v>
      </c>
      <c r="B10408" s="34" t="s">
        <v>20777</v>
      </c>
      <c r="C10408" s="34" t="s">
        <v>962</v>
      </c>
      <c r="E10408" s="30" t="s">
        <v>20778</v>
      </c>
      <c r="F10408" s="34" t="n">
        <f aca="false">IFERROR(VLOOKUP($A10408,'319'!$B:$H,7,0),0)</f>
        <v>0</v>
      </c>
      <c r="G10408" s="34" t="n">
        <f aca="false">SUMIFS('12.326ana'!$C:$C,'12.326ana'!$M:$M,redes!A10408)</f>
        <v>0</v>
      </c>
    </row>
    <row r="10409" customFormat="false" ht="14.4" hidden="true" customHeight="false" outlineLevel="0" collapsed="false">
      <c r="A10409" s="34" t="n">
        <v>7352901000191</v>
      </c>
      <c r="B10409" s="34" t="s">
        <v>20779</v>
      </c>
      <c r="C10409" s="34" t="s">
        <v>103</v>
      </c>
      <c r="E10409" s="30" t="s">
        <v>20779</v>
      </c>
      <c r="F10409" s="34" t="n">
        <f aca="false">IFERROR(VLOOKUP($A10409,'319'!$B:$H,7,0),0)</f>
        <v>0</v>
      </c>
      <c r="G10409" s="34" t="n">
        <f aca="false">SUMIFS('12.326ana'!$C:$C,'12.326ana'!$M:$M,redes!A10409)</f>
        <v>0</v>
      </c>
    </row>
    <row r="10410" customFormat="false" ht="14.4" hidden="true" customHeight="false" outlineLevel="0" collapsed="false">
      <c r="A10410" s="34" t="n">
        <v>7355062000165</v>
      </c>
      <c r="B10410" s="34" t="s">
        <v>20780</v>
      </c>
      <c r="C10410" s="34" t="s">
        <v>77</v>
      </c>
      <c r="E10410" s="30" t="s">
        <v>20781</v>
      </c>
      <c r="F10410" s="34" t="n">
        <f aca="false">IFERROR(VLOOKUP($A10410,'319'!$B:$H,7,0),0)</f>
        <v>0</v>
      </c>
      <c r="G10410" s="34" t="n">
        <f aca="false">SUMIFS('12.326ana'!$C:$C,'12.326ana'!$M:$M,redes!A10410)</f>
        <v>0</v>
      </c>
    </row>
    <row r="10411" customFormat="false" ht="14.4" hidden="true" customHeight="false" outlineLevel="0" collapsed="false">
      <c r="A10411" s="34" t="n">
        <v>7358090000136</v>
      </c>
      <c r="B10411" s="34" t="s">
        <v>20782</v>
      </c>
      <c r="C10411" s="34" t="s">
        <v>77</v>
      </c>
      <c r="E10411" s="30" t="s">
        <v>20783</v>
      </c>
      <c r="F10411" s="34" t="n">
        <f aca="false">IFERROR(VLOOKUP($A10411,'319'!$B:$H,7,0),0)</f>
        <v>0</v>
      </c>
      <c r="G10411" s="34" t="n">
        <f aca="false">SUMIFS('12.326ana'!$C:$C,'12.326ana'!$M:$M,redes!A10411)</f>
        <v>0</v>
      </c>
    </row>
    <row r="10412" customFormat="false" ht="14.4" hidden="true" customHeight="false" outlineLevel="0" collapsed="false">
      <c r="A10412" s="34" t="n">
        <v>7358264000160</v>
      </c>
      <c r="B10412" s="34" t="s">
        <v>7873</v>
      </c>
      <c r="C10412" s="34" t="s">
        <v>107</v>
      </c>
      <c r="E10412" s="30" t="s">
        <v>20784</v>
      </c>
      <c r="F10412" s="34" t="n">
        <f aca="false">IFERROR(VLOOKUP($A10412,'319'!$B:$H,7,0),0)</f>
        <v>0</v>
      </c>
      <c r="G10412" s="34" t="n">
        <f aca="false">SUMIFS('12.326ana'!$C:$C,'12.326ana'!$M:$M,redes!A10412)</f>
        <v>0</v>
      </c>
    </row>
    <row r="10413" customFormat="false" ht="14.4" hidden="true" customHeight="false" outlineLevel="0" collapsed="false">
      <c r="A10413" s="34" t="n">
        <v>7363396000180</v>
      </c>
      <c r="B10413" s="34" t="s">
        <v>20785</v>
      </c>
      <c r="C10413" s="34" t="s">
        <v>77</v>
      </c>
      <c r="E10413" s="30" t="s">
        <v>11377</v>
      </c>
      <c r="F10413" s="34" t="n">
        <f aca="false">IFERROR(VLOOKUP($A10413,'319'!$B:$H,7,0),0)</f>
        <v>0</v>
      </c>
      <c r="G10413" s="34" t="n">
        <f aca="false">SUMIFS('12.326ana'!$C:$C,'12.326ana'!$M:$M,redes!A10413)</f>
        <v>0</v>
      </c>
    </row>
    <row r="10414" customFormat="false" ht="14.4" hidden="true" customHeight="false" outlineLevel="0" collapsed="false">
      <c r="A10414" s="34" t="n">
        <v>7363560000150</v>
      </c>
      <c r="B10414" s="34" t="s">
        <v>20786</v>
      </c>
      <c r="C10414" s="34" t="s">
        <v>336</v>
      </c>
      <c r="E10414" s="30" t="s">
        <v>20787</v>
      </c>
      <c r="F10414" s="34" t="n">
        <f aca="false">IFERROR(VLOOKUP($A10414,'319'!$B:$H,7,0),0)</f>
        <v>0</v>
      </c>
      <c r="G10414" s="34" t="n">
        <f aca="false">SUMIFS('12.326ana'!$C:$C,'12.326ana'!$M:$M,redes!A10414)</f>
        <v>0</v>
      </c>
    </row>
    <row r="10415" customFormat="false" ht="14.4" hidden="true" customHeight="false" outlineLevel="0" collapsed="false">
      <c r="A10415" s="34" t="n">
        <v>7365274000123</v>
      </c>
      <c r="B10415" s="34" t="s">
        <v>20788</v>
      </c>
      <c r="C10415" s="34" t="s">
        <v>336</v>
      </c>
      <c r="E10415" s="30" t="s">
        <v>8440</v>
      </c>
      <c r="F10415" s="34" t="n">
        <f aca="false">IFERROR(VLOOKUP($A10415,'319'!$B:$H,7,0),0)</f>
        <v>0</v>
      </c>
      <c r="G10415" s="34" t="n">
        <f aca="false">SUMIFS('12.326ana'!$C:$C,'12.326ana'!$M:$M,redes!A10415)</f>
        <v>0</v>
      </c>
    </row>
    <row r="10416" customFormat="false" ht="14.4" hidden="true" customHeight="false" outlineLevel="0" collapsed="false">
      <c r="A10416" s="34" t="n">
        <v>7366033000107</v>
      </c>
      <c r="B10416" s="34" t="s">
        <v>20789</v>
      </c>
      <c r="C10416" s="34" t="s">
        <v>342</v>
      </c>
      <c r="E10416" s="30" t="s">
        <v>20790</v>
      </c>
      <c r="F10416" s="34" t="n">
        <f aca="false">IFERROR(VLOOKUP($A10416,'319'!$B:$H,7,0),0)</f>
        <v>0</v>
      </c>
      <c r="G10416" s="34" t="n">
        <f aca="false">SUMIFS('12.326ana'!$C:$C,'12.326ana'!$M:$M,redes!A10416)</f>
        <v>0</v>
      </c>
    </row>
    <row r="10417" customFormat="false" ht="14.4" hidden="true" customHeight="false" outlineLevel="0" collapsed="false">
      <c r="A10417" s="34" t="n">
        <v>7371551000100</v>
      </c>
      <c r="B10417" s="34" t="s">
        <v>20791</v>
      </c>
      <c r="C10417" s="34" t="s">
        <v>77</v>
      </c>
      <c r="E10417" s="30" t="s">
        <v>14120</v>
      </c>
      <c r="F10417" s="34" t="n">
        <f aca="false">IFERROR(VLOOKUP($A10417,'319'!$B:$H,7,0),0)</f>
        <v>0</v>
      </c>
      <c r="G10417" s="34" t="n">
        <f aca="false">SUMIFS('12.326ana'!$C:$C,'12.326ana'!$M:$M,redes!A10417)</f>
        <v>0</v>
      </c>
    </row>
    <row r="10418" customFormat="false" ht="14.4" hidden="true" customHeight="false" outlineLevel="0" collapsed="false">
      <c r="A10418" s="34" t="n">
        <v>7371906000161</v>
      </c>
      <c r="B10418" s="34" t="s">
        <v>20792</v>
      </c>
      <c r="C10418" s="34" t="s">
        <v>77</v>
      </c>
      <c r="E10418" s="30" t="s">
        <v>20793</v>
      </c>
      <c r="F10418" s="34" t="n">
        <f aca="false">IFERROR(VLOOKUP($A10418,'319'!$B:$H,7,0),0)</f>
        <v>0</v>
      </c>
      <c r="G10418" s="34" t="n">
        <f aca="false">SUMIFS('12.326ana'!$C:$C,'12.326ana'!$M:$M,redes!A10418)</f>
        <v>0</v>
      </c>
    </row>
    <row r="10419" customFormat="false" ht="14.4" hidden="true" customHeight="false" outlineLevel="0" collapsed="false">
      <c r="A10419" s="34" t="n">
        <v>7374249000106</v>
      </c>
      <c r="B10419" s="34" t="s">
        <v>20794</v>
      </c>
      <c r="C10419" s="34" t="s">
        <v>77</v>
      </c>
      <c r="E10419" s="30" t="s">
        <v>20795</v>
      </c>
      <c r="F10419" s="34" t="n">
        <f aca="false">IFERROR(VLOOKUP($A10419,'319'!$B:$H,7,0),0)</f>
        <v>0</v>
      </c>
      <c r="G10419" s="34" t="n">
        <f aca="false">SUMIFS('12.326ana'!$C:$C,'12.326ana'!$M:$M,redes!A10419)</f>
        <v>0</v>
      </c>
    </row>
    <row r="10420" customFormat="false" ht="14.4" hidden="true" customHeight="false" outlineLevel="0" collapsed="false">
      <c r="A10420" s="34" t="n">
        <v>7374585000159</v>
      </c>
      <c r="B10420" s="34" t="s">
        <v>20796</v>
      </c>
      <c r="C10420" s="34" t="s">
        <v>77</v>
      </c>
      <c r="E10420" s="30" t="s">
        <v>5258</v>
      </c>
      <c r="F10420" s="34" t="n">
        <f aca="false">IFERROR(VLOOKUP($A10420,'319'!$B:$H,7,0),0)</f>
        <v>0</v>
      </c>
      <c r="G10420" s="34" t="n">
        <f aca="false">SUMIFS('12.326ana'!$C:$C,'12.326ana'!$M:$M,redes!A10420)</f>
        <v>0</v>
      </c>
    </row>
    <row r="10421" customFormat="false" ht="14.4" hidden="true" customHeight="false" outlineLevel="0" collapsed="false">
      <c r="A10421" s="34" t="n">
        <v>7380276000191</v>
      </c>
      <c r="B10421" s="34" t="s">
        <v>20797</v>
      </c>
      <c r="C10421" s="34" t="s">
        <v>77</v>
      </c>
      <c r="E10421" s="30" t="s">
        <v>20798</v>
      </c>
      <c r="F10421" s="34" t="n">
        <f aca="false">IFERROR(VLOOKUP($A10421,'319'!$B:$H,7,0),0)</f>
        <v>0</v>
      </c>
      <c r="G10421" s="34" t="n">
        <f aca="false">SUMIFS('12.326ana'!$C:$C,'12.326ana'!$M:$M,redes!A10421)</f>
        <v>0</v>
      </c>
    </row>
    <row r="10422" customFormat="false" ht="14.4" hidden="true" customHeight="false" outlineLevel="0" collapsed="false">
      <c r="A10422" s="34" t="n">
        <v>7381797000163</v>
      </c>
      <c r="B10422" s="34" t="s">
        <v>20799</v>
      </c>
      <c r="C10422" s="34" t="s">
        <v>139</v>
      </c>
      <c r="E10422" s="30" t="s">
        <v>20800</v>
      </c>
      <c r="F10422" s="34" t="n">
        <f aca="false">IFERROR(VLOOKUP($A10422,'319'!$B:$H,7,0),0)</f>
        <v>0</v>
      </c>
      <c r="G10422" s="34" t="n">
        <f aca="false">SUMIFS('12.326ana'!$C:$C,'12.326ana'!$M:$M,redes!A10422)</f>
        <v>0</v>
      </c>
    </row>
    <row r="10423" customFormat="false" ht="14.4" hidden="true" customHeight="false" outlineLevel="0" collapsed="false">
      <c r="A10423" s="34" t="n">
        <v>7382064000143</v>
      </c>
      <c r="B10423" s="34" t="s">
        <v>20801</v>
      </c>
      <c r="C10423" s="34" t="s">
        <v>594</v>
      </c>
      <c r="E10423" s="30" t="s">
        <v>20802</v>
      </c>
      <c r="F10423" s="34" t="n">
        <f aca="false">IFERROR(VLOOKUP($A10423,'319'!$B:$H,7,0),0)</f>
        <v>0</v>
      </c>
      <c r="G10423" s="34" t="n">
        <f aca="false">SUMIFS('12.326ana'!$C:$C,'12.326ana'!$M:$M,redes!A10423)</f>
        <v>0</v>
      </c>
    </row>
    <row r="10424" customFormat="false" ht="14.4" hidden="true" customHeight="false" outlineLevel="0" collapsed="false">
      <c r="A10424" s="34" t="n">
        <v>7382497000107</v>
      </c>
      <c r="B10424" s="34" t="s">
        <v>20803</v>
      </c>
      <c r="C10424" s="34" t="s">
        <v>405</v>
      </c>
      <c r="E10424" s="30" t="s">
        <v>20804</v>
      </c>
      <c r="F10424" s="34" t="n">
        <f aca="false">IFERROR(VLOOKUP($A10424,'319'!$B:$H,7,0),0)</f>
        <v>0</v>
      </c>
      <c r="G10424" s="34" t="n">
        <f aca="false">SUMIFS('12.326ana'!$C:$C,'12.326ana'!$M:$M,redes!A10424)</f>
        <v>0</v>
      </c>
    </row>
    <row r="10425" customFormat="false" ht="14.4" hidden="true" customHeight="false" outlineLevel="0" collapsed="false">
      <c r="A10425" s="34" t="n">
        <v>7383353000167</v>
      </c>
      <c r="B10425" s="34" t="s">
        <v>20805</v>
      </c>
      <c r="C10425" s="34" t="s">
        <v>89</v>
      </c>
      <c r="E10425" s="30" t="s">
        <v>20806</v>
      </c>
      <c r="F10425" s="34" t="n">
        <f aca="false">IFERROR(VLOOKUP($A10425,'319'!$B:$H,7,0),0)</f>
        <v>0</v>
      </c>
      <c r="G10425" s="34" t="n">
        <f aca="false">SUMIFS('12.326ana'!$C:$C,'12.326ana'!$M:$M,redes!A10425)</f>
        <v>0</v>
      </c>
    </row>
    <row r="10426" customFormat="false" ht="14.4" hidden="true" customHeight="false" outlineLevel="0" collapsed="false">
      <c r="A10426" s="34" t="n">
        <v>7384743000151</v>
      </c>
      <c r="B10426" s="34" t="s">
        <v>20807</v>
      </c>
      <c r="C10426" s="34" t="s">
        <v>4139</v>
      </c>
      <c r="E10426" s="30" t="s">
        <v>6310</v>
      </c>
      <c r="F10426" s="34" t="n">
        <f aca="false">IFERROR(VLOOKUP($A10426,'319'!$B:$H,7,0),0)</f>
        <v>0</v>
      </c>
      <c r="G10426" s="34" t="n">
        <f aca="false">SUMIFS('12.326ana'!$C:$C,'12.326ana'!$M:$M,redes!A10426)</f>
        <v>0</v>
      </c>
    </row>
    <row r="10427" customFormat="false" ht="14.4" hidden="true" customHeight="false" outlineLevel="0" collapsed="false">
      <c r="A10427" s="34" t="n">
        <v>7385799000120</v>
      </c>
      <c r="B10427" s="34" t="s">
        <v>20808</v>
      </c>
      <c r="C10427" s="34" t="s">
        <v>309</v>
      </c>
      <c r="E10427" s="30" t="s">
        <v>20809</v>
      </c>
      <c r="F10427" s="34" t="n">
        <f aca="false">IFERROR(VLOOKUP($A10427,'319'!$B:$H,7,0),0)</f>
        <v>0</v>
      </c>
      <c r="G10427" s="34" t="n">
        <f aca="false">SUMIFS('12.326ana'!$C:$C,'12.326ana'!$M:$M,redes!A10427)</f>
        <v>0</v>
      </c>
    </row>
    <row r="10428" customFormat="false" ht="14.4" hidden="true" customHeight="false" outlineLevel="0" collapsed="false">
      <c r="A10428" s="34" t="n">
        <v>7387771000122</v>
      </c>
      <c r="B10428" s="34" t="s">
        <v>20810</v>
      </c>
      <c r="C10428" s="34" t="s">
        <v>4139</v>
      </c>
      <c r="E10428" s="30" t="s">
        <v>7847</v>
      </c>
      <c r="F10428" s="34" t="n">
        <f aca="false">IFERROR(VLOOKUP($A10428,'319'!$B:$H,7,0),0)</f>
        <v>65.52</v>
      </c>
      <c r="G10428" s="34" t="n">
        <f aca="false">SUMIFS('12.326ana'!$C:$C,'12.326ana'!$M:$M,redes!A10428)</f>
        <v>0</v>
      </c>
    </row>
    <row r="10429" customFormat="false" ht="14.4" hidden="true" customHeight="false" outlineLevel="0" collapsed="false">
      <c r="A10429" s="34" t="n">
        <v>7389969000145</v>
      </c>
      <c r="B10429" s="34" t="s">
        <v>20811</v>
      </c>
      <c r="C10429" s="34" t="s">
        <v>107</v>
      </c>
      <c r="E10429" s="30" t="s">
        <v>4519</v>
      </c>
      <c r="F10429" s="34" t="n">
        <f aca="false">IFERROR(VLOOKUP($A10429,'319'!$B:$H,7,0),0)</f>
        <v>0</v>
      </c>
      <c r="G10429" s="34" t="n">
        <f aca="false">SUMIFS('12.326ana'!$C:$C,'12.326ana'!$M:$M,redes!A10429)</f>
        <v>0</v>
      </c>
    </row>
    <row r="10430" customFormat="false" ht="14.4" hidden="true" customHeight="false" outlineLevel="0" collapsed="false">
      <c r="A10430" s="34" t="n">
        <v>7392730000124</v>
      </c>
      <c r="B10430" s="34" t="s">
        <v>20812</v>
      </c>
      <c r="C10430" s="34" t="s">
        <v>14592</v>
      </c>
      <c r="E10430" s="30" t="s">
        <v>14595</v>
      </c>
      <c r="F10430" s="34" t="n">
        <f aca="false">IFERROR(VLOOKUP($A10430,'319'!$B:$H,7,0),0)</f>
        <v>0</v>
      </c>
      <c r="G10430" s="34" t="n">
        <f aca="false">SUMIFS('12.326ana'!$C:$C,'12.326ana'!$M:$M,redes!A10430)</f>
        <v>0</v>
      </c>
    </row>
    <row r="10431" customFormat="false" ht="14.4" hidden="true" customHeight="false" outlineLevel="0" collapsed="false">
      <c r="A10431" s="34" t="n">
        <v>7393094000155</v>
      </c>
      <c r="B10431" s="34" t="s">
        <v>10556</v>
      </c>
      <c r="C10431" s="34" t="s">
        <v>77</v>
      </c>
      <c r="E10431" s="30" t="s">
        <v>20813</v>
      </c>
      <c r="F10431" s="34" t="n">
        <f aca="false">IFERROR(VLOOKUP($A10431,'319'!$B:$H,7,0),0)</f>
        <v>0</v>
      </c>
      <c r="G10431" s="34" t="n">
        <f aca="false">SUMIFS('12.326ana'!$C:$C,'12.326ana'!$M:$M,redes!A10431)</f>
        <v>0</v>
      </c>
    </row>
    <row r="10432" customFormat="false" ht="14.4" hidden="true" customHeight="false" outlineLevel="0" collapsed="false">
      <c r="A10432" s="34" t="n">
        <v>7393733000182</v>
      </c>
      <c r="B10432" s="34" t="s">
        <v>20814</v>
      </c>
      <c r="C10432" s="34" t="s">
        <v>357</v>
      </c>
      <c r="E10432" s="30" t="s">
        <v>19199</v>
      </c>
      <c r="F10432" s="34" t="n">
        <f aca="false">IFERROR(VLOOKUP($A10432,'319'!$B:$H,7,0),0)</f>
        <v>0</v>
      </c>
      <c r="G10432" s="34" t="n">
        <f aca="false">SUMIFS('12.326ana'!$C:$C,'12.326ana'!$M:$M,redes!A10432)</f>
        <v>0</v>
      </c>
    </row>
    <row r="10433" customFormat="false" ht="14.4" hidden="true" customHeight="false" outlineLevel="0" collapsed="false">
      <c r="A10433" s="34" t="n">
        <v>7398617000156</v>
      </c>
      <c r="B10433" s="34" t="s">
        <v>20815</v>
      </c>
      <c r="C10433" s="34" t="s">
        <v>478</v>
      </c>
      <c r="E10433" s="30" t="s">
        <v>20816</v>
      </c>
      <c r="F10433" s="34" t="n">
        <f aca="false">IFERROR(VLOOKUP($A10433,'319'!$B:$H,7,0),0)</f>
        <v>0</v>
      </c>
      <c r="G10433" s="34" t="n">
        <f aca="false">SUMIFS('12.326ana'!$C:$C,'12.326ana'!$M:$M,redes!A10433)</f>
        <v>0</v>
      </c>
    </row>
    <row r="10434" customFormat="false" ht="14.4" hidden="true" customHeight="false" outlineLevel="0" collapsed="false">
      <c r="A10434" s="34" t="n">
        <v>7400551000191</v>
      </c>
      <c r="B10434" s="34" t="s">
        <v>20817</v>
      </c>
      <c r="C10434" s="34" t="s">
        <v>464</v>
      </c>
      <c r="E10434" s="30" t="s">
        <v>20818</v>
      </c>
      <c r="F10434" s="34" t="n">
        <f aca="false">IFERROR(VLOOKUP($A10434,'319'!$B:$H,7,0),0)</f>
        <v>0</v>
      </c>
      <c r="G10434" s="34" t="n">
        <f aca="false">SUMIFS('12.326ana'!$C:$C,'12.326ana'!$M:$M,redes!A10434)</f>
        <v>0</v>
      </c>
    </row>
    <row r="10435" customFormat="false" ht="14.4" hidden="true" customHeight="false" outlineLevel="0" collapsed="false">
      <c r="A10435" s="34" t="n">
        <v>7400859000137</v>
      </c>
      <c r="B10435" s="34" t="s">
        <v>20819</v>
      </c>
      <c r="C10435" s="34" t="s">
        <v>1054</v>
      </c>
      <c r="E10435" s="30" t="s">
        <v>20820</v>
      </c>
      <c r="F10435" s="34" t="n">
        <f aca="false">IFERROR(VLOOKUP($A10435,'319'!$B:$H,7,0),0)</f>
        <v>0</v>
      </c>
      <c r="G10435" s="34" t="n">
        <f aca="false">SUMIFS('12.326ana'!$C:$C,'12.326ana'!$M:$M,redes!A10435)</f>
        <v>0</v>
      </c>
    </row>
    <row r="10436" customFormat="false" ht="14.4" hidden="true" customHeight="false" outlineLevel="0" collapsed="false">
      <c r="A10436" s="34" t="n">
        <v>7401836000147</v>
      </c>
      <c r="B10436" s="34" t="s">
        <v>20821</v>
      </c>
      <c r="C10436" s="34" t="s">
        <v>594</v>
      </c>
      <c r="E10436" s="30" t="s">
        <v>20822</v>
      </c>
      <c r="F10436" s="34" t="n">
        <f aca="false">IFERROR(VLOOKUP($A10436,'319'!$B:$H,7,0),0)</f>
        <v>0</v>
      </c>
      <c r="G10436" s="34" t="n">
        <f aca="false">SUMIFS('12.326ana'!$C:$C,'12.326ana'!$M:$M,redes!A10436)</f>
        <v>0</v>
      </c>
    </row>
    <row r="10437" customFormat="false" ht="14.4" hidden="true" customHeight="false" outlineLevel="0" collapsed="false">
      <c r="A10437" s="34" t="n">
        <v>7401905000112</v>
      </c>
      <c r="B10437" s="34" t="s">
        <v>20823</v>
      </c>
      <c r="C10437" s="34" t="s">
        <v>1602</v>
      </c>
      <c r="E10437" s="30" t="s">
        <v>3078</v>
      </c>
      <c r="F10437" s="34" t="n">
        <f aca="false">IFERROR(VLOOKUP($A10437,'319'!$B:$H,7,0),0)</f>
        <v>0</v>
      </c>
      <c r="G10437" s="34" t="n">
        <f aca="false">SUMIFS('12.326ana'!$C:$C,'12.326ana'!$M:$M,redes!A10437)</f>
        <v>0</v>
      </c>
    </row>
    <row r="10438" customFormat="false" ht="14.4" hidden="true" customHeight="false" outlineLevel="0" collapsed="false">
      <c r="A10438" s="34" t="n">
        <v>7404132000128</v>
      </c>
      <c r="B10438" s="34" t="s">
        <v>20824</v>
      </c>
      <c r="C10438" s="34" t="s">
        <v>781</v>
      </c>
      <c r="E10438" s="30" t="s">
        <v>20825</v>
      </c>
      <c r="F10438" s="34" t="n">
        <f aca="false">IFERROR(VLOOKUP($A10438,'319'!$B:$H,7,0),0)</f>
        <v>0</v>
      </c>
      <c r="G10438" s="34" t="n">
        <f aca="false">SUMIFS('12.326ana'!$C:$C,'12.326ana'!$M:$M,redes!A10438)</f>
        <v>0</v>
      </c>
    </row>
    <row r="10439" customFormat="false" ht="14.4" hidden="true" customHeight="false" outlineLevel="0" collapsed="false">
      <c r="A10439" s="34" t="n">
        <v>7405856000196</v>
      </c>
      <c r="B10439" s="34" t="s">
        <v>20826</v>
      </c>
      <c r="C10439" s="34" t="s">
        <v>881</v>
      </c>
      <c r="E10439" s="30" t="s">
        <v>8059</v>
      </c>
      <c r="F10439" s="34" t="n">
        <f aca="false">IFERROR(VLOOKUP($A10439,'319'!$B:$H,7,0),0)</f>
        <v>0</v>
      </c>
      <c r="G10439" s="34" t="n">
        <f aca="false">SUMIFS('12.326ana'!$C:$C,'12.326ana'!$M:$M,redes!A10439)</f>
        <v>0</v>
      </c>
    </row>
    <row r="10440" customFormat="false" ht="14.4" hidden="true" customHeight="false" outlineLevel="0" collapsed="false">
      <c r="A10440" s="34" t="n">
        <v>7406278000102</v>
      </c>
      <c r="B10440" s="34" t="s">
        <v>20827</v>
      </c>
      <c r="C10440" s="34" t="s">
        <v>103</v>
      </c>
      <c r="E10440" s="30" t="s">
        <v>20828</v>
      </c>
      <c r="F10440" s="34" t="n">
        <f aca="false">IFERROR(VLOOKUP($A10440,'319'!$B:$H,7,0),0)</f>
        <v>0</v>
      </c>
      <c r="G10440" s="34" t="n">
        <f aca="false">SUMIFS('12.326ana'!$C:$C,'12.326ana'!$M:$M,redes!A10440)</f>
        <v>0</v>
      </c>
    </row>
    <row r="10441" customFormat="false" ht="14.4" hidden="true" customHeight="false" outlineLevel="0" collapsed="false">
      <c r="A10441" s="34" t="n">
        <v>7407131000137</v>
      </c>
      <c r="B10441" s="34" t="s">
        <v>20829</v>
      </c>
      <c r="C10441" s="34" t="s">
        <v>77</v>
      </c>
      <c r="E10441" s="30" t="s">
        <v>7145</v>
      </c>
      <c r="F10441" s="34" t="n">
        <f aca="false">IFERROR(VLOOKUP($A10441,'319'!$B:$H,7,0),0)</f>
        <v>0</v>
      </c>
      <c r="G10441" s="34" t="n">
        <f aca="false">SUMIFS('12.326ana'!$C:$C,'12.326ana'!$M:$M,redes!A10441)</f>
        <v>0</v>
      </c>
    </row>
    <row r="10442" customFormat="false" ht="14.4" hidden="true" customHeight="false" outlineLevel="0" collapsed="false">
      <c r="A10442" s="34" t="n">
        <v>7407167000110</v>
      </c>
      <c r="B10442" s="34" t="s">
        <v>20830</v>
      </c>
      <c r="C10442" s="34" t="s">
        <v>77</v>
      </c>
      <c r="E10442" s="30" t="s">
        <v>20831</v>
      </c>
      <c r="F10442" s="34" t="n">
        <f aca="false">IFERROR(VLOOKUP($A10442,'319'!$B:$H,7,0),0)</f>
        <v>0</v>
      </c>
      <c r="G10442" s="34" t="n">
        <f aca="false">SUMIFS('12.326ana'!$C:$C,'12.326ana'!$M:$M,redes!A10442)</f>
        <v>0</v>
      </c>
    </row>
    <row r="10443" customFormat="false" ht="14.4" hidden="true" customHeight="false" outlineLevel="0" collapsed="false">
      <c r="A10443" s="34" t="n">
        <v>7408713000138</v>
      </c>
      <c r="B10443" s="34" t="s">
        <v>20832</v>
      </c>
      <c r="C10443" s="34" t="s">
        <v>103</v>
      </c>
      <c r="E10443" s="30" t="s">
        <v>20833</v>
      </c>
      <c r="F10443" s="34" t="n">
        <f aca="false">IFERROR(VLOOKUP($A10443,'319'!$B:$H,7,0),0)</f>
        <v>0</v>
      </c>
      <c r="G10443" s="34" t="n">
        <f aca="false">SUMIFS('12.326ana'!$C:$C,'12.326ana'!$M:$M,redes!A10443)</f>
        <v>0</v>
      </c>
    </row>
    <row r="10444" customFormat="false" ht="14.4" hidden="true" customHeight="false" outlineLevel="0" collapsed="false">
      <c r="A10444" s="34" t="n">
        <v>7409034000183</v>
      </c>
      <c r="B10444" s="34" t="s">
        <v>20834</v>
      </c>
      <c r="C10444" s="34" t="s">
        <v>117</v>
      </c>
      <c r="E10444" s="30" t="s">
        <v>20835</v>
      </c>
      <c r="F10444" s="34" t="n">
        <f aca="false">IFERROR(VLOOKUP($A10444,'319'!$B:$H,7,0),0)</f>
        <v>0</v>
      </c>
      <c r="G10444" s="34" t="n">
        <f aca="false">SUMIFS('12.326ana'!$C:$C,'12.326ana'!$M:$M,redes!A10444)</f>
        <v>0</v>
      </c>
    </row>
    <row r="10445" customFormat="false" ht="14.4" hidden="true" customHeight="false" outlineLevel="0" collapsed="false">
      <c r="A10445" s="34" t="n">
        <v>7409316000180</v>
      </c>
      <c r="B10445" s="34" t="s">
        <v>20836</v>
      </c>
      <c r="C10445" s="34" t="s">
        <v>77</v>
      </c>
      <c r="E10445" s="30" t="s">
        <v>20837</v>
      </c>
      <c r="F10445" s="34" t="n">
        <f aca="false">IFERROR(VLOOKUP($A10445,'319'!$B:$H,7,0),0)</f>
        <v>0</v>
      </c>
      <c r="G10445" s="34" t="n">
        <f aca="false">SUMIFS('12.326ana'!$C:$C,'12.326ana'!$M:$M,redes!A10445)</f>
        <v>0</v>
      </c>
    </row>
    <row r="10446" customFormat="false" ht="14.4" hidden="true" customHeight="false" outlineLevel="0" collapsed="false">
      <c r="A10446" s="34" t="n">
        <v>7409316000261</v>
      </c>
      <c r="B10446" s="34" t="s">
        <v>20836</v>
      </c>
      <c r="C10446" s="34" t="s">
        <v>77</v>
      </c>
      <c r="E10446" s="30" t="s">
        <v>20838</v>
      </c>
      <c r="F10446" s="34" t="n">
        <f aca="false">IFERROR(VLOOKUP($A10446,'319'!$B:$H,7,0),0)</f>
        <v>0</v>
      </c>
      <c r="G10446" s="34" t="n">
        <f aca="false">SUMIFS('12.326ana'!$C:$C,'12.326ana'!$M:$M,redes!A10446)</f>
        <v>0</v>
      </c>
    </row>
    <row r="10447" customFormat="false" ht="14.4" hidden="true" customHeight="false" outlineLevel="0" collapsed="false">
      <c r="A10447" s="34" t="n">
        <v>7411531000116</v>
      </c>
      <c r="B10447" s="34" t="s">
        <v>20839</v>
      </c>
      <c r="C10447" s="34" t="s">
        <v>20840</v>
      </c>
      <c r="E10447" s="30"/>
      <c r="F10447" s="34" t="n">
        <f aca="false">IFERROR(VLOOKUP($A10447,'319'!$B:$H,7,0),0)</f>
        <v>0</v>
      </c>
      <c r="G10447" s="34" t="n">
        <f aca="false">SUMIFS('12.326ana'!$C:$C,'12.326ana'!$M:$M,redes!A10447)</f>
        <v>0</v>
      </c>
    </row>
    <row r="10448" customFormat="false" ht="14.4" hidden="true" customHeight="false" outlineLevel="0" collapsed="false">
      <c r="A10448" s="34" t="n">
        <v>7414574000155</v>
      </c>
      <c r="B10448" s="34" t="s">
        <v>20841</v>
      </c>
      <c r="C10448" s="34" t="s">
        <v>89</v>
      </c>
      <c r="E10448" s="30" t="s">
        <v>20842</v>
      </c>
      <c r="F10448" s="34" t="n">
        <f aca="false">IFERROR(VLOOKUP($A10448,'319'!$B:$H,7,0),0)</f>
        <v>0</v>
      </c>
      <c r="G10448" s="34" t="n">
        <f aca="false">SUMIFS('12.326ana'!$C:$C,'12.326ana'!$M:$M,redes!A10448)</f>
        <v>0</v>
      </c>
    </row>
    <row r="10449" customFormat="false" ht="14.4" hidden="true" customHeight="false" outlineLevel="0" collapsed="false">
      <c r="A10449" s="34" t="n">
        <v>7418778000164</v>
      </c>
      <c r="B10449" s="34" t="s">
        <v>20843</v>
      </c>
      <c r="C10449" s="34" t="s">
        <v>464</v>
      </c>
      <c r="E10449" s="30" t="s">
        <v>7007</v>
      </c>
      <c r="F10449" s="34" t="n">
        <f aca="false">IFERROR(VLOOKUP($A10449,'319'!$B:$H,7,0),0)</f>
        <v>0</v>
      </c>
      <c r="G10449" s="34" t="n">
        <f aca="false">SUMIFS('12.326ana'!$C:$C,'12.326ana'!$M:$M,redes!A10449)</f>
        <v>0</v>
      </c>
    </row>
    <row r="10450" customFormat="false" ht="14.4" hidden="true" customHeight="false" outlineLevel="0" collapsed="false">
      <c r="A10450" s="34" t="n">
        <v>7419322000119</v>
      </c>
      <c r="B10450" s="34" t="s">
        <v>20844</v>
      </c>
      <c r="C10450" s="34" t="s">
        <v>631</v>
      </c>
      <c r="E10450" s="30" t="s">
        <v>14913</v>
      </c>
      <c r="F10450" s="34" t="n">
        <f aca="false">IFERROR(VLOOKUP($A10450,'319'!$B:$H,7,0),0)</f>
        <v>0</v>
      </c>
      <c r="G10450" s="34" t="n">
        <f aca="false">SUMIFS('12.326ana'!$C:$C,'12.326ana'!$M:$M,redes!A10450)</f>
        <v>0</v>
      </c>
    </row>
    <row r="10451" customFormat="false" ht="14.4" hidden="true" customHeight="false" outlineLevel="0" collapsed="false">
      <c r="A10451" s="34" t="n">
        <v>7422619000133</v>
      </c>
      <c r="B10451" s="34" t="s">
        <v>20845</v>
      </c>
      <c r="C10451" s="34" t="s">
        <v>77</v>
      </c>
      <c r="E10451" s="30" t="s">
        <v>20846</v>
      </c>
      <c r="F10451" s="34" t="n">
        <f aca="false">IFERROR(VLOOKUP($A10451,'319'!$B:$H,7,0),0)</f>
        <v>0</v>
      </c>
      <c r="G10451" s="34" t="n">
        <f aca="false">SUMIFS('12.326ana'!$C:$C,'12.326ana'!$M:$M,redes!A10451)</f>
        <v>0</v>
      </c>
    </row>
    <row r="10452" customFormat="false" ht="14.4" hidden="true" customHeight="false" outlineLevel="0" collapsed="false">
      <c r="A10452" s="34" t="n">
        <v>7424847000142</v>
      </c>
      <c r="B10452" s="34" t="s">
        <v>20847</v>
      </c>
      <c r="C10452" s="34" t="s">
        <v>107</v>
      </c>
      <c r="E10452" s="30" t="s">
        <v>4281</v>
      </c>
      <c r="F10452" s="34" t="n">
        <f aca="false">IFERROR(VLOOKUP($A10452,'319'!$B:$H,7,0),0)</f>
        <v>0</v>
      </c>
      <c r="G10452" s="34" t="n">
        <f aca="false">SUMIFS('12.326ana'!$C:$C,'12.326ana'!$M:$M,redes!A10452)</f>
        <v>0</v>
      </c>
    </row>
    <row r="10453" customFormat="false" ht="14.4" hidden="true" customHeight="false" outlineLevel="0" collapsed="false">
      <c r="A10453" s="34" t="n">
        <v>7427343000186</v>
      </c>
      <c r="B10453" s="34" t="s">
        <v>20848</v>
      </c>
      <c r="C10453" s="34" t="s">
        <v>77</v>
      </c>
      <c r="E10453" s="30" t="s">
        <v>20849</v>
      </c>
      <c r="F10453" s="34" t="n">
        <f aca="false">IFERROR(VLOOKUP($A10453,'319'!$B:$H,7,0),0)</f>
        <v>0</v>
      </c>
      <c r="G10453" s="34" t="n">
        <f aca="false">SUMIFS('12.326ana'!$C:$C,'12.326ana'!$M:$M,redes!A10453)</f>
        <v>0</v>
      </c>
    </row>
    <row r="10454" customFormat="false" ht="14.4" hidden="true" customHeight="false" outlineLevel="0" collapsed="false">
      <c r="A10454" s="34" t="n">
        <v>7429122000147</v>
      </c>
      <c r="B10454" s="34" t="s">
        <v>20850</v>
      </c>
      <c r="C10454" s="34" t="s">
        <v>309</v>
      </c>
      <c r="E10454" s="30" t="s">
        <v>20851</v>
      </c>
      <c r="F10454" s="34" t="n">
        <f aca="false">IFERROR(VLOOKUP($A10454,'319'!$B:$H,7,0),0)</f>
        <v>0</v>
      </c>
      <c r="G10454" s="34" t="n">
        <f aca="false">SUMIFS('12.326ana'!$C:$C,'12.326ana'!$M:$M,redes!A10454)</f>
        <v>0</v>
      </c>
    </row>
    <row r="10455" customFormat="false" ht="14.4" hidden="true" customHeight="false" outlineLevel="0" collapsed="false">
      <c r="A10455" s="34" t="n">
        <v>7430464000187</v>
      </c>
      <c r="B10455" s="34" t="s">
        <v>20852</v>
      </c>
      <c r="C10455" s="34" t="s">
        <v>103</v>
      </c>
      <c r="E10455" s="30" t="s">
        <v>10283</v>
      </c>
      <c r="F10455" s="34" t="n">
        <f aca="false">IFERROR(VLOOKUP($A10455,'319'!$B:$H,7,0),0)</f>
        <v>0</v>
      </c>
      <c r="G10455" s="34" t="n">
        <f aca="false">SUMIFS('12.326ana'!$C:$C,'12.326ana'!$M:$M,redes!A10455)</f>
        <v>0</v>
      </c>
    </row>
    <row r="10456" customFormat="false" ht="14.4" hidden="true" customHeight="false" outlineLevel="0" collapsed="false">
      <c r="A10456" s="34" t="n">
        <v>7432848000139</v>
      </c>
      <c r="B10456" s="34" t="s">
        <v>20853</v>
      </c>
      <c r="C10456" s="34" t="s">
        <v>107</v>
      </c>
      <c r="E10456" s="30" t="s">
        <v>20854</v>
      </c>
      <c r="F10456" s="34" t="n">
        <f aca="false">IFERROR(VLOOKUP($A10456,'319'!$B:$H,7,0),0)</f>
        <v>0</v>
      </c>
      <c r="G10456" s="34" t="n">
        <f aca="false">SUMIFS('12.326ana'!$C:$C,'12.326ana'!$M:$M,redes!A10456)</f>
        <v>0</v>
      </c>
    </row>
    <row r="10457" customFormat="false" ht="14.4" hidden="true" customHeight="false" outlineLevel="0" collapsed="false">
      <c r="A10457" s="34" t="n">
        <v>7432924000106</v>
      </c>
      <c r="B10457" s="34" t="s">
        <v>20855</v>
      </c>
      <c r="C10457" s="34" t="s">
        <v>7250</v>
      </c>
      <c r="E10457" s="30" t="s">
        <v>17658</v>
      </c>
      <c r="F10457" s="34" t="n">
        <f aca="false">IFERROR(VLOOKUP($A10457,'319'!$B:$H,7,0),0)</f>
        <v>0</v>
      </c>
      <c r="G10457" s="34" t="n">
        <f aca="false">SUMIFS('12.326ana'!$C:$C,'12.326ana'!$M:$M,redes!A10457)</f>
        <v>0</v>
      </c>
    </row>
    <row r="10458" customFormat="false" ht="14.4" hidden="true" customHeight="false" outlineLevel="0" collapsed="false">
      <c r="A10458" s="34" t="n">
        <v>7433438000102</v>
      </c>
      <c r="B10458" s="34" t="s">
        <v>20856</v>
      </c>
      <c r="C10458" s="34" t="s">
        <v>77</v>
      </c>
      <c r="E10458" s="30" t="s">
        <v>20857</v>
      </c>
      <c r="F10458" s="34" t="n">
        <f aca="false">IFERROR(VLOOKUP($A10458,'319'!$B:$H,7,0),0)</f>
        <v>0</v>
      </c>
      <c r="G10458" s="34" t="n">
        <f aca="false">SUMIFS('12.326ana'!$C:$C,'12.326ana'!$M:$M,redes!A10458)</f>
        <v>0</v>
      </c>
    </row>
    <row r="10459" customFormat="false" ht="14.4" hidden="true" customHeight="false" outlineLevel="0" collapsed="false">
      <c r="A10459" s="34" t="n">
        <v>7434995000148</v>
      </c>
      <c r="B10459" s="34" t="s">
        <v>20858</v>
      </c>
      <c r="C10459" s="34" t="s">
        <v>3594</v>
      </c>
      <c r="E10459" s="30" t="s">
        <v>20859</v>
      </c>
      <c r="F10459" s="34" t="n">
        <f aca="false">IFERROR(VLOOKUP($A10459,'319'!$B:$H,7,0),0)</f>
        <v>0</v>
      </c>
      <c r="G10459" s="34" t="n">
        <f aca="false">SUMIFS('12.326ana'!$C:$C,'12.326ana'!$M:$M,redes!A10459)</f>
        <v>0</v>
      </c>
    </row>
    <row r="10460" customFormat="false" ht="14.4" hidden="true" customHeight="false" outlineLevel="0" collapsed="false">
      <c r="A10460" s="34" t="n">
        <v>7434995000229</v>
      </c>
      <c r="B10460" s="34" t="s">
        <v>20858</v>
      </c>
      <c r="C10460" s="34" t="s">
        <v>3594</v>
      </c>
      <c r="E10460" s="30" t="s">
        <v>20860</v>
      </c>
      <c r="F10460" s="34" t="n">
        <f aca="false">IFERROR(VLOOKUP($A10460,'319'!$B:$H,7,0),0)</f>
        <v>0</v>
      </c>
      <c r="G10460" s="34" t="n">
        <f aca="false">SUMIFS('12.326ana'!$C:$C,'12.326ana'!$M:$M,redes!A10460)</f>
        <v>0</v>
      </c>
    </row>
    <row r="10461" customFormat="false" ht="14.4" hidden="true" customHeight="false" outlineLevel="0" collapsed="false">
      <c r="A10461" s="34" t="n">
        <v>7438742000142</v>
      </c>
      <c r="B10461" s="34" t="s">
        <v>20861</v>
      </c>
      <c r="C10461" s="34" t="s">
        <v>631</v>
      </c>
      <c r="E10461" s="30" t="s">
        <v>7272</v>
      </c>
      <c r="F10461" s="34" t="n">
        <f aca="false">IFERROR(VLOOKUP($A10461,'319'!$B:$H,7,0),0)</f>
        <v>0</v>
      </c>
      <c r="G10461" s="34" t="n">
        <f aca="false">SUMIFS('12.326ana'!$C:$C,'12.326ana'!$M:$M,redes!A10461)</f>
        <v>0</v>
      </c>
    </row>
    <row r="10462" customFormat="false" ht="14.4" hidden="true" customHeight="false" outlineLevel="0" collapsed="false">
      <c r="A10462" s="34" t="n">
        <v>7441408000148</v>
      </c>
      <c r="B10462" s="34" t="s">
        <v>20862</v>
      </c>
      <c r="C10462" s="34" t="s">
        <v>77</v>
      </c>
      <c r="E10462" s="30" t="s">
        <v>20863</v>
      </c>
      <c r="F10462" s="34" t="n">
        <f aca="false">IFERROR(VLOOKUP($A10462,'319'!$B:$H,7,0),0)</f>
        <v>0</v>
      </c>
      <c r="G10462" s="34" t="n">
        <f aca="false">SUMIFS('12.326ana'!$C:$C,'12.326ana'!$M:$M,redes!A10462)</f>
        <v>0</v>
      </c>
    </row>
    <row r="10463" customFormat="false" ht="14.4" hidden="true" customHeight="false" outlineLevel="0" collapsed="false">
      <c r="A10463" s="34" t="n">
        <v>7442649000101</v>
      </c>
      <c r="B10463" s="34" t="s">
        <v>20864</v>
      </c>
      <c r="C10463" s="34" t="s">
        <v>357</v>
      </c>
      <c r="E10463" s="30" t="s">
        <v>3674</v>
      </c>
      <c r="F10463" s="34" t="n">
        <f aca="false">IFERROR(VLOOKUP($A10463,'319'!$B:$H,7,0),0)</f>
        <v>0</v>
      </c>
      <c r="G10463" s="34" t="n">
        <f aca="false">SUMIFS('12.326ana'!$C:$C,'12.326ana'!$M:$M,redes!A10463)</f>
        <v>0</v>
      </c>
    </row>
    <row r="10464" customFormat="false" ht="14.4" hidden="true" customHeight="false" outlineLevel="0" collapsed="false">
      <c r="A10464" s="34" t="n">
        <v>7443060000128</v>
      </c>
      <c r="B10464" s="34" t="s">
        <v>20865</v>
      </c>
      <c r="C10464" s="34" t="s">
        <v>77</v>
      </c>
      <c r="E10464" s="30" t="s">
        <v>4630</v>
      </c>
      <c r="F10464" s="34" t="n">
        <f aca="false">IFERROR(VLOOKUP($A10464,'319'!$B:$H,7,0),0)</f>
        <v>0</v>
      </c>
      <c r="G10464" s="34" t="n">
        <f aca="false">SUMIFS('12.326ana'!$C:$C,'12.326ana'!$M:$M,redes!A10464)</f>
        <v>0</v>
      </c>
    </row>
    <row r="10465" customFormat="false" ht="14.4" hidden="true" customHeight="false" outlineLevel="0" collapsed="false">
      <c r="A10465" s="34" t="n">
        <v>7444754000180</v>
      </c>
      <c r="B10465" s="34" t="s">
        <v>20866</v>
      </c>
      <c r="C10465" s="34" t="s">
        <v>377</v>
      </c>
      <c r="E10465" s="30" t="s">
        <v>20867</v>
      </c>
      <c r="F10465" s="34" t="n">
        <f aca="false">IFERROR(VLOOKUP($A10465,'319'!$B:$H,7,0),0)</f>
        <v>0</v>
      </c>
      <c r="G10465" s="34" t="n">
        <f aca="false">SUMIFS('12.326ana'!$C:$C,'12.326ana'!$M:$M,redes!A10465)</f>
        <v>0</v>
      </c>
    </row>
    <row r="10466" customFormat="false" ht="14.4" hidden="true" customHeight="false" outlineLevel="0" collapsed="false">
      <c r="A10466" s="34" t="n">
        <v>7445066000134</v>
      </c>
      <c r="B10466" s="34" t="s">
        <v>20868</v>
      </c>
      <c r="C10466" s="34" t="s">
        <v>464</v>
      </c>
      <c r="E10466" s="30" t="s">
        <v>20869</v>
      </c>
      <c r="F10466" s="34" t="n">
        <f aca="false">IFERROR(VLOOKUP($A10466,'319'!$B:$H,7,0),0)</f>
        <v>0</v>
      </c>
      <c r="G10466" s="34" t="n">
        <f aca="false">SUMIFS('12.326ana'!$C:$C,'12.326ana'!$M:$M,redes!A10466)</f>
        <v>0</v>
      </c>
    </row>
    <row r="10467" customFormat="false" ht="14.4" hidden="true" customHeight="false" outlineLevel="0" collapsed="false">
      <c r="A10467" s="34" t="n">
        <v>7447053000102</v>
      </c>
      <c r="B10467" s="34" t="s">
        <v>20870</v>
      </c>
      <c r="C10467" s="34" t="s">
        <v>478</v>
      </c>
      <c r="E10467" s="30" t="s">
        <v>20871</v>
      </c>
      <c r="F10467" s="34" t="n">
        <f aca="false">IFERROR(VLOOKUP($A10467,'319'!$B:$H,7,0),0)</f>
        <v>0</v>
      </c>
      <c r="G10467" s="34" t="n">
        <f aca="false">SUMIFS('12.326ana'!$C:$C,'12.326ana'!$M:$M,redes!A10467)</f>
        <v>0</v>
      </c>
    </row>
    <row r="10468" customFormat="false" ht="14.4" hidden="true" customHeight="false" outlineLevel="0" collapsed="false">
      <c r="A10468" s="34" t="n">
        <v>7449644000100</v>
      </c>
      <c r="B10468" s="34" t="s">
        <v>20872</v>
      </c>
      <c r="C10468" s="34" t="s">
        <v>107</v>
      </c>
      <c r="E10468" s="30" t="s">
        <v>20873</v>
      </c>
      <c r="F10468" s="34" t="n">
        <f aca="false">IFERROR(VLOOKUP($A10468,'319'!$B:$H,7,0),0)</f>
        <v>0</v>
      </c>
      <c r="G10468" s="34" t="n">
        <f aca="false">SUMIFS('12.326ana'!$C:$C,'12.326ana'!$M:$M,redes!A10468)</f>
        <v>0</v>
      </c>
    </row>
    <row r="10469" customFormat="false" ht="14.4" hidden="true" customHeight="false" outlineLevel="0" collapsed="false">
      <c r="A10469" s="34" t="n">
        <v>7451239000127</v>
      </c>
      <c r="B10469" s="34" t="s">
        <v>20874</v>
      </c>
      <c r="C10469" s="34" t="s">
        <v>77</v>
      </c>
      <c r="E10469" s="30" t="s">
        <v>20875</v>
      </c>
      <c r="F10469" s="34" t="n">
        <f aca="false">IFERROR(VLOOKUP($A10469,'319'!$B:$H,7,0),0)</f>
        <v>0</v>
      </c>
      <c r="G10469" s="34" t="n">
        <f aca="false">SUMIFS('12.326ana'!$C:$C,'12.326ana'!$M:$M,redes!A10469)</f>
        <v>0</v>
      </c>
    </row>
    <row r="10470" customFormat="false" ht="14.4" hidden="true" customHeight="false" outlineLevel="0" collapsed="false">
      <c r="A10470" s="34" t="n">
        <v>7451573000180</v>
      </c>
      <c r="B10470" s="34" t="s">
        <v>20876</v>
      </c>
      <c r="C10470" s="34" t="s">
        <v>77</v>
      </c>
      <c r="E10470" s="30" t="s">
        <v>6448</v>
      </c>
      <c r="F10470" s="34" t="n">
        <f aca="false">IFERROR(VLOOKUP($A10470,'319'!$B:$H,7,0),0)</f>
        <v>0</v>
      </c>
      <c r="G10470" s="34" t="n">
        <f aca="false">SUMIFS('12.326ana'!$C:$C,'12.326ana'!$M:$M,redes!A10470)</f>
        <v>0</v>
      </c>
    </row>
    <row r="10471" customFormat="false" ht="14.4" hidden="true" customHeight="false" outlineLevel="0" collapsed="false">
      <c r="A10471" s="34" t="n">
        <v>7452494000194</v>
      </c>
      <c r="B10471" s="34" t="s">
        <v>20877</v>
      </c>
      <c r="C10471" s="34" t="s">
        <v>680</v>
      </c>
      <c r="D10471" s="34" t="s">
        <v>20878</v>
      </c>
      <c r="E10471" s="30" t="s">
        <v>20879</v>
      </c>
      <c r="F10471" s="34" t="n">
        <f aca="false">IFERROR(VLOOKUP($A10471,'319'!$B:$H,7,0),0)</f>
        <v>0</v>
      </c>
      <c r="G10471" s="34" t="n">
        <f aca="false">SUMIFS('12.326ana'!$C:$C,'12.326ana'!$M:$M,redes!A10471)</f>
        <v>0</v>
      </c>
    </row>
    <row r="10472" customFormat="false" ht="14.4" hidden="true" customHeight="false" outlineLevel="0" collapsed="false">
      <c r="A10472" s="34" t="n">
        <v>7454582000125</v>
      </c>
      <c r="B10472" s="34" t="s">
        <v>20880</v>
      </c>
      <c r="C10472" s="34" t="s">
        <v>3594</v>
      </c>
      <c r="E10472" s="30" t="s">
        <v>20881</v>
      </c>
      <c r="F10472" s="34" t="n">
        <f aca="false">IFERROR(VLOOKUP($A10472,'319'!$B:$H,7,0),0)</f>
        <v>0</v>
      </c>
      <c r="G10472" s="34" t="n">
        <f aca="false">SUMIFS('12.326ana'!$C:$C,'12.326ana'!$M:$M,redes!A10472)</f>
        <v>0</v>
      </c>
    </row>
    <row r="10473" customFormat="false" ht="14.4" hidden="true" customHeight="false" outlineLevel="0" collapsed="false">
      <c r="A10473" s="34" t="n">
        <v>7455260000109</v>
      </c>
      <c r="B10473" s="34" t="s">
        <v>20882</v>
      </c>
      <c r="C10473" s="34" t="s">
        <v>565</v>
      </c>
      <c r="E10473" s="30" t="s">
        <v>20883</v>
      </c>
      <c r="F10473" s="34" t="n">
        <f aca="false">IFERROR(VLOOKUP($A10473,'319'!$B:$H,7,0),0)</f>
        <v>0</v>
      </c>
      <c r="G10473" s="34" t="n">
        <f aca="false">SUMIFS('12.326ana'!$C:$C,'12.326ana'!$M:$M,redes!A10473)</f>
        <v>0</v>
      </c>
    </row>
    <row r="10474" customFormat="false" ht="14.4" hidden="true" customHeight="false" outlineLevel="0" collapsed="false">
      <c r="A10474" s="34" t="n">
        <v>7457453000190</v>
      </c>
      <c r="B10474" s="34" t="s">
        <v>20884</v>
      </c>
      <c r="C10474" s="34" t="s">
        <v>107</v>
      </c>
      <c r="E10474" s="30" t="s">
        <v>20885</v>
      </c>
      <c r="F10474" s="34" t="n">
        <f aca="false">IFERROR(VLOOKUP($A10474,'319'!$B:$H,7,0),0)</f>
        <v>0</v>
      </c>
      <c r="G10474" s="34" t="n">
        <f aca="false">SUMIFS('12.326ana'!$C:$C,'12.326ana'!$M:$M,redes!A10474)</f>
        <v>0</v>
      </c>
    </row>
    <row r="10475" customFormat="false" ht="14.4" hidden="true" customHeight="false" outlineLevel="0" collapsed="false">
      <c r="A10475" s="34" t="n">
        <v>7457511000186</v>
      </c>
      <c r="B10475" s="34" t="s">
        <v>20886</v>
      </c>
      <c r="C10475" s="34" t="s">
        <v>744</v>
      </c>
      <c r="E10475" s="30" t="s">
        <v>20887</v>
      </c>
      <c r="F10475" s="34" t="n">
        <f aca="false">IFERROR(VLOOKUP($A10475,'319'!$B:$H,7,0),0)</f>
        <v>0</v>
      </c>
      <c r="G10475" s="34" t="n">
        <f aca="false">SUMIFS('12.326ana'!$C:$C,'12.326ana'!$M:$M,redes!A10475)</f>
        <v>0</v>
      </c>
    </row>
    <row r="10476" customFormat="false" ht="14.4" hidden="true" customHeight="false" outlineLevel="0" collapsed="false">
      <c r="A10476" s="34" t="n">
        <v>7460103000183</v>
      </c>
      <c r="B10476" s="34" t="s">
        <v>20888</v>
      </c>
      <c r="C10476" s="34" t="s">
        <v>77</v>
      </c>
      <c r="E10476" s="30" t="s">
        <v>20889</v>
      </c>
      <c r="F10476" s="34" t="n">
        <f aca="false">IFERROR(VLOOKUP($A10476,'319'!$B:$H,7,0),0)</f>
        <v>0</v>
      </c>
      <c r="G10476" s="34" t="n">
        <f aca="false">SUMIFS('12.326ana'!$C:$C,'12.326ana'!$M:$M,redes!A10476)</f>
        <v>0</v>
      </c>
    </row>
    <row r="10477" customFormat="false" ht="14.4" hidden="true" customHeight="false" outlineLevel="0" collapsed="false">
      <c r="A10477" s="34" t="n">
        <v>7466817000107</v>
      </c>
      <c r="B10477" s="34" t="s">
        <v>20890</v>
      </c>
      <c r="C10477" s="34" t="s">
        <v>139</v>
      </c>
      <c r="E10477" s="30" t="s">
        <v>20891</v>
      </c>
      <c r="F10477" s="34" t="n">
        <f aca="false">IFERROR(VLOOKUP($A10477,'319'!$B:$H,7,0),0)</f>
        <v>0</v>
      </c>
      <c r="G10477" s="34" t="n">
        <f aca="false">SUMIFS('12.326ana'!$C:$C,'12.326ana'!$M:$M,redes!A10477)</f>
        <v>0</v>
      </c>
    </row>
    <row r="10478" customFormat="false" ht="14.4" hidden="true" customHeight="false" outlineLevel="0" collapsed="false">
      <c r="A10478" s="34" t="n">
        <v>7467454000116</v>
      </c>
      <c r="B10478" s="34" t="s">
        <v>20892</v>
      </c>
      <c r="C10478" s="34" t="s">
        <v>107</v>
      </c>
      <c r="E10478" s="30" t="s">
        <v>20893</v>
      </c>
      <c r="F10478" s="34" t="n">
        <f aca="false">IFERROR(VLOOKUP($A10478,'319'!$B:$H,7,0),0)</f>
        <v>0</v>
      </c>
      <c r="G10478" s="34" t="n">
        <f aca="false">SUMIFS('12.326ana'!$C:$C,'12.326ana'!$M:$M,redes!A10478)</f>
        <v>0</v>
      </c>
    </row>
    <row r="10479" customFormat="false" ht="14.4" hidden="true" customHeight="false" outlineLevel="0" collapsed="false">
      <c r="A10479" s="34" t="n">
        <v>7467784000101</v>
      </c>
      <c r="B10479" s="34" t="s">
        <v>20894</v>
      </c>
      <c r="C10479" s="34" t="s">
        <v>77</v>
      </c>
      <c r="E10479" s="30" t="s">
        <v>14553</v>
      </c>
      <c r="F10479" s="34" t="n">
        <f aca="false">IFERROR(VLOOKUP($A10479,'319'!$B:$H,7,0),0)</f>
        <v>0</v>
      </c>
      <c r="G10479" s="34" t="n">
        <f aca="false">SUMIFS('12.326ana'!$C:$C,'12.326ana'!$M:$M,redes!A10479)</f>
        <v>0</v>
      </c>
    </row>
    <row r="10480" customFormat="false" ht="14.4" hidden="true" customHeight="false" outlineLevel="0" collapsed="false">
      <c r="A10480" s="34" t="n">
        <v>7468009000170</v>
      </c>
      <c r="B10480" s="34" t="s">
        <v>20895</v>
      </c>
      <c r="C10480" s="34" t="s">
        <v>357</v>
      </c>
      <c r="E10480" s="30" t="s">
        <v>20896</v>
      </c>
      <c r="F10480" s="34" t="n">
        <f aca="false">IFERROR(VLOOKUP($A10480,'319'!$B:$H,7,0),0)</f>
        <v>0</v>
      </c>
      <c r="G10480" s="34" t="n">
        <f aca="false">SUMIFS('12.326ana'!$C:$C,'12.326ana'!$M:$M,redes!A10480)</f>
        <v>0</v>
      </c>
    </row>
    <row r="10481" customFormat="false" ht="14.4" hidden="true" customHeight="false" outlineLevel="0" collapsed="false">
      <c r="A10481" s="34" t="n">
        <v>7468863000137</v>
      </c>
      <c r="B10481" s="34" t="s">
        <v>20897</v>
      </c>
      <c r="C10481" s="34" t="s">
        <v>77</v>
      </c>
      <c r="E10481" s="30" t="s">
        <v>20898</v>
      </c>
      <c r="F10481" s="34" t="n">
        <f aca="false">IFERROR(VLOOKUP($A10481,'319'!$B:$H,7,0),0)</f>
        <v>0</v>
      </c>
      <c r="G10481" s="34" t="n">
        <f aca="false">SUMIFS('12.326ana'!$C:$C,'12.326ana'!$M:$M,redes!A10481)</f>
        <v>0</v>
      </c>
    </row>
    <row r="10482" customFormat="false" ht="14.4" hidden="true" customHeight="false" outlineLevel="0" collapsed="false">
      <c r="A10482" s="34" t="n">
        <v>7470003000138</v>
      </c>
      <c r="B10482" s="34" t="s">
        <v>20899</v>
      </c>
      <c r="C10482" s="34" t="s">
        <v>309</v>
      </c>
      <c r="E10482" s="30" t="s">
        <v>5030</v>
      </c>
      <c r="F10482" s="34" t="n">
        <f aca="false">IFERROR(VLOOKUP($A10482,'319'!$B:$H,7,0),0)</f>
        <v>0</v>
      </c>
      <c r="G10482" s="34" t="n">
        <f aca="false">SUMIFS('12.326ana'!$C:$C,'12.326ana'!$M:$M,redes!A10482)</f>
        <v>0</v>
      </c>
    </row>
    <row r="10483" customFormat="false" ht="14.4" hidden="true" customHeight="false" outlineLevel="0" collapsed="false">
      <c r="A10483" s="34" t="n">
        <v>7471771000106</v>
      </c>
      <c r="B10483" s="34" t="s">
        <v>20900</v>
      </c>
      <c r="C10483" s="34" t="s">
        <v>309</v>
      </c>
      <c r="E10483" s="30" t="s">
        <v>20901</v>
      </c>
      <c r="F10483" s="34" t="n">
        <f aca="false">IFERROR(VLOOKUP($A10483,'319'!$B:$H,7,0),0)</f>
        <v>0</v>
      </c>
      <c r="G10483" s="34" t="n">
        <f aca="false">SUMIFS('12.326ana'!$C:$C,'12.326ana'!$M:$M,redes!A10483)</f>
        <v>0</v>
      </c>
    </row>
    <row r="10484" customFormat="false" ht="14.4" hidden="true" customHeight="false" outlineLevel="0" collapsed="false">
      <c r="A10484" s="34" t="n">
        <v>7475118000115</v>
      </c>
      <c r="B10484" s="34" t="s">
        <v>8979</v>
      </c>
      <c r="C10484" s="34" t="s">
        <v>781</v>
      </c>
      <c r="E10484" s="30" t="s">
        <v>20902</v>
      </c>
      <c r="F10484" s="34" t="n">
        <f aca="false">IFERROR(VLOOKUP($A10484,'319'!$B:$H,7,0),0)</f>
        <v>0</v>
      </c>
      <c r="G10484" s="34" t="n">
        <f aca="false">SUMIFS('12.326ana'!$C:$C,'12.326ana'!$M:$M,redes!A10484)</f>
        <v>0</v>
      </c>
    </row>
    <row r="10485" customFormat="false" ht="14.4" hidden="true" customHeight="false" outlineLevel="0" collapsed="false">
      <c r="A10485" s="34" t="n">
        <v>7475124000172</v>
      </c>
      <c r="B10485" s="34" t="s">
        <v>10802</v>
      </c>
      <c r="C10485" s="34" t="s">
        <v>781</v>
      </c>
      <c r="E10485" s="30" t="s">
        <v>10803</v>
      </c>
      <c r="F10485" s="34" t="n">
        <f aca="false">IFERROR(VLOOKUP($A10485,'319'!$B:$H,7,0),0)</f>
        <v>0</v>
      </c>
      <c r="G10485" s="34" t="n">
        <f aca="false">SUMIFS('12.326ana'!$C:$C,'12.326ana'!$M:$M,redes!A10485)</f>
        <v>0</v>
      </c>
    </row>
    <row r="10486" customFormat="false" ht="14.4" hidden="true" customHeight="false" outlineLevel="0" collapsed="false">
      <c r="A10486" s="34" t="n">
        <v>7479013000134</v>
      </c>
      <c r="B10486" s="34" t="s">
        <v>20903</v>
      </c>
      <c r="C10486" s="34" t="s">
        <v>562</v>
      </c>
      <c r="E10486" s="30" t="s">
        <v>20904</v>
      </c>
      <c r="F10486" s="34" t="n">
        <f aca="false">IFERROR(VLOOKUP($A10486,'319'!$B:$H,7,0),0)</f>
        <v>0</v>
      </c>
      <c r="G10486" s="34" t="n">
        <f aca="false">SUMIFS('12.326ana'!$C:$C,'12.326ana'!$M:$M,redes!A10486)</f>
        <v>0</v>
      </c>
    </row>
    <row r="10487" customFormat="false" ht="14.4" hidden="true" customHeight="false" outlineLevel="0" collapsed="false">
      <c r="A10487" s="34" t="n">
        <v>7481201000105</v>
      </c>
      <c r="B10487" s="34" t="s">
        <v>20905</v>
      </c>
      <c r="C10487" s="34" t="s">
        <v>77</v>
      </c>
      <c r="E10487" s="30" t="s">
        <v>20906</v>
      </c>
      <c r="F10487" s="34" t="n">
        <f aca="false">IFERROR(VLOOKUP($A10487,'319'!$B:$H,7,0),0)</f>
        <v>0</v>
      </c>
      <c r="G10487" s="34" t="n">
        <f aca="false">SUMIFS('12.326ana'!$C:$C,'12.326ana'!$M:$M,redes!A10487)</f>
        <v>0</v>
      </c>
    </row>
    <row r="10488" customFormat="false" ht="14.4" hidden="true" customHeight="false" outlineLevel="0" collapsed="false">
      <c r="A10488" s="34" t="n">
        <v>7481700000194</v>
      </c>
      <c r="B10488" s="34" t="s">
        <v>20907</v>
      </c>
      <c r="C10488" s="34" t="s">
        <v>706</v>
      </c>
      <c r="E10488" s="30" t="s">
        <v>20908</v>
      </c>
      <c r="F10488" s="34" t="n">
        <f aca="false">IFERROR(VLOOKUP($A10488,'319'!$B:$H,7,0),0)</f>
        <v>0</v>
      </c>
      <c r="G10488" s="34" t="n">
        <f aca="false">SUMIFS('12.326ana'!$C:$C,'12.326ana'!$M:$M,redes!A10488)</f>
        <v>0</v>
      </c>
    </row>
    <row r="10489" customFormat="false" ht="14.4" hidden="true" customHeight="false" outlineLevel="0" collapsed="false">
      <c r="A10489" s="34" t="n">
        <v>7483866000140</v>
      </c>
      <c r="B10489" s="34" t="s">
        <v>20909</v>
      </c>
      <c r="C10489" s="34" t="s">
        <v>2998</v>
      </c>
      <c r="E10489" s="30" t="s">
        <v>20910</v>
      </c>
      <c r="F10489" s="34" t="n">
        <f aca="false">IFERROR(VLOOKUP($A10489,'319'!$B:$H,7,0),0)</f>
        <v>0</v>
      </c>
      <c r="G10489" s="34" t="n">
        <f aca="false">SUMIFS('12.326ana'!$C:$C,'12.326ana'!$M:$M,redes!A10489)</f>
        <v>0</v>
      </c>
    </row>
    <row r="10490" customFormat="false" ht="14.4" hidden="true" customHeight="false" outlineLevel="0" collapsed="false">
      <c r="A10490" s="34" t="n">
        <v>7484276000131</v>
      </c>
      <c r="B10490" s="34" t="s">
        <v>20911</v>
      </c>
      <c r="C10490" s="34" t="s">
        <v>475</v>
      </c>
      <c r="E10490" s="30" t="s">
        <v>13233</v>
      </c>
      <c r="F10490" s="34" t="n">
        <f aca="false">IFERROR(VLOOKUP($A10490,'319'!$B:$H,7,0),0)</f>
        <v>0</v>
      </c>
      <c r="G10490" s="34" t="n">
        <f aca="false">SUMIFS('12.326ana'!$C:$C,'12.326ana'!$M:$M,redes!A10490)</f>
        <v>0</v>
      </c>
    </row>
    <row r="10491" customFormat="false" ht="14.4" hidden="true" customHeight="false" outlineLevel="0" collapsed="false">
      <c r="A10491" s="34" t="n">
        <v>7488311000190</v>
      </c>
      <c r="B10491" s="34" t="s">
        <v>20912</v>
      </c>
      <c r="C10491" s="34" t="s">
        <v>139</v>
      </c>
      <c r="E10491" s="30" t="s">
        <v>20913</v>
      </c>
      <c r="F10491" s="34" t="n">
        <f aca="false">IFERROR(VLOOKUP($A10491,'319'!$B:$H,7,0),0)</f>
        <v>0</v>
      </c>
      <c r="G10491" s="34" t="n">
        <f aca="false">SUMIFS('12.326ana'!$C:$C,'12.326ana'!$M:$M,redes!A10491)</f>
        <v>0</v>
      </c>
    </row>
    <row r="10492" customFormat="false" ht="14.4" hidden="true" customHeight="false" outlineLevel="0" collapsed="false">
      <c r="A10492" s="34" t="n">
        <v>7489718000132</v>
      </c>
      <c r="B10492" s="34" t="s">
        <v>20914</v>
      </c>
      <c r="C10492" s="34" t="s">
        <v>77</v>
      </c>
      <c r="E10492" s="30" t="s">
        <v>9472</v>
      </c>
      <c r="F10492" s="34" t="n">
        <f aca="false">IFERROR(VLOOKUP($A10492,'319'!$B:$H,7,0),0)</f>
        <v>0</v>
      </c>
      <c r="G10492" s="34" t="n">
        <f aca="false">SUMIFS('12.326ana'!$C:$C,'12.326ana'!$M:$M,redes!A10492)</f>
        <v>0</v>
      </c>
    </row>
    <row r="10493" customFormat="false" ht="14.4" hidden="true" customHeight="false" outlineLevel="0" collapsed="false">
      <c r="A10493" s="34" t="n">
        <v>7494439000167</v>
      </c>
      <c r="B10493" s="34" t="s">
        <v>20915</v>
      </c>
      <c r="C10493" s="34" t="s">
        <v>546</v>
      </c>
      <c r="E10493" s="30" t="s">
        <v>20915</v>
      </c>
      <c r="F10493" s="34" t="n">
        <f aca="false">IFERROR(VLOOKUP($A10493,'319'!$B:$H,7,0),0)</f>
        <v>0</v>
      </c>
      <c r="G10493" s="34" t="n">
        <f aca="false">SUMIFS('12.326ana'!$C:$C,'12.326ana'!$M:$M,redes!A10493)</f>
        <v>0</v>
      </c>
    </row>
    <row r="10494" customFormat="false" ht="14.4" hidden="true" customHeight="false" outlineLevel="0" collapsed="false">
      <c r="A10494" s="34" t="n">
        <v>7500595000193</v>
      </c>
      <c r="B10494" s="34" t="s">
        <v>20916</v>
      </c>
      <c r="C10494" s="34" t="s">
        <v>336</v>
      </c>
      <c r="E10494" s="30" t="s">
        <v>20917</v>
      </c>
      <c r="F10494" s="34" t="n">
        <f aca="false">IFERROR(VLOOKUP($A10494,'319'!$B:$H,7,0),0)</f>
        <v>0</v>
      </c>
      <c r="G10494" s="34" t="n">
        <f aca="false">SUMIFS('12.326ana'!$C:$C,'12.326ana'!$M:$M,redes!A10494)</f>
        <v>0</v>
      </c>
    </row>
    <row r="10495" customFormat="false" ht="14.4" hidden="true" customHeight="false" outlineLevel="0" collapsed="false">
      <c r="A10495" s="34" t="n">
        <v>7500877000190</v>
      </c>
      <c r="B10495" s="34" t="s">
        <v>20918</v>
      </c>
      <c r="C10495" s="34" t="s">
        <v>77</v>
      </c>
      <c r="E10495" s="30" t="s">
        <v>3094</v>
      </c>
      <c r="F10495" s="34" t="n">
        <f aca="false">IFERROR(VLOOKUP($A10495,'319'!$B:$H,7,0),0)</f>
        <v>0</v>
      </c>
      <c r="G10495" s="34" t="n">
        <f aca="false">SUMIFS('12.326ana'!$C:$C,'12.326ana'!$M:$M,redes!A10495)</f>
        <v>0</v>
      </c>
    </row>
    <row r="10496" customFormat="false" ht="14.4" hidden="true" customHeight="false" outlineLevel="0" collapsed="false">
      <c r="A10496" s="34" t="n">
        <v>7503510000120</v>
      </c>
      <c r="B10496" s="34" t="s">
        <v>20919</v>
      </c>
      <c r="C10496" s="34" t="s">
        <v>631</v>
      </c>
      <c r="E10496" s="30" t="s">
        <v>20920</v>
      </c>
      <c r="F10496" s="34" t="n">
        <f aca="false">IFERROR(VLOOKUP($A10496,'319'!$B:$H,7,0),0)</f>
        <v>0</v>
      </c>
      <c r="G10496" s="34" t="n">
        <f aca="false">SUMIFS('12.326ana'!$C:$C,'12.326ana'!$M:$M,redes!A10496)</f>
        <v>0</v>
      </c>
    </row>
    <row r="10497" customFormat="false" ht="14.4" hidden="true" customHeight="false" outlineLevel="0" collapsed="false">
      <c r="A10497" s="34" t="n">
        <v>7505073000184</v>
      </c>
      <c r="B10497" s="34" t="s">
        <v>20921</v>
      </c>
      <c r="C10497" s="34" t="s">
        <v>804</v>
      </c>
      <c r="E10497" s="30" t="s">
        <v>20922</v>
      </c>
      <c r="F10497" s="34" t="n">
        <f aca="false">IFERROR(VLOOKUP($A10497,'319'!$B:$H,7,0),0)</f>
        <v>0</v>
      </c>
      <c r="G10497" s="34" t="n">
        <f aca="false">SUMIFS('12.326ana'!$C:$C,'12.326ana'!$M:$M,redes!A10497)</f>
        <v>0</v>
      </c>
    </row>
    <row r="10498" customFormat="false" ht="14.4" hidden="true" customHeight="false" outlineLevel="0" collapsed="false">
      <c r="A10498" s="34" t="n">
        <v>7506885000144</v>
      </c>
      <c r="B10498" s="34" t="s">
        <v>20923</v>
      </c>
      <c r="C10498" s="34" t="s">
        <v>89</v>
      </c>
      <c r="E10498" s="30" t="s">
        <v>20924</v>
      </c>
      <c r="F10498" s="34" t="n">
        <f aca="false">IFERROR(VLOOKUP($A10498,'319'!$B:$H,7,0),0)</f>
        <v>0</v>
      </c>
      <c r="G10498" s="34" t="n">
        <f aca="false">SUMIFS('12.326ana'!$C:$C,'12.326ana'!$M:$M,redes!A10498)</f>
        <v>0</v>
      </c>
    </row>
    <row r="10499" customFormat="false" ht="14.4" hidden="true" customHeight="false" outlineLevel="0" collapsed="false">
      <c r="A10499" s="34" t="n">
        <v>7508359000113</v>
      </c>
      <c r="B10499" s="34" t="s">
        <v>7263</v>
      </c>
      <c r="C10499" s="34" t="s">
        <v>207</v>
      </c>
      <c r="E10499" s="30" t="s">
        <v>20925</v>
      </c>
      <c r="F10499" s="34" t="n">
        <f aca="false">IFERROR(VLOOKUP($A10499,'319'!$B:$H,7,0),0)</f>
        <v>0</v>
      </c>
      <c r="G10499" s="34" t="n">
        <f aca="false">SUMIFS('12.326ana'!$C:$C,'12.326ana'!$M:$M,redes!A10499)</f>
        <v>0</v>
      </c>
    </row>
    <row r="10500" customFormat="false" ht="14.4" hidden="true" customHeight="false" outlineLevel="0" collapsed="false">
      <c r="A10500" s="34" t="n">
        <v>7508532000183</v>
      </c>
      <c r="B10500" s="34" t="s">
        <v>20926</v>
      </c>
      <c r="C10500" s="34" t="s">
        <v>77</v>
      </c>
      <c r="E10500" s="30" t="s">
        <v>12992</v>
      </c>
      <c r="F10500" s="34" t="n">
        <f aca="false">IFERROR(VLOOKUP($A10500,'319'!$B:$H,7,0),0)</f>
        <v>0</v>
      </c>
      <c r="G10500" s="34" t="n">
        <f aca="false">SUMIFS('12.326ana'!$C:$C,'12.326ana'!$M:$M,redes!A10500)</f>
        <v>0</v>
      </c>
    </row>
    <row r="10501" customFormat="false" ht="14.4" hidden="true" customHeight="false" outlineLevel="0" collapsed="false">
      <c r="A10501" s="34" t="n">
        <v>7510554000188</v>
      </c>
      <c r="B10501" s="34" t="s">
        <v>20927</v>
      </c>
      <c r="C10501" s="34" t="s">
        <v>342</v>
      </c>
      <c r="E10501" s="30" t="s">
        <v>20928</v>
      </c>
      <c r="F10501" s="34" t="n">
        <f aca="false">IFERROR(VLOOKUP($A10501,'319'!$B:$H,7,0),0)</f>
        <v>0</v>
      </c>
      <c r="G10501" s="34" t="n">
        <f aca="false">SUMIFS('12.326ana'!$C:$C,'12.326ana'!$M:$M,redes!A10501)</f>
        <v>0</v>
      </c>
    </row>
    <row r="10502" customFormat="false" ht="14.4" hidden="true" customHeight="false" outlineLevel="0" collapsed="false">
      <c r="A10502" s="34" t="n">
        <v>7512937000195</v>
      </c>
      <c r="B10502" s="34" t="s">
        <v>20929</v>
      </c>
      <c r="C10502" s="34" t="s">
        <v>107</v>
      </c>
      <c r="E10502" s="30" t="s">
        <v>20930</v>
      </c>
      <c r="F10502" s="34" t="n">
        <f aca="false">IFERROR(VLOOKUP($A10502,'319'!$B:$H,7,0),0)</f>
        <v>0</v>
      </c>
      <c r="G10502" s="34" t="n">
        <f aca="false">SUMIFS('12.326ana'!$C:$C,'12.326ana'!$M:$M,redes!A10502)</f>
        <v>0</v>
      </c>
    </row>
    <row r="10503" customFormat="false" ht="14.4" hidden="true" customHeight="false" outlineLevel="0" collapsed="false">
      <c r="A10503" s="34" t="n">
        <v>7515197000140</v>
      </c>
      <c r="B10503" s="34" t="s">
        <v>20931</v>
      </c>
      <c r="C10503" s="34" t="s">
        <v>77</v>
      </c>
      <c r="E10503" s="30" t="s">
        <v>20932</v>
      </c>
      <c r="F10503" s="34" t="n">
        <f aca="false">IFERROR(VLOOKUP($A10503,'319'!$B:$H,7,0),0)</f>
        <v>0</v>
      </c>
      <c r="G10503" s="34" t="n">
        <f aca="false">SUMIFS('12.326ana'!$C:$C,'12.326ana'!$M:$M,redes!A10503)</f>
        <v>0</v>
      </c>
    </row>
    <row r="10504" customFormat="false" ht="14.4" hidden="true" customHeight="false" outlineLevel="0" collapsed="false">
      <c r="A10504" s="34" t="n">
        <v>7516254000106</v>
      </c>
      <c r="B10504" s="34" t="s">
        <v>20933</v>
      </c>
      <c r="C10504" s="34" t="s">
        <v>213</v>
      </c>
      <c r="E10504" s="30"/>
      <c r="F10504" s="34" t="n">
        <f aca="false">IFERROR(VLOOKUP($A10504,'319'!$B:$H,7,0),0)</f>
        <v>0</v>
      </c>
      <c r="G10504" s="34" t="n">
        <f aca="false">SUMIFS('12.326ana'!$C:$C,'12.326ana'!$M:$M,redes!A10504)</f>
        <v>0</v>
      </c>
    </row>
    <row r="10505" customFormat="false" ht="14.4" hidden="true" customHeight="false" outlineLevel="0" collapsed="false">
      <c r="A10505" s="34" t="n">
        <v>7518299000110</v>
      </c>
      <c r="B10505" s="34" t="s">
        <v>20934</v>
      </c>
      <c r="C10505" s="34" t="s">
        <v>77</v>
      </c>
      <c r="E10505" s="30" t="s">
        <v>20935</v>
      </c>
      <c r="F10505" s="34" t="n">
        <f aca="false">IFERROR(VLOOKUP($A10505,'319'!$B:$H,7,0),0)</f>
        <v>0</v>
      </c>
      <c r="G10505" s="34" t="n">
        <f aca="false">SUMIFS('12.326ana'!$C:$C,'12.326ana'!$M:$M,redes!A10505)</f>
        <v>0</v>
      </c>
    </row>
    <row r="10506" customFormat="false" ht="14.4" hidden="true" customHeight="false" outlineLevel="0" collapsed="false">
      <c r="A10506" s="34" t="n">
        <v>7518317000163</v>
      </c>
      <c r="B10506" s="34" t="s">
        <v>20936</v>
      </c>
      <c r="C10506" s="34" t="s">
        <v>77</v>
      </c>
      <c r="E10506" s="30" t="s">
        <v>20937</v>
      </c>
      <c r="F10506" s="34" t="n">
        <f aca="false">IFERROR(VLOOKUP($A10506,'319'!$B:$H,7,0),0)</f>
        <v>0</v>
      </c>
      <c r="G10506" s="34" t="n">
        <f aca="false">SUMIFS('12.326ana'!$C:$C,'12.326ana'!$M:$M,redes!A10506)</f>
        <v>0</v>
      </c>
    </row>
    <row r="10507" customFormat="false" ht="14.4" hidden="true" customHeight="false" outlineLevel="0" collapsed="false">
      <c r="A10507" s="34" t="n">
        <v>7519949000141</v>
      </c>
      <c r="B10507" s="34" t="s">
        <v>20938</v>
      </c>
      <c r="C10507" s="34" t="s">
        <v>77</v>
      </c>
      <c r="E10507" s="30" t="s">
        <v>5316</v>
      </c>
      <c r="F10507" s="34" t="n">
        <f aca="false">IFERROR(VLOOKUP($A10507,'319'!$B:$H,7,0),0)</f>
        <v>0</v>
      </c>
      <c r="G10507" s="34" t="n">
        <f aca="false">SUMIFS('12.326ana'!$C:$C,'12.326ana'!$M:$M,redes!A10507)</f>
        <v>0</v>
      </c>
    </row>
    <row r="10508" customFormat="false" ht="14.4" hidden="true" customHeight="false" outlineLevel="0" collapsed="false">
      <c r="A10508" s="34" t="n">
        <v>7525915000160</v>
      </c>
      <c r="B10508" s="34" t="s">
        <v>20939</v>
      </c>
      <c r="C10508" s="34" t="s">
        <v>842</v>
      </c>
      <c r="E10508" s="30" t="s">
        <v>8059</v>
      </c>
      <c r="F10508" s="34" t="n">
        <f aca="false">IFERROR(VLOOKUP($A10508,'319'!$B:$H,7,0),0)</f>
        <v>0</v>
      </c>
      <c r="G10508" s="34" t="n">
        <f aca="false">SUMIFS('12.326ana'!$C:$C,'12.326ana'!$M:$M,redes!A10508)</f>
        <v>0</v>
      </c>
    </row>
    <row r="10509" customFormat="false" ht="14.4" hidden="true" customHeight="false" outlineLevel="0" collapsed="false">
      <c r="A10509" s="34" t="n">
        <v>7528982000138</v>
      </c>
      <c r="B10509" s="34" t="s">
        <v>20940</v>
      </c>
      <c r="C10509" s="34" t="s">
        <v>77</v>
      </c>
      <c r="E10509" s="30" t="s">
        <v>18087</v>
      </c>
      <c r="F10509" s="34" t="n">
        <f aca="false">IFERROR(VLOOKUP($A10509,'319'!$B:$H,7,0),0)</f>
        <v>0</v>
      </c>
      <c r="G10509" s="34" t="n">
        <f aca="false">SUMIFS('12.326ana'!$C:$C,'12.326ana'!$M:$M,redes!A10509)</f>
        <v>0</v>
      </c>
    </row>
    <row r="10510" customFormat="false" ht="14.4" hidden="true" customHeight="false" outlineLevel="0" collapsed="false">
      <c r="A10510" s="34" t="n">
        <v>7532576000149</v>
      </c>
      <c r="B10510" s="34" t="s">
        <v>20941</v>
      </c>
      <c r="C10510" s="34" t="s">
        <v>77</v>
      </c>
      <c r="E10510" s="30" t="s">
        <v>20942</v>
      </c>
      <c r="F10510" s="34" t="n">
        <f aca="false">IFERROR(VLOOKUP($A10510,'319'!$B:$H,7,0),0)</f>
        <v>0</v>
      </c>
      <c r="G10510" s="34" t="n">
        <f aca="false">SUMIFS('12.326ana'!$C:$C,'12.326ana'!$M:$M,redes!A10510)</f>
        <v>0</v>
      </c>
    </row>
    <row r="10511" customFormat="false" ht="14.4" hidden="true" customHeight="false" outlineLevel="0" collapsed="false">
      <c r="A10511" s="34" t="n">
        <v>7533419000158</v>
      </c>
      <c r="B10511" s="34" t="s">
        <v>20943</v>
      </c>
      <c r="C10511" s="34" t="s">
        <v>377</v>
      </c>
      <c r="E10511" s="30" t="s">
        <v>19130</v>
      </c>
      <c r="F10511" s="34" t="n">
        <f aca="false">IFERROR(VLOOKUP($A10511,'319'!$B:$H,7,0),0)</f>
        <v>0</v>
      </c>
      <c r="G10511" s="34" t="n">
        <f aca="false">SUMIFS('12.326ana'!$C:$C,'12.326ana'!$M:$M,redes!A10511)</f>
        <v>0</v>
      </c>
    </row>
    <row r="10512" customFormat="false" ht="14.4" hidden="true" customHeight="false" outlineLevel="0" collapsed="false">
      <c r="A10512" s="34" t="n">
        <v>7536594000107</v>
      </c>
      <c r="B10512" s="34" t="s">
        <v>20944</v>
      </c>
      <c r="C10512" s="34" t="s">
        <v>77</v>
      </c>
      <c r="E10512" s="30" t="s">
        <v>20945</v>
      </c>
      <c r="F10512" s="34" t="n">
        <f aca="false">IFERROR(VLOOKUP($A10512,'319'!$B:$H,7,0),0)</f>
        <v>0</v>
      </c>
      <c r="G10512" s="34" t="n">
        <f aca="false">SUMIFS('12.326ana'!$C:$C,'12.326ana'!$M:$M,redes!A10512)</f>
        <v>0</v>
      </c>
    </row>
    <row r="10513" customFormat="false" ht="14.4" hidden="true" customHeight="false" outlineLevel="0" collapsed="false">
      <c r="A10513" s="34" t="n">
        <v>7539437000147</v>
      </c>
      <c r="B10513" s="34" t="s">
        <v>9577</v>
      </c>
      <c r="C10513" s="34" t="s">
        <v>478</v>
      </c>
      <c r="E10513" s="30" t="s">
        <v>20946</v>
      </c>
      <c r="F10513" s="34" t="n">
        <f aca="false">IFERROR(VLOOKUP($A10513,'319'!$B:$H,7,0),0)</f>
        <v>0</v>
      </c>
      <c r="G10513" s="34" t="n">
        <f aca="false">SUMIFS('12.326ana'!$C:$C,'12.326ana'!$M:$M,redes!A10513)</f>
        <v>0</v>
      </c>
    </row>
    <row r="10514" customFormat="false" ht="14.4" hidden="true" customHeight="false" outlineLevel="0" collapsed="false">
      <c r="A10514" s="34" t="n">
        <v>7541827000151</v>
      </c>
      <c r="B10514" s="34" t="s">
        <v>20947</v>
      </c>
      <c r="C10514" s="34" t="s">
        <v>809</v>
      </c>
      <c r="E10514" s="30" t="s">
        <v>4630</v>
      </c>
      <c r="F10514" s="34" t="n">
        <f aca="false">IFERROR(VLOOKUP($A10514,'319'!$B:$H,7,0),0)</f>
        <v>0</v>
      </c>
      <c r="G10514" s="34" t="n">
        <f aca="false">SUMIFS('12.326ana'!$C:$C,'12.326ana'!$M:$M,redes!A10514)</f>
        <v>0</v>
      </c>
    </row>
    <row r="10515" customFormat="false" ht="14.4" hidden="true" customHeight="false" outlineLevel="0" collapsed="false">
      <c r="A10515" s="34" t="n">
        <v>7543340000108</v>
      </c>
      <c r="B10515" s="34" t="s">
        <v>20948</v>
      </c>
      <c r="C10515" s="34" t="s">
        <v>631</v>
      </c>
      <c r="E10515" s="30" t="s">
        <v>20949</v>
      </c>
      <c r="F10515" s="34" t="n">
        <f aca="false">IFERROR(VLOOKUP($A10515,'319'!$B:$H,7,0),0)</f>
        <v>0</v>
      </c>
      <c r="G10515" s="34" t="n">
        <f aca="false">SUMIFS('12.326ana'!$C:$C,'12.326ana'!$M:$M,redes!A10515)</f>
        <v>0</v>
      </c>
    </row>
    <row r="10516" customFormat="false" ht="14.4" hidden="true" customHeight="false" outlineLevel="0" collapsed="false">
      <c r="A10516" s="34" t="n">
        <v>7544909000150</v>
      </c>
      <c r="B10516" s="34" t="s">
        <v>20950</v>
      </c>
      <c r="C10516" s="34" t="s">
        <v>77</v>
      </c>
      <c r="E10516" s="30" t="s">
        <v>20951</v>
      </c>
      <c r="F10516" s="34" t="n">
        <f aca="false">IFERROR(VLOOKUP($A10516,'319'!$B:$H,7,0),0)</f>
        <v>0</v>
      </c>
      <c r="G10516" s="34" t="n">
        <f aca="false">SUMIFS('12.326ana'!$C:$C,'12.326ana'!$M:$M,redes!A10516)</f>
        <v>0</v>
      </c>
    </row>
    <row r="10517" customFormat="false" ht="14.4" hidden="true" customHeight="false" outlineLevel="0" collapsed="false">
      <c r="A10517" s="34" t="n">
        <v>7547100000181</v>
      </c>
      <c r="B10517" s="34" t="s">
        <v>20952</v>
      </c>
      <c r="C10517" s="34" t="s">
        <v>77</v>
      </c>
      <c r="E10517" s="30" t="s">
        <v>20953</v>
      </c>
      <c r="F10517" s="34" t="n">
        <f aca="false">IFERROR(VLOOKUP($A10517,'319'!$B:$H,7,0),0)</f>
        <v>0</v>
      </c>
      <c r="G10517" s="34" t="n">
        <f aca="false">SUMIFS('12.326ana'!$C:$C,'12.326ana'!$M:$M,redes!A10517)</f>
        <v>0</v>
      </c>
    </row>
    <row r="10518" customFormat="false" ht="14.4" hidden="true" customHeight="false" outlineLevel="0" collapsed="false">
      <c r="A10518" s="34" t="n">
        <v>7549107000132</v>
      </c>
      <c r="B10518" s="34" t="s">
        <v>20954</v>
      </c>
      <c r="C10518" s="34" t="s">
        <v>77</v>
      </c>
      <c r="E10518" s="30" t="s">
        <v>3188</v>
      </c>
      <c r="F10518" s="34" t="n">
        <f aca="false">IFERROR(VLOOKUP($A10518,'319'!$B:$H,7,0),0)</f>
        <v>0</v>
      </c>
      <c r="G10518" s="34" t="n">
        <f aca="false">SUMIFS('12.326ana'!$C:$C,'12.326ana'!$M:$M,redes!A10518)</f>
        <v>0</v>
      </c>
    </row>
    <row r="10519" customFormat="false" ht="14.4" hidden="true" customHeight="false" outlineLevel="0" collapsed="false">
      <c r="A10519" s="34" t="n">
        <v>7560310000100</v>
      </c>
      <c r="B10519" s="34" t="s">
        <v>20955</v>
      </c>
      <c r="C10519" s="34" t="s">
        <v>77</v>
      </c>
      <c r="D10519" s="34" t="s">
        <v>20956</v>
      </c>
      <c r="E10519" s="30" t="s">
        <v>20957</v>
      </c>
      <c r="F10519" s="34" t="n">
        <f aca="false">IFERROR(VLOOKUP($A10519,'319'!$B:$H,7,0),0)</f>
        <v>0</v>
      </c>
      <c r="G10519" s="34" t="n">
        <f aca="false">SUMIFS('12.326ana'!$C:$C,'12.326ana'!$M:$M,redes!A10519)</f>
        <v>0</v>
      </c>
    </row>
    <row r="10520" customFormat="false" ht="14.4" hidden="true" customHeight="false" outlineLevel="0" collapsed="false">
      <c r="A10520" s="34" t="n">
        <v>7563592000107</v>
      </c>
      <c r="B10520" s="34" t="s">
        <v>20958</v>
      </c>
      <c r="C10520" s="34" t="s">
        <v>103</v>
      </c>
      <c r="E10520" s="30" t="s">
        <v>15679</v>
      </c>
      <c r="F10520" s="34" t="n">
        <f aca="false">IFERROR(VLOOKUP($A10520,'319'!$B:$H,7,0),0)</f>
        <v>0</v>
      </c>
      <c r="G10520" s="34" t="n">
        <f aca="false">SUMIFS('12.326ana'!$C:$C,'12.326ana'!$M:$M,redes!A10520)</f>
        <v>0</v>
      </c>
    </row>
    <row r="10521" customFormat="false" ht="14.4" hidden="true" customHeight="false" outlineLevel="0" collapsed="false">
      <c r="A10521" s="34" t="n">
        <v>7564095000115</v>
      </c>
      <c r="B10521" s="34" t="s">
        <v>20959</v>
      </c>
      <c r="C10521" s="34" t="s">
        <v>107</v>
      </c>
      <c r="E10521" s="30" t="s">
        <v>20960</v>
      </c>
      <c r="F10521" s="34" t="n">
        <f aca="false">IFERROR(VLOOKUP($A10521,'319'!$B:$H,7,0),0)</f>
        <v>0</v>
      </c>
      <c r="G10521" s="34" t="n">
        <f aca="false">SUMIFS('12.326ana'!$C:$C,'12.326ana'!$M:$M,redes!A10521)</f>
        <v>0</v>
      </c>
    </row>
    <row r="10522" customFormat="false" ht="14.4" hidden="true" customHeight="false" outlineLevel="0" collapsed="false">
      <c r="A10522" s="34" t="n">
        <v>7566553000155</v>
      </c>
      <c r="B10522" s="34" t="s">
        <v>20961</v>
      </c>
      <c r="C10522" s="34" t="s">
        <v>107</v>
      </c>
      <c r="E10522" s="30" t="s">
        <v>4678</v>
      </c>
      <c r="F10522" s="34" t="n">
        <f aca="false">IFERROR(VLOOKUP($A10522,'319'!$B:$H,7,0),0)</f>
        <v>0</v>
      </c>
      <c r="G10522" s="34" t="n">
        <f aca="false">SUMIFS('12.326ana'!$C:$C,'12.326ana'!$M:$M,redes!A10522)</f>
        <v>0</v>
      </c>
    </row>
    <row r="10523" customFormat="false" ht="14.4" hidden="true" customHeight="false" outlineLevel="0" collapsed="false">
      <c r="A10523" s="34" t="n">
        <v>7567448000130</v>
      </c>
      <c r="B10523" s="34" t="s">
        <v>20962</v>
      </c>
      <c r="C10523" s="34" t="s">
        <v>377</v>
      </c>
      <c r="E10523" s="30" t="s">
        <v>17776</v>
      </c>
      <c r="F10523" s="34" t="n">
        <f aca="false">IFERROR(VLOOKUP($A10523,'319'!$B:$H,7,0),0)</f>
        <v>0</v>
      </c>
      <c r="G10523" s="34" t="n">
        <f aca="false">SUMIFS('12.326ana'!$C:$C,'12.326ana'!$M:$M,redes!A10523)</f>
        <v>0</v>
      </c>
    </row>
    <row r="10524" customFormat="false" ht="14.4" hidden="true" customHeight="false" outlineLevel="0" collapsed="false">
      <c r="A10524" s="34" t="n">
        <v>7567543000134</v>
      </c>
      <c r="B10524" s="34" t="s">
        <v>20963</v>
      </c>
      <c r="C10524" s="34" t="s">
        <v>357</v>
      </c>
      <c r="E10524" s="30"/>
      <c r="F10524" s="34" t="n">
        <f aca="false">IFERROR(VLOOKUP($A10524,'319'!$B:$H,7,0),0)</f>
        <v>0</v>
      </c>
      <c r="G10524" s="34" t="n">
        <f aca="false">SUMIFS('12.326ana'!$C:$C,'12.326ana'!$M:$M,redes!A10524)</f>
        <v>0</v>
      </c>
    </row>
    <row r="10525" customFormat="false" ht="14.4" hidden="true" customHeight="false" outlineLevel="0" collapsed="false">
      <c r="A10525" s="34" t="n">
        <v>7570090000103</v>
      </c>
      <c r="B10525" s="34" t="s">
        <v>20964</v>
      </c>
      <c r="C10525" s="34" t="s">
        <v>127</v>
      </c>
      <c r="E10525" s="30" t="s">
        <v>20965</v>
      </c>
      <c r="F10525" s="34" t="n">
        <f aca="false">IFERROR(VLOOKUP($A10525,'319'!$B:$H,7,0),0)</f>
        <v>0</v>
      </c>
      <c r="G10525" s="34" t="n">
        <f aca="false">SUMIFS('12.326ana'!$C:$C,'12.326ana'!$M:$M,redes!A10525)</f>
        <v>0</v>
      </c>
    </row>
    <row r="10526" customFormat="false" ht="14.4" hidden="true" customHeight="false" outlineLevel="0" collapsed="false">
      <c r="A10526" s="34" t="n">
        <v>7573765000160</v>
      </c>
      <c r="B10526" s="34" t="s">
        <v>20966</v>
      </c>
      <c r="C10526" s="34" t="s">
        <v>351</v>
      </c>
      <c r="E10526" s="30" t="s">
        <v>20967</v>
      </c>
      <c r="F10526" s="34" t="n">
        <f aca="false">IFERROR(VLOOKUP($A10526,'319'!$B:$H,7,0),0)</f>
        <v>0</v>
      </c>
      <c r="G10526" s="34" t="n">
        <f aca="false">SUMIFS('12.326ana'!$C:$C,'12.326ana'!$M:$M,redes!A10526)</f>
        <v>0</v>
      </c>
    </row>
    <row r="10527" customFormat="false" ht="14.4" hidden="true" customHeight="false" outlineLevel="0" collapsed="false">
      <c r="A10527" s="34" t="n">
        <v>7577198000110</v>
      </c>
      <c r="B10527" s="34" t="s">
        <v>20968</v>
      </c>
      <c r="C10527" s="34" t="s">
        <v>309</v>
      </c>
      <c r="E10527" s="30" t="s">
        <v>20969</v>
      </c>
      <c r="F10527" s="34" t="n">
        <f aca="false">IFERROR(VLOOKUP($A10527,'319'!$B:$H,7,0),0)</f>
        <v>0</v>
      </c>
      <c r="G10527" s="34" t="n">
        <f aca="false">SUMIFS('12.326ana'!$C:$C,'12.326ana'!$M:$M,redes!A10527)</f>
        <v>0</v>
      </c>
    </row>
    <row r="10528" customFormat="false" ht="14.4" hidden="true" customHeight="false" outlineLevel="0" collapsed="false">
      <c r="A10528" s="34" t="n">
        <v>7577738000165</v>
      </c>
      <c r="B10528" s="34" t="s">
        <v>20970</v>
      </c>
      <c r="C10528" s="34" t="s">
        <v>117</v>
      </c>
      <c r="E10528" s="30" t="s">
        <v>20971</v>
      </c>
      <c r="F10528" s="34" t="n">
        <f aca="false">IFERROR(VLOOKUP($A10528,'319'!$B:$H,7,0),0)</f>
        <v>0</v>
      </c>
      <c r="G10528" s="34" t="n">
        <f aca="false">SUMIFS('12.326ana'!$C:$C,'12.326ana'!$M:$M,redes!A10528)</f>
        <v>0</v>
      </c>
    </row>
    <row r="10529" customFormat="false" ht="14.4" hidden="true" customHeight="false" outlineLevel="0" collapsed="false">
      <c r="A10529" s="34" t="n">
        <v>7578678000103</v>
      </c>
      <c r="B10529" s="34" t="s">
        <v>20972</v>
      </c>
      <c r="C10529" s="34" t="s">
        <v>77</v>
      </c>
      <c r="E10529" s="30" t="s">
        <v>6838</v>
      </c>
      <c r="F10529" s="34" t="n">
        <f aca="false">IFERROR(VLOOKUP($A10529,'319'!$B:$H,7,0),0)</f>
        <v>0</v>
      </c>
      <c r="G10529" s="34" t="n">
        <f aca="false">SUMIFS('12.326ana'!$C:$C,'12.326ana'!$M:$M,redes!A10529)</f>
        <v>0</v>
      </c>
    </row>
    <row r="10530" customFormat="false" ht="14.4" hidden="true" customHeight="false" outlineLevel="0" collapsed="false">
      <c r="A10530" s="34" t="n">
        <v>7579628000132</v>
      </c>
      <c r="B10530" s="34" t="s">
        <v>20973</v>
      </c>
      <c r="C10530" s="34" t="s">
        <v>77</v>
      </c>
      <c r="D10530" s="34" t="s">
        <v>13626</v>
      </c>
      <c r="E10530" s="30" t="s">
        <v>20974</v>
      </c>
      <c r="F10530" s="34" t="n">
        <f aca="false">IFERROR(VLOOKUP($A10530,'319'!$B:$H,7,0),0)</f>
        <v>0</v>
      </c>
      <c r="G10530" s="34" t="n">
        <f aca="false">SUMIFS('12.326ana'!$C:$C,'12.326ana'!$M:$M,redes!A10530)</f>
        <v>0</v>
      </c>
    </row>
    <row r="10531" customFormat="false" ht="14.4" hidden="true" customHeight="false" outlineLevel="0" collapsed="false">
      <c r="A10531" s="34" t="n">
        <v>7579657000102</v>
      </c>
      <c r="B10531" s="34" t="s">
        <v>20975</v>
      </c>
      <c r="C10531" s="34" t="s">
        <v>77</v>
      </c>
      <c r="E10531" s="30" t="s">
        <v>20976</v>
      </c>
      <c r="F10531" s="34" t="n">
        <f aca="false">IFERROR(VLOOKUP($A10531,'319'!$B:$H,7,0),0)</f>
        <v>0</v>
      </c>
      <c r="G10531" s="34" t="n">
        <f aca="false">SUMIFS('12.326ana'!$C:$C,'12.326ana'!$M:$M,redes!A10531)</f>
        <v>0</v>
      </c>
    </row>
    <row r="10532" customFormat="false" ht="14.4" hidden="true" customHeight="false" outlineLevel="0" collapsed="false">
      <c r="A10532" s="34" t="n">
        <v>7579950000161</v>
      </c>
      <c r="B10532" s="34" t="s">
        <v>20977</v>
      </c>
      <c r="C10532" s="34" t="s">
        <v>77</v>
      </c>
      <c r="E10532" s="30" t="s">
        <v>20978</v>
      </c>
      <c r="F10532" s="34" t="n">
        <f aca="false">IFERROR(VLOOKUP($A10532,'319'!$B:$H,7,0),0)</f>
        <v>0</v>
      </c>
      <c r="G10532" s="34" t="n">
        <f aca="false">SUMIFS('12.326ana'!$C:$C,'12.326ana'!$M:$M,redes!A10532)</f>
        <v>0</v>
      </c>
    </row>
    <row r="10533" customFormat="false" ht="14.4" hidden="true" customHeight="false" outlineLevel="0" collapsed="false">
      <c r="A10533" s="34" t="n">
        <v>7584573000159</v>
      </c>
      <c r="B10533" s="34" t="s">
        <v>20979</v>
      </c>
      <c r="C10533" s="34" t="s">
        <v>77</v>
      </c>
      <c r="E10533" s="30" t="s">
        <v>9281</v>
      </c>
      <c r="F10533" s="34" t="n">
        <f aca="false">IFERROR(VLOOKUP($A10533,'319'!$B:$H,7,0),0)</f>
        <v>0</v>
      </c>
      <c r="G10533" s="34" t="n">
        <f aca="false">SUMIFS('12.326ana'!$C:$C,'12.326ana'!$M:$M,redes!A10533)</f>
        <v>0</v>
      </c>
    </row>
    <row r="10534" customFormat="false" ht="14.4" hidden="true" customHeight="false" outlineLevel="0" collapsed="false">
      <c r="A10534" s="34" t="n">
        <v>7585899000109</v>
      </c>
      <c r="B10534" s="34" t="s">
        <v>20980</v>
      </c>
      <c r="C10534" s="34" t="s">
        <v>77</v>
      </c>
      <c r="E10534" s="30" t="s">
        <v>20981</v>
      </c>
      <c r="F10534" s="34" t="n">
        <f aca="false">IFERROR(VLOOKUP($A10534,'319'!$B:$H,7,0),0)</f>
        <v>0</v>
      </c>
      <c r="G10534" s="34" t="n">
        <f aca="false">SUMIFS('12.326ana'!$C:$C,'12.326ana'!$M:$M,redes!A10534)</f>
        <v>0</v>
      </c>
    </row>
    <row r="10535" customFormat="false" ht="14.4" hidden="true" customHeight="false" outlineLevel="0" collapsed="false">
      <c r="A10535" s="34" t="n">
        <v>7586695000184</v>
      </c>
      <c r="B10535" s="34" t="s">
        <v>20982</v>
      </c>
      <c r="C10535" s="34" t="s">
        <v>77</v>
      </c>
      <c r="E10535" s="30" t="s">
        <v>20983</v>
      </c>
      <c r="F10535" s="34" t="n">
        <f aca="false">IFERROR(VLOOKUP($A10535,'319'!$B:$H,7,0),0)</f>
        <v>0</v>
      </c>
      <c r="G10535" s="34" t="n">
        <f aca="false">SUMIFS('12.326ana'!$C:$C,'12.326ana'!$M:$M,redes!A10535)</f>
        <v>0</v>
      </c>
    </row>
    <row r="10536" customFormat="false" ht="14.4" hidden="true" customHeight="false" outlineLevel="0" collapsed="false">
      <c r="A10536" s="34" t="n">
        <v>7587179000174</v>
      </c>
      <c r="B10536" s="34" t="s">
        <v>20984</v>
      </c>
      <c r="C10536" s="34" t="s">
        <v>781</v>
      </c>
      <c r="E10536" s="30" t="s">
        <v>20985</v>
      </c>
      <c r="F10536" s="34" t="n">
        <f aca="false">IFERROR(VLOOKUP($A10536,'319'!$B:$H,7,0),0)</f>
        <v>0</v>
      </c>
      <c r="G10536" s="34" t="n">
        <f aca="false">SUMIFS('12.326ana'!$C:$C,'12.326ana'!$M:$M,redes!A10536)</f>
        <v>0</v>
      </c>
    </row>
    <row r="10537" customFormat="false" ht="14.4" hidden="true" customHeight="false" outlineLevel="0" collapsed="false">
      <c r="A10537" s="34" t="n">
        <v>7589038000190</v>
      </c>
      <c r="B10537" s="34" t="s">
        <v>20986</v>
      </c>
      <c r="C10537" s="34" t="s">
        <v>77</v>
      </c>
      <c r="E10537" s="30" t="s">
        <v>5391</v>
      </c>
      <c r="F10537" s="34" t="n">
        <f aca="false">IFERROR(VLOOKUP($A10537,'319'!$B:$H,7,0),0)</f>
        <v>0</v>
      </c>
      <c r="G10537" s="34" t="n">
        <f aca="false">SUMIFS('12.326ana'!$C:$C,'12.326ana'!$M:$M,redes!A10537)</f>
        <v>0</v>
      </c>
    </row>
    <row r="10538" customFormat="false" ht="14.4" hidden="true" customHeight="false" outlineLevel="0" collapsed="false">
      <c r="A10538" s="34" t="n">
        <v>7589580000143</v>
      </c>
      <c r="B10538" s="34" t="s">
        <v>20987</v>
      </c>
      <c r="C10538" s="34" t="s">
        <v>77</v>
      </c>
      <c r="E10538" s="30" t="s">
        <v>20988</v>
      </c>
      <c r="F10538" s="34" t="n">
        <f aca="false">IFERROR(VLOOKUP($A10538,'319'!$B:$H,7,0),0)</f>
        <v>0</v>
      </c>
      <c r="G10538" s="34" t="n">
        <f aca="false">SUMIFS('12.326ana'!$C:$C,'12.326ana'!$M:$M,redes!A10538)</f>
        <v>0</v>
      </c>
    </row>
    <row r="10539" customFormat="false" ht="14.4" hidden="true" customHeight="false" outlineLevel="0" collapsed="false">
      <c r="A10539" s="34" t="n">
        <v>7590126000102</v>
      </c>
      <c r="B10539" s="34" t="s">
        <v>20989</v>
      </c>
      <c r="C10539" s="34" t="s">
        <v>737</v>
      </c>
      <c r="E10539" s="30" t="s">
        <v>20990</v>
      </c>
      <c r="F10539" s="34" t="n">
        <f aca="false">IFERROR(VLOOKUP($A10539,'319'!$B:$H,7,0),0)</f>
        <v>0</v>
      </c>
      <c r="G10539" s="34" t="n">
        <f aca="false">SUMIFS('12.326ana'!$C:$C,'12.326ana'!$M:$M,redes!A10539)</f>
        <v>0</v>
      </c>
    </row>
    <row r="10540" customFormat="false" ht="14.4" hidden="true" customHeight="false" outlineLevel="0" collapsed="false">
      <c r="A10540" s="34" t="n">
        <v>7592726000100</v>
      </c>
      <c r="B10540" s="34" t="s">
        <v>20991</v>
      </c>
      <c r="C10540" s="34" t="s">
        <v>77</v>
      </c>
      <c r="E10540" s="30" t="s">
        <v>20992</v>
      </c>
      <c r="F10540" s="34" t="n">
        <f aca="false">IFERROR(VLOOKUP($A10540,'319'!$B:$H,7,0),0)</f>
        <v>0</v>
      </c>
      <c r="G10540" s="34" t="n">
        <f aca="false">SUMIFS('12.326ana'!$C:$C,'12.326ana'!$M:$M,redes!A10540)</f>
        <v>0</v>
      </c>
    </row>
    <row r="10541" customFormat="false" ht="14.4" hidden="true" customHeight="false" outlineLevel="0" collapsed="false">
      <c r="A10541" s="34" t="n">
        <v>7595161000114</v>
      </c>
      <c r="B10541" s="34" t="s">
        <v>20993</v>
      </c>
      <c r="C10541" s="34" t="s">
        <v>213</v>
      </c>
      <c r="E10541" s="30" t="s">
        <v>20994</v>
      </c>
      <c r="F10541" s="34" t="n">
        <f aca="false">IFERROR(VLOOKUP($A10541,'319'!$B:$H,7,0),0)</f>
        <v>0</v>
      </c>
      <c r="G10541" s="34" t="n">
        <f aca="false">SUMIFS('12.326ana'!$C:$C,'12.326ana'!$M:$M,redes!A10541)</f>
        <v>0</v>
      </c>
    </row>
    <row r="10542" customFormat="false" ht="14.4" hidden="true" customHeight="false" outlineLevel="0" collapsed="false">
      <c r="A10542" s="34" t="n">
        <v>7598513000195</v>
      </c>
      <c r="B10542" s="34" t="s">
        <v>20995</v>
      </c>
      <c r="C10542" s="34" t="s">
        <v>77</v>
      </c>
      <c r="D10542" s="34" t="s">
        <v>17415</v>
      </c>
      <c r="E10542" s="30" t="s">
        <v>12434</v>
      </c>
      <c r="F10542" s="34" t="n">
        <f aca="false">IFERROR(VLOOKUP($A10542,'319'!$B:$H,7,0),0)</f>
        <v>0</v>
      </c>
      <c r="G10542" s="34" t="n">
        <f aca="false">SUMIFS('12.326ana'!$C:$C,'12.326ana'!$M:$M,redes!A10542)</f>
        <v>0</v>
      </c>
    </row>
    <row r="10543" customFormat="false" ht="14.4" hidden="true" customHeight="false" outlineLevel="0" collapsed="false">
      <c r="A10543" s="34" t="n">
        <v>7599254000117</v>
      </c>
      <c r="B10543" s="34" t="s">
        <v>20996</v>
      </c>
      <c r="C10543" s="34" t="s">
        <v>77</v>
      </c>
      <c r="E10543" s="30" t="s">
        <v>20997</v>
      </c>
      <c r="F10543" s="34" t="n">
        <f aca="false">IFERROR(VLOOKUP($A10543,'319'!$B:$H,7,0),0)</f>
        <v>0</v>
      </c>
      <c r="G10543" s="34" t="n">
        <f aca="false">SUMIFS('12.326ana'!$C:$C,'12.326ana'!$M:$M,redes!A10543)</f>
        <v>0</v>
      </c>
    </row>
    <row r="10544" customFormat="false" ht="14.4" hidden="true" customHeight="false" outlineLevel="0" collapsed="false">
      <c r="A10544" s="34" t="n">
        <v>7599652000133</v>
      </c>
      <c r="B10544" s="34" t="s">
        <v>20998</v>
      </c>
      <c r="C10544" s="34" t="s">
        <v>4156</v>
      </c>
      <c r="E10544" s="30" t="s">
        <v>20999</v>
      </c>
      <c r="F10544" s="34" t="n">
        <f aca="false">IFERROR(VLOOKUP($A10544,'319'!$B:$H,7,0),0)</f>
        <v>0</v>
      </c>
      <c r="G10544" s="34" t="n">
        <f aca="false">SUMIFS('12.326ana'!$C:$C,'12.326ana'!$M:$M,redes!A10544)</f>
        <v>0</v>
      </c>
    </row>
    <row r="10545" customFormat="false" ht="14.4" hidden="true" customHeight="false" outlineLevel="0" collapsed="false">
      <c r="A10545" s="34" t="n">
        <v>7599750000170</v>
      </c>
      <c r="B10545" s="34" t="s">
        <v>21000</v>
      </c>
      <c r="C10545" s="34" t="s">
        <v>89</v>
      </c>
      <c r="E10545" s="30" t="s">
        <v>15561</v>
      </c>
      <c r="F10545" s="34" t="n">
        <f aca="false">IFERROR(VLOOKUP($A10545,'319'!$B:$H,7,0),0)</f>
        <v>0</v>
      </c>
      <c r="G10545" s="34" t="n">
        <f aca="false">SUMIFS('12.326ana'!$C:$C,'12.326ana'!$M:$M,redes!A10545)</f>
        <v>0</v>
      </c>
    </row>
    <row r="10546" customFormat="false" ht="14.4" hidden="true" customHeight="false" outlineLevel="0" collapsed="false">
      <c r="A10546" s="34" t="n">
        <v>7600889000197</v>
      </c>
      <c r="B10546" s="34" t="s">
        <v>21001</v>
      </c>
      <c r="C10546" s="34" t="s">
        <v>77</v>
      </c>
      <c r="E10546" s="30" t="s">
        <v>21002</v>
      </c>
      <c r="F10546" s="34" t="n">
        <f aca="false">IFERROR(VLOOKUP($A10546,'319'!$B:$H,7,0),0)</f>
        <v>0</v>
      </c>
      <c r="G10546" s="34" t="n">
        <f aca="false">SUMIFS('12.326ana'!$C:$C,'12.326ana'!$M:$M,redes!A10546)</f>
        <v>0</v>
      </c>
    </row>
    <row r="10547" customFormat="false" ht="14.4" hidden="true" customHeight="false" outlineLevel="0" collapsed="false">
      <c r="A10547" s="34" t="n">
        <v>7601597000179</v>
      </c>
      <c r="B10547" s="34" t="s">
        <v>21003</v>
      </c>
      <c r="C10547" s="34" t="s">
        <v>107</v>
      </c>
      <c r="E10547" s="30" t="s">
        <v>21004</v>
      </c>
      <c r="F10547" s="34" t="n">
        <f aca="false">IFERROR(VLOOKUP($A10547,'319'!$B:$H,7,0),0)</f>
        <v>0</v>
      </c>
      <c r="G10547" s="34" t="n">
        <f aca="false">SUMIFS('12.326ana'!$C:$C,'12.326ana'!$M:$M,redes!A10547)</f>
        <v>0</v>
      </c>
    </row>
    <row r="10548" customFormat="false" ht="14.4" hidden="true" customHeight="false" outlineLevel="0" collapsed="false">
      <c r="A10548" s="34" t="n">
        <v>7602106000104</v>
      </c>
      <c r="B10548" s="34" t="s">
        <v>21005</v>
      </c>
      <c r="C10548" s="34" t="s">
        <v>405</v>
      </c>
      <c r="E10548" s="30" t="s">
        <v>21006</v>
      </c>
      <c r="F10548" s="34" t="n">
        <f aca="false">IFERROR(VLOOKUP($A10548,'319'!$B:$H,7,0),0)</f>
        <v>0</v>
      </c>
      <c r="G10548" s="34" t="n">
        <f aca="false">SUMIFS('12.326ana'!$C:$C,'12.326ana'!$M:$M,redes!A10548)</f>
        <v>0</v>
      </c>
    </row>
    <row r="10549" customFormat="false" ht="14.4" hidden="true" customHeight="false" outlineLevel="0" collapsed="false">
      <c r="A10549" s="34" t="n">
        <v>7603721000135</v>
      </c>
      <c r="B10549" s="34" t="s">
        <v>21007</v>
      </c>
      <c r="C10549" s="34" t="s">
        <v>848</v>
      </c>
      <c r="E10549" s="30" t="s">
        <v>21008</v>
      </c>
      <c r="F10549" s="34" t="n">
        <f aca="false">IFERROR(VLOOKUP($A10549,'319'!$B:$H,7,0),0)</f>
        <v>0</v>
      </c>
      <c r="G10549" s="34" t="n">
        <f aca="false">SUMIFS('12.326ana'!$C:$C,'12.326ana'!$M:$M,redes!A10549)</f>
        <v>0</v>
      </c>
    </row>
    <row r="10550" customFormat="false" ht="14.4" hidden="true" customHeight="false" outlineLevel="0" collapsed="false">
      <c r="A10550" s="34" t="n">
        <v>7603838000119</v>
      </c>
      <c r="B10550" s="34" t="s">
        <v>21009</v>
      </c>
      <c r="C10550" s="34" t="s">
        <v>192</v>
      </c>
      <c r="E10550" s="30" t="s">
        <v>21010</v>
      </c>
      <c r="F10550" s="34" t="n">
        <f aca="false">IFERROR(VLOOKUP($A10550,'319'!$B:$H,7,0),0)</f>
        <v>0</v>
      </c>
      <c r="G10550" s="34" t="n">
        <f aca="false">SUMIFS('12.326ana'!$C:$C,'12.326ana'!$M:$M,redes!A10550)</f>
        <v>0</v>
      </c>
    </row>
    <row r="10551" customFormat="false" ht="14.4" hidden="true" customHeight="false" outlineLevel="0" collapsed="false">
      <c r="A10551" s="34" t="n">
        <v>7604556001531</v>
      </c>
      <c r="B10551" s="34" t="s">
        <v>21011</v>
      </c>
      <c r="C10551" s="34" t="s">
        <v>21012</v>
      </c>
      <c r="E10551" s="30" t="s">
        <v>21013</v>
      </c>
      <c r="F10551" s="34" t="n">
        <f aca="false">IFERROR(VLOOKUP($A10551,'319'!$B:$H,7,0),0)</f>
        <v>0</v>
      </c>
      <c r="G10551" s="34" t="n">
        <f aca="false">SUMIFS('12.326ana'!$C:$C,'12.326ana'!$M:$M,redes!A10551)</f>
        <v>0</v>
      </c>
    </row>
    <row r="10552" customFormat="false" ht="14.4" hidden="true" customHeight="false" outlineLevel="0" collapsed="false">
      <c r="A10552" s="34" t="n">
        <v>7605737000187</v>
      </c>
      <c r="B10552" s="34" t="s">
        <v>21014</v>
      </c>
      <c r="C10552" s="34" t="s">
        <v>117</v>
      </c>
      <c r="E10552" s="30" t="s">
        <v>21015</v>
      </c>
      <c r="F10552" s="34" t="n">
        <f aca="false">IFERROR(VLOOKUP($A10552,'319'!$B:$H,7,0),0)</f>
        <v>0</v>
      </c>
      <c r="G10552" s="34" t="n">
        <f aca="false">SUMIFS('12.326ana'!$C:$C,'12.326ana'!$M:$M,redes!A10552)</f>
        <v>0</v>
      </c>
    </row>
    <row r="10553" customFormat="false" ht="14.4" hidden="true" customHeight="false" outlineLevel="0" collapsed="false">
      <c r="A10553" s="34" t="n">
        <v>7605866000175</v>
      </c>
      <c r="B10553" s="34" t="s">
        <v>21016</v>
      </c>
      <c r="C10553" s="34" t="s">
        <v>336</v>
      </c>
      <c r="E10553" s="30" t="s">
        <v>21017</v>
      </c>
      <c r="F10553" s="34" t="n">
        <f aca="false">IFERROR(VLOOKUP($A10553,'319'!$B:$H,7,0),0)</f>
        <v>0</v>
      </c>
      <c r="G10553" s="34" t="n">
        <f aca="false">SUMIFS('12.326ana'!$C:$C,'12.326ana'!$M:$M,redes!A10553)</f>
        <v>0</v>
      </c>
    </row>
    <row r="10554" customFormat="false" ht="14.4" hidden="true" customHeight="false" outlineLevel="0" collapsed="false">
      <c r="A10554" s="34" t="n">
        <v>7608522000110</v>
      </c>
      <c r="B10554" s="34" t="s">
        <v>21018</v>
      </c>
      <c r="C10554" s="34" t="s">
        <v>357</v>
      </c>
      <c r="E10554" s="30" t="s">
        <v>21019</v>
      </c>
      <c r="F10554" s="34" t="n">
        <f aca="false">IFERROR(VLOOKUP($A10554,'319'!$B:$H,7,0),0)</f>
        <v>0</v>
      </c>
      <c r="G10554" s="34" t="n">
        <f aca="false">SUMIFS('12.326ana'!$C:$C,'12.326ana'!$M:$M,redes!A10554)</f>
        <v>0</v>
      </c>
    </row>
    <row r="10555" customFormat="false" ht="14.4" hidden="true" customHeight="false" outlineLevel="0" collapsed="false">
      <c r="A10555" s="34" t="n">
        <v>7610118000180</v>
      </c>
      <c r="B10555" s="34" t="s">
        <v>21020</v>
      </c>
      <c r="C10555" s="34" t="s">
        <v>77</v>
      </c>
      <c r="E10555" s="30" t="s">
        <v>19046</v>
      </c>
      <c r="F10555" s="34" t="n">
        <f aca="false">IFERROR(VLOOKUP($A10555,'319'!$B:$H,7,0),0)</f>
        <v>0</v>
      </c>
      <c r="G10555" s="34" t="n">
        <f aca="false">SUMIFS('12.326ana'!$C:$C,'12.326ana'!$M:$M,redes!A10555)</f>
        <v>0</v>
      </c>
    </row>
    <row r="10556" customFormat="false" ht="14.4" hidden="true" customHeight="false" outlineLevel="0" collapsed="false">
      <c r="A10556" s="35" t="n">
        <v>7611050000154</v>
      </c>
      <c r="B10556" s="34" t="s">
        <v>21021</v>
      </c>
      <c r="C10556" s="34" t="s">
        <v>1272</v>
      </c>
      <c r="E10556" s="30" t="s">
        <v>21022</v>
      </c>
      <c r="F10556" s="34" t="n">
        <f aca="false">IFERROR(VLOOKUP($A10556,'319'!$B:$H,7,0),0)</f>
        <v>0</v>
      </c>
      <c r="G10556" s="34" t="n">
        <f aca="false">SUMIFS('12.326ana'!$C:$C,'12.326ana'!$M:$M,redes!A10556)</f>
        <v>0</v>
      </c>
    </row>
    <row r="10557" customFormat="false" ht="14.4" hidden="true" customHeight="false" outlineLevel="0" collapsed="false">
      <c r="A10557" s="34" t="n">
        <v>7615425000154</v>
      </c>
      <c r="B10557" s="34" t="s">
        <v>21023</v>
      </c>
      <c r="C10557" s="34" t="s">
        <v>77</v>
      </c>
      <c r="D10557" s="34" t="s">
        <v>21024</v>
      </c>
      <c r="E10557" s="30" t="s">
        <v>21025</v>
      </c>
      <c r="F10557" s="34" t="n">
        <f aca="false">IFERROR(VLOOKUP($A10557,'319'!$B:$H,7,0),0)</f>
        <v>181.76</v>
      </c>
      <c r="G10557" s="34" t="n">
        <f aca="false">SUMIFS('12.326ana'!$C:$C,'12.326ana'!$M:$M,redes!A10557)</f>
        <v>0</v>
      </c>
    </row>
    <row r="10558" customFormat="false" ht="14.4" hidden="true" customHeight="false" outlineLevel="0" collapsed="false">
      <c r="A10558" s="34" t="n">
        <v>7615425000235</v>
      </c>
      <c r="B10558" s="34" t="s">
        <v>21023</v>
      </c>
      <c r="C10558" s="34" t="s">
        <v>77</v>
      </c>
      <c r="D10558" s="34" t="s">
        <v>21024</v>
      </c>
      <c r="E10558" s="30" t="s">
        <v>21025</v>
      </c>
      <c r="F10558" s="34" t="n">
        <f aca="false">IFERROR(VLOOKUP($A10558,'319'!$B:$H,7,0),0)</f>
        <v>45.8</v>
      </c>
      <c r="G10558" s="34" t="n">
        <f aca="false">SUMIFS('12.326ana'!$C:$C,'12.326ana'!$M:$M,redes!A10558)</f>
        <v>0</v>
      </c>
    </row>
    <row r="10559" customFormat="false" ht="14.4" hidden="true" customHeight="false" outlineLevel="0" collapsed="false">
      <c r="A10559" s="34" t="n">
        <v>7615425000316</v>
      </c>
      <c r="B10559" s="34" t="s">
        <v>21023</v>
      </c>
      <c r="C10559" s="34" t="s">
        <v>77</v>
      </c>
      <c r="D10559" s="34" t="s">
        <v>21024</v>
      </c>
      <c r="E10559" s="30" t="s">
        <v>21025</v>
      </c>
      <c r="F10559" s="34" t="n">
        <f aca="false">IFERROR(VLOOKUP($A10559,'319'!$B:$H,7,0),0)</f>
        <v>91.6</v>
      </c>
      <c r="G10559" s="34" t="n">
        <f aca="false">SUMIFS('12.326ana'!$C:$C,'12.326ana'!$M:$M,redes!A10559)</f>
        <v>0</v>
      </c>
    </row>
    <row r="10560" customFormat="false" ht="14.4" hidden="true" customHeight="false" outlineLevel="0" collapsed="false">
      <c r="A10560" s="34" t="n">
        <v>7615892000184</v>
      </c>
      <c r="B10560" s="34" t="s">
        <v>21026</v>
      </c>
      <c r="C10560" s="34" t="s">
        <v>336</v>
      </c>
      <c r="E10560" s="30" t="s">
        <v>21027</v>
      </c>
      <c r="F10560" s="34" t="n">
        <f aca="false">IFERROR(VLOOKUP($A10560,'319'!$B:$H,7,0),0)</f>
        <v>0</v>
      </c>
      <c r="G10560" s="34" t="n">
        <f aca="false">SUMIFS('12.326ana'!$C:$C,'12.326ana'!$M:$M,redes!A10560)</f>
        <v>0</v>
      </c>
    </row>
    <row r="10561" customFormat="false" ht="14.4" hidden="true" customHeight="false" outlineLevel="0" collapsed="false">
      <c r="A10561" s="34" t="n">
        <v>7617755000189</v>
      </c>
      <c r="B10561" s="34" t="s">
        <v>21028</v>
      </c>
      <c r="C10561" s="34" t="s">
        <v>473</v>
      </c>
      <c r="E10561" s="30" t="s">
        <v>21029</v>
      </c>
      <c r="F10561" s="34" t="n">
        <f aca="false">IFERROR(VLOOKUP($A10561,'319'!$B:$H,7,0),0)</f>
        <v>0</v>
      </c>
      <c r="G10561" s="34" t="n">
        <f aca="false">SUMIFS('12.326ana'!$C:$C,'12.326ana'!$M:$M,redes!A10561)</f>
        <v>0</v>
      </c>
    </row>
    <row r="10562" customFormat="false" ht="14.4" hidden="true" customHeight="false" outlineLevel="0" collapsed="false">
      <c r="A10562" s="34" t="n">
        <v>7617842000136</v>
      </c>
      <c r="B10562" s="34" t="s">
        <v>21030</v>
      </c>
      <c r="C10562" s="34" t="s">
        <v>207</v>
      </c>
      <c r="E10562" s="30" t="s">
        <v>18328</v>
      </c>
      <c r="F10562" s="34" t="n">
        <f aca="false">IFERROR(VLOOKUP($A10562,'319'!$B:$H,7,0),0)</f>
        <v>0</v>
      </c>
      <c r="G10562" s="34" t="n">
        <f aca="false">SUMIFS('12.326ana'!$C:$C,'12.326ana'!$M:$M,redes!A10562)</f>
        <v>0</v>
      </c>
    </row>
    <row r="10563" customFormat="false" ht="14.4" hidden="true" customHeight="false" outlineLevel="0" collapsed="false">
      <c r="A10563" s="34" t="n">
        <v>7617882000188</v>
      </c>
      <c r="B10563" s="34" t="s">
        <v>21031</v>
      </c>
      <c r="C10563" s="34" t="s">
        <v>475</v>
      </c>
      <c r="E10563" s="30" t="s">
        <v>21032</v>
      </c>
      <c r="F10563" s="34" t="n">
        <f aca="false">IFERROR(VLOOKUP($A10563,'319'!$B:$H,7,0),0)</f>
        <v>0</v>
      </c>
      <c r="G10563" s="34" t="n">
        <f aca="false">SUMIFS('12.326ana'!$C:$C,'12.326ana'!$M:$M,redes!A10563)</f>
        <v>0</v>
      </c>
    </row>
    <row r="10564" customFormat="false" ht="14.4" hidden="true" customHeight="false" outlineLevel="0" collapsed="false">
      <c r="A10564" s="34" t="n">
        <v>7618332000183</v>
      </c>
      <c r="B10564" s="34" t="s">
        <v>21033</v>
      </c>
      <c r="C10564" s="34" t="s">
        <v>89</v>
      </c>
      <c r="E10564" s="30" t="s">
        <v>21034</v>
      </c>
      <c r="F10564" s="34" t="n">
        <f aca="false">IFERROR(VLOOKUP($A10564,'319'!$B:$H,7,0),0)</f>
        <v>0</v>
      </c>
      <c r="G10564" s="34" t="n">
        <f aca="false">SUMIFS('12.326ana'!$C:$C,'12.326ana'!$M:$M,redes!A10564)</f>
        <v>0</v>
      </c>
    </row>
    <row r="10565" customFormat="false" ht="14.4" hidden="true" customHeight="false" outlineLevel="0" collapsed="false">
      <c r="A10565" s="34" t="n">
        <v>7618766000183</v>
      </c>
      <c r="B10565" s="34" t="s">
        <v>21035</v>
      </c>
      <c r="C10565" s="34" t="s">
        <v>89</v>
      </c>
      <c r="E10565" s="30" t="s">
        <v>21036</v>
      </c>
      <c r="F10565" s="34" t="n">
        <f aca="false">IFERROR(VLOOKUP($A10565,'319'!$B:$H,7,0),0)</f>
        <v>0</v>
      </c>
      <c r="G10565" s="34" t="n">
        <f aca="false">SUMIFS('12.326ana'!$C:$C,'12.326ana'!$M:$M,redes!A10565)</f>
        <v>0</v>
      </c>
    </row>
    <row r="10566" customFormat="false" ht="14.4" hidden="true" customHeight="false" outlineLevel="0" collapsed="false">
      <c r="A10566" s="34" t="n">
        <v>7632179000149</v>
      </c>
      <c r="B10566" s="34" t="s">
        <v>21037</v>
      </c>
      <c r="C10566" s="34" t="s">
        <v>565</v>
      </c>
      <c r="E10566" s="30" t="s">
        <v>21038</v>
      </c>
      <c r="F10566" s="34" t="n">
        <f aca="false">IFERROR(VLOOKUP($A10566,'319'!$B:$H,7,0),0)</f>
        <v>0</v>
      </c>
      <c r="G10566" s="34" t="n">
        <f aca="false">SUMIFS('12.326ana'!$C:$C,'12.326ana'!$M:$M,redes!A10566)</f>
        <v>0</v>
      </c>
    </row>
    <row r="10567" customFormat="false" ht="14.4" hidden="true" customHeight="false" outlineLevel="0" collapsed="false">
      <c r="A10567" s="34" t="n">
        <v>7637635000143</v>
      </c>
      <c r="B10567" s="34" t="s">
        <v>21039</v>
      </c>
      <c r="C10567" s="34" t="s">
        <v>77</v>
      </c>
      <c r="E10567" s="30" t="s">
        <v>4148</v>
      </c>
      <c r="F10567" s="34" t="n">
        <f aca="false">IFERROR(VLOOKUP($A10567,'319'!$B:$H,7,0),0)</f>
        <v>0</v>
      </c>
      <c r="G10567" s="34" t="n">
        <f aca="false">SUMIFS('12.326ana'!$C:$C,'12.326ana'!$M:$M,redes!A10567)</f>
        <v>0</v>
      </c>
    </row>
    <row r="10568" customFormat="false" ht="14.4" hidden="true" customHeight="false" outlineLevel="0" collapsed="false">
      <c r="A10568" s="34" t="n">
        <v>7638491000140</v>
      </c>
      <c r="B10568" s="34" t="s">
        <v>21040</v>
      </c>
      <c r="C10568" s="34" t="s">
        <v>77</v>
      </c>
      <c r="E10568" s="30" t="s">
        <v>21041</v>
      </c>
      <c r="F10568" s="34" t="n">
        <f aca="false">IFERROR(VLOOKUP($A10568,'319'!$B:$H,7,0),0)</f>
        <v>0</v>
      </c>
      <c r="G10568" s="34" t="n">
        <f aca="false">SUMIFS('12.326ana'!$C:$C,'12.326ana'!$M:$M,redes!A10568)</f>
        <v>0</v>
      </c>
    </row>
    <row r="10569" customFormat="false" ht="14.4" hidden="true" customHeight="false" outlineLevel="0" collapsed="false">
      <c r="A10569" s="34" t="n">
        <v>7638491000301</v>
      </c>
      <c r="B10569" s="34" t="s">
        <v>21040</v>
      </c>
      <c r="C10569" s="34" t="s">
        <v>77</v>
      </c>
      <c r="E10569" s="30" t="s">
        <v>21042</v>
      </c>
      <c r="F10569" s="34" t="n">
        <f aca="false">IFERROR(VLOOKUP($A10569,'319'!$B:$H,7,0),0)</f>
        <v>0</v>
      </c>
      <c r="G10569" s="34" t="n">
        <f aca="false">SUMIFS('12.326ana'!$C:$C,'12.326ana'!$M:$M,redes!A10569)</f>
        <v>0</v>
      </c>
    </row>
    <row r="10570" customFormat="false" ht="14.4" hidden="true" customHeight="false" outlineLevel="0" collapsed="false">
      <c r="A10570" s="34" t="n">
        <v>7638491000492</v>
      </c>
      <c r="B10570" s="34" t="s">
        <v>21040</v>
      </c>
      <c r="C10570" s="34" t="s">
        <v>77</v>
      </c>
      <c r="E10570" s="30" t="s">
        <v>21042</v>
      </c>
      <c r="F10570" s="34" t="n">
        <f aca="false">IFERROR(VLOOKUP($A10570,'319'!$B:$H,7,0),0)</f>
        <v>0</v>
      </c>
      <c r="G10570" s="34" t="n">
        <f aca="false">SUMIFS('12.326ana'!$C:$C,'12.326ana'!$M:$M,redes!A10570)</f>
        <v>0</v>
      </c>
    </row>
    <row r="10571" customFormat="false" ht="14.4" hidden="true" customHeight="false" outlineLevel="0" collapsed="false">
      <c r="A10571" s="34" t="n">
        <v>7638491000816</v>
      </c>
      <c r="B10571" s="34" t="s">
        <v>21043</v>
      </c>
      <c r="C10571" s="34" t="s">
        <v>89</v>
      </c>
      <c r="E10571" s="30" t="s">
        <v>21044</v>
      </c>
      <c r="F10571" s="34" t="n">
        <f aca="false">IFERROR(VLOOKUP($A10571,'319'!$B:$H,7,0),0)</f>
        <v>0</v>
      </c>
      <c r="G10571" s="34" t="n">
        <f aca="false">SUMIFS('12.326ana'!$C:$C,'12.326ana'!$M:$M,redes!A10571)</f>
        <v>0</v>
      </c>
    </row>
    <row r="10572" customFormat="false" ht="14.4" hidden="true" customHeight="false" outlineLevel="0" collapsed="false">
      <c r="A10572" s="34" t="n">
        <v>7638621000144</v>
      </c>
      <c r="B10572" s="34" t="s">
        <v>21045</v>
      </c>
      <c r="C10572" s="34" t="s">
        <v>89</v>
      </c>
      <c r="E10572" s="30" t="s">
        <v>21046</v>
      </c>
      <c r="F10572" s="34" t="n">
        <f aca="false">IFERROR(VLOOKUP($A10572,'319'!$B:$H,7,0),0)</f>
        <v>0</v>
      </c>
      <c r="G10572" s="34" t="n">
        <f aca="false">SUMIFS('12.326ana'!$C:$C,'12.326ana'!$M:$M,redes!A10572)</f>
        <v>0</v>
      </c>
    </row>
    <row r="10573" customFormat="false" ht="14.4" hidden="true" customHeight="false" outlineLevel="0" collapsed="false">
      <c r="A10573" s="34" t="n">
        <v>7641425000129</v>
      </c>
      <c r="B10573" s="34" t="s">
        <v>21047</v>
      </c>
      <c r="C10573" s="34" t="s">
        <v>962</v>
      </c>
      <c r="E10573" s="30" t="s">
        <v>21048</v>
      </c>
      <c r="F10573" s="34" t="n">
        <f aca="false">IFERROR(VLOOKUP($A10573,'319'!$B:$H,7,0),0)</f>
        <v>0</v>
      </c>
      <c r="G10573" s="34" t="n">
        <f aca="false">SUMIFS('12.326ana'!$C:$C,'12.326ana'!$M:$M,redes!A10573)</f>
        <v>0</v>
      </c>
    </row>
    <row r="10574" customFormat="false" ht="14.4" hidden="true" customHeight="false" outlineLevel="0" collapsed="false">
      <c r="A10574" s="34" t="n">
        <v>7642338000196</v>
      </c>
      <c r="B10574" s="34" t="s">
        <v>21049</v>
      </c>
      <c r="C10574" s="34" t="s">
        <v>309</v>
      </c>
      <c r="E10574" s="30" t="s">
        <v>21050</v>
      </c>
      <c r="F10574" s="34" t="n">
        <f aca="false">IFERROR(VLOOKUP($A10574,'319'!$B:$H,7,0),0)</f>
        <v>0</v>
      </c>
      <c r="G10574" s="34" t="n">
        <f aca="false">SUMIFS('12.326ana'!$C:$C,'12.326ana'!$M:$M,redes!A10574)</f>
        <v>0</v>
      </c>
    </row>
    <row r="10575" customFormat="false" ht="14.4" hidden="true" customHeight="false" outlineLevel="0" collapsed="false">
      <c r="A10575" s="34" t="n">
        <v>7642370000171</v>
      </c>
      <c r="B10575" s="34" t="s">
        <v>21051</v>
      </c>
      <c r="C10575" s="34" t="s">
        <v>77</v>
      </c>
      <c r="E10575" s="30" t="s">
        <v>21052</v>
      </c>
      <c r="F10575" s="34" t="n">
        <f aca="false">IFERROR(VLOOKUP($A10575,'319'!$B:$H,7,0),0)</f>
        <v>0</v>
      </c>
      <c r="G10575" s="34" t="n">
        <f aca="false">SUMIFS('12.326ana'!$C:$C,'12.326ana'!$M:$M,redes!A10575)</f>
        <v>0</v>
      </c>
    </row>
    <row r="10576" customFormat="false" ht="14.4" hidden="true" customHeight="false" outlineLevel="0" collapsed="false">
      <c r="A10576" s="34" t="n">
        <v>7642532000171</v>
      </c>
      <c r="B10576" s="34" t="s">
        <v>21053</v>
      </c>
      <c r="C10576" s="34" t="s">
        <v>103</v>
      </c>
      <c r="E10576" s="30" t="s">
        <v>8871</v>
      </c>
      <c r="F10576" s="34" t="n">
        <f aca="false">IFERROR(VLOOKUP($A10576,'319'!$B:$H,7,0),0)</f>
        <v>0</v>
      </c>
      <c r="G10576" s="34" t="n">
        <f aca="false">SUMIFS('12.326ana'!$C:$C,'12.326ana'!$M:$M,redes!A10576)</f>
        <v>0</v>
      </c>
    </row>
    <row r="10577" customFormat="false" ht="14.4" hidden="true" customHeight="false" outlineLevel="0" collapsed="false">
      <c r="A10577" s="34" t="n">
        <v>7642707000140</v>
      </c>
      <c r="B10577" s="34" t="s">
        <v>21054</v>
      </c>
      <c r="C10577" s="34" t="s">
        <v>77</v>
      </c>
      <c r="E10577" s="30" t="s">
        <v>19801</v>
      </c>
      <c r="F10577" s="34" t="n">
        <f aca="false">IFERROR(VLOOKUP($A10577,'319'!$B:$H,7,0),0)</f>
        <v>0</v>
      </c>
      <c r="G10577" s="34" t="n">
        <f aca="false">SUMIFS('12.326ana'!$C:$C,'12.326ana'!$M:$M,redes!A10577)</f>
        <v>0</v>
      </c>
    </row>
    <row r="10578" customFormat="false" ht="14.4" hidden="true" customHeight="false" outlineLevel="0" collapsed="false">
      <c r="A10578" s="34" t="n">
        <v>7644223000130</v>
      </c>
      <c r="B10578" s="34" t="s">
        <v>21055</v>
      </c>
      <c r="C10578" s="34" t="s">
        <v>706</v>
      </c>
      <c r="E10578" s="30" t="s">
        <v>21056</v>
      </c>
      <c r="F10578" s="34" t="n">
        <f aca="false">IFERROR(VLOOKUP($A10578,'319'!$B:$H,7,0),0)</f>
        <v>0</v>
      </c>
      <c r="G10578" s="34" t="n">
        <f aca="false">SUMIFS('12.326ana'!$C:$C,'12.326ana'!$M:$M,redes!A10578)</f>
        <v>0</v>
      </c>
    </row>
    <row r="10579" customFormat="false" ht="14.4" hidden="true" customHeight="false" outlineLevel="0" collapsed="false">
      <c r="A10579" s="34" t="n">
        <v>7644383000180</v>
      </c>
      <c r="B10579" s="34" t="s">
        <v>21057</v>
      </c>
      <c r="C10579" s="34" t="s">
        <v>77</v>
      </c>
      <c r="E10579" s="30" t="s">
        <v>21058</v>
      </c>
      <c r="F10579" s="34" t="n">
        <f aca="false">IFERROR(VLOOKUP($A10579,'319'!$B:$H,7,0),0)</f>
        <v>0</v>
      </c>
      <c r="G10579" s="34" t="n">
        <f aca="false">SUMIFS('12.326ana'!$C:$C,'12.326ana'!$M:$M,redes!A10579)</f>
        <v>0</v>
      </c>
    </row>
    <row r="10580" customFormat="false" ht="14.4" hidden="true" customHeight="false" outlineLevel="0" collapsed="false">
      <c r="A10580" s="34" t="n">
        <v>7644611000111</v>
      </c>
      <c r="B10580" s="34" t="s">
        <v>21059</v>
      </c>
      <c r="C10580" s="34" t="s">
        <v>77</v>
      </c>
      <c r="E10580" s="30" t="s">
        <v>21060</v>
      </c>
      <c r="F10580" s="34" t="n">
        <f aca="false">IFERROR(VLOOKUP($A10580,'319'!$B:$H,7,0),0)</f>
        <v>0</v>
      </c>
      <c r="G10580" s="34" t="n">
        <f aca="false">SUMIFS('12.326ana'!$C:$C,'12.326ana'!$M:$M,redes!A10580)</f>
        <v>0</v>
      </c>
    </row>
    <row r="10581" customFormat="false" ht="14.4" hidden="true" customHeight="false" outlineLevel="0" collapsed="false">
      <c r="A10581" s="34" t="n">
        <v>7646699000100</v>
      </c>
      <c r="B10581" s="34" t="s">
        <v>21061</v>
      </c>
      <c r="C10581" s="34" t="s">
        <v>881</v>
      </c>
      <c r="E10581" s="30" t="s">
        <v>21062</v>
      </c>
      <c r="F10581" s="34" t="n">
        <f aca="false">IFERROR(VLOOKUP($A10581,'319'!$B:$H,7,0),0)</f>
        <v>0</v>
      </c>
      <c r="G10581" s="34" t="n">
        <f aca="false">SUMIFS('12.326ana'!$C:$C,'12.326ana'!$M:$M,redes!A10581)</f>
        <v>0</v>
      </c>
    </row>
    <row r="10582" customFormat="false" ht="14.4" hidden="true" customHeight="false" outlineLevel="0" collapsed="false">
      <c r="A10582" s="34" t="n">
        <v>7647329000198</v>
      </c>
      <c r="B10582" s="34" t="s">
        <v>21063</v>
      </c>
      <c r="C10582" s="34" t="s">
        <v>463</v>
      </c>
      <c r="D10582" s="34" t="s">
        <v>32</v>
      </c>
      <c r="E10582" s="30" t="s">
        <v>8048</v>
      </c>
      <c r="F10582" s="34" t="n">
        <f aca="false">IFERROR(VLOOKUP($A10582,'319'!$B:$H,7,0),0)</f>
        <v>0</v>
      </c>
      <c r="G10582" s="34" t="n">
        <f aca="false">SUMIFS('12.326ana'!$C:$C,'12.326ana'!$M:$M,redes!A10582)</f>
        <v>0</v>
      </c>
    </row>
    <row r="10583" customFormat="false" ht="14.4" hidden="true" customHeight="false" outlineLevel="0" collapsed="false">
      <c r="A10583" s="34" t="n">
        <v>7648060000164</v>
      </c>
      <c r="B10583" s="34" t="s">
        <v>21064</v>
      </c>
      <c r="C10583" s="34" t="s">
        <v>781</v>
      </c>
      <c r="E10583" s="30" t="s">
        <v>21065</v>
      </c>
      <c r="F10583" s="34" t="n">
        <f aca="false">IFERROR(VLOOKUP($A10583,'319'!$B:$H,7,0),0)</f>
        <v>0</v>
      </c>
      <c r="G10583" s="34" t="n">
        <f aca="false">SUMIFS('12.326ana'!$C:$C,'12.326ana'!$M:$M,redes!A10583)</f>
        <v>0</v>
      </c>
    </row>
    <row r="10584" customFormat="false" ht="14.4" hidden="true" customHeight="false" outlineLevel="0" collapsed="false">
      <c r="A10584" s="34" t="n">
        <v>7648867000105</v>
      </c>
      <c r="B10584" s="34" t="s">
        <v>21066</v>
      </c>
      <c r="C10584" s="34" t="s">
        <v>309</v>
      </c>
      <c r="E10584" s="30" t="s">
        <v>21067</v>
      </c>
      <c r="F10584" s="34" t="n">
        <f aca="false">IFERROR(VLOOKUP($A10584,'319'!$B:$H,7,0),0)</f>
        <v>0</v>
      </c>
      <c r="G10584" s="34" t="n">
        <f aca="false">SUMIFS('12.326ana'!$C:$C,'12.326ana'!$M:$M,redes!A10584)</f>
        <v>0</v>
      </c>
    </row>
    <row r="10585" customFormat="false" ht="14.4" hidden="true" customHeight="false" outlineLevel="0" collapsed="false">
      <c r="A10585" s="34" t="n">
        <v>7648881000109</v>
      </c>
      <c r="B10585" s="34" t="s">
        <v>21068</v>
      </c>
      <c r="C10585" s="34" t="s">
        <v>721</v>
      </c>
      <c r="E10585" s="30" t="s">
        <v>14463</v>
      </c>
      <c r="F10585" s="34" t="n">
        <f aca="false">IFERROR(VLOOKUP($A10585,'319'!$B:$H,7,0),0)</f>
        <v>3312.88</v>
      </c>
      <c r="G10585" s="34" t="n">
        <f aca="false">SUMIFS('12.326ana'!$C:$C,'12.326ana'!$M:$M,redes!A10585)</f>
        <v>0</v>
      </c>
    </row>
    <row r="10586" customFormat="false" ht="14.4" hidden="true" customHeight="false" outlineLevel="0" collapsed="false">
      <c r="A10586" s="34" t="n">
        <v>7649471000174</v>
      </c>
      <c r="B10586" s="34" t="s">
        <v>21069</v>
      </c>
      <c r="C10586" s="34" t="s">
        <v>478</v>
      </c>
      <c r="E10586" s="30" t="s">
        <v>21070</v>
      </c>
      <c r="F10586" s="34" t="n">
        <f aca="false">IFERROR(VLOOKUP($A10586,'319'!$B:$H,7,0),0)</f>
        <v>0</v>
      </c>
      <c r="G10586" s="34" t="n">
        <f aca="false">SUMIFS('12.326ana'!$C:$C,'12.326ana'!$M:$M,redes!A10586)</f>
        <v>0</v>
      </c>
    </row>
    <row r="10587" customFormat="false" ht="14.4" hidden="true" customHeight="false" outlineLevel="0" collapsed="false">
      <c r="A10587" s="34" t="n">
        <v>7656365000118</v>
      </c>
      <c r="B10587" s="34" t="s">
        <v>8224</v>
      </c>
      <c r="C10587" s="34" t="s">
        <v>77</v>
      </c>
      <c r="E10587" s="30" t="s">
        <v>8225</v>
      </c>
      <c r="F10587" s="34" t="n">
        <f aca="false">IFERROR(VLOOKUP($A10587,'319'!$B:$H,7,0),0)</f>
        <v>0</v>
      </c>
      <c r="G10587" s="34" t="n">
        <f aca="false">SUMIFS('12.326ana'!$C:$C,'12.326ana'!$M:$M,redes!A10587)</f>
        <v>0</v>
      </c>
    </row>
    <row r="10588" customFormat="false" ht="14.4" hidden="true" customHeight="false" outlineLevel="0" collapsed="false">
      <c r="A10588" s="34" t="n">
        <v>7659233000140</v>
      </c>
      <c r="B10588" s="34" t="s">
        <v>21071</v>
      </c>
      <c r="C10588" s="34" t="s">
        <v>77</v>
      </c>
      <c r="E10588" s="30" t="s">
        <v>21072</v>
      </c>
      <c r="F10588" s="34" t="n">
        <f aca="false">IFERROR(VLOOKUP($A10588,'319'!$B:$H,7,0),0)</f>
        <v>0</v>
      </c>
      <c r="G10588" s="34" t="n">
        <f aca="false">SUMIFS('12.326ana'!$C:$C,'12.326ana'!$M:$M,redes!A10588)</f>
        <v>0</v>
      </c>
    </row>
    <row r="10589" customFormat="false" ht="14.4" hidden="true" customHeight="false" outlineLevel="0" collapsed="false">
      <c r="A10589" s="34" t="n">
        <v>7661414000100</v>
      </c>
      <c r="B10589" s="34" t="s">
        <v>21073</v>
      </c>
      <c r="C10589" s="34" t="s">
        <v>192</v>
      </c>
      <c r="E10589" s="30" t="s">
        <v>21074</v>
      </c>
      <c r="F10589" s="34" t="n">
        <f aca="false">IFERROR(VLOOKUP($A10589,'319'!$B:$H,7,0),0)</f>
        <v>0</v>
      </c>
      <c r="G10589" s="34" t="n">
        <f aca="false">SUMIFS('12.326ana'!$C:$C,'12.326ana'!$M:$M,redes!A10589)</f>
        <v>0</v>
      </c>
    </row>
    <row r="10590" customFormat="false" ht="14.4" hidden="true" customHeight="false" outlineLevel="0" collapsed="false">
      <c r="A10590" s="34" t="n">
        <v>7663135000186</v>
      </c>
      <c r="B10590" s="34" t="s">
        <v>21075</v>
      </c>
      <c r="C10590" s="34" t="s">
        <v>781</v>
      </c>
      <c r="E10590" s="30" t="s">
        <v>21076</v>
      </c>
      <c r="F10590" s="34" t="n">
        <f aca="false">IFERROR(VLOOKUP($A10590,'319'!$B:$H,7,0),0)</f>
        <v>0</v>
      </c>
      <c r="G10590" s="34" t="n">
        <f aca="false">SUMIFS('12.326ana'!$C:$C,'12.326ana'!$M:$M,redes!A10590)</f>
        <v>0</v>
      </c>
    </row>
    <row r="10591" customFormat="false" ht="14.4" hidden="true" customHeight="false" outlineLevel="0" collapsed="false">
      <c r="A10591" s="35" t="n">
        <v>7663873000123</v>
      </c>
      <c r="B10591" s="34" t="s">
        <v>21077</v>
      </c>
      <c r="C10591" s="34" t="s">
        <v>594</v>
      </c>
      <c r="E10591" s="30" t="s">
        <v>21078</v>
      </c>
      <c r="F10591" s="34" t="n">
        <f aca="false">IFERROR(VLOOKUP($A10591,'319'!$B:$H,7,0),0)</f>
        <v>0</v>
      </c>
      <c r="G10591" s="34" t="n">
        <f aca="false">SUMIFS('12.326ana'!$C:$C,'12.326ana'!$M:$M,redes!A10591)</f>
        <v>0</v>
      </c>
    </row>
    <row r="10592" customFormat="false" ht="14.4" hidden="true" customHeight="false" outlineLevel="0" collapsed="false">
      <c r="A10592" s="35" t="n">
        <v>7664399000154</v>
      </c>
      <c r="B10592" s="34" t="s">
        <v>21079</v>
      </c>
      <c r="C10592" s="34" t="s">
        <v>1272</v>
      </c>
      <c r="E10592" s="30" t="s">
        <v>21080</v>
      </c>
      <c r="F10592" s="34" t="n">
        <f aca="false">IFERROR(VLOOKUP($A10592,'319'!$B:$H,7,0),0)</f>
        <v>0</v>
      </c>
      <c r="G10592" s="34" t="n">
        <f aca="false">SUMIFS('12.326ana'!$C:$C,'12.326ana'!$M:$M,redes!A10592)</f>
        <v>0</v>
      </c>
    </row>
    <row r="10593" customFormat="false" ht="14.4" hidden="true" customHeight="false" outlineLevel="0" collapsed="false">
      <c r="A10593" s="35" t="n">
        <v>7665924000156</v>
      </c>
      <c r="B10593" s="34" t="s">
        <v>21081</v>
      </c>
      <c r="C10593" s="34" t="s">
        <v>139</v>
      </c>
      <c r="E10593" s="30" t="s">
        <v>21082</v>
      </c>
      <c r="F10593" s="34" t="n">
        <f aca="false">IFERROR(VLOOKUP($A10593,'319'!$B:$H,7,0),0)</f>
        <v>890.31</v>
      </c>
      <c r="G10593" s="34" t="n">
        <f aca="false">SUMIFS('12.326ana'!$C:$C,'12.326ana'!$M:$M,redes!A10593)</f>
        <v>0</v>
      </c>
    </row>
    <row r="10594" customFormat="false" ht="14.4" hidden="true" customHeight="false" outlineLevel="0" collapsed="false">
      <c r="A10594" s="35" t="n">
        <v>7669269000104</v>
      </c>
      <c r="B10594" s="34" t="s">
        <v>21083</v>
      </c>
      <c r="C10594" s="34" t="s">
        <v>77</v>
      </c>
      <c r="E10594" s="30" t="s">
        <v>4010</v>
      </c>
      <c r="F10594" s="34" t="n">
        <f aca="false">IFERROR(VLOOKUP($A10594,'319'!$B:$H,7,0),0)</f>
        <v>81.16</v>
      </c>
      <c r="G10594" s="34" t="n">
        <f aca="false">SUMIFS('12.326ana'!$C:$C,'12.326ana'!$M:$M,redes!A10594)</f>
        <v>0</v>
      </c>
    </row>
    <row r="10595" customFormat="false" ht="14.4" hidden="true" customHeight="false" outlineLevel="0" collapsed="false">
      <c r="A10595" s="34" t="n">
        <v>7670833000109</v>
      </c>
      <c r="B10595" s="34" t="s">
        <v>21084</v>
      </c>
      <c r="C10595" s="34" t="s">
        <v>139</v>
      </c>
      <c r="E10595" s="30" t="s">
        <v>21085</v>
      </c>
      <c r="F10595" s="34" t="n">
        <f aca="false">IFERROR(VLOOKUP($A10595,'319'!$B:$H,7,0),0)</f>
        <v>0</v>
      </c>
      <c r="G10595" s="34" t="n">
        <f aca="false">SUMIFS('12.326ana'!$C:$C,'12.326ana'!$M:$M,redes!A10595)</f>
        <v>0</v>
      </c>
    </row>
    <row r="10596" customFormat="false" ht="14.4" hidden="true" customHeight="false" outlineLevel="0" collapsed="false">
      <c r="A10596" s="35" t="n">
        <v>7683806000170</v>
      </c>
      <c r="B10596" s="34" t="s">
        <v>21086</v>
      </c>
      <c r="C10596" s="34" t="s">
        <v>139</v>
      </c>
      <c r="E10596" s="30" t="s">
        <v>11089</v>
      </c>
      <c r="F10596" s="34" t="n">
        <f aca="false">IFERROR(VLOOKUP($A10596,'319'!$B:$H,7,0),0)</f>
        <v>0</v>
      </c>
      <c r="G10596" s="34" t="n">
        <f aca="false">SUMIFS('12.326ana'!$C:$C,'12.326ana'!$M:$M,redes!A10596)</f>
        <v>0</v>
      </c>
    </row>
    <row r="10597" customFormat="false" ht="14.4" hidden="true" customHeight="false" outlineLevel="0" collapsed="false">
      <c r="A10597" s="34" t="n">
        <v>7686802000146</v>
      </c>
      <c r="B10597" s="34" t="s">
        <v>21087</v>
      </c>
      <c r="C10597" s="34" t="s">
        <v>197</v>
      </c>
      <c r="E10597" s="30" t="s">
        <v>21088</v>
      </c>
      <c r="F10597" s="34" t="n">
        <f aca="false">IFERROR(VLOOKUP($A10597,'319'!$B:$H,7,0),0)</f>
        <v>0</v>
      </c>
      <c r="G10597" s="34" t="n">
        <f aca="false">SUMIFS('12.326ana'!$C:$C,'12.326ana'!$M:$M,redes!A10597)</f>
        <v>0</v>
      </c>
    </row>
    <row r="10598" customFormat="false" ht="14.4" hidden="true" customHeight="false" outlineLevel="0" collapsed="false">
      <c r="A10598" s="34" t="n">
        <v>7686886000118</v>
      </c>
      <c r="B10598" s="34" t="s">
        <v>21089</v>
      </c>
      <c r="C10598" s="34" t="s">
        <v>4829</v>
      </c>
      <c r="E10598" s="30" t="s">
        <v>21090</v>
      </c>
      <c r="F10598" s="34" t="n">
        <f aca="false">IFERROR(VLOOKUP($A10598,'319'!$B:$H,7,0),0)</f>
        <v>0</v>
      </c>
      <c r="G10598" s="34" t="n">
        <f aca="false">SUMIFS('12.326ana'!$C:$C,'12.326ana'!$M:$M,redes!A10598)</f>
        <v>0</v>
      </c>
    </row>
    <row r="10599" customFormat="false" ht="14.4" hidden="true" customHeight="false" outlineLevel="0" collapsed="false">
      <c r="A10599" s="34" t="n">
        <v>7689302000168</v>
      </c>
      <c r="B10599" s="34" t="s">
        <v>21091</v>
      </c>
      <c r="C10599" s="34" t="s">
        <v>342</v>
      </c>
      <c r="E10599" s="30" t="s">
        <v>21092</v>
      </c>
      <c r="F10599" s="34" t="n">
        <f aca="false">IFERROR(VLOOKUP($A10599,'319'!$B:$H,7,0),0)</f>
        <v>0</v>
      </c>
      <c r="G10599" s="34" t="n">
        <f aca="false">SUMIFS('12.326ana'!$C:$C,'12.326ana'!$M:$M,redes!A10599)</f>
        <v>0</v>
      </c>
    </row>
    <row r="10600" customFormat="false" ht="14.4" hidden="true" customHeight="false" outlineLevel="0" collapsed="false">
      <c r="A10600" s="34" t="n">
        <v>7690271000165</v>
      </c>
      <c r="B10600" s="34" t="s">
        <v>21093</v>
      </c>
      <c r="C10600" s="34" t="s">
        <v>296</v>
      </c>
      <c r="E10600" s="30" t="s">
        <v>11684</v>
      </c>
      <c r="F10600" s="34" t="n">
        <f aca="false">IFERROR(VLOOKUP($A10600,'319'!$B:$H,7,0),0)</f>
        <v>0</v>
      </c>
      <c r="G10600" s="34" t="n">
        <f aca="false">SUMIFS('12.326ana'!$C:$C,'12.326ana'!$M:$M,redes!A10600)</f>
        <v>0</v>
      </c>
    </row>
    <row r="10601" customFormat="false" ht="14.4" hidden="true" customHeight="false" outlineLevel="0" collapsed="false">
      <c r="A10601" s="34" t="n">
        <v>7691695000144</v>
      </c>
      <c r="B10601" s="34" t="s">
        <v>21094</v>
      </c>
      <c r="C10601" s="34" t="s">
        <v>77</v>
      </c>
      <c r="E10601" s="30" t="s">
        <v>21095</v>
      </c>
      <c r="F10601" s="34" t="n">
        <f aca="false">IFERROR(VLOOKUP($A10601,'319'!$B:$H,7,0),0)</f>
        <v>306.69</v>
      </c>
      <c r="G10601" s="34" t="n">
        <f aca="false">SUMIFS('12.326ana'!$C:$C,'12.326ana'!$M:$M,redes!A10601)</f>
        <v>298.92</v>
      </c>
    </row>
    <row r="10602" customFormat="false" ht="14.4" hidden="true" customHeight="false" outlineLevel="0" collapsed="false">
      <c r="A10602" s="34" t="n">
        <v>7692778000158</v>
      </c>
      <c r="B10602" s="34" t="s">
        <v>21096</v>
      </c>
      <c r="C10602" s="34" t="s">
        <v>139</v>
      </c>
      <c r="E10602" s="30" t="s">
        <v>21097</v>
      </c>
      <c r="F10602" s="34" t="n">
        <f aca="false">IFERROR(VLOOKUP($A10602,'319'!$B:$H,7,0),0)</f>
        <v>0</v>
      </c>
      <c r="G10602" s="34" t="n">
        <f aca="false">SUMIFS('12.326ana'!$C:$C,'12.326ana'!$M:$M,redes!A10602)</f>
        <v>0</v>
      </c>
    </row>
    <row r="10603" customFormat="false" ht="14.4" hidden="true" customHeight="false" outlineLevel="0" collapsed="false">
      <c r="A10603" s="34" t="n">
        <v>7696994000171</v>
      </c>
      <c r="B10603" s="34" t="s">
        <v>21098</v>
      </c>
      <c r="C10603" s="34" t="s">
        <v>77</v>
      </c>
      <c r="E10603" s="30" t="s">
        <v>21099</v>
      </c>
      <c r="F10603" s="34" t="n">
        <f aca="false">IFERROR(VLOOKUP($A10603,'319'!$B:$H,7,0),0)</f>
        <v>0</v>
      </c>
      <c r="G10603" s="34" t="n">
        <f aca="false">SUMIFS('12.326ana'!$C:$C,'12.326ana'!$M:$M,redes!A10603)</f>
        <v>0</v>
      </c>
    </row>
    <row r="10604" customFormat="false" ht="14.4" hidden="true" customHeight="false" outlineLevel="0" collapsed="false">
      <c r="A10604" s="34" t="n">
        <v>7697433000197</v>
      </c>
      <c r="B10604" s="34" t="s">
        <v>21100</v>
      </c>
      <c r="C10604" s="34" t="s">
        <v>107</v>
      </c>
      <c r="E10604" s="30"/>
      <c r="F10604" s="34" t="n">
        <f aca="false">IFERROR(VLOOKUP($A10604,'319'!$B:$H,7,0),0)</f>
        <v>0</v>
      </c>
      <c r="G10604" s="34" t="n">
        <f aca="false">SUMIFS('12.326ana'!$C:$C,'12.326ana'!$M:$M,redes!A10604)</f>
        <v>0</v>
      </c>
    </row>
    <row r="10605" customFormat="false" ht="14.4" hidden="true" customHeight="false" outlineLevel="0" collapsed="false">
      <c r="A10605" s="34" t="n">
        <v>7709742000130</v>
      </c>
      <c r="B10605" s="34" t="s">
        <v>21101</v>
      </c>
      <c r="C10605" s="34" t="s">
        <v>107</v>
      </c>
      <c r="E10605" s="30" t="s">
        <v>6535</v>
      </c>
      <c r="F10605" s="34" t="n">
        <f aca="false">IFERROR(VLOOKUP($A10605,'319'!$B:$H,7,0),0)</f>
        <v>0</v>
      </c>
      <c r="G10605" s="34" t="n">
        <f aca="false">SUMIFS('12.326ana'!$C:$C,'12.326ana'!$M:$M,redes!A10605)</f>
        <v>0</v>
      </c>
    </row>
    <row r="10606" customFormat="false" ht="14.4" hidden="true" customHeight="false" outlineLevel="0" collapsed="false">
      <c r="A10606" s="34" t="n">
        <v>7710657000191</v>
      </c>
      <c r="B10606" s="34" t="s">
        <v>21102</v>
      </c>
      <c r="C10606" s="34" t="s">
        <v>117</v>
      </c>
      <c r="E10606" s="30" t="s">
        <v>6310</v>
      </c>
      <c r="F10606" s="34" t="n">
        <f aca="false">IFERROR(VLOOKUP($A10606,'319'!$B:$H,7,0),0)</f>
        <v>0</v>
      </c>
      <c r="G10606" s="34" t="n">
        <f aca="false">SUMIFS('12.326ana'!$C:$C,'12.326ana'!$M:$M,redes!A10606)</f>
        <v>0</v>
      </c>
    </row>
    <row r="10607" customFormat="false" ht="14.4" hidden="true" customHeight="false" outlineLevel="0" collapsed="false">
      <c r="A10607" s="34" t="n">
        <v>7710970000120</v>
      </c>
      <c r="B10607" s="34" t="s">
        <v>21103</v>
      </c>
      <c r="C10607" s="34" t="s">
        <v>448</v>
      </c>
      <c r="E10607" s="30" t="s">
        <v>12926</v>
      </c>
      <c r="F10607" s="34" t="n">
        <f aca="false">IFERROR(VLOOKUP($A10607,'319'!$B:$H,7,0),0)</f>
        <v>0</v>
      </c>
      <c r="G10607" s="34" t="n">
        <f aca="false">SUMIFS('12.326ana'!$C:$C,'12.326ana'!$M:$M,redes!A10607)</f>
        <v>0</v>
      </c>
    </row>
    <row r="10608" customFormat="false" ht="14.4" hidden="true" customHeight="false" outlineLevel="0" collapsed="false">
      <c r="A10608" s="34" t="n">
        <v>7712004000141</v>
      </c>
      <c r="B10608" s="34" t="s">
        <v>21104</v>
      </c>
      <c r="C10608" s="34" t="s">
        <v>77</v>
      </c>
      <c r="E10608" s="30" t="s">
        <v>6851</v>
      </c>
      <c r="F10608" s="34" t="n">
        <f aca="false">IFERROR(VLOOKUP($A10608,'319'!$B:$H,7,0),0)</f>
        <v>0</v>
      </c>
      <c r="G10608" s="34" t="n">
        <f aca="false">SUMIFS('12.326ana'!$C:$C,'12.326ana'!$M:$M,redes!A10608)</f>
        <v>0</v>
      </c>
    </row>
    <row r="10609" customFormat="false" ht="14.4" hidden="true" customHeight="false" outlineLevel="0" collapsed="false">
      <c r="A10609" s="34" t="n">
        <v>7712355000152</v>
      </c>
      <c r="B10609" s="34" t="s">
        <v>21105</v>
      </c>
      <c r="C10609" s="34" t="s">
        <v>77</v>
      </c>
      <c r="E10609" s="30" t="s">
        <v>21106</v>
      </c>
      <c r="F10609" s="34" t="n">
        <f aca="false">IFERROR(VLOOKUP($A10609,'319'!$B:$H,7,0),0)</f>
        <v>0</v>
      </c>
      <c r="G10609" s="34" t="n">
        <f aca="false">SUMIFS('12.326ana'!$C:$C,'12.326ana'!$M:$M,redes!A10609)</f>
        <v>0</v>
      </c>
    </row>
    <row r="10610" customFormat="false" ht="14.4" hidden="true" customHeight="false" outlineLevel="0" collapsed="false">
      <c r="A10610" s="34" t="n">
        <v>7712873000176</v>
      </c>
      <c r="B10610" s="34" t="s">
        <v>21107</v>
      </c>
      <c r="C10610" s="34" t="s">
        <v>77</v>
      </c>
      <c r="E10610" s="30" t="s">
        <v>21108</v>
      </c>
      <c r="F10610" s="34" t="n">
        <f aca="false">IFERROR(VLOOKUP($A10610,'319'!$B:$H,7,0),0)</f>
        <v>0</v>
      </c>
      <c r="G10610" s="34" t="n">
        <f aca="false">SUMIFS('12.326ana'!$C:$C,'12.326ana'!$M:$M,redes!A10610)</f>
        <v>0</v>
      </c>
    </row>
    <row r="10611" customFormat="false" ht="14.4" hidden="true" customHeight="false" outlineLevel="0" collapsed="false">
      <c r="A10611" s="34" t="n">
        <v>7715721000127</v>
      </c>
      <c r="B10611" s="34" t="s">
        <v>21109</v>
      </c>
      <c r="C10611" s="34" t="s">
        <v>77</v>
      </c>
      <c r="E10611" s="30" t="s">
        <v>21110</v>
      </c>
      <c r="F10611" s="34" t="n">
        <f aca="false">IFERROR(VLOOKUP($A10611,'319'!$B:$H,7,0),0)</f>
        <v>0</v>
      </c>
      <c r="G10611" s="34" t="n">
        <f aca="false">SUMIFS('12.326ana'!$C:$C,'12.326ana'!$M:$M,redes!A10611)</f>
        <v>0</v>
      </c>
    </row>
    <row r="10612" customFormat="false" ht="14.4" hidden="true" customHeight="false" outlineLevel="0" collapsed="false">
      <c r="A10612" s="34" t="n">
        <v>7718063000208</v>
      </c>
      <c r="B10612" s="34" t="s">
        <v>21111</v>
      </c>
      <c r="C10612" s="34" t="s">
        <v>77</v>
      </c>
      <c r="E10612" s="30" t="s">
        <v>21112</v>
      </c>
      <c r="F10612" s="34" t="n">
        <f aca="false">IFERROR(VLOOKUP($A10612,'319'!$B:$H,7,0),0)</f>
        <v>0</v>
      </c>
      <c r="G10612" s="34" t="n">
        <f aca="false">SUMIFS('12.326ana'!$C:$C,'12.326ana'!$M:$M,redes!A10612)</f>
        <v>0</v>
      </c>
    </row>
    <row r="10613" customFormat="false" ht="14.4" hidden="true" customHeight="false" outlineLevel="0" collapsed="false">
      <c r="A10613" s="34" t="n">
        <v>7719058000139</v>
      </c>
      <c r="B10613" s="34" t="s">
        <v>21113</v>
      </c>
      <c r="C10613" s="34" t="s">
        <v>77</v>
      </c>
      <c r="E10613" s="30" t="s">
        <v>21114</v>
      </c>
      <c r="F10613" s="34" t="n">
        <f aca="false">IFERROR(VLOOKUP($A10613,'319'!$B:$H,7,0),0)</f>
        <v>0</v>
      </c>
      <c r="G10613" s="34" t="n">
        <f aca="false">SUMIFS('12.326ana'!$C:$C,'12.326ana'!$M:$M,redes!A10613)</f>
        <v>0</v>
      </c>
    </row>
    <row r="10614" customFormat="false" ht="14.4" hidden="true" customHeight="false" outlineLevel="0" collapsed="false">
      <c r="A10614" s="34" t="n">
        <v>7719377000144</v>
      </c>
      <c r="B10614" s="34" t="s">
        <v>21115</v>
      </c>
      <c r="C10614" s="34" t="s">
        <v>77</v>
      </c>
      <c r="E10614" s="30" t="s">
        <v>6448</v>
      </c>
      <c r="F10614" s="34" t="n">
        <f aca="false">IFERROR(VLOOKUP($A10614,'319'!$B:$H,7,0),0)</f>
        <v>0</v>
      </c>
      <c r="G10614" s="34" t="n">
        <f aca="false">SUMIFS('12.326ana'!$C:$C,'12.326ana'!$M:$M,redes!A10614)</f>
        <v>0</v>
      </c>
    </row>
    <row r="10615" customFormat="false" ht="14.4" hidden="true" customHeight="false" outlineLevel="0" collapsed="false">
      <c r="A10615" s="34" t="n">
        <v>7719423000105</v>
      </c>
      <c r="B10615" s="34" t="s">
        <v>21116</v>
      </c>
      <c r="C10615" s="34" t="s">
        <v>478</v>
      </c>
      <c r="E10615" s="30" t="s">
        <v>21117</v>
      </c>
      <c r="F10615" s="34" t="n">
        <f aca="false">IFERROR(VLOOKUP($A10615,'319'!$B:$H,7,0),0)</f>
        <v>0</v>
      </c>
      <c r="G10615" s="34" t="n">
        <f aca="false">SUMIFS('12.326ana'!$C:$C,'12.326ana'!$M:$M,redes!A10615)</f>
        <v>0</v>
      </c>
    </row>
    <row r="10616" customFormat="false" ht="14.4" hidden="true" customHeight="false" outlineLevel="0" collapsed="false">
      <c r="A10616" s="34" t="n">
        <v>7719502000116</v>
      </c>
      <c r="B10616" s="34" t="s">
        <v>21118</v>
      </c>
      <c r="C10616" s="34" t="s">
        <v>139</v>
      </c>
      <c r="E10616" s="30" t="s">
        <v>21119</v>
      </c>
      <c r="F10616" s="34" t="n">
        <f aca="false">IFERROR(VLOOKUP($A10616,'319'!$B:$H,7,0),0)</f>
        <v>0</v>
      </c>
      <c r="G10616" s="34" t="n">
        <f aca="false">SUMIFS('12.326ana'!$C:$C,'12.326ana'!$M:$M,redes!A10616)</f>
        <v>0</v>
      </c>
    </row>
    <row r="10617" customFormat="false" ht="14.4" hidden="true" customHeight="false" outlineLevel="0" collapsed="false">
      <c r="A10617" s="34" t="n">
        <v>7719683000180</v>
      </c>
      <c r="B10617" s="34" t="s">
        <v>662</v>
      </c>
      <c r="C10617" s="34" t="s">
        <v>77</v>
      </c>
      <c r="D10617" s="34" t="s">
        <v>20</v>
      </c>
      <c r="E10617" s="30" t="s">
        <v>2861</v>
      </c>
      <c r="F10617" s="34" t="n">
        <f aca="false">IFERROR(VLOOKUP($A10617,'319'!$B:$H,7,0),0)</f>
        <v>8073.84</v>
      </c>
      <c r="G10617" s="34" t="n">
        <f aca="false">SUMIFS('12.326ana'!$C:$C,'12.326ana'!$M:$M,redes!A10617)</f>
        <v>0</v>
      </c>
    </row>
    <row r="10618" customFormat="false" ht="14.4" hidden="true" customHeight="false" outlineLevel="0" collapsed="false">
      <c r="A10618" s="34" t="n">
        <v>7719683000261</v>
      </c>
      <c r="B10618" s="34" t="s">
        <v>716</v>
      </c>
      <c r="C10618" s="34" t="s">
        <v>77</v>
      </c>
      <c r="D10618" s="34" t="s">
        <v>20</v>
      </c>
      <c r="E10618" s="30" t="s">
        <v>2862</v>
      </c>
      <c r="F10618" s="34" t="n">
        <f aca="false">IFERROR(VLOOKUP($A10618,'319'!$B:$H,7,0),0)</f>
        <v>5783.28</v>
      </c>
      <c r="G10618" s="34" t="n">
        <f aca="false">SUMIFS('12.326ana'!$C:$C,'12.326ana'!$M:$M,redes!A10618)</f>
        <v>0</v>
      </c>
    </row>
    <row r="10619" customFormat="false" ht="14.4" hidden="true" customHeight="false" outlineLevel="0" collapsed="false">
      <c r="A10619" s="34" t="n">
        <v>7719683000342</v>
      </c>
      <c r="B10619" s="34" t="s">
        <v>825</v>
      </c>
      <c r="C10619" s="34" t="s">
        <v>77</v>
      </c>
      <c r="D10619" s="34" t="s">
        <v>20</v>
      </c>
      <c r="E10619" s="30" t="s">
        <v>2863</v>
      </c>
      <c r="F10619" s="34" t="n">
        <f aca="false">IFERROR(VLOOKUP($A10619,'319'!$B:$H,7,0),0)</f>
        <v>2335.87</v>
      </c>
      <c r="G10619" s="34" t="n">
        <f aca="false">SUMIFS('12.326ana'!$C:$C,'12.326ana'!$M:$M,redes!A10619)</f>
        <v>0</v>
      </c>
    </row>
    <row r="10620" customFormat="false" ht="14.4" hidden="true" customHeight="false" outlineLevel="0" collapsed="false">
      <c r="A10620" s="34" t="n">
        <v>7719683000423</v>
      </c>
      <c r="B10620" s="34" t="s">
        <v>645</v>
      </c>
      <c r="C10620" s="34" t="s">
        <v>77</v>
      </c>
      <c r="D10620" s="34" t="s">
        <v>20</v>
      </c>
      <c r="E10620" s="30" t="s">
        <v>2864</v>
      </c>
      <c r="F10620" s="34" t="n">
        <f aca="false">IFERROR(VLOOKUP($A10620,'319'!$B:$H,7,0),0)</f>
        <v>8949.71</v>
      </c>
      <c r="G10620" s="34" t="n">
        <f aca="false">SUMIFS('12.326ana'!$C:$C,'12.326ana'!$M:$M,redes!A10620)</f>
        <v>0</v>
      </c>
    </row>
    <row r="10621" customFormat="false" ht="14.4" hidden="true" customHeight="false" outlineLevel="0" collapsed="false">
      <c r="A10621" s="34" t="n">
        <v>7719683000504</v>
      </c>
      <c r="B10621" s="34" t="s">
        <v>21120</v>
      </c>
      <c r="C10621" s="34" t="s">
        <v>77</v>
      </c>
      <c r="E10621" s="30" t="s">
        <v>21121</v>
      </c>
      <c r="F10621" s="34" t="n">
        <f aca="false">IFERROR(VLOOKUP($A10621,'319'!$B:$H,7,0),0)</f>
        <v>0</v>
      </c>
      <c r="G10621" s="34" t="n">
        <f aca="false">SUMIFS('12.326ana'!$C:$C,'12.326ana'!$M:$M,redes!A10621)</f>
        <v>0</v>
      </c>
    </row>
    <row r="10622" customFormat="false" ht="14.4" hidden="true" customHeight="false" outlineLevel="0" collapsed="false">
      <c r="A10622" s="34" t="n">
        <v>7719683000695</v>
      </c>
      <c r="B10622" s="34" t="s">
        <v>556</v>
      </c>
      <c r="C10622" s="34" t="s">
        <v>77</v>
      </c>
      <c r="D10622" s="34" t="s">
        <v>20</v>
      </c>
      <c r="E10622" s="30" t="s">
        <v>2865</v>
      </c>
      <c r="F10622" s="34" t="n">
        <f aca="false">IFERROR(VLOOKUP($A10622,'319'!$B:$H,7,0),0)</f>
        <v>24860.61</v>
      </c>
      <c r="G10622" s="34" t="n">
        <f aca="false">SUMIFS('12.326ana'!$C:$C,'12.326ana'!$M:$M,redes!A10622)</f>
        <v>0</v>
      </c>
    </row>
    <row r="10623" customFormat="false" ht="14.4" hidden="true" customHeight="false" outlineLevel="0" collapsed="false">
      <c r="A10623" s="34" t="n">
        <v>7719869000130</v>
      </c>
      <c r="B10623" s="34" t="s">
        <v>21122</v>
      </c>
      <c r="C10623" s="34" t="s">
        <v>594</v>
      </c>
      <c r="E10623" s="30" t="s">
        <v>8653</v>
      </c>
      <c r="F10623" s="34" t="n">
        <f aca="false">IFERROR(VLOOKUP($A10623,'319'!$B:$H,7,0),0)</f>
        <v>0</v>
      </c>
      <c r="G10623" s="34" t="n">
        <f aca="false">SUMIFS('12.326ana'!$C:$C,'12.326ana'!$M:$M,redes!A10623)</f>
        <v>0</v>
      </c>
    </row>
    <row r="10624" customFormat="false" ht="14.4" hidden="true" customHeight="false" outlineLevel="0" collapsed="false">
      <c r="A10624" s="34" t="n">
        <v>7720715000249</v>
      </c>
      <c r="B10624" s="34" t="s">
        <v>21123</v>
      </c>
      <c r="C10624" s="34" t="s">
        <v>77</v>
      </c>
      <c r="E10624" s="30" t="s">
        <v>12532</v>
      </c>
      <c r="F10624" s="34" t="n">
        <f aca="false">IFERROR(VLOOKUP($A10624,'319'!$B:$H,7,0),0)</f>
        <v>0</v>
      </c>
      <c r="G10624" s="34" t="n">
        <f aca="false">SUMIFS('12.326ana'!$C:$C,'12.326ana'!$M:$M,redes!A10624)</f>
        <v>0</v>
      </c>
    </row>
    <row r="10625" customFormat="false" ht="14.4" hidden="true" customHeight="false" outlineLevel="0" collapsed="false">
      <c r="A10625" s="34" t="n">
        <v>7721128000193</v>
      </c>
      <c r="B10625" s="34" t="s">
        <v>21124</v>
      </c>
      <c r="C10625" s="34" t="s">
        <v>1272</v>
      </c>
      <c r="E10625" s="30" t="s">
        <v>21125</v>
      </c>
      <c r="F10625" s="34" t="n">
        <f aca="false">IFERROR(VLOOKUP($A10625,'319'!$B:$H,7,0),0)</f>
        <v>0</v>
      </c>
      <c r="G10625" s="34" t="n">
        <f aca="false">SUMIFS('12.326ana'!$C:$C,'12.326ana'!$M:$M,redes!A10625)</f>
        <v>0</v>
      </c>
    </row>
    <row r="10626" customFormat="false" ht="14.4" hidden="true" customHeight="false" outlineLevel="0" collapsed="false">
      <c r="A10626" s="34" t="n">
        <v>7721579000473</v>
      </c>
      <c r="B10626" s="34" t="s">
        <v>21126</v>
      </c>
      <c r="C10626" s="34" t="s">
        <v>77</v>
      </c>
      <c r="D10626" s="34" t="s">
        <v>17018</v>
      </c>
      <c r="E10626" s="30" t="s">
        <v>21127</v>
      </c>
      <c r="F10626" s="34" t="n">
        <f aca="false">IFERROR(VLOOKUP($A10626,'319'!$B:$H,7,0),0)</f>
        <v>0</v>
      </c>
      <c r="G10626" s="34" t="n">
        <f aca="false">SUMIFS('12.326ana'!$C:$C,'12.326ana'!$M:$M,redes!A10626)</f>
        <v>0</v>
      </c>
    </row>
    <row r="10627" customFormat="false" ht="14.4" hidden="true" customHeight="false" outlineLevel="0" collapsed="false">
      <c r="A10627" s="34" t="n">
        <v>7724713000147</v>
      </c>
      <c r="B10627" s="34" t="s">
        <v>21128</v>
      </c>
      <c r="C10627" s="34" t="s">
        <v>77</v>
      </c>
      <c r="E10627" s="30" t="s">
        <v>4445</v>
      </c>
      <c r="F10627" s="34" t="n">
        <f aca="false">IFERROR(VLOOKUP($A10627,'319'!$B:$H,7,0),0)</f>
        <v>0</v>
      </c>
      <c r="G10627" s="34" t="n">
        <f aca="false">SUMIFS('12.326ana'!$C:$C,'12.326ana'!$M:$M,redes!A10627)</f>
        <v>0</v>
      </c>
    </row>
    <row r="10628" customFormat="false" ht="14.4" hidden="true" customHeight="false" outlineLevel="0" collapsed="false">
      <c r="A10628" s="34" t="n">
        <v>7725176000150</v>
      </c>
      <c r="B10628" s="34" t="s">
        <v>21129</v>
      </c>
      <c r="C10628" s="34" t="s">
        <v>77</v>
      </c>
      <c r="E10628" s="30" t="s">
        <v>21130</v>
      </c>
      <c r="F10628" s="34" t="n">
        <f aca="false">IFERROR(VLOOKUP($A10628,'319'!$B:$H,7,0),0)</f>
        <v>0</v>
      </c>
      <c r="G10628" s="34" t="n">
        <f aca="false">SUMIFS('12.326ana'!$C:$C,'12.326ana'!$M:$M,redes!A10628)</f>
        <v>0</v>
      </c>
    </row>
    <row r="10629" customFormat="false" ht="14.4" hidden="true" customHeight="false" outlineLevel="0" collapsed="false">
      <c r="A10629" s="34" t="n">
        <v>7725966000135</v>
      </c>
      <c r="B10629" s="34" t="s">
        <v>21131</v>
      </c>
      <c r="C10629" s="34" t="s">
        <v>581</v>
      </c>
      <c r="E10629" s="30" t="s">
        <v>21132</v>
      </c>
      <c r="F10629" s="34" t="n">
        <f aca="false">IFERROR(VLOOKUP($A10629,'319'!$B:$H,7,0),0)</f>
        <v>0</v>
      </c>
      <c r="G10629" s="34" t="n">
        <f aca="false">SUMIFS('12.326ana'!$C:$C,'12.326ana'!$M:$M,redes!A10629)</f>
        <v>0</v>
      </c>
    </row>
    <row r="10630" customFormat="false" ht="14.4" hidden="true" customHeight="false" outlineLevel="0" collapsed="false">
      <c r="A10630" s="34" t="n">
        <v>7733574000118</v>
      </c>
      <c r="B10630" s="34" t="s">
        <v>21133</v>
      </c>
      <c r="C10630" s="34" t="s">
        <v>107</v>
      </c>
      <c r="E10630" s="30" t="s">
        <v>21134</v>
      </c>
      <c r="F10630" s="34" t="n">
        <f aca="false">IFERROR(VLOOKUP($A10630,'319'!$B:$H,7,0),0)</f>
        <v>0</v>
      </c>
      <c r="G10630" s="34" t="n">
        <f aca="false">SUMIFS('12.326ana'!$C:$C,'12.326ana'!$M:$M,redes!A10630)</f>
        <v>0</v>
      </c>
    </row>
    <row r="10631" customFormat="false" ht="14.4" hidden="true" customHeight="false" outlineLevel="0" collapsed="false">
      <c r="A10631" s="34" t="n">
        <v>7735816000102</v>
      </c>
      <c r="B10631" s="34" t="s">
        <v>21135</v>
      </c>
      <c r="C10631" s="34" t="s">
        <v>342</v>
      </c>
      <c r="E10631" s="30" t="s">
        <v>21136</v>
      </c>
      <c r="F10631" s="34" t="n">
        <f aca="false">IFERROR(VLOOKUP($A10631,'319'!$B:$H,7,0),0)</f>
        <v>0</v>
      </c>
      <c r="G10631" s="34" t="n">
        <f aca="false">SUMIFS('12.326ana'!$C:$C,'12.326ana'!$M:$M,redes!A10631)</f>
        <v>0</v>
      </c>
    </row>
    <row r="10632" customFormat="false" ht="14.4" hidden="true" customHeight="false" outlineLevel="0" collapsed="false">
      <c r="A10632" s="34" t="n">
        <v>7735833000140</v>
      </c>
      <c r="B10632" s="34" t="s">
        <v>21137</v>
      </c>
      <c r="C10632" s="34" t="s">
        <v>2998</v>
      </c>
      <c r="E10632" s="30" t="s">
        <v>21138</v>
      </c>
      <c r="F10632" s="34" t="n">
        <f aca="false">IFERROR(VLOOKUP($A10632,'319'!$B:$H,7,0),0)</f>
        <v>0</v>
      </c>
      <c r="G10632" s="34" t="n">
        <f aca="false">SUMIFS('12.326ana'!$C:$C,'12.326ana'!$M:$M,redes!A10632)</f>
        <v>0</v>
      </c>
    </row>
    <row r="10633" customFormat="false" ht="14.4" hidden="true" customHeight="false" outlineLevel="0" collapsed="false">
      <c r="A10633" s="34" t="n">
        <v>7738251000117</v>
      </c>
      <c r="B10633" s="34" t="s">
        <v>21139</v>
      </c>
      <c r="C10633" s="34" t="s">
        <v>377</v>
      </c>
      <c r="E10633" s="30" t="s">
        <v>21140</v>
      </c>
      <c r="F10633" s="34" t="n">
        <f aca="false">IFERROR(VLOOKUP($A10633,'319'!$B:$H,7,0),0)</f>
        <v>0</v>
      </c>
      <c r="G10633" s="34" t="n">
        <f aca="false">SUMIFS('12.326ana'!$C:$C,'12.326ana'!$M:$M,redes!A10633)</f>
        <v>0</v>
      </c>
    </row>
    <row r="10634" customFormat="false" ht="14.4" hidden="true" customHeight="false" outlineLevel="0" collapsed="false">
      <c r="A10634" s="34" t="n">
        <v>7740481000110</v>
      </c>
      <c r="B10634" s="34" t="s">
        <v>21141</v>
      </c>
      <c r="C10634" s="34" t="s">
        <v>139</v>
      </c>
      <c r="E10634" s="30" t="s">
        <v>21142</v>
      </c>
      <c r="F10634" s="34" t="n">
        <f aca="false">IFERROR(VLOOKUP($A10634,'319'!$B:$H,7,0),0)</f>
        <v>0</v>
      </c>
      <c r="G10634" s="34" t="n">
        <f aca="false">SUMIFS('12.326ana'!$C:$C,'12.326ana'!$M:$M,redes!A10634)</f>
        <v>0</v>
      </c>
    </row>
    <row r="10635" customFormat="false" ht="14.4" hidden="true" customHeight="false" outlineLevel="0" collapsed="false">
      <c r="A10635" s="34" t="n">
        <v>7742942000194</v>
      </c>
      <c r="B10635" s="34" t="s">
        <v>21143</v>
      </c>
      <c r="C10635" s="34" t="s">
        <v>77</v>
      </c>
      <c r="E10635" s="30" t="s">
        <v>21144</v>
      </c>
      <c r="F10635" s="34" t="n">
        <f aca="false">IFERROR(VLOOKUP($A10635,'319'!$B:$H,7,0),0)</f>
        <v>0</v>
      </c>
      <c r="G10635" s="34" t="n">
        <f aca="false">SUMIFS('12.326ana'!$C:$C,'12.326ana'!$M:$M,redes!A10635)</f>
        <v>0</v>
      </c>
    </row>
    <row r="10636" customFormat="false" ht="14.4" hidden="true" customHeight="false" outlineLevel="0" collapsed="false">
      <c r="A10636" s="34" t="n">
        <v>7747987000151</v>
      </c>
      <c r="B10636" s="34" t="s">
        <v>21145</v>
      </c>
      <c r="C10636" s="34" t="s">
        <v>139</v>
      </c>
      <c r="E10636" s="30" t="s">
        <v>21145</v>
      </c>
      <c r="F10636" s="34" t="n">
        <f aca="false">IFERROR(VLOOKUP($A10636,'319'!$B:$H,7,0),0)</f>
        <v>0</v>
      </c>
      <c r="G10636" s="34" t="n">
        <f aca="false">SUMIFS('12.326ana'!$C:$C,'12.326ana'!$M:$M,redes!A10636)</f>
        <v>0</v>
      </c>
    </row>
    <row r="10637" customFormat="false" ht="14.4" hidden="true" customHeight="false" outlineLevel="0" collapsed="false">
      <c r="A10637" s="34" t="n">
        <v>7751593000258</v>
      </c>
      <c r="B10637" s="34" t="s">
        <v>21146</v>
      </c>
      <c r="C10637" s="34" t="s">
        <v>77</v>
      </c>
      <c r="D10637" s="34" t="s">
        <v>17018</v>
      </c>
      <c r="E10637" s="30" t="s">
        <v>21147</v>
      </c>
      <c r="F10637" s="34" t="n">
        <f aca="false">IFERROR(VLOOKUP($A10637,'319'!$B:$H,7,0),0)</f>
        <v>0</v>
      </c>
      <c r="G10637" s="34" t="n">
        <f aca="false">SUMIFS('12.326ana'!$C:$C,'12.326ana'!$M:$M,redes!A10637)</f>
        <v>0</v>
      </c>
    </row>
    <row r="10638" customFormat="false" ht="14.4" hidden="true" customHeight="false" outlineLevel="0" collapsed="false">
      <c r="A10638" s="34" t="n">
        <v>7751593000339</v>
      </c>
      <c r="B10638" s="34" t="s">
        <v>21148</v>
      </c>
      <c r="C10638" s="34" t="s">
        <v>77</v>
      </c>
      <c r="D10638" s="34" t="s">
        <v>17018</v>
      </c>
      <c r="E10638" s="30" t="s">
        <v>21149</v>
      </c>
      <c r="F10638" s="34" t="n">
        <f aca="false">IFERROR(VLOOKUP($A10638,'319'!$B:$H,7,0),0)</f>
        <v>0</v>
      </c>
      <c r="G10638" s="34" t="n">
        <f aca="false">SUMIFS('12.326ana'!$C:$C,'12.326ana'!$M:$M,redes!A10638)</f>
        <v>0</v>
      </c>
    </row>
    <row r="10639" customFormat="false" ht="14.4" hidden="true" customHeight="false" outlineLevel="0" collapsed="false">
      <c r="A10639" s="34" t="n">
        <v>7751593000410</v>
      </c>
      <c r="B10639" s="34" t="s">
        <v>21150</v>
      </c>
      <c r="C10639" s="34" t="s">
        <v>77</v>
      </c>
      <c r="D10639" s="34" t="s">
        <v>17018</v>
      </c>
      <c r="E10639" s="30" t="s">
        <v>21151</v>
      </c>
      <c r="F10639" s="34" t="n">
        <f aca="false">IFERROR(VLOOKUP($A10639,'319'!$B:$H,7,0),0)</f>
        <v>0</v>
      </c>
      <c r="G10639" s="34" t="n">
        <f aca="false">SUMIFS('12.326ana'!$C:$C,'12.326ana'!$M:$M,redes!A10639)</f>
        <v>0</v>
      </c>
    </row>
    <row r="10640" customFormat="false" ht="14.4" hidden="true" customHeight="false" outlineLevel="0" collapsed="false">
      <c r="A10640" s="34" t="n">
        <v>7751593000509</v>
      </c>
      <c r="B10640" s="34" t="s">
        <v>21152</v>
      </c>
      <c r="C10640" s="34" t="s">
        <v>77</v>
      </c>
      <c r="D10640" s="34" t="s">
        <v>17018</v>
      </c>
      <c r="E10640" s="30" t="s">
        <v>21153</v>
      </c>
      <c r="F10640" s="34" t="n">
        <f aca="false">IFERROR(VLOOKUP($A10640,'319'!$B:$H,7,0),0)</f>
        <v>0</v>
      </c>
      <c r="G10640" s="34" t="n">
        <f aca="false">SUMIFS('12.326ana'!$C:$C,'12.326ana'!$M:$M,redes!A10640)</f>
        <v>0</v>
      </c>
    </row>
    <row r="10641" customFormat="false" ht="14.4" hidden="true" customHeight="false" outlineLevel="0" collapsed="false">
      <c r="A10641" s="34" t="n">
        <v>7751593000843</v>
      </c>
      <c r="B10641" s="34" t="s">
        <v>21154</v>
      </c>
      <c r="C10641" s="34" t="s">
        <v>77</v>
      </c>
      <c r="D10641" s="34" t="s">
        <v>17018</v>
      </c>
      <c r="E10641" s="30" t="s">
        <v>21155</v>
      </c>
      <c r="F10641" s="34" t="n">
        <f aca="false">IFERROR(VLOOKUP($A10641,'319'!$B:$H,7,0),0)</f>
        <v>0</v>
      </c>
      <c r="G10641" s="34" t="n">
        <f aca="false">SUMIFS('12.326ana'!$C:$C,'12.326ana'!$M:$M,redes!A10641)</f>
        <v>0</v>
      </c>
    </row>
    <row r="10642" customFormat="false" ht="14.4" hidden="true" customHeight="false" outlineLevel="0" collapsed="false">
      <c r="A10642" s="34" t="n">
        <v>7751593000924</v>
      </c>
      <c r="B10642" s="34" t="s">
        <v>21156</v>
      </c>
      <c r="C10642" s="34" t="s">
        <v>77</v>
      </c>
      <c r="D10642" s="34" t="s">
        <v>17018</v>
      </c>
      <c r="E10642" s="30" t="s">
        <v>21157</v>
      </c>
      <c r="F10642" s="34" t="n">
        <f aca="false">IFERROR(VLOOKUP($A10642,'319'!$B:$H,7,0),0)</f>
        <v>0</v>
      </c>
      <c r="G10642" s="34" t="n">
        <f aca="false">SUMIFS('12.326ana'!$C:$C,'12.326ana'!$M:$M,redes!A10642)</f>
        <v>0</v>
      </c>
    </row>
    <row r="10643" customFormat="false" ht="14.4" hidden="true" customHeight="false" outlineLevel="0" collapsed="false">
      <c r="A10643" s="34" t="n">
        <v>7751593001068</v>
      </c>
      <c r="B10643" s="34" t="s">
        <v>21158</v>
      </c>
      <c r="C10643" s="34" t="s">
        <v>77</v>
      </c>
      <c r="D10643" s="34" t="s">
        <v>17018</v>
      </c>
      <c r="E10643" s="30" t="s">
        <v>21159</v>
      </c>
      <c r="F10643" s="34" t="n">
        <f aca="false">IFERROR(VLOOKUP($A10643,'319'!$B:$H,7,0),0)</f>
        <v>0</v>
      </c>
      <c r="G10643" s="34" t="n">
        <f aca="false">SUMIFS('12.326ana'!$C:$C,'12.326ana'!$M:$M,redes!A10643)</f>
        <v>0</v>
      </c>
    </row>
    <row r="10644" customFormat="false" ht="14.4" hidden="true" customHeight="false" outlineLevel="0" collapsed="false">
      <c r="A10644" s="34" t="n">
        <v>7751593001149</v>
      </c>
      <c r="B10644" s="34" t="s">
        <v>21160</v>
      </c>
      <c r="C10644" s="34" t="s">
        <v>77</v>
      </c>
      <c r="D10644" s="34" t="s">
        <v>17018</v>
      </c>
      <c r="E10644" s="30" t="s">
        <v>21161</v>
      </c>
      <c r="F10644" s="34" t="n">
        <f aca="false">IFERROR(VLOOKUP($A10644,'319'!$B:$H,7,0),0)</f>
        <v>0</v>
      </c>
      <c r="G10644" s="34" t="n">
        <f aca="false">SUMIFS('12.326ana'!$C:$C,'12.326ana'!$M:$M,redes!A10644)</f>
        <v>0</v>
      </c>
    </row>
    <row r="10645" customFormat="false" ht="14.4" hidden="true" customHeight="false" outlineLevel="0" collapsed="false">
      <c r="A10645" s="34" t="n">
        <v>7752187000129</v>
      </c>
      <c r="B10645" s="34" t="s">
        <v>21162</v>
      </c>
      <c r="C10645" s="34" t="s">
        <v>357</v>
      </c>
      <c r="E10645" s="30" t="s">
        <v>21163</v>
      </c>
      <c r="F10645" s="34" t="n">
        <f aca="false">IFERROR(VLOOKUP($A10645,'319'!$B:$H,7,0),0)</f>
        <v>0</v>
      </c>
      <c r="G10645" s="34" t="n">
        <f aca="false">SUMIFS('12.326ana'!$C:$C,'12.326ana'!$M:$M,redes!A10645)</f>
        <v>0</v>
      </c>
    </row>
    <row r="10646" customFormat="false" ht="14.4" hidden="true" customHeight="false" outlineLevel="0" collapsed="false">
      <c r="A10646" s="34" t="n">
        <v>7757445000160</v>
      </c>
      <c r="B10646" s="34" t="s">
        <v>21164</v>
      </c>
      <c r="C10646" s="34" t="s">
        <v>139</v>
      </c>
      <c r="E10646" s="30" t="s">
        <v>21165</v>
      </c>
      <c r="F10646" s="34" t="n">
        <f aca="false">IFERROR(VLOOKUP($A10646,'319'!$B:$H,7,0),0)</f>
        <v>0</v>
      </c>
      <c r="G10646" s="34" t="n">
        <f aca="false">SUMIFS('12.326ana'!$C:$C,'12.326ana'!$M:$M,redes!A10646)</f>
        <v>0</v>
      </c>
    </row>
    <row r="10647" customFormat="false" ht="14.4" hidden="true" customHeight="false" outlineLevel="0" collapsed="false">
      <c r="A10647" s="34" t="n">
        <v>7757445000321</v>
      </c>
      <c r="B10647" s="34" t="s">
        <v>21166</v>
      </c>
      <c r="C10647" s="34" t="s">
        <v>139</v>
      </c>
      <c r="E10647" s="30" t="s">
        <v>21165</v>
      </c>
      <c r="F10647" s="34" t="n">
        <f aca="false">IFERROR(VLOOKUP($A10647,'319'!$B:$H,7,0),0)</f>
        <v>0</v>
      </c>
      <c r="G10647" s="34" t="n">
        <f aca="false">SUMIFS('12.326ana'!$C:$C,'12.326ana'!$M:$M,redes!A10647)</f>
        <v>0</v>
      </c>
    </row>
    <row r="10648" customFormat="false" ht="14.4" hidden="true" customHeight="false" outlineLevel="0" collapsed="false">
      <c r="A10648" s="34" t="n">
        <v>7757445000402</v>
      </c>
      <c r="B10648" s="34" t="s">
        <v>21164</v>
      </c>
      <c r="C10648" s="34" t="s">
        <v>139</v>
      </c>
      <c r="E10648" s="30" t="s">
        <v>21167</v>
      </c>
      <c r="F10648" s="34" t="n">
        <f aca="false">IFERROR(VLOOKUP($A10648,'319'!$B:$H,7,0),0)</f>
        <v>0</v>
      </c>
      <c r="G10648" s="34" t="n">
        <f aca="false">SUMIFS('12.326ana'!$C:$C,'12.326ana'!$M:$M,redes!A10648)</f>
        <v>0</v>
      </c>
    </row>
    <row r="10649" customFormat="false" ht="14.4" hidden="true" customHeight="false" outlineLevel="0" collapsed="false">
      <c r="A10649" s="34" t="n">
        <v>7762345000121</v>
      </c>
      <c r="B10649" s="34" t="s">
        <v>21168</v>
      </c>
      <c r="C10649" s="34" t="s">
        <v>213</v>
      </c>
      <c r="E10649" s="30" t="s">
        <v>5852</v>
      </c>
      <c r="F10649" s="34" t="n">
        <f aca="false">IFERROR(VLOOKUP($A10649,'319'!$B:$H,7,0),0)</f>
        <v>0</v>
      </c>
      <c r="G10649" s="34" t="n">
        <f aca="false">SUMIFS('12.326ana'!$C:$C,'12.326ana'!$M:$M,redes!A10649)</f>
        <v>0</v>
      </c>
    </row>
    <row r="10650" customFormat="false" ht="14.4" hidden="true" customHeight="false" outlineLevel="0" collapsed="false">
      <c r="A10650" s="34" t="n">
        <v>7762345000202</v>
      </c>
      <c r="B10650" s="34" t="s">
        <v>21169</v>
      </c>
      <c r="C10650" s="34" t="s">
        <v>213</v>
      </c>
      <c r="E10650" s="30" t="s">
        <v>21170</v>
      </c>
      <c r="F10650" s="34" t="n">
        <f aca="false">IFERROR(VLOOKUP($A10650,'319'!$B:$H,7,0),0)</f>
        <v>0</v>
      </c>
      <c r="G10650" s="34" t="n">
        <f aca="false">SUMIFS('12.326ana'!$C:$C,'12.326ana'!$M:$M,redes!A10650)</f>
        <v>0</v>
      </c>
    </row>
    <row r="10651" customFormat="false" ht="14.4" hidden="true" customHeight="false" outlineLevel="0" collapsed="false">
      <c r="A10651" s="34" t="n">
        <v>7763142000150</v>
      </c>
      <c r="B10651" s="34" t="s">
        <v>21171</v>
      </c>
      <c r="C10651" s="34" t="s">
        <v>4139</v>
      </c>
      <c r="E10651" s="30" t="s">
        <v>21172</v>
      </c>
      <c r="F10651" s="34" t="n">
        <f aca="false">IFERROR(VLOOKUP($A10651,'319'!$B:$H,7,0),0)</f>
        <v>0</v>
      </c>
      <c r="G10651" s="34" t="n">
        <f aca="false">SUMIFS('12.326ana'!$C:$C,'12.326ana'!$M:$M,redes!A10651)</f>
        <v>0</v>
      </c>
    </row>
    <row r="10652" customFormat="false" ht="14.4" hidden="true" customHeight="false" outlineLevel="0" collapsed="false">
      <c r="A10652" s="34" t="n">
        <v>7765725000110</v>
      </c>
      <c r="B10652" s="34" t="s">
        <v>21173</v>
      </c>
      <c r="C10652" s="34" t="s">
        <v>139</v>
      </c>
      <c r="E10652" s="30" t="s">
        <v>21174</v>
      </c>
      <c r="F10652" s="34" t="n">
        <f aca="false">IFERROR(VLOOKUP($A10652,'319'!$B:$H,7,0),0)</f>
        <v>0</v>
      </c>
      <c r="G10652" s="34" t="n">
        <f aca="false">SUMIFS('12.326ana'!$C:$C,'12.326ana'!$M:$M,redes!A10652)</f>
        <v>0</v>
      </c>
    </row>
    <row r="10653" customFormat="false" ht="14.4" hidden="true" customHeight="false" outlineLevel="0" collapsed="false">
      <c r="A10653" s="34" t="n">
        <v>7771684000174</v>
      </c>
      <c r="B10653" s="34" t="s">
        <v>21175</v>
      </c>
      <c r="C10653" s="34" t="s">
        <v>77</v>
      </c>
      <c r="E10653" s="30" t="s">
        <v>9942</v>
      </c>
      <c r="F10653" s="34" t="n">
        <f aca="false">IFERROR(VLOOKUP($A10653,'319'!$B:$H,7,0),0)</f>
        <v>0</v>
      </c>
      <c r="G10653" s="34" t="n">
        <f aca="false">SUMIFS('12.326ana'!$C:$C,'12.326ana'!$M:$M,redes!A10653)</f>
        <v>0</v>
      </c>
    </row>
    <row r="10654" customFormat="false" ht="14.4" hidden="true" customHeight="false" outlineLevel="0" collapsed="false">
      <c r="A10654" s="34" t="n">
        <v>7771693000165</v>
      </c>
      <c r="B10654" s="34" t="s">
        <v>21176</v>
      </c>
      <c r="C10654" s="34" t="s">
        <v>77</v>
      </c>
      <c r="E10654" s="30" t="s">
        <v>21177</v>
      </c>
      <c r="F10654" s="34" t="n">
        <f aca="false">IFERROR(VLOOKUP($A10654,'319'!$B:$H,7,0),0)</f>
        <v>0</v>
      </c>
      <c r="G10654" s="34" t="n">
        <f aca="false">SUMIFS('12.326ana'!$C:$C,'12.326ana'!$M:$M,redes!A10654)</f>
        <v>0</v>
      </c>
    </row>
    <row r="10655" customFormat="false" ht="14.4" hidden="true" customHeight="false" outlineLevel="0" collapsed="false">
      <c r="A10655" s="34" t="n">
        <v>7773162000101</v>
      </c>
      <c r="B10655" s="34" t="s">
        <v>21178</v>
      </c>
      <c r="C10655" s="34" t="s">
        <v>4156</v>
      </c>
      <c r="E10655" s="30" t="s">
        <v>13091</v>
      </c>
      <c r="F10655" s="34" t="n">
        <f aca="false">IFERROR(VLOOKUP($A10655,'319'!$B:$H,7,0),0)</f>
        <v>0</v>
      </c>
      <c r="G10655" s="34" t="n">
        <f aca="false">SUMIFS('12.326ana'!$C:$C,'12.326ana'!$M:$M,redes!A10655)</f>
        <v>0</v>
      </c>
    </row>
    <row r="10656" customFormat="false" ht="14.4" hidden="true" customHeight="false" outlineLevel="0" collapsed="false">
      <c r="A10656" s="34" t="n">
        <v>7773539000122</v>
      </c>
      <c r="B10656" s="34" t="s">
        <v>21179</v>
      </c>
      <c r="C10656" s="34" t="s">
        <v>77</v>
      </c>
      <c r="E10656" s="30" t="s">
        <v>21180</v>
      </c>
      <c r="F10656" s="34" t="n">
        <f aca="false">IFERROR(VLOOKUP($A10656,'319'!$B:$H,7,0),0)</f>
        <v>0</v>
      </c>
      <c r="G10656" s="34" t="n">
        <f aca="false">SUMIFS('12.326ana'!$C:$C,'12.326ana'!$M:$M,redes!A10656)</f>
        <v>0</v>
      </c>
    </row>
    <row r="10657" customFormat="false" ht="14.4" hidden="true" customHeight="false" outlineLevel="0" collapsed="false">
      <c r="A10657" s="34" t="n">
        <v>7777438000120</v>
      </c>
      <c r="B10657" s="34" t="s">
        <v>21181</v>
      </c>
      <c r="C10657" s="34" t="s">
        <v>77</v>
      </c>
      <c r="E10657" s="30" t="s">
        <v>21182</v>
      </c>
      <c r="F10657" s="34" t="n">
        <f aca="false">IFERROR(VLOOKUP($A10657,'319'!$B:$H,7,0),0)</f>
        <v>253.51</v>
      </c>
      <c r="G10657" s="34" t="n">
        <f aca="false">SUMIFS('12.326ana'!$C:$C,'12.326ana'!$M:$M,redes!A10657)</f>
        <v>0</v>
      </c>
    </row>
    <row r="10658" customFormat="false" ht="14.4" hidden="true" customHeight="false" outlineLevel="0" collapsed="false">
      <c r="A10658" s="34" t="n">
        <v>7777438000200</v>
      </c>
      <c r="B10658" s="34" t="s">
        <v>21183</v>
      </c>
      <c r="C10658" s="34" t="s">
        <v>77</v>
      </c>
      <c r="E10658" s="30" t="s">
        <v>21184</v>
      </c>
      <c r="F10658" s="34" t="n">
        <f aca="false">IFERROR(VLOOKUP($A10658,'319'!$B:$H,7,0),0)</f>
        <v>0</v>
      </c>
      <c r="G10658" s="34" t="n">
        <f aca="false">SUMIFS('12.326ana'!$C:$C,'12.326ana'!$M:$M,redes!A10658)</f>
        <v>0</v>
      </c>
    </row>
    <row r="10659" customFormat="false" ht="14.4" hidden="true" customHeight="false" outlineLevel="0" collapsed="false">
      <c r="A10659" s="34" t="n">
        <v>7777812000197</v>
      </c>
      <c r="B10659" s="34" t="s">
        <v>21185</v>
      </c>
      <c r="C10659" s="34" t="s">
        <v>781</v>
      </c>
      <c r="E10659" s="30" t="s">
        <v>21186</v>
      </c>
      <c r="F10659" s="34" t="n">
        <f aca="false">IFERROR(VLOOKUP($A10659,'319'!$B:$H,7,0),0)</f>
        <v>3359.06</v>
      </c>
      <c r="G10659" s="34" t="n">
        <f aca="false">SUMIFS('12.326ana'!$C:$C,'12.326ana'!$M:$M,redes!A10659)</f>
        <v>0</v>
      </c>
    </row>
    <row r="10660" customFormat="false" ht="14.4" hidden="true" customHeight="false" outlineLevel="0" collapsed="false">
      <c r="A10660" s="34" t="n">
        <v>7779429000178</v>
      </c>
      <c r="B10660" s="34" t="s">
        <v>21187</v>
      </c>
      <c r="C10660" s="34" t="s">
        <v>77</v>
      </c>
      <c r="E10660" s="30" t="s">
        <v>21188</v>
      </c>
      <c r="F10660" s="34" t="n">
        <f aca="false">IFERROR(VLOOKUP($A10660,'319'!$B:$H,7,0),0)</f>
        <v>0</v>
      </c>
      <c r="G10660" s="34" t="n">
        <f aca="false">SUMIFS('12.326ana'!$C:$C,'12.326ana'!$M:$M,redes!A10660)</f>
        <v>0</v>
      </c>
    </row>
    <row r="10661" customFormat="false" ht="14.4" hidden="true" customHeight="false" outlineLevel="0" collapsed="false">
      <c r="A10661" s="34" t="n">
        <v>7781733000311</v>
      </c>
      <c r="B10661" s="34" t="s">
        <v>21189</v>
      </c>
      <c r="C10661" s="34" t="s">
        <v>77</v>
      </c>
      <c r="E10661" s="30" t="s">
        <v>21190</v>
      </c>
      <c r="F10661" s="34" t="n">
        <f aca="false">IFERROR(VLOOKUP($A10661,'319'!$B:$H,7,0),0)</f>
        <v>0</v>
      </c>
      <c r="G10661" s="34" t="n">
        <f aca="false">SUMIFS('12.326ana'!$C:$C,'12.326ana'!$M:$M,redes!A10661)</f>
        <v>0</v>
      </c>
    </row>
    <row r="10662" customFormat="false" ht="14.4" hidden="true" customHeight="false" outlineLevel="0" collapsed="false">
      <c r="A10662" s="34" t="n">
        <v>7786401000168</v>
      </c>
      <c r="B10662" s="34" t="s">
        <v>21191</v>
      </c>
      <c r="C10662" s="34" t="s">
        <v>478</v>
      </c>
      <c r="E10662" s="30" t="s">
        <v>21192</v>
      </c>
      <c r="F10662" s="34" t="n">
        <f aca="false">IFERROR(VLOOKUP($A10662,'319'!$B:$H,7,0),0)</f>
        <v>0</v>
      </c>
      <c r="G10662" s="34" t="n">
        <f aca="false">SUMIFS('12.326ana'!$C:$C,'12.326ana'!$M:$M,redes!A10662)</f>
        <v>0</v>
      </c>
    </row>
    <row r="10663" customFormat="false" ht="14.4" hidden="true" customHeight="false" outlineLevel="0" collapsed="false">
      <c r="A10663" s="34" t="n">
        <v>7790740000118</v>
      </c>
      <c r="B10663" s="34" t="s">
        <v>21193</v>
      </c>
      <c r="C10663" s="34" t="s">
        <v>89</v>
      </c>
      <c r="E10663" s="30" t="s">
        <v>21194</v>
      </c>
      <c r="F10663" s="34" t="n">
        <f aca="false">IFERROR(VLOOKUP($A10663,'319'!$B:$H,7,0),0)</f>
        <v>0</v>
      </c>
      <c r="G10663" s="34" t="n">
        <f aca="false">SUMIFS('12.326ana'!$C:$C,'12.326ana'!$M:$M,redes!A10663)</f>
        <v>0</v>
      </c>
    </row>
    <row r="10664" customFormat="false" ht="14.4" hidden="true" customHeight="false" outlineLevel="0" collapsed="false">
      <c r="A10664" s="34" t="n">
        <v>7792055000120</v>
      </c>
      <c r="B10664" s="34" t="s">
        <v>21195</v>
      </c>
      <c r="C10664" s="34" t="s">
        <v>1272</v>
      </c>
      <c r="E10664" s="30" t="s">
        <v>21196</v>
      </c>
      <c r="F10664" s="34" t="n">
        <f aca="false">IFERROR(VLOOKUP($A10664,'319'!$B:$H,7,0),0)</f>
        <v>0</v>
      </c>
      <c r="G10664" s="34" t="n">
        <f aca="false">SUMIFS('12.326ana'!$C:$C,'12.326ana'!$M:$M,redes!A10664)</f>
        <v>0</v>
      </c>
    </row>
    <row r="10665" customFormat="false" ht="14.4" hidden="true" customHeight="false" outlineLevel="0" collapsed="false">
      <c r="A10665" s="34" t="n">
        <v>7792942000107</v>
      </c>
      <c r="B10665" s="34" t="s">
        <v>3641</v>
      </c>
      <c r="C10665" s="34" t="s">
        <v>994</v>
      </c>
      <c r="E10665" s="30" t="s">
        <v>21197</v>
      </c>
      <c r="F10665" s="34" t="n">
        <f aca="false">IFERROR(VLOOKUP($A10665,'319'!$B:$H,7,0),0)</f>
        <v>0</v>
      </c>
      <c r="G10665" s="34" t="n">
        <f aca="false">SUMIFS('12.326ana'!$C:$C,'12.326ana'!$M:$M,redes!A10665)</f>
        <v>0</v>
      </c>
    </row>
    <row r="10666" customFormat="false" ht="14.4" hidden="true" customHeight="false" outlineLevel="0" collapsed="false">
      <c r="A10666" s="34" t="n">
        <v>7794055000160</v>
      </c>
      <c r="B10666" s="34" t="s">
        <v>21198</v>
      </c>
      <c r="C10666" s="34" t="s">
        <v>881</v>
      </c>
      <c r="E10666" s="30" t="s">
        <v>21199</v>
      </c>
      <c r="F10666" s="34" t="n">
        <f aca="false">IFERROR(VLOOKUP($A10666,'319'!$B:$H,7,0),0)</f>
        <v>0</v>
      </c>
      <c r="G10666" s="34" t="n">
        <f aca="false">SUMIFS('12.326ana'!$C:$C,'12.326ana'!$M:$M,redes!A10666)</f>
        <v>0</v>
      </c>
    </row>
    <row r="10667" customFormat="false" ht="14.4" hidden="true" customHeight="false" outlineLevel="0" collapsed="false">
      <c r="A10667" s="34" t="n">
        <v>7794192000102</v>
      </c>
      <c r="B10667" s="34" t="s">
        <v>21200</v>
      </c>
      <c r="C10667" s="34" t="s">
        <v>213</v>
      </c>
      <c r="E10667" s="30" t="s">
        <v>21201</v>
      </c>
      <c r="F10667" s="34" t="n">
        <f aca="false">IFERROR(VLOOKUP($A10667,'319'!$B:$H,7,0),0)</f>
        <v>0</v>
      </c>
      <c r="G10667" s="34" t="n">
        <f aca="false">SUMIFS('12.326ana'!$C:$C,'12.326ana'!$M:$M,redes!A10667)</f>
        <v>0</v>
      </c>
    </row>
    <row r="10668" customFormat="false" ht="14.4" hidden="true" customHeight="false" outlineLevel="0" collapsed="false">
      <c r="A10668" s="34" t="n">
        <v>7799535000113</v>
      </c>
      <c r="B10668" s="34" t="s">
        <v>21202</v>
      </c>
      <c r="C10668" s="34" t="s">
        <v>77</v>
      </c>
      <c r="E10668" s="30" t="s">
        <v>5387</v>
      </c>
      <c r="F10668" s="34" t="n">
        <f aca="false">IFERROR(VLOOKUP($A10668,'319'!$B:$H,7,0),0)</f>
        <v>0</v>
      </c>
      <c r="G10668" s="34" t="n">
        <f aca="false">SUMIFS('12.326ana'!$C:$C,'12.326ana'!$M:$M,redes!A10668)</f>
        <v>0</v>
      </c>
    </row>
    <row r="10669" customFormat="false" ht="14.4" hidden="true" customHeight="false" outlineLevel="0" collapsed="false">
      <c r="A10669" s="34" t="n">
        <v>7800936000146</v>
      </c>
      <c r="B10669" s="34" t="s">
        <v>21203</v>
      </c>
      <c r="C10669" s="34" t="s">
        <v>336</v>
      </c>
      <c r="E10669" s="30" t="s">
        <v>21204</v>
      </c>
      <c r="F10669" s="34" t="n">
        <f aca="false">IFERROR(VLOOKUP($A10669,'319'!$B:$H,7,0),0)</f>
        <v>0</v>
      </c>
      <c r="G10669" s="34" t="n">
        <f aca="false">SUMIFS('12.326ana'!$C:$C,'12.326ana'!$M:$M,redes!A10669)</f>
        <v>0</v>
      </c>
    </row>
    <row r="10670" customFormat="false" ht="14.4" hidden="true" customHeight="false" outlineLevel="0" collapsed="false">
      <c r="A10670" s="34" t="n">
        <v>7801230000107</v>
      </c>
      <c r="B10670" s="34" t="s">
        <v>21205</v>
      </c>
      <c r="C10670" s="34" t="s">
        <v>405</v>
      </c>
      <c r="E10670" s="30" t="s">
        <v>11404</v>
      </c>
      <c r="F10670" s="34" t="n">
        <f aca="false">IFERROR(VLOOKUP($A10670,'319'!$B:$H,7,0),0)</f>
        <v>0</v>
      </c>
      <c r="G10670" s="34" t="n">
        <f aca="false">SUMIFS('12.326ana'!$C:$C,'12.326ana'!$M:$M,redes!A10670)</f>
        <v>0</v>
      </c>
    </row>
    <row r="10671" customFormat="false" ht="14.4" hidden="true" customHeight="false" outlineLevel="0" collapsed="false">
      <c r="A10671" s="34" t="n">
        <v>7801836000134</v>
      </c>
      <c r="B10671" s="34" t="s">
        <v>21206</v>
      </c>
      <c r="C10671" s="34" t="s">
        <v>117</v>
      </c>
      <c r="E10671" s="30" t="s">
        <v>21207</v>
      </c>
      <c r="F10671" s="34" t="n">
        <f aca="false">IFERROR(VLOOKUP($A10671,'319'!$B:$H,7,0),0)</f>
        <v>0</v>
      </c>
      <c r="G10671" s="34" t="n">
        <f aca="false">SUMIFS('12.326ana'!$C:$C,'12.326ana'!$M:$M,redes!A10671)</f>
        <v>0</v>
      </c>
    </row>
    <row r="10672" customFormat="false" ht="14.4" hidden="true" customHeight="false" outlineLevel="0" collapsed="false">
      <c r="A10672" s="34" t="n">
        <v>7806544000194</v>
      </c>
      <c r="B10672" s="34" t="s">
        <v>21208</v>
      </c>
      <c r="C10672" s="34" t="s">
        <v>77</v>
      </c>
      <c r="E10672" s="30" t="s">
        <v>21209</v>
      </c>
      <c r="F10672" s="34" t="n">
        <f aca="false">IFERROR(VLOOKUP($A10672,'319'!$B:$H,7,0),0)</f>
        <v>0</v>
      </c>
      <c r="G10672" s="34" t="n">
        <f aca="false">SUMIFS('12.326ana'!$C:$C,'12.326ana'!$M:$M,redes!A10672)</f>
        <v>0</v>
      </c>
    </row>
    <row r="10673" customFormat="false" ht="14.4" hidden="true" customHeight="false" outlineLevel="0" collapsed="false">
      <c r="A10673" s="34" t="n">
        <v>7812226000136</v>
      </c>
      <c r="B10673" s="34" t="s">
        <v>21210</v>
      </c>
      <c r="C10673" s="34" t="s">
        <v>77</v>
      </c>
      <c r="E10673" s="30" t="s">
        <v>21211</v>
      </c>
      <c r="F10673" s="34" t="n">
        <f aca="false">IFERROR(VLOOKUP($A10673,'319'!$B:$H,7,0),0)</f>
        <v>0</v>
      </c>
      <c r="G10673" s="34" t="n">
        <f aca="false">SUMIFS('12.326ana'!$C:$C,'12.326ana'!$M:$M,redes!A10673)</f>
        <v>0</v>
      </c>
    </row>
    <row r="10674" customFormat="false" ht="14.4" hidden="true" customHeight="false" outlineLevel="0" collapsed="false">
      <c r="A10674" s="34" t="n">
        <v>7813324000198</v>
      </c>
      <c r="B10674" s="34" t="s">
        <v>21212</v>
      </c>
      <c r="C10674" s="34" t="s">
        <v>478</v>
      </c>
      <c r="E10674" s="30" t="s">
        <v>21213</v>
      </c>
      <c r="F10674" s="34" t="n">
        <f aca="false">IFERROR(VLOOKUP($A10674,'319'!$B:$H,7,0),0)</f>
        <v>0</v>
      </c>
      <c r="G10674" s="34" t="n">
        <f aca="false">SUMIFS('12.326ana'!$C:$C,'12.326ana'!$M:$M,redes!A10674)</f>
        <v>0</v>
      </c>
    </row>
    <row r="10675" customFormat="false" ht="14.4" hidden="true" customHeight="false" outlineLevel="0" collapsed="false">
      <c r="A10675" s="34" t="n">
        <v>7814613000101</v>
      </c>
      <c r="B10675" s="34" t="s">
        <v>21214</v>
      </c>
      <c r="C10675" s="34" t="s">
        <v>842</v>
      </c>
      <c r="E10675" s="30" t="s">
        <v>21215</v>
      </c>
      <c r="F10675" s="34" t="n">
        <f aca="false">IFERROR(VLOOKUP($A10675,'319'!$B:$H,7,0),0)</f>
        <v>0</v>
      </c>
      <c r="G10675" s="34" t="n">
        <f aca="false">SUMIFS('12.326ana'!$C:$C,'12.326ana'!$M:$M,redes!A10675)</f>
        <v>0</v>
      </c>
    </row>
    <row r="10676" customFormat="false" ht="14.4" hidden="true" customHeight="false" outlineLevel="0" collapsed="false">
      <c r="A10676" s="34" t="n">
        <v>7814854000150</v>
      </c>
      <c r="B10676" s="34" t="s">
        <v>1646</v>
      </c>
      <c r="C10676" s="34" t="s">
        <v>309</v>
      </c>
      <c r="E10676" s="30" t="s">
        <v>21216</v>
      </c>
      <c r="F10676" s="34" t="n">
        <f aca="false">IFERROR(VLOOKUP($A10676,'319'!$B:$H,7,0),0)</f>
        <v>65.52</v>
      </c>
      <c r="G10676" s="34" t="n">
        <f aca="false">SUMIFS('12.326ana'!$C:$C,'12.326ana'!$M:$M,redes!A10676)</f>
        <v>0</v>
      </c>
    </row>
    <row r="10677" customFormat="false" ht="14.4" hidden="true" customHeight="false" outlineLevel="0" collapsed="false">
      <c r="A10677" s="34" t="n">
        <v>7816829000106</v>
      </c>
      <c r="B10677" s="34" t="s">
        <v>21217</v>
      </c>
      <c r="C10677" s="34" t="s">
        <v>357</v>
      </c>
      <c r="E10677" s="30" t="s">
        <v>21218</v>
      </c>
      <c r="F10677" s="34" t="n">
        <f aca="false">IFERROR(VLOOKUP($A10677,'319'!$B:$H,7,0),0)</f>
        <v>0</v>
      </c>
      <c r="G10677" s="34" t="n">
        <f aca="false">SUMIFS('12.326ana'!$C:$C,'12.326ana'!$M:$M,redes!A10677)</f>
        <v>0</v>
      </c>
    </row>
    <row r="10678" customFormat="false" ht="14.4" hidden="true" customHeight="false" outlineLevel="0" collapsed="false">
      <c r="A10678" s="34" t="n">
        <v>7816883000151</v>
      </c>
      <c r="B10678" s="34" t="s">
        <v>10443</v>
      </c>
      <c r="C10678" s="34" t="s">
        <v>357</v>
      </c>
      <c r="E10678" s="30" t="s">
        <v>21219</v>
      </c>
      <c r="F10678" s="34" t="n">
        <f aca="false">IFERROR(VLOOKUP($A10678,'319'!$B:$H,7,0),0)</f>
        <v>0</v>
      </c>
      <c r="G10678" s="34" t="n">
        <f aca="false">SUMIFS('12.326ana'!$C:$C,'12.326ana'!$M:$M,redes!A10678)</f>
        <v>0</v>
      </c>
    </row>
    <row r="10679" customFormat="false" ht="14.4" hidden="true" customHeight="false" outlineLevel="0" collapsed="false">
      <c r="A10679" s="34" t="n">
        <v>7817003000161</v>
      </c>
      <c r="B10679" s="34" t="s">
        <v>21220</v>
      </c>
      <c r="C10679" s="34" t="s">
        <v>129</v>
      </c>
      <c r="E10679" s="30" t="s">
        <v>21221</v>
      </c>
      <c r="F10679" s="34" t="n">
        <f aca="false">IFERROR(VLOOKUP($A10679,'319'!$B:$H,7,0),0)</f>
        <v>0</v>
      </c>
      <c r="G10679" s="34" t="n">
        <f aca="false">SUMIFS('12.326ana'!$C:$C,'12.326ana'!$M:$M,redes!A10679)</f>
        <v>0</v>
      </c>
    </row>
    <row r="10680" customFormat="false" ht="14.4" hidden="true" customHeight="false" outlineLevel="0" collapsed="false">
      <c r="A10680" s="34" t="n">
        <v>7818154000134</v>
      </c>
      <c r="B10680" s="34" t="s">
        <v>21222</v>
      </c>
      <c r="C10680" s="34" t="s">
        <v>3060</v>
      </c>
      <c r="E10680" s="30" t="s">
        <v>21223</v>
      </c>
      <c r="F10680" s="34" t="n">
        <f aca="false">IFERROR(VLOOKUP($A10680,'319'!$B:$H,7,0),0)</f>
        <v>0</v>
      </c>
      <c r="G10680" s="34" t="n">
        <f aca="false">SUMIFS('12.326ana'!$C:$C,'12.326ana'!$M:$M,redes!A10680)</f>
        <v>0</v>
      </c>
    </row>
    <row r="10681" customFormat="false" ht="14.4" hidden="true" customHeight="false" outlineLevel="0" collapsed="false">
      <c r="A10681" s="34" t="n">
        <v>7818696000107</v>
      </c>
      <c r="B10681" s="34" t="s">
        <v>21224</v>
      </c>
      <c r="C10681" s="34" t="s">
        <v>342</v>
      </c>
      <c r="E10681" s="30" t="s">
        <v>21225</v>
      </c>
      <c r="F10681" s="34" t="n">
        <f aca="false">IFERROR(VLOOKUP($A10681,'319'!$B:$H,7,0),0)</f>
        <v>0</v>
      </c>
      <c r="G10681" s="34" t="n">
        <f aca="false">SUMIFS('12.326ana'!$C:$C,'12.326ana'!$M:$M,redes!A10681)</f>
        <v>0</v>
      </c>
    </row>
    <row r="10682" customFormat="false" ht="14.4" hidden="true" customHeight="false" outlineLevel="0" collapsed="false">
      <c r="A10682" s="34" t="n">
        <v>7821972000196</v>
      </c>
      <c r="B10682" s="34" t="s">
        <v>21226</v>
      </c>
      <c r="C10682" s="34" t="s">
        <v>77</v>
      </c>
      <c r="E10682" s="30" t="s">
        <v>21227</v>
      </c>
      <c r="F10682" s="34" t="n">
        <f aca="false">IFERROR(VLOOKUP($A10682,'319'!$B:$H,7,0),0)</f>
        <v>0</v>
      </c>
      <c r="G10682" s="34" t="n">
        <f aca="false">SUMIFS('12.326ana'!$C:$C,'12.326ana'!$M:$M,redes!A10682)</f>
        <v>0</v>
      </c>
    </row>
    <row r="10683" customFormat="false" ht="14.4" hidden="true" customHeight="false" outlineLevel="0" collapsed="false">
      <c r="A10683" s="34" t="n">
        <v>7825414000107</v>
      </c>
      <c r="B10683" s="34" t="s">
        <v>21228</v>
      </c>
      <c r="C10683" s="34" t="s">
        <v>994</v>
      </c>
      <c r="E10683" s="30" t="s">
        <v>6029</v>
      </c>
      <c r="F10683" s="34" t="n">
        <f aca="false">IFERROR(VLOOKUP($A10683,'319'!$B:$H,7,0),0)</f>
        <v>0</v>
      </c>
      <c r="G10683" s="34" t="n">
        <f aca="false">SUMIFS('12.326ana'!$C:$C,'12.326ana'!$M:$M,redes!A10683)</f>
        <v>0</v>
      </c>
    </row>
    <row r="10684" customFormat="false" ht="14.4" hidden="true" customHeight="false" outlineLevel="0" collapsed="false">
      <c r="A10684" s="34" t="n">
        <v>7832408000179</v>
      </c>
      <c r="B10684" s="34" t="s">
        <v>21229</v>
      </c>
      <c r="C10684" s="34" t="s">
        <v>77</v>
      </c>
      <c r="E10684" s="30" t="s">
        <v>21230</v>
      </c>
      <c r="F10684" s="34" t="n">
        <f aca="false">IFERROR(VLOOKUP($A10684,'319'!$B:$H,7,0),0)</f>
        <v>0</v>
      </c>
      <c r="G10684" s="34" t="n">
        <f aca="false">SUMIFS('12.326ana'!$C:$C,'12.326ana'!$M:$M,redes!A10684)</f>
        <v>0</v>
      </c>
    </row>
    <row r="10685" customFormat="false" ht="14.4" hidden="true" customHeight="false" outlineLevel="0" collapsed="false">
      <c r="A10685" s="34" t="n">
        <v>7837083000117</v>
      </c>
      <c r="B10685" s="34" t="s">
        <v>21231</v>
      </c>
      <c r="C10685" s="34" t="s">
        <v>77</v>
      </c>
      <c r="E10685" s="30" t="s">
        <v>21232</v>
      </c>
      <c r="F10685" s="34" t="n">
        <f aca="false">IFERROR(VLOOKUP($A10685,'319'!$B:$H,7,0),0)</f>
        <v>0</v>
      </c>
      <c r="G10685" s="34" t="n">
        <f aca="false">SUMIFS('12.326ana'!$C:$C,'12.326ana'!$M:$M,redes!A10685)</f>
        <v>0</v>
      </c>
    </row>
    <row r="10686" customFormat="false" ht="14.4" hidden="true" customHeight="false" outlineLevel="0" collapsed="false">
      <c r="A10686" s="34" t="n">
        <v>7837363000125</v>
      </c>
      <c r="B10686" s="34" t="s">
        <v>21233</v>
      </c>
      <c r="C10686" s="34" t="s">
        <v>448</v>
      </c>
      <c r="E10686" s="30" t="s">
        <v>21234</v>
      </c>
      <c r="F10686" s="34" t="n">
        <f aca="false">IFERROR(VLOOKUP($A10686,'319'!$B:$H,7,0),0)</f>
        <v>0</v>
      </c>
      <c r="G10686" s="34" t="n">
        <f aca="false">SUMIFS('12.326ana'!$C:$C,'12.326ana'!$M:$M,redes!A10686)</f>
        <v>0</v>
      </c>
    </row>
    <row r="10687" customFormat="false" ht="14.4" hidden="true" customHeight="false" outlineLevel="0" collapsed="false">
      <c r="A10687" s="34" t="n">
        <v>7840534000175</v>
      </c>
      <c r="B10687" s="34" t="s">
        <v>21235</v>
      </c>
      <c r="C10687" s="34" t="s">
        <v>77</v>
      </c>
      <c r="E10687" s="30" t="s">
        <v>21236</v>
      </c>
      <c r="F10687" s="34" t="n">
        <f aca="false">IFERROR(VLOOKUP($A10687,'319'!$B:$H,7,0),0)</f>
        <v>0</v>
      </c>
      <c r="G10687" s="34" t="n">
        <f aca="false">SUMIFS('12.326ana'!$C:$C,'12.326ana'!$M:$M,redes!A10687)</f>
        <v>0</v>
      </c>
    </row>
    <row r="10688" customFormat="false" ht="14.4" hidden="true" customHeight="false" outlineLevel="0" collapsed="false">
      <c r="A10688" s="34" t="n">
        <v>7843009000103</v>
      </c>
      <c r="B10688" s="34" t="s">
        <v>21237</v>
      </c>
      <c r="C10688" s="34" t="s">
        <v>77</v>
      </c>
      <c r="E10688" s="30" t="s">
        <v>21238</v>
      </c>
      <c r="F10688" s="34" t="n">
        <f aca="false">IFERROR(VLOOKUP($A10688,'319'!$B:$H,7,0),0)</f>
        <v>0</v>
      </c>
      <c r="G10688" s="34" t="n">
        <f aca="false">SUMIFS('12.326ana'!$C:$C,'12.326ana'!$M:$M,redes!A10688)</f>
        <v>0</v>
      </c>
    </row>
    <row r="10689" customFormat="false" ht="14.4" hidden="true" customHeight="false" outlineLevel="0" collapsed="false">
      <c r="A10689" s="34" t="n">
        <v>7844414000146</v>
      </c>
      <c r="B10689" s="34" t="s">
        <v>21239</v>
      </c>
      <c r="C10689" s="34" t="s">
        <v>781</v>
      </c>
      <c r="E10689" s="30" t="s">
        <v>21240</v>
      </c>
      <c r="F10689" s="34" t="n">
        <f aca="false">IFERROR(VLOOKUP($A10689,'319'!$B:$H,7,0),0)</f>
        <v>0</v>
      </c>
      <c r="G10689" s="34" t="n">
        <f aca="false">SUMIFS('12.326ana'!$C:$C,'12.326ana'!$M:$M,redes!A10689)</f>
        <v>0</v>
      </c>
    </row>
    <row r="10690" customFormat="false" ht="14.4" hidden="true" customHeight="false" outlineLevel="0" collapsed="false">
      <c r="A10690" s="34" t="n">
        <v>7849705000127</v>
      </c>
      <c r="B10690" s="34" t="s">
        <v>21241</v>
      </c>
      <c r="C10690" s="34" t="s">
        <v>842</v>
      </c>
      <c r="E10690" s="30" t="s">
        <v>15421</v>
      </c>
      <c r="F10690" s="34" t="n">
        <f aca="false">IFERROR(VLOOKUP($A10690,'319'!$B:$H,7,0),0)</f>
        <v>0</v>
      </c>
      <c r="G10690" s="34" t="n">
        <f aca="false">SUMIFS('12.326ana'!$C:$C,'12.326ana'!$M:$M,redes!A10690)</f>
        <v>0</v>
      </c>
    </row>
    <row r="10691" customFormat="false" ht="14.4" hidden="true" customHeight="false" outlineLevel="0" collapsed="false">
      <c r="A10691" s="34" t="n">
        <v>7849770000152</v>
      </c>
      <c r="B10691" s="34" t="s">
        <v>21242</v>
      </c>
      <c r="C10691" s="34" t="s">
        <v>77</v>
      </c>
      <c r="E10691" s="30" t="s">
        <v>17999</v>
      </c>
      <c r="F10691" s="34" t="n">
        <f aca="false">IFERROR(VLOOKUP($A10691,'319'!$B:$H,7,0),0)</f>
        <v>0</v>
      </c>
      <c r="G10691" s="34" t="n">
        <f aca="false">SUMIFS('12.326ana'!$C:$C,'12.326ana'!$M:$M,redes!A10691)</f>
        <v>0</v>
      </c>
    </row>
    <row r="10692" customFormat="false" ht="14.4" hidden="true" customHeight="false" outlineLevel="0" collapsed="false">
      <c r="A10692" s="34" t="n">
        <v>7851985000108</v>
      </c>
      <c r="B10692" s="34" t="s">
        <v>21243</v>
      </c>
      <c r="C10692" s="34" t="s">
        <v>127</v>
      </c>
      <c r="E10692" s="30"/>
      <c r="F10692" s="34" t="n">
        <f aca="false">IFERROR(VLOOKUP($A10692,'319'!$B:$H,7,0),0)</f>
        <v>0</v>
      </c>
      <c r="G10692" s="34" t="n">
        <f aca="false">SUMIFS('12.326ana'!$C:$C,'12.326ana'!$M:$M,redes!A10692)</f>
        <v>0</v>
      </c>
    </row>
    <row r="10693" customFormat="false" ht="14.4" hidden="true" customHeight="false" outlineLevel="0" collapsed="false">
      <c r="A10693" s="34" t="n">
        <v>7852450000151</v>
      </c>
      <c r="B10693" s="34" t="s">
        <v>21244</v>
      </c>
      <c r="C10693" s="34" t="s">
        <v>77</v>
      </c>
      <c r="E10693" s="30" t="s">
        <v>21245</v>
      </c>
      <c r="F10693" s="34" t="n">
        <f aca="false">IFERROR(VLOOKUP($A10693,'319'!$B:$H,7,0),0)</f>
        <v>0</v>
      </c>
      <c r="G10693" s="34" t="n">
        <f aca="false">SUMIFS('12.326ana'!$C:$C,'12.326ana'!$M:$M,redes!A10693)</f>
        <v>0</v>
      </c>
    </row>
    <row r="10694" customFormat="false" ht="14.4" hidden="true" customHeight="false" outlineLevel="0" collapsed="false">
      <c r="A10694" s="34" t="n">
        <v>7854860000131</v>
      </c>
      <c r="B10694" s="34" t="s">
        <v>21246</v>
      </c>
      <c r="C10694" s="34" t="s">
        <v>139</v>
      </c>
      <c r="E10694" s="30" t="s">
        <v>21247</v>
      </c>
      <c r="F10694" s="34" t="n">
        <f aca="false">IFERROR(VLOOKUP($A10694,'319'!$B:$H,7,0),0)</f>
        <v>0</v>
      </c>
      <c r="G10694" s="34" t="n">
        <f aca="false">SUMIFS('12.326ana'!$C:$C,'12.326ana'!$M:$M,redes!A10694)</f>
        <v>0</v>
      </c>
    </row>
    <row r="10695" customFormat="false" ht="14.4" hidden="true" customHeight="false" outlineLevel="0" collapsed="false">
      <c r="A10695" s="34" t="n">
        <v>7859065000136</v>
      </c>
      <c r="B10695" s="34" t="s">
        <v>21248</v>
      </c>
      <c r="C10695" s="34" t="s">
        <v>737</v>
      </c>
      <c r="E10695" s="30" t="s">
        <v>21249</v>
      </c>
      <c r="F10695" s="34" t="n">
        <f aca="false">IFERROR(VLOOKUP($A10695,'319'!$B:$H,7,0),0)</f>
        <v>0</v>
      </c>
      <c r="G10695" s="34" t="n">
        <f aca="false">SUMIFS('12.326ana'!$C:$C,'12.326ana'!$M:$M,redes!A10695)</f>
        <v>0</v>
      </c>
    </row>
    <row r="10696" customFormat="false" ht="14.4" hidden="true" customHeight="false" outlineLevel="0" collapsed="false">
      <c r="A10696" s="34" t="n">
        <v>7864393000120</v>
      </c>
      <c r="B10696" s="34" t="s">
        <v>21250</v>
      </c>
      <c r="C10696" s="34" t="s">
        <v>192</v>
      </c>
      <c r="E10696" s="30" t="s">
        <v>21251</v>
      </c>
      <c r="F10696" s="34" t="n">
        <f aca="false">IFERROR(VLOOKUP($A10696,'319'!$B:$H,7,0),0)</f>
        <v>0</v>
      </c>
      <c r="G10696" s="34" t="n">
        <f aca="false">SUMIFS('12.326ana'!$C:$C,'12.326ana'!$M:$M,redes!A10696)</f>
        <v>0</v>
      </c>
    </row>
    <row r="10697" customFormat="false" ht="14.4" hidden="true" customHeight="false" outlineLevel="0" collapsed="false">
      <c r="A10697" s="34" t="n">
        <v>7864658000190</v>
      </c>
      <c r="B10697" s="34" t="s">
        <v>21252</v>
      </c>
      <c r="C10697" s="34" t="s">
        <v>463</v>
      </c>
      <c r="E10697" s="30" t="s">
        <v>3001</v>
      </c>
      <c r="F10697" s="34" t="n">
        <f aca="false">IFERROR(VLOOKUP($A10697,'319'!$B:$H,7,0),0)</f>
        <v>0</v>
      </c>
      <c r="G10697" s="34" t="n">
        <f aca="false">SUMIFS('12.326ana'!$C:$C,'12.326ana'!$M:$M,redes!A10697)</f>
        <v>0</v>
      </c>
    </row>
    <row r="10698" customFormat="false" ht="14.4" hidden="true" customHeight="false" outlineLevel="0" collapsed="false">
      <c r="A10698" s="34" t="n">
        <v>7864786000134</v>
      </c>
      <c r="B10698" s="34" t="s">
        <v>21253</v>
      </c>
      <c r="C10698" s="34" t="s">
        <v>77</v>
      </c>
      <c r="E10698" s="30" t="s">
        <v>5637</v>
      </c>
      <c r="F10698" s="34" t="n">
        <f aca="false">IFERROR(VLOOKUP($A10698,'319'!$B:$H,7,0),0)</f>
        <v>0</v>
      </c>
      <c r="G10698" s="34" t="n">
        <f aca="false">SUMIFS('12.326ana'!$C:$C,'12.326ana'!$M:$M,redes!A10698)</f>
        <v>0</v>
      </c>
    </row>
    <row r="10699" customFormat="false" ht="14.4" hidden="true" customHeight="false" outlineLevel="0" collapsed="false">
      <c r="A10699" s="34" t="n">
        <v>7865786000159</v>
      </c>
      <c r="B10699" s="34" t="s">
        <v>21254</v>
      </c>
      <c r="C10699" s="34" t="s">
        <v>207</v>
      </c>
      <c r="E10699" s="30" t="s">
        <v>21255</v>
      </c>
      <c r="F10699" s="34" t="n">
        <f aca="false">IFERROR(VLOOKUP($A10699,'319'!$B:$H,7,0),0)</f>
        <v>0</v>
      </c>
      <c r="G10699" s="34" t="n">
        <f aca="false">SUMIFS('12.326ana'!$C:$C,'12.326ana'!$M:$M,redes!A10699)</f>
        <v>0</v>
      </c>
    </row>
    <row r="10700" customFormat="false" ht="14.4" hidden="true" customHeight="false" outlineLevel="0" collapsed="false">
      <c r="A10700" s="34" t="n">
        <v>7868464000163</v>
      </c>
      <c r="B10700" s="34" t="s">
        <v>21256</v>
      </c>
      <c r="C10700" s="34" t="s">
        <v>809</v>
      </c>
      <c r="E10700" s="30" t="s">
        <v>21257</v>
      </c>
      <c r="F10700" s="34" t="n">
        <f aca="false">IFERROR(VLOOKUP($A10700,'319'!$B:$H,7,0),0)</f>
        <v>0</v>
      </c>
      <c r="G10700" s="34" t="n">
        <f aca="false">SUMIFS('12.326ana'!$C:$C,'12.326ana'!$M:$M,redes!A10700)</f>
        <v>0</v>
      </c>
    </row>
    <row r="10701" customFormat="false" ht="14.4" hidden="true" customHeight="false" outlineLevel="0" collapsed="false">
      <c r="A10701" s="34" t="n">
        <v>7873027000138</v>
      </c>
      <c r="B10701" s="34" t="s">
        <v>21258</v>
      </c>
      <c r="C10701" s="34" t="s">
        <v>680</v>
      </c>
      <c r="E10701" s="30" t="s">
        <v>21259</v>
      </c>
      <c r="F10701" s="34" t="n">
        <f aca="false">IFERROR(VLOOKUP($A10701,'319'!$B:$H,7,0),0)</f>
        <v>0</v>
      </c>
      <c r="G10701" s="34" t="n">
        <f aca="false">SUMIFS('12.326ana'!$C:$C,'12.326ana'!$M:$M,redes!A10701)</f>
        <v>0</v>
      </c>
    </row>
    <row r="10702" customFormat="false" ht="14.4" hidden="true" customHeight="false" outlineLevel="0" collapsed="false">
      <c r="A10702" s="34" t="n">
        <v>7875801000140</v>
      </c>
      <c r="B10702" s="34" t="s">
        <v>21260</v>
      </c>
      <c r="C10702" s="34" t="s">
        <v>77</v>
      </c>
      <c r="E10702" s="30" t="s">
        <v>21261</v>
      </c>
      <c r="F10702" s="34" t="n">
        <f aca="false">IFERROR(VLOOKUP($A10702,'319'!$B:$H,7,0),0)</f>
        <v>0</v>
      </c>
      <c r="G10702" s="34" t="n">
        <f aca="false">SUMIFS('12.326ana'!$C:$C,'12.326ana'!$M:$M,redes!A10702)</f>
        <v>0</v>
      </c>
    </row>
    <row r="10703" customFormat="false" ht="14.4" hidden="true" customHeight="false" outlineLevel="0" collapsed="false">
      <c r="A10703" s="34" t="n">
        <v>7878351000149</v>
      </c>
      <c r="B10703" s="34" t="s">
        <v>21262</v>
      </c>
      <c r="C10703" s="34" t="s">
        <v>546</v>
      </c>
      <c r="E10703" s="30" t="s">
        <v>21263</v>
      </c>
      <c r="F10703" s="34" t="n">
        <f aca="false">IFERROR(VLOOKUP($A10703,'319'!$B:$H,7,0),0)</f>
        <v>0</v>
      </c>
      <c r="G10703" s="34" t="n">
        <f aca="false">SUMIFS('12.326ana'!$C:$C,'12.326ana'!$M:$M,redes!A10703)</f>
        <v>0</v>
      </c>
    </row>
    <row r="10704" customFormat="false" ht="14.4" hidden="true" customHeight="false" outlineLevel="0" collapsed="false">
      <c r="A10704" s="34" t="n">
        <v>7885083000192</v>
      </c>
      <c r="B10704" s="34" t="s">
        <v>21264</v>
      </c>
      <c r="C10704" s="34" t="s">
        <v>299</v>
      </c>
      <c r="E10704" s="30" t="s">
        <v>21265</v>
      </c>
      <c r="F10704" s="34" t="n">
        <f aca="false">IFERROR(VLOOKUP($A10704,'319'!$B:$H,7,0),0)</f>
        <v>0</v>
      </c>
      <c r="G10704" s="34" t="n">
        <f aca="false">SUMIFS('12.326ana'!$C:$C,'12.326ana'!$M:$M,redes!A10704)</f>
        <v>0</v>
      </c>
    </row>
    <row r="10705" customFormat="false" ht="14.4" hidden="true" customHeight="false" outlineLevel="0" collapsed="false">
      <c r="A10705" s="34" t="n">
        <v>7885356000107</v>
      </c>
      <c r="B10705" s="34" t="s">
        <v>21266</v>
      </c>
      <c r="C10705" s="34" t="s">
        <v>77</v>
      </c>
      <c r="E10705" s="30" t="s">
        <v>8653</v>
      </c>
      <c r="F10705" s="34" t="n">
        <f aca="false">IFERROR(VLOOKUP($A10705,'319'!$B:$H,7,0),0)</f>
        <v>0</v>
      </c>
      <c r="G10705" s="34" t="n">
        <f aca="false">SUMIFS('12.326ana'!$C:$C,'12.326ana'!$M:$M,redes!A10705)</f>
        <v>0</v>
      </c>
    </row>
    <row r="10706" customFormat="false" ht="14.4" hidden="true" customHeight="false" outlineLevel="0" collapsed="false">
      <c r="A10706" s="34" t="n">
        <v>7887526000184</v>
      </c>
      <c r="B10706" s="34" t="s">
        <v>21267</v>
      </c>
      <c r="C10706" s="34" t="s">
        <v>342</v>
      </c>
      <c r="E10706" s="30" t="s">
        <v>21268</v>
      </c>
      <c r="F10706" s="34" t="n">
        <f aca="false">IFERROR(VLOOKUP($A10706,'319'!$B:$H,7,0),0)</f>
        <v>0</v>
      </c>
      <c r="G10706" s="34" t="n">
        <f aca="false">SUMIFS('12.326ana'!$C:$C,'12.326ana'!$M:$M,redes!A10706)</f>
        <v>0</v>
      </c>
    </row>
    <row r="10707" customFormat="false" ht="14.4" hidden="true" customHeight="false" outlineLevel="0" collapsed="false">
      <c r="A10707" s="34" t="n">
        <v>7888628000114</v>
      </c>
      <c r="B10707" s="34" t="s">
        <v>21269</v>
      </c>
      <c r="C10707" s="34" t="s">
        <v>342</v>
      </c>
      <c r="E10707" s="30" t="s">
        <v>4638</v>
      </c>
      <c r="F10707" s="34" t="n">
        <f aca="false">IFERROR(VLOOKUP($A10707,'319'!$B:$H,7,0),0)</f>
        <v>0</v>
      </c>
      <c r="G10707" s="34" t="n">
        <f aca="false">SUMIFS('12.326ana'!$C:$C,'12.326ana'!$M:$M,redes!A10707)</f>
        <v>0</v>
      </c>
    </row>
    <row r="10708" customFormat="false" ht="14.4" hidden="true" customHeight="false" outlineLevel="0" collapsed="false">
      <c r="A10708" s="34" t="n">
        <v>7888642000118</v>
      </c>
      <c r="B10708" s="34" t="s">
        <v>21270</v>
      </c>
      <c r="C10708" s="34" t="s">
        <v>781</v>
      </c>
      <c r="E10708" s="30" t="s">
        <v>21271</v>
      </c>
      <c r="F10708" s="34" t="n">
        <f aca="false">IFERROR(VLOOKUP($A10708,'319'!$B:$H,7,0),0)</f>
        <v>0</v>
      </c>
      <c r="G10708" s="34" t="n">
        <f aca="false">SUMIFS('12.326ana'!$C:$C,'12.326ana'!$M:$M,redes!A10708)</f>
        <v>0</v>
      </c>
    </row>
    <row r="10709" customFormat="false" ht="14.4" hidden="true" customHeight="false" outlineLevel="0" collapsed="false">
      <c r="A10709" s="34" t="n">
        <v>7890680000105</v>
      </c>
      <c r="B10709" s="34" t="s">
        <v>21272</v>
      </c>
      <c r="C10709" s="34" t="s">
        <v>77</v>
      </c>
      <c r="E10709" s="30" t="s">
        <v>7923</v>
      </c>
      <c r="F10709" s="34" t="n">
        <f aca="false">IFERROR(VLOOKUP($A10709,'319'!$B:$H,7,0),0)</f>
        <v>0</v>
      </c>
      <c r="G10709" s="34" t="n">
        <f aca="false">SUMIFS('12.326ana'!$C:$C,'12.326ana'!$M:$M,redes!A10709)</f>
        <v>0</v>
      </c>
    </row>
    <row r="10710" customFormat="false" ht="14.4" hidden="true" customHeight="false" outlineLevel="0" collapsed="false">
      <c r="A10710" s="34" t="n">
        <v>7893298000155</v>
      </c>
      <c r="B10710" s="34" t="s">
        <v>21273</v>
      </c>
      <c r="C10710" s="34" t="s">
        <v>7250</v>
      </c>
      <c r="E10710" s="30" t="s">
        <v>21274</v>
      </c>
      <c r="F10710" s="34" t="n">
        <f aca="false">IFERROR(VLOOKUP($A10710,'319'!$B:$H,7,0),0)</f>
        <v>10021.29</v>
      </c>
      <c r="G10710" s="34" t="n">
        <f aca="false">SUMIFS('12.326ana'!$C:$C,'12.326ana'!$M:$M,redes!A10710)</f>
        <v>0</v>
      </c>
    </row>
    <row r="10711" customFormat="false" ht="14.4" hidden="true" customHeight="false" outlineLevel="0" collapsed="false">
      <c r="A10711" s="34" t="n">
        <v>7893391000160</v>
      </c>
      <c r="B10711" s="34" t="s">
        <v>21275</v>
      </c>
      <c r="C10711" s="34" t="s">
        <v>77</v>
      </c>
      <c r="E10711" s="30" t="s">
        <v>21276</v>
      </c>
      <c r="F10711" s="34" t="n">
        <f aca="false">IFERROR(VLOOKUP($A10711,'319'!$B:$H,7,0),0)</f>
        <v>0</v>
      </c>
      <c r="G10711" s="34" t="n">
        <f aca="false">SUMIFS('12.326ana'!$C:$C,'12.326ana'!$M:$M,redes!A10711)</f>
        <v>0</v>
      </c>
    </row>
    <row r="10712" customFormat="false" ht="14.4" hidden="true" customHeight="false" outlineLevel="0" collapsed="false">
      <c r="A10712" s="34" t="n">
        <v>7893400000112</v>
      </c>
      <c r="B10712" s="34" t="s">
        <v>21277</v>
      </c>
      <c r="C10712" s="34" t="s">
        <v>89</v>
      </c>
      <c r="E10712" s="30" t="s">
        <v>16065</v>
      </c>
      <c r="F10712" s="34" t="n">
        <f aca="false">IFERROR(VLOOKUP($A10712,'319'!$B:$H,7,0),0)</f>
        <v>0</v>
      </c>
      <c r="G10712" s="34" t="n">
        <f aca="false">SUMIFS('12.326ana'!$C:$C,'12.326ana'!$M:$M,redes!A10712)</f>
        <v>0</v>
      </c>
    </row>
    <row r="10713" customFormat="false" ht="14.4" hidden="true" customHeight="false" outlineLevel="0" collapsed="false">
      <c r="A10713" s="34" t="n">
        <v>7894248000192</v>
      </c>
      <c r="B10713" s="34" t="s">
        <v>21278</v>
      </c>
      <c r="C10713" s="34" t="s">
        <v>77</v>
      </c>
      <c r="E10713" s="30" t="s">
        <v>11331</v>
      </c>
      <c r="F10713" s="34" t="n">
        <f aca="false">IFERROR(VLOOKUP($A10713,'319'!$B:$H,7,0),0)</f>
        <v>0</v>
      </c>
      <c r="G10713" s="34" t="n">
        <f aca="false">SUMIFS('12.326ana'!$C:$C,'12.326ana'!$M:$M,redes!A10713)</f>
        <v>0</v>
      </c>
    </row>
    <row r="10714" customFormat="false" ht="14.4" hidden="true" customHeight="false" outlineLevel="0" collapsed="false">
      <c r="A10714" s="34" t="n">
        <v>7894303000144</v>
      </c>
      <c r="B10714" s="34" t="s">
        <v>21279</v>
      </c>
      <c r="C10714" s="34" t="s">
        <v>994</v>
      </c>
      <c r="E10714" s="30" t="s">
        <v>21280</v>
      </c>
      <c r="F10714" s="34" t="n">
        <f aca="false">IFERROR(VLOOKUP($A10714,'319'!$B:$H,7,0),0)</f>
        <v>0</v>
      </c>
      <c r="G10714" s="34" t="n">
        <f aca="false">SUMIFS('12.326ana'!$C:$C,'12.326ana'!$M:$M,redes!A10714)</f>
        <v>0</v>
      </c>
    </row>
    <row r="10715" customFormat="false" ht="14.4" hidden="true" customHeight="false" outlineLevel="0" collapsed="false">
      <c r="A10715" s="34" t="n">
        <v>7896153000108</v>
      </c>
      <c r="B10715" s="34" t="s">
        <v>21281</v>
      </c>
      <c r="C10715" s="34" t="s">
        <v>139</v>
      </c>
      <c r="E10715" s="30" t="s">
        <v>21282</v>
      </c>
      <c r="F10715" s="34" t="n">
        <f aca="false">IFERROR(VLOOKUP($A10715,'319'!$B:$H,7,0),0)</f>
        <v>0</v>
      </c>
      <c r="G10715" s="34" t="n">
        <f aca="false">SUMIFS('12.326ana'!$C:$C,'12.326ana'!$M:$M,redes!A10715)</f>
        <v>0</v>
      </c>
    </row>
    <row r="10716" customFormat="false" ht="14.4" hidden="true" customHeight="false" outlineLevel="0" collapsed="false">
      <c r="A10716" s="34" t="n">
        <v>7896374000186</v>
      </c>
      <c r="B10716" s="34" t="s">
        <v>21283</v>
      </c>
      <c r="C10716" s="34" t="s">
        <v>77</v>
      </c>
      <c r="E10716" s="30" t="s">
        <v>21284</v>
      </c>
      <c r="F10716" s="34" t="n">
        <f aca="false">IFERROR(VLOOKUP($A10716,'319'!$B:$H,7,0),0)</f>
        <v>0</v>
      </c>
      <c r="G10716" s="34" t="n">
        <f aca="false">SUMIFS('12.326ana'!$C:$C,'12.326ana'!$M:$M,redes!A10716)</f>
        <v>0</v>
      </c>
    </row>
    <row r="10717" customFormat="false" ht="14.4" hidden="true" customHeight="false" outlineLevel="0" collapsed="false">
      <c r="A10717" s="34" t="n">
        <v>7896423000180</v>
      </c>
      <c r="B10717" s="34" t="s">
        <v>21285</v>
      </c>
      <c r="C10717" s="34" t="s">
        <v>77</v>
      </c>
      <c r="E10717" s="30" t="s">
        <v>21286</v>
      </c>
      <c r="F10717" s="34" t="n">
        <f aca="false">IFERROR(VLOOKUP($A10717,'319'!$B:$H,7,0),0)</f>
        <v>0</v>
      </c>
      <c r="G10717" s="34" t="n">
        <f aca="false">SUMIFS('12.326ana'!$C:$C,'12.326ana'!$M:$M,redes!A10717)</f>
        <v>0</v>
      </c>
    </row>
    <row r="10718" customFormat="false" ht="14.4" hidden="true" customHeight="false" outlineLevel="0" collapsed="false">
      <c r="A10718" s="34" t="n">
        <v>7896607000140</v>
      </c>
      <c r="B10718" s="34" t="s">
        <v>21287</v>
      </c>
      <c r="C10718" s="34" t="s">
        <v>77</v>
      </c>
      <c r="E10718" s="30" t="s">
        <v>21288</v>
      </c>
      <c r="F10718" s="34" t="n">
        <f aca="false">IFERROR(VLOOKUP($A10718,'319'!$B:$H,7,0),0)</f>
        <v>0</v>
      </c>
      <c r="G10718" s="34" t="n">
        <f aca="false">SUMIFS('12.326ana'!$C:$C,'12.326ana'!$M:$M,redes!A10718)</f>
        <v>0</v>
      </c>
    </row>
    <row r="10719" customFormat="false" ht="14.4" hidden="true" customHeight="false" outlineLevel="0" collapsed="false">
      <c r="A10719" s="34" t="n">
        <v>7901987000164</v>
      </c>
      <c r="B10719" s="34" t="s">
        <v>21289</v>
      </c>
      <c r="C10719" s="34" t="s">
        <v>107</v>
      </c>
      <c r="E10719" s="30" t="s">
        <v>21290</v>
      </c>
      <c r="F10719" s="34" t="n">
        <f aca="false">IFERROR(VLOOKUP($A10719,'319'!$B:$H,7,0),0)</f>
        <v>0</v>
      </c>
      <c r="G10719" s="34" t="n">
        <f aca="false">SUMIFS('12.326ana'!$C:$C,'12.326ana'!$M:$M,redes!A10719)</f>
        <v>0</v>
      </c>
    </row>
    <row r="10720" customFormat="false" ht="14.4" hidden="true" customHeight="false" outlineLevel="0" collapsed="false">
      <c r="A10720" s="34" t="n">
        <v>7904673000115</v>
      </c>
      <c r="B10720" s="34" t="s">
        <v>21291</v>
      </c>
      <c r="C10720" s="34" t="s">
        <v>77</v>
      </c>
      <c r="E10720" s="30" t="s">
        <v>21292</v>
      </c>
      <c r="F10720" s="34" t="n">
        <f aca="false">IFERROR(VLOOKUP($A10720,'319'!$B:$H,7,0),0)</f>
        <v>0</v>
      </c>
      <c r="G10720" s="34" t="n">
        <f aca="false">SUMIFS('12.326ana'!$C:$C,'12.326ana'!$M:$M,redes!A10720)</f>
        <v>0</v>
      </c>
    </row>
    <row r="10721" customFormat="false" ht="14.4" hidden="true" customHeight="false" outlineLevel="0" collapsed="false">
      <c r="A10721" s="34" t="n">
        <v>7906741000185</v>
      </c>
      <c r="B10721" s="34" t="s">
        <v>21293</v>
      </c>
      <c r="C10721" s="34" t="s">
        <v>77</v>
      </c>
      <c r="E10721" s="30" t="s">
        <v>21294</v>
      </c>
      <c r="F10721" s="34" t="n">
        <f aca="false">IFERROR(VLOOKUP($A10721,'319'!$B:$H,7,0),0)</f>
        <v>0</v>
      </c>
      <c r="G10721" s="34" t="n">
        <f aca="false">SUMIFS('12.326ana'!$C:$C,'12.326ana'!$M:$M,redes!A10721)</f>
        <v>0</v>
      </c>
    </row>
    <row r="10722" customFormat="false" ht="14.4" hidden="true" customHeight="false" outlineLevel="0" collapsed="false">
      <c r="A10722" s="34" t="n">
        <v>7907081000157</v>
      </c>
      <c r="B10722" s="34" t="s">
        <v>21295</v>
      </c>
      <c r="C10722" s="34" t="s">
        <v>351</v>
      </c>
      <c r="E10722" s="30" t="s">
        <v>21296</v>
      </c>
      <c r="F10722" s="34" t="n">
        <f aca="false">IFERROR(VLOOKUP($A10722,'319'!$B:$H,7,0),0)</f>
        <v>0</v>
      </c>
      <c r="G10722" s="34" t="n">
        <f aca="false">SUMIFS('12.326ana'!$C:$C,'12.326ana'!$M:$M,redes!A10722)</f>
        <v>0</v>
      </c>
    </row>
    <row r="10723" customFormat="false" ht="14.4" hidden="true" customHeight="false" outlineLevel="0" collapsed="false">
      <c r="A10723" s="34" t="n">
        <v>7909003000191</v>
      </c>
      <c r="B10723" s="34" t="s">
        <v>21297</v>
      </c>
      <c r="C10723" s="34" t="s">
        <v>77</v>
      </c>
      <c r="E10723" s="30" t="s">
        <v>21298</v>
      </c>
      <c r="F10723" s="34" t="n">
        <f aca="false">IFERROR(VLOOKUP($A10723,'319'!$B:$H,7,0),0)</f>
        <v>0</v>
      </c>
      <c r="G10723" s="34" t="n">
        <f aca="false">SUMIFS('12.326ana'!$C:$C,'12.326ana'!$M:$M,redes!A10723)</f>
        <v>0</v>
      </c>
    </row>
    <row r="10724" customFormat="false" ht="14.4" hidden="true" customHeight="false" outlineLevel="0" collapsed="false">
      <c r="A10724" s="34" t="n">
        <v>7909368000116</v>
      </c>
      <c r="B10724" s="34" t="s">
        <v>21299</v>
      </c>
      <c r="C10724" s="34" t="s">
        <v>721</v>
      </c>
      <c r="E10724" s="30" t="s">
        <v>21300</v>
      </c>
      <c r="F10724" s="34" t="n">
        <f aca="false">IFERROR(VLOOKUP($A10724,'319'!$B:$H,7,0),0)</f>
        <v>0</v>
      </c>
      <c r="G10724" s="34" t="n">
        <f aca="false">SUMIFS('12.326ana'!$C:$C,'12.326ana'!$M:$M,redes!A10724)</f>
        <v>0</v>
      </c>
    </row>
    <row r="10725" customFormat="false" ht="14.4" hidden="true" customHeight="false" outlineLevel="0" collapsed="false">
      <c r="A10725" s="34" t="n">
        <v>7911992000158</v>
      </c>
      <c r="B10725" s="34" t="s">
        <v>21301</v>
      </c>
      <c r="C10725" s="34" t="s">
        <v>604</v>
      </c>
      <c r="E10725" s="30" t="s">
        <v>14861</v>
      </c>
      <c r="F10725" s="34" t="n">
        <f aca="false">IFERROR(VLOOKUP($A10725,'319'!$B:$H,7,0),0)</f>
        <v>0</v>
      </c>
      <c r="G10725" s="34" t="n">
        <f aca="false">SUMIFS('12.326ana'!$C:$C,'12.326ana'!$M:$M,redes!A10725)</f>
        <v>0</v>
      </c>
    </row>
    <row r="10726" customFormat="false" ht="14.4" hidden="true" customHeight="false" outlineLevel="0" collapsed="false">
      <c r="A10726" s="34" t="n">
        <v>7912050000194</v>
      </c>
      <c r="B10726" s="34" t="s">
        <v>21302</v>
      </c>
      <c r="C10726" s="34" t="s">
        <v>77</v>
      </c>
      <c r="E10726" s="30" t="s">
        <v>21303</v>
      </c>
      <c r="F10726" s="34" t="n">
        <f aca="false">IFERROR(VLOOKUP($A10726,'319'!$B:$H,7,0),0)</f>
        <v>0</v>
      </c>
      <c r="G10726" s="34" t="n">
        <f aca="false">SUMIFS('12.326ana'!$C:$C,'12.326ana'!$M:$M,redes!A10726)</f>
        <v>0</v>
      </c>
    </row>
    <row r="10727" customFormat="false" ht="14.4" hidden="true" customHeight="false" outlineLevel="0" collapsed="false">
      <c r="A10727" s="34" t="n">
        <v>7914176000106</v>
      </c>
      <c r="B10727" s="34" t="s">
        <v>21304</v>
      </c>
      <c r="C10727" s="34" t="s">
        <v>77</v>
      </c>
      <c r="E10727" s="30" t="s">
        <v>18767</v>
      </c>
      <c r="F10727" s="34" t="n">
        <f aca="false">IFERROR(VLOOKUP($A10727,'319'!$B:$H,7,0),0)</f>
        <v>0</v>
      </c>
      <c r="G10727" s="34" t="n">
        <f aca="false">SUMIFS('12.326ana'!$C:$C,'12.326ana'!$M:$M,redes!A10727)</f>
        <v>0</v>
      </c>
    </row>
    <row r="10728" customFormat="false" ht="14.4" hidden="true" customHeight="false" outlineLevel="0" collapsed="false">
      <c r="A10728" s="34" t="n">
        <v>7914383000152</v>
      </c>
      <c r="B10728" s="34" t="s">
        <v>21305</v>
      </c>
      <c r="C10728" s="34" t="s">
        <v>77</v>
      </c>
      <c r="E10728" s="30" t="s">
        <v>21306</v>
      </c>
      <c r="F10728" s="34" t="n">
        <f aca="false">IFERROR(VLOOKUP($A10728,'319'!$B:$H,7,0),0)</f>
        <v>266.84</v>
      </c>
      <c r="G10728" s="34" t="n">
        <f aca="false">SUMIFS('12.326ana'!$C:$C,'12.326ana'!$M:$M,redes!A10728)</f>
        <v>0</v>
      </c>
    </row>
    <row r="10729" customFormat="false" ht="14.4" hidden="true" customHeight="false" outlineLevel="0" collapsed="false">
      <c r="A10729" s="34" t="n">
        <v>7914541000174</v>
      </c>
      <c r="B10729" s="34" t="s">
        <v>21307</v>
      </c>
      <c r="C10729" s="34" t="s">
        <v>107</v>
      </c>
      <c r="E10729" s="30" t="s">
        <v>21308</v>
      </c>
      <c r="F10729" s="34" t="n">
        <f aca="false">IFERROR(VLOOKUP($A10729,'319'!$B:$H,7,0),0)</f>
        <v>0</v>
      </c>
      <c r="G10729" s="34" t="n">
        <f aca="false">SUMIFS('12.326ana'!$C:$C,'12.326ana'!$M:$M,redes!A10729)</f>
        <v>0</v>
      </c>
    </row>
    <row r="10730" customFormat="false" ht="14.4" hidden="true" customHeight="false" outlineLevel="0" collapsed="false">
      <c r="A10730" s="34" t="n">
        <v>7916823000100</v>
      </c>
      <c r="B10730" s="34" t="s">
        <v>21309</v>
      </c>
      <c r="C10730" s="34" t="s">
        <v>77</v>
      </c>
      <c r="E10730" s="30" t="s">
        <v>21310</v>
      </c>
      <c r="F10730" s="34" t="n">
        <f aca="false">IFERROR(VLOOKUP($A10730,'319'!$B:$H,7,0),0)</f>
        <v>0</v>
      </c>
      <c r="G10730" s="34" t="n">
        <f aca="false">SUMIFS('12.326ana'!$C:$C,'12.326ana'!$M:$M,redes!A10730)</f>
        <v>0</v>
      </c>
    </row>
    <row r="10731" customFormat="false" ht="14.4" hidden="true" customHeight="false" outlineLevel="0" collapsed="false">
      <c r="A10731" s="34" t="n">
        <v>7917695000110</v>
      </c>
      <c r="B10731" s="34" t="s">
        <v>21311</v>
      </c>
      <c r="C10731" s="34" t="s">
        <v>2998</v>
      </c>
      <c r="E10731" s="30" t="s">
        <v>21312</v>
      </c>
      <c r="F10731" s="34" t="n">
        <f aca="false">IFERROR(VLOOKUP($A10731,'319'!$B:$H,7,0),0)</f>
        <v>0</v>
      </c>
      <c r="G10731" s="34" t="n">
        <f aca="false">SUMIFS('12.326ana'!$C:$C,'12.326ana'!$M:$M,redes!A10731)</f>
        <v>0</v>
      </c>
    </row>
    <row r="10732" customFormat="false" ht="14.4" hidden="true" customHeight="false" outlineLevel="0" collapsed="false">
      <c r="A10732" s="34" t="n">
        <v>7918676000299</v>
      </c>
      <c r="B10732" s="34" t="s">
        <v>21313</v>
      </c>
      <c r="C10732" s="34" t="s">
        <v>77</v>
      </c>
      <c r="E10732" s="30" t="s">
        <v>21314</v>
      </c>
      <c r="F10732" s="34" t="n">
        <f aca="false">IFERROR(VLOOKUP($A10732,'319'!$B:$H,7,0),0)</f>
        <v>0</v>
      </c>
      <c r="G10732" s="34" t="n">
        <f aca="false">SUMIFS('12.326ana'!$C:$C,'12.326ana'!$M:$M,redes!A10732)</f>
        <v>0</v>
      </c>
    </row>
    <row r="10733" customFormat="false" ht="14.4" hidden="true" customHeight="false" outlineLevel="0" collapsed="false">
      <c r="A10733" s="34" t="n">
        <v>7920737000171</v>
      </c>
      <c r="B10733" s="34" t="s">
        <v>21315</v>
      </c>
      <c r="C10733" s="34" t="s">
        <v>77</v>
      </c>
      <c r="E10733" s="30" t="s">
        <v>21316</v>
      </c>
      <c r="F10733" s="34" t="n">
        <f aca="false">IFERROR(VLOOKUP($A10733,'319'!$B:$H,7,0),0)</f>
        <v>0</v>
      </c>
      <c r="G10733" s="34" t="n">
        <f aca="false">SUMIFS('12.326ana'!$C:$C,'12.326ana'!$M:$M,redes!A10733)</f>
        <v>0</v>
      </c>
    </row>
    <row r="10734" customFormat="false" ht="14.4" hidden="true" customHeight="false" outlineLevel="0" collapsed="false">
      <c r="A10734" s="34" t="n">
        <v>7922390000104</v>
      </c>
      <c r="B10734" s="34" t="s">
        <v>21317</v>
      </c>
      <c r="C10734" s="34" t="s">
        <v>107</v>
      </c>
      <c r="E10734" s="30" t="s">
        <v>21318</v>
      </c>
      <c r="F10734" s="34" t="n">
        <f aca="false">IFERROR(VLOOKUP($A10734,'319'!$B:$H,7,0),0)</f>
        <v>0</v>
      </c>
      <c r="G10734" s="34" t="n">
        <f aca="false">SUMIFS('12.326ana'!$C:$C,'12.326ana'!$M:$M,redes!A10734)</f>
        <v>0</v>
      </c>
    </row>
    <row r="10735" customFormat="false" ht="14.4" hidden="true" customHeight="false" outlineLevel="0" collapsed="false">
      <c r="A10735" s="34" t="n">
        <v>7925685000126</v>
      </c>
      <c r="B10735" s="34" t="s">
        <v>21319</v>
      </c>
      <c r="C10735" s="34" t="s">
        <v>107</v>
      </c>
      <c r="E10735" s="30" t="s">
        <v>21320</v>
      </c>
      <c r="F10735" s="34" t="n">
        <f aca="false">IFERROR(VLOOKUP($A10735,'319'!$B:$H,7,0),0)</f>
        <v>0</v>
      </c>
      <c r="G10735" s="34" t="n">
        <f aca="false">SUMIFS('12.326ana'!$C:$C,'12.326ana'!$M:$M,redes!A10735)</f>
        <v>0</v>
      </c>
    </row>
    <row r="10736" customFormat="false" ht="14.4" hidden="true" customHeight="false" outlineLevel="0" collapsed="false">
      <c r="A10736" s="34" t="n">
        <v>7932721000189</v>
      </c>
      <c r="B10736" s="34" t="s">
        <v>4260</v>
      </c>
      <c r="C10736" s="34" t="s">
        <v>4261</v>
      </c>
      <c r="E10736" s="30" t="s">
        <v>4262</v>
      </c>
      <c r="F10736" s="34" t="n">
        <f aca="false">IFERROR(VLOOKUP($A10736,'319'!$B:$H,7,0),0)</f>
        <v>0</v>
      </c>
      <c r="G10736" s="34" t="n">
        <f aca="false">SUMIFS('12.326ana'!$C:$C,'12.326ana'!$M:$M,redes!A10736)</f>
        <v>0</v>
      </c>
    </row>
    <row r="10737" customFormat="false" ht="14.4" hidden="true" customHeight="false" outlineLevel="0" collapsed="false">
      <c r="A10737" s="34" t="n">
        <v>7936570000137</v>
      </c>
      <c r="B10737" s="34" t="s">
        <v>21321</v>
      </c>
      <c r="C10737" s="34" t="s">
        <v>107</v>
      </c>
      <c r="E10737" s="30" t="s">
        <v>21322</v>
      </c>
      <c r="F10737" s="34" t="n">
        <f aca="false">IFERROR(VLOOKUP($A10737,'319'!$B:$H,7,0),0)</f>
        <v>0</v>
      </c>
      <c r="G10737" s="34" t="n">
        <f aca="false">SUMIFS('12.326ana'!$C:$C,'12.326ana'!$M:$M,redes!A10737)</f>
        <v>0</v>
      </c>
    </row>
    <row r="10738" customFormat="false" ht="14.4" hidden="true" customHeight="false" outlineLevel="0" collapsed="false">
      <c r="A10738" s="34" t="n">
        <v>7939422000176</v>
      </c>
      <c r="B10738" s="34" t="s">
        <v>21323</v>
      </c>
      <c r="C10738" s="34" t="s">
        <v>77</v>
      </c>
      <c r="E10738" s="30" t="s">
        <v>21324</v>
      </c>
      <c r="F10738" s="34" t="n">
        <f aca="false">IFERROR(VLOOKUP($A10738,'319'!$B:$H,7,0),0)</f>
        <v>0</v>
      </c>
      <c r="G10738" s="34" t="n">
        <f aca="false">SUMIFS('12.326ana'!$C:$C,'12.326ana'!$M:$M,redes!A10738)</f>
        <v>0</v>
      </c>
    </row>
    <row r="10739" customFormat="false" ht="14.4" hidden="true" customHeight="false" outlineLevel="0" collapsed="false">
      <c r="A10739" s="34" t="n">
        <v>7939486000177</v>
      </c>
      <c r="B10739" s="34" t="s">
        <v>21325</v>
      </c>
      <c r="C10739" s="34" t="s">
        <v>77</v>
      </c>
      <c r="E10739" s="30" t="s">
        <v>21326</v>
      </c>
      <c r="F10739" s="34" t="n">
        <f aca="false">IFERROR(VLOOKUP($A10739,'319'!$B:$H,7,0),0)</f>
        <v>0</v>
      </c>
      <c r="G10739" s="34" t="n">
        <f aca="false">SUMIFS('12.326ana'!$C:$C,'12.326ana'!$M:$M,redes!A10739)</f>
        <v>0</v>
      </c>
    </row>
    <row r="10740" customFormat="false" ht="14.4" hidden="true" customHeight="false" outlineLevel="0" collapsed="false">
      <c r="A10740" s="34" t="n">
        <v>7940814000155</v>
      </c>
      <c r="B10740" s="34" t="s">
        <v>21327</v>
      </c>
      <c r="C10740" s="34" t="s">
        <v>77</v>
      </c>
      <c r="E10740" s="30" t="s">
        <v>11095</v>
      </c>
      <c r="F10740" s="34" t="n">
        <f aca="false">IFERROR(VLOOKUP($A10740,'319'!$B:$H,7,0),0)</f>
        <v>0</v>
      </c>
      <c r="G10740" s="34" t="n">
        <f aca="false">SUMIFS('12.326ana'!$C:$C,'12.326ana'!$M:$M,redes!A10740)</f>
        <v>0</v>
      </c>
    </row>
    <row r="10741" customFormat="false" ht="14.4" hidden="true" customHeight="false" outlineLevel="0" collapsed="false">
      <c r="A10741" s="34" t="n">
        <v>7943445000154</v>
      </c>
      <c r="B10741" s="34" t="s">
        <v>21328</v>
      </c>
      <c r="C10741" s="34" t="s">
        <v>103</v>
      </c>
      <c r="E10741" s="30" t="s">
        <v>21329</v>
      </c>
      <c r="F10741" s="34" t="n">
        <f aca="false">IFERROR(VLOOKUP($A10741,'319'!$B:$H,7,0),0)</f>
        <v>0</v>
      </c>
      <c r="G10741" s="34" t="n">
        <f aca="false">SUMIFS('12.326ana'!$C:$C,'12.326ana'!$M:$M,redes!A10741)</f>
        <v>0</v>
      </c>
    </row>
    <row r="10742" customFormat="false" ht="14.4" hidden="true" customHeight="false" outlineLevel="0" collapsed="false">
      <c r="A10742" s="34" t="n">
        <v>7944372000115</v>
      </c>
      <c r="B10742" s="34" t="s">
        <v>21330</v>
      </c>
      <c r="C10742" s="34" t="s">
        <v>107</v>
      </c>
      <c r="E10742" s="30" t="s">
        <v>21331</v>
      </c>
      <c r="F10742" s="34" t="n">
        <f aca="false">IFERROR(VLOOKUP($A10742,'319'!$B:$H,7,0),0)</f>
        <v>0</v>
      </c>
      <c r="G10742" s="34" t="n">
        <f aca="false">SUMIFS('12.326ana'!$C:$C,'12.326ana'!$M:$M,redes!A10742)</f>
        <v>0</v>
      </c>
    </row>
    <row r="10743" customFormat="false" ht="14.4" hidden="true" customHeight="false" outlineLevel="0" collapsed="false">
      <c r="A10743" s="34" t="n">
        <v>7944421000110</v>
      </c>
      <c r="B10743" s="34" t="s">
        <v>21332</v>
      </c>
      <c r="C10743" s="34" t="s">
        <v>594</v>
      </c>
      <c r="E10743" s="30" t="s">
        <v>11228</v>
      </c>
      <c r="F10743" s="34" t="n">
        <f aca="false">IFERROR(VLOOKUP($A10743,'319'!$B:$H,7,0),0)</f>
        <v>0</v>
      </c>
      <c r="G10743" s="34" t="n">
        <f aca="false">SUMIFS('12.326ana'!$C:$C,'12.326ana'!$M:$M,redes!A10743)</f>
        <v>0</v>
      </c>
    </row>
    <row r="10744" customFormat="false" ht="14.4" hidden="true" customHeight="false" outlineLevel="0" collapsed="false">
      <c r="A10744" s="34" t="n">
        <v>7944545000103</v>
      </c>
      <c r="B10744" s="34" t="s">
        <v>7154</v>
      </c>
      <c r="C10744" s="34" t="s">
        <v>77</v>
      </c>
      <c r="E10744" s="30" t="s">
        <v>5266</v>
      </c>
      <c r="F10744" s="34" t="n">
        <f aca="false">IFERROR(VLOOKUP($A10744,'319'!$B:$H,7,0),0)</f>
        <v>0</v>
      </c>
      <c r="G10744" s="34" t="n">
        <f aca="false">SUMIFS('12.326ana'!$C:$C,'12.326ana'!$M:$M,redes!A10744)</f>
        <v>0</v>
      </c>
    </row>
    <row r="10745" customFormat="false" ht="14.4" hidden="true" customHeight="false" outlineLevel="0" collapsed="false">
      <c r="A10745" s="34" t="n">
        <v>7945945000125</v>
      </c>
      <c r="B10745" s="34" t="s">
        <v>21333</v>
      </c>
      <c r="C10745" s="34" t="s">
        <v>89</v>
      </c>
      <c r="E10745" s="30" t="s">
        <v>21334</v>
      </c>
      <c r="F10745" s="34" t="n">
        <f aca="false">IFERROR(VLOOKUP($A10745,'319'!$B:$H,7,0),0)</f>
        <v>0</v>
      </c>
      <c r="G10745" s="34" t="n">
        <f aca="false">SUMIFS('12.326ana'!$C:$C,'12.326ana'!$M:$M,redes!A10745)</f>
        <v>0</v>
      </c>
    </row>
    <row r="10746" customFormat="false" ht="14.4" hidden="true" customHeight="false" outlineLevel="0" collapsed="false">
      <c r="A10746" s="34" t="n">
        <v>7945945000206</v>
      </c>
      <c r="B10746" s="34" t="s">
        <v>21333</v>
      </c>
      <c r="C10746" s="34" t="s">
        <v>89</v>
      </c>
      <c r="E10746" s="30" t="s">
        <v>21335</v>
      </c>
      <c r="F10746" s="34" t="n">
        <f aca="false">IFERROR(VLOOKUP($A10746,'319'!$B:$H,7,0),0)</f>
        <v>0</v>
      </c>
      <c r="G10746" s="34" t="n">
        <f aca="false">SUMIFS('12.326ana'!$C:$C,'12.326ana'!$M:$M,redes!A10746)</f>
        <v>0</v>
      </c>
    </row>
    <row r="10747" customFormat="false" ht="14.4" hidden="true" customHeight="false" outlineLevel="0" collapsed="false">
      <c r="A10747" s="34" t="n">
        <v>7946661000153</v>
      </c>
      <c r="B10747" s="34" t="s">
        <v>21336</v>
      </c>
      <c r="C10747" s="34" t="s">
        <v>77</v>
      </c>
      <c r="E10747" s="30" t="s">
        <v>21337</v>
      </c>
      <c r="F10747" s="34" t="n">
        <f aca="false">IFERROR(VLOOKUP($A10747,'319'!$B:$H,7,0),0)</f>
        <v>0</v>
      </c>
      <c r="G10747" s="34" t="n">
        <f aca="false">SUMIFS('12.326ana'!$C:$C,'12.326ana'!$M:$M,redes!A10747)</f>
        <v>0</v>
      </c>
    </row>
    <row r="10748" customFormat="false" ht="14.4" hidden="true" customHeight="false" outlineLevel="0" collapsed="false">
      <c r="A10748" s="34" t="n">
        <v>7947387000137</v>
      </c>
      <c r="B10748" s="34" t="s">
        <v>21338</v>
      </c>
      <c r="C10748" s="34" t="s">
        <v>464</v>
      </c>
      <c r="E10748" s="30" t="s">
        <v>12573</v>
      </c>
      <c r="F10748" s="34" t="n">
        <f aca="false">IFERROR(VLOOKUP($A10748,'319'!$B:$H,7,0),0)</f>
        <v>0</v>
      </c>
      <c r="G10748" s="34" t="n">
        <f aca="false">SUMIFS('12.326ana'!$C:$C,'12.326ana'!$M:$M,redes!A10748)</f>
        <v>0</v>
      </c>
    </row>
    <row r="10749" customFormat="false" ht="14.4" hidden="true" customHeight="false" outlineLevel="0" collapsed="false">
      <c r="A10749" s="34" t="n">
        <v>7947487000163</v>
      </c>
      <c r="B10749" s="34" t="s">
        <v>21339</v>
      </c>
      <c r="C10749" s="34" t="s">
        <v>463</v>
      </c>
      <c r="E10749" s="30" t="s">
        <v>21340</v>
      </c>
      <c r="F10749" s="34" t="n">
        <f aca="false">IFERROR(VLOOKUP($A10749,'319'!$B:$H,7,0),0)</f>
        <v>0</v>
      </c>
      <c r="G10749" s="34" t="n">
        <f aca="false">SUMIFS('12.326ana'!$C:$C,'12.326ana'!$M:$M,redes!A10749)</f>
        <v>0</v>
      </c>
    </row>
    <row r="10750" customFormat="false" ht="14.4" hidden="true" customHeight="false" outlineLevel="0" collapsed="false">
      <c r="A10750" s="34" t="n">
        <v>7947798000122</v>
      </c>
      <c r="B10750" s="34" t="s">
        <v>21341</v>
      </c>
      <c r="C10750" s="34" t="s">
        <v>1054</v>
      </c>
      <c r="E10750" s="30" t="s">
        <v>21342</v>
      </c>
      <c r="F10750" s="34" t="n">
        <f aca="false">IFERROR(VLOOKUP($A10750,'319'!$B:$H,7,0),0)</f>
        <v>0</v>
      </c>
      <c r="G10750" s="34" t="n">
        <f aca="false">SUMIFS('12.326ana'!$C:$C,'12.326ana'!$M:$M,redes!A10750)</f>
        <v>0</v>
      </c>
    </row>
    <row r="10751" customFormat="false" ht="14.4" hidden="true" customHeight="false" outlineLevel="0" collapsed="false">
      <c r="A10751" s="34" t="n">
        <v>7952411000126</v>
      </c>
      <c r="B10751" s="34" t="s">
        <v>21343</v>
      </c>
      <c r="C10751" s="34" t="s">
        <v>107</v>
      </c>
      <c r="E10751" s="30" t="s">
        <v>5510</v>
      </c>
      <c r="F10751" s="34" t="n">
        <f aca="false">IFERROR(VLOOKUP($A10751,'319'!$B:$H,7,0),0)</f>
        <v>0</v>
      </c>
      <c r="G10751" s="34" t="n">
        <f aca="false">SUMIFS('12.326ana'!$C:$C,'12.326ana'!$M:$M,redes!A10751)</f>
        <v>0</v>
      </c>
    </row>
    <row r="10752" customFormat="false" ht="14.4" hidden="true" customHeight="false" outlineLevel="0" collapsed="false">
      <c r="A10752" s="34" t="n">
        <v>7952581000100</v>
      </c>
      <c r="B10752" s="34" t="s">
        <v>21344</v>
      </c>
      <c r="C10752" s="34" t="s">
        <v>77</v>
      </c>
      <c r="E10752" s="30" t="s">
        <v>21345</v>
      </c>
      <c r="F10752" s="34" t="n">
        <f aca="false">IFERROR(VLOOKUP($A10752,'319'!$B:$H,7,0),0)</f>
        <v>0</v>
      </c>
      <c r="G10752" s="34" t="n">
        <f aca="false">SUMIFS('12.326ana'!$C:$C,'12.326ana'!$M:$M,redes!A10752)</f>
        <v>0</v>
      </c>
    </row>
    <row r="10753" customFormat="false" ht="14.4" hidden="true" customHeight="false" outlineLevel="0" collapsed="false">
      <c r="A10753" s="34" t="n">
        <v>7954477000155</v>
      </c>
      <c r="B10753" s="34" t="s">
        <v>21346</v>
      </c>
      <c r="C10753" s="34" t="s">
        <v>478</v>
      </c>
      <c r="E10753" s="30" t="s">
        <v>21347</v>
      </c>
      <c r="F10753" s="34" t="n">
        <f aca="false">IFERROR(VLOOKUP($A10753,'319'!$B:$H,7,0),0)</f>
        <v>0</v>
      </c>
      <c r="G10753" s="34" t="n">
        <f aca="false">SUMIFS('12.326ana'!$C:$C,'12.326ana'!$M:$M,redes!A10753)</f>
        <v>0</v>
      </c>
    </row>
    <row r="10754" customFormat="false" ht="14.4" hidden="true" customHeight="false" outlineLevel="0" collapsed="false">
      <c r="A10754" s="34" t="n">
        <v>7956843000105</v>
      </c>
      <c r="B10754" s="34" t="s">
        <v>3801</v>
      </c>
      <c r="C10754" s="34" t="s">
        <v>565</v>
      </c>
      <c r="E10754" s="30" t="s">
        <v>3802</v>
      </c>
      <c r="F10754" s="34" t="n">
        <f aca="false">IFERROR(VLOOKUP($A10754,'319'!$B:$H,7,0),0)</f>
        <v>0</v>
      </c>
      <c r="G10754" s="34" t="n">
        <f aca="false">SUMIFS('12.326ana'!$C:$C,'12.326ana'!$M:$M,redes!A10754)</f>
        <v>0</v>
      </c>
    </row>
    <row r="10755" customFormat="false" ht="14.4" hidden="true" customHeight="false" outlineLevel="0" collapsed="false">
      <c r="A10755" s="34" t="n">
        <v>7960620000111</v>
      </c>
      <c r="B10755" s="34" t="s">
        <v>21348</v>
      </c>
      <c r="C10755" s="34" t="s">
        <v>77</v>
      </c>
      <c r="E10755" s="30" t="s">
        <v>17794</v>
      </c>
      <c r="F10755" s="34" t="n">
        <f aca="false">IFERROR(VLOOKUP($A10755,'319'!$B:$H,7,0),0)</f>
        <v>0</v>
      </c>
      <c r="G10755" s="34" t="n">
        <f aca="false">SUMIFS('12.326ana'!$C:$C,'12.326ana'!$M:$M,redes!A10755)</f>
        <v>0</v>
      </c>
    </row>
    <row r="10756" customFormat="false" ht="14.4" hidden="true" customHeight="false" outlineLevel="0" collapsed="false">
      <c r="A10756" s="34" t="n">
        <v>7961339000101</v>
      </c>
      <c r="B10756" s="34" t="s">
        <v>867</v>
      </c>
      <c r="C10756" s="34" t="s">
        <v>342</v>
      </c>
      <c r="E10756" s="30" t="s">
        <v>21349</v>
      </c>
      <c r="F10756" s="34" t="n">
        <f aca="false">IFERROR(VLOOKUP($A10756,'319'!$B:$H,7,0),0)</f>
        <v>1878.8</v>
      </c>
      <c r="G10756" s="34" t="n">
        <f aca="false">SUMIFS('12.326ana'!$C:$C,'12.326ana'!$M:$M,redes!A10756)</f>
        <v>0</v>
      </c>
    </row>
    <row r="10757" customFormat="false" ht="14.4" hidden="true" customHeight="false" outlineLevel="0" collapsed="false">
      <c r="A10757" s="34" t="n">
        <v>7961349000139</v>
      </c>
      <c r="B10757" s="34" t="s">
        <v>21350</v>
      </c>
      <c r="C10757" s="34" t="s">
        <v>213</v>
      </c>
      <c r="E10757" s="30" t="s">
        <v>21351</v>
      </c>
      <c r="F10757" s="34" t="n">
        <f aca="false">IFERROR(VLOOKUP($A10757,'319'!$B:$H,7,0),0)</f>
        <v>0</v>
      </c>
      <c r="G10757" s="34" t="n">
        <f aca="false">SUMIFS('12.326ana'!$C:$C,'12.326ana'!$M:$M,redes!A10757)</f>
        <v>0</v>
      </c>
    </row>
    <row r="10758" customFormat="false" ht="14.4" hidden="true" customHeight="false" outlineLevel="0" collapsed="false">
      <c r="A10758" s="34" t="n">
        <v>7961668000144</v>
      </c>
      <c r="B10758" s="34" t="s">
        <v>21352</v>
      </c>
      <c r="C10758" s="34" t="s">
        <v>781</v>
      </c>
      <c r="E10758" s="30" t="s">
        <v>21353</v>
      </c>
      <c r="F10758" s="34" t="n">
        <f aca="false">IFERROR(VLOOKUP($A10758,'319'!$B:$H,7,0),0)</f>
        <v>0</v>
      </c>
      <c r="G10758" s="34" t="n">
        <f aca="false">SUMIFS('12.326ana'!$C:$C,'12.326ana'!$M:$M,redes!A10758)</f>
        <v>0</v>
      </c>
    </row>
    <row r="10759" customFormat="false" ht="14.4" hidden="true" customHeight="false" outlineLevel="0" collapsed="false">
      <c r="A10759" s="34" t="n">
        <v>7964487000171</v>
      </c>
      <c r="B10759" s="34" t="s">
        <v>21354</v>
      </c>
      <c r="C10759" s="34" t="s">
        <v>103</v>
      </c>
      <c r="E10759" s="30" t="s">
        <v>21355</v>
      </c>
      <c r="F10759" s="34" t="n">
        <f aca="false">IFERROR(VLOOKUP($A10759,'319'!$B:$H,7,0),0)</f>
        <v>0</v>
      </c>
      <c r="G10759" s="34" t="n">
        <f aca="false">SUMIFS('12.326ana'!$C:$C,'12.326ana'!$M:$M,redes!A10759)</f>
        <v>0</v>
      </c>
    </row>
    <row r="10760" customFormat="false" ht="14.4" hidden="true" customHeight="false" outlineLevel="0" collapsed="false">
      <c r="A10760" s="34" t="n">
        <v>7965766000150</v>
      </c>
      <c r="B10760" s="34" t="s">
        <v>21356</v>
      </c>
      <c r="C10760" s="34" t="s">
        <v>89</v>
      </c>
      <c r="E10760" s="30" t="s">
        <v>5294</v>
      </c>
      <c r="F10760" s="34" t="n">
        <f aca="false">IFERROR(VLOOKUP($A10760,'319'!$B:$H,7,0),0)</f>
        <v>0</v>
      </c>
      <c r="G10760" s="34" t="n">
        <f aca="false">SUMIFS('12.326ana'!$C:$C,'12.326ana'!$M:$M,redes!A10760)</f>
        <v>0</v>
      </c>
    </row>
    <row r="10761" customFormat="false" ht="14.4" hidden="true" customHeight="false" outlineLevel="0" collapsed="false">
      <c r="A10761" s="34" t="n">
        <v>7966574000168</v>
      </c>
      <c r="B10761" s="34" t="s">
        <v>21357</v>
      </c>
      <c r="C10761" s="34" t="s">
        <v>77</v>
      </c>
      <c r="E10761" s="30" t="s">
        <v>21358</v>
      </c>
      <c r="F10761" s="34" t="n">
        <f aca="false">IFERROR(VLOOKUP($A10761,'319'!$B:$H,7,0),0)</f>
        <v>0</v>
      </c>
      <c r="G10761" s="34" t="n">
        <f aca="false">SUMIFS('12.326ana'!$C:$C,'12.326ana'!$M:$M,redes!A10761)</f>
        <v>0</v>
      </c>
    </row>
    <row r="10762" customFormat="false" ht="14.4" hidden="true" customHeight="false" outlineLevel="0" collapsed="false">
      <c r="A10762" s="34" t="n">
        <v>7968974000102</v>
      </c>
      <c r="B10762" s="34" t="s">
        <v>21359</v>
      </c>
      <c r="C10762" s="34" t="s">
        <v>77</v>
      </c>
      <c r="E10762" s="30" t="s">
        <v>21360</v>
      </c>
      <c r="F10762" s="34" t="n">
        <f aca="false">IFERROR(VLOOKUP($A10762,'319'!$B:$H,7,0),0)</f>
        <v>0</v>
      </c>
      <c r="G10762" s="34" t="n">
        <f aca="false">SUMIFS('12.326ana'!$C:$C,'12.326ana'!$M:$M,redes!A10762)</f>
        <v>0</v>
      </c>
    </row>
    <row r="10763" customFormat="false" ht="14.4" hidden="true" customHeight="false" outlineLevel="0" collapsed="false">
      <c r="A10763" s="34" t="n">
        <v>7969658000155</v>
      </c>
      <c r="B10763" s="34" t="s">
        <v>21361</v>
      </c>
      <c r="C10763" s="34" t="s">
        <v>713</v>
      </c>
      <c r="E10763" s="30" t="s">
        <v>21362</v>
      </c>
      <c r="F10763" s="34" t="n">
        <f aca="false">IFERROR(VLOOKUP($A10763,'319'!$B:$H,7,0),0)</f>
        <v>0</v>
      </c>
      <c r="G10763" s="34" t="n">
        <f aca="false">SUMIFS('12.326ana'!$C:$C,'12.326ana'!$M:$M,redes!A10763)</f>
        <v>0</v>
      </c>
    </row>
    <row r="10764" customFormat="false" ht="14.4" hidden="true" customHeight="false" outlineLevel="0" collapsed="false">
      <c r="A10764" s="34" t="n">
        <v>7972510000170</v>
      </c>
      <c r="B10764" s="34" t="s">
        <v>21363</v>
      </c>
      <c r="C10764" s="34" t="s">
        <v>1680</v>
      </c>
      <c r="E10764" s="30" t="s">
        <v>21364</v>
      </c>
      <c r="F10764" s="34" t="n">
        <f aca="false">IFERROR(VLOOKUP($A10764,'319'!$B:$H,7,0),0)</f>
        <v>0</v>
      </c>
      <c r="G10764" s="34" t="n">
        <f aca="false">SUMIFS('12.326ana'!$C:$C,'12.326ana'!$M:$M,redes!A10764)</f>
        <v>0</v>
      </c>
    </row>
    <row r="10765" customFormat="false" ht="14.4" hidden="true" customHeight="false" outlineLevel="0" collapsed="false">
      <c r="A10765" s="34" t="n">
        <v>7972764000198</v>
      </c>
      <c r="B10765" s="34" t="s">
        <v>21365</v>
      </c>
      <c r="C10765" s="34" t="s">
        <v>2998</v>
      </c>
      <c r="E10765" s="30" t="s">
        <v>21366</v>
      </c>
      <c r="F10765" s="34" t="n">
        <f aca="false">IFERROR(VLOOKUP($A10765,'319'!$B:$H,7,0),0)</f>
        <v>1897.45</v>
      </c>
      <c r="G10765" s="34" t="n">
        <f aca="false">SUMIFS('12.326ana'!$C:$C,'12.326ana'!$M:$M,redes!A10765)</f>
        <v>0</v>
      </c>
    </row>
    <row r="10766" customFormat="false" ht="14.4" hidden="true" customHeight="false" outlineLevel="0" collapsed="false">
      <c r="A10766" s="34" t="n">
        <v>7976680000122</v>
      </c>
      <c r="B10766" s="34" t="s">
        <v>21367</v>
      </c>
      <c r="C10766" s="34" t="s">
        <v>77</v>
      </c>
      <c r="E10766" s="30" t="s">
        <v>21368</v>
      </c>
      <c r="F10766" s="34" t="n">
        <f aca="false">IFERROR(VLOOKUP($A10766,'319'!$B:$H,7,0),0)</f>
        <v>0</v>
      </c>
      <c r="G10766" s="34" t="n">
        <f aca="false">SUMIFS('12.326ana'!$C:$C,'12.326ana'!$M:$M,redes!A10766)</f>
        <v>0</v>
      </c>
    </row>
    <row r="10767" customFormat="false" ht="14.4" hidden="true" customHeight="false" outlineLevel="0" collapsed="false">
      <c r="A10767" s="34" t="n">
        <v>7978738000177</v>
      </c>
      <c r="B10767" s="34" t="s">
        <v>21369</v>
      </c>
      <c r="C10767" s="34" t="s">
        <v>77</v>
      </c>
      <c r="E10767" s="30" t="s">
        <v>21370</v>
      </c>
      <c r="F10767" s="34" t="n">
        <f aca="false">IFERROR(VLOOKUP($A10767,'319'!$B:$H,7,0),0)</f>
        <v>0</v>
      </c>
      <c r="G10767" s="34" t="n">
        <f aca="false">SUMIFS('12.326ana'!$C:$C,'12.326ana'!$M:$M,redes!A10767)</f>
        <v>0</v>
      </c>
    </row>
    <row r="10768" customFormat="false" ht="14.4" hidden="true" customHeight="false" outlineLevel="0" collapsed="false">
      <c r="A10768" s="34" t="n">
        <v>7979117000108</v>
      </c>
      <c r="B10768" s="34" t="s">
        <v>21371</v>
      </c>
      <c r="C10768" s="34" t="s">
        <v>478</v>
      </c>
      <c r="E10768" s="30" t="s">
        <v>21372</v>
      </c>
      <c r="F10768" s="34" t="n">
        <f aca="false">IFERROR(VLOOKUP($A10768,'319'!$B:$H,7,0),0)</f>
        <v>0</v>
      </c>
      <c r="G10768" s="34" t="n">
        <f aca="false">SUMIFS('12.326ana'!$C:$C,'12.326ana'!$M:$M,redes!A10768)</f>
        <v>0</v>
      </c>
    </row>
    <row r="10769" customFormat="false" ht="14.4" hidden="true" customHeight="false" outlineLevel="0" collapsed="false">
      <c r="A10769" s="34" t="n">
        <v>7980045000119</v>
      </c>
      <c r="B10769" s="34" t="s">
        <v>21373</v>
      </c>
      <c r="C10769" s="34" t="s">
        <v>475</v>
      </c>
      <c r="E10769" s="30" t="s">
        <v>21374</v>
      </c>
      <c r="F10769" s="34" t="n">
        <f aca="false">IFERROR(VLOOKUP($A10769,'319'!$B:$H,7,0),0)</f>
        <v>0</v>
      </c>
      <c r="G10769" s="34" t="n">
        <f aca="false">SUMIFS('12.326ana'!$C:$C,'12.326ana'!$M:$M,redes!A10769)</f>
        <v>0</v>
      </c>
    </row>
    <row r="10770" customFormat="false" ht="14.4" hidden="true" customHeight="false" outlineLevel="0" collapsed="false">
      <c r="A10770" s="34" t="n">
        <v>7982632000147</v>
      </c>
      <c r="B10770" s="34" t="s">
        <v>21375</v>
      </c>
      <c r="C10770" s="34" t="s">
        <v>77</v>
      </c>
      <c r="E10770" s="30" t="s">
        <v>21376</v>
      </c>
      <c r="F10770" s="34" t="n">
        <f aca="false">IFERROR(VLOOKUP($A10770,'319'!$B:$H,7,0),0)</f>
        <v>0</v>
      </c>
      <c r="G10770" s="34" t="n">
        <f aca="false">SUMIFS('12.326ana'!$C:$C,'12.326ana'!$M:$M,redes!A10770)</f>
        <v>0</v>
      </c>
    </row>
    <row r="10771" customFormat="false" ht="14.4" hidden="true" customHeight="false" outlineLevel="0" collapsed="false">
      <c r="A10771" s="34" t="n">
        <v>7982725000171</v>
      </c>
      <c r="B10771" s="34" t="s">
        <v>21377</v>
      </c>
      <c r="C10771" s="34" t="s">
        <v>77</v>
      </c>
      <c r="E10771" s="30" t="s">
        <v>21378</v>
      </c>
      <c r="F10771" s="34" t="n">
        <f aca="false">IFERROR(VLOOKUP($A10771,'319'!$B:$H,7,0),0)</f>
        <v>253.51</v>
      </c>
      <c r="G10771" s="34" t="n">
        <f aca="false">SUMIFS('12.326ana'!$C:$C,'12.326ana'!$M:$M,redes!A10771)</f>
        <v>0</v>
      </c>
    </row>
    <row r="10772" customFormat="false" ht="14.4" hidden="true" customHeight="false" outlineLevel="0" collapsed="false">
      <c r="A10772" s="34" t="n">
        <v>7984398000197</v>
      </c>
      <c r="B10772" s="34" t="s">
        <v>21379</v>
      </c>
      <c r="C10772" s="34" t="s">
        <v>77</v>
      </c>
      <c r="E10772" s="30" t="s">
        <v>21380</v>
      </c>
      <c r="F10772" s="34" t="n">
        <f aca="false">IFERROR(VLOOKUP($A10772,'319'!$B:$H,7,0),0)</f>
        <v>0</v>
      </c>
      <c r="G10772" s="34" t="n">
        <f aca="false">SUMIFS('12.326ana'!$C:$C,'12.326ana'!$M:$M,redes!A10772)</f>
        <v>0</v>
      </c>
    </row>
    <row r="10773" customFormat="false" ht="14.4" hidden="true" customHeight="false" outlineLevel="0" collapsed="false">
      <c r="A10773" s="34" t="n">
        <v>7986867000107</v>
      </c>
      <c r="B10773" s="34" t="s">
        <v>21381</v>
      </c>
      <c r="C10773" s="34" t="s">
        <v>562</v>
      </c>
      <c r="E10773" s="30" t="s">
        <v>21382</v>
      </c>
      <c r="F10773" s="34" t="n">
        <f aca="false">IFERROR(VLOOKUP($A10773,'319'!$B:$H,7,0),0)</f>
        <v>0</v>
      </c>
      <c r="G10773" s="34" t="n">
        <f aca="false">SUMIFS('12.326ana'!$C:$C,'12.326ana'!$M:$M,redes!A10773)</f>
        <v>0</v>
      </c>
    </row>
    <row r="10774" customFormat="false" ht="14.4" hidden="true" customHeight="false" outlineLevel="0" collapsed="false">
      <c r="A10774" s="34" t="n">
        <v>7990072000172</v>
      </c>
      <c r="B10774" s="34" t="s">
        <v>21383</v>
      </c>
      <c r="C10774" s="34" t="s">
        <v>357</v>
      </c>
      <c r="E10774" s="30" t="s">
        <v>21384</v>
      </c>
      <c r="F10774" s="34" t="n">
        <f aca="false">IFERROR(VLOOKUP($A10774,'319'!$B:$H,7,0),0)</f>
        <v>0</v>
      </c>
      <c r="G10774" s="34" t="n">
        <f aca="false">SUMIFS('12.326ana'!$C:$C,'12.326ana'!$M:$M,redes!A10774)</f>
        <v>0</v>
      </c>
    </row>
    <row r="10775" customFormat="false" ht="14.4" hidden="true" customHeight="false" outlineLevel="0" collapsed="false">
      <c r="A10775" s="34" t="n">
        <v>7993903000160</v>
      </c>
      <c r="B10775" s="34" t="s">
        <v>21385</v>
      </c>
      <c r="C10775" s="34" t="s">
        <v>77</v>
      </c>
      <c r="E10775" s="30" t="s">
        <v>21386</v>
      </c>
      <c r="F10775" s="34" t="n">
        <f aca="false">IFERROR(VLOOKUP($A10775,'319'!$B:$H,7,0),0)</f>
        <v>0</v>
      </c>
      <c r="G10775" s="34" t="n">
        <f aca="false">SUMIFS('12.326ana'!$C:$C,'12.326ana'!$M:$M,redes!A10775)</f>
        <v>0</v>
      </c>
    </row>
    <row r="10776" customFormat="false" ht="14.4" hidden="true" customHeight="false" outlineLevel="0" collapsed="false">
      <c r="A10776" s="34" t="n">
        <v>7996388000171</v>
      </c>
      <c r="B10776" s="34" t="s">
        <v>21387</v>
      </c>
      <c r="C10776" s="34" t="s">
        <v>89</v>
      </c>
      <c r="E10776" s="30" t="s">
        <v>21388</v>
      </c>
      <c r="F10776" s="34" t="n">
        <f aca="false">IFERROR(VLOOKUP($A10776,'319'!$B:$H,7,0),0)</f>
        <v>0</v>
      </c>
      <c r="G10776" s="34" t="n">
        <f aca="false">SUMIFS('12.326ana'!$C:$C,'12.326ana'!$M:$M,redes!A10776)</f>
        <v>0</v>
      </c>
    </row>
    <row r="10777" customFormat="false" ht="14.4" hidden="true" customHeight="false" outlineLevel="0" collapsed="false">
      <c r="A10777" s="34" t="n">
        <v>8000179000199</v>
      </c>
      <c r="B10777" s="34" t="s">
        <v>21389</v>
      </c>
      <c r="C10777" s="34" t="s">
        <v>594</v>
      </c>
      <c r="E10777" s="30" t="s">
        <v>4567</v>
      </c>
      <c r="F10777" s="34" t="n">
        <f aca="false">IFERROR(VLOOKUP($A10777,'319'!$B:$H,7,0),0)</f>
        <v>0</v>
      </c>
      <c r="G10777" s="34" t="n">
        <f aca="false">SUMIFS('12.326ana'!$C:$C,'12.326ana'!$M:$M,redes!A10777)</f>
        <v>0</v>
      </c>
    </row>
    <row r="10778" customFormat="false" ht="14.4" hidden="true" customHeight="false" outlineLevel="0" collapsed="false">
      <c r="A10778" s="34" t="n">
        <v>8011169000159</v>
      </c>
      <c r="B10778" s="34" t="s">
        <v>21390</v>
      </c>
      <c r="C10778" s="34" t="s">
        <v>139</v>
      </c>
      <c r="E10778" s="30" t="s">
        <v>16245</v>
      </c>
      <c r="F10778" s="34" t="n">
        <f aca="false">IFERROR(VLOOKUP($A10778,'319'!$B:$H,7,0),0)</f>
        <v>0</v>
      </c>
      <c r="G10778" s="34" t="n">
        <f aca="false">SUMIFS('12.326ana'!$C:$C,'12.326ana'!$M:$M,redes!A10778)</f>
        <v>0</v>
      </c>
    </row>
    <row r="10779" customFormat="false" ht="14.4" hidden="true" customHeight="false" outlineLevel="0" collapsed="false">
      <c r="A10779" s="34" t="n">
        <v>8020817000133</v>
      </c>
      <c r="B10779" s="34" t="s">
        <v>21391</v>
      </c>
      <c r="C10779" s="34" t="s">
        <v>89</v>
      </c>
      <c r="E10779" s="30" t="s">
        <v>9288</v>
      </c>
      <c r="F10779" s="34" t="n">
        <f aca="false">IFERROR(VLOOKUP($A10779,'319'!$B:$H,7,0),0)</f>
        <v>0</v>
      </c>
      <c r="G10779" s="34" t="n">
        <f aca="false">SUMIFS('12.326ana'!$C:$C,'12.326ana'!$M:$M,redes!A10779)</f>
        <v>0</v>
      </c>
    </row>
    <row r="10780" customFormat="false" ht="14.4" hidden="true" customHeight="false" outlineLevel="0" collapsed="false">
      <c r="A10780" s="34" t="n">
        <v>8020835000115</v>
      </c>
      <c r="B10780" s="34" t="s">
        <v>21392</v>
      </c>
      <c r="C10780" s="34" t="s">
        <v>89</v>
      </c>
      <c r="E10780" s="30" t="s">
        <v>13146</v>
      </c>
      <c r="F10780" s="34" t="n">
        <f aca="false">IFERROR(VLOOKUP($A10780,'319'!$B:$H,7,0),0)</f>
        <v>0</v>
      </c>
      <c r="G10780" s="34" t="n">
        <f aca="false">SUMIFS('12.326ana'!$C:$C,'12.326ana'!$M:$M,redes!A10780)</f>
        <v>0</v>
      </c>
    </row>
    <row r="10781" customFormat="false" ht="14.4" hidden="true" customHeight="false" outlineLevel="0" collapsed="false">
      <c r="A10781" s="34" t="n">
        <v>8021171000109</v>
      </c>
      <c r="B10781" s="34" t="s">
        <v>21393</v>
      </c>
      <c r="C10781" s="34" t="s">
        <v>213</v>
      </c>
      <c r="E10781" s="30" t="s">
        <v>21394</v>
      </c>
      <c r="F10781" s="34" t="n">
        <f aca="false">IFERROR(VLOOKUP($A10781,'319'!$B:$H,7,0),0)</f>
        <v>0</v>
      </c>
      <c r="G10781" s="34" t="n">
        <f aca="false">SUMIFS('12.326ana'!$C:$C,'12.326ana'!$M:$M,redes!A10781)</f>
        <v>0</v>
      </c>
    </row>
    <row r="10782" customFormat="false" ht="14.4" hidden="true" customHeight="false" outlineLevel="0" collapsed="false">
      <c r="A10782" s="34" t="n">
        <v>8030651000136</v>
      </c>
      <c r="B10782" s="34" t="s">
        <v>21395</v>
      </c>
      <c r="C10782" s="34" t="s">
        <v>463</v>
      </c>
      <c r="E10782" s="30" t="s">
        <v>6972</v>
      </c>
      <c r="F10782" s="34" t="n">
        <f aca="false">IFERROR(VLOOKUP($A10782,'319'!$B:$H,7,0),0)</f>
        <v>0</v>
      </c>
      <c r="G10782" s="34" t="n">
        <f aca="false">SUMIFS('12.326ana'!$C:$C,'12.326ana'!$M:$M,redes!A10782)</f>
        <v>0</v>
      </c>
    </row>
    <row r="10783" customFormat="false" ht="14.4" hidden="true" customHeight="false" outlineLevel="0" collapsed="false">
      <c r="A10783" s="34" t="n">
        <v>8031865000127</v>
      </c>
      <c r="B10783" s="34" t="s">
        <v>21396</v>
      </c>
      <c r="C10783" s="34" t="s">
        <v>77</v>
      </c>
      <c r="E10783" s="30" t="s">
        <v>21397</v>
      </c>
      <c r="F10783" s="34" t="n">
        <f aca="false">IFERROR(VLOOKUP($A10783,'319'!$B:$H,7,0),0)</f>
        <v>0</v>
      </c>
      <c r="G10783" s="34" t="n">
        <f aca="false">SUMIFS('12.326ana'!$C:$C,'12.326ana'!$M:$M,redes!A10783)</f>
        <v>0</v>
      </c>
    </row>
    <row r="10784" customFormat="false" ht="14.4" hidden="true" customHeight="false" outlineLevel="0" collapsed="false">
      <c r="A10784" s="34" t="n">
        <v>8032614000167</v>
      </c>
      <c r="B10784" s="34" t="s">
        <v>21398</v>
      </c>
      <c r="C10784" s="34" t="s">
        <v>103</v>
      </c>
      <c r="E10784" s="30" t="s">
        <v>21398</v>
      </c>
      <c r="F10784" s="34" t="n">
        <f aca="false">IFERROR(VLOOKUP($A10784,'319'!$B:$H,7,0),0)</f>
        <v>0</v>
      </c>
      <c r="G10784" s="34" t="n">
        <f aca="false">SUMIFS('12.326ana'!$C:$C,'12.326ana'!$M:$M,redes!A10784)</f>
        <v>0</v>
      </c>
    </row>
    <row r="10785" customFormat="false" ht="14.4" hidden="true" customHeight="false" outlineLevel="0" collapsed="false">
      <c r="A10785" s="34" t="n">
        <v>8035317000175</v>
      </c>
      <c r="B10785" s="34" t="s">
        <v>21399</v>
      </c>
      <c r="C10785" s="34" t="s">
        <v>357</v>
      </c>
      <c r="E10785" s="30" t="s">
        <v>21400</v>
      </c>
      <c r="F10785" s="34" t="n">
        <f aca="false">IFERROR(VLOOKUP($A10785,'319'!$B:$H,7,0),0)</f>
        <v>0</v>
      </c>
      <c r="G10785" s="34" t="n">
        <f aca="false">SUMIFS('12.326ana'!$C:$C,'12.326ana'!$M:$M,redes!A10785)</f>
        <v>0</v>
      </c>
    </row>
    <row r="10786" customFormat="false" ht="14.4" hidden="true" customHeight="false" outlineLevel="0" collapsed="false">
      <c r="A10786" s="34" t="n">
        <v>8035675000188</v>
      </c>
      <c r="B10786" s="34" t="s">
        <v>21401</v>
      </c>
      <c r="C10786" s="34" t="s">
        <v>77</v>
      </c>
      <c r="E10786" s="30" t="s">
        <v>21402</v>
      </c>
      <c r="F10786" s="34" t="n">
        <f aca="false">IFERROR(VLOOKUP($A10786,'319'!$B:$H,7,0),0)</f>
        <v>0</v>
      </c>
      <c r="G10786" s="34" t="n">
        <f aca="false">SUMIFS('12.326ana'!$C:$C,'12.326ana'!$M:$M,redes!A10786)</f>
        <v>0</v>
      </c>
    </row>
    <row r="10787" customFormat="false" ht="14.4" hidden="true" customHeight="false" outlineLevel="0" collapsed="false">
      <c r="A10787" s="34" t="n">
        <v>8035971000189</v>
      </c>
      <c r="B10787" s="34" t="s">
        <v>21403</v>
      </c>
      <c r="C10787" s="34" t="s">
        <v>464</v>
      </c>
      <c r="E10787" s="30" t="s">
        <v>8698</v>
      </c>
      <c r="F10787" s="34" t="n">
        <f aca="false">IFERROR(VLOOKUP($A10787,'319'!$B:$H,7,0),0)</f>
        <v>0</v>
      </c>
      <c r="G10787" s="34" t="n">
        <f aca="false">SUMIFS('12.326ana'!$C:$C,'12.326ana'!$M:$M,redes!A10787)</f>
        <v>0</v>
      </c>
    </row>
    <row r="10788" customFormat="false" ht="14.4" hidden="true" customHeight="false" outlineLevel="0" collapsed="false">
      <c r="A10788" s="34" t="n">
        <v>8036210000141</v>
      </c>
      <c r="B10788" s="34" t="s">
        <v>21404</v>
      </c>
      <c r="C10788" s="34" t="s">
        <v>764</v>
      </c>
      <c r="E10788" s="30" t="s">
        <v>21405</v>
      </c>
      <c r="F10788" s="34" t="n">
        <f aca="false">IFERROR(VLOOKUP($A10788,'319'!$B:$H,7,0),0)</f>
        <v>0</v>
      </c>
      <c r="G10788" s="34" t="n">
        <f aca="false">SUMIFS('12.326ana'!$C:$C,'12.326ana'!$M:$M,redes!A10788)</f>
        <v>0</v>
      </c>
    </row>
    <row r="10789" customFormat="false" ht="14.4" hidden="true" customHeight="false" outlineLevel="0" collapsed="false">
      <c r="A10789" s="34" t="n">
        <v>8038276000170</v>
      </c>
      <c r="B10789" s="34" t="s">
        <v>21406</v>
      </c>
      <c r="C10789" s="34" t="s">
        <v>77</v>
      </c>
      <c r="E10789" s="30" t="s">
        <v>21407</v>
      </c>
      <c r="F10789" s="34" t="n">
        <f aca="false">IFERROR(VLOOKUP($A10789,'319'!$B:$H,7,0),0)</f>
        <v>0</v>
      </c>
      <c r="G10789" s="34" t="n">
        <f aca="false">SUMIFS('12.326ana'!$C:$C,'12.326ana'!$M:$M,redes!A10789)</f>
        <v>0</v>
      </c>
    </row>
    <row r="10790" customFormat="false" ht="14.4" hidden="true" customHeight="false" outlineLevel="0" collapsed="false">
      <c r="A10790" s="34" t="n">
        <v>8039204000148</v>
      </c>
      <c r="B10790" s="34" t="s">
        <v>21408</v>
      </c>
      <c r="C10790" s="34" t="s">
        <v>77</v>
      </c>
      <c r="E10790" s="30" t="s">
        <v>21409</v>
      </c>
      <c r="F10790" s="34" t="n">
        <f aca="false">IFERROR(VLOOKUP($A10790,'319'!$B:$H,7,0),0)</f>
        <v>0</v>
      </c>
      <c r="G10790" s="34" t="n">
        <f aca="false">SUMIFS('12.326ana'!$C:$C,'12.326ana'!$M:$M,redes!A10790)</f>
        <v>0</v>
      </c>
    </row>
    <row r="10791" customFormat="false" ht="14.4" hidden="true" customHeight="false" outlineLevel="0" collapsed="false">
      <c r="A10791" s="34" t="n">
        <v>8042686000195</v>
      </c>
      <c r="B10791" s="34" t="s">
        <v>21410</v>
      </c>
      <c r="C10791" s="34" t="s">
        <v>804</v>
      </c>
      <c r="E10791" s="30" t="s">
        <v>21411</v>
      </c>
      <c r="F10791" s="34" t="n">
        <f aca="false">IFERROR(VLOOKUP($A10791,'319'!$B:$H,7,0),0)</f>
        <v>0</v>
      </c>
      <c r="G10791" s="34" t="n">
        <f aca="false">SUMIFS('12.326ana'!$C:$C,'12.326ana'!$M:$M,redes!A10791)</f>
        <v>0</v>
      </c>
    </row>
    <row r="10792" customFormat="false" ht="14.4" hidden="true" customHeight="false" outlineLevel="0" collapsed="false">
      <c r="A10792" s="34" t="n">
        <v>8047005000181</v>
      </c>
      <c r="B10792" s="34" t="s">
        <v>21412</v>
      </c>
      <c r="C10792" s="34" t="s">
        <v>594</v>
      </c>
      <c r="E10792" s="30" t="s">
        <v>21412</v>
      </c>
      <c r="F10792" s="34" t="n">
        <f aca="false">IFERROR(VLOOKUP($A10792,'319'!$B:$H,7,0),0)</f>
        <v>0</v>
      </c>
      <c r="G10792" s="34" t="n">
        <f aca="false">SUMIFS('12.326ana'!$C:$C,'12.326ana'!$M:$M,redes!A10792)</f>
        <v>0</v>
      </c>
    </row>
    <row r="10793" customFormat="false" ht="14.4" hidden="true" customHeight="false" outlineLevel="0" collapsed="false">
      <c r="A10793" s="34" t="n">
        <v>8048615000108</v>
      </c>
      <c r="B10793" s="34" t="s">
        <v>21413</v>
      </c>
      <c r="C10793" s="34" t="s">
        <v>473</v>
      </c>
      <c r="E10793" s="30" t="s">
        <v>21414</v>
      </c>
      <c r="F10793" s="34" t="n">
        <f aca="false">IFERROR(VLOOKUP($A10793,'319'!$B:$H,7,0),0)</f>
        <v>0</v>
      </c>
      <c r="G10793" s="34" t="n">
        <f aca="false">SUMIFS('12.326ana'!$C:$C,'12.326ana'!$M:$M,redes!A10793)</f>
        <v>0</v>
      </c>
    </row>
    <row r="10794" customFormat="false" ht="14.4" hidden="true" customHeight="false" outlineLevel="0" collapsed="false">
      <c r="A10794" s="34" t="n">
        <v>8056292000196</v>
      </c>
      <c r="B10794" s="34" t="s">
        <v>21415</v>
      </c>
      <c r="C10794" s="34" t="s">
        <v>139</v>
      </c>
      <c r="E10794" s="30" t="s">
        <v>21416</v>
      </c>
      <c r="F10794" s="34" t="n">
        <f aca="false">IFERROR(VLOOKUP($A10794,'319'!$B:$H,7,0),0)</f>
        <v>0</v>
      </c>
      <c r="G10794" s="34" t="n">
        <f aca="false">SUMIFS('12.326ana'!$C:$C,'12.326ana'!$M:$M,redes!A10794)</f>
        <v>0</v>
      </c>
    </row>
    <row r="10795" customFormat="false" ht="14.4" hidden="true" customHeight="false" outlineLevel="0" collapsed="false">
      <c r="A10795" s="34" t="n">
        <v>8056309000105</v>
      </c>
      <c r="B10795" s="34" t="s">
        <v>21417</v>
      </c>
      <c r="C10795" s="34" t="s">
        <v>139</v>
      </c>
      <c r="E10795" s="30" t="s">
        <v>10569</v>
      </c>
      <c r="F10795" s="34" t="n">
        <f aca="false">IFERROR(VLOOKUP($A10795,'319'!$B:$H,7,0),0)</f>
        <v>0</v>
      </c>
      <c r="G10795" s="34" t="n">
        <f aca="false">SUMIFS('12.326ana'!$C:$C,'12.326ana'!$M:$M,redes!A10795)</f>
        <v>0</v>
      </c>
    </row>
    <row r="10796" customFormat="false" ht="14.4" hidden="true" customHeight="false" outlineLevel="0" collapsed="false">
      <c r="A10796" s="34" t="n">
        <v>8057022000108</v>
      </c>
      <c r="B10796" s="34" t="s">
        <v>21418</v>
      </c>
      <c r="C10796" s="34" t="s">
        <v>77</v>
      </c>
      <c r="E10796" s="30" t="s">
        <v>21419</v>
      </c>
      <c r="F10796" s="34" t="n">
        <f aca="false">IFERROR(VLOOKUP($A10796,'319'!$B:$H,7,0),0)</f>
        <v>0</v>
      </c>
      <c r="G10796" s="34" t="n">
        <f aca="false">SUMIFS('12.326ana'!$C:$C,'12.326ana'!$M:$M,redes!A10796)</f>
        <v>0</v>
      </c>
    </row>
    <row r="10797" customFormat="false" ht="14.4" hidden="true" customHeight="false" outlineLevel="0" collapsed="false">
      <c r="A10797" s="34" t="n">
        <v>8057181000102</v>
      </c>
      <c r="B10797" s="34" t="s">
        <v>21420</v>
      </c>
      <c r="C10797" s="34" t="s">
        <v>77</v>
      </c>
      <c r="E10797" s="30" t="s">
        <v>21421</v>
      </c>
      <c r="F10797" s="34" t="n">
        <f aca="false">IFERROR(VLOOKUP($A10797,'319'!$B:$H,7,0),0)</f>
        <v>0</v>
      </c>
      <c r="G10797" s="34" t="n">
        <f aca="false">SUMIFS('12.326ana'!$C:$C,'12.326ana'!$M:$M,redes!A10797)</f>
        <v>0</v>
      </c>
    </row>
    <row r="10798" customFormat="false" ht="14.4" hidden="true" customHeight="false" outlineLevel="0" collapsed="false">
      <c r="A10798" s="34" t="n">
        <v>8060895000161</v>
      </c>
      <c r="B10798" s="34" t="s">
        <v>21422</v>
      </c>
      <c r="C10798" s="34" t="s">
        <v>10103</v>
      </c>
      <c r="E10798" s="30" t="s">
        <v>3601</v>
      </c>
      <c r="F10798" s="34" t="n">
        <f aca="false">IFERROR(VLOOKUP($A10798,'319'!$B:$H,7,0),0)</f>
        <v>0</v>
      </c>
      <c r="G10798" s="34" t="n">
        <f aca="false">SUMIFS('12.326ana'!$C:$C,'12.326ana'!$M:$M,redes!A10798)</f>
        <v>0</v>
      </c>
    </row>
    <row r="10799" customFormat="false" ht="14.4" hidden="true" customHeight="false" outlineLevel="0" collapsed="false">
      <c r="A10799" s="34" t="n">
        <v>8061313000161</v>
      </c>
      <c r="B10799" s="34" t="s">
        <v>21423</v>
      </c>
      <c r="C10799" s="34" t="s">
        <v>117</v>
      </c>
      <c r="E10799" s="30" t="s">
        <v>11160</v>
      </c>
      <c r="F10799" s="34" t="n">
        <f aca="false">IFERROR(VLOOKUP($A10799,'319'!$B:$H,7,0),0)</f>
        <v>0</v>
      </c>
      <c r="G10799" s="34" t="n">
        <f aca="false">SUMIFS('12.326ana'!$C:$C,'12.326ana'!$M:$M,redes!A10799)</f>
        <v>0</v>
      </c>
    </row>
    <row r="10800" customFormat="false" ht="14.4" hidden="true" customHeight="false" outlineLevel="0" collapsed="false">
      <c r="A10800" s="34" t="n">
        <v>8066034000190</v>
      </c>
      <c r="B10800" s="34" t="s">
        <v>21424</v>
      </c>
      <c r="C10800" s="34" t="s">
        <v>77</v>
      </c>
      <c r="E10800" s="30" t="s">
        <v>21425</v>
      </c>
      <c r="F10800" s="34" t="n">
        <f aca="false">IFERROR(VLOOKUP($A10800,'319'!$B:$H,7,0),0)</f>
        <v>0</v>
      </c>
      <c r="G10800" s="34" t="n">
        <f aca="false">SUMIFS('12.326ana'!$C:$C,'12.326ana'!$M:$M,redes!A10800)</f>
        <v>0</v>
      </c>
    </row>
    <row r="10801" customFormat="false" ht="14.4" hidden="true" customHeight="false" outlineLevel="0" collapsed="false">
      <c r="A10801" s="34" t="n">
        <v>8068663000150</v>
      </c>
      <c r="B10801" s="34" t="s">
        <v>21426</v>
      </c>
      <c r="C10801" s="34" t="s">
        <v>464</v>
      </c>
      <c r="E10801" s="30" t="s">
        <v>4655</v>
      </c>
      <c r="F10801" s="34" t="n">
        <f aca="false">IFERROR(VLOOKUP($A10801,'319'!$B:$H,7,0),0)</f>
        <v>0</v>
      </c>
      <c r="G10801" s="34" t="n">
        <f aca="false">SUMIFS('12.326ana'!$C:$C,'12.326ana'!$M:$M,redes!A10801)</f>
        <v>0</v>
      </c>
    </row>
    <row r="10802" customFormat="false" ht="14.4" hidden="true" customHeight="false" outlineLevel="0" collapsed="false">
      <c r="A10802" s="34" t="n">
        <v>8073265000121</v>
      </c>
      <c r="B10802" s="34" t="s">
        <v>21427</v>
      </c>
      <c r="C10802" s="34" t="s">
        <v>405</v>
      </c>
      <c r="E10802" s="30" t="s">
        <v>21428</v>
      </c>
      <c r="F10802" s="34" t="n">
        <f aca="false">IFERROR(VLOOKUP($A10802,'319'!$B:$H,7,0),0)</f>
        <v>0</v>
      </c>
      <c r="G10802" s="34" t="n">
        <f aca="false">SUMIFS('12.326ana'!$C:$C,'12.326ana'!$M:$M,redes!A10802)</f>
        <v>0</v>
      </c>
    </row>
    <row r="10803" customFormat="false" ht="14.4" hidden="true" customHeight="false" outlineLevel="0" collapsed="false">
      <c r="A10803" s="34" t="n">
        <v>8073391000186</v>
      </c>
      <c r="B10803" s="34" t="s">
        <v>21429</v>
      </c>
      <c r="C10803" s="34" t="s">
        <v>2998</v>
      </c>
      <c r="E10803" s="30" t="s">
        <v>21430</v>
      </c>
      <c r="F10803" s="34" t="n">
        <f aca="false">IFERROR(VLOOKUP($A10803,'319'!$B:$H,7,0),0)</f>
        <v>0</v>
      </c>
      <c r="G10803" s="34" t="n">
        <f aca="false">SUMIFS('12.326ana'!$C:$C,'12.326ana'!$M:$M,redes!A10803)</f>
        <v>0</v>
      </c>
    </row>
    <row r="10804" customFormat="false" ht="14.4" hidden="true" customHeight="false" outlineLevel="0" collapsed="false">
      <c r="A10804" s="34" t="n">
        <v>8074351000159</v>
      </c>
      <c r="B10804" s="34" t="s">
        <v>21431</v>
      </c>
      <c r="C10804" s="34" t="s">
        <v>77</v>
      </c>
      <c r="E10804" s="30" t="s">
        <v>696</v>
      </c>
      <c r="F10804" s="34" t="n">
        <f aca="false">IFERROR(VLOOKUP($A10804,'319'!$B:$H,7,0),0)</f>
        <v>0</v>
      </c>
      <c r="G10804" s="34" t="n">
        <f aca="false">SUMIFS('12.326ana'!$C:$C,'12.326ana'!$M:$M,redes!A10804)</f>
        <v>0</v>
      </c>
    </row>
    <row r="10805" customFormat="false" ht="14.4" hidden="true" customHeight="false" outlineLevel="0" collapsed="false">
      <c r="A10805" s="34" t="n">
        <v>8082717000131</v>
      </c>
      <c r="B10805" s="34" t="s">
        <v>21432</v>
      </c>
      <c r="C10805" s="34" t="s">
        <v>139</v>
      </c>
      <c r="E10805" s="30" t="s">
        <v>13034</v>
      </c>
      <c r="F10805" s="34" t="n">
        <f aca="false">IFERROR(VLOOKUP($A10805,'319'!$B:$H,7,0),0)</f>
        <v>0</v>
      </c>
      <c r="G10805" s="34" t="n">
        <f aca="false">SUMIFS('12.326ana'!$C:$C,'12.326ana'!$M:$M,redes!A10805)</f>
        <v>0</v>
      </c>
    </row>
    <row r="10806" customFormat="false" ht="14.4" hidden="true" customHeight="false" outlineLevel="0" collapsed="false">
      <c r="A10806" s="34" t="n">
        <v>8082824000160</v>
      </c>
      <c r="B10806" s="34" t="s">
        <v>21433</v>
      </c>
      <c r="C10806" s="34" t="s">
        <v>463</v>
      </c>
      <c r="E10806" s="30" t="s">
        <v>21434</v>
      </c>
      <c r="F10806" s="34" t="n">
        <f aca="false">IFERROR(VLOOKUP($A10806,'319'!$B:$H,7,0),0)</f>
        <v>0</v>
      </c>
      <c r="G10806" s="34" t="n">
        <f aca="false">SUMIFS('12.326ana'!$C:$C,'12.326ana'!$M:$M,redes!A10806)</f>
        <v>0</v>
      </c>
    </row>
    <row r="10807" customFormat="false" ht="14.4" hidden="true" customHeight="false" outlineLevel="0" collapsed="false">
      <c r="A10807" s="34" t="n">
        <v>8084652000163</v>
      </c>
      <c r="B10807" s="34" t="s">
        <v>21435</v>
      </c>
      <c r="C10807" s="34" t="s">
        <v>77</v>
      </c>
      <c r="E10807" s="30" t="s">
        <v>21436</v>
      </c>
      <c r="F10807" s="34" t="n">
        <f aca="false">IFERROR(VLOOKUP($A10807,'319'!$B:$H,7,0),0)</f>
        <v>0</v>
      </c>
      <c r="G10807" s="34" t="n">
        <f aca="false">SUMIFS('12.326ana'!$C:$C,'12.326ana'!$M:$M,redes!A10807)</f>
        <v>0</v>
      </c>
    </row>
    <row r="10808" customFormat="false" ht="14.4" hidden="true" customHeight="false" outlineLevel="0" collapsed="false">
      <c r="A10808" s="34" t="n">
        <v>8087620000111</v>
      </c>
      <c r="B10808" s="34" t="s">
        <v>21437</v>
      </c>
      <c r="C10808" s="34" t="s">
        <v>77</v>
      </c>
      <c r="E10808" s="30" t="s">
        <v>21437</v>
      </c>
      <c r="F10808" s="34" t="n">
        <f aca="false">IFERROR(VLOOKUP($A10808,'319'!$B:$H,7,0),0)</f>
        <v>0</v>
      </c>
      <c r="G10808" s="34" t="n">
        <f aca="false">SUMIFS('12.326ana'!$C:$C,'12.326ana'!$M:$M,redes!A10808)</f>
        <v>0</v>
      </c>
    </row>
    <row r="10809" customFormat="false" ht="14.4" hidden="true" customHeight="false" outlineLevel="0" collapsed="false">
      <c r="A10809" s="34" t="n">
        <v>8092261000190</v>
      </c>
      <c r="B10809" s="34" t="s">
        <v>21438</v>
      </c>
      <c r="C10809" s="34" t="s">
        <v>77</v>
      </c>
      <c r="E10809" s="30" t="s">
        <v>21439</v>
      </c>
      <c r="F10809" s="34" t="n">
        <f aca="false">IFERROR(VLOOKUP($A10809,'319'!$B:$H,7,0),0)</f>
        <v>0</v>
      </c>
      <c r="G10809" s="34" t="n">
        <f aca="false">SUMIFS('12.326ana'!$C:$C,'12.326ana'!$M:$M,redes!A10809)</f>
        <v>0</v>
      </c>
    </row>
    <row r="10810" customFormat="false" ht="14.4" hidden="true" customHeight="false" outlineLevel="0" collapsed="false">
      <c r="A10810" s="34" t="n">
        <v>8093954000106</v>
      </c>
      <c r="B10810" s="34" t="s">
        <v>10995</v>
      </c>
      <c r="C10810" s="34" t="s">
        <v>77</v>
      </c>
      <c r="E10810" s="30" t="s">
        <v>5554</v>
      </c>
      <c r="F10810" s="34" t="n">
        <f aca="false">IFERROR(VLOOKUP($A10810,'319'!$B:$H,7,0),0)</f>
        <v>0</v>
      </c>
      <c r="G10810" s="34" t="n">
        <f aca="false">SUMIFS('12.326ana'!$C:$C,'12.326ana'!$M:$M,redes!A10810)</f>
        <v>0</v>
      </c>
    </row>
    <row r="10811" customFormat="false" ht="14.4" hidden="true" customHeight="false" outlineLevel="0" collapsed="false">
      <c r="A10811" s="34" t="n">
        <v>8097510000130</v>
      </c>
      <c r="B10811" s="34" t="s">
        <v>21440</v>
      </c>
      <c r="C10811" s="34" t="s">
        <v>77</v>
      </c>
      <c r="E10811" s="30" t="s">
        <v>21441</v>
      </c>
      <c r="F10811" s="34" t="n">
        <f aca="false">IFERROR(VLOOKUP($A10811,'319'!$B:$H,7,0),0)</f>
        <v>0</v>
      </c>
      <c r="G10811" s="34" t="n">
        <f aca="false">SUMIFS('12.326ana'!$C:$C,'12.326ana'!$M:$M,redes!A10811)</f>
        <v>0</v>
      </c>
    </row>
    <row r="10812" customFormat="false" ht="14.4" hidden="true" customHeight="false" outlineLevel="0" collapsed="false">
      <c r="A10812" s="34" t="n">
        <v>8097518000105</v>
      </c>
      <c r="B10812" s="34" t="s">
        <v>21442</v>
      </c>
      <c r="C10812" s="34" t="s">
        <v>77</v>
      </c>
      <c r="E10812" s="30" t="s">
        <v>20206</v>
      </c>
      <c r="F10812" s="34" t="n">
        <f aca="false">IFERROR(VLOOKUP($A10812,'319'!$B:$H,7,0),0)</f>
        <v>0</v>
      </c>
      <c r="G10812" s="34" t="n">
        <f aca="false">SUMIFS('12.326ana'!$C:$C,'12.326ana'!$M:$M,redes!A10812)</f>
        <v>0</v>
      </c>
    </row>
    <row r="10813" customFormat="false" ht="14.4" hidden="true" customHeight="false" outlineLevel="0" collapsed="false">
      <c r="A10813" s="34" t="n">
        <v>8100407000100</v>
      </c>
      <c r="B10813" s="34" t="s">
        <v>21443</v>
      </c>
      <c r="C10813" s="34" t="s">
        <v>967</v>
      </c>
      <c r="E10813" s="30" t="s">
        <v>21444</v>
      </c>
      <c r="F10813" s="34" t="n">
        <f aca="false">IFERROR(VLOOKUP($A10813,'319'!$B:$H,7,0),0)</f>
        <v>0</v>
      </c>
      <c r="G10813" s="34" t="n">
        <f aca="false">SUMIFS('12.326ana'!$C:$C,'12.326ana'!$M:$M,redes!A10813)</f>
        <v>0</v>
      </c>
    </row>
    <row r="10814" customFormat="false" ht="14.4" hidden="true" customHeight="false" outlineLevel="0" collapsed="false">
      <c r="A10814" s="34" t="n">
        <v>8100634000128</v>
      </c>
      <c r="B10814" s="34" t="s">
        <v>21445</v>
      </c>
      <c r="C10814" s="34" t="s">
        <v>77</v>
      </c>
      <c r="E10814" s="30" t="s">
        <v>21446</v>
      </c>
      <c r="F10814" s="34" t="n">
        <f aca="false">IFERROR(VLOOKUP($A10814,'319'!$B:$H,7,0),0)</f>
        <v>0</v>
      </c>
      <c r="G10814" s="34" t="n">
        <f aca="false">SUMIFS('12.326ana'!$C:$C,'12.326ana'!$M:$M,redes!A10814)</f>
        <v>0</v>
      </c>
    </row>
    <row r="10815" customFormat="false" ht="14.4" hidden="true" customHeight="false" outlineLevel="0" collapsed="false">
      <c r="A10815" s="34" t="n">
        <v>8100709000170</v>
      </c>
      <c r="B10815" s="34" t="s">
        <v>21447</v>
      </c>
      <c r="C10815" s="34" t="s">
        <v>107</v>
      </c>
      <c r="E10815" s="30" t="s">
        <v>21448</v>
      </c>
      <c r="F10815" s="34" t="n">
        <f aca="false">IFERROR(VLOOKUP($A10815,'319'!$B:$H,7,0),0)</f>
        <v>0</v>
      </c>
      <c r="G10815" s="34" t="n">
        <f aca="false">SUMIFS('12.326ana'!$C:$C,'12.326ana'!$M:$M,redes!A10815)</f>
        <v>0</v>
      </c>
    </row>
    <row r="10816" customFormat="false" ht="14.4" hidden="true" customHeight="false" outlineLevel="0" collapsed="false">
      <c r="A10816" s="34" t="n">
        <v>8100986000183</v>
      </c>
      <c r="B10816" s="34" t="s">
        <v>21449</v>
      </c>
      <c r="C10816" s="34" t="s">
        <v>77</v>
      </c>
      <c r="E10816" s="30" t="s">
        <v>21450</v>
      </c>
      <c r="F10816" s="34" t="n">
        <f aca="false">IFERROR(VLOOKUP($A10816,'319'!$B:$H,7,0),0)</f>
        <v>0</v>
      </c>
      <c r="G10816" s="34" t="n">
        <f aca="false">SUMIFS('12.326ana'!$C:$C,'12.326ana'!$M:$M,redes!A10816)</f>
        <v>0</v>
      </c>
    </row>
    <row r="10817" customFormat="false" ht="14.4" hidden="true" customHeight="false" outlineLevel="0" collapsed="false">
      <c r="A10817" s="34" t="n">
        <v>8107150000100</v>
      </c>
      <c r="B10817" s="34" t="s">
        <v>21451</v>
      </c>
      <c r="C10817" s="34" t="s">
        <v>77</v>
      </c>
      <c r="E10817" s="30" t="s">
        <v>21452</v>
      </c>
      <c r="F10817" s="34" t="n">
        <f aca="false">IFERROR(VLOOKUP($A10817,'319'!$B:$H,7,0),0)</f>
        <v>0</v>
      </c>
      <c r="G10817" s="34" t="n">
        <f aca="false">SUMIFS('12.326ana'!$C:$C,'12.326ana'!$M:$M,redes!A10817)</f>
        <v>0</v>
      </c>
    </row>
    <row r="10818" customFormat="false" ht="14.4" hidden="true" customHeight="false" outlineLevel="0" collapsed="false">
      <c r="A10818" s="34" t="n">
        <v>8107186000194</v>
      </c>
      <c r="B10818" s="34" t="s">
        <v>21453</v>
      </c>
      <c r="C10818" s="34" t="s">
        <v>473</v>
      </c>
      <c r="E10818" s="30" t="s">
        <v>21454</v>
      </c>
      <c r="F10818" s="34" t="n">
        <f aca="false">IFERROR(VLOOKUP($A10818,'319'!$B:$H,7,0),0)</f>
        <v>0</v>
      </c>
      <c r="G10818" s="34" t="n">
        <f aca="false">SUMIFS('12.326ana'!$C:$C,'12.326ana'!$M:$M,redes!A10818)</f>
        <v>0</v>
      </c>
    </row>
    <row r="10819" customFormat="false" ht="14.4" hidden="true" customHeight="false" outlineLevel="0" collapsed="false">
      <c r="A10819" s="34" t="n">
        <v>8109765000176</v>
      </c>
      <c r="B10819" s="34" t="s">
        <v>21455</v>
      </c>
      <c r="C10819" s="34" t="s">
        <v>848</v>
      </c>
      <c r="E10819" s="30" t="s">
        <v>3066</v>
      </c>
      <c r="F10819" s="34" t="n">
        <f aca="false">IFERROR(VLOOKUP($A10819,'319'!$B:$H,7,0),0)</f>
        <v>0</v>
      </c>
      <c r="G10819" s="34" t="n">
        <f aca="false">SUMIFS('12.326ana'!$C:$C,'12.326ana'!$M:$M,redes!A10819)</f>
        <v>0</v>
      </c>
    </row>
    <row r="10820" customFormat="false" ht="14.4" hidden="true" customHeight="false" outlineLevel="0" collapsed="false">
      <c r="A10820" s="34" t="n">
        <v>8111832000197</v>
      </c>
      <c r="B10820" s="34" t="s">
        <v>21456</v>
      </c>
      <c r="C10820" s="34" t="s">
        <v>77</v>
      </c>
      <c r="E10820" s="30" t="s">
        <v>17010</v>
      </c>
      <c r="F10820" s="34" t="n">
        <f aca="false">IFERROR(VLOOKUP($A10820,'319'!$B:$H,7,0),0)</f>
        <v>0</v>
      </c>
      <c r="G10820" s="34" t="n">
        <f aca="false">SUMIFS('12.326ana'!$C:$C,'12.326ana'!$M:$M,redes!A10820)</f>
        <v>0</v>
      </c>
    </row>
    <row r="10821" customFormat="false" ht="14.4" hidden="true" customHeight="false" outlineLevel="0" collapsed="false">
      <c r="A10821" s="34" t="n">
        <v>8112776000105</v>
      </c>
      <c r="B10821" s="34" t="s">
        <v>21457</v>
      </c>
      <c r="C10821" s="34" t="s">
        <v>77</v>
      </c>
      <c r="E10821" s="30" t="s">
        <v>21458</v>
      </c>
      <c r="F10821" s="34" t="n">
        <f aca="false">IFERROR(VLOOKUP($A10821,'319'!$B:$H,7,0),0)</f>
        <v>0</v>
      </c>
      <c r="G10821" s="34" t="n">
        <f aca="false">SUMIFS('12.326ana'!$C:$C,'12.326ana'!$M:$M,redes!A10821)</f>
        <v>0</v>
      </c>
    </row>
    <row r="10822" customFormat="false" ht="14.4" hidden="true" customHeight="false" outlineLevel="0" collapsed="false">
      <c r="A10822" s="34" t="n">
        <v>8112841000100</v>
      </c>
      <c r="B10822" s="34" t="s">
        <v>4243</v>
      </c>
      <c r="C10822" s="34" t="s">
        <v>77</v>
      </c>
      <c r="E10822" s="30" t="s">
        <v>21459</v>
      </c>
      <c r="F10822" s="34" t="n">
        <f aca="false">IFERROR(VLOOKUP($A10822,'319'!$B:$H,7,0),0)</f>
        <v>0</v>
      </c>
      <c r="G10822" s="34" t="n">
        <f aca="false">SUMIFS('12.326ana'!$C:$C,'12.326ana'!$M:$M,redes!A10822)</f>
        <v>0</v>
      </c>
    </row>
    <row r="10823" customFormat="false" ht="14.4" hidden="true" customHeight="false" outlineLevel="0" collapsed="false">
      <c r="A10823" s="34" t="n">
        <v>8113365000134</v>
      </c>
      <c r="B10823" s="34" t="s">
        <v>21460</v>
      </c>
      <c r="C10823" s="34" t="s">
        <v>77</v>
      </c>
      <c r="E10823" s="30" t="s">
        <v>21461</v>
      </c>
      <c r="F10823" s="34" t="n">
        <f aca="false">IFERROR(VLOOKUP($A10823,'319'!$B:$H,7,0),0)</f>
        <v>0</v>
      </c>
      <c r="G10823" s="34" t="n">
        <f aca="false">SUMIFS('12.326ana'!$C:$C,'12.326ana'!$M:$M,redes!A10823)</f>
        <v>0</v>
      </c>
    </row>
    <row r="10824" customFormat="false" ht="14.4" hidden="true" customHeight="false" outlineLevel="0" collapsed="false">
      <c r="A10824" s="34" t="n">
        <v>8117408000150</v>
      </c>
      <c r="B10824" s="34" t="s">
        <v>21462</v>
      </c>
      <c r="C10824" s="34" t="s">
        <v>357</v>
      </c>
      <c r="E10824" s="30" t="s">
        <v>21463</v>
      </c>
      <c r="F10824" s="34" t="n">
        <f aca="false">IFERROR(VLOOKUP($A10824,'319'!$B:$H,7,0),0)</f>
        <v>0</v>
      </c>
      <c r="G10824" s="34" t="n">
        <f aca="false">SUMIFS('12.326ana'!$C:$C,'12.326ana'!$M:$M,redes!A10824)</f>
        <v>0</v>
      </c>
    </row>
    <row r="10825" customFormat="false" ht="14.4" hidden="true" customHeight="false" outlineLevel="0" collapsed="false">
      <c r="A10825" s="34" t="n">
        <v>8117693000109</v>
      </c>
      <c r="B10825" s="34" t="s">
        <v>21464</v>
      </c>
      <c r="C10825" s="34" t="s">
        <v>139</v>
      </c>
      <c r="E10825" s="30" t="s">
        <v>9209</v>
      </c>
      <c r="F10825" s="34" t="n">
        <f aca="false">IFERROR(VLOOKUP($A10825,'319'!$B:$H,7,0),0)</f>
        <v>0</v>
      </c>
      <c r="G10825" s="34" t="n">
        <f aca="false">SUMIFS('12.326ana'!$C:$C,'12.326ana'!$M:$M,redes!A10825)</f>
        <v>0</v>
      </c>
    </row>
    <row r="10826" customFormat="false" ht="14.4" hidden="true" customHeight="false" outlineLevel="0" collapsed="false">
      <c r="A10826" s="34" t="n">
        <v>8117776000106</v>
      </c>
      <c r="B10826" s="34" t="s">
        <v>21465</v>
      </c>
      <c r="C10826" s="34" t="s">
        <v>77</v>
      </c>
      <c r="E10826" s="30" t="s">
        <v>21466</v>
      </c>
      <c r="F10826" s="34" t="n">
        <f aca="false">IFERROR(VLOOKUP($A10826,'319'!$B:$H,7,0),0)</f>
        <v>0</v>
      </c>
      <c r="G10826" s="34" t="n">
        <f aca="false">SUMIFS('12.326ana'!$C:$C,'12.326ana'!$M:$M,redes!A10826)</f>
        <v>0</v>
      </c>
    </row>
    <row r="10827" customFormat="false" ht="14.4" hidden="true" customHeight="false" outlineLevel="0" collapsed="false">
      <c r="A10827" s="34" t="n">
        <v>8133467000111</v>
      </c>
      <c r="B10827" s="34" t="s">
        <v>21467</v>
      </c>
      <c r="C10827" s="34" t="s">
        <v>737</v>
      </c>
      <c r="E10827" s="30" t="s">
        <v>21468</v>
      </c>
      <c r="F10827" s="34" t="n">
        <f aca="false">IFERROR(VLOOKUP($A10827,'319'!$B:$H,7,0),0)</f>
        <v>0</v>
      </c>
      <c r="G10827" s="34" t="n">
        <f aca="false">SUMIFS('12.326ana'!$C:$C,'12.326ana'!$M:$M,redes!A10827)</f>
        <v>0</v>
      </c>
    </row>
    <row r="10828" customFormat="false" ht="14.4" hidden="true" customHeight="false" outlineLevel="0" collapsed="false">
      <c r="A10828" s="34" t="n">
        <v>8143830000180</v>
      </c>
      <c r="B10828" s="34" t="s">
        <v>21469</v>
      </c>
      <c r="C10828" s="34" t="s">
        <v>77</v>
      </c>
      <c r="E10828" s="30" t="s">
        <v>21470</v>
      </c>
      <c r="F10828" s="34" t="n">
        <f aca="false">IFERROR(VLOOKUP($A10828,'319'!$B:$H,7,0),0)</f>
        <v>0</v>
      </c>
      <c r="G10828" s="34" t="n">
        <f aca="false">SUMIFS('12.326ana'!$C:$C,'12.326ana'!$M:$M,redes!A10828)</f>
        <v>0</v>
      </c>
    </row>
    <row r="10829" customFormat="false" ht="14.4" hidden="true" customHeight="false" outlineLevel="0" collapsed="false">
      <c r="A10829" s="34" t="n">
        <v>8144439000108</v>
      </c>
      <c r="B10829" s="34" t="s">
        <v>5493</v>
      </c>
      <c r="C10829" s="34" t="s">
        <v>464</v>
      </c>
      <c r="E10829" s="30" t="s">
        <v>5494</v>
      </c>
      <c r="F10829" s="34" t="n">
        <f aca="false">IFERROR(VLOOKUP($A10829,'319'!$B:$H,7,0),0)</f>
        <v>286.27</v>
      </c>
      <c r="G10829" s="34" t="n">
        <f aca="false">SUMIFS('12.326ana'!$C:$C,'12.326ana'!$M:$M,redes!A10829)</f>
        <v>0</v>
      </c>
    </row>
    <row r="10830" customFormat="false" ht="14.4" hidden="true" customHeight="false" outlineLevel="0" collapsed="false">
      <c r="A10830" s="34" t="n">
        <v>8144863000144</v>
      </c>
      <c r="B10830" s="34" t="s">
        <v>21471</v>
      </c>
      <c r="C10830" s="34" t="s">
        <v>77</v>
      </c>
      <c r="E10830" s="30" t="s">
        <v>21472</v>
      </c>
      <c r="F10830" s="34" t="n">
        <f aca="false">IFERROR(VLOOKUP($A10830,'319'!$B:$H,7,0),0)</f>
        <v>0</v>
      </c>
      <c r="G10830" s="34" t="n">
        <f aca="false">SUMIFS('12.326ana'!$C:$C,'12.326ana'!$M:$M,redes!A10830)</f>
        <v>0</v>
      </c>
    </row>
    <row r="10831" customFormat="false" ht="14.4" hidden="true" customHeight="false" outlineLevel="0" collapsed="false">
      <c r="A10831" s="34" t="n">
        <v>8145199000158</v>
      </c>
      <c r="B10831" s="34" t="s">
        <v>21473</v>
      </c>
      <c r="C10831" s="34" t="s">
        <v>107</v>
      </c>
      <c r="E10831" s="30" t="s">
        <v>15347</v>
      </c>
      <c r="F10831" s="34" t="n">
        <f aca="false">IFERROR(VLOOKUP($A10831,'319'!$B:$H,7,0),0)</f>
        <v>0</v>
      </c>
      <c r="G10831" s="34" t="n">
        <f aca="false">SUMIFS('12.326ana'!$C:$C,'12.326ana'!$M:$M,redes!A10831)</f>
        <v>0</v>
      </c>
    </row>
    <row r="10832" customFormat="false" ht="14.4" hidden="true" customHeight="false" outlineLevel="0" collapsed="false">
      <c r="A10832" s="34" t="n">
        <v>8145240000196</v>
      </c>
      <c r="B10832" s="34" t="s">
        <v>21474</v>
      </c>
      <c r="C10832" s="34" t="s">
        <v>77</v>
      </c>
      <c r="E10832" s="30" t="s">
        <v>21475</v>
      </c>
      <c r="F10832" s="34" t="n">
        <f aca="false">IFERROR(VLOOKUP($A10832,'319'!$B:$H,7,0),0)</f>
        <v>0</v>
      </c>
      <c r="G10832" s="34" t="n">
        <f aca="false">SUMIFS('12.326ana'!$C:$C,'12.326ana'!$M:$M,redes!A10832)</f>
        <v>0</v>
      </c>
    </row>
    <row r="10833" customFormat="false" ht="14.4" hidden="true" customHeight="false" outlineLevel="0" collapsed="false">
      <c r="A10833" s="34" t="n">
        <v>8154112000109</v>
      </c>
      <c r="B10833" s="34" t="s">
        <v>21476</v>
      </c>
      <c r="C10833" s="34" t="s">
        <v>77</v>
      </c>
      <c r="E10833" s="30" t="s">
        <v>21477</v>
      </c>
      <c r="F10833" s="34" t="n">
        <f aca="false">IFERROR(VLOOKUP($A10833,'319'!$B:$H,7,0),0)</f>
        <v>0</v>
      </c>
      <c r="G10833" s="34" t="n">
        <f aca="false">SUMIFS('12.326ana'!$C:$C,'12.326ana'!$M:$M,redes!A10833)</f>
        <v>0</v>
      </c>
    </row>
    <row r="10834" customFormat="false" ht="14.4" hidden="true" customHeight="false" outlineLevel="0" collapsed="false">
      <c r="A10834" s="34" t="n">
        <v>8156726000120</v>
      </c>
      <c r="B10834" s="34" t="s">
        <v>21478</v>
      </c>
      <c r="C10834" s="34" t="s">
        <v>77</v>
      </c>
      <c r="E10834" s="30" t="s">
        <v>21479</v>
      </c>
      <c r="F10834" s="34" t="n">
        <f aca="false">IFERROR(VLOOKUP($A10834,'319'!$B:$H,7,0),0)</f>
        <v>0</v>
      </c>
      <c r="G10834" s="34" t="n">
        <f aca="false">SUMIFS('12.326ana'!$C:$C,'12.326ana'!$M:$M,redes!A10834)</f>
        <v>0</v>
      </c>
    </row>
    <row r="10835" customFormat="false" ht="14.4" hidden="true" customHeight="false" outlineLevel="0" collapsed="false">
      <c r="A10835" s="34" t="n">
        <v>8157696000176</v>
      </c>
      <c r="B10835" s="34" t="s">
        <v>21480</v>
      </c>
      <c r="C10835" s="34" t="s">
        <v>89</v>
      </c>
      <c r="E10835" s="30" t="s">
        <v>21481</v>
      </c>
      <c r="F10835" s="34" t="n">
        <f aca="false">IFERROR(VLOOKUP($A10835,'319'!$B:$H,7,0),0)</f>
        <v>0</v>
      </c>
      <c r="G10835" s="34" t="n">
        <f aca="false">SUMIFS('12.326ana'!$C:$C,'12.326ana'!$M:$M,redes!A10835)</f>
        <v>0</v>
      </c>
    </row>
    <row r="10836" customFormat="false" ht="14.4" hidden="true" customHeight="false" outlineLevel="0" collapsed="false">
      <c r="A10836" s="34" t="n">
        <v>8159891000135</v>
      </c>
      <c r="B10836" s="34" t="s">
        <v>21482</v>
      </c>
      <c r="C10836" s="34" t="s">
        <v>77</v>
      </c>
      <c r="E10836" s="30" t="s">
        <v>21483</v>
      </c>
      <c r="F10836" s="34" t="n">
        <f aca="false">IFERROR(VLOOKUP($A10836,'319'!$B:$H,7,0),0)</f>
        <v>0</v>
      </c>
      <c r="G10836" s="34" t="n">
        <f aca="false">SUMIFS('12.326ana'!$C:$C,'12.326ana'!$M:$M,redes!A10836)</f>
        <v>0</v>
      </c>
    </row>
    <row r="10837" customFormat="false" ht="14.4" hidden="true" customHeight="false" outlineLevel="0" collapsed="false">
      <c r="A10837" s="34" t="n">
        <v>8160102000186</v>
      </c>
      <c r="B10837" s="34" t="s">
        <v>21484</v>
      </c>
      <c r="C10837" s="34" t="s">
        <v>77</v>
      </c>
      <c r="E10837" s="30" t="s">
        <v>21485</v>
      </c>
      <c r="F10837" s="34" t="n">
        <f aca="false">IFERROR(VLOOKUP($A10837,'319'!$B:$H,7,0),0)</f>
        <v>0</v>
      </c>
      <c r="G10837" s="34" t="n">
        <f aca="false">SUMIFS('12.326ana'!$C:$C,'12.326ana'!$M:$M,redes!A10837)</f>
        <v>0</v>
      </c>
    </row>
    <row r="10838" customFormat="false" ht="14.4" hidden="true" customHeight="false" outlineLevel="0" collapsed="false">
      <c r="A10838" s="34" t="n">
        <v>8164852000126</v>
      </c>
      <c r="B10838" s="34" t="s">
        <v>21486</v>
      </c>
      <c r="C10838" s="34" t="s">
        <v>89</v>
      </c>
      <c r="E10838" s="30" t="s">
        <v>21487</v>
      </c>
      <c r="F10838" s="34" t="n">
        <f aca="false">IFERROR(VLOOKUP($A10838,'319'!$B:$H,7,0),0)</f>
        <v>0</v>
      </c>
      <c r="G10838" s="34" t="n">
        <f aca="false">SUMIFS('12.326ana'!$C:$C,'12.326ana'!$M:$M,redes!A10838)</f>
        <v>0</v>
      </c>
    </row>
    <row r="10839" customFormat="false" ht="14.4" hidden="true" customHeight="false" outlineLevel="0" collapsed="false">
      <c r="A10839" s="34" t="n">
        <v>8175460000162</v>
      </c>
      <c r="B10839" s="34" t="s">
        <v>21488</v>
      </c>
      <c r="C10839" s="34" t="s">
        <v>781</v>
      </c>
      <c r="E10839" s="30" t="s">
        <v>21489</v>
      </c>
      <c r="F10839" s="34" t="n">
        <f aca="false">IFERROR(VLOOKUP($A10839,'319'!$B:$H,7,0),0)</f>
        <v>0</v>
      </c>
      <c r="G10839" s="34" t="n">
        <f aca="false">SUMIFS('12.326ana'!$C:$C,'12.326ana'!$M:$M,redes!A10839)</f>
        <v>0</v>
      </c>
    </row>
    <row r="10840" customFormat="false" ht="14.4" hidden="true" customHeight="false" outlineLevel="0" collapsed="false">
      <c r="A10840" s="34" t="n">
        <v>8177535000144</v>
      </c>
      <c r="B10840" s="34" t="s">
        <v>1257</v>
      </c>
      <c r="C10840" s="34" t="s">
        <v>139</v>
      </c>
      <c r="E10840" s="30" t="s">
        <v>21490</v>
      </c>
      <c r="F10840" s="34" t="n">
        <f aca="false">IFERROR(VLOOKUP($A10840,'319'!$B:$H,7,0),0)</f>
        <v>282.69</v>
      </c>
      <c r="G10840" s="34" t="n">
        <f aca="false">SUMIFS('12.326ana'!$C:$C,'12.326ana'!$M:$M,redes!A10840)</f>
        <v>0</v>
      </c>
    </row>
    <row r="10841" customFormat="false" ht="14.4" hidden="true" customHeight="false" outlineLevel="0" collapsed="false">
      <c r="A10841" s="34" t="n">
        <v>8177732000163</v>
      </c>
      <c r="B10841" s="34" t="s">
        <v>21491</v>
      </c>
      <c r="C10841" s="34" t="s">
        <v>77</v>
      </c>
      <c r="E10841" s="30" t="s">
        <v>21492</v>
      </c>
      <c r="F10841" s="34" t="n">
        <f aca="false">IFERROR(VLOOKUP($A10841,'319'!$B:$H,7,0),0)</f>
        <v>0</v>
      </c>
      <c r="G10841" s="34" t="n">
        <f aca="false">SUMIFS('12.326ana'!$C:$C,'12.326ana'!$M:$M,redes!A10841)</f>
        <v>0</v>
      </c>
    </row>
    <row r="10842" customFormat="false" ht="14.4" hidden="true" customHeight="false" outlineLevel="0" collapsed="false">
      <c r="A10842" s="34" t="n">
        <v>8177942000151</v>
      </c>
      <c r="B10842" s="34" t="s">
        <v>21493</v>
      </c>
      <c r="C10842" s="34" t="s">
        <v>848</v>
      </c>
      <c r="E10842" s="30" t="s">
        <v>21494</v>
      </c>
      <c r="F10842" s="34" t="n">
        <f aca="false">IFERROR(VLOOKUP($A10842,'319'!$B:$H,7,0),0)</f>
        <v>0</v>
      </c>
      <c r="G10842" s="34" t="n">
        <f aca="false">SUMIFS('12.326ana'!$C:$C,'12.326ana'!$M:$M,redes!A10842)</f>
        <v>0</v>
      </c>
    </row>
    <row r="10843" customFormat="false" ht="14.4" hidden="true" customHeight="false" outlineLevel="0" collapsed="false">
      <c r="A10843" s="34" t="n">
        <v>8178416000106</v>
      </c>
      <c r="B10843" s="34" t="s">
        <v>21495</v>
      </c>
      <c r="C10843" s="34" t="s">
        <v>77</v>
      </c>
      <c r="E10843" s="30" t="s">
        <v>8353</v>
      </c>
      <c r="F10843" s="34" t="n">
        <f aca="false">IFERROR(VLOOKUP($A10843,'319'!$B:$H,7,0),0)</f>
        <v>0</v>
      </c>
      <c r="G10843" s="34" t="n">
        <f aca="false">SUMIFS('12.326ana'!$C:$C,'12.326ana'!$M:$M,redes!A10843)</f>
        <v>0</v>
      </c>
    </row>
    <row r="10844" customFormat="false" ht="14.4" hidden="true" customHeight="false" outlineLevel="0" collapsed="false">
      <c r="A10844" s="34" t="n">
        <v>8181100000173</v>
      </c>
      <c r="B10844" s="34" t="s">
        <v>21496</v>
      </c>
      <c r="C10844" s="34" t="s">
        <v>77</v>
      </c>
      <c r="E10844" s="30" t="s">
        <v>21497</v>
      </c>
      <c r="F10844" s="34" t="n">
        <f aca="false">IFERROR(VLOOKUP($A10844,'319'!$B:$H,7,0),0)</f>
        <v>0</v>
      </c>
      <c r="G10844" s="34" t="n">
        <f aca="false">SUMIFS('12.326ana'!$C:$C,'12.326ana'!$M:$M,redes!A10844)</f>
        <v>0</v>
      </c>
    </row>
    <row r="10845" customFormat="false" ht="14.4" hidden="true" customHeight="false" outlineLevel="0" collapsed="false">
      <c r="A10845" s="34" t="n">
        <v>8181776000167</v>
      </c>
      <c r="B10845" s="34" t="s">
        <v>21498</v>
      </c>
      <c r="C10845" s="34" t="s">
        <v>77</v>
      </c>
      <c r="E10845" s="30" t="s">
        <v>8117</v>
      </c>
      <c r="F10845" s="34" t="n">
        <f aca="false">IFERROR(VLOOKUP($A10845,'319'!$B:$H,7,0),0)</f>
        <v>0</v>
      </c>
      <c r="G10845" s="34" t="n">
        <f aca="false">SUMIFS('12.326ana'!$C:$C,'12.326ana'!$M:$M,redes!A10845)</f>
        <v>0</v>
      </c>
    </row>
    <row r="10846" customFormat="false" ht="14.4" hidden="true" customHeight="false" outlineLevel="0" collapsed="false">
      <c r="A10846" s="34" t="n">
        <v>8181955000102</v>
      </c>
      <c r="B10846" s="34" t="s">
        <v>21499</v>
      </c>
      <c r="C10846" s="34" t="s">
        <v>4462</v>
      </c>
      <c r="E10846" s="30" t="s">
        <v>21500</v>
      </c>
      <c r="F10846" s="34" t="n">
        <f aca="false">IFERROR(VLOOKUP($A10846,'319'!$B:$H,7,0),0)</f>
        <v>0</v>
      </c>
      <c r="G10846" s="34" t="n">
        <f aca="false">SUMIFS('12.326ana'!$C:$C,'12.326ana'!$M:$M,redes!A10846)</f>
        <v>0</v>
      </c>
    </row>
    <row r="10847" customFormat="false" ht="14.4" hidden="true" customHeight="false" outlineLevel="0" collapsed="false">
      <c r="A10847" s="34" t="n">
        <v>8187164000181</v>
      </c>
      <c r="B10847" s="34" t="s">
        <v>21501</v>
      </c>
      <c r="C10847" s="34" t="s">
        <v>139</v>
      </c>
      <c r="E10847" s="30" t="s">
        <v>21502</v>
      </c>
      <c r="F10847" s="34" t="n">
        <f aca="false">IFERROR(VLOOKUP($A10847,'319'!$B:$H,7,0),0)</f>
        <v>0</v>
      </c>
      <c r="G10847" s="34" t="n">
        <f aca="false">SUMIFS('12.326ana'!$C:$C,'12.326ana'!$M:$M,redes!A10847)</f>
        <v>0</v>
      </c>
    </row>
    <row r="10848" customFormat="false" ht="14.4" hidden="true" customHeight="false" outlineLevel="0" collapsed="false">
      <c r="A10848" s="34" t="n">
        <v>8187648000120</v>
      </c>
      <c r="B10848" s="34" t="s">
        <v>21503</v>
      </c>
      <c r="C10848" s="34" t="s">
        <v>89</v>
      </c>
      <c r="E10848" s="30" t="s">
        <v>21504</v>
      </c>
      <c r="F10848" s="34" t="n">
        <f aca="false">IFERROR(VLOOKUP($A10848,'319'!$B:$H,7,0),0)</f>
        <v>0</v>
      </c>
      <c r="G10848" s="34" t="n">
        <f aca="false">SUMIFS('12.326ana'!$C:$C,'12.326ana'!$M:$M,redes!A10848)</f>
        <v>0</v>
      </c>
    </row>
    <row r="10849" customFormat="false" ht="14.4" hidden="true" customHeight="false" outlineLevel="0" collapsed="false">
      <c r="A10849" s="34" t="n">
        <v>8188452000150</v>
      </c>
      <c r="B10849" s="34" t="s">
        <v>21505</v>
      </c>
      <c r="C10849" s="34" t="s">
        <v>89</v>
      </c>
      <c r="E10849" s="30"/>
      <c r="F10849" s="34" t="n">
        <f aca="false">IFERROR(VLOOKUP($A10849,'319'!$B:$H,7,0),0)</f>
        <v>0</v>
      </c>
      <c r="G10849" s="34" t="n">
        <f aca="false">SUMIFS('12.326ana'!$C:$C,'12.326ana'!$M:$M,redes!A10849)</f>
        <v>0</v>
      </c>
    </row>
    <row r="10850" customFormat="false" ht="14.4" hidden="true" customHeight="false" outlineLevel="0" collapsed="false">
      <c r="A10850" s="34" t="n">
        <v>8189264000147</v>
      </c>
      <c r="B10850" s="34" t="s">
        <v>21506</v>
      </c>
      <c r="C10850" s="34" t="s">
        <v>77</v>
      </c>
      <c r="E10850" s="30" t="s">
        <v>21507</v>
      </c>
      <c r="F10850" s="34" t="n">
        <f aca="false">IFERROR(VLOOKUP($A10850,'319'!$B:$H,7,0),0)</f>
        <v>0</v>
      </c>
      <c r="G10850" s="34" t="n">
        <f aca="false">SUMIFS('12.326ana'!$C:$C,'12.326ana'!$M:$M,redes!A10850)</f>
        <v>0</v>
      </c>
    </row>
    <row r="10851" customFormat="false" ht="14.4" hidden="true" customHeight="false" outlineLevel="0" collapsed="false">
      <c r="A10851" s="34" t="n">
        <v>8189315000130</v>
      </c>
      <c r="B10851" s="34" t="s">
        <v>9040</v>
      </c>
      <c r="C10851" s="34" t="s">
        <v>77</v>
      </c>
      <c r="E10851" s="30" t="s">
        <v>21508</v>
      </c>
      <c r="F10851" s="34" t="n">
        <f aca="false">IFERROR(VLOOKUP($A10851,'319'!$B:$H,7,0),0)</f>
        <v>0</v>
      </c>
      <c r="G10851" s="34" t="n">
        <f aca="false">SUMIFS('12.326ana'!$C:$C,'12.326ana'!$M:$M,redes!A10851)</f>
        <v>0</v>
      </c>
    </row>
    <row r="10852" customFormat="false" ht="14.4" hidden="true" customHeight="false" outlineLevel="0" collapsed="false">
      <c r="A10852" s="34" t="n">
        <v>8195101000177</v>
      </c>
      <c r="B10852" s="34" t="s">
        <v>21509</v>
      </c>
      <c r="C10852" s="34" t="s">
        <v>842</v>
      </c>
      <c r="E10852" s="30" t="s">
        <v>21510</v>
      </c>
      <c r="F10852" s="34" t="n">
        <f aca="false">IFERROR(VLOOKUP($A10852,'319'!$B:$H,7,0),0)</f>
        <v>0</v>
      </c>
      <c r="G10852" s="34" t="n">
        <f aca="false">SUMIFS('12.326ana'!$C:$C,'12.326ana'!$M:$M,redes!A10852)</f>
        <v>0</v>
      </c>
    </row>
    <row r="10853" customFormat="false" ht="14.4" hidden="true" customHeight="false" outlineLevel="0" collapsed="false">
      <c r="A10853" s="34" t="n">
        <v>8197976000108</v>
      </c>
      <c r="B10853" s="34" t="s">
        <v>21511</v>
      </c>
      <c r="C10853" s="34" t="s">
        <v>154</v>
      </c>
      <c r="E10853" s="30" t="s">
        <v>3143</v>
      </c>
      <c r="F10853" s="34" t="n">
        <f aca="false">IFERROR(VLOOKUP($A10853,'319'!$B:$H,7,0),0)</f>
        <v>0</v>
      </c>
      <c r="G10853" s="34" t="n">
        <f aca="false">SUMIFS('12.326ana'!$C:$C,'12.326ana'!$M:$M,redes!A10853)</f>
        <v>0</v>
      </c>
    </row>
    <row r="10854" customFormat="false" ht="14.4" hidden="true" customHeight="false" outlineLevel="0" collapsed="false">
      <c r="A10854" s="34" t="n">
        <v>8201966000107</v>
      </c>
      <c r="B10854" s="34" t="s">
        <v>21512</v>
      </c>
      <c r="C10854" s="34" t="s">
        <v>744</v>
      </c>
      <c r="E10854" s="30" t="s">
        <v>5070</v>
      </c>
      <c r="F10854" s="34" t="n">
        <f aca="false">IFERROR(VLOOKUP($A10854,'319'!$B:$H,7,0),0)</f>
        <v>0</v>
      </c>
      <c r="G10854" s="34" t="n">
        <f aca="false">SUMIFS('12.326ana'!$C:$C,'12.326ana'!$M:$M,redes!A10854)</f>
        <v>0</v>
      </c>
    </row>
    <row r="10855" customFormat="false" ht="14.4" hidden="true" customHeight="false" outlineLevel="0" collapsed="false">
      <c r="A10855" s="34" t="n">
        <v>8203350000167</v>
      </c>
      <c r="B10855" s="34" t="s">
        <v>21513</v>
      </c>
      <c r="C10855" s="34" t="s">
        <v>77</v>
      </c>
      <c r="E10855" s="30" t="s">
        <v>21514</v>
      </c>
      <c r="F10855" s="34" t="n">
        <f aca="false">IFERROR(VLOOKUP($A10855,'319'!$B:$H,7,0),0)</f>
        <v>0</v>
      </c>
      <c r="G10855" s="34" t="n">
        <f aca="false">SUMIFS('12.326ana'!$C:$C,'12.326ana'!$M:$M,redes!A10855)</f>
        <v>0</v>
      </c>
    </row>
    <row r="10856" customFormat="false" ht="14.4" hidden="true" customHeight="false" outlineLevel="0" collapsed="false">
      <c r="A10856" s="34" t="n">
        <v>8203824000170</v>
      </c>
      <c r="B10856" s="34" t="s">
        <v>21515</v>
      </c>
      <c r="C10856" s="34" t="s">
        <v>7250</v>
      </c>
      <c r="E10856" s="30" t="s">
        <v>3066</v>
      </c>
      <c r="F10856" s="34" t="n">
        <f aca="false">IFERROR(VLOOKUP($A10856,'319'!$B:$H,7,0),0)</f>
        <v>0</v>
      </c>
      <c r="G10856" s="34" t="n">
        <f aca="false">SUMIFS('12.326ana'!$C:$C,'12.326ana'!$M:$M,redes!A10856)</f>
        <v>0</v>
      </c>
    </row>
    <row r="10857" customFormat="false" ht="14.4" hidden="true" customHeight="false" outlineLevel="0" collapsed="false">
      <c r="A10857" s="34" t="n">
        <v>8207976000141</v>
      </c>
      <c r="B10857" s="34" t="s">
        <v>21516</v>
      </c>
      <c r="C10857" s="34" t="s">
        <v>1618</v>
      </c>
      <c r="E10857" s="30" t="s">
        <v>8059</v>
      </c>
      <c r="F10857" s="34" t="n">
        <f aca="false">IFERROR(VLOOKUP($A10857,'319'!$B:$H,7,0),0)</f>
        <v>87.28</v>
      </c>
      <c r="G10857" s="34" t="n">
        <f aca="false">SUMIFS('12.326ana'!$C:$C,'12.326ana'!$M:$M,redes!A10857)</f>
        <v>0</v>
      </c>
    </row>
    <row r="10858" customFormat="false" ht="14.4" hidden="true" customHeight="false" outlineLevel="0" collapsed="false">
      <c r="A10858" s="34" t="n">
        <v>8207976000303</v>
      </c>
      <c r="B10858" s="34" t="s">
        <v>21516</v>
      </c>
      <c r="C10858" s="34" t="s">
        <v>1618</v>
      </c>
      <c r="E10858" s="30" t="s">
        <v>21516</v>
      </c>
      <c r="F10858" s="34" t="n">
        <f aca="false">IFERROR(VLOOKUP($A10858,'319'!$B:$H,7,0),0)</f>
        <v>0</v>
      </c>
      <c r="G10858" s="34" t="n">
        <f aca="false">SUMIFS('12.326ana'!$C:$C,'12.326ana'!$M:$M,redes!A10858)</f>
        <v>0</v>
      </c>
    </row>
    <row r="10859" customFormat="false" ht="14.4" hidden="true" customHeight="false" outlineLevel="0" collapsed="false">
      <c r="A10859" s="34" t="n">
        <v>8208395000124</v>
      </c>
      <c r="B10859" s="34" t="s">
        <v>21517</v>
      </c>
      <c r="C10859" s="34" t="s">
        <v>77</v>
      </c>
      <c r="E10859" s="30" t="s">
        <v>4594</v>
      </c>
      <c r="F10859" s="34" t="n">
        <f aca="false">IFERROR(VLOOKUP($A10859,'319'!$B:$H,7,0),0)</f>
        <v>0</v>
      </c>
      <c r="G10859" s="34" t="n">
        <f aca="false">SUMIFS('12.326ana'!$C:$C,'12.326ana'!$M:$M,redes!A10859)</f>
        <v>0</v>
      </c>
    </row>
    <row r="10860" customFormat="false" ht="14.4" hidden="true" customHeight="false" outlineLevel="0" collapsed="false">
      <c r="A10860" s="34" t="n">
        <v>8210772000160</v>
      </c>
      <c r="B10860" s="34" t="s">
        <v>21518</v>
      </c>
      <c r="C10860" s="34" t="s">
        <v>213</v>
      </c>
      <c r="E10860" s="30" t="s">
        <v>21519</v>
      </c>
      <c r="F10860" s="34" t="n">
        <f aca="false">IFERROR(VLOOKUP($A10860,'319'!$B:$H,7,0),0)</f>
        <v>0</v>
      </c>
      <c r="G10860" s="34" t="n">
        <f aca="false">SUMIFS('12.326ana'!$C:$C,'12.326ana'!$M:$M,redes!A10860)</f>
        <v>0</v>
      </c>
    </row>
    <row r="10861" customFormat="false" ht="14.4" hidden="true" customHeight="false" outlineLevel="0" collapsed="false">
      <c r="A10861" s="34" t="n">
        <v>8211141000165</v>
      </c>
      <c r="B10861" s="34" t="s">
        <v>21520</v>
      </c>
      <c r="C10861" s="34" t="s">
        <v>77</v>
      </c>
      <c r="E10861" s="30" t="s">
        <v>21521</v>
      </c>
      <c r="F10861" s="34" t="n">
        <f aca="false">IFERROR(VLOOKUP($A10861,'319'!$B:$H,7,0),0)</f>
        <v>0</v>
      </c>
      <c r="G10861" s="34" t="n">
        <f aca="false">SUMIFS('12.326ana'!$C:$C,'12.326ana'!$M:$M,redes!A10861)</f>
        <v>0</v>
      </c>
    </row>
    <row r="10862" customFormat="false" ht="14.4" hidden="true" customHeight="false" outlineLevel="0" collapsed="false">
      <c r="A10862" s="34" t="n">
        <v>8212686000196</v>
      </c>
      <c r="B10862" s="34" t="s">
        <v>21522</v>
      </c>
      <c r="C10862" s="34" t="s">
        <v>77</v>
      </c>
      <c r="E10862" s="30" t="s">
        <v>21523</v>
      </c>
      <c r="F10862" s="34" t="n">
        <f aca="false">IFERROR(VLOOKUP($A10862,'319'!$B:$H,7,0),0)</f>
        <v>0</v>
      </c>
      <c r="G10862" s="34" t="n">
        <f aca="false">SUMIFS('12.326ana'!$C:$C,'12.326ana'!$M:$M,redes!A10862)</f>
        <v>0</v>
      </c>
    </row>
    <row r="10863" customFormat="false" ht="14.4" hidden="true" customHeight="false" outlineLevel="0" collapsed="false">
      <c r="A10863" s="34" t="n">
        <v>8212889000182</v>
      </c>
      <c r="B10863" s="34" t="s">
        <v>21524</v>
      </c>
      <c r="C10863" s="34" t="s">
        <v>77</v>
      </c>
      <c r="E10863" s="30" t="s">
        <v>21525</v>
      </c>
      <c r="F10863" s="34" t="n">
        <f aca="false">IFERROR(VLOOKUP($A10863,'319'!$B:$H,7,0),0)</f>
        <v>0</v>
      </c>
      <c r="G10863" s="34" t="n">
        <f aca="false">SUMIFS('12.326ana'!$C:$C,'12.326ana'!$M:$M,redes!A10863)</f>
        <v>0</v>
      </c>
    </row>
    <row r="10864" customFormat="false" ht="14.4" hidden="true" customHeight="false" outlineLevel="0" collapsed="false">
      <c r="A10864" s="34" t="n">
        <v>8215267000108</v>
      </c>
      <c r="B10864" s="34" t="s">
        <v>21526</v>
      </c>
      <c r="C10864" s="34" t="s">
        <v>213</v>
      </c>
      <c r="E10864" s="30" t="s">
        <v>21527</v>
      </c>
      <c r="F10864" s="34" t="n">
        <f aca="false">IFERROR(VLOOKUP($A10864,'319'!$B:$H,7,0),0)</f>
        <v>188.99</v>
      </c>
      <c r="G10864" s="34" t="n">
        <f aca="false">SUMIFS('12.326ana'!$C:$C,'12.326ana'!$M:$M,redes!A10864)</f>
        <v>0</v>
      </c>
    </row>
    <row r="10865" customFormat="false" ht="14.4" hidden="true" customHeight="false" outlineLevel="0" collapsed="false">
      <c r="A10865" s="35" t="n">
        <v>8217583000119</v>
      </c>
      <c r="B10865" s="34" t="s">
        <v>21528</v>
      </c>
      <c r="C10865" s="34" t="s">
        <v>77</v>
      </c>
      <c r="D10865" s="34" t="s">
        <v>14607</v>
      </c>
      <c r="E10865" s="30" t="s">
        <v>21529</v>
      </c>
      <c r="F10865" s="34" t="n">
        <f aca="false">IFERROR(VLOOKUP($A10865,'319'!$B:$H,7,0),0)</f>
        <v>0</v>
      </c>
      <c r="G10865" s="34" t="n">
        <f aca="false">SUMIFS('12.326ana'!$C:$C,'12.326ana'!$M:$M,redes!A10865)</f>
        <v>0</v>
      </c>
    </row>
    <row r="10866" customFormat="false" ht="14.4" hidden="true" customHeight="false" outlineLevel="0" collapsed="false">
      <c r="A10866" s="35" t="n">
        <v>8217583000208</v>
      </c>
      <c r="B10866" s="34" t="s">
        <v>21528</v>
      </c>
      <c r="C10866" s="34" t="s">
        <v>77</v>
      </c>
      <c r="D10866" s="34" t="s">
        <v>14607</v>
      </c>
      <c r="E10866" s="30" t="s">
        <v>21530</v>
      </c>
      <c r="F10866" s="34" t="n">
        <f aca="false">IFERROR(VLOOKUP($A10866,'319'!$B:$H,7,0),0)</f>
        <v>0</v>
      </c>
      <c r="G10866" s="34" t="n">
        <f aca="false">SUMIFS('12.326ana'!$C:$C,'12.326ana'!$M:$M,redes!A10866)</f>
        <v>0</v>
      </c>
    </row>
    <row r="10867" customFormat="false" ht="14.4" hidden="true" customHeight="false" outlineLevel="0" collapsed="false">
      <c r="A10867" s="35" t="n">
        <v>8217583000380</v>
      </c>
      <c r="B10867" s="34" t="s">
        <v>21528</v>
      </c>
      <c r="C10867" s="34" t="s">
        <v>77</v>
      </c>
      <c r="D10867" s="34" t="s">
        <v>14607</v>
      </c>
      <c r="E10867" s="30" t="s">
        <v>21530</v>
      </c>
      <c r="F10867" s="34" t="n">
        <f aca="false">IFERROR(VLOOKUP($A10867,'319'!$B:$H,7,0),0)</f>
        <v>0</v>
      </c>
      <c r="G10867" s="34" t="n">
        <f aca="false">SUMIFS('12.326ana'!$C:$C,'12.326ana'!$M:$M,redes!A10867)</f>
        <v>0</v>
      </c>
    </row>
    <row r="10868" customFormat="false" ht="14.4" hidden="true" customHeight="false" outlineLevel="0" collapsed="false">
      <c r="A10868" s="35" t="n">
        <v>8217583000461</v>
      </c>
      <c r="B10868" s="34" t="s">
        <v>21528</v>
      </c>
      <c r="C10868" s="34" t="s">
        <v>77</v>
      </c>
      <c r="D10868" s="34" t="s">
        <v>14607</v>
      </c>
      <c r="E10868" s="30" t="s">
        <v>21530</v>
      </c>
      <c r="F10868" s="34" t="n">
        <f aca="false">IFERROR(VLOOKUP($A10868,'319'!$B:$H,7,0),0)</f>
        <v>0</v>
      </c>
      <c r="G10868" s="34" t="n">
        <f aca="false">SUMIFS('12.326ana'!$C:$C,'12.326ana'!$M:$M,redes!A10868)</f>
        <v>0</v>
      </c>
    </row>
    <row r="10869" customFormat="false" ht="14.4" hidden="true" customHeight="false" outlineLevel="0" collapsed="false">
      <c r="A10869" s="34" t="n">
        <v>8217590000110</v>
      </c>
      <c r="B10869" s="34" t="s">
        <v>21531</v>
      </c>
      <c r="C10869" s="34" t="s">
        <v>77</v>
      </c>
      <c r="E10869" s="30" t="s">
        <v>9975</v>
      </c>
      <c r="F10869" s="34" t="n">
        <f aca="false">IFERROR(VLOOKUP($A10869,'319'!$B:$H,7,0),0)</f>
        <v>0</v>
      </c>
      <c r="G10869" s="34" t="n">
        <f aca="false">SUMIFS('12.326ana'!$C:$C,'12.326ana'!$M:$M,redes!A10869)</f>
        <v>0</v>
      </c>
    </row>
    <row r="10870" customFormat="false" ht="14.4" hidden="true" customHeight="false" outlineLevel="0" collapsed="false">
      <c r="A10870" s="34" t="n">
        <v>8217980000190</v>
      </c>
      <c r="B10870" s="34" t="s">
        <v>21532</v>
      </c>
      <c r="C10870" s="34" t="s">
        <v>117</v>
      </c>
      <c r="E10870" s="30" t="s">
        <v>21533</v>
      </c>
      <c r="F10870" s="34" t="n">
        <f aca="false">IFERROR(VLOOKUP($A10870,'319'!$B:$H,7,0),0)</f>
        <v>0</v>
      </c>
      <c r="G10870" s="34" t="n">
        <f aca="false">SUMIFS('12.326ana'!$C:$C,'12.326ana'!$M:$M,redes!A10870)</f>
        <v>0</v>
      </c>
    </row>
    <row r="10871" customFormat="false" ht="14.4" hidden="true" customHeight="false" outlineLevel="0" collapsed="false">
      <c r="A10871" s="34" t="n">
        <v>8221519000101</v>
      </c>
      <c r="B10871" s="34" t="s">
        <v>21534</v>
      </c>
      <c r="C10871" s="34" t="s">
        <v>77</v>
      </c>
      <c r="E10871" s="30" t="s">
        <v>21535</v>
      </c>
      <c r="F10871" s="34" t="n">
        <f aca="false">IFERROR(VLOOKUP($A10871,'319'!$B:$H,7,0),0)</f>
        <v>0</v>
      </c>
      <c r="G10871" s="34" t="n">
        <f aca="false">SUMIFS('12.326ana'!$C:$C,'12.326ana'!$M:$M,redes!A10871)</f>
        <v>0</v>
      </c>
    </row>
    <row r="10872" customFormat="false" ht="14.4" hidden="true" customHeight="false" outlineLevel="0" collapsed="false">
      <c r="A10872" s="34" t="n">
        <v>8223106000166</v>
      </c>
      <c r="B10872" s="34" t="s">
        <v>21536</v>
      </c>
      <c r="C10872" s="34" t="s">
        <v>103</v>
      </c>
      <c r="E10872" s="30" t="s">
        <v>21537</v>
      </c>
      <c r="F10872" s="34" t="n">
        <f aca="false">IFERROR(VLOOKUP($A10872,'319'!$B:$H,7,0),0)</f>
        <v>0</v>
      </c>
      <c r="G10872" s="34" t="n">
        <f aca="false">SUMIFS('12.326ana'!$C:$C,'12.326ana'!$M:$M,redes!A10872)</f>
        <v>0</v>
      </c>
    </row>
    <row r="10873" customFormat="false" ht="14.4" hidden="true" customHeight="false" outlineLevel="0" collapsed="false">
      <c r="A10873" s="34" t="n">
        <v>8223301000439</v>
      </c>
      <c r="B10873" s="34" t="s">
        <v>21538</v>
      </c>
      <c r="C10873" s="34" t="s">
        <v>1272</v>
      </c>
      <c r="E10873" s="30" t="s">
        <v>21539</v>
      </c>
      <c r="F10873" s="34" t="n">
        <f aca="false">IFERROR(VLOOKUP($A10873,'319'!$B:$H,7,0),0)</f>
        <v>0</v>
      </c>
      <c r="G10873" s="34" t="n">
        <f aca="false">SUMIFS('12.326ana'!$C:$C,'12.326ana'!$M:$M,redes!A10873)</f>
        <v>0</v>
      </c>
    </row>
    <row r="10874" customFormat="false" ht="14.4" hidden="true" customHeight="false" outlineLevel="0" collapsed="false">
      <c r="A10874" s="34" t="n">
        <v>8223413000147</v>
      </c>
      <c r="B10874" s="34" t="s">
        <v>21540</v>
      </c>
      <c r="C10874" s="34" t="s">
        <v>604</v>
      </c>
      <c r="E10874" s="30" t="s">
        <v>12532</v>
      </c>
      <c r="F10874" s="34" t="n">
        <f aca="false">IFERROR(VLOOKUP($A10874,'319'!$B:$H,7,0),0)</f>
        <v>0</v>
      </c>
      <c r="G10874" s="34" t="n">
        <f aca="false">SUMIFS('12.326ana'!$C:$C,'12.326ana'!$M:$M,redes!A10874)</f>
        <v>0</v>
      </c>
    </row>
    <row r="10875" customFormat="false" ht="14.4" hidden="true" customHeight="false" outlineLevel="0" collapsed="false">
      <c r="A10875" s="34" t="n">
        <v>8225709000105</v>
      </c>
      <c r="B10875" s="34" t="s">
        <v>21541</v>
      </c>
      <c r="C10875" s="34" t="s">
        <v>77</v>
      </c>
      <c r="E10875" s="30" t="s">
        <v>11115</v>
      </c>
      <c r="F10875" s="34" t="n">
        <f aca="false">IFERROR(VLOOKUP($A10875,'319'!$B:$H,7,0),0)</f>
        <v>0</v>
      </c>
      <c r="G10875" s="34" t="n">
        <f aca="false">SUMIFS('12.326ana'!$C:$C,'12.326ana'!$M:$M,redes!A10875)</f>
        <v>0</v>
      </c>
    </row>
    <row r="10876" customFormat="false" ht="14.4" hidden="true" customHeight="false" outlineLevel="0" collapsed="false">
      <c r="A10876" s="34" t="n">
        <v>8226362000107</v>
      </c>
      <c r="B10876" s="34" t="s">
        <v>21542</v>
      </c>
      <c r="C10876" s="34" t="s">
        <v>77</v>
      </c>
      <c r="E10876" s="30" t="s">
        <v>21543</v>
      </c>
      <c r="F10876" s="34" t="n">
        <f aca="false">IFERROR(VLOOKUP($A10876,'319'!$B:$H,7,0),0)</f>
        <v>0</v>
      </c>
      <c r="G10876" s="34" t="n">
        <f aca="false">SUMIFS('12.326ana'!$C:$C,'12.326ana'!$M:$M,redes!A10876)</f>
        <v>0</v>
      </c>
    </row>
    <row r="10877" customFormat="false" ht="14.4" hidden="true" customHeight="false" outlineLevel="0" collapsed="false">
      <c r="A10877" s="34" t="n">
        <v>8226395000157</v>
      </c>
      <c r="B10877" s="34" t="s">
        <v>21544</v>
      </c>
      <c r="C10877" s="34" t="s">
        <v>1341</v>
      </c>
      <c r="E10877" s="30" t="s">
        <v>21545</v>
      </c>
      <c r="F10877" s="34" t="n">
        <f aca="false">IFERROR(VLOOKUP($A10877,'319'!$B:$H,7,0),0)</f>
        <v>0</v>
      </c>
      <c r="G10877" s="34" t="n">
        <f aca="false">SUMIFS('12.326ana'!$C:$C,'12.326ana'!$M:$M,redes!A10877)</f>
        <v>0</v>
      </c>
    </row>
    <row r="10878" customFormat="false" ht="14.4" hidden="true" customHeight="false" outlineLevel="0" collapsed="false">
      <c r="A10878" s="34" t="n">
        <v>8227619000145</v>
      </c>
      <c r="B10878" s="34" t="s">
        <v>21546</v>
      </c>
      <c r="C10878" s="34" t="s">
        <v>77</v>
      </c>
      <c r="E10878" s="30" t="s">
        <v>21547</v>
      </c>
      <c r="F10878" s="34" t="n">
        <f aca="false">IFERROR(VLOOKUP($A10878,'319'!$B:$H,7,0),0)</f>
        <v>0</v>
      </c>
      <c r="G10878" s="34" t="n">
        <f aca="false">SUMIFS('12.326ana'!$C:$C,'12.326ana'!$M:$M,redes!A10878)</f>
        <v>0</v>
      </c>
    </row>
    <row r="10879" customFormat="false" ht="14.4" hidden="true" customHeight="false" outlineLevel="0" collapsed="false">
      <c r="A10879" s="34" t="n">
        <v>8240581000140</v>
      </c>
      <c r="B10879" s="34" t="s">
        <v>21548</v>
      </c>
      <c r="C10879" s="34" t="s">
        <v>139</v>
      </c>
      <c r="E10879" s="30" t="s">
        <v>21548</v>
      </c>
      <c r="F10879" s="34" t="n">
        <f aca="false">IFERROR(VLOOKUP($A10879,'319'!$B:$H,7,0),0)</f>
        <v>0</v>
      </c>
      <c r="G10879" s="34" t="n">
        <f aca="false">SUMIFS('12.326ana'!$C:$C,'12.326ana'!$M:$M,redes!A10879)</f>
        <v>0</v>
      </c>
    </row>
    <row r="10880" customFormat="false" ht="14.4" hidden="true" customHeight="false" outlineLevel="0" collapsed="false">
      <c r="A10880" s="34" t="n">
        <v>8243232000182</v>
      </c>
      <c r="B10880" s="34" t="s">
        <v>21549</v>
      </c>
      <c r="C10880" s="34" t="s">
        <v>139</v>
      </c>
      <c r="E10880" s="30"/>
      <c r="F10880" s="34" t="n">
        <f aca="false">IFERROR(VLOOKUP($A10880,'319'!$B:$H,7,0),0)</f>
        <v>0</v>
      </c>
      <c r="G10880" s="34" t="n">
        <f aca="false">SUMIFS('12.326ana'!$C:$C,'12.326ana'!$M:$M,redes!A10880)</f>
        <v>0</v>
      </c>
    </row>
    <row r="10881" customFormat="false" ht="14.4" hidden="true" customHeight="false" outlineLevel="0" collapsed="false">
      <c r="A10881" s="34" t="n">
        <v>8246164000105</v>
      </c>
      <c r="B10881" s="34" t="s">
        <v>21550</v>
      </c>
      <c r="C10881" s="34" t="s">
        <v>604</v>
      </c>
      <c r="E10881" s="30" t="s">
        <v>5064</v>
      </c>
      <c r="F10881" s="34" t="n">
        <f aca="false">IFERROR(VLOOKUP($A10881,'319'!$B:$H,7,0),0)</f>
        <v>0</v>
      </c>
      <c r="G10881" s="34" t="n">
        <f aca="false">SUMIFS('12.326ana'!$C:$C,'12.326ana'!$M:$M,redes!A10881)</f>
        <v>0</v>
      </c>
    </row>
    <row r="10882" customFormat="false" ht="14.4" hidden="true" customHeight="false" outlineLevel="0" collapsed="false">
      <c r="A10882" s="34" t="n">
        <v>8250124000137</v>
      </c>
      <c r="B10882" s="34" t="s">
        <v>21551</v>
      </c>
      <c r="C10882" s="34" t="s">
        <v>77</v>
      </c>
      <c r="E10882" s="30" t="s">
        <v>21552</v>
      </c>
      <c r="F10882" s="34" t="n">
        <f aca="false">IFERROR(VLOOKUP($A10882,'319'!$B:$H,7,0),0)</f>
        <v>0</v>
      </c>
      <c r="G10882" s="34" t="n">
        <f aca="false">SUMIFS('12.326ana'!$C:$C,'12.326ana'!$M:$M,redes!A10882)</f>
        <v>0</v>
      </c>
    </row>
    <row r="10883" customFormat="false" ht="14.4" hidden="true" customHeight="false" outlineLevel="0" collapsed="false">
      <c r="A10883" s="34" t="n">
        <v>8257621000167</v>
      </c>
      <c r="B10883" s="34" t="s">
        <v>21553</v>
      </c>
      <c r="C10883" s="34" t="s">
        <v>139</v>
      </c>
      <c r="E10883" s="30" t="s">
        <v>21554</v>
      </c>
      <c r="F10883" s="34" t="n">
        <f aca="false">IFERROR(VLOOKUP($A10883,'319'!$B:$H,7,0),0)</f>
        <v>0</v>
      </c>
      <c r="G10883" s="34" t="n">
        <f aca="false">SUMIFS('12.326ana'!$C:$C,'12.326ana'!$M:$M,redes!A10883)</f>
        <v>0</v>
      </c>
    </row>
    <row r="10884" customFormat="false" ht="14.4" hidden="true" customHeight="false" outlineLevel="0" collapsed="false">
      <c r="A10884" s="34" t="n">
        <v>8261452000139</v>
      </c>
      <c r="B10884" s="34" t="s">
        <v>21555</v>
      </c>
      <c r="C10884" s="34" t="s">
        <v>77</v>
      </c>
      <c r="E10884" s="30" t="s">
        <v>15783</v>
      </c>
      <c r="F10884" s="34" t="n">
        <f aca="false">IFERROR(VLOOKUP($A10884,'319'!$B:$H,7,0),0)</f>
        <v>0</v>
      </c>
      <c r="G10884" s="34" t="n">
        <f aca="false">SUMIFS('12.326ana'!$C:$C,'12.326ana'!$M:$M,redes!A10884)</f>
        <v>0</v>
      </c>
    </row>
    <row r="10885" customFormat="false" ht="14.4" hidden="true" customHeight="false" outlineLevel="0" collapsed="false">
      <c r="A10885" s="34" t="n">
        <v>8262183000125</v>
      </c>
      <c r="B10885" s="34" t="s">
        <v>21556</v>
      </c>
      <c r="C10885" s="34" t="s">
        <v>309</v>
      </c>
      <c r="E10885" s="30" t="s">
        <v>21557</v>
      </c>
      <c r="F10885" s="34" t="n">
        <f aca="false">IFERROR(VLOOKUP($A10885,'319'!$B:$H,7,0),0)</f>
        <v>0</v>
      </c>
      <c r="G10885" s="34" t="n">
        <f aca="false">SUMIFS('12.326ana'!$C:$C,'12.326ana'!$M:$M,redes!A10885)</f>
        <v>0</v>
      </c>
    </row>
    <row r="10886" customFormat="false" ht="14.4" hidden="true" customHeight="false" outlineLevel="0" collapsed="false">
      <c r="A10886" s="34" t="n">
        <v>8263365000110</v>
      </c>
      <c r="B10886" s="34" t="s">
        <v>21558</v>
      </c>
      <c r="C10886" s="34" t="s">
        <v>107</v>
      </c>
      <c r="E10886" s="30" t="s">
        <v>4942</v>
      </c>
      <c r="F10886" s="34" t="n">
        <f aca="false">IFERROR(VLOOKUP($A10886,'319'!$B:$H,7,0),0)</f>
        <v>89.71</v>
      </c>
      <c r="G10886" s="34" t="n">
        <f aca="false">SUMIFS('12.326ana'!$C:$C,'12.326ana'!$M:$M,redes!A10886)</f>
        <v>0</v>
      </c>
    </row>
    <row r="10887" customFormat="false" ht="14.4" hidden="true" customHeight="false" outlineLevel="0" collapsed="false">
      <c r="A10887" s="34" t="n">
        <v>8263368000154</v>
      </c>
      <c r="B10887" s="34" t="s">
        <v>21559</v>
      </c>
      <c r="C10887" s="34" t="s">
        <v>631</v>
      </c>
      <c r="E10887" s="30" t="s">
        <v>21560</v>
      </c>
      <c r="F10887" s="34" t="n">
        <f aca="false">IFERROR(VLOOKUP($A10887,'319'!$B:$H,7,0),0)</f>
        <v>0</v>
      </c>
      <c r="G10887" s="34" t="n">
        <f aca="false">SUMIFS('12.326ana'!$C:$C,'12.326ana'!$M:$M,redes!A10887)</f>
        <v>0</v>
      </c>
    </row>
    <row r="10888" customFormat="false" ht="14.4" hidden="true" customHeight="false" outlineLevel="0" collapsed="false">
      <c r="A10888" s="34" t="n">
        <v>8265075000106</v>
      </c>
      <c r="B10888" s="34" t="s">
        <v>21561</v>
      </c>
      <c r="C10888" s="34" t="s">
        <v>77</v>
      </c>
      <c r="E10888" s="30" t="s">
        <v>21562</v>
      </c>
      <c r="F10888" s="34" t="n">
        <f aca="false">IFERROR(VLOOKUP($A10888,'319'!$B:$H,7,0),0)</f>
        <v>0</v>
      </c>
      <c r="G10888" s="34" t="n">
        <f aca="false">SUMIFS('12.326ana'!$C:$C,'12.326ana'!$M:$M,redes!A10888)</f>
        <v>0</v>
      </c>
    </row>
    <row r="10889" customFormat="false" ht="14.4" hidden="true" customHeight="false" outlineLevel="0" collapsed="false">
      <c r="A10889" s="34" t="n">
        <v>8265264000189</v>
      </c>
      <c r="B10889" s="34" t="s">
        <v>21563</v>
      </c>
      <c r="C10889" s="34" t="s">
        <v>77</v>
      </c>
      <c r="E10889" s="30" t="s">
        <v>21564</v>
      </c>
      <c r="F10889" s="34" t="n">
        <f aca="false">IFERROR(VLOOKUP($A10889,'319'!$B:$H,7,0),0)</f>
        <v>0</v>
      </c>
      <c r="G10889" s="34" t="n">
        <f aca="false">SUMIFS('12.326ana'!$C:$C,'12.326ana'!$M:$M,redes!A10889)</f>
        <v>0</v>
      </c>
    </row>
    <row r="10890" customFormat="false" ht="14.4" hidden="true" customHeight="false" outlineLevel="0" collapsed="false">
      <c r="A10890" s="34" t="n">
        <v>8266358000172</v>
      </c>
      <c r="B10890" s="34" t="s">
        <v>21565</v>
      </c>
      <c r="C10890" s="34" t="s">
        <v>342</v>
      </c>
      <c r="E10890" s="30" t="s">
        <v>21566</v>
      </c>
      <c r="F10890" s="34" t="n">
        <f aca="false">IFERROR(VLOOKUP($A10890,'319'!$B:$H,7,0),0)</f>
        <v>0</v>
      </c>
      <c r="G10890" s="34" t="n">
        <f aca="false">SUMIFS('12.326ana'!$C:$C,'12.326ana'!$M:$M,redes!A10890)</f>
        <v>0</v>
      </c>
    </row>
    <row r="10891" customFormat="false" ht="14.4" hidden="true" customHeight="false" outlineLevel="0" collapsed="false">
      <c r="A10891" s="34" t="n">
        <v>8271385000133</v>
      </c>
      <c r="B10891" s="34" t="s">
        <v>21567</v>
      </c>
      <c r="C10891" s="34" t="s">
        <v>77</v>
      </c>
      <c r="E10891" s="30" t="s">
        <v>4770</v>
      </c>
      <c r="F10891" s="34" t="n">
        <f aca="false">IFERROR(VLOOKUP($A10891,'319'!$B:$H,7,0),0)</f>
        <v>0</v>
      </c>
      <c r="G10891" s="34" t="n">
        <f aca="false">SUMIFS('12.326ana'!$C:$C,'12.326ana'!$M:$M,redes!A10891)</f>
        <v>0</v>
      </c>
    </row>
    <row r="10892" customFormat="false" ht="14.4" hidden="true" customHeight="false" outlineLevel="0" collapsed="false">
      <c r="A10892" s="34" t="n">
        <v>8271554000135</v>
      </c>
      <c r="B10892" s="34" t="s">
        <v>21568</v>
      </c>
      <c r="C10892" s="34" t="s">
        <v>129</v>
      </c>
      <c r="E10892" s="30" t="s">
        <v>21569</v>
      </c>
      <c r="F10892" s="34" t="n">
        <f aca="false">IFERROR(VLOOKUP($A10892,'319'!$B:$H,7,0),0)</f>
        <v>0</v>
      </c>
      <c r="G10892" s="34" t="n">
        <f aca="false">SUMIFS('12.326ana'!$C:$C,'12.326ana'!$M:$M,redes!A10892)</f>
        <v>0</v>
      </c>
    </row>
    <row r="10893" customFormat="false" ht="14.4" hidden="true" customHeight="false" outlineLevel="0" collapsed="false">
      <c r="A10893" s="34" t="n">
        <v>8274399000100</v>
      </c>
      <c r="B10893" s="34" t="s">
        <v>21570</v>
      </c>
      <c r="C10893" s="34" t="s">
        <v>139</v>
      </c>
      <c r="D10893" s="34" t="s">
        <v>21</v>
      </c>
      <c r="E10893" s="30" t="s">
        <v>21571</v>
      </c>
      <c r="F10893" s="34" t="n">
        <f aca="false">IFERROR(VLOOKUP($A10893,'319'!$B:$H,7,0),0)</f>
        <v>0</v>
      </c>
      <c r="G10893" s="34" t="n">
        <f aca="false">SUMIFS('12.326ana'!$C:$C,'12.326ana'!$M:$M,redes!A10893)</f>
        <v>0</v>
      </c>
    </row>
    <row r="10894" customFormat="false" ht="14.4" hidden="true" customHeight="false" outlineLevel="0" collapsed="false">
      <c r="A10894" s="34" t="n">
        <v>8274399000291</v>
      </c>
      <c r="B10894" s="34" t="s">
        <v>21572</v>
      </c>
      <c r="C10894" s="34" t="s">
        <v>139</v>
      </c>
      <c r="D10894" s="34" t="s">
        <v>21</v>
      </c>
      <c r="E10894" s="30" t="s">
        <v>21573</v>
      </c>
      <c r="F10894" s="34" t="n">
        <f aca="false">IFERROR(VLOOKUP($A10894,'319'!$B:$H,7,0),0)</f>
        <v>0</v>
      </c>
      <c r="G10894" s="34" t="n">
        <f aca="false">SUMIFS('12.326ana'!$C:$C,'12.326ana'!$M:$M,redes!A10894)</f>
        <v>0</v>
      </c>
    </row>
    <row r="10895" customFormat="false" ht="14.4" hidden="true" customHeight="false" outlineLevel="0" collapsed="false">
      <c r="A10895" s="34" t="n">
        <v>8274399000372</v>
      </c>
      <c r="B10895" s="34" t="s">
        <v>21570</v>
      </c>
      <c r="C10895" s="34" t="s">
        <v>139</v>
      </c>
      <c r="D10895" s="34" t="s">
        <v>21</v>
      </c>
      <c r="E10895" s="30" t="s">
        <v>21574</v>
      </c>
      <c r="F10895" s="34" t="n">
        <f aca="false">IFERROR(VLOOKUP($A10895,'319'!$B:$H,7,0),0)</f>
        <v>0</v>
      </c>
      <c r="G10895" s="34" t="n">
        <f aca="false">SUMIFS('12.326ana'!$C:$C,'12.326ana'!$M:$M,redes!A10895)</f>
        <v>0</v>
      </c>
    </row>
    <row r="10896" customFormat="false" ht="14.4" hidden="true" customHeight="false" outlineLevel="0" collapsed="false">
      <c r="A10896" s="34" t="n">
        <v>8274399000453</v>
      </c>
      <c r="B10896" s="34" t="s">
        <v>21572</v>
      </c>
      <c r="C10896" s="34" t="s">
        <v>139</v>
      </c>
      <c r="D10896" s="34" t="s">
        <v>21</v>
      </c>
      <c r="E10896" s="30" t="s">
        <v>21575</v>
      </c>
      <c r="F10896" s="34" t="n">
        <f aca="false">IFERROR(VLOOKUP($A10896,'319'!$B:$H,7,0),0)</f>
        <v>0</v>
      </c>
      <c r="G10896" s="34" t="n">
        <f aca="false">SUMIFS('12.326ana'!$C:$C,'12.326ana'!$M:$M,redes!A10896)</f>
        <v>0</v>
      </c>
    </row>
    <row r="10897" customFormat="false" ht="14.4" hidden="true" customHeight="false" outlineLevel="0" collapsed="false">
      <c r="A10897" s="34" t="n">
        <v>8279674000189</v>
      </c>
      <c r="B10897" s="34" t="s">
        <v>21576</v>
      </c>
      <c r="C10897" s="34" t="s">
        <v>77</v>
      </c>
      <c r="E10897" s="30" t="s">
        <v>21577</v>
      </c>
      <c r="F10897" s="34" t="n">
        <f aca="false">IFERROR(VLOOKUP($A10897,'319'!$B:$H,7,0),0)</f>
        <v>0</v>
      </c>
      <c r="G10897" s="34" t="n">
        <f aca="false">SUMIFS('12.326ana'!$C:$C,'12.326ana'!$M:$M,redes!A10897)</f>
        <v>0</v>
      </c>
    </row>
    <row r="10898" customFormat="false" ht="14.4" hidden="true" customHeight="false" outlineLevel="0" collapsed="false">
      <c r="A10898" s="34" t="n">
        <v>8281205000102</v>
      </c>
      <c r="B10898" s="34" t="s">
        <v>21578</v>
      </c>
      <c r="C10898" s="34" t="s">
        <v>107</v>
      </c>
      <c r="E10898" s="30" t="s">
        <v>21579</v>
      </c>
      <c r="F10898" s="34" t="n">
        <f aca="false">IFERROR(VLOOKUP($A10898,'319'!$B:$H,7,0),0)</f>
        <v>0</v>
      </c>
      <c r="G10898" s="34" t="n">
        <f aca="false">SUMIFS('12.326ana'!$C:$C,'12.326ana'!$M:$M,redes!A10898)</f>
        <v>0</v>
      </c>
    </row>
    <row r="10899" customFormat="false" ht="14.4" hidden="true" customHeight="false" outlineLevel="0" collapsed="false">
      <c r="A10899" s="34" t="n">
        <v>8281849000192</v>
      </c>
      <c r="B10899" s="34" t="s">
        <v>21580</v>
      </c>
      <c r="C10899" s="34" t="s">
        <v>77</v>
      </c>
      <c r="D10899" s="34" t="s">
        <v>17415</v>
      </c>
      <c r="E10899" s="30" t="s">
        <v>21581</v>
      </c>
      <c r="F10899" s="34" t="n">
        <f aca="false">IFERROR(VLOOKUP($A10899,'319'!$B:$H,7,0),0)</f>
        <v>0</v>
      </c>
      <c r="G10899" s="34" t="n">
        <f aca="false">SUMIFS('12.326ana'!$C:$C,'12.326ana'!$M:$M,redes!A10899)</f>
        <v>0</v>
      </c>
    </row>
    <row r="10900" customFormat="false" ht="14.4" hidden="true" customHeight="false" outlineLevel="0" collapsed="false">
      <c r="A10900" s="34" t="n">
        <v>8282184000131</v>
      </c>
      <c r="B10900" s="34" t="s">
        <v>21582</v>
      </c>
      <c r="C10900" s="34" t="s">
        <v>77</v>
      </c>
      <c r="E10900" s="30" t="s">
        <v>16981</v>
      </c>
      <c r="F10900" s="34" t="n">
        <f aca="false">IFERROR(VLOOKUP($A10900,'319'!$B:$H,7,0),0)</f>
        <v>0</v>
      </c>
      <c r="G10900" s="34" t="n">
        <f aca="false">SUMIFS('12.326ana'!$C:$C,'12.326ana'!$M:$M,redes!A10900)</f>
        <v>0</v>
      </c>
    </row>
    <row r="10901" customFormat="false" ht="14.4" hidden="true" customHeight="false" outlineLevel="0" collapsed="false">
      <c r="A10901" s="34" t="n">
        <v>8282472000196</v>
      </c>
      <c r="B10901" s="34" t="s">
        <v>21583</v>
      </c>
      <c r="C10901" s="34" t="s">
        <v>89</v>
      </c>
      <c r="E10901" s="30" t="s">
        <v>21584</v>
      </c>
      <c r="F10901" s="34" t="n">
        <f aca="false">IFERROR(VLOOKUP($A10901,'319'!$B:$H,7,0),0)</f>
        <v>0</v>
      </c>
      <c r="G10901" s="34" t="n">
        <f aca="false">SUMIFS('12.326ana'!$C:$C,'12.326ana'!$M:$M,redes!A10901)</f>
        <v>0</v>
      </c>
    </row>
    <row r="10902" customFormat="false" ht="14.4" hidden="true" customHeight="false" outlineLevel="0" collapsed="false">
      <c r="A10902" s="34" t="n">
        <v>8282472000277</v>
      </c>
      <c r="B10902" s="34" t="s">
        <v>21585</v>
      </c>
      <c r="C10902" s="34" t="s">
        <v>565</v>
      </c>
      <c r="E10902" s="30" t="s">
        <v>21586</v>
      </c>
      <c r="F10902" s="34" t="n">
        <f aca="false">IFERROR(VLOOKUP($A10902,'319'!$B:$H,7,0),0)</f>
        <v>0</v>
      </c>
      <c r="G10902" s="34" t="n">
        <f aca="false">SUMIFS('12.326ana'!$C:$C,'12.326ana'!$M:$M,redes!A10902)</f>
        <v>0</v>
      </c>
    </row>
    <row r="10903" customFormat="false" ht="14.4" hidden="true" customHeight="false" outlineLevel="0" collapsed="false">
      <c r="A10903" s="34" t="n">
        <v>8284590000133</v>
      </c>
      <c r="B10903" s="34" t="s">
        <v>21587</v>
      </c>
      <c r="C10903" s="34" t="s">
        <v>89</v>
      </c>
      <c r="E10903" s="30" t="s">
        <v>21588</v>
      </c>
      <c r="F10903" s="34" t="n">
        <f aca="false">IFERROR(VLOOKUP($A10903,'319'!$B:$H,7,0),0)</f>
        <v>0</v>
      </c>
      <c r="G10903" s="34" t="n">
        <f aca="false">SUMIFS('12.326ana'!$C:$C,'12.326ana'!$M:$M,redes!A10903)</f>
        <v>0</v>
      </c>
    </row>
    <row r="10904" customFormat="false" ht="14.4" hidden="true" customHeight="false" outlineLevel="0" collapsed="false">
      <c r="A10904" s="34" t="n">
        <v>8287650000171</v>
      </c>
      <c r="B10904" s="34" t="s">
        <v>21589</v>
      </c>
      <c r="C10904" s="34" t="s">
        <v>77</v>
      </c>
      <c r="E10904" s="30" t="s">
        <v>21590</v>
      </c>
      <c r="F10904" s="34" t="n">
        <f aca="false">IFERROR(VLOOKUP($A10904,'319'!$B:$H,7,0),0)</f>
        <v>0</v>
      </c>
      <c r="G10904" s="34" t="n">
        <f aca="false">SUMIFS('12.326ana'!$C:$C,'12.326ana'!$M:$M,redes!A10904)</f>
        <v>0</v>
      </c>
    </row>
    <row r="10905" customFormat="false" ht="14.4" hidden="true" customHeight="false" outlineLevel="0" collapsed="false">
      <c r="A10905" s="34" t="n">
        <v>8294089000158</v>
      </c>
      <c r="B10905" s="34" t="s">
        <v>21591</v>
      </c>
      <c r="C10905" s="34" t="s">
        <v>631</v>
      </c>
      <c r="E10905" s="30" t="s">
        <v>21592</v>
      </c>
      <c r="F10905" s="34" t="n">
        <f aca="false">IFERROR(VLOOKUP($A10905,'319'!$B:$H,7,0),0)</f>
        <v>0</v>
      </c>
      <c r="G10905" s="34" t="n">
        <f aca="false">SUMIFS('12.326ana'!$C:$C,'12.326ana'!$M:$M,redes!A10905)</f>
        <v>0</v>
      </c>
    </row>
    <row r="10906" customFormat="false" ht="14.4" hidden="true" customHeight="false" outlineLevel="0" collapsed="false">
      <c r="A10906" s="34" t="n">
        <v>8296046000101</v>
      </c>
      <c r="B10906" s="34" t="s">
        <v>21593</v>
      </c>
      <c r="C10906" s="34" t="s">
        <v>680</v>
      </c>
      <c r="E10906" s="30" t="s">
        <v>21594</v>
      </c>
      <c r="F10906" s="34" t="n">
        <f aca="false">IFERROR(VLOOKUP($A10906,'319'!$B:$H,7,0),0)</f>
        <v>0</v>
      </c>
      <c r="G10906" s="34" t="n">
        <f aca="false">SUMIFS('12.326ana'!$C:$C,'12.326ana'!$M:$M,redes!A10906)</f>
        <v>0</v>
      </c>
    </row>
    <row r="10907" customFormat="false" ht="14.4" hidden="true" customHeight="false" outlineLevel="0" collapsed="false">
      <c r="A10907" s="34" t="n">
        <v>8296875000194</v>
      </c>
      <c r="B10907" s="34" t="s">
        <v>21595</v>
      </c>
      <c r="C10907" s="34" t="s">
        <v>77</v>
      </c>
      <c r="E10907" s="30" t="s">
        <v>21596</v>
      </c>
      <c r="F10907" s="34" t="n">
        <f aca="false">IFERROR(VLOOKUP($A10907,'319'!$B:$H,7,0),0)</f>
        <v>0</v>
      </c>
      <c r="G10907" s="34" t="n">
        <f aca="false">SUMIFS('12.326ana'!$C:$C,'12.326ana'!$M:$M,redes!A10907)</f>
        <v>0</v>
      </c>
    </row>
    <row r="10908" customFormat="false" ht="14.4" hidden="true" customHeight="false" outlineLevel="0" collapsed="false">
      <c r="A10908" s="34" t="n">
        <v>8296935000179</v>
      </c>
      <c r="B10908" s="34" t="s">
        <v>21597</v>
      </c>
      <c r="C10908" s="34" t="s">
        <v>77</v>
      </c>
      <c r="E10908" s="30" t="s">
        <v>21598</v>
      </c>
      <c r="F10908" s="34" t="n">
        <f aca="false">IFERROR(VLOOKUP($A10908,'319'!$B:$H,7,0),0)</f>
        <v>0</v>
      </c>
      <c r="G10908" s="34" t="n">
        <f aca="false">SUMIFS('12.326ana'!$C:$C,'12.326ana'!$M:$M,redes!A10908)</f>
        <v>0</v>
      </c>
    </row>
    <row r="10909" customFormat="false" ht="14.4" hidden="true" customHeight="false" outlineLevel="0" collapsed="false">
      <c r="A10909" s="34" t="n">
        <v>8297870000186</v>
      </c>
      <c r="B10909" s="34" t="s">
        <v>21599</v>
      </c>
      <c r="C10909" s="34" t="s">
        <v>1591</v>
      </c>
      <c r="E10909" s="30" t="s">
        <v>21600</v>
      </c>
      <c r="F10909" s="34" t="n">
        <f aca="false">IFERROR(VLOOKUP($A10909,'319'!$B:$H,7,0),0)</f>
        <v>0</v>
      </c>
      <c r="G10909" s="34" t="n">
        <f aca="false">SUMIFS('12.326ana'!$C:$C,'12.326ana'!$M:$M,redes!A10909)</f>
        <v>0</v>
      </c>
    </row>
    <row r="10910" customFormat="false" ht="14.4" hidden="true" customHeight="false" outlineLevel="0" collapsed="false">
      <c r="A10910" s="34" t="n">
        <v>8298126000104</v>
      </c>
      <c r="B10910" s="34" t="s">
        <v>21601</v>
      </c>
      <c r="C10910" s="34" t="s">
        <v>139</v>
      </c>
      <c r="E10910" s="30" t="s">
        <v>21602</v>
      </c>
      <c r="F10910" s="34" t="n">
        <f aca="false">IFERROR(VLOOKUP($A10910,'319'!$B:$H,7,0),0)</f>
        <v>0</v>
      </c>
      <c r="G10910" s="34" t="n">
        <f aca="false">SUMIFS('12.326ana'!$C:$C,'12.326ana'!$M:$M,redes!A10910)</f>
        <v>0</v>
      </c>
    </row>
    <row r="10911" customFormat="false" ht="14.4" hidden="true" customHeight="false" outlineLevel="0" collapsed="false">
      <c r="A10911" s="34" t="n">
        <v>8298139000175</v>
      </c>
      <c r="B10911" s="34" t="s">
        <v>21603</v>
      </c>
      <c r="C10911" s="34" t="s">
        <v>139</v>
      </c>
      <c r="E10911" s="30" t="s">
        <v>21604</v>
      </c>
      <c r="F10911" s="34" t="n">
        <f aca="false">IFERROR(VLOOKUP($A10911,'319'!$B:$H,7,0),0)</f>
        <v>0</v>
      </c>
      <c r="G10911" s="34" t="n">
        <f aca="false">SUMIFS('12.326ana'!$C:$C,'12.326ana'!$M:$M,redes!A10911)</f>
        <v>0</v>
      </c>
    </row>
    <row r="10912" customFormat="false" ht="14.4" hidden="true" customHeight="false" outlineLevel="0" collapsed="false">
      <c r="A10912" s="34" t="n">
        <v>8298347000174</v>
      </c>
      <c r="B10912" s="34" t="s">
        <v>21605</v>
      </c>
      <c r="C10912" s="34" t="s">
        <v>77</v>
      </c>
      <c r="E10912" s="30" t="s">
        <v>21606</v>
      </c>
      <c r="F10912" s="34" t="n">
        <f aca="false">IFERROR(VLOOKUP($A10912,'319'!$B:$H,7,0),0)</f>
        <v>0</v>
      </c>
      <c r="G10912" s="34" t="n">
        <f aca="false">SUMIFS('12.326ana'!$C:$C,'12.326ana'!$M:$M,redes!A10912)</f>
        <v>0</v>
      </c>
    </row>
    <row r="10913" customFormat="false" ht="14.4" hidden="true" customHeight="false" outlineLevel="0" collapsed="false">
      <c r="A10913" s="34" t="n">
        <v>8301874000190</v>
      </c>
      <c r="B10913" s="34" t="s">
        <v>21607</v>
      </c>
      <c r="C10913" s="34" t="s">
        <v>77</v>
      </c>
      <c r="E10913" s="30" t="s">
        <v>21608</v>
      </c>
      <c r="F10913" s="34" t="n">
        <f aca="false">IFERROR(VLOOKUP($A10913,'319'!$B:$H,7,0),0)</f>
        <v>0</v>
      </c>
      <c r="G10913" s="34" t="n">
        <f aca="false">SUMIFS('12.326ana'!$C:$C,'12.326ana'!$M:$M,redes!A10913)</f>
        <v>0</v>
      </c>
    </row>
    <row r="10914" customFormat="false" ht="14.4" hidden="true" customHeight="false" outlineLevel="0" collapsed="false">
      <c r="A10914" s="34" t="n">
        <v>8303086000133</v>
      </c>
      <c r="B10914" s="34" t="s">
        <v>21609</v>
      </c>
      <c r="C10914" s="34" t="s">
        <v>77</v>
      </c>
      <c r="E10914" s="30" t="s">
        <v>12450</v>
      </c>
      <c r="F10914" s="34" t="n">
        <f aca="false">IFERROR(VLOOKUP($A10914,'319'!$B:$H,7,0),0)</f>
        <v>0</v>
      </c>
      <c r="G10914" s="34" t="n">
        <f aca="false">SUMIFS('12.326ana'!$C:$C,'12.326ana'!$M:$M,redes!A10914)</f>
        <v>0</v>
      </c>
    </row>
    <row r="10915" customFormat="false" ht="14.4" hidden="true" customHeight="false" outlineLevel="0" collapsed="false">
      <c r="A10915" s="34" t="n">
        <v>8311321000119</v>
      </c>
      <c r="B10915" s="34" t="s">
        <v>21610</v>
      </c>
      <c r="C10915" s="34" t="s">
        <v>77</v>
      </c>
      <c r="E10915" s="30" t="s">
        <v>5682</v>
      </c>
      <c r="F10915" s="34" t="n">
        <f aca="false">IFERROR(VLOOKUP($A10915,'319'!$B:$H,7,0),0)</f>
        <v>0</v>
      </c>
      <c r="G10915" s="34" t="n">
        <f aca="false">SUMIFS('12.326ana'!$C:$C,'12.326ana'!$M:$M,redes!A10915)</f>
        <v>0</v>
      </c>
    </row>
    <row r="10916" customFormat="false" ht="14.4" hidden="true" customHeight="false" outlineLevel="0" collapsed="false">
      <c r="A10916" s="34" t="n">
        <v>8318534000172</v>
      </c>
      <c r="B10916" s="34" t="s">
        <v>21611</v>
      </c>
      <c r="C10916" s="34" t="s">
        <v>77</v>
      </c>
      <c r="E10916" s="30" t="s">
        <v>21612</v>
      </c>
      <c r="F10916" s="34" t="n">
        <f aca="false">IFERROR(VLOOKUP($A10916,'319'!$B:$H,7,0),0)</f>
        <v>0</v>
      </c>
      <c r="G10916" s="34" t="n">
        <f aca="false">SUMIFS('12.326ana'!$C:$C,'12.326ana'!$M:$M,redes!A10916)</f>
        <v>0</v>
      </c>
    </row>
    <row r="10917" customFormat="false" ht="14.4" hidden="true" customHeight="false" outlineLevel="0" collapsed="false">
      <c r="A10917" s="34" t="n">
        <v>8322206000140</v>
      </c>
      <c r="B10917" s="34" t="s">
        <v>21613</v>
      </c>
      <c r="C10917" s="34" t="s">
        <v>77</v>
      </c>
      <c r="E10917" s="30" t="s">
        <v>21614</v>
      </c>
      <c r="F10917" s="34" t="n">
        <f aca="false">IFERROR(VLOOKUP($A10917,'319'!$B:$H,7,0),0)</f>
        <v>0</v>
      </c>
      <c r="G10917" s="34" t="n">
        <f aca="false">SUMIFS('12.326ana'!$C:$C,'12.326ana'!$M:$M,redes!A10917)</f>
        <v>0</v>
      </c>
    </row>
    <row r="10918" customFormat="false" ht="14.4" hidden="true" customHeight="false" outlineLevel="0" collapsed="false">
      <c r="A10918" s="34" t="n">
        <v>8325331000103</v>
      </c>
      <c r="B10918" s="34" t="s">
        <v>21615</v>
      </c>
      <c r="C10918" s="34" t="s">
        <v>77</v>
      </c>
      <c r="E10918" s="30" t="s">
        <v>7027</v>
      </c>
      <c r="F10918" s="34" t="n">
        <f aca="false">IFERROR(VLOOKUP($A10918,'319'!$B:$H,7,0),0)</f>
        <v>0</v>
      </c>
      <c r="G10918" s="34" t="n">
        <f aca="false">SUMIFS('12.326ana'!$C:$C,'12.326ana'!$M:$M,redes!A10918)</f>
        <v>0</v>
      </c>
    </row>
    <row r="10919" customFormat="false" ht="14.4" hidden="true" customHeight="false" outlineLevel="0" collapsed="false">
      <c r="A10919" s="34" t="n">
        <v>8329378000145</v>
      </c>
      <c r="B10919" s="34" t="s">
        <v>21616</v>
      </c>
      <c r="C10919" s="34" t="s">
        <v>107</v>
      </c>
      <c r="E10919" s="30" t="s">
        <v>21617</v>
      </c>
      <c r="F10919" s="34" t="n">
        <f aca="false">IFERROR(VLOOKUP($A10919,'319'!$B:$H,7,0),0)</f>
        <v>0</v>
      </c>
      <c r="G10919" s="34" t="n">
        <f aca="false">SUMIFS('12.326ana'!$C:$C,'12.326ana'!$M:$M,redes!A10919)</f>
        <v>0</v>
      </c>
    </row>
    <row r="10920" customFormat="false" ht="14.4" hidden="true" customHeight="false" outlineLevel="0" collapsed="false">
      <c r="A10920" s="34" t="n">
        <v>8329378000226</v>
      </c>
      <c r="B10920" s="34" t="s">
        <v>21616</v>
      </c>
      <c r="C10920" s="34" t="s">
        <v>107</v>
      </c>
      <c r="E10920" s="30" t="s">
        <v>21618</v>
      </c>
      <c r="F10920" s="34" t="n">
        <f aca="false">IFERROR(VLOOKUP($A10920,'319'!$B:$H,7,0),0)</f>
        <v>0</v>
      </c>
      <c r="G10920" s="34" t="n">
        <f aca="false">SUMIFS('12.326ana'!$C:$C,'12.326ana'!$M:$M,redes!A10920)</f>
        <v>0</v>
      </c>
    </row>
    <row r="10921" customFormat="false" ht="14.4" hidden="true" customHeight="false" outlineLevel="0" collapsed="false">
      <c r="A10921" s="34" t="n">
        <v>8335231000168</v>
      </c>
      <c r="B10921" s="34" t="s">
        <v>21619</v>
      </c>
      <c r="C10921" s="34" t="s">
        <v>139</v>
      </c>
      <c r="E10921" s="30" t="s">
        <v>21620</v>
      </c>
      <c r="F10921" s="34" t="n">
        <f aca="false">IFERROR(VLOOKUP($A10921,'319'!$B:$H,7,0),0)</f>
        <v>0</v>
      </c>
      <c r="G10921" s="34" t="n">
        <f aca="false">SUMIFS('12.326ana'!$C:$C,'12.326ana'!$M:$M,redes!A10921)</f>
        <v>0</v>
      </c>
    </row>
    <row r="10922" customFormat="false" ht="14.4" hidden="true" customHeight="false" outlineLevel="0" collapsed="false">
      <c r="A10922" s="34" t="n">
        <v>8335231000249</v>
      </c>
      <c r="B10922" s="34" t="s">
        <v>21619</v>
      </c>
      <c r="C10922" s="34" t="s">
        <v>139</v>
      </c>
      <c r="E10922" s="30" t="s">
        <v>21619</v>
      </c>
      <c r="F10922" s="34" t="n">
        <f aca="false">IFERROR(VLOOKUP($A10922,'319'!$B:$H,7,0),0)</f>
        <v>0</v>
      </c>
      <c r="G10922" s="34" t="n">
        <f aca="false">SUMIFS('12.326ana'!$C:$C,'12.326ana'!$M:$M,redes!A10922)</f>
        <v>0</v>
      </c>
    </row>
    <row r="10923" customFormat="false" ht="14.4" hidden="true" customHeight="false" outlineLevel="0" collapsed="false">
      <c r="A10923" s="34" t="n">
        <v>8337562000137</v>
      </c>
      <c r="B10923" s="34" t="s">
        <v>21621</v>
      </c>
      <c r="C10923" s="34" t="s">
        <v>77</v>
      </c>
      <c r="E10923" s="30" t="s">
        <v>21622</v>
      </c>
      <c r="F10923" s="34" t="n">
        <f aca="false">IFERROR(VLOOKUP($A10923,'319'!$B:$H,7,0),0)</f>
        <v>0</v>
      </c>
      <c r="G10923" s="34" t="n">
        <f aca="false">SUMIFS('12.326ana'!$C:$C,'12.326ana'!$M:$M,redes!A10923)</f>
        <v>0</v>
      </c>
    </row>
    <row r="10924" customFormat="false" ht="14.4" hidden="true" customHeight="false" outlineLevel="0" collapsed="false">
      <c r="A10924" s="34" t="n">
        <v>8342268000113</v>
      </c>
      <c r="B10924" s="34" t="s">
        <v>21623</v>
      </c>
      <c r="C10924" s="34" t="s">
        <v>342</v>
      </c>
      <c r="E10924" s="30" t="s">
        <v>3601</v>
      </c>
      <c r="F10924" s="34" t="n">
        <f aca="false">IFERROR(VLOOKUP($A10924,'319'!$B:$H,7,0),0)</f>
        <v>0</v>
      </c>
      <c r="G10924" s="34" t="n">
        <f aca="false">SUMIFS('12.326ana'!$C:$C,'12.326ana'!$M:$M,redes!A10924)</f>
        <v>0</v>
      </c>
    </row>
    <row r="10925" customFormat="false" ht="14.4" hidden="true" customHeight="false" outlineLevel="0" collapsed="false">
      <c r="A10925" s="34" t="n">
        <v>8342427000180</v>
      </c>
      <c r="B10925" s="34" t="s">
        <v>21624</v>
      </c>
      <c r="C10925" s="34" t="s">
        <v>103</v>
      </c>
      <c r="E10925" s="30" t="s">
        <v>11710</v>
      </c>
      <c r="F10925" s="34" t="n">
        <f aca="false">IFERROR(VLOOKUP($A10925,'319'!$B:$H,7,0),0)</f>
        <v>0</v>
      </c>
      <c r="G10925" s="34" t="n">
        <f aca="false">SUMIFS('12.326ana'!$C:$C,'12.326ana'!$M:$M,redes!A10925)</f>
        <v>0</v>
      </c>
    </row>
    <row r="10926" customFormat="false" ht="14.4" hidden="true" customHeight="false" outlineLevel="0" collapsed="false">
      <c r="A10926" s="34" t="n">
        <v>8345657000100</v>
      </c>
      <c r="B10926" s="34" t="s">
        <v>21625</v>
      </c>
      <c r="C10926" s="34" t="s">
        <v>77</v>
      </c>
      <c r="E10926" s="30" t="s">
        <v>21626</v>
      </c>
      <c r="F10926" s="34" t="n">
        <f aca="false">IFERROR(VLOOKUP($A10926,'319'!$B:$H,7,0),0)</f>
        <v>0</v>
      </c>
      <c r="G10926" s="34" t="n">
        <f aca="false">SUMIFS('12.326ana'!$C:$C,'12.326ana'!$M:$M,redes!A10926)</f>
        <v>0</v>
      </c>
    </row>
    <row r="10927" customFormat="false" ht="14.4" hidden="true" customHeight="false" outlineLevel="0" collapsed="false">
      <c r="A10927" s="34" t="n">
        <v>8346052000126</v>
      </c>
      <c r="B10927" s="34" t="s">
        <v>21627</v>
      </c>
      <c r="C10927" s="34" t="s">
        <v>77</v>
      </c>
      <c r="E10927" s="30" t="s">
        <v>21628</v>
      </c>
      <c r="F10927" s="34" t="n">
        <f aca="false">IFERROR(VLOOKUP($A10927,'319'!$B:$H,7,0),0)</f>
        <v>0</v>
      </c>
      <c r="G10927" s="34" t="n">
        <f aca="false">SUMIFS('12.326ana'!$C:$C,'12.326ana'!$M:$M,redes!A10927)</f>
        <v>0</v>
      </c>
    </row>
    <row r="10928" customFormat="false" ht="14.4" hidden="true" customHeight="false" outlineLevel="0" collapsed="false">
      <c r="A10928" s="34" t="n">
        <v>8355993000126</v>
      </c>
      <c r="B10928" s="34" t="s">
        <v>21629</v>
      </c>
      <c r="C10928" s="34" t="s">
        <v>77</v>
      </c>
      <c r="E10928" s="30" t="s">
        <v>17444</v>
      </c>
      <c r="F10928" s="34" t="n">
        <f aca="false">IFERROR(VLOOKUP($A10928,'319'!$B:$H,7,0),0)</f>
        <v>0</v>
      </c>
      <c r="G10928" s="34" t="n">
        <f aca="false">SUMIFS('12.326ana'!$C:$C,'12.326ana'!$M:$M,redes!A10928)</f>
        <v>0</v>
      </c>
    </row>
    <row r="10929" customFormat="false" ht="14.4" hidden="true" customHeight="false" outlineLevel="0" collapsed="false">
      <c r="A10929" s="34" t="n">
        <v>8356062000142</v>
      </c>
      <c r="B10929" s="34" t="s">
        <v>21630</v>
      </c>
      <c r="C10929" s="34" t="s">
        <v>631</v>
      </c>
      <c r="E10929" s="30" t="s">
        <v>21631</v>
      </c>
      <c r="F10929" s="34" t="n">
        <f aca="false">IFERROR(VLOOKUP($A10929,'319'!$B:$H,7,0),0)</f>
        <v>0</v>
      </c>
      <c r="G10929" s="34" t="n">
        <f aca="false">SUMIFS('12.326ana'!$C:$C,'12.326ana'!$M:$M,redes!A10929)</f>
        <v>0</v>
      </c>
    </row>
    <row r="10930" customFormat="false" ht="14.4" hidden="true" customHeight="false" outlineLevel="0" collapsed="false">
      <c r="A10930" s="34" t="n">
        <v>8366044000141</v>
      </c>
      <c r="B10930" s="34" t="s">
        <v>21632</v>
      </c>
      <c r="C10930" s="34" t="s">
        <v>77</v>
      </c>
      <c r="E10930" s="30" t="s">
        <v>20032</v>
      </c>
      <c r="F10930" s="34" t="n">
        <f aca="false">IFERROR(VLOOKUP($A10930,'319'!$B:$H,7,0),0)</f>
        <v>0</v>
      </c>
      <c r="G10930" s="34" t="n">
        <f aca="false">SUMIFS('12.326ana'!$C:$C,'12.326ana'!$M:$M,redes!A10930)</f>
        <v>0</v>
      </c>
    </row>
    <row r="10931" customFormat="false" ht="14.4" hidden="true" customHeight="false" outlineLevel="0" collapsed="false">
      <c r="A10931" s="34" t="n">
        <v>8369045000140</v>
      </c>
      <c r="B10931" s="34" t="s">
        <v>21633</v>
      </c>
      <c r="C10931" s="34" t="s">
        <v>77</v>
      </c>
      <c r="E10931" s="30" t="s">
        <v>21634</v>
      </c>
      <c r="F10931" s="34" t="n">
        <f aca="false">IFERROR(VLOOKUP($A10931,'319'!$B:$H,7,0),0)</f>
        <v>0</v>
      </c>
      <c r="G10931" s="34" t="n">
        <f aca="false">SUMIFS('12.326ana'!$C:$C,'12.326ana'!$M:$M,redes!A10931)</f>
        <v>0</v>
      </c>
    </row>
    <row r="10932" customFormat="false" ht="14.4" hidden="true" customHeight="false" outlineLevel="0" collapsed="false">
      <c r="A10932" s="34" t="n">
        <v>8370513000104</v>
      </c>
      <c r="B10932" s="34" t="s">
        <v>21635</v>
      </c>
      <c r="C10932" s="34" t="s">
        <v>1680</v>
      </c>
      <c r="E10932" s="30" t="s">
        <v>10454</v>
      </c>
      <c r="F10932" s="34" t="n">
        <f aca="false">IFERROR(VLOOKUP($A10932,'319'!$B:$H,7,0),0)</f>
        <v>0</v>
      </c>
      <c r="G10932" s="34" t="n">
        <f aca="false">SUMIFS('12.326ana'!$C:$C,'12.326ana'!$M:$M,redes!A10932)</f>
        <v>0</v>
      </c>
    </row>
    <row r="10933" customFormat="false" ht="14.4" hidden="true" customHeight="false" outlineLevel="0" collapsed="false">
      <c r="A10933" s="34" t="n">
        <v>8370598000112</v>
      </c>
      <c r="B10933" s="34" t="s">
        <v>21636</v>
      </c>
      <c r="C10933" s="34" t="s">
        <v>77</v>
      </c>
      <c r="D10933" s="34" t="s">
        <v>20956</v>
      </c>
      <c r="E10933" s="30" t="s">
        <v>21637</v>
      </c>
      <c r="F10933" s="34" t="n">
        <f aca="false">IFERROR(VLOOKUP($A10933,'319'!$B:$H,7,0),0)</f>
        <v>0</v>
      </c>
      <c r="G10933" s="34" t="n">
        <f aca="false">SUMIFS('12.326ana'!$C:$C,'12.326ana'!$M:$M,redes!A10933)</f>
        <v>0</v>
      </c>
    </row>
    <row r="10934" customFormat="false" ht="14.4" hidden="true" customHeight="false" outlineLevel="0" collapsed="false">
      <c r="A10934" s="34" t="n">
        <v>8370598000201</v>
      </c>
      <c r="B10934" s="34" t="s">
        <v>21638</v>
      </c>
      <c r="C10934" s="34" t="s">
        <v>77</v>
      </c>
      <c r="D10934" s="34" t="s">
        <v>20956</v>
      </c>
      <c r="E10934" s="30" t="s">
        <v>21639</v>
      </c>
      <c r="F10934" s="34" t="n">
        <f aca="false">IFERROR(VLOOKUP($A10934,'319'!$B:$H,7,0),0)</f>
        <v>-1235.94</v>
      </c>
      <c r="G10934" s="34" t="n">
        <f aca="false">SUMIFS('12.326ana'!$C:$C,'12.326ana'!$M:$M,redes!A10934)</f>
        <v>0</v>
      </c>
    </row>
    <row r="10935" customFormat="false" ht="14.4" hidden="true" customHeight="false" outlineLevel="0" collapsed="false">
      <c r="A10935" s="34" t="n">
        <v>8370606000120</v>
      </c>
      <c r="B10935" s="34" t="s">
        <v>21640</v>
      </c>
      <c r="C10935" s="34" t="s">
        <v>77</v>
      </c>
      <c r="D10935" s="34" t="s">
        <v>20956</v>
      </c>
      <c r="E10935" s="30" t="s">
        <v>21641</v>
      </c>
      <c r="F10935" s="34" t="n">
        <f aca="false">IFERROR(VLOOKUP($A10935,'319'!$B:$H,7,0),0)</f>
        <v>0</v>
      </c>
      <c r="G10935" s="34" t="n">
        <f aca="false">SUMIFS('12.326ana'!$C:$C,'12.326ana'!$M:$M,redes!A10935)</f>
        <v>0</v>
      </c>
    </row>
    <row r="10936" customFormat="false" ht="14.4" hidden="true" customHeight="false" outlineLevel="0" collapsed="false">
      <c r="A10936" s="34" t="n">
        <v>8374349000103</v>
      </c>
      <c r="B10936" s="34" t="s">
        <v>1540</v>
      </c>
      <c r="C10936" s="34" t="s">
        <v>89</v>
      </c>
      <c r="E10936" s="30" t="s">
        <v>17111</v>
      </c>
      <c r="F10936" s="34" t="n">
        <f aca="false">IFERROR(VLOOKUP($A10936,'319'!$B:$H,7,0),0)</f>
        <v>112.6</v>
      </c>
      <c r="G10936" s="34" t="n">
        <f aca="false">SUMIFS('12.326ana'!$C:$C,'12.326ana'!$M:$M,redes!A10936)</f>
        <v>0</v>
      </c>
    </row>
    <row r="10937" customFormat="false" ht="14.4" hidden="true" customHeight="false" outlineLevel="0" collapsed="false">
      <c r="A10937" s="34" t="n">
        <v>8374428000106</v>
      </c>
      <c r="B10937" s="34" t="s">
        <v>21642</v>
      </c>
      <c r="C10937" s="34" t="s">
        <v>77</v>
      </c>
      <c r="E10937" s="30" t="s">
        <v>21643</v>
      </c>
      <c r="F10937" s="34" t="n">
        <f aca="false">IFERROR(VLOOKUP($A10937,'319'!$B:$H,7,0),0)</f>
        <v>0</v>
      </c>
      <c r="G10937" s="34" t="n">
        <f aca="false">SUMIFS('12.326ana'!$C:$C,'12.326ana'!$M:$M,redes!A10937)</f>
        <v>0</v>
      </c>
    </row>
    <row r="10938" customFormat="false" ht="14.4" hidden="true" customHeight="false" outlineLevel="0" collapsed="false">
      <c r="A10938" s="34" t="n">
        <v>8374594000102</v>
      </c>
      <c r="B10938" s="34" t="s">
        <v>21644</v>
      </c>
      <c r="C10938" s="34" t="s">
        <v>4139</v>
      </c>
      <c r="E10938" s="30" t="s">
        <v>21645</v>
      </c>
      <c r="F10938" s="34" t="n">
        <f aca="false">IFERROR(VLOOKUP($A10938,'319'!$B:$H,7,0),0)</f>
        <v>0</v>
      </c>
      <c r="G10938" s="34" t="n">
        <f aca="false">SUMIFS('12.326ana'!$C:$C,'12.326ana'!$M:$M,redes!A10938)</f>
        <v>0</v>
      </c>
    </row>
    <row r="10939" customFormat="false" ht="14.4" hidden="true" customHeight="false" outlineLevel="0" collapsed="false">
      <c r="A10939" s="34" t="n">
        <v>8385953000127</v>
      </c>
      <c r="B10939" s="34" t="s">
        <v>21646</v>
      </c>
      <c r="C10939" s="34" t="s">
        <v>473</v>
      </c>
      <c r="E10939" s="30" t="s">
        <v>21647</v>
      </c>
      <c r="F10939" s="34" t="n">
        <f aca="false">IFERROR(VLOOKUP($A10939,'319'!$B:$H,7,0),0)</f>
        <v>0</v>
      </c>
      <c r="G10939" s="34" t="n">
        <f aca="false">SUMIFS('12.326ana'!$C:$C,'12.326ana'!$M:$M,redes!A10939)</f>
        <v>0</v>
      </c>
    </row>
    <row r="10940" customFormat="false" ht="14.4" hidden="true" customHeight="false" outlineLevel="0" collapsed="false">
      <c r="A10940" s="34" t="n">
        <v>8401840000178</v>
      </c>
      <c r="B10940" s="34" t="s">
        <v>21648</v>
      </c>
      <c r="C10940" s="34" t="s">
        <v>77</v>
      </c>
      <c r="E10940" s="30" t="s">
        <v>21649</v>
      </c>
      <c r="F10940" s="34" t="n">
        <f aca="false">IFERROR(VLOOKUP($A10940,'319'!$B:$H,7,0),0)</f>
        <v>0</v>
      </c>
      <c r="G10940" s="34" t="n">
        <f aca="false">SUMIFS('12.326ana'!$C:$C,'12.326ana'!$M:$M,redes!A10940)</f>
        <v>0</v>
      </c>
    </row>
    <row r="10941" customFormat="false" ht="14.4" hidden="true" customHeight="false" outlineLevel="0" collapsed="false">
      <c r="A10941" s="34" t="n">
        <v>8402542000100</v>
      </c>
      <c r="B10941" s="34" t="s">
        <v>21650</v>
      </c>
      <c r="C10941" s="34" t="s">
        <v>192</v>
      </c>
      <c r="E10941" s="30" t="s">
        <v>21651</v>
      </c>
      <c r="F10941" s="34" t="n">
        <f aca="false">IFERROR(VLOOKUP($A10941,'319'!$B:$H,7,0),0)</f>
        <v>0</v>
      </c>
      <c r="G10941" s="34" t="n">
        <f aca="false">SUMIFS('12.326ana'!$C:$C,'12.326ana'!$M:$M,redes!A10941)</f>
        <v>0</v>
      </c>
    </row>
    <row r="10942" customFormat="false" ht="14.4" hidden="true" customHeight="false" outlineLevel="0" collapsed="false">
      <c r="A10942" s="34" t="n">
        <v>8407626000129</v>
      </c>
      <c r="B10942" s="34" t="s">
        <v>21652</v>
      </c>
      <c r="C10942" s="34" t="s">
        <v>192</v>
      </c>
      <c r="E10942" s="30" t="s">
        <v>21653</v>
      </c>
      <c r="F10942" s="34" t="n">
        <f aca="false">IFERROR(VLOOKUP($A10942,'319'!$B:$H,7,0),0)</f>
        <v>0</v>
      </c>
      <c r="G10942" s="34" t="n">
        <f aca="false">SUMIFS('12.326ana'!$C:$C,'12.326ana'!$M:$M,redes!A10942)</f>
        <v>0</v>
      </c>
    </row>
    <row r="10943" customFormat="false" ht="14.4" hidden="true" customHeight="false" outlineLevel="0" collapsed="false">
      <c r="A10943" s="34" t="n">
        <v>8407992000188</v>
      </c>
      <c r="B10943" s="34" t="s">
        <v>21654</v>
      </c>
      <c r="C10943" s="34" t="s">
        <v>77</v>
      </c>
      <c r="E10943" s="30" t="s">
        <v>21655</v>
      </c>
      <c r="F10943" s="34" t="n">
        <f aca="false">IFERROR(VLOOKUP($A10943,'319'!$B:$H,7,0),0)</f>
        <v>0</v>
      </c>
      <c r="G10943" s="34" t="n">
        <f aca="false">SUMIFS('12.326ana'!$C:$C,'12.326ana'!$M:$M,redes!A10943)</f>
        <v>0</v>
      </c>
    </row>
    <row r="10944" customFormat="false" ht="14.4" hidden="true" customHeight="false" outlineLevel="0" collapsed="false">
      <c r="A10944" s="34" t="n">
        <v>8412240000105</v>
      </c>
      <c r="B10944" s="34" t="s">
        <v>21656</v>
      </c>
      <c r="C10944" s="34" t="s">
        <v>631</v>
      </c>
      <c r="E10944" s="30" t="s">
        <v>21657</v>
      </c>
      <c r="F10944" s="34" t="n">
        <f aca="false">IFERROR(VLOOKUP($A10944,'319'!$B:$H,7,0),0)</f>
        <v>0</v>
      </c>
      <c r="G10944" s="34" t="n">
        <f aca="false">SUMIFS('12.326ana'!$C:$C,'12.326ana'!$M:$M,redes!A10944)</f>
        <v>0</v>
      </c>
    </row>
    <row r="10945" customFormat="false" ht="14.4" hidden="true" customHeight="false" outlineLevel="0" collapsed="false">
      <c r="A10945" s="34" t="n">
        <v>8421882000170</v>
      </c>
      <c r="B10945" s="34" t="s">
        <v>21658</v>
      </c>
      <c r="C10945" s="34" t="s">
        <v>77</v>
      </c>
      <c r="E10945" s="30" t="s">
        <v>21659</v>
      </c>
      <c r="F10945" s="34" t="n">
        <f aca="false">IFERROR(VLOOKUP($A10945,'319'!$B:$H,7,0),0)</f>
        <v>0</v>
      </c>
      <c r="G10945" s="34" t="n">
        <f aca="false">SUMIFS('12.326ana'!$C:$C,'12.326ana'!$M:$M,redes!A10945)</f>
        <v>0</v>
      </c>
    </row>
    <row r="10946" customFormat="false" ht="14.4" hidden="true" customHeight="false" outlineLevel="0" collapsed="false">
      <c r="A10946" s="34" t="n">
        <v>8422138000190</v>
      </c>
      <c r="B10946" s="34" t="s">
        <v>21660</v>
      </c>
      <c r="C10946" s="34" t="s">
        <v>473</v>
      </c>
      <c r="E10946" s="30" t="s">
        <v>3297</v>
      </c>
      <c r="F10946" s="34" t="n">
        <f aca="false">IFERROR(VLOOKUP($A10946,'319'!$B:$H,7,0),0)</f>
        <v>0</v>
      </c>
      <c r="G10946" s="34" t="n">
        <f aca="false">SUMIFS('12.326ana'!$C:$C,'12.326ana'!$M:$M,redes!A10946)</f>
        <v>0</v>
      </c>
    </row>
    <row r="10947" customFormat="false" ht="14.4" hidden="true" customHeight="false" outlineLevel="0" collapsed="false">
      <c r="A10947" s="34" t="n">
        <v>8431155000194</v>
      </c>
      <c r="B10947" s="34" t="s">
        <v>14632</v>
      </c>
      <c r="C10947" s="34" t="s">
        <v>77</v>
      </c>
      <c r="E10947" s="30" t="s">
        <v>20206</v>
      </c>
      <c r="F10947" s="34" t="n">
        <f aca="false">IFERROR(VLOOKUP($A10947,'319'!$B:$H,7,0),0)</f>
        <v>0</v>
      </c>
      <c r="G10947" s="34" t="n">
        <f aca="false">SUMIFS('12.326ana'!$C:$C,'12.326ana'!$M:$M,redes!A10947)</f>
        <v>0</v>
      </c>
    </row>
    <row r="10948" customFormat="false" ht="14.4" hidden="true" customHeight="false" outlineLevel="0" collapsed="false">
      <c r="A10948" s="34" t="n">
        <v>8433098000182</v>
      </c>
      <c r="B10948" s="34" t="s">
        <v>21661</v>
      </c>
      <c r="C10948" s="34" t="s">
        <v>89</v>
      </c>
      <c r="E10948" s="30" t="s">
        <v>21662</v>
      </c>
      <c r="F10948" s="34" t="n">
        <f aca="false">IFERROR(VLOOKUP($A10948,'319'!$B:$H,7,0),0)</f>
        <v>0</v>
      </c>
      <c r="G10948" s="34" t="n">
        <f aca="false">SUMIFS('12.326ana'!$C:$C,'12.326ana'!$M:$M,redes!A10948)</f>
        <v>0</v>
      </c>
    </row>
    <row r="10949" customFormat="false" ht="14.4" hidden="true" customHeight="false" outlineLevel="0" collapsed="false">
      <c r="A10949" s="34" t="n">
        <v>8433158000167</v>
      </c>
      <c r="B10949" s="34" t="s">
        <v>21663</v>
      </c>
      <c r="C10949" s="34" t="s">
        <v>77</v>
      </c>
      <c r="E10949" s="30" t="s">
        <v>21664</v>
      </c>
      <c r="F10949" s="34" t="n">
        <f aca="false">IFERROR(VLOOKUP($A10949,'319'!$B:$H,7,0),0)</f>
        <v>24.53</v>
      </c>
      <c r="G10949" s="34" t="n">
        <f aca="false">SUMIFS('12.326ana'!$C:$C,'12.326ana'!$M:$M,redes!A10949)</f>
        <v>0</v>
      </c>
    </row>
    <row r="10950" customFormat="false" ht="14.4" hidden="true" customHeight="false" outlineLevel="0" collapsed="false">
      <c r="A10950" s="34" t="n">
        <v>8435187000168</v>
      </c>
      <c r="B10950" s="34" t="s">
        <v>21665</v>
      </c>
      <c r="C10950" s="34" t="s">
        <v>546</v>
      </c>
      <c r="E10950" s="30" t="s">
        <v>21666</v>
      </c>
      <c r="F10950" s="34" t="n">
        <f aca="false">IFERROR(VLOOKUP($A10950,'319'!$B:$H,7,0),0)</f>
        <v>0</v>
      </c>
      <c r="G10950" s="34" t="n">
        <f aca="false">SUMIFS('12.326ana'!$C:$C,'12.326ana'!$M:$M,redes!A10950)</f>
        <v>0</v>
      </c>
    </row>
    <row r="10951" customFormat="false" ht="14.4" hidden="true" customHeight="false" outlineLevel="0" collapsed="false">
      <c r="A10951" s="34" t="n">
        <v>8435806000114</v>
      </c>
      <c r="B10951" s="34" t="s">
        <v>21667</v>
      </c>
      <c r="C10951" s="34" t="s">
        <v>89</v>
      </c>
      <c r="E10951" s="30" t="s">
        <v>21668</v>
      </c>
      <c r="F10951" s="34" t="n">
        <f aca="false">IFERROR(VLOOKUP($A10951,'319'!$B:$H,7,0),0)</f>
        <v>0</v>
      </c>
      <c r="G10951" s="34" t="n">
        <f aca="false">SUMIFS('12.326ana'!$C:$C,'12.326ana'!$M:$M,redes!A10951)</f>
        <v>0</v>
      </c>
    </row>
    <row r="10952" customFormat="false" ht="14.4" hidden="true" customHeight="false" outlineLevel="0" collapsed="false">
      <c r="A10952" s="34" t="n">
        <v>8438341000155</v>
      </c>
      <c r="B10952" s="34" t="s">
        <v>21669</v>
      </c>
      <c r="C10952" s="34" t="s">
        <v>328</v>
      </c>
      <c r="E10952" s="30" t="s">
        <v>21670</v>
      </c>
      <c r="F10952" s="34" t="n">
        <f aca="false">IFERROR(VLOOKUP($A10952,'319'!$B:$H,7,0),0)</f>
        <v>0</v>
      </c>
      <c r="G10952" s="34" t="n">
        <f aca="false">SUMIFS('12.326ana'!$C:$C,'12.326ana'!$M:$M,redes!A10952)</f>
        <v>0</v>
      </c>
    </row>
    <row r="10953" customFormat="false" ht="14.4" hidden="true" customHeight="false" outlineLevel="0" collapsed="false">
      <c r="A10953" s="34" t="n">
        <v>8438396000165</v>
      </c>
      <c r="B10953" s="34" t="s">
        <v>21671</v>
      </c>
      <c r="C10953" s="34" t="s">
        <v>7250</v>
      </c>
      <c r="E10953" s="30" t="s">
        <v>21672</v>
      </c>
      <c r="F10953" s="34" t="n">
        <f aca="false">IFERROR(VLOOKUP($A10953,'319'!$B:$H,7,0),0)</f>
        <v>0</v>
      </c>
      <c r="G10953" s="34" t="n">
        <f aca="false">SUMIFS('12.326ana'!$C:$C,'12.326ana'!$M:$M,redes!A10953)</f>
        <v>0</v>
      </c>
    </row>
    <row r="10954" customFormat="false" ht="14.4" hidden="true" customHeight="false" outlineLevel="0" collapsed="false">
      <c r="A10954" s="34" t="n">
        <v>8439086000165</v>
      </c>
      <c r="B10954" s="34" t="s">
        <v>21673</v>
      </c>
      <c r="C10954" s="34" t="s">
        <v>139</v>
      </c>
      <c r="E10954" s="30" t="s">
        <v>21674</v>
      </c>
      <c r="F10954" s="34" t="n">
        <f aca="false">IFERROR(VLOOKUP($A10954,'319'!$B:$H,7,0),0)</f>
        <v>0</v>
      </c>
      <c r="G10954" s="34" t="n">
        <f aca="false">SUMIFS('12.326ana'!$C:$C,'12.326ana'!$M:$M,redes!A10954)</f>
        <v>0</v>
      </c>
    </row>
    <row r="10955" customFormat="false" ht="14.4" hidden="true" customHeight="false" outlineLevel="0" collapsed="false">
      <c r="A10955" s="34" t="n">
        <v>8442201000150</v>
      </c>
      <c r="B10955" s="34" t="s">
        <v>21675</v>
      </c>
      <c r="C10955" s="34" t="s">
        <v>77</v>
      </c>
      <c r="E10955" s="30" t="s">
        <v>21676</v>
      </c>
      <c r="F10955" s="34" t="n">
        <f aca="false">IFERROR(VLOOKUP($A10955,'319'!$B:$H,7,0),0)</f>
        <v>0</v>
      </c>
      <c r="G10955" s="34" t="n">
        <f aca="false">SUMIFS('12.326ana'!$C:$C,'12.326ana'!$M:$M,redes!A10955)</f>
        <v>0</v>
      </c>
    </row>
    <row r="10956" customFormat="false" ht="14.4" hidden="true" customHeight="false" outlineLevel="0" collapsed="false">
      <c r="A10956" s="34" t="n">
        <v>8442959000199</v>
      </c>
      <c r="B10956" s="34" t="s">
        <v>21677</v>
      </c>
      <c r="C10956" s="34" t="s">
        <v>107</v>
      </c>
      <c r="E10956" s="30" t="s">
        <v>5558</v>
      </c>
      <c r="F10956" s="34" t="n">
        <f aca="false">IFERROR(VLOOKUP($A10956,'319'!$B:$H,7,0),0)</f>
        <v>0</v>
      </c>
      <c r="G10956" s="34" t="n">
        <f aca="false">SUMIFS('12.326ana'!$C:$C,'12.326ana'!$M:$M,redes!A10956)</f>
        <v>0</v>
      </c>
    </row>
    <row r="10957" customFormat="false" ht="14.4" hidden="true" customHeight="false" outlineLevel="0" collapsed="false">
      <c r="A10957" s="34" t="n">
        <v>8448379000109</v>
      </c>
      <c r="B10957" s="34" t="s">
        <v>21678</v>
      </c>
      <c r="C10957" s="34" t="s">
        <v>1341</v>
      </c>
      <c r="E10957" s="30" t="s">
        <v>21679</v>
      </c>
      <c r="F10957" s="34" t="n">
        <f aca="false">IFERROR(VLOOKUP($A10957,'319'!$B:$H,7,0),0)</f>
        <v>0</v>
      </c>
      <c r="G10957" s="34" t="n">
        <f aca="false">SUMIFS('12.326ana'!$C:$C,'12.326ana'!$M:$M,redes!A10957)</f>
        <v>0</v>
      </c>
    </row>
    <row r="10958" customFormat="false" ht="14.4" hidden="true" customHeight="false" outlineLevel="0" collapsed="false">
      <c r="A10958" s="34" t="n">
        <v>8448389000144</v>
      </c>
      <c r="B10958" s="34" t="s">
        <v>21680</v>
      </c>
      <c r="C10958" s="34" t="s">
        <v>107</v>
      </c>
      <c r="E10958" s="30" t="s">
        <v>21681</v>
      </c>
      <c r="F10958" s="34" t="n">
        <f aca="false">IFERROR(VLOOKUP($A10958,'319'!$B:$H,7,0),0)</f>
        <v>0</v>
      </c>
      <c r="G10958" s="34" t="n">
        <f aca="false">SUMIFS('12.326ana'!$C:$C,'12.326ana'!$M:$M,redes!A10958)</f>
        <v>0</v>
      </c>
    </row>
    <row r="10959" customFormat="false" ht="14.4" hidden="true" customHeight="false" outlineLevel="0" collapsed="false">
      <c r="A10959" s="34" t="n">
        <v>8448634000113</v>
      </c>
      <c r="B10959" s="34" t="s">
        <v>21682</v>
      </c>
      <c r="C10959" s="34" t="s">
        <v>77</v>
      </c>
      <c r="E10959" s="30" t="s">
        <v>21682</v>
      </c>
      <c r="F10959" s="34" t="n">
        <f aca="false">IFERROR(VLOOKUP($A10959,'319'!$B:$H,7,0),0)</f>
        <v>0</v>
      </c>
      <c r="G10959" s="34" t="n">
        <f aca="false">SUMIFS('12.326ana'!$C:$C,'12.326ana'!$M:$M,redes!A10959)</f>
        <v>0</v>
      </c>
    </row>
    <row r="10960" customFormat="false" ht="14.4" hidden="true" customHeight="false" outlineLevel="0" collapsed="false">
      <c r="A10960" s="34" t="n">
        <v>8449664000144</v>
      </c>
      <c r="B10960" s="34" t="s">
        <v>21683</v>
      </c>
      <c r="C10960" s="34" t="s">
        <v>77</v>
      </c>
      <c r="E10960" s="30" t="s">
        <v>21684</v>
      </c>
      <c r="F10960" s="34" t="n">
        <f aca="false">IFERROR(VLOOKUP($A10960,'319'!$B:$H,7,0),0)</f>
        <v>0</v>
      </c>
      <c r="G10960" s="34" t="n">
        <f aca="false">SUMIFS('12.326ana'!$C:$C,'12.326ana'!$M:$M,redes!A10960)</f>
        <v>0</v>
      </c>
    </row>
    <row r="10961" customFormat="false" ht="14.4" hidden="true" customHeight="false" outlineLevel="0" collapsed="false">
      <c r="A10961" s="34" t="n">
        <v>8457877000118</v>
      </c>
      <c r="B10961" s="34" t="s">
        <v>21685</v>
      </c>
      <c r="C10961" s="34" t="s">
        <v>197</v>
      </c>
      <c r="E10961" s="30" t="s">
        <v>21686</v>
      </c>
      <c r="F10961" s="34" t="n">
        <f aca="false">IFERROR(VLOOKUP($A10961,'319'!$B:$H,7,0),0)</f>
        <v>0</v>
      </c>
      <c r="G10961" s="34" t="n">
        <f aca="false">SUMIFS('12.326ana'!$C:$C,'12.326ana'!$M:$M,redes!A10961)</f>
        <v>0</v>
      </c>
    </row>
    <row r="10962" customFormat="false" ht="14.4" hidden="true" customHeight="false" outlineLevel="0" collapsed="false">
      <c r="A10962" s="34" t="n">
        <v>8459982000196</v>
      </c>
      <c r="B10962" s="34" t="s">
        <v>21687</v>
      </c>
      <c r="C10962" s="34" t="s">
        <v>475</v>
      </c>
      <c r="E10962" s="30" t="s">
        <v>21688</v>
      </c>
      <c r="F10962" s="34" t="n">
        <f aca="false">IFERROR(VLOOKUP($A10962,'319'!$B:$H,7,0),0)</f>
        <v>0</v>
      </c>
      <c r="G10962" s="34" t="n">
        <f aca="false">SUMIFS('12.326ana'!$C:$C,'12.326ana'!$M:$M,redes!A10962)</f>
        <v>0</v>
      </c>
    </row>
    <row r="10963" customFormat="false" ht="14.4" hidden="true" customHeight="false" outlineLevel="0" collapsed="false">
      <c r="A10963" s="34" t="n">
        <v>8466445000173</v>
      </c>
      <c r="B10963" s="34" t="s">
        <v>21689</v>
      </c>
      <c r="C10963" s="34" t="s">
        <v>464</v>
      </c>
      <c r="E10963" s="30" t="s">
        <v>21690</v>
      </c>
      <c r="F10963" s="34" t="n">
        <f aca="false">IFERROR(VLOOKUP($A10963,'319'!$B:$H,7,0),0)</f>
        <v>0</v>
      </c>
      <c r="G10963" s="34" t="n">
        <f aca="false">SUMIFS('12.326ana'!$C:$C,'12.326ana'!$M:$M,redes!A10963)</f>
        <v>0</v>
      </c>
    </row>
    <row r="10964" customFormat="false" ht="14.4" hidden="true" customHeight="false" outlineLevel="0" collapsed="false">
      <c r="A10964" s="34" t="n">
        <v>8466830000110</v>
      </c>
      <c r="B10964" s="34" t="s">
        <v>21691</v>
      </c>
      <c r="C10964" s="34" t="s">
        <v>357</v>
      </c>
      <c r="E10964" s="30" t="s">
        <v>7421</v>
      </c>
      <c r="F10964" s="34" t="n">
        <f aca="false">IFERROR(VLOOKUP($A10964,'319'!$B:$H,7,0),0)</f>
        <v>0</v>
      </c>
      <c r="G10964" s="34" t="n">
        <f aca="false">SUMIFS('12.326ana'!$C:$C,'12.326ana'!$M:$M,redes!A10964)</f>
        <v>0</v>
      </c>
    </row>
    <row r="10965" customFormat="false" ht="14.4" hidden="true" customHeight="false" outlineLevel="0" collapsed="false">
      <c r="A10965" s="34" t="n">
        <v>8467404000100</v>
      </c>
      <c r="B10965" s="34" t="s">
        <v>21692</v>
      </c>
      <c r="C10965" s="34" t="s">
        <v>464</v>
      </c>
      <c r="E10965" s="30" t="s">
        <v>21693</v>
      </c>
      <c r="F10965" s="34" t="n">
        <f aca="false">IFERROR(VLOOKUP($A10965,'319'!$B:$H,7,0),0)</f>
        <v>0</v>
      </c>
      <c r="G10965" s="34" t="n">
        <f aca="false">SUMIFS('12.326ana'!$C:$C,'12.326ana'!$M:$M,redes!A10965)</f>
        <v>0</v>
      </c>
    </row>
    <row r="10966" customFormat="false" ht="14.4" hidden="true" customHeight="false" outlineLevel="0" collapsed="false">
      <c r="A10966" s="34" t="n">
        <v>8469668000194</v>
      </c>
      <c r="B10966" s="34" t="s">
        <v>21694</v>
      </c>
      <c r="C10966" s="34" t="s">
        <v>77</v>
      </c>
      <c r="E10966" s="30" t="s">
        <v>21695</v>
      </c>
      <c r="F10966" s="34" t="n">
        <f aca="false">IFERROR(VLOOKUP($A10966,'319'!$B:$H,7,0),0)</f>
        <v>0</v>
      </c>
      <c r="G10966" s="34" t="n">
        <f aca="false">SUMIFS('12.326ana'!$C:$C,'12.326ana'!$M:$M,redes!A10966)</f>
        <v>0</v>
      </c>
    </row>
    <row r="10967" customFormat="false" ht="14.4" hidden="true" customHeight="false" outlineLevel="0" collapsed="false">
      <c r="A10967" s="34" t="n">
        <v>8469687000110</v>
      </c>
      <c r="B10967" s="34" t="s">
        <v>21696</v>
      </c>
      <c r="C10967" s="34" t="s">
        <v>809</v>
      </c>
      <c r="E10967" s="30" t="s">
        <v>21697</v>
      </c>
      <c r="F10967" s="34" t="n">
        <f aca="false">IFERROR(VLOOKUP($A10967,'319'!$B:$H,7,0),0)</f>
        <v>0</v>
      </c>
      <c r="G10967" s="34" t="n">
        <f aca="false">SUMIFS('12.326ana'!$C:$C,'12.326ana'!$M:$M,redes!A10967)</f>
        <v>0</v>
      </c>
    </row>
    <row r="10968" customFormat="false" ht="14.4" hidden="true" customHeight="false" outlineLevel="0" collapsed="false">
      <c r="A10968" s="34" t="n">
        <v>8470735000190</v>
      </c>
      <c r="B10968" s="34" t="s">
        <v>4396</v>
      </c>
      <c r="C10968" s="34" t="s">
        <v>107</v>
      </c>
      <c r="E10968" s="30" t="s">
        <v>21698</v>
      </c>
      <c r="F10968" s="34" t="n">
        <f aca="false">IFERROR(VLOOKUP($A10968,'319'!$B:$H,7,0),0)</f>
        <v>0</v>
      </c>
      <c r="G10968" s="34" t="n">
        <f aca="false">SUMIFS('12.326ana'!$C:$C,'12.326ana'!$M:$M,redes!A10968)</f>
        <v>0</v>
      </c>
    </row>
    <row r="10969" customFormat="false" ht="14.4" hidden="true" customHeight="false" outlineLevel="0" collapsed="false">
      <c r="A10969" s="34" t="n">
        <v>8473262000185</v>
      </c>
      <c r="B10969" s="34" t="s">
        <v>21699</v>
      </c>
      <c r="C10969" s="34" t="s">
        <v>107</v>
      </c>
      <c r="E10969" s="30" t="s">
        <v>6570</v>
      </c>
      <c r="F10969" s="34" t="n">
        <f aca="false">IFERROR(VLOOKUP($A10969,'319'!$B:$H,7,0),0)</f>
        <v>0</v>
      </c>
      <c r="G10969" s="34" t="n">
        <f aca="false">SUMIFS('12.326ana'!$C:$C,'12.326ana'!$M:$M,redes!A10969)</f>
        <v>0</v>
      </c>
    </row>
    <row r="10970" customFormat="false" ht="14.4" hidden="true" customHeight="false" outlineLevel="0" collapsed="false">
      <c r="A10970" s="34" t="n">
        <v>8475347000100</v>
      </c>
      <c r="B10970" s="34" t="s">
        <v>21700</v>
      </c>
      <c r="C10970" s="34" t="s">
        <v>107</v>
      </c>
      <c r="E10970" s="30" t="s">
        <v>8829</v>
      </c>
      <c r="F10970" s="34" t="n">
        <f aca="false">IFERROR(VLOOKUP($A10970,'319'!$B:$H,7,0),0)</f>
        <v>0</v>
      </c>
      <c r="G10970" s="34" t="n">
        <f aca="false">SUMIFS('12.326ana'!$C:$C,'12.326ana'!$M:$M,redes!A10970)</f>
        <v>0</v>
      </c>
    </row>
    <row r="10971" customFormat="false" ht="14.4" hidden="true" customHeight="false" outlineLevel="0" collapsed="false">
      <c r="A10971" s="34" t="n">
        <v>8476603000176</v>
      </c>
      <c r="B10971" s="34" t="s">
        <v>1031</v>
      </c>
      <c r="C10971" s="34" t="s">
        <v>89</v>
      </c>
      <c r="E10971" s="30" t="s">
        <v>20032</v>
      </c>
      <c r="F10971" s="34" t="n">
        <f aca="false">IFERROR(VLOOKUP($A10971,'319'!$B:$H,7,0),0)</f>
        <v>811.09</v>
      </c>
      <c r="G10971" s="34" t="n">
        <f aca="false">SUMIFS('12.326ana'!$C:$C,'12.326ana'!$M:$M,redes!A10971)</f>
        <v>0</v>
      </c>
    </row>
    <row r="10972" customFormat="false" ht="14.4" hidden="true" customHeight="false" outlineLevel="0" collapsed="false">
      <c r="A10972" s="34" t="n">
        <v>8483386000141</v>
      </c>
      <c r="B10972" s="34" t="s">
        <v>21701</v>
      </c>
      <c r="C10972" s="34" t="s">
        <v>77</v>
      </c>
      <c r="E10972" s="30" t="s">
        <v>7071</v>
      </c>
      <c r="F10972" s="34" t="n">
        <f aca="false">IFERROR(VLOOKUP($A10972,'319'!$B:$H,7,0),0)</f>
        <v>0</v>
      </c>
      <c r="G10972" s="34" t="n">
        <f aca="false">SUMIFS('12.326ana'!$C:$C,'12.326ana'!$M:$M,redes!A10972)</f>
        <v>0</v>
      </c>
    </row>
    <row r="10973" customFormat="false" ht="14.4" hidden="true" customHeight="false" outlineLevel="0" collapsed="false">
      <c r="A10973" s="34" t="n">
        <v>8487041000166</v>
      </c>
      <c r="B10973" s="34" t="s">
        <v>21702</v>
      </c>
      <c r="C10973" s="34" t="s">
        <v>77</v>
      </c>
      <c r="E10973" s="30" t="s">
        <v>21703</v>
      </c>
      <c r="F10973" s="34" t="n">
        <f aca="false">IFERROR(VLOOKUP($A10973,'319'!$B:$H,7,0),0)</f>
        <v>0</v>
      </c>
      <c r="G10973" s="34" t="n">
        <f aca="false">SUMIFS('12.326ana'!$C:$C,'12.326ana'!$M:$M,redes!A10973)</f>
        <v>0</v>
      </c>
    </row>
    <row r="10974" customFormat="false" ht="14.4" hidden="true" customHeight="false" outlineLevel="0" collapsed="false">
      <c r="A10974" s="34" t="n">
        <v>8487113000175</v>
      </c>
      <c r="B10974" s="34" t="s">
        <v>21704</v>
      </c>
      <c r="C10974" s="34" t="s">
        <v>127</v>
      </c>
      <c r="E10974" s="30" t="s">
        <v>21705</v>
      </c>
      <c r="F10974" s="34" t="n">
        <f aca="false">IFERROR(VLOOKUP($A10974,'319'!$B:$H,7,0),0)</f>
        <v>0</v>
      </c>
      <c r="G10974" s="34" t="n">
        <f aca="false">SUMIFS('12.326ana'!$C:$C,'12.326ana'!$M:$M,redes!A10974)</f>
        <v>0</v>
      </c>
    </row>
    <row r="10975" customFormat="false" ht="14.4" hidden="true" customHeight="false" outlineLevel="0" collapsed="false">
      <c r="A10975" s="34" t="n">
        <v>8487123000100</v>
      </c>
      <c r="B10975" s="34" t="s">
        <v>21706</v>
      </c>
      <c r="C10975" s="34" t="s">
        <v>77</v>
      </c>
      <c r="E10975" s="30" t="s">
        <v>21707</v>
      </c>
      <c r="F10975" s="34" t="n">
        <f aca="false">IFERROR(VLOOKUP($A10975,'319'!$B:$H,7,0),0)</f>
        <v>65.52</v>
      </c>
      <c r="G10975" s="34" t="n">
        <f aca="false">SUMIFS('12.326ana'!$C:$C,'12.326ana'!$M:$M,redes!A10975)</f>
        <v>0</v>
      </c>
    </row>
    <row r="10976" customFormat="false" ht="14.4" hidden="true" customHeight="false" outlineLevel="0" collapsed="false">
      <c r="A10976" s="34" t="n">
        <v>8489224000110</v>
      </c>
      <c r="B10976" s="34" t="s">
        <v>21708</v>
      </c>
      <c r="C10976" s="34" t="s">
        <v>721</v>
      </c>
      <c r="E10976" s="30" t="s">
        <v>2958</v>
      </c>
      <c r="F10976" s="34" t="n">
        <f aca="false">IFERROR(VLOOKUP($A10976,'319'!$B:$H,7,0),0)</f>
        <v>0</v>
      </c>
      <c r="G10976" s="34" t="n">
        <f aca="false">SUMIFS('12.326ana'!$C:$C,'12.326ana'!$M:$M,redes!A10976)</f>
        <v>0</v>
      </c>
    </row>
    <row r="10977" customFormat="false" ht="14.4" hidden="true" customHeight="false" outlineLevel="0" collapsed="false">
      <c r="A10977" s="34" t="n">
        <v>8503295000120</v>
      </c>
      <c r="B10977" s="34" t="s">
        <v>1577</v>
      </c>
      <c r="C10977" s="34" t="s">
        <v>713</v>
      </c>
      <c r="E10977" s="30" t="s">
        <v>13003</v>
      </c>
      <c r="F10977" s="34" t="n">
        <f aca="false">IFERROR(VLOOKUP($A10977,'319'!$B:$H,7,0),0)</f>
        <v>89.71</v>
      </c>
      <c r="G10977" s="34" t="n">
        <f aca="false">SUMIFS('12.326ana'!$C:$C,'12.326ana'!$M:$M,redes!A10977)</f>
        <v>0</v>
      </c>
    </row>
    <row r="10978" customFormat="false" ht="14.4" hidden="true" customHeight="false" outlineLevel="0" collapsed="false">
      <c r="A10978" s="34" t="n">
        <v>8504104000145</v>
      </c>
      <c r="B10978" s="34" t="s">
        <v>21709</v>
      </c>
      <c r="C10978" s="34" t="s">
        <v>103</v>
      </c>
      <c r="E10978" s="30" t="s">
        <v>21710</v>
      </c>
      <c r="F10978" s="34" t="n">
        <f aca="false">IFERROR(VLOOKUP($A10978,'319'!$B:$H,7,0),0)</f>
        <v>0</v>
      </c>
      <c r="G10978" s="34" t="n">
        <f aca="false">SUMIFS('12.326ana'!$C:$C,'12.326ana'!$M:$M,redes!A10978)</f>
        <v>0</v>
      </c>
    </row>
    <row r="10979" customFormat="false" ht="14.4" hidden="true" customHeight="false" outlineLevel="0" collapsed="false">
      <c r="A10979" s="34" t="n">
        <v>8518277000112</v>
      </c>
      <c r="B10979" s="34" t="s">
        <v>21711</v>
      </c>
      <c r="C10979" s="34" t="s">
        <v>881</v>
      </c>
      <c r="E10979" s="30" t="s">
        <v>21712</v>
      </c>
      <c r="F10979" s="34" t="n">
        <f aca="false">IFERROR(VLOOKUP($A10979,'319'!$B:$H,7,0),0)</f>
        <v>0</v>
      </c>
      <c r="G10979" s="34" t="n">
        <f aca="false">SUMIFS('12.326ana'!$C:$C,'12.326ana'!$M:$M,redes!A10979)</f>
        <v>0</v>
      </c>
    </row>
    <row r="10980" customFormat="false" ht="14.4" hidden="true" customHeight="false" outlineLevel="0" collapsed="false">
      <c r="A10980" s="34" t="n">
        <v>8527600000114</v>
      </c>
      <c r="B10980" s="34" t="s">
        <v>21713</v>
      </c>
      <c r="C10980" s="34" t="s">
        <v>192</v>
      </c>
      <c r="E10980" s="30" t="s">
        <v>21382</v>
      </c>
      <c r="F10980" s="34" t="n">
        <f aca="false">IFERROR(VLOOKUP($A10980,'319'!$B:$H,7,0),0)</f>
        <v>0</v>
      </c>
      <c r="G10980" s="34" t="n">
        <f aca="false">SUMIFS('12.326ana'!$C:$C,'12.326ana'!$M:$M,redes!A10980)</f>
        <v>0</v>
      </c>
    </row>
    <row r="10981" customFormat="false" ht="14.4" hidden="true" customHeight="false" outlineLevel="0" collapsed="false">
      <c r="A10981" s="34" t="n">
        <v>8527602000103</v>
      </c>
      <c r="B10981" s="34" t="s">
        <v>21714</v>
      </c>
      <c r="C10981" s="34" t="s">
        <v>77</v>
      </c>
      <c r="E10981" s="30" t="s">
        <v>21715</v>
      </c>
      <c r="F10981" s="34" t="n">
        <f aca="false">IFERROR(VLOOKUP($A10981,'319'!$B:$H,7,0),0)</f>
        <v>0</v>
      </c>
      <c r="G10981" s="34" t="n">
        <f aca="false">SUMIFS('12.326ana'!$C:$C,'12.326ana'!$M:$M,redes!A10981)</f>
        <v>0</v>
      </c>
    </row>
    <row r="10982" customFormat="false" ht="14.4" hidden="true" customHeight="false" outlineLevel="0" collapsed="false">
      <c r="A10982" s="34" t="n">
        <v>8532523000190</v>
      </c>
      <c r="B10982" s="34" t="s">
        <v>21716</v>
      </c>
      <c r="C10982" s="34" t="s">
        <v>77</v>
      </c>
      <c r="E10982" s="30" t="s">
        <v>21717</v>
      </c>
      <c r="F10982" s="34" t="n">
        <f aca="false">IFERROR(VLOOKUP($A10982,'319'!$B:$H,7,0),0)</f>
        <v>0</v>
      </c>
      <c r="G10982" s="34" t="n">
        <f aca="false">SUMIFS('12.326ana'!$C:$C,'12.326ana'!$M:$M,redes!A10982)</f>
        <v>0</v>
      </c>
    </row>
    <row r="10983" customFormat="false" ht="14.4" hidden="true" customHeight="false" outlineLevel="0" collapsed="false">
      <c r="A10983" s="34" t="n">
        <v>8533004000147</v>
      </c>
      <c r="B10983" s="34" t="s">
        <v>21718</v>
      </c>
      <c r="C10983" s="34" t="s">
        <v>77</v>
      </c>
      <c r="E10983" s="30" t="s">
        <v>21719</v>
      </c>
      <c r="F10983" s="34" t="n">
        <f aca="false">IFERROR(VLOOKUP($A10983,'319'!$B:$H,7,0),0)</f>
        <v>0</v>
      </c>
      <c r="G10983" s="34" t="n">
        <f aca="false">SUMIFS('12.326ana'!$C:$C,'12.326ana'!$M:$M,redes!A10983)</f>
        <v>0</v>
      </c>
    </row>
    <row r="10984" customFormat="false" ht="14.4" hidden="true" customHeight="false" outlineLevel="0" collapsed="false">
      <c r="A10984" s="34" t="n">
        <v>8538549000146</v>
      </c>
      <c r="B10984" s="34" t="s">
        <v>21720</v>
      </c>
      <c r="C10984" s="34" t="s">
        <v>89</v>
      </c>
      <c r="E10984" s="30" t="s">
        <v>21721</v>
      </c>
      <c r="F10984" s="34" t="n">
        <f aca="false">IFERROR(VLOOKUP($A10984,'319'!$B:$H,7,0),0)</f>
        <v>0</v>
      </c>
      <c r="G10984" s="34" t="n">
        <f aca="false">SUMIFS('12.326ana'!$C:$C,'12.326ana'!$M:$M,redes!A10984)</f>
        <v>0</v>
      </c>
    </row>
    <row r="10985" customFormat="false" ht="14.4" hidden="true" customHeight="false" outlineLevel="0" collapsed="false">
      <c r="A10985" s="34" t="n">
        <v>8541944000188</v>
      </c>
      <c r="B10985" s="34" t="s">
        <v>21722</v>
      </c>
      <c r="C10985" s="34" t="s">
        <v>77</v>
      </c>
      <c r="E10985" s="30" t="s">
        <v>21723</v>
      </c>
      <c r="F10985" s="34" t="n">
        <f aca="false">IFERROR(VLOOKUP($A10985,'319'!$B:$H,7,0),0)</f>
        <v>0</v>
      </c>
      <c r="G10985" s="34" t="n">
        <f aca="false">SUMIFS('12.326ana'!$C:$C,'12.326ana'!$M:$M,redes!A10985)</f>
        <v>0</v>
      </c>
    </row>
    <row r="10986" customFormat="false" ht="14.4" hidden="true" customHeight="false" outlineLevel="0" collapsed="false">
      <c r="A10986" s="34" t="n">
        <v>8545331000119</v>
      </c>
      <c r="B10986" s="34" t="s">
        <v>21724</v>
      </c>
      <c r="C10986" s="34" t="s">
        <v>448</v>
      </c>
      <c r="E10986" s="30" t="s">
        <v>21725</v>
      </c>
      <c r="F10986" s="34" t="n">
        <f aca="false">IFERROR(VLOOKUP($A10986,'319'!$B:$H,7,0),0)</f>
        <v>0</v>
      </c>
      <c r="G10986" s="34" t="n">
        <f aca="false">SUMIFS('12.326ana'!$C:$C,'12.326ana'!$M:$M,redes!A10986)</f>
        <v>0</v>
      </c>
    </row>
    <row r="10987" customFormat="false" ht="14.4" hidden="true" customHeight="false" outlineLevel="0" collapsed="false">
      <c r="A10987" s="34" t="n">
        <v>8568558000180</v>
      </c>
      <c r="B10987" s="34" t="s">
        <v>21726</v>
      </c>
      <c r="C10987" s="34" t="s">
        <v>129</v>
      </c>
      <c r="E10987" s="30" t="s">
        <v>21727</v>
      </c>
      <c r="F10987" s="34" t="n">
        <f aca="false">IFERROR(VLOOKUP($A10987,'319'!$B:$H,7,0),0)</f>
        <v>0</v>
      </c>
      <c r="G10987" s="34" t="n">
        <f aca="false">SUMIFS('12.326ana'!$C:$C,'12.326ana'!$M:$M,redes!A10987)</f>
        <v>0</v>
      </c>
    </row>
    <row r="10988" customFormat="false" ht="14.4" hidden="true" customHeight="false" outlineLevel="0" collapsed="false">
      <c r="A10988" s="34" t="n">
        <v>8568873000107</v>
      </c>
      <c r="B10988" s="34" t="s">
        <v>21728</v>
      </c>
      <c r="C10988" s="34" t="s">
        <v>1272</v>
      </c>
      <c r="E10988" s="30" t="s">
        <v>17473</v>
      </c>
      <c r="F10988" s="34" t="n">
        <f aca="false">IFERROR(VLOOKUP($A10988,'319'!$B:$H,7,0),0)</f>
        <v>0</v>
      </c>
      <c r="G10988" s="34" t="n">
        <f aca="false">SUMIFS('12.326ana'!$C:$C,'12.326ana'!$M:$M,redes!A10988)</f>
        <v>0</v>
      </c>
    </row>
    <row r="10989" customFormat="false" ht="14.4" hidden="true" customHeight="false" outlineLevel="0" collapsed="false">
      <c r="A10989" s="34" t="n">
        <v>8573541000110</v>
      </c>
      <c r="B10989" s="34" t="s">
        <v>640</v>
      </c>
      <c r="C10989" s="34" t="s">
        <v>296</v>
      </c>
      <c r="E10989" s="30" t="s">
        <v>21729</v>
      </c>
      <c r="F10989" s="34" t="n">
        <f aca="false">IFERROR(VLOOKUP($A10989,'319'!$B:$H,7,0),0)</f>
        <v>9241.87</v>
      </c>
      <c r="G10989" s="34" t="n">
        <f aca="false">SUMIFS('12.326ana'!$C:$C,'12.326ana'!$M:$M,redes!A10989)</f>
        <v>0</v>
      </c>
    </row>
    <row r="10990" customFormat="false" ht="14.4" hidden="true" customHeight="false" outlineLevel="0" collapsed="false">
      <c r="A10990" s="34" t="n">
        <v>8573640000100</v>
      </c>
      <c r="B10990" s="34" t="s">
        <v>21730</v>
      </c>
      <c r="C10990" s="34" t="s">
        <v>139</v>
      </c>
      <c r="E10990" s="30" t="s">
        <v>21731</v>
      </c>
      <c r="F10990" s="34" t="n">
        <f aca="false">IFERROR(VLOOKUP($A10990,'319'!$B:$H,7,0),0)</f>
        <v>0</v>
      </c>
      <c r="G10990" s="34" t="n">
        <f aca="false">SUMIFS('12.326ana'!$C:$C,'12.326ana'!$M:$M,redes!A10990)</f>
        <v>0</v>
      </c>
    </row>
    <row r="10991" customFormat="false" ht="14.4" hidden="true" customHeight="false" outlineLevel="0" collapsed="false">
      <c r="A10991" s="34" t="n">
        <v>8575218000186</v>
      </c>
      <c r="B10991" s="34" t="s">
        <v>21732</v>
      </c>
      <c r="C10991" s="34" t="s">
        <v>77</v>
      </c>
      <c r="E10991" s="30"/>
      <c r="F10991" s="34" t="n">
        <f aca="false">IFERROR(VLOOKUP($A10991,'319'!$B:$H,7,0),0)</f>
        <v>0</v>
      </c>
      <c r="G10991" s="34" t="n">
        <f aca="false">SUMIFS('12.326ana'!$C:$C,'12.326ana'!$M:$M,redes!A10991)</f>
        <v>0</v>
      </c>
    </row>
    <row r="10992" customFormat="false" ht="14.4" hidden="true" customHeight="false" outlineLevel="0" collapsed="false">
      <c r="A10992" s="34" t="n">
        <v>8575695000141</v>
      </c>
      <c r="B10992" s="34" t="s">
        <v>21733</v>
      </c>
      <c r="C10992" s="34" t="s">
        <v>464</v>
      </c>
      <c r="E10992" s="30" t="s">
        <v>21734</v>
      </c>
      <c r="F10992" s="34" t="n">
        <f aca="false">IFERROR(VLOOKUP($A10992,'319'!$B:$H,7,0),0)</f>
        <v>0</v>
      </c>
      <c r="G10992" s="34" t="n">
        <f aca="false">SUMIFS('12.326ana'!$C:$C,'12.326ana'!$M:$M,redes!A10992)</f>
        <v>0</v>
      </c>
    </row>
    <row r="10993" customFormat="false" ht="14.4" hidden="true" customHeight="false" outlineLevel="0" collapsed="false">
      <c r="A10993" s="34" t="n">
        <v>8583090000100</v>
      </c>
      <c r="B10993" s="34" t="s">
        <v>21735</v>
      </c>
      <c r="C10993" s="34" t="s">
        <v>127</v>
      </c>
      <c r="E10993" s="30" t="s">
        <v>21736</v>
      </c>
      <c r="F10993" s="34" t="n">
        <f aca="false">IFERROR(VLOOKUP($A10993,'319'!$B:$H,7,0),0)</f>
        <v>0</v>
      </c>
      <c r="G10993" s="34" t="n">
        <f aca="false">SUMIFS('12.326ana'!$C:$C,'12.326ana'!$M:$M,redes!A10993)</f>
        <v>0</v>
      </c>
    </row>
    <row r="10994" customFormat="false" ht="14.4" hidden="true" customHeight="false" outlineLevel="0" collapsed="false">
      <c r="A10994" s="34" t="n">
        <v>8583459000177</v>
      </c>
      <c r="B10994" s="34" t="s">
        <v>21737</v>
      </c>
      <c r="C10994" s="34" t="s">
        <v>103</v>
      </c>
      <c r="E10994" s="30" t="s">
        <v>21738</v>
      </c>
      <c r="F10994" s="34" t="n">
        <f aca="false">IFERROR(VLOOKUP($A10994,'319'!$B:$H,7,0),0)</f>
        <v>0</v>
      </c>
      <c r="G10994" s="34" t="n">
        <f aca="false">SUMIFS('12.326ana'!$C:$C,'12.326ana'!$M:$M,redes!A10994)</f>
        <v>0</v>
      </c>
    </row>
    <row r="10995" customFormat="false" ht="14.4" hidden="true" customHeight="false" outlineLevel="0" collapsed="false">
      <c r="A10995" s="34" t="n">
        <v>8583459000258</v>
      </c>
      <c r="B10995" s="34" t="s">
        <v>21739</v>
      </c>
      <c r="C10995" s="34" t="s">
        <v>103</v>
      </c>
      <c r="E10995" s="30" t="s">
        <v>21739</v>
      </c>
      <c r="F10995" s="34" t="n">
        <f aca="false">IFERROR(VLOOKUP($A10995,'319'!$B:$H,7,0),0)</f>
        <v>0</v>
      </c>
      <c r="G10995" s="34" t="n">
        <f aca="false">SUMIFS('12.326ana'!$C:$C,'12.326ana'!$M:$M,redes!A10995)</f>
        <v>0</v>
      </c>
    </row>
    <row r="10996" customFormat="false" ht="14.4" hidden="true" customHeight="false" outlineLevel="0" collapsed="false">
      <c r="A10996" s="34" t="n">
        <v>8583459000339</v>
      </c>
      <c r="B10996" s="34" t="s">
        <v>21737</v>
      </c>
      <c r="C10996" s="34" t="s">
        <v>103</v>
      </c>
      <c r="E10996" s="30" t="s">
        <v>21740</v>
      </c>
      <c r="F10996" s="34" t="n">
        <f aca="false">IFERROR(VLOOKUP($A10996,'319'!$B:$H,7,0),0)</f>
        <v>0</v>
      </c>
      <c r="G10996" s="34" t="n">
        <f aca="false">SUMIFS('12.326ana'!$C:$C,'12.326ana'!$M:$M,redes!A10996)</f>
        <v>0</v>
      </c>
    </row>
    <row r="10997" customFormat="false" ht="14.4" hidden="true" customHeight="false" outlineLevel="0" collapsed="false">
      <c r="A10997" s="34" t="n">
        <v>8587193000130</v>
      </c>
      <c r="B10997" s="34" t="s">
        <v>21741</v>
      </c>
      <c r="C10997" s="34" t="s">
        <v>89</v>
      </c>
      <c r="E10997" s="30" t="s">
        <v>21742</v>
      </c>
      <c r="F10997" s="34" t="n">
        <f aca="false">IFERROR(VLOOKUP($A10997,'319'!$B:$H,7,0),0)</f>
        <v>0</v>
      </c>
      <c r="G10997" s="34" t="n">
        <f aca="false">SUMIFS('12.326ana'!$C:$C,'12.326ana'!$M:$M,redes!A10997)</f>
        <v>0</v>
      </c>
    </row>
    <row r="10998" customFormat="false" ht="14.4" hidden="true" customHeight="false" outlineLevel="0" collapsed="false">
      <c r="A10998" s="34" t="n">
        <v>8593247000170</v>
      </c>
      <c r="B10998" s="34" t="s">
        <v>21743</v>
      </c>
      <c r="C10998" s="34" t="s">
        <v>781</v>
      </c>
      <c r="E10998" s="30" t="s">
        <v>21744</v>
      </c>
      <c r="F10998" s="34" t="n">
        <f aca="false">IFERROR(VLOOKUP($A10998,'319'!$B:$H,7,0),0)</f>
        <v>0</v>
      </c>
      <c r="G10998" s="34" t="n">
        <f aca="false">SUMIFS('12.326ana'!$C:$C,'12.326ana'!$M:$M,redes!A10998)</f>
        <v>0</v>
      </c>
    </row>
    <row r="10999" customFormat="false" ht="14.4" hidden="true" customHeight="false" outlineLevel="0" collapsed="false">
      <c r="A10999" s="34" t="n">
        <v>8595978000155</v>
      </c>
      <c r="B10999" s="34" t="s">
        <v>21745</v>
      </c>
      <c r="C10999" s="34" t="s">
        <v>604</v>
      </c>
      <c r="E10999" s="30" t="s">
        <v>21746</v>
      </c>
      <c r="F10999" s="34" t="n">
        <f aca="false">IFERROR(VLOOKUP($A10999,'319'!$B:$H,7,0),0)</f>
        <v>0</v>
      </c>
      <c r="G10999" s="34" t="n">
        <f aca="false">SUMIFS('12.326ana'!$C:$C,'12.326ana'!$M:$M,redes!A10999)</f>
        <v>0</v>
      </c>
    </row>
    <row r="11000" customFormat="false" ht="14.4" hidden="true" customHeight="false" outlineLevel="0" collapsed="false">
      <c r="A11000" s="34" t="n">
        <v>8596147000106</v>
      </c>
      <c r="B11000" s="34" t="s">
        <v>21747</v>
      </c>
      <c r="C11000" s="34" t="s">
        <v>213</v>
      </c>
      <c r="E11000" s="30" t="s">
        <v>11054</v>
      </c>
      <c r="F11000" s="34" t="n">
        <f aca="false">IFERROR(VLOOKUP($A11000,'319'!$B:$H,7,0),0)</f>
        <v>0</v>
      </c>
      <c r="G11000" s="34" t="n">
        <f aca="false">SUMIFS('12.326ana'!$C:$C,'12.326ana'!$M:$M,redes!A11000)</f>
        <v>0</v>
      </c>
    </row>
    <row r="11001" customFormat="false" ht="14.4" hidden="true" customHeight="false" outlineLevel="0" collapsed="false">
      <c r="A11001" s="34" t="n">
        <v>8596361000154</v>
      </c>
      <c r="B11001" s="34" t="s">
        <v>21748</v>
      </c>
      <c r="C11001" s="34" t="s">
        <v>77</v>
      </c>
      <c r="E11001" s="30" t="s">
        <v>21749</v>
      </c>
      <c r="F11001" s="34" t="n">
        <f aca="false">IFERROR(VLOOKUP($A11001,'319'!$B:$H,7,0),0)</f>
        <v>0</v>
      </c>
      <c r="G11001" s="34" t="n">
        <f aca="false">SUMIFS('12.326ana'!$C:$C,'12.326ana'!$M:$M,redes!A11001)</f>
        <v>0</v>
      </c>
    </row>
    <row r="11002" customFormat="false" ht="14.4" hidden="true" customHeight="false" outlineLevel="0" collapsed="false">
      <c r="A11002" s="34" t="n">
        <v>8598593000141</v>
      </c>
      <c r="B11002" s="34" t="s">
        <v>21750</v>
      </c>
      <c r="C11002" s="34" t="s">
        <v>77</v>
      </c>
      <c r="E11002" s="30" t="s">
        <v>21751</v>
      </c>
      <c r="F11002" s="34" t="n">
        <f aca="false">IFERROR(VLOOKUP($A11002,'319'!$B:$H,7,0),0)</f>
        <v>0</v>
      </c>
      <c r="G11002" s="34" t="n">
        <f aca="false">SUMIFS('12.326ana'!$C:$C,'12.326ana'!$M:$M,redes!A11002)</f>
        <v>0</v>
      </c>
    </row>
    <row r="11003" customFormat="false" ht="14.4" hidden="true" customHeight="false" outlineLevel="0" collapsed="false">
      <c r="A11003" s="34" t="n">
        <v>8602552000181</v>
      </c>
      <c r="B11003" s="34" t="s">
        <v>21752</v>
      </c>
      <c r="C11003" s="34" t="s">
        <v>448</v>
      </c>
      <c r="E11003" s="30" t="s">
        <v>10458</v>
      </c>
      <c r="F11003" s="34" t="n">
        <f aca="false">IFERROR(VLOOKUP($A11003,'319'!$B:$H,7,0),0)</f>
        <v>0</v>
      </c>
      <c r="G11003" s="34" t="n">
        <f aca="false">SUMIFS('12.326ana'!$C:$C,'12.326ana'!$M:$M,redes!A11003)</f>
        <v>0</v>
      </c>
    </row>
    <row r="11004" customFormat="false" ht="14.4" hidden="true" customHeight="false" outlineLevel="0" collapsed="false">
      <c r="A11004" s="34" t="n">
        <v>8604382000174</v>
      </c>
      <c r="B11004" s="34" t="s">
        <v>21753</v>
      </c>
      <c r="C11004" s="34" t="s">
        <v>127</v>
      </c>
      <c r="E11004" s="30" t="s">
        <v>21754</v>
      </c>
      <c r="F11004" s="34" t="n">
        <f aca="false">IFERROR(VLOOKUP($A11004,'319'!$B:$H,7,0),0)</f>
        <v>0</v>
      </c>
      <c r="G11004" s="34" t="n">
        <f aca="false">SUMIFS('12.326ana'!$C:$C,'12.326ana'!$M:$M,redes!A11004)</f>
        <v>0</v>
      </c>
    </row>
    <row r="11005" customFormat="false" ht="14.4" hidden="true" customHeight="false" outlineLevel="0" collapsed="false">
      <c r="A11005" s="34" t="n">
        <v>8604527000137</v>
      </c>
      <c r="B11005" s="34" t="s">
        <v>21755</v>
      </c>
      <c r="C11005" s="34" t="s">
        <v>781</v>
      </c>
      <c r="E11005" s="30" t="s">
        <v>21756</v>
      </c>
      <c r="F11005" s="34" t="n">
        <f aca="false">IFERROR(VLOOKUP($A11005,'319'!$B:$H,7,0),0)</f>
        <v>0</v>
      </c>
      <c r="G11005" s="34" t="n">
        <f aca="false">SUMIFS('12.326ana'!$C:$C,'12.326ana'!$M:$M,redes!A11005)</f>
        <v>0</v>
      </c>
    </row>
    <row r="11006" customFormat="false" ht="14.4" hidden="true" customHeight="false" outlineLevel="0" collapsed="false">
      <c r="A11006" s="34" t="n">
        <v>8604635000100</v>
      </c>
      <c r="B11006" s="34" t="s">
        <v>21757</v>
      </c>
      <c r="C11006" s="34" t="s">
        <v>77</v>
      </c>
      <c r="E11006" s="30" t="s">
        <v>7874</v>
      </c>
      <c r="F11006" s="34" t="n">
        <f aca="false">IFERROR(VLOOKUP($A11006,'319'!$B:$H,7,0),0)</f>
        <v>0</v>
      </c>
      <c r="G11006" s="34" t="n">
        <f aca="false">SUMIFS('12.326ana'!$C:$C,'12.326ana'!$M:$M,redes!A11006)</f>
        <v>0</v>
      </c>
    </row>
    <row r="11007" customFormat="false" ht="14.4" hidden="true" customHeight="false" outlineLevel="0" collapsed="false">
      <c r="A11007" s="34" t="n">
        <v>8604819000170</v>
      </c>
      <c r="B11007" s="34" t="s">
        <v>21758</v>
      </c>
      <c r="C11007" s="34" t="s">
        <v>1272</v>
      </c>
      <c r="E11007" s="30" t="s">
        <v>21759</v>
      </c>
      <c r="F11007" s="34" t="n">
        <f aca="false">IFERROR(VLOOKUP($A11007,'319'!$B:$H,7,0),0)</f>
        <v>0</v>
      </c>
      <c r="G11007" s="34" t="n">
        <f aca="false">SUMIFS('12.326ana'!$C:$C,'12.326ana'!$M:$M,redes!A11007)</f>
        <v>0</v>
      </c>
    </row>
    <row r="11008" customFormat="false" ht="14.4" hidden="true" customHeight="false" outlineLevel="0" collapsed="false">
      <c r="A11008" s="34" t="n">
        <v>8608892000209</v>
      </c>
      <c r="B11008" s="34" t="s">
        <v>21760</v>
      </c>
      <c r="C11008" s="34" t="s">
        <v>598</v>
      </c>
      <c r="E11008" s="30" t="s">
        <v>21761</v>
      </c>
      <c r="F11008" s="34" t="n">
        <f aca="false">IFERROR(VLOOKUP($A11008,'319'!$B:$H,7,0),0)</f>
        <v>14376.34</v>
      </c>
      <c r="G11008" s="34" t="n">
        <f aca="false">SUMIFS('12.326ana'!$C:$C,'12.326ana'!$M:$M,redes!A11008)</f>
        <v>0</v>
      </c>
    </row>
    <row r="11009" customFormat="false" ht="14.4" hidden="true" customHeight="false" outlineLevel="0" collapsed="false">
      <c r="A11009" s="34" t="n">
        <v>8623956000151</v>
      </c>
      <c r="B11009" s="34" t="s">
        <v>21762</v>
      </c>
      <c r="C11009" s="34" t="s">
        <v>848</v>
      </c>
      <c r="E11009" s="30" t="s">
        <v>21763</v>
      </c>
      <c r="F11009" s="34" t="n">
        <f aca="false">IFERROR(VLOOKUP($A11009,'319'!$B:$H,7,0),0)</f>
        <v>0</v>
      </c>
      <c r="G11009" s="34" t="n">
        <f aca="false">SUMIFS('12.326ana'!$C:$C,'12.326ana'!$M:$M,redes!A11009)</f>
        <v>0</v>
      </c>
    </row>
    <row r="11010" customFormat="false" ht="14.4" hidden="true" customHeight="false" outlineLevel="0" collapsed="false">
      <c r="A11010" s="34" t="n">
        <v>8624006000141</v>
      </c>
      <c r="B11010" s="34" t="s">
        <v>21764</v>
      </c>
      <c r="C11010" s="34" t="s">
        <v>139</v>
      </c>
      <c r="E11010" s="30" t="s">
        <v>21765</v>
      </c>
      <c r="F11010" s="34" t="n">
        <f aca="false">IFERROR(VLOOKUP($A11010,'319'!$B:$H,7,0),0)</f>
        <v>0</v>
      </c>
      <c r="G11010" s="34" t="n">
        <f aca="false">SUMIFS('12.326ana'!$C:$C,'12.326ana'!$M:$M,redes!A11010)</f>
        <v>0</v>
      </c>
    </row>
    <row r="11011" customFormat="false" ht="14.4" hidden="true" customHeight="false" outlineLevel="0" collapsed="false">
      <c r="A11011" s="34" t="n">
        <v>8628751000169</v>
      </c>
      <c r="B11011" s="34" t="s">
        <v>4606</v>
      </c>
      <c r="C11011" s="34" t="s">
        <v>77</v>
      </c>
      <c r="E11011" s="30" t="s">
        <v>3885</v>
      </c>
      <c r="F11011" s="34" t="n">
        <f aca="false">IFERROR(VLOOKUP($A11011,'319'!$B:$H,7,0),0)</f>
        <v>0</v>
      </c>
      <c r="G11011" s="34" t="n">
        <f aca="false">SUMIFS('12.326ana'!$C:$C,'12.326ana'!$M:$M,redes!A11011)</f>
        <v>0</v>
      </c>
    </row>
    <row r="11012" customFormat="false" ht="14.4" hidden="true" customHeight="false" outlineLevel="0" collapsed="false">
      <c r="A11012" s="34" t="n">
        <v>8629044000197</v>
      </c>
      <c r="B11012" s="34" t="s">
        <v>21766</v>
      </c>
      <c r="C11012" s="34" t="s">
        <v>77</v>
      </c>
      <c r="E11012" s="30" t="s">
        <v>21767</v>
      </c>
      <c r="F11012" s="34" t="n">
        <f aca="false">IFERROR(VLOOKUP($A11012,'319'!$B:$H,7,0),0)</f>
        <v>0</v>
      </c>
      <c r="G11012" s="34" t="n">
        <f aca="false">SUMIFS('12.326ana'!$C:$C,'12.326ana'!$M:$M,redes!A11012)</f>
        <v>0</v>
      </c>
    </row>
    <row r="11013" customFormat="false" ht="14.4" hidden="true" customHeight="false" outlineLevel="0" collapsed="false">
      <c r="A11013" s="34" t="n">
        <v>8629827000170</v>
      </c>
      <c r="B11013" s="34" t="s">
        <v>21768</v>
      </c>
      <c r="C11013" s="34" t="s">
        <v>154</v>
      </c>
      <c r="E11013" s="30" t="s">
        <v>21769</v>
      </c>
      <c r="F11013" s="34" t="n">
        <f aca="false">IFERROR(VLOOKUP($A11013,'319'!$B:$H,7,0),0)</f>
        <v>0</v>
      </c>
      <c r="G11013" s="34" t="n">
        <f aca="false">SUMIFS('12.326ana'!$C:$C,'12.326ana'!$M:$M,redes!A11013)</f>
        <v>0</v>
      </c>
    </row>
    <row r="11014" customFormat="false" ht="14.4" hidden="true" customHeight="false" outlineLevel="0" collapsed="false">
      <c r="A11014" s="34" t="n">
        <v>8632674000110</v>
      </c>
      <c r="B11014" s="34" t="s">
        <v>10718</v>
      </c>
      <c r="C11014" s="34" t="s">
        <v>7250</v>
      </c>
      <c r="E11014" s="30" t="s">
        <v>7179</v>
      </c>
      <c r="F11014" s="34" t="n">
        <f aca="false">IFERROR(VLOOKUP($A11014,'319'!$B:$H,7,0),0)</f>
        <v>0</v>
      </c>
      <c r="G11014" s="34" t="n">
        <f aca="false">SUMIFS('12.326ana'!$C:$C,'12.326ana'!$M:$M,redes!A11014)</f>
        <v>0</v>
      </c>
    </row>
    <row r="11015" customFormat="false" ht="14.4" hidden="true" customHeight="false" outlineLevel="0" collapsed="false">
      <c r="A11015" s="34" t="n">
        <v>8633339000137</v>
      </c>
      <c r="B11015" s="34" t="s">
        <v>21770</v>
      </c>
      <c r="C11015" s="34" t="s">
        <v>842</v>
      </c>
      <c r="E11015" s="30" t="s">
        <v>18469</v>
      </c>
      <c r="F11015" s="34" t="n">
        <f aca="false">IFERROR(VLOOKUP($A11015,'319'!$B:$H,7,0),0)</f>
        <v>0</v>
      </c>
      <c r="G11015" s="34" t="n">
        <f aca="false">SUMIFS('12.326ana'!$C:$C,'12.326ana'!$M:$M,redes!A11015)</f>
        <v>0</v>
      </c>
    </row>
    <row r="11016" customFormat="false" ht="14.4" hidden="true" customHeight="false" outlineLevel="0" collapsed="false">
      <c r="A11016" s="34" t="n">
        <v>8644818000159</v>
      </c>
      <c r="B11016" s="34" t="s">
        <v>21771</v>
      </c>
      <c r="C11016" s="34" t="s">
        <v>77</v>
      </c>
      <c r="E11016" s="30" t="s">
        <v>21772</v>
      </c>
      <c r="F11016" s="34" t="n">
        <f aca="false">IFERROR(VLOOKUP($A11016,'319'!$B:$H,7,0),0)</f>
        <v>0</v>
      </c>
      <c r="G11016" s="34" t="n">
        <f aca="false">SUMIFS('12.326ana'!$C:$C,'12.326ana'!$M:$M,redes!A11016)</f>
        <v>0</v>
      </c>
    </row>
    <row r="11017" customFormat="false" ht="14.4" hidden="true" customHeight="false" outlineLevel="0" collapsed="false">
      <c r="A11017" s="34" t="n">
        <v>8645322000108</v>
      </c>
      <c r="B11017" s="34" t="s">
        <v>21773</v>
      </c>
      <c r="C11017" s="34" t="s">
        <v>77</v>
      </c>
      <c r="E11017" s="30" t="s">
        <v>21774</v>
      </c>
      <c r="F11017" s="34" t="n">
        <f aca="false">IFERROR(VLOOKUP($A11017,'319'!$B:$H,7,0),0)</f>
        <v>0</v>
      </c>
      <c r="G11017" s="34" t="n">
        <f aca="false">SUMIFS('12.326ana'!$C:$C,'12.326ana'!$M:$M,redes!A11017)</f>
        <v>0</v>
      </c>
    </row>
    <row r="11018" customFormat="false" ht="14.4" hidden="true" customHeight="false" outlineLevel="0" collapsed="false">
      <c r="A11018" s="34" t="n">
        <v>8647783000101</v>
      </c>
      <c r="B11018" s="34" t="s">
        <v>21775</v>
      </c>
      <c r="C11018" s="34" t="s">
        <v>77</v>
      </c>
      <c r="D11018" s="34" t="s">
        <v>21776</v>
      </c>
      <c r="E11018" s="30" t="s">
        <v>12450</v>
      </c>
      <c r="F11018" s="34" t="n">
        <f aca="false">IFERROR(VLOOKUP($A11018,'319'!$B:$H,7,0),0)</f>
        <v>0</v>
      </c>
      <c r="G11018" s="34" t="n">
        <f aca="false">SUMIFS('12.326ana'!$C:$C,'12.326ana'!$M:$M,redes!A11018)</f>
        <v>0</v>
      </c>
    </row>
    <row r="11019" customFormat="false" ht="14.4" hidden="true" customHeight="false" outlineLevel="0" collapsed="false">
      <c r="A11019" s="34" t="n">
        <v>8647922000105</v>
      </c>
      <c r="B11019" s="34" t="s">
        <v>21777</v>
      </c>
      <c r="C11019" s="34" t="s">
        <v>77</v>
      </c>
      <c r="E11019" s="30" t="s">
        <v>21778</v>
      </c>
      <c r="F11019" s="34" t="n">
        <f aca="false">IFERROR(VLOOKUP($A11019,'319'!$B:$H,7,0),0)</f>
        <v>0</v>
      </c>
      <c r="G11019" s="34" t="n">
        <f aca="false">SUMIFS('12.326ana'!$C:$C,'12.326ana'!$M:$M,redes!A11019)</f>
        <v>0</v>
      </c>
    </row>
    <row r="11020" customFormat="false" ht="14.4" hidden="true" customHeight="false" outlineLevel="0" collapsed="false">
      <c r="A11020" s="34" t="n">
        <v>8650544000100</v>
      </c>
      <c r="B11020" s="34" t="s">
        <v>21779</v>
      </c>
      <c r="C11020" s="34" t="s">
        <v>77</v>
      </c>
      <c r="E11020" s="30" t="s">
        <v>21780</v>
      </c>
      <c r="F11020" s="34" t="n">
        <f aca="false">IFERROR(VLOOKUP($A11020,'319'!$B:$H,7,0),0)</f>
        <v>0</v>
      </c>
      <c r="G11020" s="34" t="n">
        <f aca="false">SUMIFS('12.326ana'!$C:$C,'12.326ana'!$M:$M,redes!A11020)</f>
        <v>0</v>
      </c>
    </row>
    <row r="11021" customFormat="false" ht="14.4" hidden="true" customHeight="false" outlineLevel="0" collapsed="false">
      <c r="A11021" s="34" t="n">
        <v>8650875000140</v>
      </c>
      <c r="B11021" s="34" t="s">
        <v>390</v>
      </c>
      <c r="C11021" s="34" t="s">
        <v>127</v>
      </c>
      <c r="E11021" s="30" t="s">
        <v>17886</v>
      </c>
      <c r="F11021" s="34" t="n">
        <f aca="false">IFERROR(VLOOKUP($A11021,'319'!$B:$H,7,0),0)</f>
        <v>54.34</v>
      </c>
      <c r="G11021" s="34" t="n">
        <f aca="false">SUMIFS('12.326ana'!$C:$C,'12.326ana'!$M:$M,redes!A11021)</f>
        <v>52.92</v>
      </c>
    </row>
    <row r="11022" customFormat="false" ht="14.4" hidden="true" customHeight="false" outlineLevel="0" collapsed="false">
      <c r="A11022" s="34" t="n">
        <v>8651185000106</v>
      </c>
      <c r="B11022" s="34" t="s">
        <v>21781</v>
      </c>
      <c r="C11022" s="34" t="s">
        <v>342</v>
      </c>
      <c r="E11022" s="30" t="s">
        <v>21782</v>
      </c>
      <c r="F11022" s="34" t="n">
        <f aca="false">IFERROR(VLOOKUP($A11022,'319'!$B:$H,7,0),0)</f>
        <v>0</v>
      </c>
      <c r="G11022" s="34" t="n">
        <f aca="false">SUMIFS('12.326ana'!$C:$C,'12.326ana'!$M:$M,redes!A11022)</f>
        <v>0</v>
      </c>
    </row>
    <row r="11023" customFormat="false" ht="14.4" hidden="true" customHeight="false" outlineLevel="0" collapsed="false">
      <c r="A11023" s="34" t="n">
        <v>8651745000122</v>
      </c>
      <c r="B11023" s="34" t="s">
        <v>21783</v>
      </c>
      <c r="C11023" s="34" t="s">
        <v>89</v>
      </c>
      <c r="E11023" s="30" t="s">
        <v>21784</v>
      </c>
      <c r="F11023" s="34" t="n">
        <f aca="false">IFERROR(VLOOKUP($A11023,'319'!$B:$H,7,0),0)</f>
        <v>25.24</v>
      </c>
      <c r="G11023" s="34" t="n">
        <f aca="false">SUMIFS('12.326ana'!$C:$C,'12.326ana'!$M:$M,redes!A11023)</f>
        <v>0</v>
      </c>
    </row>
    <row r="11024" customFormat="false" ht="14.4" hidden="true" customHeight="false" outlineLevel="0" collapsed="false">
      <c r="A11024" s="34" t="n">
        <v>8656188000132</v>
      </c>
      <c r="B11024" s="34" t="s">
        <v>21785</v>
      </c>
      <c r="C11024" s="34" t="s">
        <v>328</v>
      </c>
      <c r="E11024" s="30" t="s">
        <v>21786</v>
      </c>
      <c r="F11024" s="34" t="n">
        <f aca="false">IFERROR(VLOOKUP($A11024,'319'!$B:$H,7,0),0)</f>
        <v>0</v>
      </c>
      <c r="G11024" s="34" t="n">
        <f aca="false">SUMIFS('12.326ana'!$C:$C,'12.326ana'!$M:$M,redes!A11024)</f>
        <v>0</v>
      </c>
    </row>
    <row r="11025" customFormat="false" ht="14.4" hidden="true" customHeight="false" outlineLevel="0" collapsed="false">
      <c r="A11025" s="34" t="n">
        <v>8658660000176</v>
      </c>
      <c r="B11025" s="34" t="s">
        <v>21787</v>
      </c>
      <c r="C11025" s="34" t="s">
        <v>139</v>
      </c>
      <c r="E11025" s="30" t="s">
        <v>21788</v>
      </c>
      <c r="F11025" s="34" t="n">
        <f aca="false">IFERROR(VLOOKUP($A11025,'319'!$B:$H,7,0),0)</f>
        <v>0</v>
      </c>
      <c r="G11025" s="34" t="n">
        <f aca="false">SUMIFS('12.326ana'!$C:$C,'12.326ana'!$M:$M,redes!A11025)</f>
        <v>0</v>
      </c>
    </row>
    <row r="11026" customFormat="false" ht="14.4" hidden="true" customHeight="false" outlineLevel="0" collapsed="false">
      <c r="A11026" s="34" t="n">
        <v>8661724000198</v>
      </c>
      <c r="B11026" s="34" t="s">
        <v>21789</v>
      </c>
      <c r="C11026" s="34" t="s">
        <v>77</v>
      </c>
      <c r="E11026" s="30" t="s">
        <v>3391</v>
      </c>
      <c r="F11026" s="34" t="n">
        <f aca="false">IFERROR(VLOOKUP($A11026,'319'!$B:$H,7,0),0)</f>
        <v>0</v>
      </c>
      <c r="G11026" s="34" t="n">
        <f aca="false">SUMIFS('12.326ana'!$C:$C,'12.326ana'!$M:$M,redes!A11026)</f>
        <v>0</v>
      </c>
    </row>
    <row r="11027" customFormat="false" ht="14.4" hidden="true" customHeight="false" outlineLevel="0" collapsed="false">
      <c r="A11027" s="34" t="n">
        <v>8663139000127</v>
      </c>
      <c r="B11027" s="34" t="s">
        <v>21790</v>
      </c>
      <c r="C11027" s="34" t="s">
        <v>107</v>
      </c>
      <c r="E11027" s="30" t="s">
        <v>4445</v>
      </c>
      <c r="F11027" s="34" t="n">
        <f aca="false">IFERROR(VLOOKUP($A11027,'319'!$B:$H,7,0),0)</f>
        <v>0</v>
      </c>
      <c r="G11027" s="34" t="n">
        <f aca="false">SUMIFS('12.326ana'!$C:$C,'12.326ana'!$M:$M,redes!A11027)</f>
        <v>0</v>
      </c>
    </row>
    <row r="11028" customFormat="false" ht="14.4" hidden="true" customHeight="false" outlineLevel="0" collapsed="false">
      <c r="A11028" s="34" t="n">
        <v>8663330000179</v>
      </c>
      <c r="B11028" s="34" t="s">
        <v>21791</v>
      </c>
      <c r="C11028" s="34" t="s">
        <v>77</v>
      </c>
      <c r="E11028" s="30" t="s">
        <v>7720</v>
      </c>
      <c r="F11028" s="34" t="n">
        <f aca="false">IFERROR(VLOOKUP($A11028,'319'!$B:$H,7,0),0)</f>
        <v>0</v>
      </c>
      <c r="G11028" s="34" t="n">
        <f aca="false">SUMIFS('12.326ana'!$C:$C,'12.326ana'!$M:$M,redes!A11028)</f>
        <v>0</v>
      </c>
    </row>
    <row r="11029" customFormat="false" ht="14.4" hidden="true" customHeight="false" outlineLevel="0" collapsed="false">
      <c r="A11029" s="34" t="n">
        <v>8664194000131</v>
      </c>
      <c r="B11029" s="34" t="s">
        <v>21792</v>
      </c>
      <c r="C11029" s="34" t="s">
        <v>881</v>
      </c>
      <c r="D11029" s="34" t="s">
        <v>21793</v>
      </c>
      <c r="E11029" s="30" t="s">
        <v>21794</v>
      </c>
      <c r="F11029" s="34" t="n">
        <f aca="false">IFERROR(VLOOKUP($A11029,'319'!$B:$H,7,0),0)</f>
        <v>1166.43</v>
      </c>
      <c r="G11029" s="34" t="n">
        <f aca="false">SUMIFS('12.326ana'!$C:$C,'12.326ana'!$M:$M,redes!A11029)</f>
        <v>0</v>
      </c>
    </row>
    <row r="11030" customFormat="false" ht="14.4" hidden="true" customHeight="false" outlineLevel="0" collapsed="false">
      <c r="A11030" s="34" t="n">
        <v>8664194000212</v>
      </c>
      <c r="B11030" s="34" t="s">
        <v>21795</v>
      </c>
      <c r="C11030" s="34" t="s">
        <v>881</v>
      </c>
      <c r="D11030" s="34" t="s">
        <v>21793</v>
      </c>
      <c r="E11030" s="30" t="s">
        <v>2910</v>
      </c>
      <c r="F11030" s="34" t="n">
        <f aca="false">IFERROR(VLOOKUP($A11030,'319'!$B:$H,7,0),0)</f>
        <v>1673.4</v>
      </c>
      <c r="G11030" s="34" t="n">
        <f aca="false">SUMIFS('12.326ana'!$C:$C,'12.326ana'!$M:$M,redes!A11030)</f>
        <v>0</v>
      </c>
    </row>
    <row r="11031" customFormat="false" ht="14.4" hidden="true" customHeight="false" outlineLevel="0" collapsed="false">
      <c r="A11031" s="34" t="n">
        <v>8664235000190</v>
      </c>
      <c r="B11031" s="34" t="s">
        <v>21796</v>
      </c>
      <c r="C11031" s="34" t="s">
        <v>107</v>
      </c>
      <c r="E11031" s="30" t="s">
        <v>21797</v>
      </c>
      <c r="F11031" s="34" t="n">
        <f aca="false">IFERROR(VLOOKUP($A11031,'319'!$B:$H,7,0),0)</f>
        <v>0</v>
      </c>
      <c r="G11031" s="34" t="n">
        <f aca="false">SUMIFS('12.326ana'!$C:$C,'12.326ana'!$M:$M,redes!A11031)</f>
        <v>0</v>
      </c>
    </row>
    <row r="11032" customFormat="false" ht="14.4" hidden="true" customHeight="false" outlineLevel="0" collapsed="false">
      <c r="A11032" s="34" t="n">
        <v>8666215000158</v>
      </c>
      <c r="B11032" s="34" t="s">
        <v>21798</v>
      </c>
      <c r="C11032" s="34" t="s">
        <v>744</v>
      </c>
      <c r="E11032" s="30" t="s">
        <v>21799</v>
      </c>
      <c r="F11032" s="34" t="n">
        <f aca="false">IFERROR(VLOOKUP($A11032,'319'!$B:$H,7,0),0)</f>
        <v>0</v>
      </c>
      <c r="G11032" s="34" t="n">
        <f aca="false">SUMIFS('12.326ana'!$C:$C,'12.326ana'!$M:$M,redes!A11032)</f>
        <v>0</v>
      </c>
    </row>
    <row r="11033" customFormat="false" ht="14.4" hidden="true" customHeight="false" outlineLevel="0" collapsed="false">
      <c r="A11033" s="34" t="n">
        <v>8666485000169</v>
      </c>
      <c r="B11033" s="34" t="s">
        <v>21800</v>
      </c>
      <c r="C11033" s="34" t="s">
        <v>77</v>
      </c>
      <c r="E11033" s="30" t="s">
        <v>21801</v>
      </c>
      <c r="F11033" s="34" t="n">
        <f aca="false">IFERROR(VLOOKUP($A11033,'319'!$B:$H,7,0),0)</f>
        <v>0</v>
      </c>
      <c r="G11033" s="34" t="n">
        <f aca="false">SUMIFS('12.326ana'!$C:$C,'12.326ana'!$M:$M,redes!A11033)</f>
        <v>0</v>
      </c>
    </row>
    <row r="11034" customFormat="false" ht="14.4" hidden="true" customHeight="false" outlineLevel="0" collapsed="false">
      <c r="A11034" s="34" t="n">
        <v>8669090000209</v>
      </c>
      <c r="B11034" s="34" t="s">
        <v>21802</v>
      </c>
      <c r="C11034" s="34" t="s">
        <v>107</v>
      </c>
      <c r="E11034" s="30" t="s">
        <v>21803</v>
      </c>
      <c r="F11034" s="34" t="n">
        <f aca="false">IFERROR(VLOOKUP($A11034,'319'!$B:$H,7,0),0)</f>
        <v>0</v>
      </c>
      <c r="G11034" s="34" t="n">
        <f aca="false">SUMIFS('12.326ana'!$C:$C,'12.326ana'!$M:$M,redes!A11034)</f>
        <v>0</v>
      </c>
    </row>
    <row r="11035" customFormat="false" ht="14.4" hidden="true" customHeight="false" outlineLevel="0" collapsed="false">
      <c r="A11035" s="34" t="n">
        <v>8669090000381</v>
      </c>
      <c r="B11035" s="34" t="s">
        <v>21802</v>
      </c>
      <c r="C11035" s="34" t="s">
        <v>107</v>
      </c>
      <c r="E11035" s="30" t="s">
        <v>17641</v>
      </c>
      <c r="F11035" s="34" t="n">
        <f aca="false">IFERROR(VLOOKUP($A11035,'319'!$B:$H,7,0),0)</f>
        <v>0</v>
      </c>
      <c r="G11035" s="34" t="n">
        <f aca="false">SUMIFS('12.326ana'!$C:$C,'12.326ana'!$M:$M,redes!A11035)</f>
        <v>0</v>
      </c>
    </row>
    <row r="11036" customFormat="false" ht="14.4" hidden="true" customHeight="false" outlineLevel="0" collapsed="false">
      <c r="A11036" s="34" t="n">
        <v>8669090000462</v>
      </c>
      <c r="B11036" s="34" t="s">
        <v>21802</v>
      </c>
      <c r="C11036" s="34" t="s">
        <v>107</v>
      </c>
      <c r="E11036" s="30" t="s">
        <v>21804</v>
      </c>
      <c r="F11036" s="34" t="n">
        <f aca="false">IFERROR(VLOOKUP($A11036,'319'!$B:$H,7,0),0)</f>
        <v>0</v>
      </c>
      <c r="G11036" s="34" t="n">
        <f aca="false">SUMIFS('12.326ana'!$C:$C,'12.326ana'!$M:$M,redes!A11036)</f>
        <v>0</v>
      </c>
    </row>
    <row r="11037" customFormat="false" ht="14.4" hidden="true" customHeight="false" outlineLevel="0" collapsed="false">
      <c r="A11037" s="34" t="n">
        <v>8669090000543</v>
      </c>
      <c r="B11037" s="34" t="s">
        <v>21802</v>
      </c>
      <c r="C11037" s="34" t="s">
        <v>107</v>
      </c>
      <c r="E11037" s="30" t="s">
        <v>21805</v>
      </c>
      <c r="F11037" s="34" t="n">
        <f aca="false">IFERROR(VLOOKUP($A11037,'319'!$B:$H,7,0),0)</f>
        <v>0</v>
      </c>
      <c r="G11037" s="34" t="n">
        <f aca="false">SUMIFS('12.326ana'!$C:$C,'12.326ana'!$M:$M,redes!A11037)</f>
        <v>0</v>
      </c>
    </row>
    <row r="11038" customFormat="false" ht="14.4" hidden="true" customHeight="false" outlineLevel="0" collapsed="false">
      <c r="A11038" s="34" t="n">
        <v>8672372000176</v>
      </c>
      <c r="B11038" s="34" t="s">
        <v>21806</v>
      </c>
      <c r="C11038" s="34" t="s">
        <v>77</v>
      </c>
      <c r="E11038" s="30" t="s">
        <v>21807</v>
      </c>
      <c r="F11038" s="34" t="n">
        <f aca="false">IFERROR(VLOOKUP($A11038,'319'!$B:$H,7,0),0)</f>
        <v>0</v>
      </c>
      <c r="G11038" s="34" t="n">
        <f aca="false">SUMIFS('12.326ana'!$C:$C,'12.326ana'!$M:$M,redes!A11038)</f>
        <v>0</v>
      </c>
    </row>
    <row r="11039" customFormat="false" ht="14.4" hidden="true" customHeight="false" outlineLevel="0" collapsed="false">
      <c r="A11039" s="34" t="n">
        <v>8672413000124</v>
      </c>
      <c r="B11039" s="34" t="s">
        <v>21808</v>
      </c>
      <c r="C11039" s="34" t="s">
        <v>77</v>
      </c>
      <c r="E11039" s="30" t="s">
        <v>21809</v>
      </c>
      <c r="F11039" s="34" t="n">
        <f aca="false">IFERROR(VLOOKUP($A11039,'319'!$B:$H,7,0),0)</f>
        <v>0</v>
      </c>
      <c r="G11039" s="34" t="n">
        <f aca="false">SUMIFS('12.326ana'!$C:$C,'12.326ana'!$M:$M,redes!A11039)</f>
        <v>0</v>
      </c>
    </row>
    <row r="11040" customFormat="false" ht="14.4" hidden="true" customHeight="false" outlineLevel="0" collapsed="false">
      <c r="A11040" s="34" t="n">
        <v>8673906000189</v>
      </c>
      <c r="B11040" s="34" t="s">
        <v>11024</v>
      </c>
      <c r="C11040" s="34" t="s">
        <v>464</v>
      </c>
      <c r="E11040" s="30" t="s">
        <v>11025</v>
      </c>
      <c r="F11040" s="34" t="n">
        <f aca="false">IFERROR(VLOOKUP($A11040,'319'!$B:$H,7,0),0)</f>
        <v>0</v>
      </c>
      <c r="G11040" s="34" t="n">
        <f aca="false">SUMIFS('12.326ana'!$C:$C,'12.326ana'!$M:$M,redes!A11040)</f>
        <v>0</v>
      </c>
    </row>
    <row r="11041" customFormat="false" ht="14.4" hidden="true" customHeight="false" outlineLevel="0" collapsed="false">
      <c r="A11041" s="34" t="n">
        <v>8674625000140</v>
      </c>
      <c r="B11041" s="34" t="s">
        <v>21810</v>
      </c>
      <c r="C11041" s="34" t="s">
        <v>336</v>
      </c>
      <c r="E11041" s="30" t="s">
        <v>21811</v>
      </c>
      <c r="F11041" s="34" t="n">
        <f aca="false">IFERROR(VLOOKUP($A11041,'319'!$B:$H,7,0),0)</f>
        <v>0</v>
      </c>
      <c r="G11041" s="34" t="n">
        <f aca="false">SUMIFS('12.326ana'!$C:$C,'12.326ana'!$M:$M,redes!A11041)</f>
        <v>0</v>
      </c>
    </row>
    <row r="11042" customFormat="false" ht="14.4" hidden="true" customHeight="false" outlineLevel="0" collapsed="false">
      <c r="A11042" s="34" t="n">
        <v>8674958000170</v>
      </c>
      <c r="B11042" s="34" t="s">
        <v>21812</v>
      </c>
      <c r="C11042" s="34" t="s">
        <v>77</v>
      </c>
      <c r="E11042" s="30" t="s">
        <v>21813</v>
      </c>
      <c r="F11042" s="34" t="n">
        <f aca="false">IFERROR(VLOOKUP($A11042,'319'!$B:$H,7,0),0)</f>
        <v>0</v>
      </c>
      <c r="G11042" s="34" t="n">
        <f aca="false">SUMIFS('12.326ana'!$C:$C,'12.326ana'!$M:$M,redes!A11042)</f>
        <v>0</v>
      </c>
    </row>
    <row r="11043" customFormat="false" ht="14.4" hidden="true" customHeight="false" outlineLevel="0" collapsed="false">
      <c r="A11043" s="34" t="n">
        <v>8675321000106</v>
      </c>
      <c r="B11043" s="34" t="s">
        <v>21814</v>
      </c>
      <c r="C11043" s="34" t="s">
        <v>77</v>
      </c>
      <c r="E11043" s="30" t="s">
        <v>21815</v>
      </c>
      <c r="F11043" s="34" t="n">
        <f aca="false">IFERROR(VLOOKUP($A11043,'319'!$B:$H,7,0),0)</f>
        <v>0</v>
      </c>
      <c r="G11043" s="34" t="n">
        <f aca="false">SUMIFS('12.326ana'!$C:$C,'12.326ana'!$M:$M,redes!A11043)</f>
        <v>0</v>
      </c>
    </row>
    <row r="11044" customFormat="false" ht="14.4" hidden="true" customHeight="false" outlineLevel="0" collapsed="false">
      <c r="A11044" s="34" t="n">
        <v>8675321000289</v>
      </c>
      <c r="B11044" s="34" t="s">
        <v>21814</v>
      </c>
      <c r="C11044" s="34" t="s">
        <v>77</v>
      </c>
      <c r="E11044" s="30"/>
      <c r="F11044" s="34" t="n">
        <f aca="false">IFERROR(VLOOKUP($A11044,'319'!$B:$H,7,0),0)</f>
        <v>0</v>
      </c>
      <c r="G11044" s="34" t="n">
        <f aca="false">SUMIFS('12.326ana'!$C:$C,'12.326ana'!$M:$M,redes!A11044)</f>
        <v>0</v>
      </c>
    </row>
    <row r="11045" customFormat="false" ht="14.4" hidden="true" customHeight="false" outlineLevel="0" collapsed="false">
      <c r="A11045" s="34" t="n">
        <v>8675820000195</v>
      </c>
      <c r="B11045" s="34" t="s">
        <v>21816</v>
      </c>
      <c r="C11045" s="34" t="s">
        <v>1272</v>
      </c>
      <c r="E11045" s="30" t="s">
        <v>21817</v>
      </c>
      <c r="F11045" s="34" t="n">
        <f aca="false">IFERROR(VLOOKUP($A11045,'319'!$B:$H,7,0),0)</f>
        <v>0</v>
      </c>
      <c r="G11045" s="34" t="n">
        <f aca="false">SUMIFS('12.326ana'!$C:$C,'12.326ana'!$M:$M,redes!A11045)</f>
        <v>0</v>
      </c>
    </row>
    <row r="11046" customFormat="false" ht="14.4" hidden="true" customHeight="false" outlineLevel="0" collapsed="false">
      <c r="A11046" s="34" t="n">
        <v>8679814000106</v>
      </c>
      <c r="B11046" s="34" t="s">
        <v>21818</v>
      </c>
      <c r="C11046" s="34" t="s">
        <v>107</v>
      </c>
      <c r="D11046" s="34" t="s">
        <v>19231</v>
      </c>
      <c r="E11046" s="30" t="s">
        <v>5613</v>
      </c>
      <c r="F11046" s="34" t="n">
        <f aca="false">IFERROR(VLOOKUP($A11046,'319'!$B:$H,7,0),0)</f>
        <v>0</v>
      </c>
      <c r="G11046" s="34" t="n">
        <f aca="false">SUMIFS('12.326ana'!$C:$C,'12.326ana'!$M:$M,redes!A11046)</f>
        <v>0</v>
      </c>
    </row>
    <row r="11047" customFormat="false" ht="14.4" hidden="true" customHeight="false" outlineLevel="0" collapsed="false">
      <c r="A11047" s="34" t="n">
        <v>8679814000378</v>
      </c>
      <c r="B11047" s="34" t="s">
        <v>21818</v>
      </c>
      <c r="C11047" s="34" t="s">
        <v>117</v>
      </c>
      <c r="D11047" s="34" t="s">
        <v>19231</v>
      </c>
      <c r="E11047" s="30" t="s">
        <v>21819</v>
      </c>
      <c r="F11047" s="34" t="n">
        <f aca="false">IFERROR(VLOOKUP($A11047,'319'!$B:$H,7,0),0)</f>
        <v>0</v>
      </c>
      <c r="G11047" s="34" t="n">
        <f aca="false">SUMIFS('12.326ana'!$C:$C,'12.326ana'!$M:$M,redes!A11047)</f>
        <v>0</v>
      </c>
    </row>
    <row r="11048" customFormat="false" ht="14.4" hidden="true" customHeight="false" outlineLevel="0" collapsed="false">
      <c r="A11048" s="34" t="n">
        <v>8679814000459</v>
      </c>
      <c r="B11048" s="34" t="s">
        <v>21818</v>
      </c>
      <c r="C11048" s="34" t="s">
        <v>979</v>
      </c>
      <c r="D11048" s="34" t="s">
        <v>19231</v>
      </c>
      <c r="E11048" s="30" t="s">
        <v>21819</v>
      </c>
      <c r="F11048" s="34" t="n">
        <f aca="false">IFERROR(VLOOKUP($A11048,'319'!$B:$H,7,0),0)</f>
        <v>0</v>
      </c>
      <c r="G11048" s="34" t="n">
        <f aca="false">SUMIFS('12.326ana'!$C:$C,'12.326ana'!$M:$M,redes!A11048)</f>
        <v>0</v>
      </c>
    </row>
    <row r="11049" customFormat="false" ht="14.4" hidden="true" customHeight="false" outlineLevel="0" collapsed="false">
      <c r="A11049" s="34" t="n">
        <v>8679814000530</v>
      </c>
      <c r="B11049" s="34" t="s">
        <v>21818</v>
      </c>
      <c r="C11049" s="34" t="s">
        <v>604</v>
      </c>
      <c r="D11049" s="34" t="s">
        <v>19231</v>
      </c>
      <c r="E11049" s="30" t="s">
        <v>21819</v>
      </c>
      <c r="F11049" s="34" t="n">
        <f aca="false">IFERROR(VLOOKUP($A11049,'319'!$B:$H,7,0),0)</f>
        <v>0</v>
      </c>
      <c r="G11049" s="34" t="n">
        <f aca="false">SUMIFS('12.326ana'!$C:$C,'12.326ana'!$M:$M,redes!A11049)</f>
        <v>0</v>
      </c>
    </row>
    <row r="11050" customFormat="false" ht="14.4" hidden="true" customHeight="false" outlineLevel="0" collapsed="false">
      <c r="A11050" s="34" t="n">
        <v>8679814000610</v>
      </c>
      <c r="B11050" s="34" t="s">
        <v>21820</v>
      </c>
      <c r="C11050" s="34" t="s">
        <v>107</v>
      </c>
      <c r="E11050" s="30" t="s">
        <v>21821</v>
      </c>
      <c r="F11050" s="34" t="n">
        <f aca="false">IFERROR(VLOOKUP($A11050,'319'!$B:$H,7,0),0)</f>
        <v>0</v>
      </c>
      <c r="G11050" s="34" t="n">
        <f aca="false">SUMIFS('12.326ana'!$C:$C,'12.326ana'!$M:$M,redes!A11050)</f>
        <v>0</v>
      </c>
    </row>
    <row r="11051" customFormat="false" ht="14.4" hidden="true" customHeight="false" outlineLevel="0" collapsed="false">
      <c r="A11051" s="34" t="n">
        <v>8679814000700</v>
      </c>
      <c r="B11051" s="34" t="s">
        <v>21820</v>
      </c>
      <c r="C11051" s="34" t="s">
        <v>107</v>
      </c>
      <c r="D11051" s="34" t="s">
        <v>19231</v>
      </c>
      <c r="E11051" s="30" t="s">
        <v>21822</v>
      </c>
      <c r="F11051" s="34" t="n">
        <f aca="false">IFERROR(VLOOKUP($A11051,'319'!$B:$H,7,0),0)</f>
        <v>0</v>
      </c>
      <c r="G11051" s="34" t="n">
        <f aca="false">SUMIFS('12.326ana'!$C:$C,'12.326ana'!$M:$M,redes!A11051)</f>
        <v>0</v>
      </c>
    </row>
    <row r="11052" customFormat="false" ht="14.4" hidden="true" customHeight="false" outlineLevel="0" collapsed="false">
      <c r="A11052" s="34" t="n">
        <v>8679814000882</v>
      </c>
      <c r="B11052" s="34" t="s">
        <v>21823</v>
      </c>
      <c r="C11052" s="34" t="s">
        <v>594</v>
      </c>
      <c r="D11052" s="34" t="s">
        <v>19231</v>
      </c>
      <c r="E11052" s="30" t="s">
        <v>21824</v>
      </c>
      <c r="F11052" s="34" t="n">
        <f aca="false">IFERROR(VLOOKUP($A11052,'319'!$B:$H,7,0),0)</f>
        <v>0</v>
      </c>
      <c r="G11052" s="34" t="n">
        <f aca="false">SUMIFS('12.326ana'!$C:$C,'12.326ana'!$M:$M,redes!A11052)</f>
        <v>0</v>
      </c>
    </row>
    <row r="11053" customFormat="false" ht="14.4" hidden="true" customHeight="false" outlineLevel="0" collapsed="false">
      <c r="A11053" s="34" t="n">
        <v>8684505000124</v>
      </c>
      <c r="B11053" s="34" t="s">
        <v>21825</v>
      </c>
      <c r="C11053" s="34" t="s">
        <v>721</v>
      </c>
      <c r="E11053" s="30" t="s">
        <v>21826</v>
      </c>
      <c r="F11053" s="34" t="n">
        <f aca="false">IFERROR(VLOOKUP($A11053,'319'!$B:$H,7,0),0)</f>
        <v>0</v>
      </c>
      <c r="G11053" s="34" t="n">
        <f aca="false">SUMIFS('12.326ana'!$C:$C,'12.326ana'!$M:$M,redes!A11053)</f>
        <v>0</v>
      </c>
    </row>
    <row r="11054" customFormat="false" ht="14.4" hidden="true" customHeight="false" outlineLevel="0" collapsed="false">
      <c r="A11054" s="34" t="n">
        <v>8684517000159</v>
      </c>
      <c r="B11054" s="34" t="s">
        <v>21827</v>
      </c>
      <c r="C11054" s="34" t="s">
        <v>473</v>
      </c>
      <c r="E11054" s="30" t="s">
        <v>21828</v>
      </c>
      <c r="F11054" s="34" t="n">
        <f aca="false">IFERROR(VLOOKUP($A11054,'319'!$B:$H,7,0),0)</f>
        <v>0</v>
      </c>
      <c r="G11054" s="34" t="n">
        <f aca="false">SUMIFS('12.326ana'!$C:$C,'12.326ana'!$M:$M,redes!A11054)</f>
        <v>0</v>
      </c>
    </row>
    <row r="11055" customFormat="false" ht="14.4" hidden="true" customHeight="false" outlineLevel="0" collapsed="false">
      <c r="A11055" s="34" t="n">
        <v>8687020000194</v>
      </c>
      <c r="B11055" s="34" t="s">
        <v>21829</v>
      </c>
      <c r="C11055" s="34" t="s">
        <v>197</v>
      </c>
      <c r="E11055" s="30" t="s">
        <v>6376</v>
      </c>
      <c r="F11055" s="34" t="n">
        <f aca="false">IFERROR(VLOOKUP($A11055,'319'!$B:$H,7,0),0)</f>
        <v>0</v>
      </c>
      <c r="G11055" s="34" t="n">
        <f aca="false">SUMIFS('12.326ana'!$C:$C,'12.326ana'!$M:$M,redes!A11055)</f>
        <v>0</v>
      </c>
    </row>
    <row r="11056" customFormat="false" ht="14.4" hidden="true" customHeight="false" outlineLevel="0" collapsed="false">
      <c r="A11056" s="34" t="n">
        <v>8692554000109</v>
      </c>
      <c r="B11056" s="34" t="s">
        <v>21830</v>
      </c>
      <c r="C11056" s="34" t="s">
        <v>464</v>
      </c>
      <c r="E11056" s="30" t="s">
        <v>4262</v>
      </c>
      <c r="F11056" s="34" t="n">
        <f aca="false">IFERROR(VLOOKUP($A11056,'319'!$B:$H,7,0),0)</f>
        <v>0</v>
      </c>
      <c r="G11056" s="34" t="n">
        <f aca="false">SUMIFS('12.326ana'!$C:$C,'12.326ana'!$M:$M,redes!A11056)</f>
        <v>0</v>
      </c>
    </row>
    <row r="11057" customFormat="false" ht="14.4" hidden="true" customHeight="false" outlineLevel="0" collapsed="false">
      <c r="A11057" s="34" t="n">
        <v>8695858000120</v>
      </c>
      <c r="B11057" s="34" t="s">
        <v>21831</v>
      </c>
      <c r="C11057" s="34" t="s">
        <v>473</v>
      </c>
      <c r="E11057" s="30" t="s">
        <v>19822</v>
      </c>
      <c r="F11057" s="34" t="n">
        <f aca="false">IFERROR(VLOOKUP($A11057,'319'!$B:$H,7,0),0)</f>
        <v>0</v>
      </c>
      <c r="G11057" s="34" t="n">
        <f aca="false">SUMIFS('12.326ana'!$C:$C,'12.326ana'!$M:$M,redes!A11057)</f>
        <v>0</v>
      </c>
    </row>
    <row r="11058" customFormat="false" ht="14.4" hidden="true" customHeight="false" outlineLevel="0" collapsed="false">
      <c r="A11058" s="34" t="n">
        <v>8695858000200</v>
      </c>
      <c r="B11058" s="34" t="s">
        <v>21832</v>
      </c>
      <c r="C11058" s="34" t="s">
        <v>473</v>
      </c>
      <c r="E11058" s="30" t="s">
        <v>2955</v>
      </c>
      <c r="F11058" s="34" t="n">
        <f aca="false">IFERROR(VLOOKUP($A11058,'319'!$B:$H,7,0),0)</f>
        <v>507.02</v>
      </c>
      <c r="G11058" s="34" t="n">
        <f aca="false">SUMIFS('12.326ana'!$C:$C,'12.326ana'!$M:$M,redes!A11058)</f>
        <v>0</v>
      </c>
    </row>
    <row r="11059" customFormat="false" ht="14.4" hidden="true" customHeight="false" outlineLevel="0" collapsed="false">
      <c r="A11059" s="34" t="n">
        <v>8701638000161</v>
      </c>
      <c r="B11059" s="34" t="s">
        <v>21833</v>
      </c>
      <c r="C11059" s="34" t="s">
        <v>848</v>
      </c>
      <c r="E11059" s="30" t="s">
        <v>16792</v>
      </c>
      <c r="F11059" s="34" t="n">
        <f aca="false">IFERROR(VLOOKUP($A11059,'319'!$B:$H,7,0),0)</f>
        <v>0</v>
      </c>
      <c r="G11059" s="34" t="n">
        <f aca="false">SUMIFS('12.326ana'!$C:$C,'12.326ana'!$M:$M,redes!A11059)</f>
        <v>0</v>
      </c>
    </row>
    <row r="11060" customFormat="false" ht="14.4" hidden="true" customHeight="false" outlineLevel="0" collapsed="false">
      <c r="A11060" s="34" t="n">
        <v>8703071000162</v>
      </c>
      <c r="B11060" s="34" t="s">
        <v>21834</v>
      </c>
      <c r="C11060" s="34" t="s">
        <v>994</v>
      </c>
      <c r="E11060" s="30" t="s">
        <v>7443</v>
      </c>
      <c r="F11060" s="34" t="n">
        <f aca="false">IFERROR(VLOOKUP($A11060,'319'!$B:$H,7,0),0)</f>
        <v>0</v>
      </c>
      <c r="G11060" s="34" t="n">
        <f aca="false">SUMIFS('12.326ana'!$C:$C,'12.326ana'!$M:$M,redes!A11060)</f>
        <v>0</v>
      </c>
    </row>
    <row r="11061" customFormat="false" ht="14.4" hidden="true" customHeight="false" outlineLevel="0" collapsed="false">
      <c r="A11061" s="34" t="n">
        <v>8707123000179</v>
      </c>
      <c r="B11061" s="34" t="s">
        <v>21835</v>
      </c>
      <c r="C11061" s="34" t="s">
        <v>77</v>
      </c>
      <c r="E11061" s="30" t="s">
        <v>21836</v>
      </c>
      <c r="F11061" s="34" t="n">
        <f aca="false">IFERROR(VLOOKUP($A11061,'319'!$B:$H,7,0),0)</f>
        <v>0</v>
      </c>
      <c r="G11061" s="34" t="n">
        <f aca="false">SUMIFS('12.326ana'!$C:$C,'12.326ana'!$M:$M,redes!A11061)</f>
        <v>0</v>
      </c>
    </row>
    <row r="11062" customFormat="false" ht="14.4" hidden="true" customHeight="false" outlineLevel="0" collapsed="false">
      <c r="A11062" s="34" t="n">
        <v>8707293000153</v>
      </c>
      <c r="B11062" s="34" t="s">
        <v>21837</v>
      </c>
      <c r="C11062" s="34" t="s">
        <v>77</v>
      </c>
      <c r="E11062" s="30" t="s">
        <v>21838</v>
      </c>
      <c r="F11062" s="34" t="n">
        <f aca="false">IFERROR(VLOOKUP($A11062,'319'!$B:$H,7,0),0)</f>
        <v>0</v>
      </c>
      <c r="G11062" s="34" t="n">
        <f aca="false">SUMIFS('12.326ana'!$C:$C,'12.326ana'!$M:$M,redes!A11062)</f>
        <v>0</v>
      </c>
    </row>
    <row r="11063" customFormat="false" ht="14.4" hidden="true" customHeight="false" outlineLevel="0" collapsed="false">
      <c r="A11063" s="34" t="n">
        <v>8707638000179</v>
      </c>
      <c r="B11063" s="34" t="s">
        <v>21839</v>
      </c>
      <c r="C11063" s="34" t="s">
        <v>89</v>
      </c>
      <c r="E11063" s="30" t="s">
        <v>21840</v>
      </c>
      <c r="F11063" s="34" t="n">
        <f aca="false">IFERROR(VLOOKUP($A11063,'319'!$B:$H,7,0),0)</f>
        <v>0</v>
      </c>
      <c r="G11063" s="34" t="n">
        <f aca="false">SUMIFS('12.326ana'!$C:$C,'12.326ana'!$M:$M,redes!A11063)</f>
        <v>0</v>
      </c>
    </row>
    <row r="11064" customFormat="false" ht="14.4" hidden="true" customHeight="false" outlineLevel="0" collapsed="false">
      <c r="A11064" s="34" t="n">
        <v>8712049000189</v>
      </c>
      <c r="B11064" s="34" t="s">
        <v>7318</v>
      </c>
      <c r="C11064" s="34" t="s">
        <v>463</v>
      </c>
      <c r="E11064" s="30" t="s">
        <v>9339</v>
      </c>
      <c r="F11064" s="34" t="n">
        <f aca="false">IFERROR(VLOOKUP($A11064,'319'!$B:$H,7,0),0)</f>
        <v>0</v>
      </c>
      <c r="G11064" s="34" t="n">
        <f aca="false">SUMIFS('12.326ana'!$C:$C,'12.326ana'!$M:$M,redes!A11064)</f>
        <v>0</v>
      </c>
    </row>
    <row r="11065" customFormat="false" ht="14.4" hidden="true" customHeight="false" outlineLevel="0" collapsed="false">
      <c r="A11065" s="34" t="n">
        <v>8717115000103</v>
      </c>
      <c r="B11065" s="34" t="s">
        <v>21841</v>
      </c>
      <c r="C11065" s="34" t="s">
        <v>77</v>
      </c>
      <c r="E11065" s="30" t="s">
        <v>21842</v>
      </c>
      <c r="F11065" s="34" t="n">
        <f aca="false">IFERROR(VLOOKUP($A11065,'319'!$B:$H,7,0),0)</f>
        <v>356.23</v>
      </c>
      <c r="G11065" s="34" t="n">
        <f aca="false">SUMIFS('12.326ana'!$C:$C,'12.326ana'!$M:$M,redes!A11065)</f>
        <v>0</v>
      </c>
    </row>
    <row r="11066" customFormat="false" ht="14.4" hidden="true" customHeight="false" outlineLevel="0" collapsed="false">
      <c r="A11066" s="34" t="n">
        <v>8717412000159</v>
      </c>
      <c r="B11066" s="34" t="s">
        <v>21843</v>
      </c>
      <c r="C11066" s="34" t="s">
        <v>475</v>
      </c>
      <c r="E11066" s="30" t="s">
        <v>21844</v>
      </c>
      <c r="F11066" s="34" t="n">
        <f aca="false">IFERROR(VLOOKUP($A11066,'319'!$B:$H,7,0),0)</f>
        <v>0</v>
      </c>
      <c r="G11066" s="34" t="n">
        <f aca="false">SUMIFS('12.326ana'!$C:$C,'12.326ana'!$M:$M,redes!A11066)</f>
        <v>0</v>
      </c>
    </row>
    <row r="11067" customFormat="false" ht="14.4" hidden="true" customHeight="false" outlineLevel="0" collapsed="false">
      <c r="A11067" s="34" t="n">
        <v>8717854000103</v>
      </c>
      <c r="B11067" s="34" t="s">
        <v>21845</v>
      </c>
      <c r="C11067" s="34" t="s">
        <v>478</v>
      </c>
      <c r="E11067" s="30" t="s">
        <v>21846</v>
      </c>
      <c r="F11067" s="34" t="n">
        <f aca="false">IFERROR(VLOOKUP($A11067,'319'!$B:$H,7,0),0)</f>
        <v>0</v>
      </c>
      <c r="G11067" s="34" t="n">
        <f aca="false">SUMIFS('12.326ana'!$C:$C,'12.326ana'!$M:$M,redes!A11067)</f>
        <v>0</v>
      </c>
    </row>
    <row r="11068" customFormat="false" ht="14.4" hidden="true" customHeight="false" outlineLevel="0" collapsed="false">
      <c r="A11068" s="34" t="n">
        <v>8721187000124</v>
      </c>
      <c r="B11068" s="34" t="s">
        <v>21847</v>
      </c>
      <c r="C11068" s="34" t="s">
        <v>77</v>
      </c>
      <c r="E11068" s="30" t="s">
        <v>21848</v>
      </c>
      <c r="F11068" s="34" t="n">
        <f aca="false">IFERROR(VLOOKUP($A11068,'319'!$B:$H,7,0),0)</f>
        <v>0</v>
      </c>
      <c r="G11068" s="34" t="n">
        <f aca="false">SUMIFS('12.326ana'!$C:$C,'12.326ana'!$M:$M,redes!A11068)</f>
        <v>0</v>
      </c>
    </row>
    <row r="11069" customFormat="false" ht="14.4" hidden="true" customHeight="false" outlineLevel="0" collapsed="false">
      <c r="A11069" s="34" t="n">
        <v>8722880000111</v>
      </c>
      <c r="B11069" s="34" t="s">
        <v>21849</v>
      </c>
      <c r="C11069" s="34" t="s">
        <v>77</v>
      </c>
      <c r="E11069" s="30" t="s">
        <v>21850</v>
      </c>
      <c r="F11069" s="34" t="n">
        <f aca="false">IFERROR(VLOOKUP($A11069,'319'!$B:$H,7,0),0)</f>
        <v>0</v>
      </c>
      <c r="G11069" s="34" t="n">
        <f aca="false">SUMIFS('12.326ana'!$C:$C,'12.326ana'!$M:$M,redes!A11069)</f>
        <v>0</v>
      </c>
    </row>
    <row r="11070" customFormat="false" ht="14.4" hidden="true" customHeight="false" outlineLevel="0" collapsed="false">
      <c r="A11070" s="34" t="n">
        <v>8724009000157</v>
      </c>
      <c r="B11070" s="34" t="s">
        <v>21851</v>
      </c>
      <c r="C11070" s="34" t="s">
        <v>299</v>
      </c>
      <c r="E11070" s="30" t="s">
        <v>21852</v>
      </c>
      <c r="F11070" s="34" t="n">
        <f aca="false">IFERROR(VLOOKUP($A11070,'319'!$B:$H,7,0),0)</f>
        <v>0</v>
      </c>
      <c r="G11070" s="34" t="n">
        <f aca="false">SUMIFS('12.326ana'!$C:$C,'12.326ana'!$M:$M,redes!A11070)</f>
        <v>0</v>
      </c>
    </row>
    <row r="11071" customFormat="false" ht="14.4" hidden="true" customHeight="false" outlineLevel="0" collapsed="false">
      <c r="A11071" s="34" t="n">
        <v>8732997000186</v>
      </c>
      <c r="B11071" s="34" t="s">
        <v>21853</v>
      </c>
      <c r="C11071" s="34" t="s">
        <v>117</v>
      </c>
      <c r="E11071" s="30" t="s">
        <v>21854</v>
      </c>
      <c r="F11071" s="34" t="n">
        <f aca="false">IFERROR(VLOOKUP($A11071,'319'!$B:$H,7,0),0)</f>
        <v>0</v>
      </c>
      <c r="G11071" s="34" t="n">
        <f aca="false">SUMIFS('12.326ana'!$C:$C,'12.326ana'!$M:$M,redes!A11071)</f>
        <v>0</v>
      </c>
    </row>
    <row r="11072" customFormat="false" ht="14.4" hidden="true" customHeight="false" outlineLevel="0" collapsed="false">
      <c r="A11072" s="34" t="n">
        <v>8736122000152</v>
      </c>
      <c r="B11072" s="34" t="s">
        <v>21855</v>
      </c>
      <c r="C11072" s="34" t="s">
        <v>107</v>
      </c>
      <c r="E11072" s="30" t="s">
        <v>9879</v>
      </c>
      <c r="F11072" s="34" t="n">
        <f aca="false">IFERROR(VLOOKUP($A11072,'319'!$B:$H,7,0),0)</f>
        <v>0</v>
      </c>
      <c r="G11072" s="34" t="n">
        <f aca="false">SUMIFS('12.326ana'!$C:$C,'12.326ana'!$M:$M,redes!A11072)</f>
        <v>0</v>
      </c>
    </row>
    <row r="11073" customFormat="false" ht="14.4" hidden="true" customHeight="false" outlineLevel="0" collapsed="false">
      <c r="A11073" s="34" t="n">
        <v>8738985000169</v>
      </c>
      <c r="B11073" s="34" t="s">
        <v>21856</v>
      </c>
      <c r="C11073" s="34" t="s">
        <v>127</v>
      </c>
      <c r="E11073" s="30" t="s">
        <v>21857</v>
      </c>
      <c r="F11073" s="34" t="n">
        <f aca="false">IFERROR(VLOOKUP($A11073,'319'!$B:$H,7,0),0)</f>
        <v>0</v>
      </c>
      <c r="G11073" s="34" t="n">
        <f aca="false">SUMIFS('12.326ana'!$C:$C,'12.326ana'!$M:$M,redes!A11073)</f>
        <v>0</v>
      </c>
    </row>
    <row r="11074" customFormat="false" ht="14.4" hidden="true" customHeight="false" outlineLevel="0" collapsed="false">
      <c r="A11074" s="34" t="n">
        <v>8744207000182</v>
      </c>
      <c r="B11074" s="34" t="s">
        <v>21858</v>
      </c>
      <c r="C11074" s="34" t="s">
        <v>463</v>
      </c>
      <c r="E11074" s="30" t="s">
        <v>4445</v>
      </c>
      <c r="F11074" s="34" t="n">
        <f aca="false">IFERROR(VLOOKUP($A11074,'319'!$B:$H,7,0),0)</f>
        <v>0</v>
      </c>
      <c r="G11074" s="34" t="n">
        <f aca="false">SUMIFS('12.326ana'!$C:$C,'12.326ana'!$M:$M,redes!A11074)</f>
        <v>0</v>
      </c>
    </row>
    <row r="11075" customFormat="false" ht="14.4" hidden="true" customHeight="false" outlineLevel="0" collapsed="false">
      <c r="A11075" s="34" t="n">
        <v>8746644000135</v>
      </c>
      <c r="B11075" s="34" t="s">
        <v>21859</v>
      </c>
      <c r="C11075" s="34" t="s">
        <v>77</v>
      </c>
      <c r="E11075" s="30" t="s">
        <v>21860</v>
      </c>
      <c r="F11075" s="34" t="n">
        <f aca="false">IFERROR(VLOOKUP($A11075,'319'!$B:$H,7,0),0)</f>
        <v>0</v>
      </c>
      <c r="G11075" s="34" t="n">
        <f aca="false">SUMIFS('12.326ana'!$C:$C,'12.326ana'!$M:$M,redes!A11075)</f>
        <v>0</v>
      </c>
    </row>
    <row r="11076" customFormat="false" ht="14.4" hidden="true" customHeight="false" outlineLevel="0" collapsed="false">
      <c r="A11076" s="34" t="n">
        <v>8746994000100</v>
      </c>
      <c r="B11076" s="34" t="s">
        <v>21861</v>
      </c>
      <c r="C11076" s="34" t="s">
        <v>562</v>
      </c>
      <c r="E11076" s="30" t="s">
        <v>21862</v>
      </c>
      <c r="F11076" s="34" t="n">
        <f aca="false">IFERROR(VLOOKUP($A11076,'319'!$B:$H,7,0),0)</f>
        <v>0</v>
      </c>
      <c r="G11076" s="34" t="n">
        <f aca="false">SUMIFS('12.326ana'!$C:$C,'12.326ana'!$M:$M,redes!A11076)</f>
        <v>0</v>
      </c>
    </row>
    <row r="11077" customFormat="false" ht="14.4" hidden="true" customHeight="false" outlineLevel="0" collapsed="false">
      <c r="A11077" s="34" t="n">
        <v>8749933000198</v>
      </c>
      <c r="B11077" s="34" t="s">
        <v>21863</v>
      </c>
      <c r="C11077" s="34" t="s">
        <v>77</v>
      </c>
      <c r="E11077" s="30" t="s">
        <v>21864</v>
      </c>
      <c r="F11077" s="34" t="n">
        <f aca="false">IFERROR(VLOOKUP($A11077,'319'!$B:$H,7,0),0)</f>
        <v>0</v>
      </c>
      <c r="G11077" s="34" t="n">
        <f aca="false">SUMIFS('12.326ana'!$C:$C,'12.326ana'!$M:$M,redes!A11077)</f>
        <v>0</v>
      </c>
    </row>
    <row r="11078" customFormat="false" ht="14.4" hidden="true" customHeight="false" outlineLevel="0" collapsed="false">
      <c r="A11078" s="34" t="n">
        <v>8752211000192</v>
      </c>
      <c r="B11078" s="34" t="s">
        <v>21865</v>
      </c>
      <c r="C11078" s="34" t="s">
        <v>309</v>
      </c>
      <c r="D11078" s="34" t="s">
        <v>9598</v>
      </c>
      <c r="E11078" s="30" t="s">
        <v>19748</v>
      </c>
      <c r="F11078" s="34" t="n">
        <f aca="false">IFERROR(VLOOKUP($A11078,'319'!$B:$H,7,0),0)</f>
        <v>-438.41</v>
      </c>
      <c r="G11078" s="34" t="n">
        <f aca="false">SUMIFS('12.326ana'!$C:$C,'12.326ana'!$M:$M,redes!A11078)</f>
        <v>0</v>
      </c>
    </row>
    <row r="11079" customFormat="false" ht="14.4" hidden="true" customHeight="false" outlineLevel="0" collapsed="false">
      <c r="A11079" s="34" t="n">
        <v>8752211000273</v>
      </c>
      <c r="B11079" s="34" t="s">
        <v>21865</v>
      </c>
      <c r="C11079" s="34" t="s">
        <v>309</v>
      </c>
      <c r="D11079" s="34" t="s">
        <v>9598</v>
      </c>
      <c r="E11079" s="30" t="s">
        <v>21866</v>
      </c>
      <c r="F11079" s="34" t="n">
        <f aca="false">IFERROR(VLOOKUP($A11079,'319'!$B:$H,7,0),0)</f>
        <v>87.28</v>
      </c>
      <c r="G11079" s="34" t="n">
        <f aca="false">SUMIFS('12.326ana'!$C:$C,'12.326ana'!$M:$M,redes!A11079)</f>
        <v>0</v>
      </c>
    </row>
    <row r="11080" customFormat="false" ht="14.4" hidden="true" customHeight="false" outlineLevel="0" collapsed="false">
      <c r="A11080" s="34" t="n">
        <v>8752211000354</v>
      </c>
      <c r="B11080" s="34" t="s">
        <v>21865</v>
      </c>
      <c r="C11080" s="34" t="s">
        <v>309</v>
      </c>
      <c r="D11080" s="34" t="s">
        <v>9598</v>
      </c>
      <c r="E11080" s="30" t="s">
        <v>21867</v>
      </c>
      <c r="F11080" s="34" t="n">
        <f aca="false">IFERROR(VLOOKUP($A11080,'319'!$B:$H,7,0),0)</f>
        <v>87.28</v>
      </c>
      <c r="G11080" s="34" t="n">
        <f aca="false">SUMIFS('12.326ana'!$C:$C,'12.326ana'!$M:$M,redes!A11080)</f>
        <v>0</v>
      </c>
    </row>
    <row r="11081" customFormat="false" ht="14.4" hidden="true" customHeight="false" outlineLevel="0" collapsed="false">
      <c r="A11081" s="34" t="n">
        <v>8752211000435</v>
      </c>
      <c r="B11081" s="34" t="s">
        <v>21865</v>
      </c>
      <c r="C11081" s="34" t="s">
        <v>309</v>
      </c>
      <c r="E11081" s="30" t="s">
        <v>21868</v>
      </c>
      <c r="F11081" s="34" t="n">
        <f aca="false">IFERROR(VLOOKUP($A11081,'319'!$B:$H,7,0),0)</f>
        <v>-20.01</v>
      </c>
      <c r="G11081" s="34" t="n">
        <f aca="false">SUMIFS('12.326ana'!$C:$C,'12.326ana'!$M:$M,redes!A11081)</f>
        <v>0</v>
      </c>
    </row>
    <row r="11082" customFormat="false" ht="14.4" hidden="true" customHeight="false" outlineLevel="0" collapsed="false">
      <c r="A11082" s="34" t="n">
        <v>8752624000177</v>
      </c>
      <c r="B11082" s="34" t="s">
        <v>21869</v>
      </c>
      <c r="C11082" s="34" t="s">
        <v>129</v>
      </c>
      <c r="E11082" s="30" t="s">
        <v>3001</v>
      </c>
      <c r="F11082" s="34" t="n">
        <f aca="false">IFERROR(VLOOKUP($A11082,'319'!$B:$H,7,0),0)</f>
        <v>0</v>
      </c>
      <c r="G11082" s="34" t="n">
        <f aca="false">SUMIFS('12.326ana'!$C:$C,'12.326ana'!$M:$M,redes!A11082)</f>
        <v>0</v>
      </c>
    </row>
    <row r="11083" customFormat="false" ht="14.4" hidden="true" customHeight="false" outlineLevel="0" collapsed="false">
      <c r="A11083" s="34" t="n">
        <v>8752656000172</v>
      </c>
      <c r="B11083" s="34" t="s">
        <v>21870</v>
      </c>
      <c r="C11083" s="34" t="s">
        <v>107</v>
      </c>
      <c r="E11083" s="30" t="s">
        <v>21871</v>
      </c>
      <c r="F11083" s="34" t="n">
        <f aca="false">IFERROR(VLOOKUP($A11083,'319'!$B:$H,7,0),0)</f>
        <v>0</v>
      </c>
      <c r="G11083" s="34" t="n">
        <f aca="false">SUMIFS('12.326ana'!$C:$C,'12.326ana'!$M:$M,redes!A11083)</f>
        <v>0</v>
      </c>
    </row>
    <row r="11084" customFormat="false" ht="14.4" hidden="true" customHeight="false" outlineLevel="0" collapsed="false">
      <c r="A11084" s="34" t="n">
        <v>8754536000104</v>
      </c>
      <c r="B11084" s="34" t="s">
        <v>21872</v>
      </c>
      <c r="C11084" s="34" t="s">
        <v>478</v>
      </c>
      <c r="E11084" s="30" t="s">
        <v>21872</v>
      </c>
      <c r="F11084" s="34" t="n">
        <f aca="false">IFERROR(VLOOKUP($A11084,'319'!$B:$H,7,0),0)</f>
        <v>0</v>
      </c>
      <c r="G11084" s="34" t="n">
        <f aca="false">SUMIFS('12.326ana'!$C:$C,'12.326ana'!$M:$M,redes!A11084)</f>
        <v>0</v>
      </c>
    </row>
    <row r="11085" customFormat="false" ht="14.4" hidden="true" customHeight="false" outlineLevel="0" collapsed="false">
      <c r="A11085" s="34" t="n">
        <v>8755533000195</v>
      </c>
      <c r="B11085" s="34" t="s">
        <v>21873</v>
      </c>
      <c r="C11085" s="34" t="s">
        <v>328</v>
      </c>
      <c r="E11085" s="30" t="s">
        <v>21874</v>
      </c>
      <c r="F11085" s="34" t="n">
        <f aca="false">IFERROR(VLOOKUP($A11085,'319'!$B:$H,7,0),0)</f>
        <v>0</v>
      </c>
      <c r="G11085" s="34" t="n">
        <f aca="false">SUMIFS('12.326ana'!$C:$C,'12.326ana'!$M:$M,redes!A11085)</f>
        <v>0</v>
      </c>
    </row>
    <row r="11086" customFormat="false" ht="14.4" hidden="true" customHeight="false" outlineLevel="0" collapsed="false">
      <c r="A11086" s="34" t="n">
        <v>8757714000150</v>
      </c>
      <c r="B11086" s="34" t="s">
        <v>21875</v>
      </c>
      <c r="C11086" s="34" t="s">
        <v>139</v>
      </c>
      <c r="E11086" s="30" t="s">
        <v>3045</v>
      </c>
      <c r="F11086" s="34" t="n">
        <f aca="false">IFERROR(VLOOKUP($A11086,'319'!$B:$H,7,0),0)</f>
        <v>0</v>
      </c>
      <c r="G11086" s="34" t="n">
        <f aca="false">SUMIFS('12.326ana'!$C:$C,'12.326ana'!$M:$M,redes!A11086)</f>
        <v>0</v>
      </c>
    </row>
    <row r="11087" customFormat="false" ht="14.4" hidden="true" customHeight="false" outlineLevel="0" collapsed="false">
      <c r="A11087" s="34" t="n">
        <v>8758271000112</v>
      </c>
      <c r="B11087" s="34" t="s">
        <v>21876</v>
      </c>
      <c r="C11087" s="34" t="s">
        <v>77</v>
      </c>
      <c r="E11087" s="30" t="s">
        <v>10169</v>
      </c>
      <c r="F11087" s="34" t="n">
        <f aca="false">IFERROR(VLOOKUP($A11087,'319'!$B:$H,7,0),0)</f>
        <v>0</v>
      </c>
      <c r="G11087" s="34" t="n">
        <f aca="false">SUMIFS('12.326ana'!$C:$C,'12.326ana'!$M:$M,redes!A11087)</f>
        <v>0</v>
      </c>
    </row>
    <row r="11088" customFormat="false" ht="14.4" hidden="true" customHeight="false" outlineLevel="0" collapsed="false">
      <c r="A11088" s="34" t="n">
        <v>8758896000184</v>
      </c>
      <c r="B11088" s="34" t="s">
        <v>21877</v>
      </c>
      <c r="C11088" s="34" t="s">
        <v>77</v>
      </c>
      <c r="E11088" s="30" t="s">
        <v>21878</v>
      </c>
      <c r="F11088" s="34" t="n">
        <f aca="false">IFERROR(VLOOKUP($A11088,'319'!$B:$H,7,0),0)</f>
        <v>0</v>
      </c>
      <c r="G11088" s="34" t="n">
        <f aca="false">SUMIFS('12.326ana'!$C:$C,'12.326ana'!$M:$M,redes!A11088)</f>
        <v>0</v>
      </c>
    </row>
    <row r="11089" customFormat="false" ht="14.4" hidden="true" customHeight="false" outlineLevel="0" collapsed="false">
      <c r="A11089" s="34" t="n">
        <v>8760863000179</v>
      </c>
      <c r="B11089" s="34" t="s">
        <v>21879</v>
      </c>
      <c r="C11089" s="34" t="s">
        <v>342</v>
      </c>
      <c r="E11089" s="30" t="s">
        <v>21880</v>
      </c>
      <c r="F11089" s="34" t="n">
        <f aca="false">IFERROR(VLOOKUP($A11089,'319'!$B:$H,7,0),0)</f>
        <v>0</v>
      </c>
      <c r="G11089" s="34" t="n">
        <f aca="false">SUMIFS('12.326ana'!$C:$C,'12.326ana'!$M:$M,redes!A11089)</f>
        <v>0</v>
      </c>
    </row>
    <row r="11090" customFormat="false" ht="14.4" hidden="true" customHeight="false" outlineLevel="0" collapsed="false">
      <c r="A11090" s="34" t="n">
        <v>8761288000129</v>
      </c>
      <c r="B11090" s="34" t="s">
        <v>21881</v>
      </c>
      <c r="C11090" s="34" t="s">
        <v>357</v>
      </c>
      <c r="E11090" s="30" t="s">
        <v>21882</v>
      </c>
      <c r="F11090" s="34" t="n">
        <f aca="false">IFERROR(VLOOKUP($A11090,'319'!$B:$H,7,0),0)</f>
        <v>0</v>
      </c>
      <c r="G11090" s="34" t="n">
        <f aca="false">SUMIFS('12.326ana'!$C:$C,'12.326ana'!$M:$M,redes!A11090)</f>
        <v>0</v>
      </c>
    </row>
    <row r="11091" customFormat="false" ht="14.4" hidden="true" customHeight="false" outlineLevel="0" collapsed="false">
      <c r="A11091" s="34" t="n">
        <v>8769962000111</v>
      </c>
      <c r="B11091" s="34" t="s">
        <v>21883</v>
      </c>
      <c r="C11091" s="34" t="s">
        <v>77</v>
      </c>
      <c r="E11091" s="30" t="s">
        <v>21884</v>
      </c>
      <c r="F11091" s="34" t="n">
        <f aca="false">IFERROR(VLOOKUP($A11091,'319'!$B:$H,7,0),0)</f>
        <v>0</v>
      </c>
      <c r="G11091" s="34" t="n">
        <f aca="false">SUMIFS('12.326ana'!$C:$C,'12.326ana'!$M:$M,redes!A11091)</f>
        <v>0</v>
      </c>
    </row>
    <row r="11092" customFormat="false" ht="14.4" hidden="true" customHeight="false" outlineLevel="0" collapsed="false">
      <c r="A11092" s="34" t="n">
        <v>8772721000121</v>
      </c>
      <c r="B11092" s="34" t="s">
        <v>21885</v>
      </c>
      <c r="C11092" s="34" t="s">
        <v>103</v>
      </c>
      <c r="E11092" s="30" t="s">
        <v>21886</v>
      </c>
      <c r="F11092" s="34" t="n">
        <f aca="false">IFERROR(VLOOKUP($A11092,'319'!$B:$H,7,0),0)</f>
        <v>0</v>
      </c>
      <c r="G11092" s="34" t="n">
        <f aca="false">SUMIFS('12.326ana'!$C:$C,'12.326ana'!$M:$M,redes!A11092)</f>
        <v>0</v>
      </c>
    </row>
    <row r="11093" customFormat="false" ht="14.4" hidden="true" customHeight="false" outlineLevel="0" collapsed="false">
      <c r="A11093" s="34" t="n">
        <v>8773373000107</v>
      </c>
      <c r="B11093" s="34" t="s">
        <v>21887</v>
      </c>
      <c r="C11093" s="34" t="s">
        <v>357</v>
      </c>
      <c r="E11093" s="30" t="s">
        <v>21888</v>
      </c>
      <c r="F11093" s="34" t="n">
        <f aca="false">IFERROR(VLOOKUP($A11093,'319'!$B:$H,7,0),0)</f>
        <v>0</v>
      </c>
      <c r="G11093" s="34" t="n">
        <f aca="false">SUMIFS('12.326ana'!$C:$C,'12.326ana'!$M:$M,redes!A11093)</f>
        <v>0</v>
      </c>
    </row>
    <row r="11094" customFormat="false" ht="14.4" hidden="true" customHeight="false" outlineLevel="0" collapsed="false">
      <c r="A11094" s="34" t="n">
        <v>8777368000172</v>
      </c>
      <c r="B11094" s="34" t="s">
        <v>21889</v>
      </c>
      <c r="C11094" s="34" t="s">
        <v>631</v>
      </c>
      <c r="E11094" s="30" t="s">
        <v>21890</v>
      </c>
      <c r="F11094" s="34" t="n">
        <f aca="false">IFERROR(VLOOKUP($A11094,'319'!$B:$H,7,0),0)</f>
        <v>0</v>
      </c>
      <c r="G11094" s="34" t="n">
        <f aca="false">SUMIFS('12.326ana'!$C:$C,'12.326ana'!$M:$M,redes!A11094)</f>
        <v>0</v>
      </c>
    </row>
    <row r="11095" customFormat="false" ht="14.4" hidden="true" customHeight="false" outlineLevel="0" collapsed="false">
      <c r="A11095" s="34" t="n">
        <v>8778849000100</v>
      </c>
      <c r="B11095" s="34" t="s">
        <v>21891</v>
      </c>
      <c r="C11095" s="34" t="s">
        <v>103</v>
      </c>
      <c r="E11095" s="30" t="s">
        <v>21892</v>
      </c>
      <c r="F11095" s="34" t="n">
        <f aca="false">IFERROR(VLOOKUP($A11095,'319'!$B:$H,7,0),0)</f>
        <v>0</v>
      </c>
      <c r="G11095" s="34" t="n">
        <f aca="false">SUMIFS('12.326ana'!$C:$C,'12.326ana'!$M:$M,redes!A11095)</f>
        <v>0</v>
      </c>
    </row>
    <row r="11096" customFormat="false" ht="14.4" hidden="true" customHeight="false" outlineLevel="0" collapsed="false">
      <c r="A11096" s="34" t="n">
        <v>8778851000171</v>
      </c>
      <c r="B11096" s="34" t="s">
        <v>21893</v>
      </c>
      <c r="C11096" s="34" t="s">
        <v>77</v>
      </c>
      <c r="E11096" s="30" t="s">
        <v>3347</v>
      </c>
      <c r="F11096" s="34" t="n">
        <f aca="false">IFERROR(VLOOKUP($A11096,'319'!$B:$H,7,0),0)</f>
        <v>0</v>
      </c>
      <c r="G11096" s="34" t="n">
        <f aca="false">SUMIFS('12.326ana'!$C:$C,'12.326ana'!$M:$M,redes!A11096)</f>
        <v>0</v>
      </c>
    </row>
    <row r="11097" customFormat="false" ht="14.4" hidden="true" customHeight="false" outlineLevel="0" collapsed="false">
      <c r="A11097" s="34" t="n">
        <v>8780761000115</v>
      </c>
      <c r="B11097" s="34" t="s">
        <v>21894</v>
      </c>
      <c r="C11097" s="34" t="s">
        <v>464</v>
      </c>
      <c r="E11097" s="30" t="s">
        <v>21895</v>
      </c>
      <c r="F11097" s="34" t="n">
        <f aca="false">IFERROR(VLOOKUP($A11097,'319'!$B:$H,7,0),0)</f>
        <v>0</v>
      </c>
      <c r="G11097" s="34" t="n">
        <f aca="false">SUMIFS('12.326ana'!$C:$C,'12.326ana'!$M:$M,redes!A11097)</f>
        <v>0</v>
      </c>
    </row>
    <row r="11098" customFormat="false" ht="14.4" hidden="true" customHeight="false" outlineLevel="0" collapsed="false">
      <c r="A11098" s="34" t="n">
        <v>8788855000130</v>
      </c>
      <c r="B11098" s="34" t="s">
        <v>21896</v>
      </c>
      <c r="C11098" s="34" t="s">
        <v>737</v>
      </c>
      <c r="E11098" s="30" t="s">
        <v>21897</v>
      </c>
      <c r="F11098" s="34" t="n">
        <f aca="false">IFERROR(VLOOKUP($A11098,'319'!$B:$H,7,0),0)</f>
        <v>0</v>
      </c>
      <c r="G11098" s="34" t="n">
        <f aca="false">SUMIFS('12.326ana'!$C:$C,'12.326ana'!$M:$M,redes!A11098)</f>
        <v>0</v>
      </c>
    </row>
    <row r="11099" customFormat="false" ht="14.4" hidden="true" customHeight="false" outlineLevel="0" collapsed="false">
      <c r="A11099" s="34" t="n">
        <v>8794325000103</v>
      </c>
      <c r="B11099" s="34" t="s">
        <v>21898</v>
      </c>
      <c r="C11099" s="34" t="s">
        <v>77</v>
      </c>
      <c r="E11099" s="30" t="s">
        <v>21899</v>
      </c>
      <c r="F11099" s="34" t="n">
        <f aca="false">IFERROR(VLOOKUP($A11099,'319'!$B:$H,7,0),0)</f>
        <v>0</v>
      </c>
      <c r="G11099" s="34" t="n">
        <f aca="false">SUMIFS('12.326ana'!$C:$C,'12.326ana'!$M:$M,redes!A11099)</f>
        <v>0</v>
      </c>
    </row>
    <row r="11100" customFormat="false" ht="14.4" hidden="true" customHeight="false" outlineLevel="0" collapsed="false">
      <c r="A11100" s="34" t="n">
        <v>8794529000136</v>
      </c>
      <c r="B11100" s="34" t="s">
        <v>21900</v>
      </c>
      <c r="C11100" s="34" t="s">
        <v>77</v>
      </c>
      <c r="E11100" s="30" t="s">
        <v>21901</v>
      </c>
      <c r="F11100" s="34" t="n">
        <f aca="false">IFERROR(VLOOKUP($A11100,'319'!$B:$H,7,0),0)</f>
        <v>0</v>
      </c>
      <c r="G11100" s="34" t="n">
        <f aca="false">SUMIFS('12.326ana'!$C:$C,'12.326ana'!$M:$M,redes!A11100)</f>
        <v>0</v>
      </c>
    </row>
    <row r="11101" customFormat="false" ht="14.4" hidden="true" customHeight="false" outlineLevel="0" collapsed="false">
      <c r="A11101" s="34" t="n">
        <v>8795167000106</v>
      </c>
      <c r="B11101" s="34" t="s">
        <v>21902</v>
      </c>
      <c r="C11101" s="34" t="s">
        <v>77</v>
      </c>
      <c r="E11101" s="30" t="s">
        <v>21903</v>
      </c>
      <c r="F11101" s="34" t="n">
        <f aca="false">IFERROR(VLOOKUP($A11101,'319'!$B:$H,7,0),0)</f>
        <v>0</v>
      </c>
      <c r="G11101" s="34" t="n">
        <f aca="false">SUMIFS('12.326ana'!$C:$C,'12.326ana'!$M:$M,redes!A11101)</f>
        <v>0</v>
      </c>
    </row>
    <row r="11102" customFormat="false" ht="14.4" hidden="true" customHeight="false" outlineLevel="0" collapsed="false">
      <c r="A11102" s="34" t="n">
        <v>8797354000110</v>
      </c>
      <c r="B11102" s="34" t="s">
        <v>21904</v>
      </c>
      <c r="C11102" s="34" t="s">
        <v>77</v>
      </c>
      <c r="E11102" s="30" t="s">
        <v>14940</v>
      </c>
      <c r="F11102" s="34" t="n">
        <f aca="false">IFERROR(VLOOKUP($A11102,'319'!$B:$H,7,0),0)</f>
        <v>0</v>
      </c>
      <c r="G11102" s="34" t="n">
        <f aca="false">SUMIFS('12.326ana'!$C:$C,'12.326ana'!$M:$M,redes!A11102)</f>
        <v>0</v>
      </c>
    </row>
    <row r="11103" customFormat="false" ht="14.4" hidden="true" customHeight="false" outlineLevel="0" collapsed="false">
      <c r="A11103" s="34" t="n">
        <v>8802040000169</v>
      </c>
      <c r="B11103" s="34" t="s">
        <v>21905</v>
      </c>
      <c r="C11103" s="34" t="s">
        <v>89</v>
      </c>
      <c r="E11103" s="30" t="s">
        <v>21906</v>
      </c>
      <c r="F11103" s="34" t="n">
        <f aca="false">IFERROR(VLOOKUP($A11103,'319'!$B:$H,7,0),0)</f>
        <v>0</v>
      </c>
      <c r="G11103" s="34" t="n">
        <f aca="false">SUMIFS('12.326ana'!$C:$C,'12.326ana'!$M:$M,redes!A11103)</f>
        <v>0</v>
      </c>
    </row>
    <row r="11104" customFormat="false" ht="14.4" hidden="true" customHeight="false" outlineLevel="0" collapsed="false">
      <c r="A11104" s="34" t="n">
        <v>8803022000100</v>
      </c>
      <c r="B11104" s="34" t="s">
        <v>21907</v>
      </c>
      <c r="C11104" s="34" t="s">
        <v>77</v>
      </c>
      <c r="E11104" s="30" t="s">
        <v>19694</v>
      </c>
      <c r="F11104" s="34" t="n">
        <f aca="false">IFERROR(VLOOKUP($A11104,'319'!$B:$H,7,0),0)</f>
        <v>0</v>
      </c>
      <c r="G11104" s="34" t="n">
        <f aca="false">SUMIFS('12.326ana'!$C:$C,'12.326ana'!$M:$M,redes!A11104)</f>
        <v>0</v>
      </c>
    </row>
    <row r="11105" customFormat="false" ht="14.4" hidden="true" customHeight="false" outlineLevel="0" collapsed="false">
      <c r="A11105" s="34" t="n">
        <v>8803122000128</v>
      </c>
      <c r="B11105" s="34" t="s">
        <v>21908</v>
      </c>
      <c r="C11105" s="34" t="s">
        <v>77</v>
      </c>
      <c r="E11105" s="30" t="s">
        <v>21909</v>
      </c>
      <c r="F11105" s="34" t="n">
        <f aca="false">IFERROR(VLOOKUP($A11105,'319'!$B:$H,7,0),0)</f>
        <v>0</v>
      </c>
      <c r="G11105" s="34" t="n">
        <f aca="false">SUMIFS('12.326ana'!$C:$C,'12.326ana'!$M:$M,redes!A11105)</f>
        <v>0</v>
      </c>
    </row>
    <row r="11106" customFormat="false" ht="14.4" hidden="true" customHeight="false" outlineLevel="0" collapsed="false">
      <c r="A11106" s="34" t="n">
        <v>8803767000160</v>
      </c>
      <c r="B11106" s="34" t="s">
        <v>21910</v>
      </c>
      <c r="C11106" s="34" t="s">
        <v>117</v>
      </c>
      <c r="E11106" s="30" t="s">
        <v>11749</v>
      </c>
      <c r="F11106" s="34" t="n">
        <f aca="false">IFERROR(VLOOKUP($A11106,'319'!$B:$H,7,0),0)</f>
        <v>0</v>
      </c>
      <c r="G11106" s="34" t="n">
        <f aca="false">SUMIFS('12.326ana'!$C:$C,'12.326ana'!$M:$M,redes!A11106)</f>
        <v>0</v>
      </c>
    </row>
    <row r="11107" customFormat="false" ht="14.4" hidden="true" customHeight="false" outlineLevel="0" collapsed="false">
      <c r="A11107" s="34" t="n">
        <v>8806791000153</v>
      </c>
      <c r="B11107" s="34" t="s">
        <v>21911</v>
      </c>
      <c r="C11107" s="34" t="s">
        <v>77</v>
      </c>
      <c r="E11107" s="30" t="s">
        <v>21912</v>
      </c>
      <c r="F11107" s="34" t="n">
        <f aca="false">IFERROR(VLOOKUP($A11107,'319'!$B:$H,7,0),0)</f>
        <v>0</v>
      </c>
      <c r="G11107" s="34" t="n">
        <f aca="false">SUMIFS('12.326ana'!$C:$C,'12.326ana'!$M:$M,redes!A11107)</f>
        <v>0</v>
      </c>
    </row>
    <row r="11108" customFormat="false" ht="14.4" hidden="true" customHeight="false" outlineLevel="0" collapsed="false">
      <c r="A11108" s="34" t="n">
        <v>8808948000180</v>
      </c>
      <c r="B11108" s="34" t="s">
        <v>21913</v>
      </c>
      <c r="C11108" s="34" t="s">
        <v>77</v>
      </c>
      <c r="E11108" s="30" t="s">
        <v>21914</v>
      </c>
      <c r="F11108" s="34" t="n">
        <f aca="false">IFERROR(VLOOKUP($A11108,'319'!$B:$H,7,0),0)</f>
        <v>0</v>
      </c>
      <c r="G11108" s="34" t="n">
        <f aca="false">SUMIFS('12.326ana'!$C:$C,'12.326ana'!$M:$M,redes!A11108)</f>
        <v>0</v>
      </c>
    </row>
    <row r="11109" customFormat="false" ht="14.4" hidden="true" customHeight="false" outlineLevel="0" collapsed="false">
      <c r="A11109" s="34" t="n">
        <v>8811585000131</v>
      </c>
      <c r="B11109" s="34" t="s">
        <v>21915</v>
      </c>
      <c r="C11109" s="34" t="s">
        <v>4418</v>
      </c>
      <c r="E11109" s="30" t="s">
        <v>21916</v>
      </c>
      <c r="F11109" s="34" t="n">
        <f aca="false">IFERROR(VLOOKUP($A11109,'319'!$B:$H,7,0),0)</f>
        <v>0</v>
      </c>
      <c r="G11109" s="34" t="n">
        <f aca="false">SUMIFS('12.326ana'!$C:$C,'12.326ana'!$M:$M,redes!A11109)</f>
        <v>0</v>
      </c>
    </row>
    <row r="11110" customFormat="false" ht="14.4" hidden="true" customHeight="false" outlineLevel="0" collapsed="false">
      <c r="A11110" s="34" t="n">
        <v>8818468000108</v>
      </c>
      <c r="B11110" s="34" t="s">
        <v>21917</v>
      </c>
      <c r="C11110" s="34" t="s">
        <v>1680</v>
      </c>
      <c r="E11110" s="30" t="s">
        <v>21918</v>
      </c>
      <c r="F11110" s="34" t="n">
        <f aca="false">IFERROR(VLOOKUP($A11110,'319'!$B:$H,7,0),0)</f>
        <v>0</v>
      </c>
      <c r="G11110" s="34" t="n">
        <f aca="false">SUMIFS('12.326ana'!$C:$C,'12.326ana'!$M:$M,redes!A11110)</f>
        <v>0</v>
      </c>
    </row>
    <row r="11111" customFormat="false" ht="14.4" hidden="true" customHeight="false" outlineLevel="0" collapsed="false">
      <c r="A11111" s="34" t="n">
        <v>8821476000103</v>
      </c>
      <c r="B11111" s="34" t="s">
        <v>21919</v>
      </c>
      <c r="C11111" s="34" t="s">
        <v>77</v>
      </c>
      <c r="E11111" s="30" t="s">
        <v>21920</v>
      </c>
      <c r="F11111" s="34" t="n">
        <f aca="false">IFERROR(VLOOKUP($A11111,'319'!$B:$H,7,0),0)</f>
        <v>0</v>
      </c>
      <c r="G11111" s="34" t="n">
        <f aca="false">SUMIFS('12.326ana'!$C:$C,'12.326ana'!$M:$M,redes!A11111)</f>
        <v>0</v>
      </c>
    </row>
    <row r="11112" customFormat="false" ht="14.4" hidden="true" customHeight="false" outlineLevel="0" collapsed="false">
      <c r="A11112" s="34" t="n">
        <v>8821691000104</v>
      </c>
      <c r="B11112" s="34" t="s">
        <v>21921</v>
      </c>
      <c r="C11112" s="34" t="s">
        <v>296</v>
      </c>
      <c r="E11112" s="30" t="s">
        <v>21922</v>
      </c>
      <c r="F11112" s="34" t="n">
        <f aca="false">IFERROR(VLOOKUP($A11112,'319'!$B:$H,7,0),0)</f>
        <v>0</v>
      </c>
      <c r="G11112" s="34" t="n">
        <f aca="false">SUMIFS('12.326ana'!$C:$C,'12.326ana'!$M:$M,redes!A11112)</f>
        <v>0</v>
      </c>
    </row>
    <row r="11113" customFormat="false" ht="14.4" hidden="true" customHeight="false" outlineLevel="0" collapsed="false">
      <c r="A11113" s="34" t="n">
        <v>8823772000135</v>
      </c>
      <c r="B11113" s="34" t="s">
        <v>21923</v>
      </c>
      <c r="C11113" s="34" t="s">
        <v>342</v>
      </c>
      <c r="E11113" s="30" t="s">
        <v>21924</v>
      </c>
      <c r="F11113" s="34" t="n">
        <f aca="false">IFERROR(VLOOKUP($A11113,'319'!$B:$H,7,0),0)</f>
        <v>0</v>
      </c>
      <c r="G11113" s="34" t="n">
        <f aca="false">SUMIFS('12.326ana'!$C:$C,'12.326ana'!$M:$M,redes!A11113)</f>
        <v>0</v>
      </c>
    </row>
    <row r="11114" customFormat="false" ht="14.4" hidden="true" customHeight="false" outlineLevel="0" collapsed="false">
      <c r="A11114" s="35" t="n">
        <v>8827976000144</v>
      </c>
      <c r="B11114" s="34" t="s">
        <v>21925</v>
      </c>
      <c r="C11114" s="34" t="s">
        <v>77</v>
      </c>
      <c r="E11114" s="30" t="s">
        <v>21926</v>
      </c>
      <c r="F11114" s="34" t="n">
        <f aca="false">IFERROR(VLOOKUP($A11114,'319'!$B:$H,7,0),0)</f>
        <v>0</v>
      </c>
      <c r="G11114" s="34" t="n">
        <f aca="false">SUMIFS('12.326ana'!$C:$C,'12.326ana'!$M:$M,redes!A11114)</f>
        <v>0</v>
      </c>
    </row>
    <row r="11115" customFormat="false" ht="14.4" hidden="true" customHeight="false" outlineLevel="0" collapsed="false">
      <c r="A11115" s="35" t="n">
        <v>8830157000156</v>
      </c>
      <c r="B11115" s="34" t="s">
        <v>21927</v>
      </c>
      <c r="C11115" s="34" t="s">
        <v>77</v>
      </c>
      <c r="E11115" s="30" t="s">
        <v>3337</v>
      </c>
      <c r="F11115" s="34" t="n">
        <f aca="false">IFERROR(VLOOKUP($A11115,'319'!$B:$H,7,0),0)</f>
        <v>0</v>
      </c>
      <c r="G11115" s="34" t="n">
        <f aca="false">SUMIFS('12.326ana'!$C:$C,'12.326ana'!$M:$M,redes!A11115)</f>
        <v>0</v>
      </c>
    </row>
    <row r="11116" customFormat="false" ht="14.4" hidden="true" customHeight="false" outlineLevel="0" collapsed="false">
      <c r="A11116" s="34" t="n">
        <v>8833682000125</v>
      </c>
      <c r="B11116" s="34" t="s">
        <v>21928</v>
      </c>
      <c r="C11116" s="34" t="s">
        <v>804</v>
      </c>
      <c r="E11116" s="30" t="s">
        <v>21929</v>
      </c>
      <c r="F11116" s="34" t="n">
        <f aca="false">IFERROR(VLOOKUP($A11116,'319'!$B:$H,7,0),0)</f>
        <v>0</v>
      </c>
      <c r="G11116" s="34" t="n">
        <f aca="false">SUMIFS('12.326ana'!$C:$C,'12.326ana'!$M:$M,redes!A11116)</f>
        <v>0</v>
      </c>
    </row>
    <row r="11117" customFormat="false" ht="14.4" hidden="true" customHeight="false" outlineLevel="0" collapsed="false">
      <c r="A11117" s="34" t="n">
        <v>8836490000172</v>
      </c>
      <c r="B11117" s="34" t="s">
        <v>21930</v>
      </c>
      <c r="C11117" s="34" t="s">
        <v>77</v>
      </c>
      <c r="E11117" s="30" t="s">
        <v>3001</v>
      </c>
      <c r="F11117" s="34" t="n">
        <f aca="false">IFERROR(VLOOKUP($A11117,'319'!$B:$H,7,0),0)</f>
        <v>0</v>
      </c>
      <c r="G11117" s="34" t="n">
        <f aca="false">SUMIFS('12.326ana'!$C:$C,'12.326ana'!$M:$M,redes!A11117)</f>
        <v>0</v>
      </c>
    </row>
    <row r="11118" customFormat="false" ht="14.4" hidden="true" customHeight="false" outlineLevel="0" collapsed="false">
      <c r="A11118" s="34" t="n">
        <v>8837046000171</v>
      </c>
      <c r="B11118" s="34" t="s">
        <v>21931</v>
      </c>
      <c r="C11118" s="34" t="s">
        <v>478</v>
      </c>
      <c r="E11118" s="30" t="s">
        <v>17933</v>
      </c>
      <c r="F11118" s="34" t="n">
        <f aca="false">IFERROR(VLOOKUP($A11118,'319'!$B:$H,7,0),0)</f>
        <v>0</v>
      </c>
      <c r="G11118" s="34" t="n">
        <f aca="false">SUMIFS('12.326ana'!$C:$C,'12.326ana'!$M:$M,redes!A11118)</f>
        <v>0</v>
      </c>
    </row>
    <row r="11119" customFormat="false" ht="14.4" hidden="true" customHeight="false" outlineLevel="0" collapsed="false">
      <c r="A11119" s="34" t="n">
        <v>8846054000184</v>
      </c>
      <c r="B11119" s="34" t="s">
        <v>21932</v>
      </c>
      <c r="C11119" s="34" t="s">
        <v>77</v>
      </c>
      <c r="E11119" s="30" t="s">
        <v>21933</v>
      </c>
      <c r="F11119" s="34" t="n">
        <f aca="false">IFERROR(VLOOKUP($A11119,'319'!$B:$H,7,0),0)</f>
        <v>0</v>
      </c>
      <c r="G11119" s="34" t="n">
        <f aca="false">SUMIFS('12.326ana'!$C:$C,'12.326ana'!$M:$M,redes!A11119)</f>
        <v>0</v>
      </c>
    </row>
    <row r="11120" customFormat="false" ht="14.4" hidden="true" customHeight="false" outlineLevel="0" collapsed="false">
      <c r="A11120" s="34" t="n">
        <v>8858859000148</v>
      </c>
      <c r="B11120" s="34" t="s">
        <v>21934</v>
      </c>
      <c r="C11120" s="34" t="s">
        <v>192</v>
      </c>
      <c r="E11120" s="30" t="s">
        <v>21935</v>
      </c>
      <c r="F11120" s="34" t="n">
        <f aca="false">IFERROR(VLOOKUP($A11120,'319'!$B:$H,7,0),0)</f>
        <v>0</v>
      </c>
      <c r="G11120" s="34" t="n">
        <f aca="false">SUMIFS('12.326ana'!$C:$C,'12.326ana'!$M:$M,redes!A11120)</f>
        <v>0</v>
      </c>
    </row>
    <row r="11121" customFormat="false" ht="14.4" hidden="true" customHeight="false" outlineLevel="0" collapsed="false">
      <c r="A11121" s="34" t="n">
        <v>8861349000120</v>
      </c>
      <c r="B11121" s="34" t="s">
        <v>21936</v>
      </c>
      <c r="C11121" s="34" t="s">
        <v>77</v>
      </c>
      <c r="E11121" s="30" t="s">
        <v>21937</v>
      </c>
      <c r="F11121" s="34" t="n">
        <f aca="false">IFERROR(VLOOKUP($A11121,'319'!$B:$H,7,0),0)</f>
        <v>0</v>
      </c>
      <c r="G11121" s="34" t="n">
        <f aca="false">SUMIFS('12.326ana'!$C:$C,'12.326ana'!$M:$M,redes!A11121)</f>
        <v>0</v>
      </c>
    </row>
    <row r="11122" customFormat="false" ht="14.4" hidden="true" customHeight="false" outlineLevel="0" collapsed="false">
      <c r="A11122" s="34" t="n">
        <v>8864307000142</v>
      </c>
      <c r="B11122" s="34" t="s">
        <v>21938</v>
      </c>
      <c r="C11122" s="34" t="s">
        <v>77</v>
      </c>
      <c r="E11122" s="30" t="s">
        <v>21939</v>
      </c>
      <c r="F11122" s="34" t="n">
        <f aca="false">IFERROR(VLOOKUP($A11122,'319'!$B:$H,7,0),0)</f>
        <v>0</v>
      </c>
      <c r="G11122" s="34" t="n">
        <f aca="false">SUMIFS('12.326ana'!$C:$C,'12.326ana'!$M:$M,redes!A11122)</f>
        <v>0</v>
      </c>
    </row>
    <row r="11123" customFormat="false" ht="14.4" hidden="true" customHeight="false" outlineLevel="0" collapsed="false">
      <c r="A11123" s="34" t="n">
        <v>8867297000107</v>
      </c>
      <c r="B11123" s="34" t="s">
        <v>21940</v>
      </c>
      <c r="C11123" s="34" t="s">
        <v>117</v>
      </c>
      <c r="E11123" s="30" t="s">
        <v>9306</v>
      </c>
      <c r="F11123" s="34" t="n">
        <f aca="false">IFERROR(VLOOKUP($A11123,'319'!$B:$H,7,0),0)</f>
        <v>0</v>
      </c>
      <c r="G11123" s="34" t="n">
        <f aca="false">SUMIFS('12.326ana'!$C:$C,'12.326ana'!$M:$M,redes!A11123)</f>
        <v>0</v>
      </c>
    </row>
    <row r="11124" customFormat="false" ht="14.4" hidden="true" customHeight="false" outlineLevel="0" collapsed="false">
      <c r="A11124" s="34" t="n">
        <v>8872182000100</v>
      </c>
      <c r="B11124" s="34" t="s">
        <v>21941</v>
      </c>
      <c r="C11124" s="34" t="s">
        <v>475</v>
      </c>
      <c r="E11124" s="30" t="s">
        <v>21942</v>
      </c>
      <c r="F11124" s="34" t="n">
        <f aca="false">IFERROR(VLOOKUP($A11124,'319'!$B:$H,7,0),0)</f>
        <v>0</v>
      </c>
      <c r="G11124" s="34" t="n">
        <f aca="false">SUMIFS('12.326ana'!$C:$C,'12.326ana'!$M:$M,redes!A11124)</f>
        <v>0</v>
      </c>
    </row>
    <row r="11125" customFormat="false" ht="14.4" hidden="true" customHeight="false" outlineLevel="0" collapsed="false">
      <c r="A11125" s="34" t="n">
        <v>8874376000137</v>
      </c>
      <c r="B11125" s="34" t="s">
        <v>21943</v>
      </c>
      <c r="C11125" s="34" t="s">
        <v>967</v>
      </c>
      <c r="E11125" s="30" t="s">
        <v>21943</v>
      </c>
      <c r="F11125" s="34" t="n">
        <f aca="false">IFERROR(VLOOKUP($A11125,'319'!$B:$H,7,0),0)</f>
        <v>0</v>
      </c>
      <c r="G11125" s="34" t="n">
        <f aca="false">SUMIFS('12.326ana'!$C:$C,'12.326ana'!$M:$M,redes!A11125)</f>
        <v>0</v>
      </c>
    </row>
    <row r="11126" customFormat="false" ht="14.4" hidden="true" customHeight="false" outlineLevel="0" collapsed="false">
      <c r="A11126" s="34" t="n">
        <v>8878700000195</v>
      </c>
      <c r="B11126" s="34" t="s">
        <v>21944</v>
      </c>
      <c r="C11126" s="34" t="s">
        <v>342</v>
      </c>
      <c r="E11126" s="30" t="s">
        <v>21945</v>
      </c>
      <c r="F11126" s="34" t="n">
        <f aca="false">IFERROR(VLOOKUP($A11126,'319'!$B:$H,7,0),0)</f>
        <v>0</v>
      </c>
      <c r="G11126" s="34" t="n">
        <f aca="false">SUMIFS('12.326ana'!$C:$C,'12.326ana'!$M:$M,redes!A11126)</f>
        <v>0</v>
      </c>
    </row>
    <row r="11127" customFormat="false" ht="14.4" hidden="true" customHeight="false" outlineLevel="0" collapsed="false">
      <c r="A11127" s="34" t="n">
        <v>8881206000180</v>
      </c>
      <c r="B11127" s="34" t="s">
        <v>21946</v>
      </c>
      <c r="C11127" s="34" t="s">
        <v>342</v>
      </c>
      <c r="E11127" s="30" t="s">
        <v>11565</v>
      </c>
      <c r="F11127" s="34" t="n">
        <f aca="false">IFERROR(VLOOKUP($A11127,'319'!$B:$H,7,0),0)</f>
        <v>0</v>
      </c>
      <c r="G11127" s="34" t="n">
        <f aca="false">SUMIFS('12.326ana'!$C:$C,'12.326ana'!$M:$M,redes!A11127)</f>
        <v>0</v>
      </c>
    </row>
    <row r="11128" customFormat="false" ht="14.4" hidden="true" customHeight="false" outlineLevel="0" collapsed="false">
      <c r="A11128" s="34" t="n">
        <v>8881206000260</v>
      </c>
      <c r="B11128" s="34" t="s">
        <v>21947</v>
      </c>
      <c r="C11128" s="34" t="s">
        <v>342</v>
      </c>
      <c r="E11128" s="30" t="s">
        <v>11565</v>
      </c>
      <c r="F11128" s="34" t="n">
        <f aca="false">IFERROR(VLOOKUP($A11128,'319'!$B:$H,7,0),0)</f>
        <v>0</v>
      </c>
      <c r="G11128" s="34" t="n">
        <f aca="false">SUMIFS('12.326ana'!$C:$C,'12.326ana'!$M:$M,redes!A11128)</f>
        <v>0</v>
      </c>
    </row>
    <row r="11129" customFormat="false" ht="14.4" hidden="true" customHeight="false" outlineLevel="0" collapsed="false">
      <c r="A11129" s="34" t="n">
        <v>8885257000180</v>
      </c>
      <c r="B11129" s="34" t="s">
        <v>21948</v>
      </c>
      <c r="C11129" s="34" t="s">
        <v>139</v>
      </c>
      <c r="E11129" s="30" t="s">
        <v>21949</v>
      </c>
      <c r="F11129" s="34" t="n">
        <f aca="false">IFERROR(VLOOKUP($A11129,'319'!$B:$H,7,0),0)</f>
        <v>0</v>
      </c>
      <c r="G11129" s="34" t="n">
        <f aca="false">SUMIFS('12.326ana'!$C:$C,'12.326ana'!$M:$M,redes!A11129)</f>
        <v>0</v>
      </c>
    </row>
    <row r="11130" customFormat="false" ht="14.4" hidden="true" customHeight="false" outlineLevel="0" collapsed="false">
      <c r="A11130" s="34" t="n">
        <v>8887857000187</v>
      </c>
      <c r="B11130" s="34" t="s">
        <v>21950</v>
      </c>
      <c r="C11130" s="34" t="s">
        <v>77</v>
      </c>
      <c r="E11130" s="30" t="s">
        <v>21951</v>
      </c>
      <c r="F11130" s="34" t="n">
        <f aca="false">IFERROR(VLOOKUP($A11130,'319'!$B:$H,7,0),0)</f>
        <v>0</v>
      </c>
      <c r="G11130" s="34" t="n">
        <f aca="false">SUMIFS('12.326ana'!$C:$C,'12.326ana'!$M:$M,redes!A11130)</f>
        <v>0</v>
      </c>
    </row>
    <row r="11131" customFormat="false" ht="14.4" hidden="true" customHeight="false" outlineLevel="0" collapsed="false">
      <c r="A11131" s="34" t="n">
        <v>8887857000268</v>
      </c>
      <c r="B11131" s="34" t="s">
        <v>21952</v>
      </c>
      <c r="C11131" s="34" t="s">
        <v>77</v>
      </c>
      <c r="E11131" s="30" t="s">
        <v>21952</v>
      </c>
      <c r="F11131" s="34" t="n">
        <f aca="false">IFERROR(VLOOKUP($A11131,'319'!$B:$H,7,0),0)</f>
        <v>0</v>
      </c>
      <c r="G11131" s="34" t="n">
        <f aca="false">SUMIFS('12.326ana'!$C:$C,'12.326ana'!$M:$M,redes!A11131)</f>
        <v>0</v>
      </c>
    </row>
    <row r="11132" customFormat="false" ht="14.4" hidden="true" customHeight="false" outlineLevel="0" collapsed="false">
      <c r="A11132" s="34" t="n">
        <v>8887857000349</v>
      </c>
      <c r="B11132" s="34" t="s">
        <v>21952</v>
      </c>
      <c r="C11132" s="34" t="s">
        <v>77</v>
      </c>
      <c r="E11132" s="30" t="s">
        <v>21952</v>
      </c>
      <c r="F11132" s="34" t="n">
        <f aca="false">IFERROR(VLOOKUP($A11132,'319'!$B:$H,7,0),0)</f>
        <v>0</v>
      </c>
      <c r="G11132" s="34" t="n">
        <f aca="false">SUMIFS('12.326ana'!$C:$C,'12.326ana'!$M:$M,redes!A11132)</f>
        <v>0</v>
      </c>
    </row>
    <row r="11133" customFormat="false" ht="14.4" hidden="true" customHeight="false" outlineLevel="0" collapsed="false">
      <c r="A11133" s="34" t="n">
        <v>8888130000114</v>
      </c>
      <c r="B11133" s="34" t="s">
        <v>21953</v>
      </c>
      <c r="C11133" s="34" t="s">
        <v>77</v>
      </c>
      <c r="E11133" s="30" t="s">
        <v>21954</v>
      </c>
      <c r="F11133" s="34" t="n">
        <f aca="false">IFERROR(VLOOKUP($A11133,'319'!$B:$H,7,0),0)</f>
        <v>0</v>
      </c>
      <c r="G11133" s="34" t="n">
        <f aca="false">SUMIFS('12.326ana'!$C:$C,'12.326ana'!$M:$M,redes!A11133)</f>
        <v>0</v>
      </c>
    </row>
    <row r="11134" customFormat="false" ht="14.4" hidden="true" customHeight="false" outlineLevel="0" collapsed="false">
      <c r="A11134" s="34" t="n">
        <v>8889092000114</v>
      </c>
      <c r="B11134" s="34" t="s">
        <v>21955</v>
      </c>
      <c r="C11134" s="34" t="s">
        <v>129</v>
      </c>
      <c r="E11134" s="30" t="s">
        <v>21956</v>
      </c>
      <c r="F11134" s="34" t="n">
        <f aca="false">IFERROR(VLOOKUP($A11134,'319'!$B:$H,7,0),0)</f>
        <v>0</v>
      </c>
      <c r="G11134" s="34" t="n">
        <f aca="false">SUMIFS('12.326ana'!$C:$C,'12.326ana'!$M:$M,redes!A11134)</f>
        <v>0</v>
      </c>
    </row>
    <row r="11135" customFormat="false" ht="14.4" hidden="true" customHeight="false" outlineLevel="0" collapsed="false">
      <c r="A11135" s="34" t="n">
        <v>8892078000170</v>
      </c>
      <c r="B11135" s="34" t="s">
        <v>21957</v>
      </c>
      <c r="C11135" s="34" t="s">
        <v>103</v>
      </c>
      <c r="E11135" s="30" t="s">
        <v>21958</v>
      </c>
      <c r="F11135" s="34" t="n">
        <f aca="false">IFERROR(VLOOKUP($A11135,'319'!$B:$H,7,0),0)</f>
        <v>0</v>
      </c>
      <c r="G11135" s="34" t="n">
        <f aca="false">SUMIFS('12.326ana'!$C:$C,'12.326ana'!$M:$M,redes!A11135)</f>
        <v>0</v>
      </c>
    </row>
    <row r="11136" customFormat="false" ht="14.4" hidden="true" customHeight="false" outlineLevel="0" collapsed="false">
      <c r="A11136" s="34" t="n">
        <v>8892613000192</v>
      </c>
      <c r="B11136" s="34" t="s">
        <v>21959</v>
      </c>
      <c r="C11136" s="34" t="s">
        <v>979</v>
      </c>
      <c r="E11136" s="30" t="s">
        <v>21960</v>
      </c>
      <c r="F11136" s="34" t="n">
        <f aca="false">IFERROR(VLOOKUP($A11136,'319'!$B:$H,7,0),0)</f>
        <v>0</v>
      </c>
      <c r="G11136" s="34" t="n">
        <f aca="false">SUMIFS('12.326ana'!$C:$C,'12.326ana'!$M:$M,redes!A11136)</f>
        <v>0</v>
      </c>
    </row>
    <row r="11137" customFormat="false" ht="14.4" hidden="true" customHeight="false" outlineLevel="0" collapsed="false">
      <c r="A11137" s="34" t="n">
        <v>8905704000115</v>
      </c>
      <c r="B11137" s="34" t="s">
        <v>21961</v>
      </c>
      <c r="C11137" s="34" t="s">
        <v>139</v>
      </c>
      <c r="E11137" s="30" t="s">
        <v>8888</v>
      </c>
      <c r="F11137" s="34" t="n">
        <f aca="false">IFERROR(VLOOKUP($A11137,'319'!$B:$H,7,0),0)</f>
        <v>0</v>
      </c>
      <c r="G11137" s="34" t="n">
        <f aca="false">SUMIFS('12.326ana'!$C:$C,'12.326ana'!$M:$M,redes!A11137)</f>
        <v>0</v>
      </c>
    </row>
    <row r="11138" customFormat="false" ht="14.4" hidden="true" customHeight="false" outlineLevel="0" collapsed="false">
      <c r="A11138" s="34" t="n">
        <v>8912292000140</v>
      </c>
      <c r="B11138" s="34" t="s">
        <v>21962</v>
      </c>
      <c r="C11138" s="34" t="s">
        <v>89</v>
      </c>
      <c r="E11138" s="30" t="s">
        <v>21963</v>
      </c>
      <c r="F11138" s="34" t="n">
        <f aca="false">IFERROR(VLOOKUP($A11138,'319'!$B:$H,7,0),0)</f>
        <v>0</v>
      </c>
      <c r="G11138" s="34" t="n">
        <f aca="false">SUMIFS('12.326ana'!$C:$C,'12.326ana'!$M:$M,redes!A11138)</f>
        <v>0</v>
      </c>
    </row>
    <row r="11139" customFormat="false" ht="14.4" hidden="true" customHeight="false" outlineLevel="0" collapsed="false">
      <c r="A11139" s="34" t="n">
        <v>8920098000107</v>
      </c>
      <c r="B11139" s="34" t="s">
        <v>21964</v>
      </c>
      <c r="C11139" s="34" t="s">
        <v>77</v>
      </c>
      <c r="E11139" s="30" t="s">
        <v>21965</v>
      </c>
      <c r="F11139" s="34" t="n">
        <f aca="false">IFERROR(VLOOKUP($A11139,'319'!$B:$H,7,0),0)</f>
        <v>0</v>
      </c>
      <c r="G11139" s="34" t="n">
        <f aca="false">SUMIFS('12.326ana'!$C:$C,'12.326ana'!$M:$M,redes!A11139)</f>
        <v>0</v>
      </c>
    </row>
    <row r="11140" customFormat="false" ht="14.4" hidden="true" customHeight="false" outlineLevel="0" collapsed="false">
      <c r="A11140" s="34" t="n">
        <v>8924534000116</v>
      </c>
      <c r="B11140" s="34" t="s">
        <v>21966</v>
      </c>
      <c r="C11140" s="34" t="s">
        <v>77</v>
      </c>
      <c r="E11140" s="30" t="s">
        <v>21967</v>
      </c>
      <c r="F11140" s="34" t="n">
        <f aca="false">IFERROR(VLOOKUP($A11140,'319'!$B:$H,7,0),0)</f>
        <v>0</v>
      </c>
      <c r="G11140" s="34" t="n">
        <f aca="false">SUMIFS('12.326ana'!$C:$C,'12.326ana'!$M:$M,redes!A11140)</f>
        <v>0</v>
      </c>
    </row>
    <row r="11141" customFormat="false" ht="14.4" hidden="true" customHeight="false" outlineLevel="0" collapsed="false">
      <c r="A11141" s="34" t="n">
        <v>8926450000111</v>
      </c>
      <c r="B11141" s="34" t="s">
        <v>21968</v>
      </c>
      <c r="C11141" s="34" t="s">
        <v>342</v>
      </c>
      <c r="E11141" s="30" t="s">
        <v>21969</v>
      </c>
      <c r="F11141" s="34" t="n">
        <f aca="false">IFERROR(VLOOKUP($A11141,'319'!$B:$H,7,0),0)</f>
        <v>0</v>
      </c>
      <c r="G11141" s="34" t="n">
        <f aca="false">SUMIFS('12.326ana'!$C:$C,'12.326ana'!$M:$M,redes!A11141)</f>
        <v>0</v>
      </c>
    </row>
    <row r="11142" customFormat="false" ht="14.4" hidden="true" customHeight="false" outlineLevel="0" collapsed="false">
      <c r="A11142" s="34" t="n">
        <v>8928593000162</v>
      </c>
      <c r="B11142" s="34" t="s">
        <v>21970</v>
      </c>
      <c r="C11142" s="34" t="s">
        <v>77</v>
      </c>
      <c r="E11142" s="30" t="s">
        <v>21971</v>
      </c>
      <c r="F11142" s="34" t="n">
        <f aca="false">IFERROR(VLOOKUP($A11142,'319'!$B:$H,7,0),0)</f>
        <v>0</v>
      </c>
      <c r="G11142" s="34" t="n">
        <f aca="false">SUMIFS('12.326ana'!$C:$C,'12.326ana'!$M:$M,redes!A11142)</f>
        <v>0</v>
      </c>
    </row>
    <row r="11143" customFormat="false" ht="14.4" hidden="true" customHeight="false" outlineLevel="0" collapsed="false">
      <c r="A11143" s="34" t="n">
        <v>8929100000109</v>
      </c>
      <c r="B11143" s="34" t="s">
        <v>7819</v>
      </c>
      <c r="C11143" s="34" t="s">
        <v>328</v>
      </c>
      <c r="E11143" s="30" t="s">
        <v>7820</v>
      </c>
      <c r="F11143" s="34" t="n">
        <f aca="false">IFERROR(VLOOKUP($A11143,'319'!$B:$H,7,0),0)</f>
        <v>0</v>
      </c>
      <c r="G11143" s="34" t="n">
        <f aca="false">SUMIFS('12.326ana'!$C:$C,'12.326ana'!$M:$M,redes!A11143)</f>
        <v>0</v>
      </c>
    </row>
    <row r="11144" customFormat="false" ht="14.4" hidden="true" customHeight="false" outlineLevel="0" collapsed="false">
      <c r="A11144" s="34" t="n">
        <v>8930477000188</v>
      </c>
      <c r="B11144" s="34" t="s">
        <v>21972</v>
      </c>
      <c r="C11144" s="34" t="s">
        <v>881</v>
      </c>
      <c r="E11144" s="30" t="s">
        <v>12943</v>
      </c>
      <c r="F11144" s="34" t="n">
        <f aca="false">IFERROR(VLOOKUP($A11144,'319'!$B:$H,7,0),0)</f>
        <v>0</v>
      </c>
      <c r="G11144" s="34" t="n">
        <f aca="false">SUMIFS('12.326ana'!$C:$C,'12.326ana'!$M:$M,redes!A11144)</f>
        <v>0</v>
      </c>
    </row>
    <row r="11145" customFormat="false" ht="14.4" hidden="true" customHeight="false" outlineLevel="0" collapsed="false">
      <c r="A11145" s="34" t="n">
        <v>8931657000184</v>
      </c>
      <c r="B11145" s="34" t="s">
        <v>2866</v>
      </c>
      <c r="C11145" s="34" t="s">
        <v>129</v>
      </c>
      <c r="D11145" s="34" t="s">
        <v>33</v>
      </c>
      <c r="E11145" s="30" t="s">
        <v>2867</v>
      </c>
      <c r="F11145" s="34" t="n">
        <f aca="false">IFERROR(VLOOKUP($A11145,'319'!$B:$H,7,0),0)</f>
        <v>0</v>
      </c>
      <c r="G11145" s="34" t="n">
        <f aca="false">SUMIFS('12.326ana'!$C:$C,'12.326ana'!$M:$M,redes!A11145)</f>
        <v>0</v>
      </c>
    </row>
    <row r="11146" customFormat="false" ht="14.4" hidden="true" customHeight="false" outlineLevel="0" collapsed="false">
      <c r="A11146" s="34" t="n">
        <v>8931657000265</v>
      </c>
      <c r="B11146" s="34" t="s">
        <v>2866</v>
      </c>
      <c r="C11146" s="34" t="s">
        <v>129</v>
      </c>
      <c r="D11146" s="34" t="s">
        <v>33</v>
      </c>
      <c r="E11146" s="30" t="s">
        <v>2868</v>
      </c>
      <c r="F11146" s="34" t="n">
        <f aca="false">IFERROR(VLOOKUP($A11146,'319'!$B:$H,7,0),0)</f>
        <v>0</v>
      </c>
      <c r="G11146" s="34" t="n">
        <f aca="false">SUMIFS('12.326ana'!$C:$C,'12.326ana'!$M:$M,redes!A11146)</f>
        <v>0</v>
      </c>
    </row>
    <row r="11147" customFormat="false" ht="14.4" hidden="true" customHeight="false" outlineLevel="0" collapsed="false">
      <c r="A11147" s="34" t="n">
        <v>8933013000125</v>
      </c>
      <c r="B11147" s="34" t="s">
        <v>21973</v>
      </c>
      <c r="C11147" s="34" t="s">
        <v>77</v>
      </c>
      <c r="E11147" s="30" t="s">
        <v>20468</v>
      </c>
      <c r="F11147" s="34" t="n">
        <f aca="false">IFERROR(VLOOKUP($A11147,'319'!$B:$H,7,0),0)</f>
        <v>0</v>
      </c>
      <c r="G11147" s="34" t="n">
        <f aca="false">SUMIFS('12.326ana'!$C:$C,'12.326ana'!$M:$M,redes!A11147)</f>
        <v>0</v>
      </c>
    </row>
    <row r="11148" customFormat="false" ht="14.4" hidden="true" customHeight="false" outlineLevel="0" collapsed="false">
      <c r="A11148" s="34" t="n">
        <v>8934332000155</v>
      </c>
      <c r="B11148" s="34" t="s">
        <v>21974</v>
      </c>
      <c r="C11148" s="34" t="s">
        <v>309</v>
      </c>
      <c r="E11148" s="30" t="s">
        <v>8059</v>
      </c>
      <c r="F11148" s="34" t="n">
        <f aca="false">IFERROR(VLOOKUP($A11148,'319'!$B:$H,7,0),0)</f>
        <v>0</v>
      </c>
      <c r="G11148" s="34" t="n">
        <f aca="false">SUMIFS('12.326ana'!$C:$C,'12.326ana'!$M:$M,redes!A11148)</f>
        <v>0</v>
      </c>
    </row>
    <row r="11149" customFormat="false" ht="14.4" hidden="true" customHeight="false" outlineLevel="0" collapsed="false">
      <c r="A11149" s="34" t="n">
        <v>8935375000155</v>
      </c>
      <c r="B11149" s="34" t="s">
        <v>21975</v>
      </c>
      <c r="C11149" s="34" t="s">
        <v>77</v>
      </c>
      <c r="E11149" s="30" t="s">
        <v>14090</v>
      </c>
      <c r="F11149" s="34" t="n">
        <f aca="false">IFERROR(VLOOKUP($A11149,'319'!$B:$H,7,0),0)</f>
        <v>0</v>
      </c>
      <c r="G11149" s="34" t="n">
        <f aca="false">SUMIFS('12.326ana'!$C:$C,'12.326ana'!$M:$M,redes!A11149)</f>
        <v>0</v>
      </c>
    </row>
    <row r="11150" customFormat="false" ht="14.4" hidden="true" customHeight="false" outlineLevel="0" collapsed="false">
      <c r="A11150" s="34" t="n">
        <v>8937409000140</v>
      </c>
      <c r="B11150" s="34" t="s">
        <v>21976</v>
      </c>
      <c r="C11150" s="34" t="s">
        <v>328</v>
      </c>
      <c r="E11150" s="30" t="s">
        <v>21977</v>
      </c>
      <c r="F11150" s="34" t="n">
        <f aca="false">IFERROR(VLOOKUP($A11150,'319'!$B:$H,7,0),0)</f>
        <v>0</v>
      </c>
      <c r="G11150" s="34" t="n">
        <f aca="false">SUMIFS('12.326ana'!$C:$C,'12.326ana'!$M:$M,redes!A11150)</f>
        <v>0</v>
      </c>
    </row>
    <row r="11151" customFormat="false" ht="14.4" hidden="true" customHeight="false" outlineLevel="0" collapsed="false">
      <c r="A11151" s="34" t="n">
        <v>8937438000102</v>
      </c>
      <c r="B11151" s="34" t="s">
        <v>21978</v>
      </c>
      <c r="C11151" s="34" t="s">
        <v>713</v>
      </c>
      <c r="E11151" s="30" t="s">
        <v>2958</v>
      </c>
      <c r="F11151" s="34" t="n">
        <f aca="false">IFERROR(VLOOKUP($A11151,'319'!$B:$H,7,0),0)</f>
        <v>0</v>
      </c>
      <c r="G11151" s="34" t="n">
        <f aca="false">SUMIFS('12.326ana'!$C:$C,'12.326ana'!$M:$M,redes!A11151)</f>
        <v>0</v>
      </c>
    </row>
    <row r="11152" customFormat="false" ht="14.4" hidden="true" customHeight="false" outlineLevel="0" collapsed="false">
      <c r="A11152" s="34" t="n">
        <v>8941554000103</v>
      </c>
      <c r="B11152" s="34" t="s">
        <v>21979</v>
      </c>
      <c r="C11152" s="34" t="s">
        <v>77</v>
      </c>
      <c r="E11152" s="30" t="s">
        <v>21980</v>
      </c>
      <c r="F11152" s="34" t="n">
        <f aca="false">IFERROR(VLOOKUP($A11152,'319'!$B:$H,7,0),0)</f>
        <v>0</v>
      </c>
      <c r="G11152" s="34" t="n">
        <f aca="false">SUMIFS('12.326ana'!$C:$C,'12.326ana'!$M:$M,redes!A11152)</f>
        <v>0</v>
      </c>
    </row>
    <row r="11153" customFormat="false" ht="14.4" hidden="true" customHeight="false" outlineLevel="0" collapsed="false">
      <c r="A11153" s="34" t="n">
        <v>8941984000117</v>
      </c>
      <c r="B11153" s="34" t="s">
        <v>21981</v>
      </c>
      <c r="C11153" s="34" t="s">
        <v>77</v>
      </c>
      <c r="E11153" s="30" t="s">
        <v>21982</v>
      </c>
      <c r="F11153" s="34" t="n">
        <f aca="false">IFERROR(VLOOKUP($A11153,'319'!$B:$H,7,0),0)</f>
        <v>0</v>
      </c>
      <c r="G11153" s="34" t="n">
        <f aca="false">SUMIFS('12.326ana'!$C:$C,'12.326ana'!$M:$M,redes!A11153)</f>
        <v>0</v>
      </c>
    </row>
    <row r="11154" customFormat="false" ht="14.4" hidden="true" customHeight="false" outlineLevel="0" collapsed="false">
      <c r="A11154" s="34" t="n">
        <v>8946031000141</v>
      </c>
      <c r="B11154" s="34" t="s">
        <v>21983</v>
      </c>
      <c r="C11154" s="34" t="s">
        <v>77</v>
      </c>
      <c r="E11154" s="30" t="s">
        <v>11604</v>
      </c>
      <c r="F11154" s="34" t="n">
        <f aca="false">IFERROR(VLOOKUP($A11154,'319'!$B:$H,7,0),0)</f>
        <v>0</v>
      </c>
      <c r="G11154" s="34" t="n">
        <f aca="false">SUMIFS('12.326ana'!$C:$C,'12.326ana'!$M:$M,redes!A11154)</f>
        <v>0</v>
      </c>
    </row>
    <row r="11155" customFormat="false" ht="14.4" hidden="true" customHeight="false" outlineLevel="0" collapsed="false">
      <c r="A11155" s="34" t="n">
        <v>8946792000101</v>
      </c>
      <c r="B11155" s="34" t="s">
        <v>21984</v>
      </c>
      <c r="C11155" s="34" t="s">
        <v>598</v>
      </c>
      <c r="E11155" s="30" t="s">
        <v>21985</v>
      </c>
      <c r="F11155" s="34" t="n">
        <f aca="false">IFERROR(VLOOKUP($A11155,'319'!$B:$H,7,0),0)</f>
        <v>0</v>
      </c>
      <c r="G11155" s="34" t="n">
        <f aca="false">SUMIFS('12.326ana'!$C:$C,'12.326ana'!$M:$M,redes!A11155)</f>
        <v>0</v>
      </c>
    </row>
    <row r="11156" customFormat="false" ht="14.4" hidden="true" customHeight="false" outlineLevel="0" collapsed="false">
      <c r="A11156" s="34" t="n">
        <v>8948401000180</v>
      </c>
      <c r="B11156" s="34" t="s">
        <v>21986</v>
      </c>
      <c r="C11156" s="34" t="s">
        <v>77</v>
      </c>
      <c r="E11156" s="30" t="s">
        <v>21987</v>
      </c>
      <c r="F11156" s="34" t="n">
        <f aca="false">IFERROR(VLOOKUP($A11156,'319'!$B:$H,7,0),0)</f>
        <v>0</v>
      </c>
      <c r="G11156" s="34" t="n">
        <f aca="false">SUMIFS('12.326ana'!$C:$C,'12.326ana'!$M:$M,redes!A11156)</f>
        <v>0</v>
      </c>
    </row>
    <row r="11157" customFormat="false" ht="14.4" hidden="true" customHeight="false" outlineLevel="0" collapsed="false">
      <c r="A11157" s="34" t="n">
        <v>8949306000109</v>
      </c>
      <c r="B11157" s="34" t="s">
        <v>21988</v>
      </c>
      <c r="C11157" s="34" t="s">
        <v>77</v>
      </c>
      <c r="E11157" s="30" t="s">
        <v>21989</v>
      </c>
      <c r="F11157" s="34" t="n">
        <f aca="false">IFERROR(VLOOKUP($A11157,'319'!$B:$H,7,0),0)</f>
        <v>0</v>
      </c>
      <c r="G11157" s="34" t="n">
        <f aca="false">SUMIFS('12.326ana'!$C:$C,'12.326ana'!$M:$M,redes!A11157)</f>
        <v>0</v>
      </c>
    </row>
    <row r="11158" customFormat="false" ht="14.4" hidden="true" customHeight="false" outlineLevel="0" collapsed="false">
      <c r="A11158" s="34" t="n">
        <v>8953437000151</v>
      </c>
      <c r="B11158" s="34" t="s">
        <v>21990</v>
      </c>
      <c r="C11158" s="34" t="s">
        <v>77</v>
      </c>
      <c r="E11158" s="30" t="s">
        <v>21991</v>
      </c>
      <c r="F11158" s="34" t="n">
        <f aca="false">IFERROR(VLOOKUP($A11158,'319'!$B:$H,7,0),0)</f>
        <v>0</v>
      </c>
      <c r="G11158" s="34" t="n">
        <f aca="false">SUMIFS('12.326ana'!$C:$C,'12.326ana'!$M:$M,redes!A11158)</f>
        <v>0</v>
      </c>
    </row>
    <row r="11159" customFormat="false" ht="14.4" hidden="true" customHeight="false" outlineLevel="0" collapsed="false">
      <c r="A11159" s="34" t="n">
        <v>8953923000170</v>
      </c>
      <c r="B11159" s="34" t="s">
        <v>21992</v>
      </c>
      <c r="C11159" s="34" t="s">
        <v>77</v>
      </c>
      <c r="E11159" s="30" t="s">
        <v>21993</v>
      </c>
      <c r="F11159" s="34" t="n">
        <f aca="false">IFERROR(VLOOKUP($A11159,'319'!$B:$H,7,0),0)</f>
        <v>0</v>
      </c>
      <c r="G11159" s="34" t="n">
        <f aca="false">SUMIFS('12.326ana'!$C:$C,'12.326ana'!$M:$M,redes!A11159)</f>
        <v>0</v>
      </c>
    </row>
    <row r="11160" customFormat="false" ht="14.4" hidden="true" customHeight="false" outlineLevel="0" collapsed="false">
      <c r="A11160" s="34" t="n">
        <v>8958512000177</v>
      </c>
      <c r="B11160" s="34" t="s">
        <v>21994</v>
      </c>
      <c r="C11160" s="34" t="s">
        <v>107</v>
      </c>
      <c r="E11160" s="30" t="s">
        <v>21995</v>
      </c>
      <c r="F11160" s="34" t="n">
        <f aca="false">IFERROR(VLOOKUP($A11160,'319'!$B:$H,7,0),0)</f>
        <v>0</v>
      </c>
      <c r="G11160" s="34" t="n">
        <f aca="false">SUMIFS('12.326ana'!$C:$C,'12.326ana'!$M:$M,redes!A11160)</f>
        <v>0</v>
      </c>
    </row>
    <row r="11161" customFormat="false" ht="14.4" hidden="true" customHeight="false" outlineLevel="0" collapsed="false">
      <c r="A11161" s="34" t="n">
        <v>8962327000156</v>
      </c>
      <c r="B11161" s="34" t="s">
        <v>21996</v>
      </c>
      <c r="C11161" s="34" t="s">
        <v>473</v>
      </c>
      <c r="E11161" s="30" t="s">
        <v>21997</v>
      </c>
      <c r="F11161" s="34" t="n">
        <f aca="false">IFERROR(VLOOKUP($A11161,'319'!$B:$H,7,0),0)</f>
        <v>0</v>
      </c>
      <c r="G11161" s="34" t="n">
        <f aca="false">SUMIFS('12.326ana'!$C:$C,'12.326ana'!$M:$M,redes!A11161)</f>
        <v>0</v>
      </c>
    </row>
    <row r="11162" customFormat="false" ht="14.4" hidden="true" customHeight="false" outlineLevel="0" collapsed="false">
      <c r="A11162" s="34" t="n">
        <v>8965342000158</v>
      </c>
      <c r="B11162" s="34" t="s">
        <v>21998</v>
      </c>
      <c r="C11162" s="34" t="s">
        <v>357</v>
      </c>
      <c r="E11162" s="30" t="s">
        <v>21400</v>
      </c>
      <c r="F11162" s="34" t="n">
        <f aca="false">IFERROR(VLOOKUP($A11162,'319'!$B:$H,7,0),0)</f>
        <v>0</v>
      </c>
      <c r="G11162" s="34" t="n">
        <f aca="false">SUMIFS('12.326ana'!$C:$C,'12.326ana'!$M:$M,redes!A11162)</f>
        <v>0</v>
      </c>
    </row>
    <row r="11163" customFormat="false" ht="14.4" hidden="true" customHeight="false" outlineLevel="0" collapsed="false">
      <c r="A11163" s="34" t="n">
        <v>8965507000191</v>
      </c>
      <c r="B11163" s="34" t="s">
        <v>21999</v>
      </c>
      <c r="C11163" s="34" t="s">
        <v>351</v>
      </c>
      <c r="E11163" s="30" t="s">
        <v>15179</v>
      </c>
      <c r="F11163" s="34" t="n">
        <f aca="false">IFERROR(VLOOKUP($A11163,'319'!$B:$H,7,0),0)</f>
        <v>0</v>
      </c>
      <c r="G11163" s="34" t="n">
        <f aca="false">SUMIFS('12.326ana'!$C:$C,'12.326ana'!$M:$M,redes!A11163)</f>
        <v>0</v>
      </c>
    </row>
    <row r="11164" customFormat="false" ht="14.4" hidden="true" customHeight="false" outlineLevel="0" collapsed="false">
      <c r="A11164" s="34" t="n">
        <v>8965831000100</v>
      </c>
      <c r="B11164" s="34" t="s">
        <v>22000</v>
      </c>
      <c r="C11164" s="34" t="s">
        <v>117</v>
      </c>
      <c r="E11164" s="30" t="s">
        <v>22001</v>
      </c>
      <c r="F11164" s="34" t="n">
        <f aca="false">IFERROR(VLOOKUP($A11164,'319'!$B:$H,7,0),0)</f>
        <v>0</v>
      </c>
      <c r="G11164" s="34" t="n">
        <f aca="false">SUMIFS('12.326ana'!$C:$C,'12.326ana'!$M:$M,redes!A11164)</f>
        <v>0</v>
      </c>
    </row>
    <row r="11165" customFormat="false" ht="14.4" hidden="true" customHeight="false" outlineLevel="0" collapsed="false">
      <c r="A11165" s="34" t="n">
        <v>8968237000172</v>
      </c>
      <c r="B11165" s="34" t="s">
        <v>22002</v>
      </c>
      <c r="C11165" s="34" t="s">
        <v>89</v>
      </c>
      <c r="E11165" s="30" t="s">
        <v>22003</v>
      </c>
      <c r="F11165" s="34" t="n">
        <f aca="false">IFERROR(VLOOKUP($A11165,'319'!$B:$H,7,0),0)</f>
        <v>0</v>
      </c>
      <c r="G11165" s="34" t="n">
        <f aca="false">SUMIFS('12.326ana'!$C:$C,'12.326ana'!$M:$M,redes!A11165)</f>
        <v>0</v>
      </c>
    </row>
    <row r="11166" customFormat="false" ht="14.4" hidden="true" customHeight="false" outlineLevel="0" collapsed="false">
      <c r="A11166" s="34" t="n">
        <v>8969482000102</v>
      </c>
      <c r="B11166" s="34" t="s">
        <v>22004</v>
      </c>
      <c r="C11166" s="34" t="s">
        <v>464</v>
      </c>
      <c r="E11166" s="30" t="s">
        <v>22005</v>
      </c>
      <c r="F11166" s="34" t="n">
        <f aca="false">IFERROR(VLOOKUP($A11166,'319'!$B:$H,7,0),0)</f>
        <v>0</v>
      </c>
      <c r="G11166" s="34" t="n">
        <f aca="false">SUMIFS('12.326ana'!$C:$C,'12.326ana'!$M:$M,redes!A11166)</f>
        <v>0</v>
      </c>
    </row>
    <row r="11167" customFormat="false" ht="14.4" hidden="true" customHeight="false" outlineLevel="0" collapsed="false">
      <c r="A11167" s="34" t="n">
        <v>8972907000124</v>
      </c>
      <c r="B11167" s="34" t="s">
        <v>22006</v>
      </c>
      <c r="C11167" s="34" t="s">
        <v>77</v>
      </c>
      <c r="E11167" s="30" t="s">
        <v>19134</v>
      </c>
      <c r="F11167" s="34" t="n">
        <f aca="false">IFERROR(VLOOKUP($A11167,'319'!$B:$H,7,0),0)</f>
        <v>0</v>
      </c>
      <c r="G11167" s="34" t="n">
        <f aca="false">SUMIFS('12.326ana'!$C:$C,'12.326ana'!$M:$M,redes!A11167)</f>
        <v>0</v>
      </c>
    </row>
    <row r="11168" customFormat="false" ht="14.4" hidden="true" customHeight="false" outlineLevel="0" collapsed="false">
      <c r="A11168" s="34" t="n">
        <v>8973618000140</v>
      </c>
      <c r="B11168" s="34" t="s">
        <v>22007</v>
      </c>
      <c r="C11168" s="34" t="s">
        <v>77</v>
      </c>
      <c r="E11168" s="30" t="s">
        <v>18405</v>
      </c>
      <c r="F11168" s="34" t="n">
        <f aca="false">IFERROR(VLOOKUP($A11168,'319'!$B:$H,7,0),0)</f>
        <v>0</v>
      </c>
      <c r="G11168" s="34" t="n">
        <f aca="false">SUMIFS('12.326ana'!$C:$C,'12.326ana'!$M:$M,redes!A11168)</f>
        <v>0</v>
      </c>
    </row>
    <row r="11169" customFormat="false" ht="14.4" hidden="true" customHeight="false" outlineLevel="0" collapsed="false">
      <c r="A11169" s="34" t="n">
        <v>8977958000149</v>
      </c>
      <c r="B11169" s="34" t="s">
        <v>22008</v>
      </c>
      <c r="C11169" s="34" t="s">
        <v>1272</v>
      </c>
      <c r="E11169" s="30" t="s">
        <v>22009</v>
      </c>
      <c r="F11169" s="34" t="n">
        <f aca="false">IFERROR(VLOOKUP($A11169,'319'!$B:$H,7,0),0)</f>
        <v>0</v>
      </c>
      <c r="G11169" s="34" t="n">
        <f aca="false">SUMIFS('12.326ana'!$C:$C,'12.326ana'!$M:$M,redes!A11169)</f>
        <v>0</v>
      </c>
    </row>
    <row r="11170" customFormat="false" ht="14.4" hidden="true" customHeight="false" outlineLevel="0" collapsed="false">
      <c r="A11170" s="34" t="n">
        <v>8980101000188</v>
      </c>
      <c r="B11170" s="34" t="s">
        <v>22010</v>
      </c>
      <c r="C11170" s="34" t="s">
        <v>77</v>
      </c>
      <c r="E11170" s="30" t="s">
        <v>22011</v>
      </c>
      <c r="F11170" s="34" t="n">
        <f aca="false">IFERROR(VLOOKUP($A11170,'319'!$B:$H,7,0),0)</f>
        <v>0</v>
      </c>
      <c r="G11170" s="34" t="n">
        <f aca="false">SUMIFS('12.326ana'!$C:$C,'12.326ana'!$M:$M,redes!A11170)</f>
        <v>0</v>
      </c>
    </row>
    <row r="11171" customFormat="false" ht="14.4" hidden="true" customHeight="false" outlineLevel="0" collapsed="false">
      <c r="A11171" s="34" t="n">
        <v>8980686000136</v>
      </c>
      <c r="B11171" s="34" t="s">
        <v>22012</v>
      </c>
      <c r="C11171" s="34" t="s">
        <v>4139</v>
      </c>
      <c r="E11171" s="30" t="s">
        <v>11928</v>
      </c>
      <c r="F11171" s="34" t="n">
        <f aca="false">IFERROR(VLOOKUP($A11171,'319'!$B:$H,7,0),0)</f>
        <v>0</v>
      </c>
      <c r="G11171" s="34" t="n">
        <f aca="false">SUMIFS('12.326ana'!$C:$C,'12.326ana'!$M:$M,redes!A11171)</f>
        <v>0</v>
      </c>
    </row>
    <row r="11172" customFormat="false" ht="14.4" hidden="true" customHeight="false" outlineLevel="0" collapsed="false">
      <c r="A11172" s="34" t="n">
        <v>8989617000193</v>
      </c>
      <c r="B11172" s="34" t="s">
        <v>22013</v>
      </c>
      <c r="C11172" s="34" t="s">
        <v>448</v>
      </c>
      <c r="E11172" s="30" t="s">
        <v>12943</v>
      </c>
      <c r="F11172" s="34" t="n">
        <f aca="false">IFERROR(VLOOKUP($A11172,'319'!$B:$H,7,0),0)</f>
        <v>0</v>
      </c>
      <c r="G11172" s="34" t="n">
        <f aca="false">SUMIFS('12.326ana'!$C:$C,'12.326ana'!$M:$M,redes!A11172)</f>
        <v>0</v>
      </c>
    </row>
    <row r="11173" customFormat="false" ht="14.4" hidden="true" customHeight="false" outlineLevel="0" collapsed="false">
      <c r="A11173" s="34" t="n">
        <v>8992006000102</v>
      </c>
      <c r="B11173" s="34" t="s">
        <v>22014</v>
      </c>
      <c r="C11173" s="34" t="s">
        <v>89</v>
      </c>
      <c r="E11173" s="30" t="s">
        <v>22015</v>
      </c>
      <c r="F11173" s="34" t="n">
        <f aca="false">IFERROR(VLOOKUP($A11173,'319'!$B:$H,7,0),0)</f>
        <v>0</v>
      </c>
      <c r="G11173" s="34" t="n">
        <f aca="false">SUMIFS('12.326ana'!$C:$C,'12.326ana'!$M:$M,redes!A11173)</f>
        <v>0</v>
      </c>
    </row>
    <row r="11174" customFormat="false" ht="14.4" hidden="true" customHeight="false" outlineLevel="0" collapsed="false">
      <c r="A11174" s="34" t="n">
        <v>8996097000146</v>
      </c>
      <c r="B11174" s="34" t="s">
        <v>22016</v>
      </c>
      <c r="C11174" s="34" t="s">
        <v>77</v>
      </c>
      <c r="E11174" s="30" t="s">
        <v>22017</v>
      </c>
      <c r="F11174" s="34" t="n">
        <f aca="false">IFERROR(VLOOKUP($A11174,'319'!$B:$H,7,0),0)</f>
        <v>0</v>
      </c>
      <c r="G11174" s="34" t="n">
        <f aca="false">SUMIFS('12.326ana'!$C:$C,'12.326ana'!$M:$M,redes!A11174)</f>
        <v>0</v>
      </c>
    </row>
    <row r="11175" customFormat="false" ht="14.4" hidden="true" customHeight="false" outlineLevel="0" collapsed="false">
      <c r="A11175" s="34" t="n">
        <v>9000483000107</v>
      </c>
      <c r="B11175" s="34" t="s">
        <v>22018</v>
      </c>
      <c r="C11175" s="34" t="s">
        <v>89</v>
      </c>
      <c r="E11175" s="30" t="s">
        <v>7681</v>
      </c>
      <c r="F11175" s="34" t="n">
        <f aca="false">IFERROR(VLOOKUP($A11175,'319'!$B:$H,7,0),0)</f>
        <v>0</v>
      </c>
      <c r="G11175" s="34" t="n">
        <f aca="false">SUMIFS('12.326ana'!$C:$C,'12.326ana'!$M:$M,redes!A11175)</f>
        <v>0</v>
      </c>
    </row>
    <row r="11176" customFormat="false" ht="14.4" hidden="true" customHeight="false" outlineLevel="0" collapsed="false">
      <c r="A11176" s="34" t="n">
        <v>9000663000180</v>
      </c>
      <c r="B11176" s="34" t="s">
        <v>22019</v>
      </c>
      <c r="C11176" s="34" t="s">
        <v>103</v>
      </c>
      <c r="E11176" s="30" t="s">
        <v>22020</v>
      </c>
      <c r="F11176" s="34" t="n">
        <f aca="false">IFERROR(VLOOKUP($A11176,'319'!$B:$H,7,0),0)</f>
        <v>0</v>
      </c>
      <c r="G11176" s="34" t="n">
        <f aca="false">SUMIFS('12.326ana'!$C:$C,'12.326ana'!$M:$M,redes!A11176)</f>
        <v>0</v>
      </c>
    </row>
    <row r="11177" customFormat="false" ht="14.4" hidden="true" customHeight="false" outlineLevel="0" collapsed="false">
      <c r="A11177" s="34" t="n">
        <v>9002696000160</v>
      </c>
      <c r="B11177" s="34" t="s">
        <v>22021</v>
      </c>
      <c r="C11177" s="34" t="s">
        <v>1272</v>
      </c>
      <c r="E11177" s="30" t="s">
        <v>22022</v>
      </c>
      <c r="F11177" s="34" t="n">
        <f aca="false">IFERROR(VLOOKUP($A11177,'319'!$B:$H,7,0),0)</f>
        <v>0</v>
      </c>
      <c r="G11177" s="34" t="n">
        <f aca="false">SUMIFS('12.326ana'!$C:$C,'12.326ana'!$M:$M,redes!A11177)</f>
        <v>0</v>
      </c>
    </row>
    <row r="11178" customFormat="false" ht="14.4" hidden="true" customHeight="false" outlineLevel="0" collapsed="false">
      <c r="A11178" s="34" t="n">
        <v>9003117000101</v>
      </c>
      <c r="B11178" s="34" t="s">
        <v>22023</v>
      </c>
      <c r="C11178" s="34" t="s">
        <v>473</v>
      </c>
      <c r="E11178" s="30" t="s">
        <v>22024</v>
      </c>
      <c r="F11178" s="34" t="n">
        <f aca="false">IFERROR(VLOOKUP($A11178,'319'!$B:$H,7,0),0)</f>
        <v>0</v>
      </c>
      <c r="G11178" s="34" t="n">
        <f aca="false">SUMIFS('12.326ana'!$C:$C,'12.326ana'!$M:$M,redes!A11178)</f>
        <v>0</v>
      </c>
    </row>
    <row r="11179" customFormat="false" ht="14.4" hidden="true" customHeight="false" outlineLevel="0" collapsed="false">
      <c r="A11179" s="34" t="n">
        <v>9004678000117</v>
      </c>
      <c r="B11179" s="34" t="s">
        <v>22025</v>
      </c>
      <c r="C11179" s="34" t="s">
        <v>744</v>
      </c>
      <c r="E11179" s="30" t="s">
        <v>22026</v>
      </c>
      <c r="F11179" s="34" t="n">
        <f aca="false">IFERROR(VLOOKUP($A11179,'319'!$B:$H,7,0),0)</f>
        <v>0</v>
      </c>
      <c r="G11179" s="34" t="n">
        <f aca="false">SUMIFS('12.326ana'!$C:$C,'12.326ana'!$M:$M,redes!A11179)</f>
        <v>0</v>
      </c>
    </row>
    <row r="11180" customFormat="false" ht="14.4" hidden="true" customHeight="false" outlineLevel="0" collapsed="false">
      <c r="A11180" s="34" t="n">
        <v>9004923000196</v>
      </c>
      <c r="B11180" s="34" t="s">
        <v>22027</v>
      </c>
      <c r="C11180" s="34" t="s">
        <v>475</v>
      </c>
      <c r="E11180" s="30" t="s">
        <v>22028</v>
      </c>
      <c r="F11180" s="34" t="n">
        <f aca="false">IFERROR(VLOOKUP($A11180,'319'!$B:$H,7,0),0)</f>
        <v>0</v>
      </c>
      <c r="G11180" s="34" t="n">
        <f aca="false">SUMIFS('12.326ana'!$C:$C,'12.326ana'!$M:$M,redes!A11180)</f>
        <v>0</v>
      </c>
    </row>
    <row r="11181" customFormat="false" ht="14.4" hidden="true" customHeight="false" outlineLevel="0" collapsed="false">
      <c r="A11181" s="34" t="n">
        <v>9006587000110</v>
      </c>
      <c r="B11181" s="34" t="s">
        <v>22029</v>
      </c>
      <c r="C11181" s="34" t="s">
        <v>1272</v>
      </c>
      <c r="E11181" s="30" t="s">
        <v>22030</v>
      </c>
      <c r="F11181" s="34" t="n">
        <f aca="false">IFERROR(VLOOKUP($A11181,'319'!$B:$H,7,0),0)</f>
        <v>0</v>
      </c>
      <c r="G11181" s="34" t="n">
        <f aca="false">SUMIFS('12.326ana'!$C:$C,'12.326ana'!$M:$M,redes!A11181)</f>
        <v>0</v>
      </c>
    </row>
    <row r="11182" customFormat="false" ht="14.4" hidden="true" customHeight="false" outlineLevel="0" collapsed="false">
      <c r="A11182" s="34" t="n">
        <v>9007743000168</v>
      </c>
      <c r="B11182" s="34" t="s">
        <v>22031</v>
      </c>
      <c r="C11182" s="34" t="s">
        <v>77</v>
      </c>
      <c r="E11182" s="30" t="s">
        <v>22032</v>
      </c>
      <c r="F11182" s="34" t="n">
        <f aca="false">IFERROR(VLOOKUP($A11182,'319'!$B:$H,7,0),0)</f>
        <v>0</v>
      </c>
      <c r="G11182" s="34" t="n">
        <f aca="false">SUMIFS('12.326ana'!$C:$C,'12.326ana'!$M:$M,redes!A11182)</f>
        <v>0</v>
      </c>
    </row>
    <row r="11183" customFormat="false" ht="14.4" hidden="true" customHeight="false" outlineLevel="0" collapsed="false">
      <c r="A11183" s="34" t="n">
        <v>9009836000121</v>
      </c>
      <c r="B11183" s="34" t="s">
        <v>22033</v>
      </c>
      <c r="C11183" s="34" t="s">
        <v>737</v>
      </c>
      <c r="E11183" s="30" t="s">
        <v>22034</v>
      </c>
      <c r="F11183" s="34" t="n">
        <f aca="false">IFERROR(VLOOKUP($A11183,'319'!$B:$H,7,0),0)</f>
        <v>0</v>
      </c>
      <c r="G11183" s="34" t="n">
        <f aca="false">SUMIFS('12.326ana'!$C:$C,'12.326ana'!$M:$M,redes!A11183)</f>
        <v>0</v>
      </c>
    </row>
    <row r="11184" customFormat="false" ht="14.4" hidden="true" customHeight="false" outlineLevel="0" collapsed="false">
      <c r="A11184" s="34" t="n">
        <v>9017483000101</v>
      </c>
      <c r="B11184" s="34" t="s">
        <v>22035</v>
      </c>
      <c r="C11184" s="34" t="s">
        <v>77</v>
      </c>
      <c r="E11184" s="30" t="s">
        <v>22036</v>
      </c>
      <c r="F11184" s="34" t="n">
        <f aca="false">IFERROR(VLOOKUP($A11184,'319'!$B:$H,7,0),0)</f>
        <v>0</v>
      </c>
      <c r="G11184" s="34" t="n">
        <f aca="false">SUMIFS('12.326ana'!$C:$C,'12.326ana'!$M:$M,redes!A11184)</f>
        <v>0</v>
      </c>
    </row>
    <row r="11185" customFormat="false" ht="14.4" hidden="true" customHeight="false" outlineLevel="0" collapsed="false">
      <c r="A11185" s="34" t="n">
        <v>9018095000145</v>
      </c>
      <c r="B11185" s="34" t="s">
        <v>22037</v>
      </c>
      <c r="C11185" s="34" t="s">
        <v>139</v>
      </c>
      <c r="E11185" s="30" t="s">
        <v>22038</v>
      </c>
      <c r="F11185" s="34" t="n">
        <f aca="false">IFERROR(VLOOKUP($A11185,'319'!$B:$H,7,0),0)</f>
        <v>0</v>
      </c>
      <c r="G11185" s="34" t="n">
        <f aca="false">SUMIFS('12.326ana'!$C:$C,'12.326ana'!$M:$M,redes!A11185)</f>
        <v>0</v>
      </c>
    </row>
    <row r="11186" customFormat="false" ht="14.4" hidden="true" customHeight="false" outlineLevel="0" collapsed="false">
      <c r="A11186" s="34" t="n">
        <v>9018584000105</v>
      </c>
      <c r="B11186" s="34" t="s">
        <v>22039</v>
      </c>
      <c r="C11186" s="34" t="s">
        <v>631</v>
      </c>
      <c r="E11186" s="30" t="s">
        <v>22040</v>
      </c>
      <c r="F11186" s="34" t="n">
        <f aca="false">IFERROR(VLOOKUP($A11186,'319'!$B:$H,7,0),0)</f>
        <v>0</v>
      </c>
      <c r="G11186" s="34" t="n">
        <f aca="false">SUMIFS('12.326ana'!$C:$C,'12.326ana'!$M:$M,redes!A11186)</f>
        <v>0</v>
      </c>
    </row>
    <row r="11187" customFormat="false" ht="14.4" hidden="true" customHeight="false" outlineLevel="0" collapsed="false">
      <c r="A11187" s="34" t="n">
        <v>9020800000149</v>
      </c>
      <c r="B11187" s="34" t="s">
        <v>22041</v>
      </c>
      <c r="C11187" s="34" t="s">
        <v>89</v>
      </c>
      <c r="E11187" s="30" t="s">
        <v>22042</v>
      </c>
      <c r="F11187" s="34" t="n">
        <f aca="false">IFERROR(VLOOKUP($A11187,'319'!$B:$H,7,0),0)</f>
        <v>0</v>
      </c>
      <c r="G11187" s="34" t="n">
        <f aca="false">SUMIFS('12.326ana'!$C:$C,'12.326ana'!$M:$M,redes!A11187)</f>
        <v>0</v>
      </c>
    </row>
    <row r="11188" customFormat="false" ht="14.4" hidden="true" customHeight="false" outlineLevel="0" collapsed="false">
      <c r="A11188" s="34" t="n">
        <v>9021259000193</v>
      </c>
      <c r="B11188" s="34" t="s">
        <v>22043</v>
      </c>
      <c r="C11188" s="34" t="s">
        <v>848</v>
      </c>
      <c r="E11188" s="30" t="s">
        <v>22044</v>
      </c>
      <c r="F11188" s="34" t="n">
        <f aca="false">IFERROR(VLOOKUP($A11188,'319'!$B:$H,7,0),0)</f>
        <v>0</v>
      </c>
      <c r="G11188" s="34" t="n">
        <f aca="false">SUMIFS('12.326ana'!$C:$C,'12.326ana'!$M:$M,redes!A11188)</f>
        <v>0</v>
      </c>
    </row>
    <row r="11189" customFormat="false" ht="14.4" hidden="true" customHeight="false" outlineLevel="0" collapsed="false">
      <c r="A11189" s="34" t="n">
        <v>9024504000116</v>
      </c>
      <c r="B11189" s="34" t="s">
        <v>22045</v>
      </c>
      <c r="C11189" s="34" t="s">
        <v>1306</v>
      </c>
      <c r="E11189" s="30" t="s">
        <v>4373</v>
      </c>
      <c r="F11189" s="34" t="n">
        <f aca="false">IFERROR(VLOOKUP($A11189,'319'!$B:$H,7,0),0)</f>
        <v>0</v>
      </c>
      <c r="G11189" s="34" t="n">
        <f aca="false">SUMIFS('12.326ana'!$C:$C,'12.326ana'!$M:$M,redes!A11189)</f>
        <v>0</v>
      </c>
    </row>
    <row r="11190" customFormat="false" ht="14.4" hidden="true" customHeight="false" outlineLevel="0" collapsed="false">
      <c r="A11190" s="34" t="n">
        <v>9025095000172</v>
      </c>
      <c r="B11190" s="34" t="s">
        <v>22046</v>
      </c>
      <c r="C11190" s="34" t="s">
        <v>107</v>
      </c>
      <c r="E11190" s="30" t="s">
        <v>22047</v>
      </c>
      <c r="F11190" s="34" t="n">
        <f aca="false">IFERROR(VLOOKUP($A11190,'319'!$B:$H,7,0),0)</f>
        <v>0</v>
      </c>
      <c r="G11190" s="34" t="n">
        <f aca="false">SUMIFS('12.326ana'!$C:$C,'12.326ana'!$M:$M,redes!A11190)</f>
        <v>0</v>
      </c>
    </row>
    <row r="11191" customFormat="false" ht="14.4" hidden="true" customHeight="false" outlineLevel="0" collapsed="false">
      <c r="A11191" s="34" t="n">
        <v>9027032000155</v>
      </c>
      <c r="B11191" s="34" t="s">
        <v>22048</v>
      </c>
      <c r="C11191" s="34" t="s">
        <v>77</v>
      </c>
      <c r="E11191" s="30" t="s">
        <v>22049</v>
      </c>
      <c r="F11191" s="34" t="n">
        <f aca="false">IFERROR(VLOOKUP($A11191,'319'!$B:$H,7,0),0)</f>
        <v>0</v>
      </c>
      <c r="G11191" s="34" t="n">
        <f aca="false">SUMIFS('12.326ana'!$C:$C,'12.326ana'!$M:$M,redes!A11191)</f>
        <v>0</v>
      </c>
    </row>
    <row r="11192" customFormat="false" ht="14.4" hidden="true" customHeight="false" outlineLevel="0" collapsed="false">
      <c r="A11192" s="34" t="n">
        <v>9029025000192</v>
      </c>
      <c r="B11192" s="34" t="s">
        <v>22050</v>
      </c>
      <c r="C11192" s="34" t="s">
        <v>103</v>
      </c>
      <c r="E11192" s="30" t="s">
        <v>22051</v>
      </c>
      <c r="F11192" s="34" t="n">
        <f aca="false">IFERROR(VLOOKUP($A11192,'319'!$B:$H,7,0),0)</f>
        <v>0</v>
      </c>
      <c r="G11192" s="34" t="n">
        <f aca="false">SUMIFS('12.326ana'!$C:$C,'12.326ana'!$M:$M,redes!A11192)</f>
        <v>0</v>
      </c>
    </row>
    <row r="11193" customFormat="false" ht="14.4" hidden="true" customHeight="false" outlineLevel="0" collapsed="false">
      <c r="A11193" s="34" t="n">
        <v>9031904000159</v>
      </c>
      <c r="B11193" s="34" t="s">
        <v>22052</v>
      </c>
      <c r="C11193" s="34" t="s">
        <v>107</v>
      </c>
      <c r="E11193" s="30" t="s">
        <v>22053</v>
      </c>
      <c r="F11193" s="34" t="n">
        <f aca="false">IFERROR(VLOOKUP($A11193,'319'!$B:$H,7,0),0)</f>
        <v>0</v>
      </c>
      <c r="G11193" s="34" t="n">
        <f aca="false">SUMIFS('12.326ana'!$C:$C,'12.326ana'!$M:$M,redes!A11193)</f>
        <v>0</v>
      </c>
    </row>
    <row r="11194" customFormat="false" ht="14.4" hidden="true" customHeight="false" outlineLevel="0" collapsed="false">
      <c r="A11194" s="34" t="n">
        <v>9032496000150</v>
      </c>
      <c r="B11194" s="34" t="s">
        <v>22054</v>
      </c>
      <c r="C11194" s="34" t="s">
        <v>139</v>
      </c>
      <c r="E11194" s="30" t="s">
        <v>22055</v>
      </c>
      <c r="F11194" s="34" t="n">
        <f aca="false">IFERROR(VLOOKUP($A11194,'319'!$B:$H,7,0),0)</f>
        <v>0</v>
      </c>
      <c r="G11194" s="34" t="n">
        <f aca="false">SUMIFS('12.326ana'!$C:$C,'12.326ana'!$M:$M,redes!A11194)</f>
        <v>0</v>
      </c>
    </row>
    <row r="11195" customFormat="false" ht="14.4" hidden="true" customHeight="false" outlineLevel="0" collapsed="false">
      <c r="A11195" s="34" t="n">
        <v>9035032000105</v>
      </c>
      <c r="B11195" s="34" t="s">
        <v>22056</v>
      </c>
      <c r="C11195" s="34" t="s">
        <v>77</v>
      </c>
      <c r="E11195" s="30" t="s">
        <v>22056</v>
      </c>
      <c r="F11195" s="34" t="n">
        <f aca="false">IFERROR(VLOOKUP($A11195,'319'!$B:$H,7,0),0)</f>
        <v>0</v>
      </c>
      <c r="G11195" s="34" t="n">
        <f aca="false">SUMIFS('12.326ana'!$C:$C,'12.326ana'!$M:$M,redes!A11195)</f>
        <v>0</v>
      </c>
    </row>
    <row r="11196" customFormat="false" ht="14.4" hidden="true" customHeight="false" outlineLevel="0" collapsed="false">
      <c r="A11196" s="34" t="n">
        <v>9036356000150</v>
      </c>
      <c r="B11196" s="34" t="s">
        <v>22057</v>
      </c>
      <c r="C11196" s="34" t="s">
        <v>139</v>
      </c>
      <c r="E11196" s="30" t="s">
        <v>19811</v>
      </c>
      <c r="F11196" s="34" t="n">
        <f aca="false">IFERROR(VLOOKUP($A11196,'319'!$B:$H,7,0),0)</f>
        <v>0</v>
      </c>
      <c r="G11196" s="34" t="n">
        <f aca="false">SUMIFS('12.326ana'!$C:$C,'12.326ana'!$M:$M,redes!A11196)</f>
        <v>0</v>
      </c>
    </row>
    <row r="11197" customFormat="false" ht="14.4" hidden="true" customHeight="false" outlineLevel="0" collapsed="false">
      <c r="A11197" s="34" t="n">
        <v>9039189000109</v>
      </c>
      <c r="B11197" s="34" t="s">
        <v>22058</v>
      </c>
      <c r="C11197" s="34" t="s">
        <v>781</v>
      </c>
      <c r="E11197" s="30" t="s">
        <v>21265</v>
      </c>
      <c r="F11197" s="34" t="n">
        <f aca="false">IFERROR(VLOOKUP($A11197,'319'!$B:$H,7,0),0)</f>
        <v>0</v>
      </c>
      <c r="G11197" s="34" t="n">
        <f aca="false">SUMIFS('12.326ana'!$C:$C,'12.326ana'!$M:$M,redes!A11197)</f>
        <v>0</v>
      </c>
    </row>
    <row r="11198" customFormat="false" ht="14.4" hidden="true" customHeight="false" outlineLevel="0" collapsed="false">
      <c r="A11198" s="34" t="n">
        <v>9039286000193</v>
      </c>
      <c r="B11198" s="34" t="s">
        <v>22059</v>
      </c>
      <c r="C11198" s="34" t="s">
        <v>77</v>
      </c>
      <c r="E11198" s="30" t="s">
        <v>22060</v>
      </c>
      <c r="F11198" s="34" t="n">
        <f aca="false">IFERROR(VLOOKUP($A11198,'319'!$B:$H,7,0),0)</f>
        <v>0</v>
      </c>
      <c r="G11198" s="34" t="n">
        <f aca="false">SUMIFS('12.326ana'!$C:$C,'12.326ana'!$M:$M,redes!A11198)</f>
        <v>0</v>
      </c>
    </row>
    <row r="11199" customFormat="false" ht="14.4" hidden="true" customHeight="false" outlineLevel="0" collapsed="false">
      <c r="A11199" s="34" t="n">
        <v>9047239000191</v>
      </c>
      <c r="B11199" s="34" t="s">
        <v>22061</v>
      </c>
      <c r="C11199" s="34" t="s">
        <v>1680</v>
      </c>
      <c r="E11199" s="30" t="s">
        <v>22062</v>
      </c>
      <c r="F11199" s="34" t="n">
        <f aca="false">IFERROR(VLOOKUP($A11199,'319'!$B:$H,7,0),0)</f>
        <v>0</v>
      </c>
      <c r="G11199" s="34" t="n">
        <f aca="false">SUMIFS('12.326ana'!$C:$C,'12.326ana'!$M:$M,redes!A11199)</f>
        <v>0</v>
      </c>
    </row>
    <row r="11200" customFormat="false" ht="14.4" hidden="true" customHeight="false" outlineLevel="0" collapsed="false">
      <c r="A11200" s="34" t="n">
        <v>9049603000152</v>
      </c>
      <c r="B11200" s="34" t="s">
        <v>22063</v>
      </c>
      <c r="C11200" s="34" t="s">
        <v>77</v>
      </c>
      <c r="E11200" s="30"/>
      <c r="F11200" s="34" t="n">
        <f aca="false">IFERROR(VLOOKUP($A11200,'319'!$B:$H,7,0),0)</f>
        <v>0</v>
      </c>
      <c r="G11200" s="34" t="n">
        <f aca="false">SUMIFS('12.326ana'!$C:$C,'12.326ana'!$M:$M,redes!A11200)</f>
        <v>0</v>
      </c>
    </row>
    <row r="11201" customFormat="false" ht="14.4" hidden="true" customHeight="false" outlineLevel="0" collapsed="false">
      <c r="A11201" s="34" t="n">
        <v>9049866000161</v>
      </c>
      <c r="B11201" s="34" t="s">
        <v>22064</v>
      </c>
      <c r="C11201" s="34" t="s">
        <v>565</v>
      </c>
      <c r="E11201" s="30" t="s">
        <v>15679</v>
      </c>
      <c r="F11201" s="34" t="n">
        <f aca="false">IFERROR(VLOOKUP($A11201,'319'!$B:$H,7,0),0)</f>
        <v>0</v>
      </c>
      <c r="G11201" s="34" t="n">
        <f aca="false">SUMIFS('12.326ana'!$C:$C,'12.326ana'!$M:$M,redes!A11201)</f>
        <v>0</v>
      </c>
    </row>
    <row r="11202" customFormat="false" ht="14.4" hidden="true" customHeight="false" outlineLevel="0" collapsed="false">
      <c r="A11202" s="34" t="n">
        <v>9053634000187</v>
      </c>
      <c r="B11202" s="34" t="s">
        <v>22065</v>
      </c>
      <c r="C11202" s="34" t="s">
        <v>139</v>
      </c>
      <c r="E11202" s="30" t="s">
        <v>22066</v>
      </c>
      <c r="F11202" s="34" t="n">
        <f aca="false">IFERROR(VLOOKUP($A11202,'319'!$B:$H,7,0),0)</f>
        <v>0</v>
      </c>
      <c r="G11202" s="34" t="n">
        <f aca="false">SUMIFS('12.326ana'!$C:$C,'12.326ana'!$M:$M,redes!A11202)</f>
        <v>0</v>
      </c>
    </row>
    <row r="11203" customFormat="false" ht="14.4" hidden="true" customHeight="false" outlineLevel="0" collapsed="false">
      <c r="A11203" s="34" t="n">
        <v>9053688000142</v>
      </c>
      <c r="B11203" s="34" t="s">
        <v>22067</v>
      </c>
      <c r="C11203" s="34" t="s">
        <v>139</v>
      </c>
      <c r="E11203" s="30" t="s">
        <v>22068</v>
      </c>
      <c r="F11203" s="34" t="n">
        <f aca="false">IFERROR(VLOOKUP($A11203,'319'!$B:$H,7,0),0)</f>
        <v>0</v>
      </c>
      <c r="G11203" s="34" t="n">
        <f aca="false">SUMIFS('12.326ana'!$C:$C,'12.326ana'!$M:$M,redes!A11203)</f>
        <v>0</v>
      </c>
    </row>
    <row r="11204" customFormat="false" ht="14.4" hidden="true" customHeight="false" outlineLevel="0" collapsed="false">
      <c r="A11204" s="34" t="n">
        <v>9056830000105</v>
      </c>
      <c r="B11204" s="34" t="s">
        <v>22069</v>
      </c>
      <c r="C11204" s="34" t="s">
        <v>77</v>
      </c>
      <c r="E11204" s="30" t="s">
        <v>22070</v>
      </c>
      <c r="F11204" s="34" t="n">
        <f aca="false">IFERROR(VLOOKUP($A11204,'319'!$B:$H,7,0),0)</f>
        <v>0</v>
      </c>
      <c r="G11204" s="34" t="n">
        <f aca="false">SUMIFS('12.326ana'!$C:$C,'12.326ana'!$M:$M,redes!A11204)</f>
        <v>0</v>
      </c>
    </row>
    <row r="11205" customFormat="false" ht="14.4" hidden="true" customHeight="false" outlineLevel="0" collapsed="false">
      <c r="A11205" s="34" t="n">
        <v>9058620000156</v>
      </c>
      <c r="B11205" s="34" t="s">
        <v>22071</v>
      </c>
      <c r="C11205" s="34" t="s">
        <v>737</v>
      </c>
      <c r="E11205" s="30" t="s">
        <v>22072</v>
      </c>
      <c r="F11205" s="34" t="n">
        <f aca="false">IFERROR(VLOOKUP($A11205,'319'!$B:$H,7,0),0)</f>
        <v>0</v>
      </c>
      <c r="G11205" s="34" t="n">
        <f aca="false">SUMIFS('12.326ana'!$C:$C,'12.326ana'!$M:$M,redes!A11205)</f>
        <v>0</v>
      </c>
    </row>
    <row r="11206" customFormat="false" ht="14.4" hidden="true" customHeight="false" outlineLevel="0" collapsed="false">
      <c r="A11206" s="34" t="n">
        <v>9059852000129</v>
      </c>
      <c r="B11206" s="34" t="s">
        <v>22073</v>
      </c>
      <c r="C11206" s="34" t="s">
        <v>478</v>
      </c>
      <c r="E11206" s="30" t="s">
        <v>3674</v>
      </c>
      <c r="F11206" s="34" t="n">
        <f aca="false">IFERROR(VLOOKUP($A11206,'319'!$B:$H,7,0),0)</f>
        <v>0</v>
      </c>
      <c r="G11206" s="34" t="n">
        <f aca="false">SUMIFS('12.326ana'!$C:$C,'12.326ana'!$M:$M,redes!A11206)</f>
        <v>0</v>
      </c>
    </row>
    <row r="11207" customFormat="false" ht="14.4" hidden="true" customHeight="false" outlineLevel="0" collapsed="false">
      <c r="A11207" s="34" t="n">
        <v>9059938000232</v>
      </c>
      <c r="B11207" s="34" t="s">
        <v>22074</v>
      </c>
      <c r="C11207" s="34" t="s">
        <v>77</v>
      </c>
      <c r="E11207" s="30" t="s">
        <v>22075</v>
      </c>
      <c r="F11207" s="34" t="n">
        <f aca="false">IFERROR(VLOOKUP($A11207,'319'!$B:$H,7,0),0)</f>
        <v>0</v>
      </c>
      <c r="G11207" s="34" t="n">
        <f aca="false">SUMIFS('12.326ana'!$C:$C,'12.326ana'!$M:$M,redes!A11207)</f>
        <v>0</v>
      </c>
    </row>
    <row r="11208" customFormat="false" ht="14.4" hidden="true" customHeight="false" outlineLevel="0" collapsed="false">
      <c r="A11208" s="34" t="n">
        <v>9063871000129</v>
      </c>
      <c r="B11208" s="34" t="s">
        <v>22076</v>
      </c>
      <c r="C11208" s="34" t="s">
        <v>77</v>
      </c>
      <c r="E11208" s="30" t="s">
        <v>22077</v>
      </c>
      <c r="F11208" s="34" t="n">
        <f aca="false">IFERROR(VLOOKUP($A11208,'319'!$B:$H,7,0),0)</f>
        <v>0</v>
      </c>
      <c r="G11208" s="34" t="n">
        <f aca="false">SUMIFS('12.326ana'!$C:$C,'12.326ana'!$M:$M,redes!A11208)</f>
        <v>0</v>
      </c>
    </row>
    <row r="11209" customFormat="false" ht="14.4" hidden="true" customHeight="false" outlineLevel="0" collapsed="false">
      <c r="A11209" s="34" t="n">
        <v>9070206000162</v>
      </c>
      <c r="B11209" s="34" t="s">
        <v>22078</v>
      </c>
      <c r="C11209" s="34" t="s">
        <v>117</v>
      </c>
      <c r="E11209" s="30" t="s">
        <v>22079</v>
      </c>
      <c r="F11209" s="34" t="n">
        <f aca="false">IFERROR(VLOOKUP($A11209,'319'!$B:$H,7,0),0)</f>
        <v>0</v>
      </c>
      <c r="G11209" s="34" t="n">
        <f aca="false">SUMIFS('12.326ana'!$C:$C,'12.326ana'!$M:$M,redes!A11209)</f>
        <v>0</v>
      </c>
    </row>
    <row r="11210" customFormat="false" ht="14.4" hidden="true" customHeight="false" outlineLevel="0" collapsed="false">
      <c r="A11210" s="34" t="n">
        <v>9070250000172</v>
      </c>
      <c r="B11210" s="34" t="s">
        <v>22080</v>
      </c>
      <c r="C11210" s="34" t="s">
        <v>77</v>
      </c>
      <c r="E11210" s="30" t="s">
        <v>22081</v>
      </c>
      <c r="F11210" s="34" t="n">
        <f aca="false">IFERROR(VLOOKUP($A11210,'319'!$B:$H,7,0),0)</f>
        <v>0</v>
      </c>
      <c r="G11210" s="34" t="n">
        <f aca="false">SUMIFS('12.326ana'!$C:$C,'12.326ana'!$M:$M,redes!A11210)</f>
        <v>0</v>
      </c>
    </row>
    <row r="11211" customFormat="false" ht="14.4" hidden="true" customHeight="false" outlineLevel="0" collapsed="false">
      <c r="A11211" s="34" t="n">
        <v>9071740000193</v>
      </c>
      <c r="B11211" s="34" t="s">
        <v>22082</v>
      </c>
      <c r="C11211" s="34" t="s">
        <v>296</v>
      </c>
      <c r="E11211" s="30" t="s">
        <v>22083</v>
      </c>
      <c r="F11211" s="34" t="n">
        <f aca="false">IFERROR(VLOOKUP($A11211,'319'!$B:$H,7,0),0)</f>
        <v>0</v>
      </c>
      <c r="G11211" s="34" t="n">
        <f aca="false">SUMIFS('12.326ana'!$C:$C,'12.326ana'!$M:$M,redes!A11211)</f>
        <v>0</v>
      </c>
    </row>
    <row r="11212" customFormat="false" ht="14.4" hidden="true" customHeight="false" outlineLevel="0" collapsed="false">
      <c r="A11212" s="34" t="n">
        <v>9071970000152</v>
      </c>
      <c r="B11212" s="34" t="s">
        <v>22084</v>
      </c>
      <c r="C11212" s="34" t="s">
        <v>77</v>
      </c>
      <c r="E11212" s="30" t="s">
        <v>19145</v>
      </c>
      <c r="F11212" s="34" t="n">
        <f aca="false">IFERROR(VLOOKUP($A11212,'319'!$B:$H,7,0),0)</f>
        <v>0</v>
      </c>
      <c r="G11212" s="34" t="n">
        <f aca="false">SUMIFS('12.326ana'!$C:$C,'12.326ana'!$M:$M,redes!A11212)</f>
        <v>0</v>
      </c>
    </row>
    <row r="11213" customFormat="false" ht="14.4" hidden="true" customHeight="false" outlineLevel="0" collapsed="false">
      <c r="A11213" s="34" t="n">
        <v>9072269000158</v>
      </c>
      <c r="B11213" s="34" t="s">
        <v>22085</v>
      </c>
      <c r="C11213" s="34" t="s">
        <v>475</v>
      </c>
      <c r="E11213" s="30" t="s">
        <v>22086</v>
      </c>
      <c r="F11213" s="34" t="n">
        <f aca="false">IFERROR(VLOOKUP($A11213,'319'!$B:$H,7,0),0)</f>
        <v>0</v>
      </c>
      <c r="G11213" s="34" t="n">
        <f aca="false">SUMIFS('12.326ana'!$C:$C,'12.326ana'!$M:$M,redes!A11213)</f>
        <v>0</v>
      </c>
    </row>
    <row r="11214" customFormat="false" ht="14.4" hidden="true" customHeight="false" outlineLevel="0" collapsed="false">
      <c r="A11214" s="34" t="n">
        <v>9075366000149</v>
      </c>
      <c r="B11214" s="34" t="s">
        <v>22087</v>
      </c>
      <c r="C11214" s="34" t="s">
        <v>89</v>
      </c>
      <c r="E11214" s="30" t="s">
        <v>22088</v>
      </c>
      <c r="F11214" s="34" t="n">
        <f aca="false">IFERROR(VLOOKUP($A11214,'319'!$B:$H,7,0),0)</f>
        <v>0</v>
      </c>
      <c r="G11214" s="34" t="n">
        <f aca="false">SUMIFS('12.326ana'!$C:$C,'12.326ana'!$M:$M,redes!A11214)</f>
        <v>0</v>
      </c>
    </row>
    <row r="11215" customFormat="false" ht="14.4" hidden="true" customHeight="false" outlineLevel="0" collapsed="false">
      <c r="A11215" s="34" t="n">
        <v>9077656000187</v>
      </c>
      <c r="B11215" s="34" t="s">
        <v>22089</v>
      </c>
      <c r="C11215" s="34" t="s">
        <v>342</v>
      </c>
      <c r="E11215" s="30" t="s">
        <v>22090</v>
      </c>
      <c r="F11215" s="34" t="n">
        <f aca="false">IFERROR(VLOOKUP($A11215,'319'!$B:$H,7,0),0)</f>
        <v>0</v>
      </c>
      <c r="G11215" s="34" t="n">
        <f aca="false">SUMIFS('12.326ana'!$C:$C,'12.326ana'!$M:$M,redes!A11215)</f>
        <v>0</v>
      </c>
    </row>
    <row r="11216" customFormat="false" ht="14.4" hidden="true" customHeight="false" outlineLevel="0" collapsed="false">
      <c r="A11216" s="34" t="n">
        <v>9078277000101</v>
      </c>
      <c r="B11216" s="34" t="s">
        <v>22091</v>
      </c>
      <c r="C11216" s="34" t="s">
        <v>842</v>
      </c>
      <c r="E11216" s="30" t="s">
        <v>22092</v>
      </c>
      <c r="F11216" s="34" t="n">
        <f aca="false">IFERROR(VLOOKUP($A11216,'319'!$B:$H,7,0),0)</f>
        <v>0</v>
      </c>
      <c r="G11216" s="34" t="n">
        <f aca="false">SUMIFS('12.326ana'!$C:$C,'12.326ana'!$M:$M,redes!A11216)</f>
        <v>0</v>
      </c>
    </row>
    <row r="11217" customFormat="false" ht="14.4" hidden="true" customHeight="false" outlineLevel="0" collapsed="false">
      <c r="A11217" s="34" t="n">
        <v>9083761000129</v>
      </c>
      <c r="B11217" s="34" t="s">
        <v>22093</v>
      </c>
      <c r="C11217" s="34" t="s">
        <v>77</v>
      </c>
      <c r="E11217" s="30" t="s">
        <v>3194</v>
      </c>
      <c r="F11217" s="34" t="n">
        <f aca="false">IFERROR(VLOOKUP($A11217,'319'!$B:$H,7,0),0)</f>
        <v>0</v>
      </c>
      <c r="G11217" s="34" t="n">
        <f aca="false">SUMIFS('12.326ana'!$C:$C,'12.326ana'!$M:$M,redes!A11217)</f>
        <v>0</v>
      </c>
    </row>
    <row r="11218" customFormat="false" ht="14.4" hidden="true" customHeight="false" outlineLevel="0" collapsed="false">
      <c r="A11218" s="34" t="n">
        <v>9084193000180</v>
      </c>
      <c r="B11218" s="34" t="s">
        <v>22094</v>
      </c>
      <c r="C11218" s="34" t="s">
        <v>139</v>
      </c>
      <c r="E11218" s="30" t="s">
        <v>22095</v>
      </c>
      <c r="F11218" s="34" t="n">
        <f aca="false">IFERROR(VLOOKUP($A11218,'319'!$B:$H,7,0),0)</f>
        <v>0</v>
      </c>
      <c r="G11218" s="34" t="n">
        <f aca="false">SUMIFS('12.326ana'!$C:$C,'12.326ana'!$M:$M,redes!A11218)</f>
        <v>0</v>
      </c>
    </row>
    <row r="11219" customFormat="false" ht="14.4" hidden="true" customHeight="false" outlineLevel="0" collapsed="false">
      <c r="A11219" s="34" t="n">
        <v>9084555000133</v>
      </c>
      <c r="B11219" s="34" t="s">
        <v>22096</v>
      </c>
      <c r="C11219" s="34" t="s">
        <v>342</v>
      </c>
      <c r="E11219" s="30" t="s">
        <v>22097</v>
      </c>
      <c r="F11219" s="34" t="n">
        <f aca="false">IFERROR(VLOOKUP($A11219,'319'!$B:$H,7,0),0)</f>
        <v>0</v>
      </c>
      <c r="G11219" s="34" t="n">
        <f aca="false">SUMIFS('12.326ana'!$C:$C,'12.326ana'!$M:$M,redes!A11219)</f>
        <v>0</v>
      </c>
    </row>
    <row r="11220" customFormat="false" ht="14.4" hidden="true" customHeight="false" outlineLevel="0" collapsed="false">
      <c r="A11220" s="34" t="n">
        <v>9088583000129</v>
      </c>
      <c r="B11220" s="34" t="s">
        <v>22098</v>
      </c>
      <c r="C11220" s="34" t="s">
        <v>77</v>
      </c>
      <c r="E11220" s="30" t="s">
        <v>22099</v>
      </c>
      <c r="F11220" s="34" t="n">
        <f aca="false">IFERROR(VLOOKUP($A11220,'319'!$B:$H,7,0),0)</f>
        <v>0</v>
      </c>
      <c r="G11220" s="34" t="n">
        <f aca="false">SUMIFS('12.326ana'!$C:$C,'12.326ana'!$M:$M,redes!A11220)</f>
        <v>0</v>
      </c>
    </row>
    <row r="11221" customFormat="false" ht="14.4" hidden="true" customHeight="false" outlineLevel="0" collapsed="false">
      <c r="A11221" s="34" t="n">
        <v>9092873000146</v>
      </c>
      <c r="B11221" s="34" t="s">
        <v>22100</v>
      </c>
      <c r="C11221" s="34" t="s">
        <v>4462</v>
      </c>
      <c r="E11221" s="30" t="s">
        <v>6310</v>
      </c>
      <c r="F11221" s="34" t="n">
        <f aca="false">IFERROR(VLOOKUP($A11221,'319'!$B:$H,7,0),0)</f>
        <v>0</v>
      </c>
      <c r="G11221" s="34" t="n">
        <f aca="false">SUMIFS('12.326ana'!$C:$C,'12.326ana'!$M:$M,redes!A11221)</f>
        <v>0</v>
      </c>
    </row>
    <row r="11222" customFormat="false" ht="14.4" hidden="true" customHeight="false" outlineLevel="0" collapsed="false">
      <c r="A11222" s="34" t="n">
        <v>9093187000190</v>
      </c>
      <c r="B11222" s="34" t="s">
        <v>1675</v>
      </c>
      <c r="C11222" s="34" t="s">
        <v>309</v>
      </c>
      <c r="E11222" s="30" t="s">
        <v>22101</v>
      </c>
      <c r="F11222" s="34" t="n">
        <f aca="false">IFERROR(VLOOKUP($A11222,'319'!$B:$H,7,0),0)</f>
        <v>64.5</v>
      </c>
      <c r="G11222" s="34" t="n">
        <f aca="false">SUMIFS('12.326ana'!$C:$C,'12.326ana'!$M:$M,redes!A11222)</f>
        <v>0</v>
      </c>
    </row>
    <row r="11223" customFormat="false" ht="14.4" hidden="true" customHeight="false" outlineLevel="0" collapsed="false">
      <c r="A11223" s="34" t="n">
        <v>9094523000119</v>
      </c>
      <c r="B11223" s="34" t="s">
        <v>22102</v>
      </c>
      <c r="C11223" s="34" t="s">
        <v>464</v>
      </c>
      <c r="E11223" s="30" t="s">
        <v>9051</v>
      </c>
      <c r="F11223" s="34" t="n">
        <f aca="false">IFERROR(VLOOKUP($A11223,'319'!$B:$H,7,0),0)</f>
        <v>0</v>
      </c>
      <c r="G11223" s="34" t="n">
        <f aca="false">SUMIFS('12.326ana'!$C:$C,'12.326ana'!$M:$M,redes!A11223)</f>
        <v>0</v>
      </c>
    </row>
    <row r="11224" customFormat="false" ht="14.4" hidden="true" customHeight="false" outlineLevel="0" collapsed="false">
      <c r="A11224" s="34" t="n">
        <v>9096701000140</v>
      </c>
      <c r="B11224" s="34" t="s">
        <v>22103</v>
      </c>
      <c r="C11224" s="34" t="s">
        <v>77</v>
      </c>
      <c r="E11224" s="30" t="s">
        <v>22104</v>
      </c>
      <c r="F11224" s="34" t="n">
        <f aca="false">IFERROR(VLOOKUP($A11224,'319'!$B:$H,7,0),0)</f>
        <v>0</v>
      </c>
      <c r="G11224" s="34" t="n">
        <f aca="false">SUMIFS('12.326ana'!$C:$C,'12.326ana'!$M:$M,redes!A11224)</f>
        <v>0</v>
      </c>
    </row>
    <row r="11225" customFormat="false" ht="14.4" hidden="true" customHeight="false" outlineLevel="0" collapsed="false">
      <c r="A11225" s="34" t="n">
        <v>9096730000102</v>
      </c>
      <c r="B11225" s="34" t="s">
        <v>22105</v>
      </c>
      <c r="C11225" s="34" t="s">
        <v>77</v>
      </c>
      <c r="E11225" s="30" t="s">
        <v>22106</v>
      </c>
      <c r="F11225" s="34" t="n">
        <f aca="false">IFERROR(VLOOKUP($A11225,'319'!$B:$H,7,0),0)</f>
        <v>0</v>
      </c>
      <c r="G11225" s="34" t="n">
        <f aca="false">SUMIFS('12.326ana'!$C:$C,'12.326ana'!$M:$M,redes!A11225)</f>
        <v>0</v>
      </c>
    </row>
    <row r="11226" customFormat="false" ht="14.4" hidden="true" customHeight="false" outlineLevel="0" collapsed="false">
      <c r="A11226" s="34" t="n">
        <v>9096791000170</v>
      </c>
      <c r="B11226" s="34" t="s">
        <v>22107</v>
      </c>
      <c r="C11226" s="34" t="s">
        <v>1272</v>
      </c>
      <c r="E11226" s="30" t="s">
        <v>22108</v>
      </c>
      <c r="F11226" s="34" t="n">
        <f aca="false">IFERROR(VLOOKUP($A11226,'319'!$B:$H,7,0),0)</f>
        <v>0</v>
      </c>
      <c r="G11226" s="34" t="n">
        <f aca="false">SUMIFS('12.326ana'!$C:$C,'12.326ana'!$M:$M,redes!A11226)</f>
        <v>0</v>
      </c>
    </row>
    <row r="11227" customFormat="false" ht="14.4" hidden="true" customHeight="false" outlineLevel="0" collapsed="false">
      <c r="A11227" s="34" t="n">
        <v>9097108000119</v>
      </c>
      <c r="B11227" s="34" t="s">
        <v>22109</v>
      </c>
      <c r="C11227" s="34" t="s">
        <v>213</v>
      </c>
      <c r="E11227" s="30" t="s">
        <v>22110</v>
      </c>
      <c r="F11227" s="34" t="n">
        <f aca="false">IFERROR(VLOOKUP($A11227,'319'!$B:$H,7,0),0)</f>
        <v>0</v>
      </c>
      <c r="G11227" s="34" t="n">
        <f aca="false">SUMIFS('12.326ana'!$C:$C,'12.326ana'!$M:$M,redes!A11227)</f>
        <v>0</v>
      </c>
    </row>
    <row r="11228" customFormat="false" ht="14.4" hidden="true" customHeight="false" outlineLevel="0" collapsed="false">
      <c r="A11228" s="34" t="n">
        <v>9103131000179</v>
      </c>
      <c r="B11228" s="34" t="s">
        <v>1578</v>
      </c>
      <c r="C11228" s="34" t="s">
        <v>77</v>
      </c>
      <c r="E11228" s="30" t="s">
        <v>22111</v>
      </c>
      <c r="F11228" s="34" t="n">
        <f aca="false">IFERROR(VLOOKUP($A11228,'319'!$B:$H,7,0),0)</f>
        <v>89.71</v>
      </c>
      <c r="G11228" s="34" t="n">
        <f aca="false">SUMIFS('12.326ana'!$C:$C,'12.326ana'!$M:$M,redes!A11228)</f>
        <v>0</v>
      </c>
    </row>
    <row r="11229" customFormat="false" ht="14.4" hidden="true" customHeight="false" outlineLevel="0" collapsed="false">
      <c r="A11229" s="34" t="n">
        <v>9104250000146</v>
      </c>
      <c r="B11229" s="34" t="s">
        <v>22112</v>
      </c>
      <c r="C11229" s="34" t="s">
        <v>77</v>
      </c>
      <c r="E11229" s="30" t="s">
        <v>22113</v>
      </c>
      <c r="F11229" s="34" t="n">
        <f aca="false">IFERROR(VLOOKUP($A11229,'319'!$B:$H,7,0),0)</f>
        <v>0</v>
      </c>
      <c r="G11229" s="34" t="n">
        <f aca="false">SUMIFS('12.326ana'!$C:$C,'12.326ana'!$M:$M,redes!A11229)</f>
        <v>0</v>
      </c>
    </row>
    <row r="11230" customFormat="false" ht="14.4" hidden="true" customHeight="false" outlineLevel="0" collapsed="false">
      <c r="A11230" s="34" t="n">
        <v>9111479000108</v>
      </c>
      <c r="B11230" s="34" t="s">
        <v>22114</v>
      </c>
      <c r="C11230" s="34" t="s">
        <v>6278</v>
      </c>
      <c r="E11230" s="30" t="s">
        <v>22115</v>
      </c>
      <c r="F11230" s="34" t="n">
        <f aca="false">IFERROR(VLOOKUP($A11230,'319'!$B:$H,7,0),0)</f>
        <v>0</v>
      </c>
      <c r="G11230" s="34" t="n">
        <f aca="false">SUMIFS('12.326ana'!$C:$C,'12.326ana'!$M:$M,redes!A11230)</f>
        <v>0</v>
      </c>
    </row>
    <row r="11231" customFormat="false" ht="14.4" hidden="true" customHeight="false" outlineLevel="0" collapsed="false">
      <c r="A11231" s="34" t="n">
        <v>9117200000101</v>
      </c>
      <c r="B11231" s="34" t="s">
        <v>22116</v>
      </c>
      <c r="C11231" s="34" t="s">
        <v>77</v>
      </c>
      <c r="E11231" s="30" t="s">
        <v>22117</v>
      </c>
      <c r="F11231" s="34" t="n">
        <f aca="false">IFERROR(VLOOKUP($A11231,'319'!$B:$H,7,0),0)</f>
        <v>0</v>
      </c>
      <c r="G11231" s="34" t="n">
        <f aca="false">SUMIFS('12.326ana'!$C:$C,'12.326ana'!$M:$M,redes!A11231)</f>
        <v>0</v>
      </c>
    </row>
    <row r="11232" customFormat="false" ht="14.4" hidden="true" customHeight="false" outlineLevel="0" collapsed="false">
      <c r="A11232" s="34" t="n">
        <v>9118382000127</v>
      </c>
      <c r="B11232" s="34" t="s">
        <v>22118</v>
      </c>
      <c r="C11232" s="34" t="s">
        <v>129</v>
      </c>
      <c r="E11232" s="30" t="s">
        <v>22118</v>
      </c>
      <c r="F11232" s="34" t="n">
        <f aca="false">IFERROR(VLOOKUP($A11232,'319'!$B:$H,7,0),0)</f>
        <v>0</v>
      </c>
      <c r="G11232" s="34" t="n">
        <f aca="false">SUMIFS('12.326ana'!$C:$C,'12.326ana'!$M:$M,redes!A11232)</f>
        <v>0</v>
      </c>
    </row>
    <row r="11233" customFormat="false" ht="14.4" hidden="true" customHeight="false" outlineLevel="0" collapsed="false">
      <c r="A11233" s="34" t="n">
        <v>9124236000104</v>
      </c>
      <c r="B11233" s="34" t="s">
        <v>1412</v>
      </c>
      <c r="C11233" s="34" t="s">
        <v>77</v>
      </c>
      <c r="E11233" s="30" t="s">
        <v>10975</v>
      </c>
      <c r="F11233" s="34" t="n">
        <f aca="false">IFERROR(VLOOKUP($A11233,'319'!$B:$H,7,0),0)</f>
        <v>215.35</v>
      </c>
      <c r="G11233" s="34" t="n">
        <f aca="false">SUMIFS('12.326ana'!$C:$C,'12.326ana'!$M:$M,redes!A11233)</f>
        <v>0</v>
      </c>
    </row>
    <row r="11234" customFormat="false" ht="14.4" hidden="true" customHeight="false" outlineLevel="0" collapsed="false">
      <c r="A11234" s="34" t="n">
        <v>9127554000129</v>
      </c>
      <c r="B11234" s="34" t="s">
        <v>22119</v>
      </c>
      <c r="C11234" s="34" t="s">
        <v>77</v>
      </c>
      <c r="E11234" s="30" t="s">
        <v>22120</v>
      </c>
      <c r="F11234" s="34" t="n">
        <f aca="false">IFERROR(VLOOKUP($A11234,'319'!$B:$H,7,0),0)</f>
        <v>0</v>
      </c>
      <c r="G11234" s="34" t="n">
        <f aca="false">SUMIFS('12.326ana'!$C:$C,'12.326ana'!$M:$M,redes!A11234)</f>
        <v>0</v>
      </c>
    </row>
    <row r="11235" customFormat="false" ht="14.4" hidden="true" customHeight="false" outlineLevel="0" collapsed="false">
      <c r="A11235" s="34" t="n">
        <v>9127927000161</v>
      </c>
      <c r="B11235" s="34" t="s">
        <v>22121</v>
      </c>
      <c r="C11235" s="34" t="s">
        <v>342</v>
      </c>
      <c r="E11235" s="30" t="s">
        <v>3588</v>
      </c>
      <c r="F11235" s="34" t="n">
        <f aca="false">IFERROR(VLOOKUP($A11235,'319'!$B:$H,7,0),0)</f>
        <v>0</v>
      </c>
      <c r="G11235" s="34" t="n">
        <f aca="false">SUMIFS('12.326ana'!$C:$C,'12.326ana'!$M:$M,redes!A11235)</f>
        <v>0</v>
      </c>
    </row>
    <row r="11236" customFormat="false" ht="14.4" hidden="true" customHeight="false" outlineLevel="0" collapsed="false">
      <c r="A11236" s="34" t="n">
        <v>9130910000163</v>
      </c>
      <c r="B11236" s="34" t="s">
        <v>22122</v>
      </c>
      <c r="C11236" s="34" t="s">
        <v>77</v>
      </c>
      <c r="E11236" s="30" t="s">
        <v>22123</v>
      </c>
      <c r="F11236" s="34" t="n">
        <f aca="false">IFERROR(VLOOKUP($A11236,'319'!$B:$H,7,0),0)</f>
        <v>0</v>
      </c>
      <c r="G11236" s="34" t="n">
        <f aca="false">SUMIFS('12.326ana'!$C:$C,'12.326ana'!$M:$M,redes!A11236)</f>
        <v>0</v>
      </c>
    </row>
    <row r="11237" customFormat="false" ht="14.4" hidden="true" customHeight="false" outlineLevel="0" collapsed="false">
      <c r="A11237" s="34" t="n">
        <v>9131286000119</v>
      </c>
      <c r="B11237" s="34" t="s">
        <v>22124</v>
      </c>
      <c r="C11237" s="34" t="s">
        <v>77</v>
      </c>
      <c r="D11237" s="34" t="s">
        <v>13626</v>
      </c>
      <c r="E11237" s="30" t="s">
        <v>22125</v>
      </c>
      <c r="F11237" s="34" t="n">
        <f aca="false">IFERROR(VLOOKUP($A11237,'319'!$B:$H,7,0),0)</f>
        <v>0</v>
      </c>
      <c r="G11237" s="34" t="n">
        <f aca="false">SUMIFS('12.326ana'!$C:$C,'12.326ana'!$M:$M,redes!A11237)</f>
        <v>0</v>
      </c>
    </row>
    <row r="11238" customFormat="false" ht="14.4" hidden="true" customHeight="false" outlineLevel="0" collapsed="false">
      <c r="A11238" s="34" t="n">
        <v>9137037000130</v>
      </c>
      <c r="B11238" s="34" t="s">
        <v>22126</v>
      </c>
      <c r="C11238" s="34" t="s">
        <v>77</v>
      </c>
      <c r="E11238" s="30" t="s">
        <v>22127</v>
      </c>
      <c r="F11238" s="34" t="n">
        <f aca="false">IFERROR(VLOOKUP($A11238,'319'!$B:$H,7,0),0)</f>
        <v>0</v>
      </c>
      <c r="G11238" s="34" t="n">
        <f aca="false">SUMIFS('12.326ana'!$C:$C,'12.326ana'!$M:$M,redes!A11238)</f>
        <v>0</v>
      </c>
    </row>
    <row r="11239" customFormat="false" ht="14.4" hidden="true" customHeight="false" outlineLevel="0" collapsed="false">
      <c r="A11239" s="34" t="n">
        <v>9143622000143</v>
      </c>
      <c r="B11239" s="34" t="s">
        <v>22128</v>
      </c>
      <c r="C11239" s="34" t="s">
        <v>77</v>
      </c>
      <c r="E11239" s="30" t="s">
        <v>22129</v>
      </c>
      <c r="F11239" s="34" t="n">
        <f aca="false">IFERROR(VLOOKUP($A11239,'319'!$B:$H,7,0),0)</f>
        <v>0</v>
      </c>
      <c r="G11239" s="34" t="n">
        <f aca="false">SUMIFS('12.326ana'!$C:$C,'12.326ana'!$M:$M,redes!A11239)</f>
        <v>0</v>
      </c>
    </row>
    <row r="11240" customFormat="false" ht="14.4" hidden="true" customHeight="false" outlineLevel="0" collapsed="false">
      <c r="A11240" s="34" t="n">
        <v>9144217000140</v>
      </c>
      <c r="B11240" s="34" t="s">
        <v>22130</v>
      </c>
      <c r="C11240" s="34" t="s">
        <v>77</v>
      </c>
      <c r="E11240" s="30" t="s">
        <v>22131</v>
      </c>
      <c r="F11240" s="34" t="n">
        <f aca="false">IFERROR(VLOOKUP($A11240,'319'!$B:$H,7,0),0)</f>
        <v>-283.55</v>
      </c>
      <c r="G11240" s="34" t="n">
        <f aca="false">SUMIFS('12.326ana'!$C:$C,'12.326ana'!$M:$M,redes!A11240)</f>
        <v>0</v>
      </c>
    </row>
    <row r="11241" customFormat="false" ht="14.4" hidden="true" customHeight="false" outlineLevel="0" collapsed="false">
      <c r="A11241" s="34" t="n">
        <v>9146773000155</v>
      </c>
      <c r="B11241" s="34" t="s">
        <v>22132</v>
      </c>
      <c r="C11241" s="34" t="s">
        <v>377</v>
      </c>
      <c r="E11241" s="30" t="s">
        <v>7826</v>
      </c>
      <c r="F11241" s="34" t="n">
        <f aca="false">IFERROR(VLOOKUP($A11241,'319'!$B:$H,7,0),0)</f>
        <v>0</v>
      </c>
      <c r="G11241" s="34" t="n">
        <f aca="false">SUMIFS('12.326ana'!$C:$C,'12.326ana'!$M:$M,redes!A11241)</f>
        <v>0</v>
      </c>
    </row>
    <row r="11242" customFormat="false" ht="14.4" hidden="true" customHeight="false" outlineLevel="0" collapsed="false">
      <c r="A11242" s="34" t="n">
        <v>9146867000124</v>
      </c>
      <c r="B11242" s="34" t="s">
        <v>22133</v>
      </c>
      <c r="C11242" s="34" t="s">
        <v>546</v>
      </c>
      <c r="E11242" s="30" t="s">
        <v>22134</v>
      </c>
      <c r="F11242" s="34" t="n">
        <f aca="false">IFERROR(VLOOKUP($A11242,'319'!$B:$H,7,0),0)</f>
        <v>0</v>
      </c>
      <c r="G11242" s="34" t="n">
        <f aca="false">SUMIFS('12.326ana'!$C:$C,'12.326ana'!$M:$M,redes!A11242)</f>
        <v>0</v>
      </c>
    </row>
    <row r="11243" customFormat="false" ht="14.4" hidden="true" customHeight="false" outlineLevel="0" collapsed="false">
      <c r="A11243" s="34" t="n">
        <v>9147510000160</v>
      </c>
      <c r="B11243" s="34" t="s">
        <v>22135</v>
      </c>
      <c r="C11243" s="34" t="s">
        <v>77</v>
      </c>
      <c r="E11243" s="30" t="s">
        <v>22136</v>
      </c>
      <c r="F11243" s="34" t="n">
        <f aca="false">IFERROR(VLOOKUP($A11243,'319'!$B:$H,7,0),0)</f>
        <v>0</v>
      </c>
      <c r="G11243" s="34" t="n">
        <f aca="false">SUMIFS('12.326ana'!$C:$C,'12.326ana'!$M:$M,redes!A11243)</f>
        <v>0</v>
      </c>
    </row>
    <row r="11244" customFormat="false" ht="14.4" hidden="true" customHeight="false" outlineLevel="0" collapsed="false">
      <c r="A11244" s="34" t="n">
        <v>9159246000185</v>
      </c>
      <c r="B11244" s="34" t="s">
        <v>22137</v>
      </c>
      <c r="C11244" s="34" t="s">
        <v>77</v>
      </c>
      <c r="E11244" s="30" t="s">
        <v>22138</v>
      </c>
      <c r="F11244" s="34" t="n">
        <f aca="false">IFERROR(VLOOKUP($A11244,'319'!$B:$H,7,0),0)</f>
        <v>0</v>
      </c>
      <c r="G11244" s="34" t="n">
        <f aca="false">SUMIFS('12.326ana'!$C:$C,'12.326ana'!$M:$M,redes!A11244)</f>
        <v>0</v>
      </c>
    </row>
    <row r="11245" customFormat="false" ht="14.4" hidden="true" customHeight="false" outlineLevel="0" collapsed="false">
      <c r="A11245" s="34" t="n">
        <v>9159848000132</v>
      </c>
      <c r="B11245" s="34" t="s">
        <v>22139</v>
      </c>
      <c r="C11245" s="34" t="s">
        <v>979</v>
      </c>
      <c r="E11245" s="30" t="s">
        <v>22140</v>
      </c>
      <c r="F11245" s="34" t="n">
        <f aca="false">IFERROR(VLOOKUP($A11245,'319'!$B:$H,7,0),0)</f>
        <v>0</v>
      </c>
      <c r="G11245" s="34" t="n">
        <f aca="false">SUMIFS('12.326ana'!$C:$C,'12.326ana'!$M:$M,redes!A11245)</f>
        <v>0</v>
      </c>
    </row>
    <row r="11246" customFormat="false" ht="14.4" hidden="true" customHeight="false" outlineLevel="0" collapsed="false">
      <c r="A11246" s="34" t="n">
        <v>9162391000115</v>
      </c>
      <c r="B11246" s="34" t="s">
        <v>22141</v>
      </c>
      <c r="C11246" s="34" t="s">
        <v>77</v>
      </c>
      <c r="E11246" s="30" t="s">
        <v>22142</v>
      </c>
      <c r="F11246" s="34" t="n">
        <f aca="false">IFERROR(VLOOKUP($A11246,'319'!$B:$H,7,0),0)</f>
        <v>0</v>
      </c>
      <c r="G11246" s="34" t="n">
        <f aca="false">SUMIFS('12.326ana'!$C:$C,'12.326ana'!$M:$M,redes!A11246)</f>
        <v>0</v>
      </c>
    </row>
    <row r="11247" customFormat="false" ht="14.4" hidden="true" customHeight="false" outlineLevel="0" collapsed="false">
      <c r="A11247" s="34" t="n">
        <v>9162764000158</v>
      </c>
      <c r="B11247" s="34" t="s">
        <v>22143</v>
      </c>
      <c r="C11247" s="34" t="s">
        <v>842</v>
      </c>
      <c r="E11247" s="30" t="s">
        <v>22144</v>
      </c>
      <c r="F11247" s="34" t="n">
        <f aca="false">IFERROR(VLOOKUP($A11247,'319'!$B:$H,7,0),0)</f>
        <v>0</v>
      </c>
      <c r="G11247" s="34" t="n">
        <f aca="false">SUMIFS('12.326ana'!$C:$C,'12.326ana'!$M:$M,redes!A11247)</f>
        <v>0</v>
      </c>
    </row>
    <row r="11248" customFormat="false" ht="14.4" hidden="true" customHeight="false" outlineLevel="0" collapsed="false">
      <c r="A11248" s="34" t="n">
        <v>9165147000106</v>
      </c>
      <c r="B11248" s="34" t="s">
        <v>22145</v>
      </c>
      <c r="C11248" s="34" t="s">
        <v>713</v>
      </c>
      <c r="E11248" s="30" t="s">
        <v>13720</v>
      </c>
      <c r="F11248" s="34" t="n">
        <f aca="false">IFERROR(VLOOKUP($A11248,'319'!$B:$H,7,0),0)</f>
        <v>0</v>
      </c>
      <c r="G11248" s="34" t="n">
        <f aca="false">SUMIFS('12.326ana'!$C:$C,'12.326ana'!$M:$M,redes!A11248)</f>
        <v>0</v>
      </c>
    </row>
    <row r="11249" customFormat="false" ht="14.4" hidden="true" customHeight="false" outlineLevel="0" collapsed="false">
      <c r="A11249" s="34" t="n">
        <v>9165194000150</v>
      </c>
      <c r="B11249" s="34" t="s">
        <v>22146</v>
      </c>
      <c r="C11249" s="34" t="s">
        <v>77</v>
      </c>
      <c r="E11249" s="30" t="s">
        <v>22147</v>
      </c>
      <c r="F11249" s="34" t="n">
        <f aca="false">IFERROR(VLOOKUP($A11249,'319'!$B:$H,7,0),0)</f>
        <v>0</v>
      </c>
      <c r="G11249" s="34" t="n">
        <f aca="false">SUMIFS('12.326ana'!$C:$C,'12.326ana'!$M:$M,redes!A11249)</f>
        <v>0</v>
      </c>
    </row>
    <row r="11250" customFormat="false" ht="14.4" hidden="true" customHeight="false" outlineLevel="0" collapsed="false">
      <c r="A11250" s="34" t="n">
        <v>9175830000124</v>
      </c>
      <c r="B11250" s="34" t="s">
        <v>22148</v>
      </c>
      <c r="C11250" s="34" t="s">
        <v>103</v>
      </c>
      <c r="E11250" s="30" t="s">
        <v>22149</v>
      </c>
      <c r="F11250" s="34" t="n">
        <f aca="false">IFERROR(VLOOKUP($A11250,'319'!$B:$H,7,0),0)</f>
        <v>0</v>
      </c>
      <c r="G11250" s="34" t="n">
        <f aca="false">SUMIFS('12.326ana'!$C:$C,'12.326ana'!$M:$M,redes!A11250)</f>
        <v>0</v>
      </c>
    </row>
    <row r="11251" customFormat="false" ht="14.4" hidden="true" customHeight="false" outlineLevel="0" collapsed="false">
      <c r="A11251" s="34" t="n">
        <v>9177655000104</v>
      </c>
      <c r="B11251" s="34" t="s">
        <v>22150</v>
      </c>
      <c r="C11251" s="34" t="s">
        <v>77</v>
      </c>
      <c r="E11251" s="30" t="s">
        <v>22151</v>
      </c>
      <c r="F11251" s="34" t="n">
        <f aca="false">IFERROR(VLOOKUP($A11251,'319'!$B:$H,7,0),0)</f>
        <v>0</v>
      </c>
      <c r="G11251" s="34" t="n">
        <f aca="false">SUMIFS('12.326ana'!$C:$C,'12.326ana'!$M:$M,redes!A11251)</f>
        <v>0</v>
      </c>
    </row>
    <row r="11252" customFormat="false" ht="14.4" hidden="true" customHeight="false" outlineLevel="0" collapsed="false">
      <c r="A11252" s="34" t="n">
        <v>9178652000195</v>
      </c>
      <c r="B11252" s="34" t="s">
        <v>22152</v>
      </c>
      <c r="C11252" s="34" t="s">
        <v>2998</v>
      </c>
      <c r="E11252" s="30" t="s">
        <v>22153</v>
      </c>
      <c r="F11252" s="34" t="n">
        <f aca="false">IFERROR(VLOOKUP($A11252,'319'!$B:$H,7,0),0)</f>
        <v>0</v>
      </c>
      <c r="G11252" s="34" t="n">
        <f aca="false">SUMIFS('12.326ana'!$C:$C,'12.326ana'!$M:$M,redes!A11252)</f>
        <v>0</v>
      </c>
    </row>
    <row r="11253" customFormat="false" ht="14.4" hidden="true" customHeight="false" outlineLevel="0" collapsed="false">
      <c r="A11253" s="34" t="n">
        <v>9186349000134</v>
      </c>
      <c r="B11253" s="34" t="s">
        <v>22154</v>
      </c>
      <c r="C11253" s="34" t="s">
        <v>89</v>
      </c>
      <c r="E11253" s="30" t="s">
        <v>22155</v>
      </c>
      <c r="F11253" s="34" t="n">
        <f aca="false">IFERROR(VLOOKUP($A11253,'319'!$B:$H,7,0),0)</f>
        <v>0</v>
      </c>
      <c r="G11253" s="34" t="n">
        <f aca="false">SUMIFS('12.326ana'!$C:$C,'12.326ana'!$M:$M,redes!A11253)</f>
        <v>0</v>
      </c>
    </row>
    <row r="11254" customFormat="false" ht="14.4" hidden="true" customHeight="false" outlineLevel="0" collapsed="false">
      <c r="A11254" s="34" t="n">
        <v>9187989000169</v>
      </c>
      <c r="B11254" s="34" t="s">
        <v>22156</v>
      </c>
      <c r="C11254" s="34" t="s">
        <v>342</v>
      </c>
      <c r="E11254" s="30" t="s">
        <v>15050</v>
      </c>
      <c r="F11254" s="34" t="n">
        <f aca="false">IFERROR(VLOOKUP($A11254,'319'!$B:$H,7,0),0)</f>
        <v>0</v>
      </c>
      <c r="G11254" s="34" t="n">
        <f aca="false">SUMIFS('12.326ana'!$C:$C,'12.326ana'!$M:$M,redes!A11254)</f>
        <v>0</v>
      </c>
    </row>
    <row r="11255" customFormat="false" ht="14.4" hidden="true" customHeight="false" outlineLevel="0" collapsed="false">
      <c r="A11255" s="34" t="n">
        <v>9188667000134</v>
      </c>
      <c r="B11255" s="34" t="s">
        <v>22157</v>
      </c>
      <c r="C11255" s="34" t="s">
        <v>77</v>
      </c>
      <c r="E11255" s="30" t="s">
        <v>22158</v>
      </c>
      <c r="F11255" s="34" t="n">
        <f aca="false">IFERROR(VLOOKUP($A11255,'319'!$B:$H,7,0),0)</f>
        <v>0</v>
      </c>
      <c r="G11255" s="34" t="n">
        <f aca="false">SUMIFS('12.326ana'!$C:$C,'12.326ana'!$M:$M,redes!A11255)</f>
        <v>0</v>
      </c>
    </row>
    <row r="11256" customFormat="false" ht="14.4" hidden="true" customHeight="false" outlineLevel="0" collapsed="false">
      <c r="A11256" s="34" t="n">
        <v>9192420000191</v>
      </c>
      <c r="B11256" s="34" t="s">
        <v>22159</v>
      </c>
      <c r="C11256" s="34" t="s">
        <v>139</v>
      </c>
      <c r="E11256" s="30" t="s">
        <v>22160</v>
      </c>
      <c r="F11256" s="34" t="n">
        <f aca="false">IFERROR(VLOOKUP($A11256,'319'!$B:$H,7,0),0)</f>
        <v>0</v>
      </c>
      <c r="G11256" s="34" t="n">
        <f aca="false">SUMIFS('12.326ana'!$C:$C,'12.326ana'!$M:$M,redes!A11256)</f>
        <v>0</v>
      </c>
    </row>
    <row r="11257" customFormat="false" ht="14.4" hidden="true" customHeight="false" outlineLevel="0" collapsed="false">
      <c r="A11257" s="34" t="n">
        <v>9198520000125</v>
      </c>
      <c r="B11257" s="34" t="s">
        <v>22161</v>
      </c>
      <c r="C11257" s="34" t="s">
        <v>979</v>
      </c>
      <c r="E11257" s="30" t="s">
        <v>22162</v>
      </c>
      <c r="F11257" s="34" t="n">
        <f aca="false">IFERROR(VLOOKUP($A11257,'319'!$B:$H,7,0),0)</f>
        <v>0</v>
      </c>
      <c r="G11257" s="34" t="n">
        <f aca="false">SUMIFS('12.326ana'!$C:$C,'12.326ana'!$M:$M,redes!A11257)</f>
        <v>0</v>
      </c>
    </row>
    <row r="11258" customFormat="false" ht="14.4" hidden="true" customHeight="false" outlineLevel="0" collapsed="false">
      <c r="A11258" s="34" t="n">
        <v>9205520000105</v>
      </c>
      <c r="B11258" s="34" t="s">
        <v>22163</v>
      </c>
      <c r="C11258" s="34" t="s">
        <v>77</v>
      </c>
      <c r="E11258" s="30" t="s">
        <v>22164</v>
      </c>
      <c r="F11258" s="34" t="n">
        <f aca="false">IFERROR(VLOOKUP($A11258,'319'!$B:$H,7,0),0)</f>
        <v>0</v>
      </c>
      <c r="G11258" s="34" t="n">
        <f aca="false">SUMIFS('12.326ana'!$C:$C,'12.326ana'!$M:$M,redes!A11258)</f>
        <v>0</v>
      </c>
    </row>
    <row r="11259" customFormat="false" ht="14.4" hidden="true" customHeight="false" outlineLevel="0" collapsed="false">
      <c r="A11259" s="34" t="n">
        <v>9209869000115</v>
      </c>
      <c r="B11259" s="34" t="s">
        <v>22165</v>
      </c>
      <c r="C11259" s="34" t="s">
        <v>3594</v>
      </c>
      <c r="E11259" s="30" t="s">
        <v>22166</v>
      </c>
      <c r="F11259" s="34" t="n">
        <f aca="false">IFERROR(VLOOKUP($A11259,'319'!$B:$H,7,0),0)</f>
        <v>0</v>
      </c>
      <c r="G11259" s="34" t="n">
        <f aca="false">SUMIFS('12.326ana'!$C:$C,'12.326ana'!$M:$M,redes!A11259)</f>
        <v>0</v>
      </c>
    </row>
    <row r="11260" customFormat="false" ht="14.4" hidden="true" customHeight="false" outlineLevel="0" collapsed="false">
      <c r="A11260" s="34" t="n">
        <v>9211946000171</v>
      </c>
      <c r="B11260" s="34" t="s">
        <v>22167</v>
      </c>
      <c r="C11260" s="34" t="s">
        <v>77</v>
      </c>
      <c r="E11260" s="30" t="s">
        <v>10682</v>
      </c>
      <c r="F11260" s="34" t="n">
        <f aca="false">IFERROR(VLOOKUP($A11260,'319'!$B:$H,7,0),0)</f>
        <v>0</v>
      </c>
      <c r="G11260" s="34" t="n">
        <f aca="false">SUMIFS('12.326ana'!$C:$C,'12.326ana'!$M:$M,redes!A11260)</f>
        <v>0</v>
      </c>
    </row>
    <row r="11261" customFormat="false" ht="14.4" hidden="true" customHeight="false" outlineLevel="0" collapsed="false">
      <c r="A11261" s="34" t="n">
        <v>9212616000109</v>
      </c>
      <c r="B11261" s="34" t="s">
        <v>22168</v>
      </c>
      <c r="C11261" s="34" t="s">
        <v>103</v>
      </c>
      <c r="E11261" s="30" t="s">
        <v>22169</v>
      </c>
      <c r="F11261" s="34" t="n">
        <f aca="false">IFERROR(VLOOKUP($A11261,'319'!$B:$H,7,0),0)</f>
        <v>0</v>
      </c>
      <c r="G11261" s="34" t="n">
        <f aca="false">SUMIFS('12.326ana'!$C:$C,'12.326ana'!$M:$M,redes!A11261)</f>
        <v>0</v>
      </c>
    </row>
    <row r="11262" customFormat="false" ht="14.4" hidden="true" customHeight="false" outlineLevel="0" collapsed="false">
      <c r="A11262" s="34" t="n">
        <v>9216027000190</v>
      </c>
      <c r="B11262" s="34" t="s">
        <v>22170</v>
      </c>
      <c r="C11262" s="34" t="s">
        <v>631</v>
      </c>
      <c r="E11262" s="30" t="s">
        <v>22171</v>
      </c>
      <c r="F11262" s="34" t="n">
        <f aca="false">IFERROR(VLOOKUP($A11262,'319'!$B:$H,7,0),0)</f>
        <v>0</v>
      </c>
      <c r="G11262" s="34" t="n">
        <f aca="false">SUMIFS('12.326ana'!$C:$C,'12.326ana'!$M:$M,redes!A11262)</f>
        <v>0</v>
      </c>
    </row>
    <row r="11263" customFormat="false" ht="14.4" hidden="true" customHeight="false" outlineLevel="0" collapsed="false">
      <c r="A11263" s="34" t="n">
        <v>9218125000167</v>
      </c>
      <c r="B11263" s="34" t="s">
        <v>22172</v>
      </c>
      <c r="C11263" s="34" t="s">
        <v>463</v>
      </c>
      <c r="E11263" s="30" t="s">
        <v>3001</v>
      </c>
      <c r="F11263" s="34" t="n">
        <f aca="false">IFERROR(VLOOKUP($A11263,'319'!$B:$H,7,0),0)</f>
        <v>0</v>
      </c>
      <c r="G11263" s="34" t="n">
        <f aca="false">SUMIFS('12.326ana'!$C:$C,'12.326ana'!$M:$M,redes!A11263)</f>
        <v>0</v>
      </c>
    </row>
    <row r="11264" customFormat="false" ht="14.4" hidden="true" customHeight="false" outlineLevel="0" collapsed="false">
      <c r="A11264" s="34" t="n">
        <v>9218636000189</v>
      </c>
      <c r="B11264" s="34" t="s">
        <v>22173</v>
      </c>
      <c r="C11264" s="34" t="s">
        <v>1272</v>
      </c>
      <c r="E11264" s="30" t="s">
        <v>22174</v>
      </c>
      <c r="F11264" s="34" t="n">
        <f aca="false">IFERROR(VLOOKUP($A11264,'319'!$B:$H,7,0),0)</f>
        <v>0</v>
      </c>
      <c r="G11264" s="34" t="n">
        <f aca="false">SUMIFS('12.326ana'!$C:$C,'12.326ana'!$M:$M,redes!A11264)</f>
        <v>0</v>
      </c>
    </row>
    <row r="11265" customFormat="false" ht="14.4" hidden="true" customHeight="false" outlineLevel="0" collapsed="false">
      <c r="A11265" s="34" t="n">
        <v>9219374000177</v>
      </c>
      <c r="B11265" s="34" t="s">
        <v>22175</v>
      </c>
      <c r="C11265" s="34" t="s">
        <v>77</v>
      </c>
      <c r="E11265" s="30" t="s">
        <v>3935</v>
      </c>
      <c r="F11265" s="34" t="n">
        <f aca="false">IFERROR(VLOOKUP($A11265,'319'!$B:$H,7,0),0)</f>
        <v>0</v>
      </c>
      <c r="G11265" s="34" t="n">
        <f aca="false">SUMIFS('12.326ana'!$C:$C,'12.326ana'!$M:$M,redes!A11265)</f>
        <v>0</v>
      </c>
    </row>
    <row r="11266" customFormat="false" ht="14.4" hidden="true" customHeight="false" outlineLevel="0" collapsed="false">
      <c r="A11266" s="34" t="n">
        <v>9226058000122</v>
      </c>
      <c r="B11266" s="34" t="s">
        <v>22176</v>
      </c>
      <c r="C11266" s="34" t="s">
        <v>77</v>
      </c>
      <c r="E11266" s="30" t="s">
        <v>22177</v>
      </c>
      <c r="F11266" s="34" t="n">
        <f aca="false">IFERROR(VLOOKUP($A11266,'319'!$B:$H,7,0),0)</f>
        <v>0</v>
      </c>
      <c r="G11266" s="34" t="n">
        <f aca="false">SUMIFS('12.326ana'!$C:$C,'12.326ana'!$M:$M,redes!A11266)</f>
        <v>0</v>
      </c>
    </row>
    <row r="11267" customFormat="false" ht="14.4" hidden="true" customHeight="false" outlineLevel="0" collapsed="false">
      <c r="A11267" s="34" t="n">
        <v>9226058000203</v>
      </c>
      <c r="B11267" s="34" t="s">
        <v>22176</v>
      </c>
      <c r="C11267" s="34" t="s">
        <v>77</v>
      </c>
      <c r="E11267" s="30" t="s">
        <v>22178</v>
      </c>
      <c r="F11267" s="34" t="n">
        <f aca="false">IFERROR(VLOOKUP($A11267,'319'!$B:$H,7,0),0)</f>
        <v>0</v>
      </c>
      <c r="G11267" s="34" t="n">
        <f aca="false">SUMIFS('12.326ana'!$C:$C,'12.326ana'!$M:$M,redes!A11267)</f>
        <v>0</v>
      </c>
    </row>
    <row r="11268" customFormat="false" ht="14.4" hidden="true" customHeight="false" outlineLevel="0" collapsed="false">
      <c r="A11268" s="34" t="n">
        <v>9231171000104</v>
      </c>
      <c r="B11268" s="34" t="s">
        <v>22179</v>
      </c>
      <c r="C11268" s="34" t="s">
        <v>89</v>
      </c>
      <c r="E11268" s="30" t="s">
        <v>22180</v>
      </c>
      <c r="F11268" s="34" t="n">
        <f aca="false">IFERROR(VLOOKUP($A11268,'319'!$B:$H,7,0),0)</f>
        <v>0</v>
      </c>
      <c r="G11268" s="34" t="n">
        <f aca="false">SUMIFS('12.326ana'!$C:$C,'12.326ana'!$M:$M,redes!A11268)</f>
        <v>0</v>
      </c>
    </row>
    <row r="11269" customFormat="false" ht="14.4" hidden="true" customHeight="false" outlineLevel="0" collapsed="false">
      <c r="A11269" s="34" t="n">
        <v>9232481000135</v>
      </c>
      <c r="B11269" s="34" t="s">
        <v>22181</v>
      </c>
      <c r="C11269" s="34" t="s">
        <v>1272</v>
      </c>
      <c r="E11269" s="30" t="s">
        <v>14283</v>
      </c>
      <c r="F11269" s="34" t="n">
        <f aca="false">IFERROR(VLOOKUP($A11269,'319'!$B:$H,7,0),0)</f>
        <v>0</v>
      </c>
      <c r="G11269" s="34" t="n">
        <f aca="false">SUMIFS('12.326ana'!$C:$C,'12.326ana'!$M:$M,redes!A11269)</f>
        <v>0</v>
      </c>
    </row>
    <row r="11270" customFormat="false" ht="14.4" hidden="true" customHeight="false" outlineLevel="0" collapsed="false">
      <c r="A11270" s="34" t="n">
        <v>9243935000173</v>
      </c>
      <c r="B11270" s="34" t="s">
        <v>22182</v>
      </c>
      <c r="C11270" s="34" t="s">
        <v>1272</v>
      </c>
      <c r="E11270" s="30" t="s">
        <v>22183</v>
      </c>
      <c r="F11270" s="34" t="n">
        <f aca="false">IFERROR(VLOOKUP($A11270,'319'!$B:$H,7,0),0)</f>
        <v>0</v>
      </c>
      <c r="G11270" s="34" t="n">
        <f aca="false">SUMIFS('12.326ana'!$C:$C,'12.326ana'!$M:$M,redes!A11270)</f>
        <v>0</v>
      </c>
    </row>
    <row r="11271" customFormat="false" ht="14.4" hidden="true" customHeight="false" outlineLevel="0" collapsed="false">
      <c r="A11271" s="34" t="n">
        <v>9244501000198</v>
      </c>
      <c r="B11271" s="34" t="s">
        <v>22184</v>
      </c>
      <c r="C11271" s="34" t="s">
        <v>1272</v>
      </c>
      <c r="E11271" s="30" t="s">
        <v>22185</v>
      </c>
      <c r="F11271" s="34" t="n">
        <f aca="false">IFERROR(VLOOKUP($A11271,'319'!$B:$H,7,0),0)</f>
        <v>0</v>
      </c>
      <c r="G11271" s="34" t="n">
        <f aca="false">SUMIFS('12.326ana'!$C:$C,'12.326ana'!$M:$M,redes!A11271)</f>
        <v>0</v>
      </c>
    </row>
    <row r="11272" customFormat="false" ht="14.4" hidden="true" customHeight="false" outlineLevel="0" collapsed="false">
      <c r="A11272" s="34" t="n">
        <v>9245045000109</v>
      </c>
      <c r="B11272" s="34" t="s">
        <v>22186</v>
      </c>
      <c r="C11272" s="34" t="s">
        <v>77</v>
      </c>
      <c r="E11272" s="30" t="s">
        <v>2912</v>
      </c>
      <c r="F11272" s="34" t="n">
        <f aca="false">IFERROR(VLOOKUP($A11272,'319'!$B:$H,7,0),0)</f>
        <v>0</v>
      </c>
      <c r="G11272" s="34" t="n">
        <f aca="false">SUMIFS('12.326ana'!$C:$C,'12.326ana'!$M:$M,redes!A11272)</f>
        <v>0</v>
      </c>
    </row>
    <row r="11273" customFormat="false" ht="14.4" hidden="true" customHeight="false" outlineLevel="0" collapsed="false">
      <c r="A11273" s="34" t="n">
        <v>9245730000127</v>
      </c>
      <c r="B11273" s="34" t="s">
        <v>22187</v>
      </c>
      <c r="C11273" s="34" t="s">
        <v>463</v>
      </c>
      <c r="E11273" s="30" t="s">
        <v>22188</v>
      </c>
      <c r="F11273" s="34" t="n">
        <f aca="false">IFERROR(VLOOKUP($A11273,'319'!$B:$H,7,0),0)</f>
        <v>0</v>
      </c>
      <c r="G11273" s="34" t="n">
        <f aca="false">SUMIFS('12.326ana'!$C:$C,'12.326ana'!$M:$M,redes!A11273)</f>
        <v>0</v>
      </c>
    </row>
    <row r="11274" customFormat="false" ht="14.4" hidden="true" customHeight="false" outlineLevel="0" collapsed="false">
      <c r="A11274" s="34" t="n">
        <v>9247580000190</v>
      </c>
      <c r="B11274" s="34" t="s">
        <v>22189</v>
      </c>
      <c r="C11274" s="34" t="s">
        <v>89</v>
      </c>
      <c r="E11274" s="30" t="s">
        <v>22190</v>
      </c>
      <c r="F11274" s="34" t="n">
        <f aca="false">IFERROR(VLOOKUP($A11274,'319'!$B:$H,7,0),0)</f>
        <v>0</v>
      </c>
      <c r="G11274" s="34" t="n">
        <f aca="false">SUMIFS('12.326ana'!$C:$C,'12.326ana'!$M:$M,redes!A11274)</f>
        <v>0</v>
      </c>
    </row>
    <row r="11275" customFormat="false" ht="14.4" hidden="true" customHeight="false" outlineLevel="0" collapsed="false">
      <c r="A11275" s="34" t="n">
        <v>9250664000183</v>
      </c>
      <c r="B11275" s="34" t="s">
        <v>22191</v>
      </c>
      <c r="C11275" s="34" t="s">
        <v>848</v>
      </c>
      <c r="E11275" s="30" t="s">
        <v>22192</v>
      </c>
      <c r="F11275" s="34" t="n">
        <f aca="false">IFERROR(VLOOKUP($A11275,'319'!$B:$H,7,0),0)</f>
        <v>0</v>
      </c>
      <c r="G11275" s="34" t="n">
        <f aca="false">SUMIFS('12.326ana'!$C:$C,'12.326ana'!$M:$M,redes!A11275)</f>
        <v>0</v>
      </c>
    </row>
    <row r="11276" customFormat="false" ht="14.4" hidden="true" customHeight="false" outlineLevel="0" collapsed="false">
      <c r="A11276" s="34" t="n">
        <v>9251071000131</v>
      </c>
      <c r="B11276" s="34" t="s">
        <v>22193</v>
      </c>
      <c r="C11276" s="34" t="s">
        <v>77</v>
      </c>
      <c r="E11276" s="30" t="s">
        <v>22194</v>
      </c>
      <c r="F11276" s="34" t="n">
        <f aca="false">IFERROR(VLOOKUP($A11276,'319'!$B:$H,7,0),0)</f>
        <v>0</v>
      </c>
      <c r="G11276" s="34" t="n">
        <f aca="false">SUMIFS('12.326ana'!$C:$C,'12.326ana'!$M:$M,redes!A11276)</f>
        <v>0</v>
      </c>
    </row>
    <row r="11277" customFormat="false" ht="14.4" hidden="true" customHeight="false" outlineLevel="0" collapsed="false">
      <c r="A11277" s="34" t="n">
        <v>9255798000197</v>
      </c>
      <c r="B11277" s="34" t="s">
        <v>22195</v>
      </c>
      <c r="C11277" s="34" t="s">
        <v>192</v>
      </c>
      <c r="E11277" s="30" t="s">
        <v>4521</v>
      </c>
      <c r="F11277" s="34" t="n">
        <f aca="false">IFERROR(VLOOKUP($A11277,'319'!$B:$H,7,0),0)</f>
        <v>0</v>
      </c>
      <c r="G11277" s="34" t="n">
        <f aca="false">SUMIFS('12.326ana'!$C:$C,'12.326ana'!$M:$M,redes!A11277)</f>
        <v>0</v>
      </c>
    </row>
    <row r="11278" customFormat="false" ht="14.4" hidden="true" customHeight="false" outlineLevel="0" collapsed="false">
      <c r="A11278" s="34" t="n">
        <v>9265870000167</v>
      </c>
      <c r="B11278" s="34" t="s">
        <v>22196</v>
      </c>
      <c r="C11278" s="34" t="s">
        <v>107</v>
      </c>
      <c r="E11278" s="30" t="s">
        <v>22197</v>
      </c>
      <c r="F11278" s="34" t="n">
        <f aca="false">IFERROR(VLOOKUP($A11278,'319'!$B:$H,7,0),0)</f>
        <v>0</v>
      </c>
      <c r="G11278" s="34" t="n">
        <f aca="false">SUMIFS('12.326ana'!$C:$C,'12.326ana'!$M:$M,redes!A11278)</f>
        <v>0</v>
      </c>
    </row>
    <row r="11279" customFormat="false" ht="14.4" hidden="true" customHeight="false" outlineLevel="0" collapsed="false">
      <c r="A11279" s="34" t="n">
        <v>9280978000129</v>
      </c>
      <c r="B11279" s="34" t="s">
        <v>22198</v>
      </c>
      <c r="C11279" s="34" t="s">
        <v>103</v>
      </c>
      <c r="E11279" s="30" t="s">
        <v>22199</v>
      </c>
      <c r="F11279" s="34" t="n">
        <f aca="false">IFERROR(VLOOKUP($A11279,'319'!$B:$H,7,0),0)</f>
        <v>0</v>
      </c>
      <c r="G11279" s="34" t="n">
        <f aca="false">SUMIFS('12.326ana'!$C:$C,'12.326ana'!$M:$M,redes!A11279)</f>
        <v>0</v>
      </c>
    </row>
    <row r="11280" customFormat="false" ht="14.4" hidden="true" customHeight="false" outlineLevel="0" collapsed="false">
      <c r="A11280" s="34" t="n">
        <v>9283895000193</v>
      </c>
      <c r="B11280" s="34" t="s">
        <v>22200</v>
      </c>
      <c r="C11280" s="34" t="s">
        <v>103</v>
      </c>
      <c r="E11280" s="30" t="s">
        <v>22201</v>
      </c>
      <c r="F11280" s="34" t="n">
        <f aca="false">IFERROR(VLOOKUP($A11280,'319'!$B:$H,7,0),0)</f>
        <v>0</v>
      </c>
      <c r="G11280" s="34" t="n">
        <f aca="false">SUMIFS('12.326ana'!$C:$C,'12.326ana'!$M:$M,redes!A11280)</f>
        <v>0</v>
      </c>
    </row>
    <row r="11281" customFormat="false" ht="14.4" hidden="true" customHeight="false" outlineLevel="0" collapsed="false">
      <c r="A11281" s="34" t="n">
        <v>9288365000138</v>
      </c>
      <c r="B11281" s="34" t="s">
        <v>22202</v>
      </c>
      <c r="C11281" s="34" t="s">
        <v>336</v>
      </c>
      <c r="E11281" s="30" t="s">
        <v>22203</v>
      </c>
      <c r="F11281" s="34" t="n">
        <f aca="false">IFERROR(VLOOKUP($A11281,'319'!$B:$H,7,0),0)</f>
        <v>0</v>
      </c>
      <c r="G11281" s="34" t="n">
        <f aca="false">SUMIFS('12.326ana'!$C:$C,'12.326ana'!$M:$M,redes!A11281)</f>
        <v>0</v>
      </c>
    </row>
    <row r="11282" customFormat="false" ht="14.4" hidden="true" customHeight="false" outlineLevel="0" collapsed="false">
      <c r="A11282" s="34" t="n">
        <v>9289351000139</v>
      </c>
      <c r="B11282" s="34" t="s">
        <v>22204</v>
      </c>
      <c r="C11282" s="34" t="s">
        <v>342</v>
      </c>
      <c r="E11282" s="30" t="s">
        <v>22205</v>
      </c>
      <c r="F11282" s="34" t="n">
        <f aca="false">IFERROR(VLOOKUP($A11282,'319'!$B:$H,7,0),0)</f>
        <v>0</v>
      </c>
      <c r="G11282" s="34" t="n">
        <f aca="false">SUMIFS('12.326ana'!$C:$C,'12.326ana'!$M:$M,redes!A11282)</f>
        <v>0</v>
      </c>
    </row>
    <row r="11283" customFormat="false" ht="14.4" hidden="true" customHeight="false" outlineLevel="0" collapsed="false">
      <c r="A11283" s="34" t="n">
        <v>9290574000116</v>
      </c>
      <c r="B11283" s="34" t="s">
        <v>22206</v>
      </c>
      <c r="C11283" s="34" t="s">
        <v>139</v>
      </c>
      <c r="E11283" s="30" t="s">
        <v>22207</v>
      </c>
      <c r="F11283" s="34" t="n">
        <f aca="false">IFERROR(VLOOKUP($A11283,'319'!$B:$H,7,0),0)</f>
        <v>0</v>
      </c>
      <c r="G11283" s="34" t="n">
        <f aca="false">SUMIFS('12.326ana'!$C:$C,'12.326ana'!$M:$M,redes!A11283)</f>
        <v>0</v>
      </c>
    </row>
    <row r="11284" customFormat="false" ht="14.4" hidden="true" customHeight="false" outlineLevel="0" collapsed="false">
      <c r="A11284" s="34" t="n">
        <v>9293197000179</v>
      </c>
      <c r="B11284" s="34" t="s">
        <v>22208</v>
      </c>
      <c r="C11284" s="34" t="s">
        <v>77</v>
      </c>
      <c r="E11284" s="30" t="s">
        <v>22209</v>
      </c>
      <c r="F11284" s="34" t="n">
        <f aca="false">IFERROR(VLOOKUP($A11284,'319'!$B:$H,7,0),0)</f>
        <v>0</v>
      </c>
      <c r="G11284" s="34" t="n">
        <f aca="false">SUMIFS('12.326ana'!$C:$C,'12.326ana'!$M:$M,redes!A11284)</f>
        <v>0</v>
      </c>
    </row>
    <row r="11285" customFormat="false" ht="14.4" hidden="true" customHeight="false" outlineLevel="0" collapsed="false">
      <c r="A11285" s="34" t="n">
        <v>9300467000121</v>
      </c>
      <c r="B11285" s="34" t="s">
        <v>22210</v>
      </c>
      <c r="C11285" s="34" t="s">
        <v>129</v>
      </c>
      <c r="E11285" s="30" t="s">
        <v>2912</v>
      </c>
      <c r="F11285" s="34" t="n">
        <f aca="false">IFERROR(VLOOKUP($A11285,'319'!$B:$H,7,0),0)</f>
        <v>0</v>
      </c>
      <c r="G11285" s="34" t="n">
        <f aca="false">SUMIFS('12.326ana'!$C:$C,'12.326ana'!$M:$M,redes!A11285)</f>
        <v>0</v>
      </c>
    </row>
    <row r="11286" customFormat="false" ht="14.4" hidden="true" customHeight="false" outlineLevel="0" collapsed="false">
      <c r="A11286" s="34" t="n">
        <v>9303067000170</v>
      </c>
      <c r="B11286" s="34" t="s">
        <v>22211</v>
      </c>
      <c r="C11286" s="34" t="s">
        <v>979</v>
      </c>
      <c r="E11286" s="30" t="s">
        <v>22212</v>
      </c>
      <c r="F11286" s="34" t="n">
        <f aca="false">IFERROR(VLOOKUP($A11286,'319'!$B:$H,7,0),0)</f>
        <v>0</v>
      </c>
      <c r="G11286" s="34" t="n">
        <f aca="false">SUMIFS('12.326ana'!$C:$C,'12.326ana'!$M:$M,redes!A11286)</f>
        <v>0</v>
      </c>
    </row>
    <row r="11287" customFormat="false" ht="14.4" hidden="true" customHeight="false" outlineLevel="0" collapsed="false">
      <c r="A11287" s="34" t="n">
        <v>9303070000193</v>
      </c>
      <c r="B11287" s="34" t="s">
        <v>22213</v>
      </c>
      <c r="C11287" s="34" t="s">
        <v>935</v>
      </c>
      <c r="E11287" s="30" t="s">
        <v>20196</v>
      </c>
      <c r="F11287" s="34" t="n">
        <f aca="false">IFERROR(VLOOKUP($A11287,'319'!$B:$H,7,0),0)</f>
        <v>0</v>
      </c>
      <c r="G11287" s="34" t="n">
        <f aca="false">SUMIFS('12.326ana'!$C:$C,'12.326ana'!$M:$M,redes!A11287)</f>
        <v>0</v>
      </c>
    </row>
    <row r="11288" customFormat="false" ht="14.4" hidden="true" customHeight="false" outlineLevel="0" collapsed="false">
      <c r="A11288" s="34" t="n">
        <v>9307276000191</v>
      </c>
      <c r="B11288" s="34" t="s">
        <v>22214</v>
      </c>
      <c r="C11288" s="34" t="s">
        <v>103</v>
      </c>
      <c r="E11288" s="30" t="s">
        <v>22215</v>
      </c>
      <c r="F11288" s="34" t="n">
        <f aca="false">IFERROR(VLOOKUP($A11288,'319'!$B:$H,7,0),0)</f>
        <v>0</v>
      </c>
      <c r="G11288" s="34" t="n">
        <f aca="false">SUMIFS('12.326ana'!$C:$C,'12.326ana'!$M:$M,redes!A11288)</f>
        <v>0</v>
      </c>
    </row>
    <row r="11289" customFormat="false" ht="14.4" hidden="true" customHeight="false" outlineLevel="0" collapsed="false">
      <c r="A11289" s="34" t="n">
        <v>9308169000188</v>
      </c>
      <c r="B11289" s="34" t="s">
        <v>22216</v>
      </c>
      <c r="C11289" s="34" t="s">
        <v>594</v>
      </c>
      <c r="E11289" s="30" t="s">
        <v>22217</v>
      </c>
      <c r="F11289" s="34" t="n">
        <f aca="false">IFERROR(VLOOKUP($A11289,'319'!$B:$H,7,0),0)</f>
        <v>0</v>
      </c>
      <c r="G11289" s="34" t="n">
        <f aca="false">SUMIFS('12.326ana'!$C:$C,'12.326ana'!$M:$M,redes!A11289)</f>
        <v>0</v>
      </c>
    </row>
    <row r="11290" customFormat="false" ht="14.4" hidden="true" customHeight="false" outlineLevel="0" collapsed="false">
      <c r="A11290" s="34" t="n">
        <v>9309395000183</v>
      </c>
      <c r="B11290" s="34" t="s">
        <v>22218</v>
      </c>
      <c r="C11290" s="34" t="s">
        <v>77</v>
      </c>
      <c r="E11290" s="30" t="s">
        <v>5725</v>
      </c>
      <c r="F11290" s="34" t="n">
        <f aca="false">IFERROR(VLOOKUP($A11290,'319'!$B:$H,7,0),0)</f>
        <v>0</v>
      </c>
      <c r="G11290" s="34" t="n">
        <f aca="false">SUMIFS('12.326ana'!$C:$C,'12.326ana'!$M:$M,redes!A11290)</f>
        <v>0</v>
      </c>
    </row>
    <row r="11291" customFormat="false" ht="14.4" hidden="true" customHeight="false" outlineLevel="0" collapsed="false">
      <c r="A11291" s="34" t="n">
        <v>9310730000163</v>
      </c>
      <c r="B11291" s="34" t="s">
        <v>22219</v>
      </c>
      <c r="C11291" s="34" t="s">
        <v>631</v>
      </c>
      <c r="D11291" s="34" t="s">
        <v>22220</v>
      </c>
      <c r="E11291" s="30" t="s">
        <v>18698</v>
      </c>
      <c r="F11291" s="34" t="n">
        <f aca="false">IFERROR(VLOOKUP($A11291,'319'!$B:$H,7,0),0)</f>
        <v>0</v>
      </c>
      <c r="G11291" s="34" t="n">
        <f aca="false">SUMIFS('12.326ana'!$C:$C,'12.326ana'!$M:$M,redes!A11291)</f>
        <v>0</v>
      </c>
    </row>
    <row r="11292" customFormat="false" ht="14.4" hidden="true" customHeight="false" outlineLevel="0" collapsed="false">
      <c r="A11292" s="34" t="n">
        <v>9310730000244</v>
      </c>
      <c r="B11292" s="34" t="s">
        <v>22219</v>
      </c>
      <c r="C11292" s="34" t="s">
        <v>631</v>
      </c>
      <c r="D11292" s="34" t="s">
        <v>22220</v>
      </c>
      <c r="E11292" s="30" t="s">
        <v>22221</v>
      </c>
      <c r="F11292" s="34" t="n">
        <f aca="false">IFERROR(VLOOKUP($A11292,'319'!$B:$H,7,0),0)</f>
        <v>0</v>
      </c>
      <c r="G11292" s="34" t="n">
        <f aca="false">SUMIFS('12.326ana'!$C:$C,'12.326ana'!$M:$M,redes!A11292)</f>
        <v>0</v>
      </c>
    </row>
    <row r="11293" customFormat="false" ht="14.4" hidden="true" customHeight="false" outlineLevel="0" collapsed="false">
      <c r="A11293" s="34" t="n">
        <v>9315493000123</v>
      </c>
      <c r="B11293" s="34" t="s">
        <v>22222</v>
      </c>
      <c r="C11293" s="34" t="s">
        <v>309</v>
      </c>
      <c r="E11293" s="30" t="s">
        <v>16629</v>
      </c>
      <c r="F11293" s="34" t="n">
        <f aca="false">IFERROR(VLOOKUP($A11293,'319'!$B:$H,7,0),0)</f>
        <v>0</v>
      </c>
      <c r="G11293" s="34" t="n">
        <f aca="false">SUMIFS('12.326ana'!$C:$C,'12.326ana'!$M:$M,redes!A11293)</f>
        <v>0</v>
      </c>
    </row>
    <row r="11294" customFormat="false" ht="14.4" hidden="true" customHeight="false" outlineLevel="0" collapsed="false">
      <c r="A11294" s="34" t="n">
        <v>9316330000165</v>
      </c>
      <c r="B11294" s="34" t="s">
        <v>22223</v>
      </c>
      <c r="C11294" s="34" t="s">
        <v>77</v>
      </c>
      <c r="E11294" s="30" t="s">
        <v>22224</v>
      </c>
      <c r="F11294" s="34" t="n">
        <f aca="false">IFERROR(VLOOKUP($A11294,'319'!$B:$H,7,0),0)</f>
        <v>0</v>
      </c>
      <c r="G11294" s="34" t="n">
        <f aca="false">SUMIFS('12.326ana'!$C:$C,'12.326ana'!$M:$M,redes!A11294)</f>
        <v>0</v>
      </c>
    </row>
    <row r="11295" customFormat="false" ht="14.4" hidden="true" customHeight="false" outlineLevel="0" collapsed="false">
      <c r="A11295" s="34" t="n">
        <v>9318154000109</v>
      </c>
      <c r="B11295" s="34" t="s">
        <v>22225</v>
      </c>
      <c r="C11295" s="34" t="s">
        <v>994</v>
      </c>
      <c r="E11295" s="30" t="s">
        <v>9127</v>
      </c>
      <c r="F11295" s="34" t="n">
        <f aca="false">IFERROR(VLOOKUP($A11295,'319'!$B:$H,7,0),0)</f>
        <v>0</v>
      </c>
      <c r="G11295" s="34" t="n">
        <f aca="false">SUMIFS('12.326ana'!$C:$C,'12.326ana'!$M:$M,redes!A11295)</f>
        <v>0</v>
      </c>
    </row>
    <row r="11296" customFormat="false" ht="14.4" hidden="true" customHeight="false" outlineLevel="0" collapsed="false">
      <c r="A11296" s="34" t="n">
        <v>9318613000146</v>
      </c>
      <c r="B11296" s="34" t="s">
        <v>22226</v>
      </c>
      <c r="C11296" s="34" t="s">
        <v>139</v>
      </c>
      <c r="E11296" s="30" t="s">
        <v>22227</v>
      </c>
      <c r="F11296" s="34" t="n">
        <f aca="false">IFERROR(VLOOKUP($A11296,'319'!$B:$H,7,0),0)</f>
        <v>0</v>
      </c>
      <c r="G11296" s="34" t="n">
        <f aca="false">SUMIFS('12.326ana'!$C:$C,'12.326ana'!$M:$M,redes!A11296)</f>
        <v>0</v>
      </c>
    </row>
    <row r="11297" customFormat="false" ht="14.4" hidden="true" customHeight="false" outlineLevel="0" collapsed="false">
      <c r="A11297" s="34" t="n">
        <v>9318739000110</v>
      </c>
      <c r="B11297" s="34" t="s">
        <v>22228</v>
      </c>
      <c r="C11297" s="34" t="s">
        <v>77</v>
      </c>
      <c r="E11297" s="30"/>
      <c r="F11297" s="34" t="n">
        <f aca="false">IFERROR(VLOOKUP($A11297,'319'!$B:$H,7,0),0)</f>
        <v>0</v>
      </c>
      <c r="G11297" s="34" t="n">
        <f aca="false">SUMIFS('12.326ana'!$C:$C,'12.326ana'!$M:$M,redes!A11297)</f>
        <v>0</v>
      </c>
    </row>
    <row r="11298" customFormat="false" ht="14.4" hidden="true" customHeight="false" outlineLevel="0" collapsed="false">
      <c r="A11298" s="34" t="n">
        <v>9319707000130</v>
      </c>
      <c r="B11298" s="34" t="s">
        <v>22229</v>
      </c>
      <c r="C11298" s="34" t="s">
        <v>89</v>
      </c>
      <c r="E11298" s="30" t="s">
        <v>22230</v>
      </c>
      <c r="F11298" s="34" t="n">
        <f aca="false">IFERROR(VLOOKUP($A11298,'319'!$B:$H,7,0),0)</f>
        <v>0</v>
      </c>
      <c r="G11298" s="34" t="n">
        <f aca="false">SUMIFS('12.326ana'!$C:$C,'12.326ana'!$M:$M,redes!A11298)</f>
        <v>0</v>
      </c>
    </row>
    <row r="11299" customFormat="false" ht="14.4" hidden="true" customHeight="false" outlineLevel="0" collapsed="false">
      <c r="A11299" s="34" t="n">
        <v>9324058000165</v>
      </c>
      <c r="B11299" s="34" t="s">
        <v>22231</v>
      </c>
      <c r="C11299" s="34" t="s">
        <v>405</v>
      </c>
      <c r="E11299" s="30" t="s">
        <v>5750</v>
      </c>
      <c r="F11299" s="34" t="n">
        <f aca="false">IFERROR(VLOOKUP($A11299,'319'!$B:$H,7,0),0)</f>
        <v>0</v>
      </c>
      <c r="G11299" s="34" t="n">
        <f aca="false">SUMIFS('12.326ana'!$C:$C,'12.326ana'!$M:$M,redes!A11299)</f>
        <v>0</v>
      </c>
    </row>
    <row r="11300" customFormat="false" ht="14.4" hidden="true" customHeight="false" outlineLevel="0" collapsed="false">
      <c r="A11300" s="34" t="n">
        <v>9326928000135</v>
      </c>
      <c r="B11300" s="34" t="s">
        <v>22232</v>
      </c>
      <c r="C11300" s="34" t="s">
        <v>77</v>
      </c>
      <c r="D11300" s="34" t="s">
        <v>22233</v>
      </c>
      <c r="E11300" s="30" t="s">
        <v>22234</v>
      </c>
      <c r="F11300" s="34" t="n">
        <f aca="false">IFERROR(VLOOKUP($A11300,'319'!$B:$H,7,0),0)</f>
        <v>0</v>
      </c>
      <c r="G11300" s="34" t="n">
        <f aca="false">SUMIFS('12.326ana'!$C:$C,'12.326ana'!$M:$M,redes!A11300)</f>
        <v>0</v>
      </c>
    </row>
    <row r="11301" customFormat="false" ht="14.4" hidden="true" customHeight="false" outlineLevel="0" collapsed="false">
      <c r="A11301" s="34" t="n">
        <v>9329854000190</v>
      </c>
      <c r="B11301" s="34" t="s">
        <v>22235</v>
      </c>
      <c r="C11301" s="34" t="s">
        <v>77</v>
      </c>
      <c r="E11301" s="30" t="s">
        <v>20587</v>
      </c>
      <c r="F11301" s="34" t="n">
        <f aca="false">IFERROR(VLOOKUP($A11301,'319'!$B:$H,7,0),0)</f>
        <v>0</v>
      </c>
      <c r="G11301" s="34" t="n">
        <f aca="false">SUMIFS('12.326ana'!$C:$C,'12.326ana'!$M:$M,redes!A11301)</f>
        <v>0</v>
      </c>
    </row>
    <row r="11302" customFormat="false" ht="14.4" hidden="true" customHeight="false" outlineLevel="0" collapsed="false">
      <c r="A11302" s="34" t="n">
        <v>9331510000116</v>
      </c>
      <c r="B11302" s="34" t="s">
        <v>22236</v>
      </c>
      <c r="C11302" s="34" t="s">
        <v>107</v>
      </c>
      <c r="E11302" s="30" t="s">
        <v>22237</v>
      </c>
      <c r="F11302" s="34" t="n">
        <f aca="false">IFERROR(VLOOKUP($A11302,'319'!$B:$H,7,0),0)</f>
        <v>0</v>
      </c>
      <c r="G11302" s="34" t="n">
        <f aca="false">SUMIFS('12.326ana'!$C:$C,'12.326ana'!$M:$M,redes!A11302)</f>
        <v>0</v>
      </c>
    </row>
    <row r="11303" customFormat="false" ht="14.4" hidden="true" customHeight="false" outlineLevel="0" collapsed="false">
      <c r="A11303" s="34" t="n">
        <v>9332440000110</v>
      </c>
      <c r="B11303" s="34" t="s">
        <v>22238</v>
      </c>
      <c r="C11303" s="34" t="s">
        <v>357</v>
      </c>
      <c r="E11303" s="30" t="s">
        <v>22239</v>
      </c>
      <c r="F11303" s="34" t="n">
        <f aca="false">IFERROR(VLOOKUP($A11303,'319'!$B:$H,7,0),0)</f>
        <v>0</v>
      </c>
      <c r="G11303" s="34" t="n">
        <f aca="false">SUMIFS('12.326ana'!$C:$C,'12.326ana'!$M:$M,redes!A11303)</f>
        <v>0</v>
      </c>
    </row>
    <row r="11304" customFormat="false" ht="14.4" hidden="true" customHeight="false" outlineLevel="0" collapsed="false">
      <c r="A11304" s="34" t="n">
        <v>9337772000198</v>
      </c>
      <c r="B11304" s="34" t="s">
        <v>22240</v>
      </c>
      <c r="C11304" s="34" t="s">
        <v>77</v>
      </c>
      <c r="E11304" s="30" t="s">
        <v>22241</v>
      </c>
      <c r="F11304" s="34" t="n">
        <f aca="false">IFERROR(VLOOKUP($A11304,'319'!$B:$H,7,0),0)</f>
        <v>0</v>
      </c>
      <c r="G11304" s="34" t="n">
        <f aca="false">SUMIFS('12.326ana'!$C:$C,'12.326ana'!$M:$M,redes!A11304)</f>
        <v>0</v>
      </c>
    </row>
    <row r="11305" customFormat="false" ht="14.4" hidden="true" customHeight="false" outlineLevel="0" collapsed="false">
      <c r="A11305" s="34" t="n">
        <v>9339348000182</v>
      </c>
      <c r="B11305" s="34" t="s">
        <v>22242</v>
      </c>
      <c r="C11305" s="34" t="s">
        <v>107</v>
      </c>
      <c r="E11305" s="30" t="s">
        <v>22243</v>
      </c>
      <c r="F11305" s="34" t="n">
        <f aca="false">IFERROR(VLOOKUP($A11305,'319'!$B:$H,7,0),0)</f>
        <v>0</v>
      </c>
      <c r="G11305" s="34" t="n">
        <f aca="false">SUMIFS('12.326ana'!$C:$C,'12.326ana'!$M:$M,redes!A11305)</f>
        <v>0</v>
      </c>
    </row>
    <row r="11306" customFormat="false" ht="14.4" hidden="true" customHeight="false" outlineLevel="0" collapsed="false">
      <c r="A11306" s="34" t="n">
        <v>9341804000129</v>
      </c>
      <c r="B11306" s="34" t="s">
        <v>4274</v>
      </c>
      <c r="C11306" s="34" t="s">
        <v>103</v>
      </c>
      <c r="E11306" s="30" t="s">
        <v>13233</v>
      </c>
      <c r="F11306" s="34" t="n">
        <f aca="false">IFERROR(VLOOKUP($A11306,'319'!$B:$H,7,0),0)</f>
        <v>0</v>
      </c>
      <c r="G11306" s="34" t="n">
        <f aca="false">SUMIFS('12.326ana'!$C:$C,'12.326ana'!$M:$M,redes!A11306)</f>
        <v>0</v>
      </c>
    </row>
    <row r="11307" customFormat="false" ht="14.4" hidden="true" customHeight="false" outlineLevel="0" collapsed="false">
      <c r="A11307" s="34" t="n">
        <v>9347679000164</v>
      </c>
      <c r="B11307" s="34" t="s">
        <v>22244</v>
      </c>
      <c r="C11307" s="34" t="s">
        <v>12298</v>
      </c>
      <c r="E11307" s="30" t="s">
        <v>22245</v>
      </c>
      <c r="F11307" s="34" t="n">
        <f aca="false">IFERROR(VLOOKUP($A11307,'319'!$B:$H,7,0),0)</f>
        <v>0</v>
      </c>
      <c r="G11307" s="34" t="n">
        <f aca="false">SUMIFS('12.326ana'!$C:$C,'12.326ana'!$M:$M,redes!A11307)</f>
        <v>0</v>
      </c>
    </row>
    <row r="11308" customFormat="false" ht="14.4" hidden="true" customHeight="false" outlineLevel="0" collapsed="false">
      <c r="A11308" s="34" t="n">
        <v>9353262000104</v>
      </c>
      <c r="B11308" s="34" t="s">
        <v>22246</v>
      </c>
      <c r="C11308" s="34" t="s">
        <v>351</v>
      </c>
      <c r="E11308" s="30" t="s">
        <v>22247</v>
      </c>
      <c r="F11308" s="34" t="n">
        <f aca="false">IFERROR(VLOOKUP($A11308,'319'!$B:$H,7,0),0)</f>
        <v>0</v>
      </c>
      <c r="G11308" s="34" t="n">
        <f aca="false">SUMIFS('12.326ana'!$C:$C,'12.326ana'!$M:$M,redes!A11308)</f>
        <v>0</v>
      </c>
    </row>
    <row r="11309" customFormat="false" ht="14.4" hidden="true" customHeight="false" outlineLevel="0" collapsed="false">
      <c r="A11309" s="34" t="n">
        <v>9353485000171</v>
      </c>
      <c r="B11309" s="34" t="s">
        <v>22248</v>
      </c>
      <c r="C11309" s="34" t="s">
        <v>631</v>
      </c>
      <c r="E11309" s="30" t="s">
        <v>22249</v>
      </c>
      <c r="F11309" s="34" t="n">
        <f aca="false">IFERROR(VLOOKUP($A11309,'319'!$B:$H,7,0),0)</f>
        <v>0</v>
      </c>
      <c r="G11309" s="34" t="n">
        <f aca="false">SUMIFS('12.326ana'!$C:$C,'12.326ana'!$M:$M,redes!A11309)</f>
        <v>0</v>
      </c>
    </row>
    <row r="11310" customFormat="false" ht="14.4" hidden="true" customHeight="false" outlineLevel="0" collapsed="false">
      <c r="A11310" s="34" t="n">
        <v>9353631000169</v>
      </c>
      <c r="B11310" s="34" t="s">
        <v>22250</v>
      </c>
      <c r="C11310" s="34" t="s">
        <v>357</v>
      </c>
      <c r="E11310" s="30" t="s">
        <v>6919</v>
      </c>
      <c r="F11310" s="34" t="n">
        <f aca="false">IFERROR(VLOOKUP($A11310,'319'!$B:$H,7,0),0)</f>
        <v>0</v>
      </c>
      <c r="G11310" s="34" t="n">
        <f aca="false">SUMIFS('12.326ana'!$C:$C,'12.326ana'!$M:$M,redes!A11310)</f>
        <v>0</v>
      </c>
    </row>
    <row r="11311" customFormat="false" ht="14.4" hidden="true" customHeight="false" outlineLevel="0" collapsed="false">
      <c r="A11311" s="34" t="n">
        <v>9358930000196</v>
      </c>
      <c r="B11311" s="34" t="s">
        <v>22251</v>
      </c>
      <c r="C11311" s="34" t="s">
        <v>77</v>
      </c>
      <c r="E11311" s="30" t="s">
        <v>8117</v>
      </c>
      <c r="F11311" s="34" t="n">
        <f aca="false">IFERROR(VLOOKUP($A11311,'319'!$B:$H,7,0),0)</f>
        <v>25.13</v>
      </c>
      <c r="G11311" s="34" t="n">
        <f aca="false">SUMIFS('12.326ana'!$C:$C,'12.326ana'!$M:$M,redes!A11311)</f>
        <v>0</v>
      </c>
    </row>
    <row r="11312" customFormat="false" ht="14.4" hidden="true" customHeight="false" outlineLevel="0" collapsed="false">
      <c r="A11312" s="34" t="n">
        <v>9358997000120</v>
      </c>
      <c r="B11312" s="34" t="s">
        <v>22252</v>
      </c>
      <c r="C11312" s="34" t="s">
        <v>77</v>
      </c>
      <c r="E11312" s="30" t="s">
        <v>22253</v>
      </c>
      <c r="F11312" s="34" t="n">
        <f aca="false">IFERROR(VLOOKUP($A11312,'319'!$B:$H,7,0),0)</f>
        <v>0</v>
      </c>
      <c r="G11312" s="34" t="n">
        <f aca="false">SUMIFS('12.326ana'!$C:$C,'12.326ana'!$M:$M,redes!A11312)</f>
        <v>0</v>
      </c>
    </row>
    <row r="11313" customFormat="false" ht="14.4" hidden="true" customHeight="false" outlineLevel="0" collapsed="false">
      <c r="A11313" s="34" t="n">
        <v>9359553000100</v>
      </c>
      <c r="B11313" s="34" t="s">
        <v>9833</v>
      </c>
      <c r="C11313" s="34" t="s">
        <v>154</v>
      </c>
      <c r="E11313" s="30" t="s">
        <v>22254</v>
      </c>
      <c r="F11313" s="34" t="n">
        <f aca="false">IFERROR(VLOOKUP($A11313,'319'!$B:$H,7,0),0)</f>
        <v>0</v>
      </c>
      <c r="G11313" s="34" t="n">
        <f aca="false">SUMIFS('12.326ana'!$C:$C,'12.326ana'!$M:$M,redes!A11313)</f>
        <v>0</v>
      </c>
    </row>
    <row r="11314" customFormat="false" ht="14.4" hidden="true" customHeight="false" outlineLevel="0" collapsed="false">
      <c r="A11314" s="34" t="n">
        <v>9359731000100</v>
      </c>
      <c r="B11314" s="34" t="s">
        <v>22255</v>
      </c>
      <c r="C11314" s="34" t="s">
        <v>77</v>
      </c>
      <c r="E11314" s="30" t="s">
        <v>8090</v>
      </c>
      <c r="F11314" s="34" t="n">
        <f aca="false">IFERROR(VLOOKUP($A11314,'319'!$B:$H,7,0),0)</f>
        <v>0</v>
      </c>
      <c r="G11314" s="34" t="n">
        <f aca="false">SUMIFS('12.326ana'!$C:$C,'12.326ana'!$M:$M,redes!A11314)</f>
        <v>0</v>
      </c>
    </row>
    <row r="11315" customFormat="false" ht="14.4" hidden="true" customHeight="false" outlineLevel="0" collapsed="false">
      <c r="A11315" s="34" t="n">
        <v>9362855000137</v>
      </c>
      <c r="B11315" s="34" t="s">
        <v>22256</v>
      </c>
      <c r="C11315" s="34" t="s">
        <v>197</v>
      </c>
      <c r="D11315" s="34" t="s">
        <v>9598</v>
      </c>
      <c r="E11315" s="30" t="s">
        <v>22257</v>
      </c>
      <c r="F11315" s="34" t="n">
        <f aca="false">IFERROR(VLOOKUP($A11315,'319'!$B:$H,7,0),0)</f>
        <v>0</v>
      </c>
      <c r="G11315" s="34" t="n">
        <f aca="false">SUMIFS('12.326ana'!$C:$C,'12.326ana'!$M:$M,redes!A11315)</f>
        <v>0</v>
      </c>
    </row>
    <row r="11316" customFormat="false" ht="14.4" hidden="true" customHeight="false" outlineLevel="0" collapsed="false">
      <c r="A11316" s="34" t="n">
        <v>9362965000107</v>
      </c>
      <c r="B11316" s="34" t="s">
        <v>22258</v>
      </c>
      <c r="C11316" s="34" t="s">
        <v>89</v>
      </c>
      <c r="E11316" s="30" t="s">
        <v>22259</v>
      </c>
      <c r="F11316" s="34" t="n">
        <f aca="false">IFERROR(VLOOKUP($A11316,'319'!$B:$H,7,0),0)</f>
        <v>0</v>
      </c>
      <c r="G11316" s="34" t="n">
        <f aca="false">SUMIFS('12.326ana'!$C:$C,'12.326ana'!$M:$M,redes!A11316)</f>
        <v>0</v>
      </c>
    </row>
    <row r="11317" customFormat="false" ht="14.4" hidden="true" customHeight="false" outlineLevel="0" collapsed="false">
      <c r="A11317" s="34" t="n">
        <v>9365760000177</v>
      </c>
      <c r="B11317" s="34" t="s">
        <v>22260</v>
      </c>
      <c r="C11317" s="34" t="s">
        <v>89</v>
      </c>
      <c r="E11317" s="30" t="s">
        <v>16599</v>
      </c>
      <c r="F11317" s="34" t="n">
        <f aca="false">IFERROR(VLOOKUP($A11317,'319'!$B:$H,7,0),0)</f>
        <v>0</v>
      </c>
      <c r="G11317" s="34" t="n">
        <f aca="false">SUMIFS('12.326ana'!$C:$C,'12.326ana'!$M:$M,redes!A11317)</f>
        <v>0</v>
      </c>
    </row>
    <row r="11318" customFormat="false" ht="14.4" hidden="true" customHeight="false" outlineLevel="0" collapsed="false">
      <c r="A11318" s="34" t="n">
        <v>9368018000115</v>
      </c>
      <c r="B11318" s="34" t="s">
        <v>22261</v>
      </c>
      <c r="C11318" s="34" t="s">
        <v>77</v>
      </c>
      <c r="E11318" s="30" t="s">
        <v>22262</v>
      </c>
      <c r="F11318" s="34" t="n">
        <f aca="false">IFERROR(VLOOKUP($A11318,'319'!$B:$H,7,0),0)</f>
        <v>0</v>
      </c>
      <c r="G11318" s="34" t="n">
        <f aca="false">SUMIFS('12.326ana'!$C:$C,'12.326ana'!$M:$M,redes!A11318)</f>
        <v>0</v>
      </c>
    </row>
    <row r="11319" customFormat="false" ht="14.4" hidden="true" customHeight="false" outlineLevel="0" collapsed="false">
      <c r="A11319" s="34" t="n">
        <v>9368211000156</v>
      </c>
      <c r="B11319" s="34" t="s">
        <v>22263</v>
      </c>
      <c r="C11319" s="34" t="s">
        <v>139</v>
      </c>
      <c r="E11319" s="30" t="s">
        <v>22264</v>
      </c>
      <c r="F11319" s="34" t="n">
        <f aca="false">IFERROR(VLOOKUP($A11319,'319'!$B:$H,7,0),0)</f>
        <v>0</v>
      </c>
      <c r="G11319" s="34" t="n">
        <f aca="false">SUMIFS('12.326ana'!$C:$C,'12.326ana'!$M:$M,redes!A11319)</f>
        <v>0</v>
      </c>
    </row>
    <row r="11320" customFormat="false" ht="14.4" hidden="true" customHeight="false" outlineLevel="0" collapsed="false">
      <c r="A11320" s="34" t="n">
        <v>9368798000101</v>
      </c>
      <c r="B11320" s="34" t="s">
        <v>22265</v>
      </c>
      <c r="C11320" s="34" t="s">
        <v>77</v>
      </c>
      <c r="E11320" s="30" t="s">
        <v>22266</v>
      </c>
      <c r="F11320" s="34" t="n">
        <f aca="false">IFERROR(VLOOKUP($A11320,'319'!$B:$H,7,0),0)</f>
        <v>0</v>
      </c>
      <c r="G11320" s="34" t="n">
        <f aca="false">SUMIFS('12.326ana'!$C:$C,'12.326ana'!$M:$M,redes!A11320)</f>
        <v>0</v>
      </c>
    </row>
    <row r="11321" customFormat="false" ht="14.4" hidden="true" customHeight="false" outlineLevel="0" collapsed="false">
      <c r="A11321" s="34" t="n">
        <v>9368798000284</v>
      </c>
      <c r="B11321" s="34" t="s">
        <v>22265</v>
      </c>
      <c r="C11321" s="34" t="s">
        <v>77</v>
      </c>
      <c r="E11321" s="30" t="s">
        <v>22266</v>
      </c>
      <c r="F11321" s="34" t="n">
        <f aca="false">IFERROR(VLOOKUP($A11321,'319'!$B:$H,7,0),0)</f>
        <v>0</v>
      </c>
      <c r="G11321" s="34" t="n">
        <f aca="false">SUMIFS('12.326ana'!$C:$C,'12.326ana'!$M:$M,redes!A11321)</f>
        <v>0</v>
      </c>
    </row>
    <row r="11322" customFormat="false" ht="14.4" hidden="true" customHeight="false" outlineLevel="0" collapsed="false">
      <c r="A11322" s="34" t="n">
        <v>9369202000180</v>
      </c>
      <c r="B11322" s="34" t="s">
        <v>22267</v>
      </c>
      <c r="C11322" s="34" t="s">
        <v>139</v>
      </c>
      <c r="E11322" s="30" t="s">
        <v>22268</v>
      </c>
      <c r="F11322" s="34" t="n">
        <f aca="false">IFERROR(VLOOKUP($A11322,'319'!$B:$H,7,0),0)</f>
        <v>0</v>
      </c>
      <c r="G11322" s="34" t="n">
        <f aca="false">SUMIFS('12.326ana'!$C:$C,'12.326ana'!$M:$M,redes!A11322)</f>
        <v>0</v>
      </c>
    </row>
    <row r="11323" customFormat="false" ht="14.4" hidden="true" customHeight="false" outlineLevel="0" collapsed="false">
      <c r="A11323" s="34" t="n">
        <v>9371082000155</v>
      </c>
      <c r="B11323" s="34" t="s">
        <v>22269</v>
      </c>
      <c r="C11323" s="34" t="s">
        <v>77</v>
      </c>
      <c r="E11323" s="30" t="s">
        <v>22270</v>
      </c>
      <c r="F11323" s="34" t="n">
        <f aca="false">IFERROR(VLOOKUP($A11323,'319'!$B:$H,7,0),0)</f>
        <v>0</v>
      </c>
      <c r="G11323" s="34" t="n">
        <f aca="false">SUMIFS('12.326ana'!$C:$C,'12.326ana'!$M:$M,redes!A11323)</f>
        <v>0</v>
      </c>
    </row>
    <row r="11324" customFormat="false" ht="14.4" hidden="true" customHeight="false" outlineLevel="0" collapsed="false">
      <c r="A11324" s="34" t="n">
        <v>9373628000107</v>
      </c>
      <c r="B11324" s="34" t="s">
        <v>22271</v>
      </c>
      <c r="C11324" s="34" t="s">
        <v>117</v>
      </c>
      <c r="E11324" s="30" t="s">
        <v>22272</v>
      </c>
      <c r="F11324" s="34" t="n">
        <f aca="false">IFERROR(VLOOKUP($A11324,'319'!$B:$H,7,0),0)</f>
        <v>0</v>
      </c>
      <c r="G11324" s="34" t="n">
        <f aca="false">SUMIFS('12.326ana'!$C:$C,'12.326ana'!$M:$M,redes!A11324)</f>
        <v>0</v>
      </c>
    </row>
    <row r="11325" customFormat="false" ht="14.4" hidden="true" customHeight="false" outlineLevel="0" collapsed="false">
      <c r="A11325" s="34" t="n">
        <v>9375525000186</v>
      </c>
      <c r="B11325" s="34" t="s">
        <v>10459</v>
      </c>
      <c r="C11325" s="34" t="s">
        <v>781</v>
      </c>
      <c r="E11325" s="30" t="s">
        <v>8981</v>
      </c>
      <c r="F11325" s="34" t="n">
        <f aca="false">IFERROR(VLOOKUP($A11325,'319'!$B:$H,7,0),0)</f>
        <v>0</v>
      </c>
      <c r="G11325" s="34" t="n">
        <f aca="false">SUMIFS('12.326ana'!$C:$C,'12.326ana'!$M:$M,redes!A11325)</f>
        <v>0</v>
      </c>
    </row>
    <row r="11326" customFormat="false" ht="14.4" hidden="true" customHeight="false" outlineLevel="0" collapsed="false">
      <c r="A11326" s="34" t="n">
        <v>9375538000155</v>
      </c>
      <c r="B11326" s="34" t="s">
        <v>22273</v>
      </c>
      <c r="C11326" s="34" t="s">
        <v>77</v>
      </c>
      <c r="E11326" s="30" t="s">
        <v>22274</v>
      </c>
      <c r="F11326" s="34" t="n">
        <f aca="false">IFERROR(VLOOKUP($A11326,'319'!$B:$H,7,0),0)</f>
        <v>0</v>
      </c>
      <c r="G11326" s="34" t="n">
        <f aca="false">SUMIFS('12.326ana'!$C:$C,'12.326ana'!$M:$M,redes!A11326)</f>
        <v>0</v>
      </c>
    </row>
    <row r="11327" customFormat="false" ht="14.4" hidden="true" customHeight="false" outlineLevel="0" collapsed="false">
      <c r="A11327" s="34" t="n">
        <v>9375645000183</v>
      </c>
      <c r="B11327" s="34" t="s">
        <v>22275</v>
      </c>
      <c r="C11327" s="34" t="s">
        <v>77</v>
      </c>
      <c r="E11327" s="30" t="s">
        <v>22276</v>
      </c>
      <c r="F11327" s="34" t="n">
        <f aca="false">IFERROR(VLOOKUP($A11327,'319'!$B:$H,7,0),0)</f>
        <v>0</v>
      </c>
      <c r="G11327" s="34" t="n">
        <f aca="false">SUMIFS('12.326ana'!$C:$C,'12.326ana'!$M:$M,redes!A11327)</f>
        <v>0</v>
      </c>
    </row>
    <row r="11328" customFormat="false" ht="14.4" hidden="true" customHeight="false" outlineLevel="0" collapsed="false">
      <c r="A11328" s="34" t="n">
        <v>9375689000103</v>
      </c>
      <c r="B11328" s="34" t="s">
        <v>22277</v>
      </c>
      <c r="C11328" s="34" t="s">
        <v>77</v>
      </c>
      <c r="E11328" s="30" t="s">
        <v>22278</v>
      </c>
      <c r="F11328" s="34" t="n">
        <f aca="false">IFERROR(VLOOKUP($A11328,'319'!$B:$H,7,0),0)</f>
        <v>0</v>
      </c>
      <c r="G11328" s="34" t="n">
        <f aca="false">SUMIFS('12.326ana'!$C:$C,'12.326ana'!$M:$M,redes!A11328)</f>
        <v>0</v>
      </c>
    </row>
    <row r="11329" customFormat="false" ht="14.4" hidden="true" customHeight="false" outlineLevel="0" collapsed="false">
      <c r="A11329" s="34" t="n">
        <v>9376375000125</v>
      </c>
      <c r="B11329" s="34" t="s">
        <v>22279</v>
      </c>
      <c r="C11329" s="34" t="s">
        <v>77</v>
      </c>
      <c r="E11329" s="30" t="s">
        <v>22280</v>
      </c>
      <c r="F11329" s="34" t="n">
        <f aca="false">IFERROR(VLOOKUP($A11329,'319'!$B:$H,7,0),0)</f>
        <v>0</v>
      </c>
      <c r="G11329" s="34" t="n">
        <f aca="false">SUMIFS('12.326ana'!$C:$C,'12.326ana'!$M:$M,redes!A11329)</f>
        <v>0</v>
      </c>
    </row>
    <row r="11330" customFormat="false" ht="14.4" hidden="true" customHeight="false" outlineLevel="0" collapsed="false">
      <c r="A11330" s="34" t="n">
        <v>9379034000103</v>
      </c>
      <c r="B11330" s="34" t="s">
        <v>22281</v>
      </c>
      <c r="C11330" s="34" t="s">
        <v>197</v>
      </c>
      <c r="E11330" s="30" t="s">
        <v>4942</v>
      </c>
      <c r="F11330" s="34" t="n">
        <f aca="false">IFERROR(VLOOKUP($A11330,'319'!$B:$H,7,0),0)</f>
        <v>0</v>
      </c>
      <c r="G11330" s="34" t="n">
        <f aca="false">SUMIFS('12.326ana'!$C:$C,'12.326ana'!$M:$M,redes!A11330)</f>
        <v>0</v>
      </c>
    </row>
    <row r="11331" customFormat="false" ht="14.4" hidden="true" customHeight="false" outlineLevel="0" collapsed="false">
      <c r="A11331" s="34" t="n">
        <v>9379575000131</v>
      </c>
      <c r="B11331" s="34" t="s">
        <v>22282</v>
      </c>
      <c r="C11331" s="34" t="s">
        <v>77</v>
      </c>
      <c r="E11331" s="30" t="s">
        <v>22283</v>
      </c>
      <c r="F11331" s="34" t="n">
        <f aca="false">IFERROR(VLOOKUP($A11331,'319'!$B:$H,7,0),0)</f>
        <v>0</v>
      </c>
      <c r="G11331" s="34" t="n">
        <f aca="false">SUMIFS('12.326ana'!$C:$C,'12.326ana'!$M:$M,redes!A11331)</f>
        <v>0</v>
      </c>
    </row>
    <row r="11332" customFormat="false" ht="14.4" hidden="true" customHeight="false" outlineLevel="0" collapsed="false">
      <c r="A11332" s="34" t="n">
        <v>9381710000183</v>
      </c>
      <c r="B11332" s="34" t="s">
        <v>22284</v>
      </c>
      <c r="C11332" s="34" t="s">
        <v>377</v>
      </c>
      <c r="E11332" s="30" t="s">
        <v>22285</v>
      </c>
      <c r="F11332" s="34" t="n">
        <f aca="false">IFERROR(VLOOKUP($A11332,'319'!$B:$H,7,0),0)</f>
        <v>0</v>
      </c>
      <c r="G11332" s="34" t="n">
        <f aca="false">SUMIFS('12.326ana'!$C:$C,'12.326ana'!$M:$M,redes!A11332)</f>
        <v>0</v>
      </c>
    </row>
    <row r="11333" customFormat="false" ht="14.4" hidden="true" customHeight="false" outlineLevel="0" collapsed="false">
      <c r="A11333" s="34" t="n">
        <v>9381958000144</v>
      </c>
      <c r="B11333" s="34" t="s">
        <v>22286</v>
      </c>
      <c r="C11333" s="34" t="s">
        <v>631</v>
      </c>
      <c r="E11333" s="30" t="s">
        <v>11474</v>
      </c>
      <c r="F11333" s="34" t="n">
        <f aca="false">IFERROR(VLOOKUP($A11333,'319'!$B:$H,7,0),0)</f>
        <v>0</v>
      </c>
      <c r="G11333" s="34" t="n">
        <f aca="false">SUMIFS('12.326ana'!$C:$C,'12.326ana'!$M:$M,redes!A11333)</f>
        <v>0</v>
      </c>
    </row>
    <row r="11334" customFormat="false" ht="14.4" hidden="true" customHeight="false" outlineLevel="0" collapsed="false">
      <c r="A11334" s="34" t="n">
        <v>9384903000198</v>
      </c>
      <c r="B11334" s="34" t="s">
        <v>22287</v>
      </c>
      <c r="C11334" s="34" t="s">
        <v>127</v>
      </c>
      <c r="E11334" s="30" t="s">
        <v>22288</v>
      </c>
      <c r="F11334" s="34" t="n">
        <f aca="false">IFERROR(VLOOKUP($A11334,'319'!$B:$H,7,0),0)</f>
        <v>0</v>
      </c>
      <c r="G11334" s="34" t="n">
        <f aca="false">SUMIFS('12.326ana'!$C:$C,'12.326ana'!$M:$M,redes!A11334)</f>
        <v>0</v>
      </c>
    </row>
    <row r="11335" customFormat="false" ht="14.4" hidden="true" customHeight="false" outlineLevel="0" collapsed="false">
      <c r="A11335" s="34" t="n">
        <v>9391583000101</v>
      </c>
      <c r="B11335" s="34" t="s">
        <v>22289</v>
      </c>
      <c r="C11335" s="34" t="s">
        <v>77</v>
      </c>
      <c r="E11335" s="30" t="s">
        <v>6944</v>
      </c>
      <c r="F11335" s="34" t="n">
        <f aca="false">IFERROR(VLOOKUP($A11335,'319'!$B:$H,7,0),0)</f>
        <v>0</v>
      </c>
      <c r="G11335" s="34" t="n">
        <f aca="false">SUMIFS('12.326ana'!$C:$C,'12.326ana'!$M:$M,redes!A11335)</f>
        <v>0</v>
      </c>
    </row>
    <row r="11336" customFormat="false" ht="14.4" hidden="true" customHeight="false" outlineLevel="0" collapsed="false">
      <c r="A11336" s="34" t="n">
        <v>9392025000152</v>
      </c>
      <c r="B11336" s="34" t="s">
        <v>22290</v>
      </c>
      <c r="C11336" s="34" t="s">
        <v>89</v>
      </c>
      <c r="D11336" s="34" t="s">
        <v>22291</v>
      </c>
      <c r="E11336" s="30" t="s">
        <v>22292</v>
      </c>
      <c r="F11336" s="34" t="n">
        <f aca="false">IFERROR(VLOOKUP($A11336,'319'!$B:$H,7,0),0)</f>
        <v>0</v>
      </c>
      <c r="G11336" s="34" t="n">
        <f aca="false">SUMIFS('12.326ana'!$C:$C,'12.326ana'!$M:$M,redes!A11336)</f>
        <v>0</v>
      </c>
    </row>
    <row r="11337" customFormat="false" ht="14.4" hidden="true" customHeight="false" outlineLevel="0" collapsed="false">
      <c r="A11337" s="34" t="n">
        <v>9392326000186</v>
      </c>
      <c r="B11337" s="34" t="s">
        <v>22293</v>
      </c>
      <c r="C11337" s="34" t="s">
        <v>581</v>
      </c>
      <c r="E11337" s="30" t="s">
        <v>5070</v>
      </c>
      <c r="F11337" s="34" t="n">
        <f aca="false">IFERROR(VLOOKUP($A11337,'319'!$B:$H,7,0),0)</f>
        <v>0</v>
      </c>
      <c r="G11337" s="34" t="n">
        <f aca="false">SUMIFS('12.326ana'!$C:$C,'12.326ana'!$M:$M,redes!A11337)</f>
        <v>0</v>
      </c>
    </row>
    <row r="11338" customFormat="false" ht="14.4" hidden="true" customHeight="false" outlineLevel="0" collapsed="false">
      <c r="A11338" s="34" t="n">
        <v>9392378000152</v>
      </c>
      <c r="B11338" s="34" t="s">
        <v>22294</v>
      </c>
      <c r="C11338" s="34" t="s">
        <v>103</v>
      </c>
      <c r="E11338" s="30" t="s">
        <v>22295</v>
      </c>
      <c r="F11338" s="34" t="n">
        <f aca="false">IFERROR(VLOOKUP($A11338,'319'!$B:$H,7,0),0)</f>
        <v>0</v>
      </c>
      <c r="G11338" s="34" t="n">
        <f aca="false">SUMIFS('12.326ana'!$C:$C,'12.326ana'!$M:$M,redes!A11338)</f>
        <v>0</v>
      </c>
    </row>
    <row r="11339" customFormat="false" ht="14.4" hidden="true" customHeight="false" outlineLevel="0" collapsed="false">
      <c r="A11339" s="34" t="n">
        <v>9395463000174</v>
      </c>
      <c r="B11339" s="34" t="s">
        <v>22296</v>
      </c>
      <c r="C11339" s="34" t="s">
        <v>77</v>
      </c>
      <c r="E11339" s="30" t="s">
        <v>22297</v>
      </c>
      <c r="F11339" s="34" t="n">
        <f aca="false">IFERROR(VLOOKUP($A11339,'319'!$B:$H,7,0),0)</f>
        <v>0</v>
      </c>
      <c r="G11339" s="34" t="n">
        <f aca="false">SUMIFS('12.326ana'!$C:$C,'12.326ana'!$M:$M,redes!A11339)</f>
        <v>0</v>
      </c>
    </row>
    <row r="11340" customFormat="false" ht="14.4" hidden="true" customHeight="false" outlineLevel="0" collapsed="false">
      <c r="A11340" s="34" t="n">
        <v>9396982000157</v>
      </c>
      <c r="B11340" s="34" t="s">
        <v>22298</v>
      </c>
      <c r="C11340" s="34" t="s">
        <v>357</v>
      </c>
      <c r="E11340" s="30" t="s">
        <v>22299</v>
      </c>
      <c r="F11340" s="34" t="n">
        <f aca="false">IFERROR(VLOOKUP($A11340,'319'!$B:$H,7,0),0)</f>
        <v>0</v>
      </c>
      <c r="G11340" s="34" t="n">
        <f aca="false">SUMIFS('12.326ana'!$C:$C,'12.326ana'!$M:$M,redes!A11340)</f>
        <v>0</v>
      </c>
    </row>
    <row r="11341" customFormat="false" ht="14.4" hidden="true" customHeight="false" outlineLevel="0" collapsed="false">
      <c r="A11341" s="34" t="n">
        <v>9397595000135</v>
      </c>
      <c r="B11341" s="34" t="s">
        <v>22300</v>
      </c>
      <c r="C11341" s="34" t="s">
        <v>464</v>
      </c>
      <c r="E11341" s="30" t="s">
        <v>22301</v>
      </c>
      <c r="F11341" s="34" t="n">
        <f aca="false">IFERROR(VLOOKUP($A11341,'319'!$B:$H,7,0),0)</f>
        <v>0</v>
      </c>
      <c r="G11341" s="34" t="n">
        <f aca="false">SUMIFS('12.326ana'!$C:$C,'12.326ana'!$M:$M,redes!A11341)</f>
        <v>0</v>
      </c>
    </row>
    <row r="11342" customFormat="false" ht="14.4" hidden="true" customHeight="false" outlineLevel="0" collapsed="false">
      <c r="A11342" s="34" t="n">
        <v>9398035000103</v>
      </c>
      <c r="B11342" s="34" t="s">
        <v>22302</v>
      </c>
      <c r="C11342" s="34" t="s">
        <v>565</v>
      </c>
      <c r="E11342" s="30" t="s">
        <v>17904</v>
      </c>
      <c r="F11342" s="34" t="n">
        <f aca="false">IFERROR(VLOOKUP($A11342,'319'!$B:$H,7,0),0)</f>
        <v>0</v>
      </c>
      <c r="G11342" s="34" t="n">
        <f aca="false">SUMIFS('12.326ana'!$C:$C,'12.326ana'!$M:$M,redes!A11342)</f>
        <v>0</v>
      </c>
    </row>
    <row r="11343" customFormat="false" ht="14.4" hidden="true" customHeight="false" outlineLevel="0" collapsed="false">
      <c r="A11343" s="34" t="n">
        <v>9398219000165</v>
      </c>
      <c r="B11343" s="34" t="s">
        <v>22303</v>
      </c>
      <c r="C11343" s="34" t="s">
        <v>107</v>
      </c>
      <c r="E11343" s="30" t="s">
        <v>22304</v>
      </c>
      <c r="F11343" s="34" t="n">
        <f aca="false">IFERROR(VLOOKUP($A11343,'319'!$B:$H,7,0),0)</f>
        <v>0</v>
      </c>
      <c r="G11343" s="34" t="n">
        <f aca="false">SUMIFS('12.326ana'!$C:$C,'12.326ana'!$M:$M,redes!A11343)</f>
        <v>0</v>
      </c>
    </row>
    <row r="11344" customFormat="false" ht="14.4" hidden="true" customHeight="false" outlineLevel="0" collapsed="false">
      <c r="A11344" s="34" t="n">
        <v>9398288000179</v>
      </c>
      <c r="B11344" s="34" t="s">
        <v>22305</v>
      </c>
      <c r="C11344" s="34" t="s">
        <v>464</v>
      </c>
      <c r="E11344" s="30" t="s">
        <v>22306</v>
      </c>
      <c r="F11344" s="34" t="n">
        <f aca="false">IFERROR(VLOOKUP($A11344,'319'!$B:$H,7,0),0)</f>
        <v>0</v>
      </c>
      <c r="G11344" s="34" t="n">
        <f aca="false">SUMIFS('12.326ana'!$C:$C,'12.326ana'!$M:$M,redes!A11344)</f>
        <v>0</v>
      </c>
    </row>
    <row r="11345" customFormat="false" ht="14.4" hidden="true" customHeight="false" outlineLevel="0" collapsed="false">
      <c r="A11345" s="34" t="n">
        <v>9399875000182</v>
      </c>
      <c r="B11345" s="34" t="s">
        <v>22307</v>
      </c>
      <c r="C11345" s="34" t="s">
        <v>475</v>
      </c>
      <c r="E11345" s="30" t="s">
        <v>4276</v>
      </c>
      <c r="F11345" s="34" t="n">
        <f aca="false">IFERROR(VLOOKUP($A11345,'319'!$B:$H,7,0),0)</f>
        <v>0</v>
      </c>
      <c r="G11345" s="34" t="n">
        <f aca="false">SUMIFS('12.326ana'!$C:$C,'12.326ana'!$M:$M,redes!A11345)</f>
        <v>0</v>
      </c>
    </row>
    <row r="11346" customFormat="false" ht="14.4" hidden="true" customHeight="false" outlineLevel="0" collapsed="false">
      <c r="A11346" s="35" t="n">
        <v>9400688000171</v>
      </c>
      <c r="B11346" s="34" t="s">
        <v>22308</v>
      </c>
      <c r="C11346" s="34" t="s">
        <v>475</v>
      </c>
      <c r="E11346" s="30" t="s">
        <v>22309</v>
      </c>
      <c r="F11346" s="34" t="n">
        <f aca="false">IFERROR(VLOOKUP($A11346,'319'!$B:$H,7,0),0)</f>
        <v>0</v>
      </c>
      <c r="G11346" s="34" t="n">
        <f aca="false">SUMIFS('12.326ana'!$C:$C,'12.326ana'!$M:$M,redes!A11346)</f>
        <v>0</v>
      </c>
    </row>
    <row r="11347" customFormat="false" ht="14.4" hidden="true" customHeight="false" outlineLevel="0" collapsed="false">
      <c r="A11347" s="35" t="n">
        <v>9401283000158</v>
      </c>
      <c r="B11347" s="34" t="s">
        <v>508</v>
      </c>
      <c r="C11347" s="34" t="s">
        <v>103</v>
      </c>
      <c r="E11347" s="30" t="s">
        <v>22310</v>
      </c>
      <c r="F11347" s="34" t="n">
        <f aca="false">IFERROR(VLOOKUP($A11347,'319'!$B:$H,7,0),0)</f>
        <v>91720.46</v>
      </c>
      <c r="G11347" s="34" t="n">
        <f aca="false">SUMIFS('12.326ana'!$C:$C,'12.326ana'!$M:$M,redes!A11347)</f>
        <v>0</v>
      </c>
    </row>
    <row r="11348" customFormat="false" ht="14.4" hidden="true" customHeight="false" outlineLevel="0" collapsed="false">
      <c r="A11348" s="34" t="n">
        <v>9403787000107</v>
      </c>
      <c r="B11348" s="34" t="s">
        <v>22311</v>
      </c>
      <c r="C11348" s="34" t="s">
        <v>77</v>
      </c>
      <c r="E11348" s="30" t="s">
        <v>22312</v>
      </c>
      <c r="F11348" s="34" t="n">
        <f aca="false">IFERROR(VLOOKUP($A11348,'319'!$B:$H,7,0),0)</f>
        <v>0</v>
      </c>
      <c r="G11348" s="34" t="n">
        <f aca="false">SUMIFS('12.326ana'!$C:$C,'12.326ana'!$M:$M,redes!A11348)</f>
        <v>0</v>
      </c>
    </row>
    <row r="11349" customFormat="false" ht="14.4" hidden="true" customHeight="false" outlineLevel="0" collapsed="false">
      <c r="A11349" s="34" t="n">
        <v>9408373000170</v>
      </c>
      <c r="B11349" s="34" t="s">
        <v>22313</v>
      </c>
      <c r="C11349" s="34" t="s">
        <v>107</v>
      </c>
      <c r="E11349" s="30" t="s">
        <v>22314</v>
      </c>
      <c r="F11349" s="34" t="n">
        <f aca="false">IFERROR(VLOOKUP($A11349,'319'!$B:$H,7,0),0)</f>
        <v>0</v>
      </c>
      <c r="G11349" s="34" t="n">
        <f aca="false">SUMIFS('12.326ana'!$C:$C,'12.326ana'!$M:$M,redes!A11349)</f>
        <v>0</v>
      </c>
    </row>
    <row r="11350" customFormat="false" ht="14.4" hidden="true" customHeight="false" outlineLevel="0" collapsed="false">
      <c r="A11350" s="34" t="n">
        <v>9409943000147</v>
      </c>
      <c r="B11350" s="34" t="s">
        <v>22315</v>
      </c>
      <c r="C11350" s="34" t="s">
        <v>594</v>
      </c>
      <c r="E11350" s="30" t="s">
        <v>22316</v>
      </c>
      <c r="F11350" s="34" t="n">
        <f aca="false">IFERROR(VLOOKUP($A11350,'319'!$B:$H,7,0),0)</f>
        <v>0</v>
      </c>
      <c r="G11350" s="34" t="n">
        <f aca="false">SUMIFS('12.326ana'!$C:$C,'12.326ana'!$M:$M,redes!A11350)</f>
        <v>0</v>
      </c>
    </row>
    <row r="11351" customFormat="false" ht="14.4" hidden="true" customHeight="false" outlineLevel="0" collapsed="false">
      <c r="A11351" s="35" t="n">
        <v>9410320000194</v>
      </c>
      <c r="B11351" s="34" t="s">
        <v>22317</v>
      </c>
      <c r="C11351" s="34" t="s">
        <v>2998</v>
      </c>
      <c r="E11351" s="30" t="s">
        <v>22318</v>
      </c>
      <c r="F11351" s="34" t="n">
        <f aca="false">IFERROR(VLOOKUP($A11351,'319'!$B:$H,7,0),0)</f>
        <v>0</v>
      </c>
      <c r="G11351" s="34" t="n">
        <f aca="false">SUMIFS('12.326ana'!$C:$C,'12.326ana'!$M:$M,redes!A11351)</f>
        <v>0</v>
      </c>
    </row>
    <row r="11352" customFormat="false" ht="14.4" hidden="true" customHeight="false" outlineLevel="0" collapsed="false">
      <c r="A11352" s="35" t="n">
        <v>9413064000199</v>
      </c>
      <c r="B11352" s="34" t="s">
        <v>22319</v>
      </c>
      <c r="C11352" s="34" t="s">
        <v>77</v>
      </c>
      <c r="E11352" s="30" t="s">
        <v>12851</v>
      </c>
      <c r="F11352" s="34" t="n">
        <f aca="false">IFERROR(VLOOKUP($A11352,'319'!$B:$H,7,0),0)</f>
        <v>0</v>
      </c>
      <c r="G11352" s="34" t="n">
        <f aca="false">SUMIFS('12.326ana'!$C:$C,'12.326ana'!$M:$M,redes!A11352)</f>
        <v>0</v>
      </c>
    </row>
    <row r="11353" customFormat="false" ht="14.4" hidden="true" customHeight="false" outlineLevel="0" collapsed="false">
      <c r="A11353" s="35" t="n">
        <v>9413065000133</v>
      </c>
      <c r="B11353" s="34" t="s">
        <v>1590</v>
      </c>
      <c r="C11353" s="34" t="s">
        <v>1591</v>
      </c>
      <c r="E11353" s="30" t="s">
        <v>17784</v>
      </c>
      <c r="F11353" s="34" t="n">
        <f aca="false">IFERROR(VLOOKUP($A11353,'319'!$B:$H,7,0),0)</f>
        <v>88.6</v>
      </c>
      <c r="G11353" s="34" t="n">
        <f aca="false">SUMIFS('12.326ana'!$C:$C,'12.326ana'!$M:$M,redes!A11353)</f>
        <v>0</v>
      </c>
    </row>
    <row r="11354" customFormat="false" ht="14.4" hidden="true" customHeight="false" outlineLevel="0" collapsed="false">
      <c r="A11354" s="34" t="n">
        <v>9413939000152</v>
      </c>
      <c r="B11354" s="34" t="s">
        <v>22320</v>
      </c>
      <c r="C11354" s="34" t="s">
        <v>473</v>
      </c>
      <c r="E11354" s="30" t="s">
        <v>22321</v>
      </c>
      <c r="F11354" s="34" t="n">
        <f aca="false">IFERROR(VLOOKUP($A11354,'319'!$B:$H,7,0),0)</f>
        <v>0</v>
      </c>
      <c r="G11354" s="34" t="n">
        <f aca="false">SUMIFS('12.326ana'!$C:$C,'12.326ana'!$M:$M,redes!A11354)</f>
        <v>0</v>
      </c>
    </row>
    <row r="11355" customFormat="false" ht="14.4" hidden="true" customHeight="false" outlineLevel="0" collapsed="false">
      <c r="A11355" s="34" t="n">
        <v>9416151000108</v>
      </c>
      <c r="B11355" s="34" t="s">
        <v>22322</v>
      </c>
      <c r="C11355" s="34" t="s">
        <v>77</v>
      </c>
      <c r="E11355" s="30" t="s">
        <v>22323</v>
      </c>
      <c r="F11355" s="34" t="n">
        <f aca="false">IFERROR(VLOOKUP($A11355,'319'!$B:$H,7,0),0)</f>
        <v>0</v>
      </c>
      <c r="G11355" s="34" t="n">
        <f aca="false">SUMIFS('12.326ana'!$C:$C,'12.326ana'!$M:$M,redes!A11355)</f>
        <v>0</v>
      </c>
    </row>
    <row r="11356" customFormat="false" ht="14.4" hidden="true" customHeight="false" outlineLevel="0" collapsed="false">
      <c r="A11356" s="34" t="n">
        <v>9420773000100</v>
      </c>
      <c r="B11356" s="34" t="s">
        <v>22324</v>
      </c>
      <c r="C11356" s="34" t="s">
        <v>77</v>
      </c>
      <c r="E11356" s="30" t="s">
        <v>22325</v>
      </c>
      <c r="F11356" s="34" t="n">
        <f aca="false">IFERROR(VLOOKUP($A11356,'319'!$B:$H,7,0),0)</f>
        <v>0</v>
      </c>
      <c r="G11356" s="34" t="n">
        <f aca="false">SUMIFS('12.326ana'!$C:$C,'12.326ana'!$M:$M,redes!A11356)</f>
        <v>0</v>
      </c>
    </row>
    <row r="11357" customFormat="false" ht="14.4" hidden="true" customHeight="false" outlineLevel="0" collapsed="false">
      <c r="A11357" s="34" t="n">
        <v>9422125000184</v>
      </c>
      <c r="B11357" s="34" t="s">
        <v>22326</v>
      </c>
      <c r="C11357" s="34" t="s">
        <v>1272</v>
      </c>
      <c r="E11357" s="30" t="s">
        <v>4291</v>
      </c>
      <c r="F11357" s="34" t="n">
        <f aca="false">IFERROR(VLOOKUP($A11357,'319'!$B:$H,7,0),0)</f>
        <v>0</v>
      </c>
      <c r="G11357" s="34" t="n">
        <f aca="false">SUMIFS('12.326ana'!$C:$C,'12.326ana'!$M:$M,redes!A11357)</f>
        <v>0</v>
      </c>
    </row>
    <row r="11358" customFormat="false" ht="14.4" hidden="true" customHeight="false" outlineLevel="0" collapsed="false">
      <c r="A11358" s="34" t="n">
        <v>9426032000128</v>
      </c>
      <c r="B11358" s="34" t="s">
        <v>22327</v>
      </c>
      <c r="C11358" s="34" t="s">
        <v>22328</v>
      </c>
      <c r="E11358" s="30" t="s">
        <v>22329</v>
      </c>
      <c r="F11358" s="34" t="n">
        <f aca="false">IFERROR(VLOOKUP($A11358,'319'!$B:$H,7,0),0)</f>
        <v>0</v>
      </c>
      <c r="G11358" s="34" t="n">
        <f aca="false">SUMIFS('12.326ana'!$C:$C,'12.326ana'!$M:$M,redes!A11358)</f>
        <v>0</v>
      </c>
    </row>
    <row r="11359" customFormat="false" ht="14.4" hidden="true" customHeight="false" outlineLevel="0" collapsed="false">
      <c r="A11359" s="34" t="n">
        <v>9426032000390</v>
      </c>
      <c r="B11359" s="34" t="s">
        <v>22330</v>
      </c>
      <c r="C11359" s="34" t="s">
        <v>12327</v>
      </c>
      <c r="E11359" s="30" t="s">
        <v>22329</v>
      </c>
      <c r="F11359" s="34" t="n">
        <f aca="false">IFERROR(VLOOKUP($A11359,'319'!$B:$H,7,0),0)</f>
        <v>0</v>
      </c>
      <c r="G11359" s="34" t="n">
        <f aca="false">SUMIFS('12.326ana'!$C:$C,'12.326ana'!$M:$M,redes!A11359)</f>
        <v>0</v>
      </c>
    </row>
    <row r="11360" customFormat="false" ht="14.4" hidden="true" customHeight="false" outlineLevel="0" collapsed="false">
      <c r="A11360" s="34" t="n">
        <v>9428255000124</v>
      </c>
      <c r="B11360" s="34" t="s">
        <v>22331</v>
      </c>
      <c r="C11360" s="34" t="s">
        <v>77</v>
      </c>
      <c r="E11360" s="30" t="s">
        <v>22332</v>
      </c>
      <c r="F11360" s="34" t="n">
        <f aca="false">IFERROR(VLOOKUP($A11360,'319'!$B:$H,7,0),0)</f>
        <v>0</v>
      </c>
      <c r="G11360" s="34" t="n">
        <f aca="false">SUMIFS('12.326ana'!$C:$C,'12.326ana'!$M:$M,redes!A11360)</f>
        <v>0</v>
      </c>
    </row>
    <row r="11361" customFormat="false" ht="14.4" hidden="true" customHeight="false" outlineLevel="0" collapsed="false">
      <c r="A11361" s="34" t="n">
        <v>9428553000114</v>
      </c>
      <c r="B11361" s="34" t="s">
        <v>22333</v>
      </c>
      <c r="C11361" s="34" t="s">
        <v>781</v>
      </c>
      <c r="E11361" s="30" t="s">
        <v>22334</v>
      </c>
      <c r="F11361" s="34" t="n">
        <f aca="false">IFERROR(VLOOKUP($A11361,'319'!$B:$H,7,0),0)</f>
        <v>0</v>
      </c>
      <c r="G11361" s="34" t="n">
        <f aca="false">SUMIFS('12.326ana'!$C:$C,'12.326ana'!$M:$M,redes!A11361)</f>
        <v>0</v>
      </c>
    </row>
    <row r="11362" customFormat="false" ht="14.4" hidden="true" customHeight="false" outlineLevel="0" collapsed="false">
      <c r="A11362" s="34" t="n">
        <v>9433797000195</v>
      </c>
      <c r="B11362" s="34" t="s">
        <v>22335</v>
      </c>
      <c r="C11362" s="34" t="s">
        <v>598</v>
      </c>
      <c r="E11362" s="30" t="s">
        <v>22336</v>
      </c>
      <c r="F11362" s="34" t="n">
        <f aca="false">IFERROR(VLOOKUP($A11362,'319'!$B:$H,7,0),0)</f>
        <v>0</v>
      </c>
      <c r="G11362" s="34" t="n">
        <f aca="false">SUMIFS('12.326ana'!$C:$C,'12.326ana'!$M:$M,redes!A11362)</f>
        <v>0</v>
      </c>
    </row>
    <row r="11363" customFormat="false" ht="14.4" hidden="true" customHeight="false" outlineLevel="0" collapsed="false">
      <c r="A11363" s="34" t="n">
        <v>9437515000128</v>
      </c>
      <c r="B11363" s="34" t="s">
        <v>22337</v>
      </c>
      <c r="C11363" s="34" t="s">
        <v>357</v>
      </c>
      <c r="E11363" s="30" t="s">
        <v>22338</v>
      </c>
      <c r="F11363" s="34" t="n">
        <f aca="false">IFERROR(VLOOKUP($A11363,'319'!$B:$H,7,0),0)</f>
        <v>0</v>
      </c>
      <c r="G11363" s="34" t="n">
        <f aca="false">SUMIFS('12.326ana'!$C:$C,'12.326ana'!$M:$M,redes!A11363)</f>
        <v>0</v>
      </c>
    </row>
    <row r="11364" customFormat="false" ht="14.4" hidden="true" customHeight="false" outlineLevel="0" collapsed="false">
      <c r="A11364" s="34" t="n">
        <v>9440881000136</v>
      </c>
      <c r="B11364" s="34" t="s">
        <v>22339</v>
      </c>
      <c r="C11364" s="34" t="s">
        <v>357</v>
      </c>
      <c r="E11364" s="30" t="s">
        <v>4276</v>
      </c>
      <c r="F11364" s="34" t="n">
        <f aca="false">IFERROR(VLOOKUP($A11364,'319'!$B:$H,7,0),0)</f>
        <v>0</v>
      </c>
      <c r="G11364" s="34" t="n">
        <f aca="false">SUMIFS('12.326ana'!$C:$C,'12.326ana'!$M:$M,redes!A11364)</f>
        <v>0</v>
      </c>
    </row>
    <row r="11365" customFormat="false" ht="14.4" hidden="true" customHeight="false" outlineLevel="0" collapsed="false">
      <c r="A11365" s="34" t="n">
        <v>9446035000123</v>
      </c>
      <c r="B11365" s="34" t="s">
        <v>22340</v>
      </c>
      <c r="C11365" s="34" t="s">
        <v>77</v>
      </c>
      <c r="E11365" s="30"/>
      <c r="F11365" s="34" t="n">
        <f aca="false">IFERROR(VLOOKUP($A11365,'319'!$B:$H,7,0),0)</f>
        <v>0</v>
      </c>
      <c r="G11365" s="34" t="n">
        <f aca="false">SUMIFS('12.326ana'!$C:$C,'12.326ana'!$M:$M,redes!A11365)</f>
        <v>0</v>
      </c>
    </row>
    <row r="11366" customFormat="false" ht="14.4" hidden="true" customHeight="false" outlineLevel="0" collapsed="false">
      <c r="A11366" s="34" t="n">
        <v>9449917000142</v>
      </c>
      <c r="B11366" s="34" t="s">
        <v>22341</v>
      </c>
      <c r="C11366" s="34" t="s">
        <v>77</v>
      </c>
      <c r="E11366" s="30" t="s">
        <v>22342</v>
      </c>
      <c r="F11366" s="34" t="n">
        <f aca="false">IFERROR(VLOOKUP($A11366,'319'!$B:$H,7,0),0)</f>
        <v>0</v>
      </c>
      <c r="G11366" s="34" t="n">
        <f aca="false">SUMIFS('12.326ana'!$C:$C,'12.326ana'!$M:$M,redes!A11366)</f>
        <v>0</v>
      </c>
    </row>
    <row r="11367" customFormat="false" ht="14.4" hidden="true" customHeight="false" outlineLevel="0" collapsed="false">
      <c r="A11367" s="34" t="n">
        <v>9452372000123</v>
      </c>
      <c r="B11367" s="34" t="s">
        <v>22343</v>
      </c>
      <c r="C11367" s="34" t="s">
        <v>77</v>
      </c>
      <c r="E11367" s="30" t="s">
        <v>12091</v>
      </c>
      <c r="F11367" s="34" t="n">
        <f aca="false">IFERROR(VLOOKUP($A11367,'319'!$B:$H,7,0),0)</f>
        <v>0</v>
      </c>
      <c r="G11367" s="34" t="n">
        <f aca="false">SUMIFS('12.326ana'!$C:$C,'12.326ana'!$M:$M,redes!A11367)</f>
        <v>0</v>
      </c>
    </row>
    <row r="11368" customFormat="false" ht="14.4" hidden="true" customHeight="false" outlineLevel="0" collapsed="false">
      <c r="A11368" s="34" t="n">
        <v>9452576000164</v>
      </c>
      <c r="B11368" s="34" t="s">
        <v>22344</v>
      </c>
      <c r="C11368" s="34" t="s">
        <v>77</v>
      </c>
      <c r="E11368" s="30" t="s">
        <v>22345</v>
      </c>
      <c r="F11368" s="34" t="n">
        <f aca="false">IFERROR(VLOOKUP($A11368,'319'!$B:$H,7,0),0)</f>
        <v>0</v>
      </c>
      <c r="G11368" s="34" t="n">
        <f aca="false">SUMIFS('12.326ana'!$C:$C,'12.326ana'!$M:$M,redes!A11368)</f>
        <v>0</v>
      </c>
    </row>
    <row r="11369" customFormat="false" ht="14.4" hidden="true" customHeight="false" outlineLevel="0" collapsed="false">
      <c r="A11369" s="34" t="n">
        <v>9452874000154</v>
      </c>
      <c r="B11369" s="34" t="s">
        <v>22346</v>
      </c>
      <c r="C11369" s="34" t="s">
        <v>581</v>
      </c>
      <c r="E11369" s="30" t="s">
        <v>22347</v>
      </c>
      <c r="F11369" s="34" t="n">
        <f aca="false">IFERROR(VLOOKUP($A11369,'319'!$B:$H,7,0),0)</f>
        <v>0</v>
      </c>
      <c r="G11369" s="34" t="n">
        <f aca="false">SUMIFS('12.326ana'!$C:$C,'12.326ana'!$M:$M,redes!A11369)</f>
        <v>0</v>
      </c>
    </row>
    <row r="11370" customFormat="false" ht="14.4" hidden="true" customHeight="false" outlineLevel="0" collapsed="false">
      <c r="A11370" s="34" t="n">
        <v>9455147000140</v>
      </c>
      <c r="B11370" s="34" t="s">
        <v>22348</v>
      </c>
      <c r="C11370" s="34" t="s">
        <v>77</v>
      </c>
      <c r="E11370" s="30" t="s">
        <v>22349</v>
      </c>
      <c r="F11370" s="34" t="n">
        <f aca="false">IFERROR(VLOOKUP($A11370,'319'!$B:$H,7,0),0)</f>
        <v>0</v>
      </c>
      <c r="G11370" s="34" t="n">
        <f aca="false">SUMIFS('12.326ana'!$C:$C,'12.326ana'!$M:$M,redes!A11370)</f>
        <v>0</v>
      </c>
    </row>
    <row r="11371" customFormat="false" ht="14.4" hidden="true" customHeight="false" outlineLevel="0" collapsed="false">
      <c r="A11371" s="34" t="n">
        <v>9455798000130</v>
      </c>
      <c r="B11371" s="34" t="s">
        <v>22350</v>
      </c>
      <c r="C11371" s="34" t="s">
        <v>737</v>
      </c>
      <c r="E11371" s="30" t="s">
        <v>22351</v>
      </c>
      <c r="F11371" s="34" t="n">
        <f aca="false">IFERROR(VLOOKUP($A11371,'319'!$B:$H,7,0),0)</f>
        <v>0</v>
      </c>
      <c r="G11371" s="34" t="n">
        <f aca="false">SUMIFS('12.326ana'!$C:$C,'12.326ana'!$M:$M,redes!A11371)</f>
        <v>0</v>
      </c>
    </row>
    <row r="11372" customFormat="false" ht="14.4" hidden="true" customHeight="false" outlineLevel="0" collapsed="false">
      <c r="A11372" s="34" t="n">
        <v>9458975000132</v>
      </c>
      <c r="B11372" s="34" t="s">
        <v>22352</v>
      </c>
      <c r="C11372" s="34" t="s">
        <v>192</v>
      </c>
      <c r="E11372" s="30" t="s">
        <v>22353</v>
      </c>
      <c r="F11372" s="34" t="n">
        <f aca="false">IFERROR(VLOOKUP($A11372,'319'!$B:$H,7,0),0)</f>
        <v>0</v>
      </c>
      <c r="G11372" s="34" t="n">
        <f aca="false">SUMIFS('12.326ana'!$C:$C,'12.326ana'!$M:$M,redes!A11372)</f>
        <v>0</v>
      </c>
    </row>
    <row r="11373" customFormat="false" ht="14.4" hidden="true" customHeight="false" outlineLevel="0" collapsed="false">
      <c r="A11373" s="34" t="n">
        <v>9462894000106</v>
      </c>
      <c r="B11373" s="34" t="s">
        <v>22354</v>
      </c>
      <c r="C11373" s="34" t="s">
        <v>197</v>
      </c>
      <c r="D11373" s="34" t="s">
        <v>9598</v>
      </c>
      <c r="E11373" s="30" t="s">
        <v>22355</v>
      </c>
      <c r="F11373" s="34" t="n">
        <f aca="false">IFERROR(VLOOKUP($A11373,'319'!$B:$H,7,0),0)</f>
        <v>0</v>
      </c>
      <c r="G11373" s="34" t="n">
        <f aca="false">SUMIFS('12.326ana'!$C:$C,'12.326ana'!$M:$M,redes!A11373)</f>
        <v>0</v>
      </c>
    </row>
    <row r="11374" customFormat="false" ht="14.4" hidden="true" customHeight="false" outlineLevel="0" collapsed="false">
      <c r="A11374" s="34" t="n">
        <v>9464996000160</v>
      </c>
      <c r="B11374" s="34" t="s">
        <v>22356</v>
      </c>
      <c r="C11374" s="34" t="s">
        <v>77</v>
      </c>
      <c r="E11374" s="30" t="s">
        <v>15506</v>
      </c>
      <c r="F11374" s="34" t="n">
        <f aca="false">IFERROR(VLOOKUP($A11374,'319'!$B:$H,7,0),0)</f>
        <v>0</v>
      </c>
      <c r="G11374" s="34" t="n">
        <f aca="false">SUMIFS('12.326ana'!$C:$C,'12.326ana'!$M:$M,redes!A11374)</f>
        <v>0</v>
      </c>
    </row>
    <row r="11375" customFormat="false" ht="14.4" hidden="true" customHeight="false" outlineLevel="0" collapsed="false">
      <c r="A11375" s="34" t="n">
        <v>9468393000137</v>
      </c>
      <c r="B11375" s="34" t="s">
        <v>22357</v>
      </c>
      <c r="C11375" s="34" t="s">
        <v>77</v>
      </c>
      <c r="E11375" s="30" t="s">
        <v>22358</v>
      </c>
      <c r="F11375" s="34" t="n">
        <f aca="false">IFERROR(VLOOKUP($A11375,'319'!$B:$H,7,0),0)</f>
        <v>0</v>
      </c>
      <c r="G11375" s="34" t="n">
        <f aca="false">SUMIFS('12.326ana'!$C:$C,'12.326ana'!$M:$M,redes!A11375)</f>
        <v>0</v>
      </c>
    </row>
    <row r="11376" customFormat="false" ht="14.4" hidden="true" customHeight="false" outlineLevel="0" collapsed="false">
      <c r="A11376" s="34" t="n">
        <v>9470357000108</v>
      </c>
      <c r="B11376" s="34" t="s">
        <v>22359</v>
      </c>
      <c r="C11376" s="34" t="s">
        <v>377</v>
      </c>
      <c r="E11376" s="30" t="s">
        <v>22360</v>
      </c>
      <c r="F11376" s="34" t="n">
        <f aca="false">IFERROR(VLOOKUP($A11376,'319'!$B:$H,7,0),0)</f>
        <v>0</v>
      </c>
      <c r="G11376" s="34" t="n">
        <f aca="false">SUMIFS('12.326ana'!$C:$C,'12.326ana'!$M:$M,redes!A11376)</f>
        <v>0</v>
      </c>
    </row>
    <row r="11377" customFormat="false" ht="14.4" hidden="true" customHeight="false" outlineLevel="0" collapsed="false">
      <c r="A11377" s="34" t="n">
        <v>9471177000140</v>
      </c>
      <c r="B11377" s="34" t="s">
        <v>22361</v>
      </c>
      <c r="C11377" s="34" t="s">
        <v>351</v>
      </c>
      <c r="E11377" s="30" t="s">
        <v>22362</v>
      </c>
      <c r="F11377" s="34" t="n">
        <f aca="false">IFERROR(VLOOKUP($A11377,'319'!$B:$H,7,0),0)</f>
        <v>0</v>
      </c>
      <c r="G11377" s="34" t="n">
        <f aca="false">SUMIFS('12.326ana'!$C:$C,'12.326ana'!$M:$M,redes!A11377)</f>
        <v>0</v>
      </c>
    </row>
    <row r="11378" customFormat="false" ht="14.4" hidden="true" customHeight="false" outlineLevel="0" collapsed="false">
      <c r="A11378" s="34" t="n">
        <v>9473933000170</v>
      </c>
      <c r="B11378" s="34" t="s">
        <v>476</v>
      </c>
      <c r="C11378" s="34" t="s">
        <v>478</v>
      </c>
      <c r="D11378" s="34" t="s">
        <v>35</v>
      </c>
      <c r="E11378" s="30" t="s">
        <v>2869</v>
      </c>
      <c r="F11378" s="34" t="n">
        <f aca="false">IFERROR(VLOOKUP($A11378,'319'!$B:$H,7,0),0)</f>
        <v>14316.13</v>
      </c>
      <c r="G11378" s="34" t="n">
        <f aca="false">SUMIFS('12.326ana'!$C:$C,'12.326ana'!$M:$M,redes!A11378)</f>
        <v>178.56</v>
      </c>
    </row>
    <row r="11379" customFormat="false" ht="14.4" hidden="true" customHeight="false" outlineLevel="0" collapsed="false">
      <c r="A11379" s="34" t="n">
        <v>9473933000251</v>
      </c>
      <c r="B11379" s="34" t="s">
        <v>476</v>
      </c>
      <c r="C11379" s="34" t="s">
        <v>478</v>
      </c>
      <c r="D11379" s="34" t="s">
        <v>35</v>
      </c>
      <c r="E11379" s="30" t="s">
        <v>2870</v>
      </c>
      <c r="F11379" s="34" t="n">
        <f aca="false">IFERROR(VLOOKUP($A11379,'319'!$B:$H,7,0),0)</f>
        <v>6462.39</v>
      </c>
      <c r="G11379" s="34" t="n">
        <f aca="false">SUMIFS('12.326ana'!$C:$C,'12.326ana'!$M:$M,redes!A11379)</f>
        <v>0</v>
      </c>
    </row>
    <row r="11380" customFormat="false" ht="14.4" hidden="true" customHeight="false" outlineLevel="0" collapsed="false">
      <c r="A11380" s="34" t="n">
        <v>9473933000332</v>
      </c>
      <c r="B11380" s="34" t="s">
        <v>476</v>
      </c>
      <c r="C11380" s="34" t="s">
        <v>565</v>
      </c>
      <c r="E11380" s="30" t="s">
        <v>22363</v>
      </c>
      <c r="F11380" s="34" t="n">
        <f aca="false">IFERROR(VLOOKUP($A11380,'319'!$B:$H,7,0),0)</f>
        <v>0</v>
      </c>
      <c r="G11380" s="34" t="n">
        <f aca="false">SUMIFS('12.326ana'!$C:$C,'12.326ana'!$M:$M,redes!A11380)</f>
        <v>0</v>
      </c>
    </row>
    <row r="11381" customFormat="false" ht="14.4" hidden="true" customHeight="false" outlineLevel="0" collapsed="false">
      <c r="A11381" s="34" t="n">
        <v>9473933000413</v>
      </c>
      <c r="B11381" s="34" t="s">
        <v>22364</v>
      </c>
      <c r="C11381" s="34" t="s">
        <v>842</v>
      </c>
      <c r="E11381" s="30" t="s">
        <v>22365</v>
      </c>
      <c r="F11381" s="34" t="n">
        <f aca="false">IFERROR(VLOOKUP($A11381,'319'!$B:$H,7,0),0)</f>
        <v>0</v>
      </c>
      <c r="G11381" s="34" t="n">
        <f aca="false">SUMIFS('12.326ana'!$C:$C,'12.326ana'!$M:$M,redes!A11381)</f>
        <v>0</v>
      </c>
    </row>
    <row r="11382" customFormat="false" ht="14.4" hidden="true" customHeight="false" outlineLevel="0" collapsed="false">
      <c r="A11382" s="34" t="n">
        <v>9473933000502</v>
      </c>
      <c r="B11382" s="34" t="s">
        <v>476</v>
      </c>
      <c r="C11382" s="34" t="s">
        <v>478</v>
      </c>
      <c r="D11382" s="34" t="s">
        <v>13219</v>
      </c>
      <c r="E11382" s="30" t="s">
        <v>2873</v>
      </c>
      <c r="F11382" s="34" t="n">
        <f aca="false">IFERROR(VLOOKUP($A11382,'319'!$B:$H,7,0),0)</f>
        <v>0</v>
      </c>
      <c r="G11382" s="34" t="n">
        <f aca="false">SUMIFS('12.326ana'!$C:$C,'12.326ana'!$M:$M,redes!A11382)</f>
        <v>0</v>
      </c>
    </row>
    <row r="11383" customFormat="false" ht="14.4" hidden="true" customHeight="false" outlineLevel="0" collapsed="false">
      <c r="A11383" s="34" t="n">
        <v>9473933000685</v>
      </c>
      <c r="B11383" s="34" t="s">
        <v>476</v>
      </c>
      <c r="C11383" s="34" t="s">
        <v>478</v>
      </c>
      <c r="D11383" s="34" t="s">
        <v>35</v>
      </c>
      <c r="E11383" s="30" t="s">
        <v>2871</v>
      </c>
      <c r="F11383" s="34" t="n">
        <f aca="false">IFERROR(VLOOKUP($A11383,'319'!$B:$H,7,0),0)</f>
        <v>2982.42</v>
      </c>
      <c r="G11383" s="34" t="n">
        <f aca="false">SUMIFS('12.326ana'!$C:$C,'12.326ana'!$M:$M,redes!A11383)</f>
        <v>0</v>
      </c>
    </row>
    <row r="11384" customFormat="false" ht="14.4" hidden="true" customHeight="false" outlineLevel="0" collapsed="false">
      <c r="A11384" s="34" t="n">
        <v>9473933000847</v>
      </c>
      <c r="B11384" s="34" t="s">
        <v>476</v>
      </c>
      <c r="C11384" s="34" t="s">
        <v>478</v>
      </c>
      <c r="D11384" s="34" t="s">
        <v>35</v>
      </c>
      <c r="E11384" s="30" t="s">
        <v>2872</v>
      </c>
      <c r="F11384" s="34" t="n">
        <f aca="false">IFERROR(VLOOKUP($A11384,'319'!$B:$H,7,0),0)</f>
        <v>3478.62</v>
      </c>
      <c r="G11384" s="34" t="n">
        <f aca="false">SUMIFS('12.326ana'!$C:$C,'12.326ana'!$M:$M,redes!A11384)</f>
        <v>0</v>
      </c>
    </row>
    <row r="11385" customFormat="false" ht="14.4" hidden="true" customHeight="false" outlineLevel="0" collapsed="false">
      <c r="A11385" s="34" t="n">
        <v>9473933000928</v>
      </c>
      <c r="B11385" s="34" t="s">
        <v>476</v>
      </c>
      <c r="C11385" s="34" t="s">
        <v>478</v>
      </c>
      <c r="D11385" s="34" t="s">
        <v>35</v>
      </c>
      <c r="E11385" s="30" t="s">
        <v>2873</v>
      </c>
      <c r="F11385" s="34" t="n">
        <f aca="false">IFERROR(VLOOKUP($A11385,'319'!$B:$H,7,0),0)</f>
        <v>37789.36</v>
      </c>
      <c r="G11385" s="34" t="n">
        <f aca="false">SUMIFS('12.326ana'!$C:$C,'12.326ana'!$M:$M,redes!A11385)</f>
        <v>178.56</v>
      </c>
    </row>
    <row r="11386" customFormat="false" ht="14.4" hidden="true" customHeight="false" outlineLevel="0" collapsed="false">
      <c r="A11386" s="34" t="n">
        <v>9475282000158</v>
      </c>
      <c r="B11386" s="34" t="s">
        <v>22366</v>
      </c>
      <c r="C11386" s="34" t="s">
        <v>464</v>
      </c>
      <c r="E11386" s="30" t="s">
        <v>11474</v>
      </c>
      <c r="F11386" s="34" t="n">
        <f aca="false">IFERROR(VLOOKUP($A11386,'319'!$B:$H,7,0),0)</f>
        <v>0</v>
      </c>
      <c r="G11386" s="34" t="n">
        <f aca="false">SUMIFS('12.326ana'!$C:$C,'12.326ana'!$M:$M,redes!A11386)</f>
        <v>0</v>
      </c>
    </row>
    <row r="11387" customFormat="false" ht="14.4" hidden="true" customHeight="false" outlineLevel="0" collapsed="false">
      <c r="A11387" s="34" t="n">
        <v>9477426000105</v>
      </c>
      <c r="B11387" s="34" t="s">
        <v>22367</v>
      </c>
      <c r="C11387" s="34" t="s">
        <v>604</v>
      </c>
      <c r="E11387" s="30" t="s">
        <v>22368</v>
      </c>
      <c r="F11387" s="34" t="n">
        <f aca="false">IFERROR(VLOOKUP($A11387,'319'!$B:$H,7,0),0)</f>
        <v>0</v>
      </c>
      <c r="G11387" s="34" t="n">
        <f aca="false">SUMIFS('12.326ana'!$C:$C,'12.326ana'!$M:$M,redes!A11387)</f>
        <v>0</v>
      </c>
    </row>
    <row r="11388" customFormat="false" ht="14.4" hidden="true" customHeight="false" outlineLevel="0" collapsed="false">
      <c r="A11388" s="34" t="n">
        <v>9477652000196</v>
      </c>
      <c r="B11388" s="34" t="s">
        <v>22369</v>
      </c>
      <c r="C11388" s="34" t="s">
        <v>77</v>
      </c>
      <c r="D11388" s="34" t="s">
        <v>17018</v>
      </c>
      <c r="E11388" s="30" t="s">
        <v>22370</v>
      </c>
      <c r="F11388" s="34" t="n">
        <f aca="false">IFERROR(VLOOKUP($A11388,'319'!$B:$H,7,0),0)</f>
        <v>0</v>
      </c>
      <c r="G11388" s="34" t="n">
        <f aca="false">SUMIFS('12.326ana'!$C:$C,'12.326ana'!$M:$M,redes!A11388)</f>
        <v>0</v>
      </c>
    </row>
    <row r="11389" customFormat="false" ht="14.4" hidden="true" customHeight="false" outlineLevel="0" collapsed="false">
      <c r="A11389" s="34" t="n">
        <v>9477652000510</v>
      </c>
      <c r="B11389" s="34" t="s">
        <v>22371</v>
      </c>
      <c r="C11389" s="34" t="s">
        <v>77</v>
      </c>
      <c r="D11389" s="34" t="s">
        <v>22372</v>
      </c>
      <c r="E11389" s="30" t="s">
        <v>22373</v>
      </c>
      <c r="F11389" s="34" t="n">
        <f aca="false">IFERROR(VLOOKUP($A11389,'319'!$B:$H,7,0),0)</f>
        <v>0</v>
      </c>
      <c r="G11389" s="34" t="n">
        <f aca="false">SUMIFS('12.326ana'!$C:$C,'12.326ana'!$M:$M,redes!A11389)</f>
        <v>0</v>
      </c>
    </row>
    <row r="11390" customFormat="false" ht="14.4" hidden="true" customHeight="false" outlineLevel="0" collapsed="false">
      <c r="A11390" s="34" t="n">
        <v>9477652000609</v>
      </c>
      <c r="B11390" s="34" t="s">
        <v>22374</v>
      </c>
      <c r="C11390" s="34" t="s">
        <v>77</v>
      </c>
      <c r="D11390" s="34" t="s">
        <v>22372</v>
      </c>
      <c r="E11390" s="30" t="s">
        <v>22375</v>
      </c>
      <c r="F11390" s="34" t="n">
        <f aca="false">IFERROR(VLOOKUP($A11390,'319'!$B:$H,7,0),0)</f>
        <v>0</v>
      </c>
      <c r="G11390" s="34" t="n">
        <f aca="false">SUMIFS('12.326ana'!$C:$C,'12.326ana'!$M:$M,redes!A11390)</f>
        <v>0</v>
      </c>
    </row>
    <row r="11391" customFormat="false" ht="14.4" hidden="true" customHeight="false" outlineLevel="0" collapsed="false">
      <c r="A11391" s="34" t="n">
        <v>9477652000781</v>
      </c>
      <c r="B11391" s="34" t="s">
        <v>22376</v>
      </c>
      <c r="C11391" s="34" t="s">
        <v>77</v>
      </c>
      <c r="D11391" s="34" t="s">
        <v>22372</v>
      </c>
      <c r="E11391" s="30" t="s">
        <v>22377</v>
      </c>
      <c r="F11391" s="34" t="n">
        <f aca="false">IFERROR(VLOOKUP($A11391,'319'!$B:$H,7,0),0)</f>
        <v>0</v>
      </c>
      <c r="G11391" s="34" t="n">
        <f aca="false">SUMIFS('12.326ana'!$C:$C,'12.326ana'!$M:$M,redes!A11391)</f>
        <v>0</v>
      </c>
    </row>
    <row r="11392" customFormat="false" ht="14.4" hidden="true" customHeight="false" outlineLevel="0" collapsed="false">
      <c r="A11392" s="34" t="n">
        <v>9477652000862</v>
      </c>
      <c r="B11392" s="34" t="s">
        <v>22378</v>
      </c>
      <c r="C11392" s="34" t="s">
        <v>77</v>
      </c>
      <c r="D11392" s="34" t="s">
        <v>17018</v>
      </c>
      <c r="E11392" s="30" t="s">
        <v>22370</v>
      </c>
      <c r="F11392" s="34" t="n">
        <f aca="false">IFERROR(VLOOKUP($A11392,'319'!$B:$H,7,0),0)</f>
        <v>0</v>
      </c>
      <c r="G11392" s="34" t="n">
        <f aca="false">SUMIFS('12.326ana'!$C:$C,'12.326ana'!$M:$M,redes!A11392)</f>
        <v>0</v>
      </c>
    </row>
    <row r="11393" customFormat="false" ht="14.4" hidden="true" customHeight="false" outlineLevel="0" collapsed="false">
      <c r="A11393" s="34" t="n">
        <v>9477652001168</v>
      </c>
      <c r="B11393" s="34" t="s">
        <v>22379</v>
      </c>
      <c r="C11393" s="34" t="s">
        <v>77</v>
      </c>
      <c r="D11393" s="34" t="s">
        <v>22372</v>
      </c>
      <c r="E11393" s="30" t="s">
        <v>22380</v>
      </c>
      <c r="F11393" s="34" t="n">
        <f aca="false">IFERROR(VLOOKUP($A11393,'319'!$B:$H,7,0),0)</f>
        <v>0</v>
      </c>
      <c r="G11393" s="34" t="n">
        <f aca="false">SUMIFS('12.326ana'!$C:$C,'12.326ana'!$M:$M,redes!A11393)</f>
        <v>0</v>
      </c>
    </row>
    <row r="11394" customFormat="false" ht="14.4" hidden="true" customHeight="false" outlineLevel="0" collapsed="false">
      <c r="A11394" s="34" t="n">
        <v>9477652001249</v>
      </c>
      <c r="B11394" s="34" t="s">
        <v>22381</v>
      </c>
      <c r="C11394" s="34" t="s">
        <v>77</v>
      </c>
      <c r="D11394" s="34" t="s">
        <v>17018</v>
      </c>
      <c r="E11394" s="30" t="s">
        <v>22382</v>
      </c>
      <c r="F11394" s="34" t="n">
        <f aca="false">IFERROR(VLOOKUP($A11394,'319'!$B:$H,7,0),0)</f>
        <v>0</v>
      </c>
      <c r="G11394" s="34" t="n">
        <f aca="false">SUMIFS('12.326ana'!$C:$C,'12.326ana'!$M:$M,redes!A11394)</f>
        <v>0</v>
      </c>
    </row>
    <row r="11395" customFormat="false" ht="14.4" hidden="true" customHeight="false" outlineLevel="0" collapsed="false">
      <c r="A11395" s="34" t="n">
        <v>9477652001320</v>
      </c>
      <c r="B11395" s="34" t="s">
        <v>22383</v>
      </c>
      <c r="C11395" s="34" t="s">
        <v>77</v>
      </c>
      <c r="D11395" s="34" t="s">
        <v>17018</v>
      </c>
      <c r="E11395" s="30" t="s">
        <v>22384</v>
      </c>
      <c r="F11395" s="34" t="n">
        <f aca="false">IFERROR(VLOOKUP($A11395,'319'!$B:$H,7,0),0)</f>
        <v>0</v>
      </c>
      <c r="G11395" s="34" t="n">
        <f aca="false">SUMIFS('12.326ana'!$C:$C,'12.326ana'!$M:$M,redes!A11395)</f>
        <v>0</v>
      </c>
    </row>
    <row r="11396" customFormat="false" ht="14.4" hidden="true" customHeight="false" outlineLevel="0" collapsed="false">
      <c r="A11396" s="34" t="n">
        <v>9477652001591</v>
      </c>
      <c r="B11396" s="34" t="s">
        <v>22385</v>
      </c>
      <c r="C11396" s="34" t="s">
        <v>77</v>
      </c>
      <c r="D11396" s="34" t="s">
        <v>17018</v>
      </c>
      <c r="E11396" s="30" t="s">
        <v>22386</v>
      </c>
      <c r="F11396" s="34" t="n">
        <f aca="false">IFERROR(VLOOKUP($A11396,'319'!$B:$H,7,0),0)</f>
        <v>0</v>
      </c>
      <c r="G11396" s="34" t="n">
        <f aca="false">SUMIFS('12.326ana'!$C:$C,'12.326ana'!$M:$M,redes!A11396)</f>
        <v>0</v>
      </c>
    </row>
    <row r="11397" customFormat="false" ht="14.4" hidden="true" customHeight="false" outlineLevel="0" collapsed="false">
      <c r="A11397" s="34" t="n">
        <v>9477652001915</v>
      </c>
      <c r="B11397" s="34" t="s">
        <v>22387</v>
      </c>
      <c r="C11397" s="34" t="s">
        <v>77</v>
      </c>
      <c r="D11397" s="34" t="s">
        <v>17018</v>
      </c>
      <c r="E11397" s="30" t="s">
        <v>22388</v>
      </c>
      <c r="F11397" s="34" t="n">
        <f aca="false">IFERROR(VLOOKUP($A11397,'319'!$B:$H,7,0),0)</f>
        <v>0</v>
      </c>
      <c r="G11397" s="34" t="n">
        <f aca="false">SUMIFS('12.326ana'!$C:$C,'12.326ana'!$M:$M,redes!A11397)</f>
        <v>0</v>
      </c>
    </row>
    <row r="11398" customFormat="false" ht="14.4" hidden="true" customHeight="false" outlineLevel="0" collapsed="false">
      <c r="A11398" s="34" t="n">
        <v>9477652002059</v>
      </c>
      <c r="B11398" s="34" t="s">
        <v>22389</v>
      </c>
      <c r="C11398" s="34" t="s">
        <v>77</v>
      </c>
      <c r="D11398" s="34" t="s">
        <v>17018</v>
      </c>
      <c r="E11398" s="30" t="s">
        <v>22390</v>
      </c>
      <c r="F11398" s="34" t="n">
        <f aca="false">IFERROR(VLOOKUP($A11398,'319'!$B:$H,7,0),0)</f>
        <v>0</v>
      </c>
      <c r="G11398" s="34" t="n">
        <f aca="false">SUMIFS('12.326ana'!$C:$C,'12.326ana'!$M:$M,redes!A11398)</f>
        <v>0</v>
      </c>
    </row>
    <row r="11399" customFormat="false" ht="14.4" hidden="true" customHeight="false" outlineLevel="0" collapsed="false">
      <c r="A11399" s="34" t="n">
        <v>9477652002563</v>
      </c>
      <c r="B11399" s="34" t="s">
        <v>22391</v>
      </c>
      <c r="C11399" s="34" t="s">
        <v>77</v>
      </c>
      <c r="D11399" s="34" t="s">
        <v>22372</v>
      </c>
      <c r="E11399" s="30" t="s">
        <v>22392</v>
      </c>
      <c r="F11399" s="34" t="n">
        <f aca="false">IFERROR(VLOOKUP($A11399,'319'!$B:$H,7,0),0)</f>
        <v>0</v>
      </c>
      <c r="G11399" s="34" t="n">
        <f aca="false">SUMIFS('12.326ana'!$C:$C,'12.326ana'!$M:$M,redes!A11399)</f>
        <v>0</v>
      </c>
    </row>
    <row r="11400" customFormat="false" ht="14.4" hidden="true" customHeight="false" outlineLevel="0" collapsed="false">
      <c r="A11400" s="34" t="n">
        <v>9477652004183</v>
      </c>
      <c r="B11400" s="34" t="s">
        <v>22393</v>
      </c>
      <c r="C11400" s="34" t="s">
        <v>77</v>
      </c>
      <c r="D11400" s="34" t="s">
        <v>22372</v>
      </c>
      <c r="E11400" s="30" t="s">
        <v>22394</v>
      </c>
      <c r="F11400" s="34" t="n">
        <f aca="false">IFERROR(VLOOKUP($A11400,'319'!$B:$H,7,0),0)</f>
        <v>0</v>
      </c>
      <c r="G11400" s="34" t="n">
        <f aca="false">SUMIFS('12.326ana'!$C:$C,'12.326ana'!$M:$M,redes!A11400)</f>
        <v>0</v>
      </c>
    </row>
    <row r="11401" customFormat="false" ht="14.4" hidden="true" customHeight="false" outlineLevel="0" collapsed="false">
      <c r="A11401" s="34" t="n">
        <v>9477652004264</v>
      </c>
      <c r="B11401" s="34" t="s">
        <v>22395</v>
      </c>
      <c r="C11401" s="34" t="s">
        <v>77</v>
      </c>
      <c r="D11401" s="34" t="s">
        <v>22372</v>
      </c>
      <c r="E11401" s="30" t="s">
        <v>22396</v>
      </c>
      <c r="F11401" s="34" t="n">
        <f aca="false">IFERROR(VLOOKUP($A11401,'319'!$B:$H,7,0),0)</f>
        <v>0</v>
      </c>
      <c r="G11401" s="34" t="n">
        <f aca="false">SUMIFS('12.326ana'!$C:$C,'12.326ana'!$M:$M,redes!A11401)</f>
        <v>0</v>
      </c>
    </row>
    <row r="11402" customFormat="false" ht="14.4" hidden="true" customHeight="false" outlineLevel="0" collapsed="false">
      <c r="A11402" s="34" t="n">
        <v>9477652005589</v>
      </c>
      <c r="B11402" s="34" t="s">
        <v>22397</v>
      </c>
      <c r="C11402" s="34" t="s">
        <v>77</v>
      </c>
      <c r="D11402" s="34" t="s">
        <v>17018</v>
      </c>
      <c r="E11402" s="30" t="s">
        <v>22398</v>
      </c>
      <c r="F11402" s="34" t="n">
        <f aca="false">IFERROR(VLOOKUP($A11402,'319'!$B:$H,7,0),0)</f>
        <v>0</v>
      </c>
      <c r="G11402" s="34" t="n">
        <f aca="false">SUMIFS('12.326ana'!$C:$C,'12.326ana'!$M:$M,redes!A11402)</f>
        <v>0</v>
      </c>
    </row>
    <row r="11403" customFormat="false" ht="14.4" hidden="true" customHeight="false" outlineLevel="0" collapsed="false">
      <c r="A11403" s="34" t="n">
        <v>9477652005902</v>
      </c>
      <c r="B11403" s="34" t="s">
        <v>22399</v>
      </c>
      <c r="C11403" s="34" t="s">
        <v>77</v>
      </c>
      <c r="D11403" s="34" t="s">
        <v>17018</v>
      </c>
      <c r="E11403" s="30" t="s">
        <v>22400</v>
      </c>
      <c r="F11403" s="34" t="n">
        <f aca="false">IFERROR(VLOOKUP($A11403,'319'!$B:$H,7,0),0)</f>
        <v>0</v>
      </c>
      <c r="G11403" s="34" t="n">
        <f aca="false">SUMIFS('12.326ana'!$C:$C,'12.326ana'!$M:$M,redes!A11403)</f>
        <v>0</v>
      </c>
    </row>
    <row r="11404" customFormat="false" ht="14.4" hidden="true" customHeight="false" outlineLevel="0" collapsed="false">
      <c r="A11404" s="34" t="n">
        <v>9477652006127</v>
      </c>
      <c r="B11404" s="34" t="s">
        <v>22401</v>
      </c>
      <c r="C11404" s="34" t="s">
        <v>77</v>
      </c>
      <c r="D11404" s="34" t="s">
        <v>17018</v>
      </c>
      <c r="E11404" s="30" t="s">
        <v>22402</v>
      </c>
      <c r="F11404" s="34" t="n">
        <f aca="false">IFERROR(VLOOKUP($A11404,'319'!$B:$H,7,0),0)</f>
        <v>0</v>
      </c>
      <c r="G11404" s="34" t="n">
        <f aca="false">SUMIFS('12.326ana'!$C:$C,'12.326ana'!$M:$M,redes!A11404)</f>
        <v>0</v>
      </c>
    </row>
    <row r="11405" customFormat="false" ht="14.4" hidden="true" customHeight="false" outlineLevel="0" collapsed="false">
      <c r="A11405" s="34" t="n">
        <v>9477652006399</v>
      </c>
      <c r="B11405" s="34" t="s">
        <v>22403</v>
      </c>
      <c r="C11405" s="34" t="s">
        <v>77</v>
      </c>
      <c r="D11405" s="34" t="s">
        <v>17018</v>
      </c>
      <c r="E11405" s="30" t="s">
        <v>22404</v>
      </c>
      <c r="F11405" s="34" t="n">
        <f aca="false">IFERROR(VLOOKUP($A11405,'319'!$B:$H,7,0),0)</f>
        <v>0</v>
      </c>
      <c r="G11405" s="34" t="n">
        <f aca="false">SUMIFS('12.326ana'!$C:$C,'12.326ana'!$M:$M,redes!A11405)</f>
        <v>0</v>
      </c>
    </row>
    <row r="11406" customFormat="false" ht="14.4" hidden="true" customHeight="false" outlineLevel="0" collapsed="false">
      <c r="A11406" s="34" t="n">
        <v>9477652010906</v>
      </c>
      <c r="B11406" s="34" t="s">
        <v>22405</v>
      </c>
      <c r="C11406" s="34" t="s">
        <v>77</v>
      </c>
      <c r="D11406" s="34" t="s">
        <v>22372</v>
      </c>
      <c r="E11406" s="30" t="s">
        <v>22406</v>
      </c>
      <c r="F11406" s="34" t="n">
        <f aca="false">IFERROR(VLOOKUP($A11406,'319'!$B:$H,7,0),0)</f>
        <v>0</v>
      </c>
      <c r="G11406" s="34" t="n">
        <f aca="false">SUMIFS('12.326ana'!$C:$C,'12.326ana'!$M:$M,redes!A11406)</f>
        <v>0</v>
      </c>
    </row>
    <row r="11407" customFormat="false" ht="14.4" hidden="true" customHeight="false" outlineLevel="0" collapsed="false">
      <c r="A11407" s="34" t="n">
        <v>9477652011120</v>
      </c>
      <c r="B11407" s="34" t="s">
        <v>22407</v>
      </c>
      <c r="C11407" s="34" t="s">
        <v>77</v>
      </c>
      <c r="D11407" s="34" t="s">
        <v>17018</v>
      </c>
      <c r="E11407" s="30" t="s">
        <v>22408</v>
      </c>
      <c r="F11407" s="34" t="n">
        <f aca="false">IFERROR(VLOOKUP($A11407,'319'!$B:$H,7,0),0)</f>
        <v>0</v>
      </c>
      <c r="G11407" s="34" t="n">
        <f aca="false">SUMIFS('12.326ana'!$C:$C,'12.326ana'!$M:$M,redes!A11407)</f>
        <v>0</v>
      </c>
    </row>
    <row r="11408" customFormat="false" ht="14.4" hidden="true" customHeight="false" outlineLevel="0" collapsed="false">
      <c r="A11408" s="34" t="n">
        <v>9477652011473</v>
      </c>
      <c r="B11408" s="34" t="s">
        <v>22409</v>
      </c>
      <c r="C11408" s="34" t="s">
        <v>77</v>
      </c>
      <c r="D11408" s="34" t="s">
        <v>17018</v>
      </c>
      <c r="E11408" s="30" t="s">
        <v>22410</v>
      </c>
      <c r="F11408" s="34" t="n">
        <f aca="false">IFERROR(VLOOKUP($A11408,'319'!$B:$H,7,0),0)</f>
        <v>0</v>
      </c>
      <c r="G11408" s="34" t="n">
        <f aca="false">SUMIFS('12.326ana'!$C:$C,'12.326ana'!$M:$M,redes!A11408)</f>
        <v>0</v>
      </c>
    </row>
    <row r="11409" customFormat="false" ht="14.4" hidden="true" customHeight="false" outlineLevel="0" collapsed="false">
      <c r="A11409" s="34" t="n">
        <v>9477652011988</v>
      </c>
      <c r="B11409" s="34" t="s">
        <v>22411</v>
      </c>
      <c r="C11409" s="34" t="s">
        <v>77</v>
      </c>
      <c r="D11409" s="34" t="s">
        <v>17018</v>
      </c>
      <c r="E11409" s="30" t="s">
        <v>22412</v>
      </c>
      <c r="F11409" s="34" t="n">
        <f aca="false">IFERROR(VLOOKUP($A11409,'319'!$B:$H,7,0),0)</f>
        <v>0</v>
      </c>
      <c r="G11409" s="34" t="n">
        <f aca="false">SUMIFS('12.326ana'!$C:$C,'12.326ana'!$M:$M,redes!A11409)</f>
        <v>0</v>
      </c>
    </row>
    <row r="11410" customFormat="false" ht="14.4" hidden="true" customHeight="false" outlineLevel="0" collapsed="false">
      <c r="A11410" s="34" t="n">
        <v>9477652013093</v>
      </c>
      <c r="B11410" s="34" t="s">
        <v>22413</v>
      </c>
      <c r="C11410" s="34" t="s">
        <v>77</v>
      </c>
      <c r="D11410" s="34" t="s">
        <v>22372</v>
      </c>
      <c r="E11410" s="30" t="s">
        <v>22414</v>
      </c>
      <c r="F11410" s="34" t="n">
        <f aca="false">IFERROR(VLOOKUP($A11410,'319'!$B:$H,7,0),0)</f>
        <v>0</v>
      </c>
      <c r="G11410" s="34" t="n">
        <f aca="false">SUMIFS('12.326ana'!$C:$C,'12.326ana'!$M:$M,redes!A11410)</f>
        <v>0</v>
      </c>
    </row>
    <row r="11411" customFormat="false" ht="14.4" hidden="true" customHeight="false" outlineLevel="0" collapsed="false">
      <c r="A11411" s="35" t="n">
        <v>9477652013174</v>
      </c>
      <c r="B11411" s="34" t="s">
        <v>22415</v>
      </c>
      <c r="C11411" s="34" t="s">
        <v>77</v>
      </c>
      <c r="D11411" s="34" t="s">
        <v>22372</v>
      </c>
      <c r="E11411" s="30" t="s">
        <v>22416</v>
      </c>
      <c r="F11411" s="34" t="n">
        <f aca="false">IFERROR(VLOOKUP($A11411,'319'!$B:$H,7,0),0)</f>
        <v>0</v>
      </c>
      <c r="G11411" s="34" t="n">
        <f aca="false">SUMIFS('12.326ana'!$C:$C,'12.326ana'!$M:$M,redes!A11411)</f>
        <v>0</v>
      </c>
    </row>
    <row r="11412" customFormat="false" ht="14.4" hidden="true" customHeight="false" outlineLevel="0" collapsed="false">
      <c r="A11412" s="35" t="n">
        <v>9477652014570</v>
      </c>
      <c r="B11412" s="34" t="s">
        <v>22417</v>
      </c>
      <c r="C11412" s="34" t="s">
        <v>107</v>
      </c>
      <c r="D11412" s="34" t="s">
        <v>17018</v>
      </c>
      <c r="E11412" s="30" t="s">
        <v>22418</v>
      </c>
      <c r="F11412" s="34" t="n">
        <f aca="false">IFERROR(VLOOKUP($A11412,'319'!$B:$H,7,0),0)</f>
        <v>0</v>
      </c>
      <c r="G11412" s="34" t="n">
        <f aca="false">SUMIFS('12.326ana'!$C:$C,'12.326ana'!$M:$M,redes!A11412)</f>
        <v>0</v>
      </c>
    </row>
    <row r="11413" customFormat="false" ht="14.4" hidden="true" customHeight="false" outlineLevel="0" collapsed="false">
      <c r="A11413" s="35" t="n">
        <v>9477652014731</v>
      </c>
      <c r="B11413" s="34" t="s">
        <v>22419</v>
      </c>
      <c r="C11413" s="34" t="s">
        <v>77</v>
      </c>
      <c r="D11413" s="34" t="s">
        <v>22372</v>
      </c>
      <c r="E11413" s="30" t="s">
        <v>22420</v>
      </c>
      <c r="F11413" s="34" t="n">
        <f aca="false">IFERROR(VLOOKUP($A11413,'319'!$B:$H,7,0),0)</f>
        <v>0</v>
      </c>
      <c r="G11413" s="34" t="n">
        <f aca="false">SUMIFS('12.326ana'!$C:$C,'12.326ana'!$M:$M,redes!A11413)</f>
        <v>0</v>
      </c>
    </row>
    <row r="11414" customFormat="false" ht="14.4" hidden="true" customHeight="false" outlineLevel="0" collapsed="false">
      <c r="A11414" s="35" t="n">
        <v>9478085000192</v>
      </c>
      <c r="B11414" s="34" t="s">
        <v>22421</v>
      </c>
      <c r="C11414" s="34" t="s">
        <v>464</v>
      </c>
      <c r="E11414" s="30" t="s">
        <v>22421</v>
      </c>
      <c r="F11414" s="34" t="n">
        <f aca="false">IFERROR(VLOOKUP($A11414,'319'!$B:$H,7,0),0)</f>
        <v>0</v>
      </c>
      <c r="G11414" s="34" t="n">
        <f aca="false">SUMIFS('12.326ana'!$C:$C,'12.326ana'!$M:$M,redes!A11414)</f>
        <v>0</v>
      </c>
    </row>
    <row r="11415" customFormat="false" ht="14.4" hidden="true" customHeight="false" outlineLevel="0" collapsed="false">
      <c r="A11415" s="35" t="n">
        <v>9478525000292</v>
      </c>
      <c r="B11415" s="34" t="s">
        <v>22422</v>
      </c>
      <c r="C11415" s="34" t="s">
        <v>475</v>
      </c>
      <c r="E11415" s="30" t="s">
        <v>22423</v>
      </c>
      <c r="F11415" s="34" t="n">
        <f aca="false">IFERROR(VLOOKUP($A11415,'319'!$B:$H,7,0),0)</f>
        <v>0</v>
      </c>
      <c r="G11415" s="34" t="n">
        <f aca="false">SUMIFS('12.326ana'!$C:$C,'12.326ana'!$M:$M,redes!A11415)</f>
        <v>0</v>
      </c>
    </row>
    <row r="11416" customFormat="false" ht="14.4" hidden="true" customHeight="false" outlineLevel="0" collapsed="false">
      <c r="A11416" s="35" t="n">
        <v>9480223000178</v>
      </c>
      <c r="B11416" s="34" t="s">
        <v>22424</v>
      </c>
      <c r="C11416" s="34" t="s">
        <v>77</v>
      </c>
      <c r="E11416" s="30" t="s">
        <v>22424</v>
      </c>
      <c r="F11416" s="34" t="n">
        <f aca="false">IFERROR(VLOOKUP($A11416,'319'!$B:$H,7,0),0)</f>
        <v>0</v>
      </c>
      <c r="G11416" s="34" t="n">
        <f aca="false">SUMIFS('12.326ana'!$C:$C,'12.326ana'!$M:$M,redes!A11416)</f>
        <v>0</v>
      </c>
    </row>
    <row r="11417" customFormat="false" ht="14.4" hidden="true" customHeight="false" outlineLevel="0" collapsed="false">
      <c r="A11417" s="35" t="n">
        <v>9480581000180</v>
      </c>
      <c r="B11417" s="34" t="s">
        <v>22425</v>
      </c>
      <c r="C11417" s="34" t="s">
        <v>296</v>
      </c>
      <c r="E11417" s="30" t="s">
        <v>22426</v>
      </c>
      <c r="F11417" s="34" t="n">
        <f aca="false">IFERROR(VLOOKUP($A11417,'319'!$B:$H,7,0),0)</f>
        <v>0</v>
      </c>
      <c r="G11417" s="34" t="n">
        <f aca="false">SUMIFS('12.326ana'!$C:$C,'12.326ana'!$M:$M,redes!A11417)</f>
        <v>0</v>
      </c>
    </row>
    <row r="11418" customFormat="false" ht="14.4" hidden="true" customHeight="false" outlineLevel="0" collapsed="false">
      <c r="A11418" s="35" t="n">
        <v>9484238000104</v>
      </c>
      <c r="B11418" s="34" t="s">
        <v>22427</v>
      </c>
      <c r="C11418" s="34" t="s">
        <v>309</v>
      </c>
      <c r="E11418" s="30" t="s">
        <v>22427</v>
      </c>
      <c r="F11418" s="34" t="n">
        <f aca="false">IFERROR(VLOOKUP($A11418,'319'!$B:$H,7,0),0)</f>
        <v>0</v>
      </c>
      <c r="G11418" s="34" t="n">
        <f aca="false">SUMIFS('12.326ana'!$C:$C,'12.326ana'!$M:$M,redes!A11418)</f>
        <v>0</v>
      </c>
    </row>
    <row r="11419" customFormat="false" ht="14.4" hidden="true" customHeight="false" outlineLevel="0" collapsed="false">
      <c r="A11419" s="35" t="n">
        <v>9484704000151</v>
      </c>
      <c r="B11419" s="34" t="s">
        <v>22428</v>
      </c>
      <c r="C11419" s="34" t="s">
        <v>357</v>
      </c>
      <c r="E11419" s="30" t="s">
        <v>22429</v>
      </c>
      <c r="F11419" s="34" t="n">
        <f aca="false">IFERROR(VLOOKUP($A11419,'319'!$B:$H,7,0),0)</f>
        <v>0</v>
      </c>
      <c r="G11419" s="34" t="n">
        <f aca="false">SUMIFS('12.326ana'!$C:$C,'12.326ana'!$M:$M,redes!A11419)</f>
        <v>0</v>
      </c>
    </row>
    <row r="11420" customFormat="false" ht="14.4" hidden="true" customHeight="false" outlineLevel="0" collapsed="false">
      <c r="A11420" s="35" t="n">
        <v>9487044000162</v>
      </c>
      <c r="B11420" s="34" t="s">
        <v>22430</v>
      </c>
      <c r="C11420" s="34" t="s">
        <v>77</v>
      </c>
      <c r="E11420" s="30" t="s">
        <v>22431</v>
      </c>
      <c r="F11420" s="34" t="n">
        <f aca="false">IFERROR(VLOOKUP($A11420,'319'!$B:$H,7,0),0)</f>
        <v>0</v>
      </c>
      <c r="G11420" s="34" t="n">
        <f aca="false">SUMIFS('12.326ana'!$C:$C,'12.326ana'!$M:$M,redes!A11420)</f>
        <v>0</v>
      </c>
    </row>
    <row r="11421" customFormat="false" ht="14.4" hidden="true" customHeight="false" outlineLevel="0" collapsed="false">
      <c r="A11421" s="35" t="n">
        <v>9487763000183</v>
      </c>
      <c r="B11421" s="34" t="s">
        <v>22432</v>
      </c>
      <c r="C11421" s="34" t="s">
        <v>7250</v>
      </c>
      <c r="E11421" s="30" t="s">
        <v>4373</v>
      </c>
      <c r="F11421" s="34" t="n">
        <f aca="false">IFERROR(VLOOKUP($A11421,'319'!$B:$H,7,0),0)</f>
        <v>0</v>
      </c>
      <c r="G11421" s="34" t="n">
        <f aca="false">SUMIFS('12.326ana'!$C:$C,'12.326ana'!$M:$M,redes!A11421)</f>
        <v>0</v>
      </c>
    </row>
    <row r="11422" customFormat="false" ht="14.4" hidden="true" customHeight="false" outlineLevel="0" collapsed="false">
      <c r="A11422" s="35" t="n">
        <v>9487787000132</v>
      </c>
      <c r="B11422" s="34" t="s">
        <v>22433</v>
      </c>
      <c r="C11422" s="34" t="s">
        <v>7250</v>
      </c>
      <c r="E11422" s="30" t="s">
        <v>17658</v>
      </c>
      <c r="F11422" s="34" t="n">
        <f aca="false">IFERROR(VLOOKUP($A11422,'319'!$B:$H,7,0),0)</f>
        <v>0</v>
      </c>
      <c r="G11422" s="34" t="n">
        <f aca="false">SUMIFS('12.326ana'!$C:$C,'12.326ana'!$M:$M,redes!A11422)</f>
        <v>0</v>
      </c>
    </row>
    <row r="11423" customFormat="false" ht="14.4" hidden="true" customHeight="false" outlineLevel="0" collapsed="false">
      <c r="A11423" s="35" t="n">
        <v>9490726000124</v>
      </c>
      <c r="B11423" s="34" t="s">
        <v>22434</v>
      </c>
      <c r="C11423" s="34" t="s">
        <v>737</v>
      </c>
      <c r="E11423" s="30" t="s">
        <v>15252</v>
      </c>
      <c r="F11423" s="34" t="n">
        <f aca="false">IFERROR(VLOOKUP($A11423,'319'!$B:$H,7,0),0)</f>
        <v>0</v>
      </c>
      <c r="G11423" s="34" t="n">
        <f aca="false">SUMIFS('12.326ana'!$C:$C,'12.326ana'!$M:$M,redes!A11423)</f>
        <v>0</v>
      </c>
    </row>
    <row r="11424" customFormat="false" ht="14.4" hidden="true" customHeight="false" outlineLevel="0" collapsed="false">
      <c r="A11424" s="35" t="n">
        <v>9490801000157</v>
      </c>
      <c r="B11424" s="34" t="s">
        <v>22435</v>
      </c>
      <c r="C11424" s="34" t="s">
        <v>77</v>
      </c>
      <c r="E11424" s="30" t="s">
        <v>22436</v>
      </c>
      <c r="F11424" s="34" t="n">
        <f aca="false">IFERROR(VLOOKUP($A11424,'319'!$B:$H,7,0),0)</f>
        <v>0</v>
      </c>
      <c r="G11424" s="34" t="n">
        <f aca="false">SUMIFS('12.326ana'!$C:$C,'12.326ana'!$M:$M,redes!A11424)</f>
        <v>0</v>
      </c>
    </row>
    <row r="11425" customFormat="false" ht="14.4" hidden="true" customHeight="false" outlineLevel="0" collapsed="false">
      <c r="A11425" s="34" t="n">
        <v>9491363000141</v>
      </c>
      <c r="B11425" s="34" t="s">
        <v>22437</v>
      </c>
      <c r="C11425" s="34" t="s">
        <v>77</v>
      </c>
      <c r="E11425" s="30" t="s">
        <v>12434</v>
      </c>
      <c r="F11425" s="34" t="n">
        <f aca="false">IFERROR(VLOOKUP($A11425,'319'!$B:$H,7,0),0)</f>
        <v>0</v>
      </c>
      <c r="G11425" s="34" t="n">
        <f aca="false">SUMIFS('12.326ana'!$C:$C,'12.326ana'!$M:$M,redes!A11425)</f>
        <v>0</v>
      </c>
    </row>
    <row r="11426" customFormat="false" ht="14.4" hidden="true" customHeight="false" outlineLevel="0" collapsed="false">
      <c r="A11426" s="34" t="n">
        <v>9494161000153</v>
      </c>
      <c r="B11426" s="34" t="s">
        <v>22438</v>
      </c>
      <c r="C11426" s="34" t="s">
        <v>77</v>
      </c>
      <c r="E11426" s="30" t="s">
        <v>21230</v>
      </c>
      <c r="F11426" s="34" t="n">
        <f aca="false">IFERROR(VLOOKUP($A11426,'319'!$B:$H,7,0),0)</f>
        <v>0</v>
      </c>
      <c r="G11426" s="34" t="n">
        <f aca="false">SUMIFS('12.326ana'!$C:$C,'12.326ana'!$M:$M,redes!A11426)</f>
        <v>0</v>
      </c>
    </row>
    <row r="11427" customFormat="false" ht="14.4" hidden="true" customHeight="false" outlineLevel="0" collapsed="false">
      <c r="A11427" s="34" t="n">
        <v>9494161000234</v>
      </c>
      <c r="B11427" s="34" t="s">
        <v>22439</v>
      </c>
      <c r="C11427" s="34" t="s">
        <v>77</v>
      </c>
      <c r="E11427" s="30" t="s">
        <v>21230</v>
      </c>
      <c r="F11427" s="34" t="n">
        <f aca="false">IFERROR(VLOOKUP($A11427,'319'!$B:$H,7,0),0)</f>
        <v>0</v>
      </c>
      <c r="G11427" s="34" t="n">
        <f aca="false">SUMIFS('12.326ana'!$C:$C,'12.326ana'!$M:$M,redes!A11427)</f>
        <v>0</v>
      </c>
    </row>
    <row r="11428" customFormat="false" ht="14.4" hidden="true" customHeight="false" outlineLevel="0" collapsed="false">
      <c r="A11428" s="34" t="n">
        <v>9494918000109</v>
      </c>
      <c r="B11428" s="34" t="s">
        <v>22440</v>
      </c>
      <c r="C11428" s="34" t="s">
        <v>463</v>
      </c>
      <c r="E11428" s="30" t="s">
        <v>19474</v>
      </c>
      <c r="F11428" s="34" t="n">
        <f aca="false">IFERROR(VLOOKUP($A11428,'319'!$B:$H,7,0),0)</f>
        <v>0</v>
      </c>
      <c r="G11428" s="34" t="n">
        <f aca="false">SUMIFS('12.326ana'!$C:$C,'12.326ana'!$M:$M,redes!A11428)</f>
        <v>0</v>
      </c>
    </row>
    <row r="11429" customFormat="false" ht="14.4" hidden="true" customHeight="false" outlineLevel="0" collapsed="false">
      <c r="A11429" s="34" t="n">
        <v>9497651000103</v>
      </c>
      <c r="B11429" s="34" t="s">
        <v>22441</v>
      </c>
      <c r="C11429" s="34" t="s">
        <v>77</v>
      </c>
      <c r="E11429" s="30" t="s">
        <v>22442</v>
      </c>
      <c r="F11429" s="34" t="n">
        <f aca="false">IFERROR(VLOOKUP($A11429,'319'!$B:$H,7,0),0)</f>
        <v>253.51</v>
      </c>
      <c r="G11429" s="34" t="n">
        <f aca="false">SUMIFS('12.326ana'!$C:$C,'12.326ana'!$M:$M,redes!A11429)</f>
        <v>0</v>
      </c>
    </row>
    <row r="11430" customFormat="false" ht="14.4" hidden="true" customHeight="false" outlineLevel="0" collapsed="false">
      <c r="A11430" s="34" t="n">
        <v>9508538000186</v>
      </c>
      <c r="B11430" s="34" t="s">
        <v>22443</v>
      </c>
      <c r="C11430" s="34" t="s">
        <v>7250</v>
      </c>
      <c r="E11430" s="30" t="s">
        <v>5510</v>
      </c>
      <c r="F11430" s="34" t="n">
        <f aca="false">IFERROR(VLOOKUP($A11430,'319'!$B:$H,7,0),0)</f>
        <v>0</v>
      </c>
      <c r="G11430" s="34" t="n">
        <f aca="false">SUMIFS('12.326ana'!$C:$C,'12.326ana'!$M:$M,redes!A11430)</f>
        <v>0</v>
      </c>
    </row>
    <row r="11431" customFormat="false" ht="14.4" hidden="true" customHeight="false" outlineLevel="0" collapsed="false">
      <c r="A11431" s="34" t="n">
        <v>9509567000162</v>
      </c>
      <c r="B11431" s="34" t="s">
        <v>22444</v>
      </c>
      <c r="C11431" s="34" t="s">
        <v>296</v>
      </c>
      <c r="E11431" s="30" t="s">
        <v>22445</v>
      </c>
      <c r="F11431" s="34" t="n">
        <f aca="false">IFERROR(VLOOKUP($A11431,'319'!$B:$H,7,0),0)</f>
        <v>0</v>
      </c>
      <c r="G11431" s="34" t="n">
        <f aca="false">SUMIFS('12.326ana'!$C:$C,'12.326ana'!$M:$M,redes!A11431)</f>
        <v>0</v>
      </c>
    </row>
    <row r="11432" customFormat="false" ht="14.4" hidden="true" customHeight="false" outlineLevel="0" collapsed="false">
      <c r="A11432" s="34" t="n">
        <v>9511880000135</v>
      </c>
      <c r="B11432" s="34" t="s">
        <v>22446</v>
      </c>
      <c r="C11432" s="34" t="s">
        <v>77</v>
      </c>
      <c r="E11432" s="30" t="s">
        <v>22447</v>
      </c>
      <c r="F11432" s="34" t="n">
        <f aca="false">IFERROR(VLOOKUP($A11432,'319'!$B:$H,7,0),0)</f>
        <v>0</v>
      </c>
      <c r="G11432" s="34" t="n">
        <f aca="false">SUMIFS('12.326ana'!$C:$C,'12.326ana'!$M:$M,redes!A11432)</f>
        <v>0</v>
      </c>
    </row>
    <row r="11433" customFormat="false" ht="14.4" hidden="true" customHeight="false" outlineLevel="0" collapsed="false">
      <c r="A11433" s="34" t="n">
        <v>9513022000120</v>
      </c>
      <c r="B11433" s="34" t="s">
        <v>22448</v>
      </c>
      <c r="C11433" s="34" t="s">
        <v>192</v>
      </c>
      <c r="E11433" s="30" t="s">
        <v>5206</v>
      </c>
      <c r="F11433" s="34" t="n">
        <f aca="false">IFERROR(VLOOKUP($A11433,'319'!$B:$H,7,0),0)</f>
        <v>0</v>
      </c>
      <c r="G11433" s="34" t="n">
        <f aca="false">SUMIFS('12.326ana'!$C:$C,'12.326ana'!$M:$M,redes!A11433)</f>
        <v>0</v>
      </c>
    </row>
    <row r="11434" customFormat="false" ht="14.4" hidden="true" customHeight="false" outlineLevel="0" collapsed="false">
      <c r="A11434" s="34" t="n">
        <v>9513249000175</v>
      </c>
      <c r="B11434" s="34" t="s">
        <v>22449</v>
      </c>
      <c r="C11434" s="34" t="s">
        <v>2998</v>
      </c>
      <c r="E11434" s="30" t="s">
        <v>2999</v>
      </c>
      <c r="F11434" s="34" t="n">
        <f aca="false">IFERROR(VLOOKUP($A11434,'319'!$B:$H,7,0),0)</f>
        <v>0</v>
      </c>
      <c r="G11434" s="34" t="n">
        <f aca="false">SUMIFS('12.326ana'!$C:$C,'12.326ana'!$M:$M,redes!A11434)</f>
        <v>0</v>
      </c>
    </row>
    <row r="11435" customFormat="false" ht="14.4" hidden="true" customHeight="false" outlineLevel="0" collapsed="false">
      <c r="A11435" s="34" t="n">
        <v>9513264000113</v>
      </c>
      <c r="B11435" s="34" t="s">
        <v>22450</v>
      </c>
      <c r="C11435" s="34" t="s">
        <v>77</v>
      </c>
      <c r="E11435" s="30" t="s">
        <v>22451</v>
      </c>
      <c r="F11435" s="34" t="n">
        <f aca="false">IFERROR(VLOOKUP($A11435,'319'!$B:$H,7,0),0)</f>
        <v>0</v>
      </c>
      <c r="G11435" s="34" t="n">
        <f aca="false">SUMIFS('12.326ana'!$C:$C,'12.326ana'!$M:$M,redes!A11435)</f>
        <v>0</v>
      </c>
    </row>
    <row r="11436" customFormat="false" ht="14.4" hidden="true" customHeight="false" outlineLevel="0" collapsed="false">
      <c r="A11436" s="34" t="n">
        <v>9516632000187</v>
      </c>
      <c r="B11436" s="34" t="s">
        <v>22452</v>
      </c>
      <c r="C11436" s="34" t="s">
        <v>129</v>
      </c>
      <c r="E11436" s="30" t="s">
        <v>22453</v>
      </c>
      <c r="F11436" s="34" t="n">
        <f aca="false">IFERROR(VLOOKUP($A11436,'319'!$B:$H,7,0),0)</f>
        <v>0</v>
      </c>
      <c r="G11436" s="34" t="n">
        <f aca="false">SUMIFS('12.326ana'!$C:$C,'12.326ana'!$M:$M,redes!A11436)</f>
        <v>0</v>
      </c>
    </row>
    <row r="11437" customFormat="false" ht="14.4" hidden="true" customHeight="false" outlineLevel="0" collapsed="false">
      <c r="A11437" s="34" t="n">
        <v>9520930000140</v>
      </c>
      <c r="B11437" s="34" t="s">
        <v>22454</v>
      </c>
      <c r="C11437" s="34" t="s">
        <v>103</v>
      </c>
      <c r="E11437" s="30" t="s">
        <v>15740</v>
      </c>
      <c r="F11437" s="34" t="n">
        <f aca="false">IFERROR(VLOOKUP($A11437,'319'!$B:$H,7,0),0)</f>
        <v>0</v>
      </c>
      <c r="G11437" s="34" t="n">
        <f aca="false">SUMIFS('12.326ana'!$C:$C,'12.326ana'!$M:$M,redes!A11437)</f>
        <v>0</v>
      </c>
    </row>
    <row r="11438" customFormat="false" ht="14.4" hidden="true" customHeight="false" outlineLevel="0" collapsed="false">
      <c r="A11438" s="34" t="n">
        <v>9525632000143</v>
      </c>
      <c r="B11438" s="34" t="s">
        <v>22455</v>
      </c>
      <c r="C11438" s="34" t="s">
        <v>213</v>
      </c>
      <c r="E11438" s="30" t="s">
        <v>22456</v>
      </c>
      <c r="F11438" s="34" t="n">
        <f aca="false">IFERROR(VLOOKUP($A11438,'319'!$B:$H,7,0),0)</f>
        <v>0</v>
      </c>
      <c r="G11438" s="34" t="n">
        <f aca="false">SUMIFS('12.326ana'!$C:$C,'12.326ana'!$M:$M,redes!A11438)</f>
        <v>0</v>
      </c>
    </row>
    <row r="11439" customFormat="false" ht="14.4" hidden="true" customHeight="false" outlineLevel="0" collapsed="false">
      <c r="A11439" s="34" t="n">
        <v>9527650000164</v>
      </c>
      <c r="B11439" s="34" t="s">
        <v>22457</v>
      </c>
      <c r="C11439" s="34" t="s">
        <v>706</v>
      </c>
      <c r="E11439" s="30" t="s">
        <v>22458</v>
      </c>
      <c r="F11439" s="34" t="n">
        <f aca="false">IFERROR(VLOOKUP($A11439,'319'!$B:$H,7,0),0)</f>
        <v>0</v>
      </c>
      <c r="G11439" s="34" t="n">
        <f aca="false">SUMIFS('12.326ana'!$C:$C,'12.326ana'!$M:$M,redes!A11439)</f>
        <v>0</v>
      </c>
    </row>
    <row r="11440" customFormat="false" ht="14.4" hidden="true" customHeight="false" outlineLevel="0" collapsed="false">
      <c r="A11440" s="34" t="n">
        <v>9528360000135</v>
      </c>
      <c r="B11440" s="34" t="s">
        <v>22459</v>
      </c>
      <c r="C11440" s="34" t="s">
        <v>77</v>
      </c>
      <c r="E11440" s="30" t="s">
        <v>22460</v>
      </c>
      <c r="F11440" s="34" t="n">
        <f aca="false">IFERROR(VLOOKUP($A11440,'319'!$B:$H,7,0),0)</f>
        <v>0</v>
      </c>
      <c r="G11440" s="34" t="n">
        <f aca="false">SUMIFS('12.326ana'!$C:$C,'12.326ana'!$M:$M,redes!A11440)</f>
        <v>0</v>
      </c>
    </row>
    <row r="11441" customFormat="false" ht="14.4" hidden="true" customHeight="false" outlineLevel="0" collapsed="false">
      <c r="A11441" s="34" t="n">
        <v>9528549000128</v>
      </c>
      <c r="B11441" s="34" t="s">
        <v>9482</v>
      </c>
      <c r="C11441" s="34" t="s">
        <v>77</v>
      </c>
      <c r="E11441" s="30" t="s">
        <v>22461</v>
      </c>
      <c r="F11441" s="34" t="n">
        <f aca="false">IFERROR(VLOOKUP($A11441,'319'!$B:$H,7,0),0)</f>
        <v>0</v>
      </c>
      <c r="G11441" s="34" t="n">
        <f aca="false">SUMIFS('12.326ana'!$C:$C,'12.326ana'!$M:$M,redes!A11441)</f>
        <v>0</v>
      </c>
    </row>
    <row r="11442" customFormat="false" ht="14.4" hidden="true" customHeight="false" outlineLevel="0" collapsed="false">
      <c r="A11442" s="34" t="n">
        <v>9528743000103</v>
      </c>
      <c r="B11442" s="34" t="s">
        <v>22462</v>
      </c>
      <c r="C11442" s="34" t="s">
        <v>192</v>
      </c>
      <c r="E11442" s="30" t="s">
        <v>22463</v>
      </c>
      <c r="F11442" s="34" t="n">
        <f aca="false">IFERROR(VLOOKUP($A11442,'319'!$B:$H,7,0),0)</f>
        <v>0</v>
      </c>
      <c r="G11442" s="34" t="n">
        <f aca="false">SUMIFS('12.326ana'!$C:$C,'12.326ana'!$M:$M,redes!A11442)</f>
        <v>0</v>
      </c>
    </row>
    <row r="11443" customFormat="false" ht="14.4" hidden="true" customHeight="false" outlineLevel="0" collapsed="false">
      <c r="A11443" s="34" t="n">
        <v>9531413000177</v>
      </c>
      <c r="B11443" s="34" t="s">
        <v>528</v>
      </c>
      <c r="C11443" s="34" t="s">
        <v>77</v>
      </c>
      <c r="D11443" s="34" t="s">
        <v>24</v>
      </c>
      <c r="E11443" s="30" t="s">
        <v>2874</v>
      </c>
      <c r="F11443" s="34" t="n">
        <f aca="false">IFERROR(VLOOKUP($A11443,'319'!$B:$H,7,0),0)</f>
        <v>7765.3</v>
      </c>
      <c r="G11443" s="34" t="n">
        <f aca="false">SUMIFS('12.326ana'!$C:$C,'12.326ana'!$M:$M,redes!A11443)</f>
        <v>3000.47</v>
      </c>
    </row>
    <row r="11444" customFormat="false" ht="14.4" hidden="true" customHeight="false" outlineLevel="0" collapsed="false">
      <c r="A11444" s="34" t="n">
        <v>9531413000258</v>
      </c>
      <c r="B11444" s="34" t="s">
        <v>528</v>
      </c>
      <c r="C11444" s="34" t="s">
        <v>77</v>
      </c>
      <c r="D11444" s="34" t="s">
        <v>24</v>
      </c>
      <c r="E11444" s="30" t="s">
        <v>2875</v>
      </c>
      <c r="F11444" s="34" t="n">
        <f aca="false">IFERROR(VLOOKUP($A11444,'319'!$B:$H,7,0),0)</f>
        <v>5867.22</v>
      </c>
      <c r="G11444" s="34" t="n">
        <f aca="false">SUMIFS('12.326ana'!$C:$C,'12.326ana'!$M:$M,redes!A11444)</f>
        <v>1207.44</v>
      </c>
    </row>
    <row r="11445" customFormat="false" ht="14.4" hidden="true" customHeight="false" outlineLevel="0" collapsed="false">
      <c r="A11445" s="34" t="n">
        <v>9531413000339</v>
      </c>
      <c r="B11445" s="34" t="s">
        <v>528</v>
      </c>
      <c r="C11445" s="34" t="s">
        <v>77</v>
      </c>
      <c r="D11445" s="34" t="s">
        <v>24</v>
      </c>
      <c r="E11445" s="30" t="s">
        <v>2876</v>
      </c>
      <c r="F11445" s="34" t="n">
        <f aca="false">IFERROR(VLOOKUP($A11445,'319'!$B:$H,7,0),0)</f>
        <v>18011.18</v>
      </c>
      <c r="G11445" s="34" t="n">
        <f aca="false">SUMIFS('12.326ana'!$C:$C,'12.326ana'!$M:$M,redes!A11445)</f>
        <v>10134.23</v>
      </c>
    </row>
    <row r="11446" customFormat="false" ht="14.4" hidden="true" customHeight="false" outlineLevel="0" collapsed="false">
      <c r="A11446" s="34" t="n">
        <v>9531413000410</v>
      </c>
      <c r="B11446" s="34" t="s">
        <v>528</v>
      </c>
      <c r="C11446" s="34" t="s">
        <v>77</v>
      </c>
      <c r="D11446" s="34" t="s">
        <v>24</v>
      </c>
      <c r="E11446" s="30" t="s">
        <v>2877</v>
      </c>
      <c r="F11446" s="34" t="n">
        <f aca="false">IFERROR(VLOOKUP($A11446,'319'!$B:$H,7,0),0)</f>
        <v>2531.1</v>
      </c>
      <c r="G11446" s="34" t="n">
        <f aca="false">SUMIFS('12.326ana'!$C:$C,'12.326ana'!$M:$M,redes!A11446)</f>
        <v>2829.17</v>
      </c>
    </row>
    <row r="11447" customFormat="false" ht="14.4" hidden="true" customHeight="false" outlineLevel="0" collapsed="false">
      <c r="A11447" s="34" t="n">
        <v>9531413000509</v>
      </c>
      <c r="B11447" s="34" t="s">
        <v>528</v>
      </c>
      <c r="C11447" s="34" t="s">
        <v>77</v>
      </c>
      <c r="D11447" s="34" t="s">
        <v>24</v>
      </c>
      <c r="E11447" s="30" t="s">
        <v>2878</v>
      </c>
      <c r="F11447" s="34" t="n">
        <f aca="false">IFERROR(VLOOKUP($A11447,'319'!$B:$H,7,0),0)</f>
        <v>3148.38</v>
      </c>
      <c r="G11447" s="34" t="n">
        <f aca="false">SUMIFS('12.326ana'!$C:$C,'12.326ana'!$M:$M,redes!A11447)</f>
        <v>0</v>
      </c>
    </row>
    <row r="11448" customFormat="false" ht="14.4" hidden="true" customHeight="false" outlineLevel="0" collapsed="false">
      <c r="A11448" s="34" t="n">
        <v>9531413000681</v>
      </c>
      <c r="B11448" s="34" t="s">
        <v>528</v>
      </c>
      <c r="C11448" s="34" t="s">
        <v>77</v>
      </c>
      <c r="D11448" s="34" t="s">
        <v>24</v>
      </c>
      <c r="E11448" s="30" t="s">
        <v>2879</v>
      </c>
      <c r="F11448" s="34" t="n">
        <f aca="false">IFERROR(VLOOKUP($A11448,'319'!$B:$H,7,0),0)</f>
        <v>932.05</v>
      </c>
      <c r="G11448" s="34" t="n">
        <f aca="false">SUMIFS('12.326ana'!$C:$C,'12.326ana'!$M:$M,redes!A11448)</f>
        <v>1102.68</v>
      </c>
    </row>
    <row r="11449" customFormat="false" ht="14.4" hidden="true" customHeight="false" outlineLevel="0" collapsed="false">
      <c r="A11449" s="34" t="n">
        <v>9531413000762</v>
      </c>
      <c r="B11449" s="34" t="s">
        <v>528</v>
      </c>
      <c r="C11449" s="34" t="s">
        <v>77</v>
      </c>
      <c r="D11449" s="34" t="s">
        <v>24</v>
      </c>
      <c r="E11449" s="30" t="s">
        <v>2880</v>
      </c>
      <c r="F11449" s="34" t="n">
        <f aca="false">IFERROR(VLOOKUP($A11449,'319'!$B:$H,7,0),0)</f>
        <v>12383.26</v>
      </c>
      <c r="G11449" s="34" t="n">
        <f aca="false">SUMIFS('12.326ana'!$C:$C,'12.326ana'!$M:$M,redes!A11449)</f>
        <v>3681.46</v>
      </c>
    </row>
    <row r="11450" customFormat="false" ht="14.4" hidden="true" customHeight="false" outlineLevel="0" collapsed="false">
      <c r="A11450" s="34" t="n">
        <v>9531413000843</v>
      </c>
      <c r="B11450" s="34" t="s">
        <v>528</v>
      </c>
      <c r="C11450" s="34" t="s">
        <v>77</v>
      </c>
      <c r="D11450" s="34" t="s">
        <v>24</v>
      </c>
      <c r="E11450" s="30" t="s">
        <v>2880</v>
      </c>
      <c r="F11450" s="34" t="n">
        <f aca="false">IFERROR(VLOOKUP($A11450,'319'!$B:$H,7,0),0)</f>
        <v>7108.63</v>
      </c>
      <c r="G11450" s="34" t="n">
        <f aca="false">SUMIFS('12.326ana'!$C:$C,'12.326ana'!$M:$M,redes!A11450)</f>
        <v>0</v>
      </c>
    </row>
    <row r="11451" customFormat="false" ht="14.4" hidden="true" customHeight="false" outlineLevel="0" collapsed="false">
      <c r="A11451" s="34" t="n">
        <v>9531413000924</v>
      </c>
      <c r="B11451" s="34" t="s">
        <v>2882</v>
      </c>
      <c r="C11451" s="34" t="s">
        <v>77</v>
      </c>
      <c r="D11451" s="34" t="s">
        <v>24</v>
      </c>
      <c r="E11451" s="30" t="s">
        <v>22464</v>
      </c>
      <c r="F11451" s="34" t="n">
        <f aca="false">IFERROR(VLOOKUP($A11451,'319'!$B:$H,7,0),0)</f>
        <v>0</v>
      </c>
      <c r="G11451" s="34" t="n">
        <f aca="false">SUMIFS('12.326ana'!$C:$C,'12.326ana'!$M:$M,redes!A11451)</f>
        <v>0</v>
      </c>
    </row>
    <row r="11452" customFormat="false" ht="14.4" hidden="true" customHeight="false" outlineLevel="0" collapsed="false">
      <c r="A11452" s="34" t="n">
        <v>9531413001068</v>
      </c>
      <c r="B11452" s="34" t="s">
        <v>528</v>
      </c>
      <c r="C11452" s="34" t="s">
        <v>154</v>
      </c>
      <c r="D11452" s="34" t="s">
        <v>24</v>
      </c>
      <c r="E11452" s="30" t="s">
        <v>2880</v>
      </c>
      <c r="F11452" s="34" t="n">
        <f aca="false">IFERROR(VLOOKUP($A11452,'319'!$B:$H,7,0),0)</f>
        <v>14748.91</v>
      </c>
      <c r="G11452" s="34" t="n">
        <f aca="false">SUMIFS('12.326ana'!$C:$C,'12.326ana'!$M:$M,redes!A11452)</f>
        <v>3621.15</v>
      </c>
    </row>
    <row r="11453" customFormat="false" ht="14.4" hidden="true" customHeight="false" outlineLevel="0" collapsed="false">
      <c r="A11453" s="34" t="n">
        <v>9531413001149</v>
      </c>
      <c r="B11453" s="34" t="s">
        <v>528</v>
      </c>
      <c r="C11453" s="34" t="s">
        <v>77</v>
      </c>
      <c r="D11453" s="34" t="s">
        <v>24</v>
      </c>
      <c r="E11453" s="30" t="s">
        <v>2881</v>
      </c>
      <c r="F11453" s="34" t="n">
        <f aca="false">IFERROR(VLOOKUP($A11453,'319'!$B:$H,7,0),0)</f>
        <v>0</v>
      </c>
      <c r="G11453" s="34" t="n">
        <f aca="false">SUMIFS('12.326ana'!$C:$C,'12.326ana'!$M:$M,redes!A11453)</f>
        <v>0</v>
      </c>
    </row>
    <row r="11454" customFormat="false" ht="14.4" hidden="true" customHeight="false" outlineLevel="0" collapsed="false">
      <c r="A11454" s="34" t="n">
        <v>9531413001220</v>
      </c>
      <c r="B11454" s="34" t="s">
        <v>2882</v>
      </c>
      <c r="C11454" s="34" t="s">
        <v>77</v>
      </c>
      <c r="D11454" s="34" t="s">
        <v>24</v>
      </c>
      <c r="E11454" s="30" t="s">
        <v>2883</v>
      </c>
      <c r="F11454" s="34" t="n">
        <f aca="false">IFERROR(VLOOKUP($A11454,'319'!$B:$H,7,0),0)</f>
        <v>6352.93</v>
      </c>
      <c r="G11454" s="34" t="n">
        <f aca="false">SUMIFS('12.326ana'!$C:$C,'12.326ana'!$M:$M,redes!A11454)</f>
        <v>2215.04</v>
      </c>
    </row>
    <row r="11455" customFormat="false" ht="14.4" hidden="true" customHeight="false" outlineLevel="0" collapsed="false">
      <c r="A11455" s="34" t="n">
        <v>9531413001300</v>
      </c>
      <c r="B11455" s="34" t="s">
        <v>528</v>
      </c>
      <c r="C11455" s="34" t="s">
        <v>77</v>
      </c>
      <c r="D11455" s="34" t="s">
        <v>24</v>
      </c>
      <c r="E11455" s="30" t="s">
        <v>2884</v>
      </c>
      <c r="F11455" s="34" t="n">
        <f aca="false">IFERROR(VLOOKUP($A11455,'319'!$B:$H,7,0),0)</f>
        <v>23499.8</v>
      </c>
      <c r="G11455" s="34" t="n">
        <f aca="false">SUMIFS('12.326ana'!$C:$C,'12.326ana'!$M:$M,redes!A11455)</f>
        <v>4175.43</v>
      </c>
    </row>
    <row r="11456" customFormat="false" ht="14.4" hidden="true" customHeight="false" outlineLevel="0" collapsed="false">
      <c r="A11456" s="34" t="n">
        <v>9531413001491</v>
      </c>
      <c r="B11456" s="34" t="s">
        <v>528</v>
      </c>
      <c r="C11456" s="34" t="s">
        <v>77</v>
      </c>
      <c r="D11456" s="34" t="s">
        <v>24</v>
      </c>
      <c r="E11456" s="30" t="s">
        <v>2880</v>
      </c>
      <c r="F11456" s="34" t="n">
        <f aca="false">IFERROR(VLOOKUP($A11456,'319'!$B:$H,7,0),0)</f>
        <v>12355.33</v>
      </c>
      <c r="G11456" s="34" t="n">
        <f aca="false">SUMIFS('12.326ana'!$C:$C,'12.326ana'!$M:$M,redes!A11456)</f>
        <v>3860.85</v>
      </c>
    </row>
    <row r="11457" customFormat="false" ht="14.4" hidden="true" customHeight="false" outlineLevel="0" collapsed="false">
      <c r="A11457" s="34" t="n">
        <v>9531413001572</v>
      </c>
      <c r="B11457" s="34" t="s">
        <v>528</v>
      </c>
      <c r="C11457" s="34" t="s">
        <v>77</v>
      </c>
      <c r="E11457" s="30" t="s">
        <v>22465</v>
      </c>
      <c r="F11457" s="34" t="n">
        <f aca="false">IFERROR(VLOOKUP($A11457,'319'!$B:$H,7,0),0)</f>
        <v>0</v>
      </c>
      <c r="G11457" s="34" t="n">
        <f aca="false">SUMIFS('12.326ana'!$C:$C,'12.326ana'!$M:$M,redes!A11457)</f>
        <v>0</v>
      </c>
    </row>
    <row r="11458" customFormat="false" ht="14.4" hidden="true" customHeight="false" outlineLevel="0" collapsed="false">
      <c r="A11458" s="34" t="n">
        <v>9531413001653</v>
      </c>
      <c r="B11458" s="34" t="s">
        <v>528</v>
      </c>
      <c r="C11458" s="34" t="s">
        <v>77</v>
      </c>
      <c r="E11458" s="30" t="s">
        <v>22465</v>
      </c>
      <c r="F11458" s="34" t="n">
        <f aca="false">IFERROR(VLOOKUP($A11458,'319'!$B:$H,7,0),0)</f>
        <v>0</v>
      </c>
      <c r="G11458" s="34" t="n">
        <f aca="false">SUMIFS('12.326ana'!$C:$C,'12.326ana'!$M:$M,redes!A11458)</f>
        <v>0</v>
      </c>
    </row>
    <row r="11459" customFormat="false" ht="14.4" hidden="true" customHeight="false" outlineLevel="0" collapsed="false">
      <c r="A11459" s="34" t="n">
        <v>9531493000160</v>
      </c>
      <c r="B11459" s="34" t="s">
        <v>22466</v>
      </c>
      <c r="C11459" s="34" t="s">
        <v>342</v>
      </c>
      <c r="E11459" s="30" t="s">
        <v>22467</v>
      </c>
      <c r="F11459" s="34" t="n">
        <f aca="false">IFERROR(VLOOKUP($A11459,'319'!$B:$H,7,0),0)</f>
        <v>0</v>
      </c>
      <c r="G11459" s="34" t="n">
        <f aca="false">SUMIFS('12.326ana'!$C:$C,'12.326ana'!$M:$M,redes!A11459)</f>
        <v>0</v>
      </c>
    </row>
    <row r="11460" customFormat="false" ht="14.4" hidden="true" customHeight="false" outlineLevel="0" collapsed="false">
      <c r="A11460" s="34" t="n">
        <v>9532066000105</v>
      </c>
      <c r="B11460" s="34" t="s">
        <v>22468</v>
      </c>
      <c r="C11460" s="34" t="s">
        <v>1272</v>
      </c>
      <c r="E11460" s="30" t="s">
        <v>22469</v>
      </c>
      <c r="F11460" s="34" t="n">
        <f aca="false">IFERROR(VLOOKUP($A11460,'319'!$B:$H,7,0),0)</f>
        <v>0</v>
      </c>
      <c r="G11460" s="34" t="n">
        <f aca="false">SUMIFS('12.326ana'!$C:$C,'12.326ana'!$M:$M,redes!A11460)</f>
        <v>0</v>
      </c>
    </row>
    <row r="11461" customFormat="false" ht="14.4" hidden="true" customHeight="false" outlineLevel="0" collapsed="false">
      <c r="A11461" s="34" t="n">
        <v>9534682000197</v>
      </c>
      <c r="B11461" s="34" t="s">
        <v>22470</v>
      </c>
      <c r="C11461" s="34" t="s">
        <v>77</v>
      </c>
      <c r="E11461" s="30" t="s">
        <v>22471</v>
      </c>
      <c r="F11461" s="34" t="n">
        <f aca="false">IFERROR(VLOOKUP($A11461,'319'!$B:$H,7,0),0)</f>
        <v>0</v>
      </c>
      <c r="G11461" s="34" t="n">
        <f aca="false">SUMIFS('12.326ana'!$C:$C,'12.326ana'!$M:$M,redes!A11461)</f>
        <v>0</v>
      </c>
    </row>
    <row r="11462" customFormat="false" ht="14.4" hidden="true" customHeight="false" outlineLevel="0" collapsed="false">
      <c r="A11462" s="34" t="n">
        <v>9535031000111</v>
      </c>
      <c r="B11462" s="34" t="s">
        <v>22472</v>
      </c>
      <c r="C11462" s="34" t="s">
        <v>706</v>
      </c>
      <c r="E11462" s="30" t="s">
        <v>15712</v>
      </c>
      <c r="F11462" s="34" t="n">
        <f aca="false">IFERROR(VLOOKUP($A11462,'319'!$B:$H,7,0),0)</f>
        <v>0</v>
      </c>
      <c r="G11462" s="34" t="n">
        <f aca="false">SUMIFS('12.326ana'!$C:$C,'12.326ana'!$M:$M,redes!A11462)</f>
        <v>0</v>
      </c>
    </row>
    <row r="11463" customFormat="false" ht="14.4" hidden="true" customHeight="false" outlineLevel="0" collapsed="false">
      <c r="A11463" s="34" t="n">
        <v>9537719000130</v>
      </c>
      <c r="B11463" s="34" t="s">
        <v>22473</v>
      </c>
      <c r="C11463" s="34" t="s">
        <v>1272</v>
      </c>
      <c r="E11463" s="30" t="s">
        <v>22026</v>
      </c>
      <c r="F11463" s="34" t="n">
        <f aca="false">IFERROR(VLOOKUP($A11463,'319'!$B:$H,7,0),0)</f>
        <v>0</v>
      </c>
      <c r="G11463" s="34" t="n">
        <f aca="false">SUMIFS('12.326ana'!$C:$C,'12.326ana'!$M:$M,redes!A11463)</f>
        <v>0</v>
      </c>
    </row>
    <row r="11464" customFormat="false" ht="14.4" hidden="true" customHeight="false" outlineLevel="0" collapsed="false">
      <c r="A11464" s="34" t="n">
        <v>9538316000106</v>
      </c>
      <c r="B11464" s="34" t="s">
        <v>11139</v>
      </c>
      <c r="C11464" s="34" t="s">
        <v>192</v>
      </c>
      <c r="E11464" s="30" t="s">
        <v>11140</v>
      </c>
      <c r="F11464" s="34" t="n">
        <f aca="false">IFERROR(VLOOKUP($A11464,'319'!$B:$H,7,0),0)</f>
        <v>0</v>
      </c>
      <c r="G11464" s="34" t="n">
        <f aca="false">SUMIFS('12.326ana'!$C:$C,'12.326ana'!$M:$M,redes!A11464)</f>
        <v>0</v>
      </c>
    </row>
    <row r="11465" customFormat="false" ht="14.4" hidden="true" customHeight="false" outlineLevel="0" collapsed="false">
      <c r="A11465" s="34" t="n">
        <v>9538580000140</v>
      </c>
      <c r="B11465" s="34" t="s">
        <v>22474</v>
      </c>
      <c r="C11465" s="34" t="s">
        <v>598</v>
      </c>
      <c r="E11465" s="30" t="s">
        <v>22475</v>
      </c>
      <c r="F11465" s="34" t="n">
        <f aca="false">IFERROR(VLOOKUP($A11465,'319'!$B:$H,7,0),0)</f>
        <v>0</v>
      </c>
      <c r="G11465" s="34" t="n">
        <f aca="false">SUMIFS('12.326ana'!$C:$C,'12.326ana'!$M:$M,redes!A11465)</f>
        <v>0</v>
      </c>
    </row>
    <row r="11466" customFormat="false" ht="14.4" hidden="true" customHeight="false" outlineLevel="0" collapsed="false">
      <c r="A11466" s="34" t="n">
        <v>9538958000105</v>
      </c>
      <c r="B11466" s="34" t="s">
        <v>22476</v>
      </c>
      <c r="C11466" s="34" t="s">
        <v>935</v>
      </c>
      <c r="E11466" s="30" t="s">
        <v>22477</v>
      </c>
      <c r="F11466" s="34" t="n">
        <f aca="false">IFERROR(VLOOKUP($A11466,'319'!$B:$H,7,0),0)</f>
        <v>0</v>
      </c>
      <c r="G11466" s="34" t="n">
        <f aca="false">SUMIFS('12.326ana'!$C:$C,'12.326ana'!$M:$M,redes!A11466)</f>
        <v>0</v>
      </c>
    </row>
    <row r="11467" customFormat="false" ht="14.4" hidden="true" customHeight="false" outlineLevel="0" collapsed="false">
      <c r="A11467" s="34" t="n">
        <v>9541550000192</v>
      </c>
      <c r="B11467" s="34" t="s">
        <v>22478</v>
      </c>
      <c r="C11467" s="34" t="s">
        <v>309</v>
      </c>
      <c r="E11467" s="30" t="s">
        <v>22479</v>
      </c>
      <c r="F11467" s="34" t="n">
        <f aca="false">IFERROR(VLOOKUP($A11467,'319'!$B:$H,7,0),0)</f>
        <v>0</v>
      </c>
      <c r="G11467" s="34" t="n">
        <f aca="false">SUMIFS('12.326ana'!$C:$C,'12.326ana'!$M:$M,redes!A11467)</f>
        <v>0</v>
      </c>
    </row>
    <row r="11468" customFormat="false" ht="14.4" hidden="true" customHeight="false" outlineLevel="0" collapsed="false">
      <c r="A11468" s="34" t="n">
        <v>9541747000121</v>
      </c>
      <c r="B11468" s="34" t="s">
        <v>22480</v>
      </c>
      <c r="C11468" s="34" t="s">
        <v>77</v>
      </c>
      <c r="E11468" s="30" t="s">
        <v>22481</v>
      </c>
      <c r="F11468" s="34" t="n">
        <f aca="false">IFERROR(VLOOKUP($A11468,'319'!$B:$H,7,0),0)</f>
        <v>0</v>
      </c>
      <c r="G11468" s="34" t="n">
        <f aca="false">SUMIFS('12.326ana'!$C:$C,'12.326ana'!$M:$M,redes!A11468)</f>
        <v>0</v>
      </c>
    </row>
    <row r="11469" customFormat="false" ht="14.4" hidden="true" customHeight="false" outlineLevel="0" collapsed="false">
      <c r="A11469" s="34" t="n">
        <v>9544424000191</v>
      </c>
      <c r="B11469" s="34" t="s">
        <v>1763</v>
      </c>
      <c r="C11469" s="34" t="s">
        <v>117</v>
      </c>
      <c r="D11469" s="34" t="s">
        <v>22482</v>
      </c>
      <c r="E11469" s="30" t="s">
        <v>22483</v>
      </c>
      <c r="F11469" s="34" t="n">
        <f aca="false">IFERROR(VLOOKUP($A11469,'319'!$B:$H,7,0),0)</f>
        <v>-727.17</v>
      </c>
      <c r="G11469" s="34" t="n">
        <f aca="false">SUMIFS('12.326ana'!$C:$C,'12.326ana'!$M:$M,redes!A11469)</f>
        <v>0</v>
      </c>
    </row>
    <row r="11470" customFormat="false" ht="14.4" hidden="true" customHeight="false" outlineLevel="0" collapsed="false">
      <c r="A11470" s="34" t="n">
        <v>9544424000272</v>
      </c>
      <c r="B11470" s="34" t="s">
        <v>1763</v>
      </c>
      <c r="C11470" s="34" t="s">
        <v>117</v>
      </c>
      <c r="D11470" s="34" t="s">
        <v>22482</v>
      </c>
      <c r="E11470" s="30" t="s">
        <v>22484</v>
      </c>
      <c r="F11470" s="34" t="n">
        <f aca="false">IFERROR(VLOOKUP($A11470,'319'!$B:$H,7,0),0)</f>
        <v>-49.69</v>
      </c>
      <c r="G11470" s="34" t="n">
        <f aca="false">SUMIFS('12.326ana'!$C:$C,'12.326ana'!$M:$M,redes!A11470)</f>
        <v>0</v>
      </c>
    </row>
    <row r="11471" customFormat="false" ht="14.4" hidden="true" customHeight="false" outlineLevel="0" collapsed="false">
      <c r="A11471" s="34" t="n">
        <v>9544944000102</v>
      </c>
      <c r="B11471" s="34" t="s">
        <v>22485</v>
      </c>
      <c r="C11471" s="34" t="s">
        <v>11510</v>
      </c>
      <c r="E11471" s="30" t="s">
        <v>22486</v>
      </c>
      <c r="F11471" s="34" t="n">
        <f aca="false">IFERROR(VLOOKUP($A11471,'319'!$B:$H,7,0),0)</f>
        <v>0</v>
      </c>
      <c r="G11471" s="34" t="n">
        <f aca="false">SUMIFS('12.326ana'!$C:$C,'12.326ana'!$M:$M,redes!A11471)</f>
        <v>0</v>
      </c>
    </row>
    <row r="11472" customFormat="false" ht="14.4" hidden="true" customHeight="false" outlineLevel="0" collapsed="false">
      <c r="A11472" s="34" t="n">
        <v>9546658000178</v>
      </c>
      <c r="B11472" s="34" t="s">
        <v>22487</v>
      </c>
      <c r="C11472" s="34" t="s">
        <v>77</v>
      </c>
      <c r="E11472" s="30" t="s">
        <v>22488</v>
      </c>
      <c r="F11472" s="34" t="n">
        <f aca="false">IFERROR(VLOOKUP($A11472,'319'!$B:$H,7,0),0)</f>
        <v>0</v>
      </c>
      <c r="G11472" s="34" t="n">
        <f aca="false">SUMIFS('12.326ana'!$C:$C,'12.326ana'!$M:$M,redes!A11472)</f>
        <v>0</v>
      </c>
    </row>
    <row r="11473" customFormat="false" ht="14.4" hidden="true" customHeight="false" outlineLevel="0" collapsed="false">
      <c r="A11473" s="34" t="n">
        <v>9547986000199</v>
      </c>
      <c r="B11473" s="34" t="s">
        <v>22489</v>
      </c>
      <c r="C11473" s="34" t="s">
        <v>77</v>
      </c>
      <c r="E11473" s="30" t="s">
        <v>8795</v>
      </c>
      <c r="F11473" s="34" t="n">
        <f aca="false">IFERROR(VLOOKUP($A11473,'319'!$B:$H,7,0),0)</f>
        <v>0</v>
      </c>
      <c r="G11473" s="34" t="n">
        <f aca="false">SUMIFS('12.326ana'!$C:$C,'12.326ana'!$M:$M,redes!A11473)</f>
        <v>0</v>
      </c>
    </row>
    <row r="11474" customFormat="false" ht="14.4" hidden="true" customHeight="false" outlineLevel="0" collapsed="false">
      <c r="A11474" s="34" t="n">
        <v>9548174000168</v>
      </c>
      <c r="B11474" s="34" t="s">
        <v>22490</v>
      </c>
      <c r="C11474" s="34" t="s">
        <v>77</v>
      </c>
      <c r="E11474" s="30" t="s">
        <v>22491</v>
      </c>
      <c r="F11474" s="34" t="n">
        <f aca="false">IFERROR(VLOOKUP($A11474,'319'!$B:$H,7,0),0)</f>
        <v>0</v>
      </c>
      <c r="G11474" s="34" t="n">
        <f aca="false">SUMIFS('12.326ana'!$C:$C,'12.326ana'!$M:$M,redes!A11474)</f>
        <v>0</v>
      </c>
    </row>
    <row r="11475" customFormat="false" ht="14.4" hidden="true" customHeight="false" outlineLevel="0" collapsed="false">
      <c r="A11475" s="34" t="n">
        <v>9551790000178</v>
      </c>
      <c r="B11475" s="34" t="s">
        <v>22492</v>
      </c>
      <c r="C11475" s="34" t="s">
        <v>342</v>
      </c>
      <c r="E11475" s="30" t="s">
        <v>22493</v>
      </c>
      <c r="F11475" s="34" t="n">
        <f aca="false">IFERROR(VLOOKUP($A11475,'319'!$B:$H,7,0),0)</f>
        <v>0</v>
      </c>
      <c r="G11475" s="34" t="n">
        <f aca="false">SUMIFS('12.326ana'!$C:$C,'12.326ana'!$M:$M,redes!A11475)</f>
        <v>0</v>
      </c>
    </row>
    <row r="11476" customFormat="false" ht="14.4" hidden="true" customHeight="false" outlineLevel="0" collapsed="false">
      <c r="A11476" s="34" t="n">
        <v>9554468000100</v>
      </c>
      <c r="B11476" s="34" t="s">
        <v>22494</v>
      </c>
      <c r="C11476" s="34" t="s">
        <v>77</v>
      </c>
      <c r="E11476" s="30" t="s">
        <v>22495</v>
      </c>
      <c r="F11476" s="34" t="n">
        <f aca="false">IFERROR(VLOOKUP($A11476,'319'!$B:$H,7,0),0)</f>
        <v>0</v>
      </c>
      <c r="G11476" s="34" t="n">
        <f aca="false">SUMIFS('12.326ana'!$C:$C,'12.326ana'!$M:$M,redes!A11476)</f>
        <v>0</v>
      </c>
    </row>
    <row r="11477" customFormat="false" ht="14.4" hidden="true" customHeight="false" outlineLevel="0" collapsed="false">
      <c r="A11477" s="34" t="n">
        <v>9554560000162</v>
      </c>
      <c r="B11477" s="34" t="s">
        <v>6814</v>
      </c>
      <c r="C11477" s="34" t="s">
        <v>478</v>
      </c>
      <c r="E11477" s="30" t="s">
        <v>6815</v>
      </c>
      <c r="F11477" s="34" t="n">
        <f aca="false">IFERROR(VLOOKUP($A11477,'319'!$B:$H,7,0),0)</f>
        <v>0</v>
      </c>
      <c r="G11477" s="34" t="n">
        <f aca="false">SUMIFS('12.326ana'!$C:$C,'12.326ana'!$M:$M,redes!A11477)</f>
        <v>0</v>
      </c>
    </row>
    <row r="11478" customFormat="false" ht="14.4" hidden="true" customHeight="false" outlineLevel="0" collapsed="false">
      <c r="A11478" s="34" t="n">
        <v>9555096000129</v>
      </c>
      <c r="B11478" s="34" t="s">
        <v>22496</v>
      </c>
      <c r="C11478" s="34" t="s">
        <v>77</v>
      </c>
      <c r="E11478" s="30" t="s">
        <v>22497</v>
      </c>
      <c r="F11478" s="34" t="n">
        <f aca="false">IFERROR(VLOOKUP($A11478,'319'!$B:$H,7,0),0)</f>
        <v>0</v>
      </c>
      <c r="G11478" s="34" t="n">
        <f aca="false">SUMIFS('12.326ana'!$C:$C,'12.326ana'!$M:$M,redes!A11478)</f>
        <v>0</v>
      </c>
    </row>
    <row r="11479" customFormat="false" ht="14.4" hidden="true" customHeight="false" outlineLevel="0" collapsed="false">
      <c r="A11479" s="34" t="n">
        <v>9555219000121</v>
      </c>
      <c r="B11479" s="34" t="s">
        <v>22498</v>
      </c>
      <c r="C11479" s="34" t="s">
        <v>737</v>
      </c>
      <c r="E11479" s="30" t="s">
        <v>3868</v>
      </c>
      <c r="F11479" s="34" t="n">
        <f aca="false">IFERROR(VLOOKUP($A11479,'319'!$B:$H,7,0),0)</f>
        <v>0</v>
      </c>
      <c r="G11479" s="34" t="n">
        <f aca="false">SUMIFS('12.326ana'!$C:$C,'12.326ana'!$M:$M,redes!A11479)</f>
        <v>0</v>
      </c>
    </row>
    <row r="11480" customFormat="false" ht="14.4" hidden="true" customHeight="false" outlineLevel="0" collapsed="false">
      <c r="A11480" s="34" t="n">
        <v>9555593000127</v>
      </c>
      <c r="B11480" s="34" t="s">
        <v>22499</v>
      </c>
      <c r="C11480" s="34" t="s">
        <v>2998</v>
      </c>
      <c r="E11480" s="30" t="s">
        <v>22500</v>
      </c>
      <c r="F11480" s="34" t="n">
        <f aca="false">IFERROR(VLOOKUP($A11480,'319'!$B:$H,7,0),0)</f>
        <v>0</v>
      </c>
      <c r="G11480" s="34" t="n">
        <f aca="false">SUMIFS('12.326ana'!$C:$C,'12.326ana'!$M:$M,redes!A11480)</f>
        <v>0</v>
      </c>
    </row>
    <row r="11481" customFormat="false" ht="14.4" hidden="true" customHeight="false" outlineLevel="0" collapsed="false">
      <c r="A11481" s="34" t="n">
        <v>9561009000146</v>
      </c>
      <c r="B11481" s="34" t="s">
        <v>22501</v>
      </c>
      <c r="C11481" s="34" t="s">
        <v>1272</v>
      </c>
      <c r="E11481" s="30" t="s">
        <v>17473</v>
      </c>
      <c r="F11481" s="34" t="n">
        <f aca="false">IFERROR(VLOOKUP($A11481,'319'!$B:$H,7,0),0)</f>
        <v>0</v>
      </c>
      <c r="G11481" s="34" t="n">
        <f aca="false">SUMIFS('12.326ana'!$C:$C,'12.326ana'!$M:$M,redes!A11481)</f>
        <v>0</v>
      </c>
    </row>
    <row r="11482" customFormat="false" ht="14.4" hidden="true" customHeight="false" outlineLevel="0" collapsed="false">
      <c r="A11482" s="34" t="n">
        <v>9561554000132</v>
      </c>
      <c r="B11482" s="34" t="s">
        <v>22502</v>
      </c>
      <c r="C11482" s="34" t="s">
        <v>77</v>
      </c>
      <c r="E11482" s="30" t="s">
        <v>22503</v>
      </c>
      <c r="F11482" s="34" t="n">
        <f aca="false">IFERROR(VLOOKUP($A11482,'319'!$B:$H,7,0),0)</f>
        <v>0</v>
      </c>
      <c r="G11482" s="34" t="n">
        <f aca="false">SUMIFS('12.326ana'!$C:$C,'12.326ana'!$M:$M,redes!A11482)</f>
        <v>0</v>
      </c>
    </row>
    <row r="11483" customFormat="false" ht="14.4" hidden="true" customHeight="false" outlineLevel="0" collapsed="false">
      <c r="A11483" s="34" t="n">
        <v>9561591000140</v>
      </c>
      <c r="B11483" s="34" t="s">
        <v>22504</v>
      </c>
      <c r="C11483" s="34" t="s">
        <v>848</v>
      </c>
      <c r="E11483" s="30" t="s">
        <v>22505</v>
      </c>
      <c r="F11483" s="34" t="n">
        <f aca="false">IFERROR(VLOOKUP($A11483,'319'!$B:$H,7,0),0)</f>
        <v>0</v>
      </c>
      <c r="G11483" s="34" t="n">
        <f aca="false">SUMIFS('12.326ana'!$C:$C,'12.326ana'!$M:$M,redes!A11483)</f>
        <v>0</v>
      </c>
    </row>
    <row r="11484" customFormat="false" ht="14.4" hidden="true" customHeight="false" outlineLevel="0" collapsed="false">
      <c r="A11484" s="34" t="n">
        <v>9565485000135</v>
      </c>
      <c r="B11484" s="34" t="s">
        <v>22506</v>
      </c>
      <c r="C11484" s="34" t="s">
        <v>77</v>
      </c>
      <c r="E11484" s="30" t="s">
        <v>22507</v>
      </c>
      <c r="F11484" s="34" t="n">
        <f aca="false">IFERROR(VLOOKUP($A11484,'319'!$B:$H,7,0),0)</f>
        <v>0</v>
      </c>
      <c r="G11484" s="34" t="n">
        <f aca="false">SUMIFS('12.326ana'!$C:$C,'12.326ana'!$M:$M,redes!A11484)</f>
        <v>0</v>
      </c>
    </row>
    <row r="11485" customFormat="false" ht="14.4" hidden="true" customHeight="false" outlineLevel="0" collapsed="false">
      <c r="A11485" s="34" t="n">
        <v>9565640000113</v>
      </c>
      <c r="B11485" s="34" t="s">
        <v>22508</v>
      </c>
      <c r="C11485" s="34" t="s">
        <v>463</v>
      </c>
      <c r="E11485" s="30" t="s">
        <v>6504</v>
      </c>
      <c r="F11485" s="34" t="n">
        <f aca="false">IFERROR(VLOOKUP($A11485,'319'!$B:$H,7,0),0)</f>
        <v>0</v>
      </c>
      <c r="G11485" s="34" t="n">
        <f aca="false">SUMIFS('12.326ana'!$C:$C,'12.326ana'!$M:$M,redes!A11485)</f>
        <v>0</v>
      </c>
    </row>
    <row r="11486" customFormat="false" ht="14.4" hidden="true" customHeight="false" outlineLevel="0" collapsed="false">
      <c r="A11486" s="34" t="n">
        <v>9567271000106</v>
      </c>
      <c r="B11486" s="34" t="s">
        <v>22509</v>
      </c>
      <c r="C11486" s="34" t="s">
        <v>89</v>
      </c>
      <c r="E11486" s="30" t="s">
        <v>22510</v>
      </c>
      <c r="F11486" s="34" t="n">
        <f aca="false">IFERROR(VLOOKUP($A11486,'319'!$B:$H,7,0),0)</f>
        <v>0</v>
      </c>
      <c r="G11486" s="34" t="n">
        <f aca="false">SUMIFS('12.326ana'!$C:$C,'12.326ana'!$M:$M,redes!A11486)</f>
        <v>0</v>
      </c>
    </row>
    <row r="11487" customFormat="false" ht="14.4" hidden="true" customHeight="false" outlineLevel="0" collapsed="false">
      <c r="A11487" s="34" t="n">
        <v>9570396000268</v>
      </c>
      <c r="B11487" s="34" t="s">
        <v>22511</v>
      </c>
      <c r="C11487" s="34" t="s">
        <v>77</v>
      </c>
      <c r="E11487" s="30" t="s">
        <v>22512</v>
      </c>
      <c r="F11487" s="34" t="n">
        <f aca="false">IFERROR(VLOOKUP($A11487,'319'!$B:$H,7,0),0)</f>
        <v>0</v>
      </c>
      <c r="G11487" s="34" t="n">
        <f aca="false">SUMIFS('12.326ana'!$C:$C,'12.326ana'!$M:$M,redes!A11487)</f>
        <v>0</v>
      </c>
    </row>
    <row r="11488" customFormat="false" ht="14.4" hidden="true" customHeight="false" outlineLevel="0" collapsed="false">
      <c r="A11488" s="34" t="n">
        <v>9571378000110</v>
      </c>
      <c r="B11488" s="34" t="s">
        <v>22513</v>
      </c>
      <c r="C11488" s="34" t="s">
        <v>192</v>
      </c>
      <c r="E11488" s="30" t="s">
        <v>22514</v>
      </c>
      <c r="F11488" s="34" t="n">
        <f aca="false">IFERROR(VLOOKUP($A11488,'319'!$B:$H,7,0),0)</f>
        <v>0</v>
      </c>
      <c r="G11488" s="34" t="n">
        <f aca="false">SUMIFS('12.326ana'!$C:$C,'12.326ana'!$M:$M,redes!A11488)</f>
        <v>0</v>
      </c>
    </row>
    <row r="11489" customFormat="false" ht="14.4" hidden="true" customHeight="false" outlineLevel="0" collapsed="false">
      <c r="A11489" s="34" t="n">
        <v>9572837000180</v>
      </c>
      <c r="B11489" s="34" t="s">
        <v>22515</v>
      </c>
      <c r="C11489" s="34" t="s">
        <v>11510</v>
      </c>
      <c r="E11489" s="30" t="s">
        <v>22516</v>
      </c>
      <c r="F11489" s="34" t="n">
        <f aca="false">IFERROR(VLOOKUP($A11489,'319'!$B:$H,7,0),0)</f>
        <v>0</v>
      </c>
      <c r="G11489" s="34" t="n">
        <f aca="false">SUMIFS('12.326ana'!$C:$C,'12.326ana'!$M:$M,redes!A11489)</f>
        <v>0</v>
      </c>
    </row>
    <row r="11490" customFormat="false" ht="14.4" hidden="true" customHeight="false" outlineLevel="0" collapsed="false">
      <c r="A11490" s="34" t="n">
        <v>9574788000114</v>
      </c>
      <c r="B11490" s="34" t="s">
        <v>22517</v>
      </c>
      <c r="C11490" s="34" t="s">
        <v>336</v>
      </c>
      <c r="E11490" s="30" t="s">
        <v>22518</v>
      </c>
      <c r="F11490" s="34" t="n">
        <f aca="false">IFERROR(VLOOKUP($A11490,'319'!$B:$H,7,0),0)</f>
        <v>0</v>
      </c>
      <c r="G11490" s="34" t="n">
        <f aca="false">SUMIFS('12.326ana'!$C:$C,'12.326ana'!$M:$M,redes!A11490)</f>
        <v>0</v>
      </c>
    </row>
    <row r="11491" customFormat="false" ht="14.4" hidden="true" customHeight="false" outlineLevel="0" collapsed="false">
      <c r="A11491" s="34" t="n">
        <v>9575149000173</v>
      </c>
      <c r="B11491" s="34" t="s">
        <v>22519</v>
      </c>
      <c r="C11491" s="34" t="s">
        <v>77</v>
      </c>
      <c r="E11491" s="30" t="s">
        <v>22520</v>
      </c>
      <c r="F11491" s="34" t="n">
        <f aca="false">IFERROR(VLOOKUP($A11491,'319'!$B:$H,7,0),0)</f>
        <v>0</v>
      </c>
      <c r="G11491" s="34" t="n">
        <f aca="false">SUMIFS('12.326ana'!$C:$C,'12.326ana'!$M:$M,redes!A11491)</f>
        <v>0</v>
      </c>
    </row>
    <row r="11492" customFormat="false" ht="14.4" hidden="true" customHeight="false" outlineLevel="0" collapsed="false">
      <c r="A11492" s="34" t="n">
        <v>9575378000198</v>
      </c>
      <c r="B11492" s="34" t="s">
        <v>22521</v>
      </c>
      <c r="C11492" s="34" t="s">
        <v>77</v>
      </c>
      <c r="E11492" s="30" t="s">
        <v>22522</v>
      </c>
      <c r="F11492" s="34" t="n">
        <f aca="false">IFERROR(VLOOKUP($A11492,'319'!$B:$H,7,0),0)</f>
        <v>0</v>
      </c>
      <c r="G11492" s="34" t="n">
        <f aca="false">SUMIFS('12.326ana'!$C:$C,'12.326ana'!$M:$M,redes!A11492)</f>
        <v>0</v>
      </c>
    </row>
    <row r="11493" customFormat="false" ht="14.4" hidden="true" customHeight="false" outlineLevel="0" collapsed="false">
      <c r="A11493" s="34" t="n">
        <v>9575378000279</v>
      </c>
      <c r="B11493" s="34" t="s">
        <v>22523</v>
      </c>
      <c r="C11493" s="34" t="s">
        <v>77</v>
      </c>
      <c r="E11493" s="30" t="s">
        <v>22524</v>
      </c>
      <c r="F11493" s="34" t="n">
        <f aca="false">IFERROR(VLOOKUP($A11493,'319'!$B:$H,7,0),0)</f>
        <v>0</v>
      </c>
      <c r="G11493" s="34" t="n">
        <f aca="false">SUMIFS('12.326ana'!$C:$C,'12.326ana'!$M:$M,redes!A11493)</f>
        <v>0</v>
      </c>
    </row>
    <row r="11494" customFormat="false" ht="14.4" hidden="true" customHeight="false" outlineLevel="0" collapsed="false">
      <c r="A11494" s="34" t="n">
        <v>9575378000430</v>
      </c>
      <c r="B11494" s="34" t="s">
        <v>22525</v>
      </c>
      <c r="C11494" s="34" t="s">
        <v>77</v>
      </c>
      <c r="E11494" s="30" t="s">
        <v>22526</v>
      </c>
      <c r="F11494" s="34" t="n">
        <f aca="false">IFERROR(VLOOKUP($A11494,'319'!$B:$H,7,0),0)</f>
        <v>0</v>
      </c>
      <c r="G11494" s="34" t="n">
        <f aca="false">SUMIFS('12.326ana'!$C:$C,'12.326ana'!$M:$M,redes!A11494)</f>
        <v>0</v>
      </c>
    </row>
    <row r="11495" customFormat="false" ht="14.4" hidden="true" customHeight="false" outlineLevel="0" collapsed="false">
      <c r="A11495" s="34" t="n">
        <v>9581302000175</v>
      </c>
      <c r="B11495" s="34" t="s">
        <v>22527</v>
      </c>
      <c r="C11495" s="34" t="s">
        <v>351</v>
      </c>
      <c r="E11495" s="30" t="s">
        <v>22528</v>
      </c>
      <c r="F11495" s="34" t="n">
        <f aca="false">IFERROR(VLOOKUP($A11495,'319'!$B:$H,7,0),0)</f>
        <v>0</v>
      </c>
      <c r="G11495" s="34" t="n">
        <f aca="false">SUMIFS('12.326ana'!$C:$C,'12.326ana'!$M:$M,redes!A11495)</f>
        <v>0</v>
      </c>
    </row>
    <row r="11496" customFormat="false" ht="14.4" hidden="true" customHeight="false" outlineLevel="0" collapsed="false">
      <c r="A11496" s="34" t="n">
        <v>9581728000129</v>
      </c>
      <c r="B11496" s="34" t="s">
        <v>22529</v>
      </c>
      <c r="C11496" s="34" t="s">
        <v>77</v>
      </c>
      <c r="E11496" s="30" t="s">
        <v>8601</v>
      </c>
      <c r="F11496" s="34" t="n">
        <f aca="false">IFERROR(VLOOKUP($A11496,'319'!$B:$H,7,0),0)</f>
        <v>0</v>
      </c>
      <c r="G11496" s="34" t="n">
        <f aca="false">SUMIFS('12.326ana'!$C:$C,'12.326ana'!$M:$M,redes!A11496)</f>
        <v>0</v>
      </c>
    </row>
    <row r="11497" customFormat="false" ht="14.4" hidden="true" customHeight="false" outlineLevel="0" collapsed="false">
      <c r="A11497" s="34" t="n">
        <v>9585025000179</v>
      </c>
      <c r="B11497" s="34" t="s">
        <v>22530</v>
      </c>
      <c r="C11497" s="34" t="s">
        <v>77</v>
      </c>
      <c r="E11497" s="30" t="s">
        <v>22531</v>
      </c>
      <c r="F11497" s="34" t="n">
        <f aca="false">IFERROR(VLOOKUP($A11497,'319'!$B:$H,7,0),0)</f>
        <v>0</v>
      </c>
      <c r="G11497" s="34" t="n">
        <f aca="false">SUMIFS('12.326ana'!$C:$C,'12.326ana'!$M:$M,redes!A11497)</f>
        <v>0</v>
      </c>
    </row>
    <row r="11498" customFormat="false" ht="14.4" hidden="true" customHeight="false" outlineLevel="0" collapsed="false">
      <c r="A11498" s="34" t="n">
        <v>9585166000191</v>
      </c>
      <c r="B11498" s="34" t="s">
        <v>22532</v>
      </c>
      <c r="C11498" s="34" t="s">
        <v>107</v>
      </c>
      <c r="E11498" s="30" t="s">
        <v>22533</v>
      </c>
      <c r="F11498" s="34" t="n">
        <f aca="false">IFERROR(VLOOKUP($A11498,'319'!$B:$H,7,0),0)</f>
        <v>0</v>
      </c>
      <c r="G11498" s="34" t="n">
        <f aca="false">SUMIFS('12.326ana'!$C:$C,'12.326ana'!$M:$M,redes!A11498)</f>
        <v>0</v>
      </c>
    </row>
    <row r="11499" customFormat="false" ht="14.4" hidden="true" customHeight="false" outlineLevel="0" collapsed="false">
      <c r="A11499" s="34" t="n">
        <v>9588200000181</v>
      </c>
      <c r="B11499" s="34" t="s">
        <v>22534</v>
      </c>
      <c r="C11499" s="34" t="s">
        <v>351</v>
      </c>
      <c r="E11499" s="30" t="s">
        <v>5476</v>
      </c>
      <c r="F11499" s="34" t="n">
        <f aca="false">IFERROR(VLOOKUP($A11499,'319'!$B:$H,7,0),0)</f>
        <v>0</v>
      </c>
      <c r="G11499" s="34" t="n">
        <f aca="false">SUMIFS('12.326ana'!$C:$C,'12.326ana'!$M:$M,redes!A11499)</f>
        <v>0</v>
      </c>
    </row>
    <row r="11500" customFormat="false" ht="14.4" hidden="true" customHeight="false" outlineLevel="0" collapsed="false">
      <c r="A11500" s="34" t="n">
        <v>9594810000198</v>
      </c>
      <c r="B11500" s="34" t="s">
        <v>22535</v>
      </c>
      <c r="C11500" s="34" t="s">
        <v>979</v>
      </c>
      <c r="E11500" s="30" t="s">
        <v>22535</v>
      </c>
      <c r="F11500" s="34" t="n">
        <f aca="false">IFERROR(VLOOKUP($A11500,'319'!$B:$H,7,0),0)</f>
        <v>0</v>
      </c>
      <c r="G11500" s="34" t="n">
        <f aca="false">SUMIFS('12.326ana'!$C:$C,'12.326ana'!$M:$M,redes!A11500)</f>
        <v>0</v>
      </c>
    </row>
    <row r="11501" customFormat="false" ht="14.4" hidden="true" customHeight="false" outlineLevel="0" collapsed="false">
      <c r="A11501" s="34" t="n">
        <v>9597640000103</v>
      </c>
      <c r="B11501" s="34" t="s">
        <v>22536</v>
      </c>
      <c r="C11501" s="34" t="s">
        <v>89</v>
      </c>
      <c r="E11501" s="30" t="s">
        <v>22537</v>
      </c>
      <c r="F11501" s="34" t="n">
        <f aca="false">IFERROR(VLOOKUP($A11501,'319'!$B:$H,7,0),0)</f>
        <v>0</v>
      </c>
      <c r="G11501" s="34" t="n">
        <f aca="false">SUMIFS('12.326ana'!$C:$C,'12.326ana'!$M:$M,redes!A11501)</f>
        <v>0</v>
      </c>
    </row>
    <row r="11502" customFormat="false" ht="14.4" hidden="true" customHeight="false" outlineLevel="0" collapsed="false">
      <c r="A11502" s="34" t="n">
        <v>9601066000101</v>
      </c>
      <c r="B11502" s="34" t="s">
        <v>22538</v>
      </c>
      <c r="C11502" s="34" t="s">
        <v>77</v>
      </c>
      <c r="E11502" s="30" t="s">
        <v>22539</v>
      </c>
      <c r="F11502" s="34" t="n">
        <f aca="false">IFERROR(VLOOKUP($A11502,'319'!$B:$H,7,0),0)</f>
        <v>0</v>
      </c>
      <c r="G11502" s="34" t="n">
        <f aca="false">SUMIFS('12.326ana'!$C:$C,'12.326ana'!$M:$M,redes!A11502)</f>
        <v>0</v>
      </c>
    </row>
    <row r="11503" customFormat="false" ht="14.4" hidden="true" customHeight="false" outlineLevel="0" collapsed="false">
      <c r="A11503" s="34" t="n">
        <v>9602047000108</v>
      </c>
      <c r="B11503" s="34" t="s">
        <v>22540</v>
      </c>
      <c r="C11503" s="34" t="s">
        <v>77</v>
      </c>
      <c r="E11503" s="30" t="s">
        <v>22541</v>
      </c>
      <c r="F11503" s="34" t="n">
        <f aca="false">IFERROR(VLOOKUP($A11503,'319'!$B:$H,7,0),0)</f>
        <v>0</v>
      </c>
      <c r="G11503" s="34" t="n">
        <f aca="false">SUMIFS('12.326ana'!$C:$C,'12.326ana'!$M:$M,redes!A11503)</f>
        <v>0</v>
      </c>
    </row>
    <row r="11504" customFormat="false" ht="14.4" hidden="true" customHeight="false" outlineLevel="0" collapsed="false">
      <c r="A11504" s="34" t="n">
        <v>9602224000148</v>
      </c>
      <c r="B11504" s="34" t="s">
        <v>11161</v>
      </c>
      <c r="C11504" s="34" t="s">
        <v>77</v>
      </c>
      <c r="E11504" s="30" t="s">
        <v>6448</v>
      </c>
      <c r="F11504" s="34" t="n">
        <f aca="false">IFERROR(VLOOKUP($A11504,'319'!$B:$H,7,0),0)</f>
        <v>0</v>
      </c>
      <c r="G11504" s="34" t="n">
        <f aca="false">SUMIFS('12.326ana'!$C:$C,'12.326ana'!$M:$M,redes!A11504)</f>
        <v>0</v>
      </c>
    </row>
    <row r="11505" customFormat="false" ht="14.4" hidden="true" customHeight="false" outlineLevel="0" collapsed="false">
      <c r="A11505" s="34" t="n">
        <v>9605014000103</v>
      </c>
      <c r="B11505" s="34" t="s">
        <v>22542</v>
      </c>
      <c r="C11505" s="34" t="s">
        <v>139</v>
      </c>
      <c r="E11505" s="30" t="s">
        <v>22543</v>
      </c>
      <c r="F11505" s="34" t="n">
        <f aca="false">IFERROR(VLOOKUP($A11505,'319'!$B:$H,7,0),0)</f>
        <v>0</v>
      </c>
      <c r="G11505" s="34" t="n">
        <f aca="false">SUMIFS('12.326ana'!$C:$C,'12.326ana'!$M:$M,redes!A11505)</f>
        <v>0</v>
      </c>
    </row>
    <row r="11506" customFormat="false" ht="14.4" hidden="true" customHeight="false" outlineLevel="0" collapsed="false">
      <c r="A11506" s="34" t="n">
        <v>9606208000123</v>
      </c>
      <c r="B11506" s="34" t="s">
        <v>22544</v>
      </c>
      <c r="C11506" s="34" t="s">
        <v>565</v>
      </c>
      <c r="E11506" s="30" t="s">
        <v>22545</v>
      </c>
      <c r="F11506" s="34" t="n">
        <f aca="false">IFERROR(VLOOKUP($A11506,'319'!$B:$H,7,0),0)</f>
        <v>0</v>
      </c>
      <c r="G11506" s="34" t="n">
        <f aca="false">SUMIFS('12.326ana'!$C:$C,'12.326ana'!$M:$M,redes!A11506)</f>
        <v>0</v>
      </c>
    </row>
    <row r="11507" customFormat="false" ht="14.4" hidden="true" customHeight="false" outlineLevel="0" collapsed="false">
      <c r="A11507" s="34" t="n">
        <v>9607959000164</v>
      </c>
      <c r="B11507" s="34" t="s">
        <v>22546</v>
      </c>
      <c r="C11507" s="34" t="s">
        <v>77</v>
      </c>
      <c r="E11507" s="30" t="s">
        <v>22547</v>
      </c>
      <c r="F11507" s="34" t="n">
        <f aca="false">IFERROR(VLOOKUP($A11507,'319'!$B:$H,7,0),0)</f>
        <v>0</v>
      </c>
      <c r="G11507" s="34" t="n">
        <f aca="false">SUMIFS('12.326ana'!$C:$C,'12.326ana'!$M:$M,redes!A11507)</f>
        <v>0</v>
      </c>
    </row>
    <row r="11508" customFormat="false" ht="14.4" hidden="true" customHeight="false" outlineLevel="0" collapsed="false">
      <c r="A11508" s="34" t="n">
        <v>9608058000197</v>
      </c>
      <c r="B11508" s="34" t="s">
        <v>22548</v>
      </c>
      <c r="C11508" s="34" t="s">
        <v>103</v>
      </c>
      <c r="E11508" s="30" t="s">
        <v>22549</v>
      </c>
      <c r="F11508" s="34" t="n">
        <f aca="false">IFERROR(VLOOKUP($A11508,'319'!$B:$H,7,0),0)</f>
        <v>0</v>
      </c>
      <c r="G11508" s="34" t="n">
        <f aca="false">SUMIFS('12.326ana'!$C:$C,'12.326ana'!$M:$M,redes!A11508)</f>
        <v>0</v>
      </c>
    </row>
    <row r="11509" customFormat="false" ht="14.4" hidden="true" customHeight="false" outlineLevel="0" collapsed="false">
      <c r="A11509" s="34" t="n">
        <v>9611888000173</v>
      </c>
      <c r="B11509" s="34" t="s">
        <v>22550</v>
      </c>
      <c r="C11509" s="34" t="s">
        <v>565</v>
      </c>
      <c r="E11509" s="30" t="s">
        <v>22551</v>
      </c>
      <c r="F11509" s="34" t="n">
        <f aca="false">IFERROR(VLOOKUP($A11509,'319'!$B:$H,7,0),0)</f>
        <v>0</v>
      </c>
      <c r="G11509" s="34" t="n">
        <f aca="false">SUMIFS('12.326ana'!$C:$C,'12.326ana'!$M:$M,redes!A11509)</f>
        <v>0</v>
      </c>
    </row>
    <row r="11510" customFormat="false" ht="14.4" hidden="true" customHeight="false" outlineLevel="0" collapsed="false">
      <c r="A11510" s="34" t="n">
        <v>9616070000143</v>
      </c>
      <c r="B11510" s="34" t="s">
        <v>22552</v>
      </c>
      <c r="C11510" s="34" t="s">
        <v>77</v>
      </c>
      <c r="E11510" s="30" t="s">
        <v>22553</v>
      </c>
      <c r="F11510" s="34" t="n">
        <f aca="false">IFERROR(VLOOKUP($A11510,'319'!$B:$H,7,0),0)</f>
        <v>0</v>
      </c>
      <c r="G11510" s="34" t="n">
        <f aca="false">SUMIFS('12.326ana'!$C:$C,'12.326ana'!$M:$M,redes!A11510)</f>
        <v>0</v>
      </c>
    </row>
    <row r="11511" customFormat="false" ht="14.4" hidden="true" customHeight="false" outlineLevel="0" collapsed="false">
      <c r="A11511" s="34" t="n">
        <v>9625221000120</v>
      </c>
      <c r="B11511" s="34" t="s">
        <v>22554</v>
      </c>
      <c r="C11511" s="34" t="s">
        <v>77</v>
      </c>
      <c r="E11511" s="30" t="s">
        <v>7086</v>
      </c>
      <c r="F11511" s="34" t="n">
        <f aca="false">IFERROR(VLOOKUP($A11511,'319'!$B:$H,7,0),0)</f>
        <v>0</v>
      </c>
      <c r="G11511" s="34" t="n">
        <f aca="false">SUMIFS('12.326ana'!$C:$C,'12.326ana'!$M:$M,redes!A11511)</f>
        <v>0</v>
      </c>
    </row>
    <row r="11512" customFormat="false" ht="14.4" hidden="true" customHeight="false" outlineLevel="0" collapsed="false">
      <c r="A11512" s="34" t="n">
        <v>9625973000190</v>
      </c>
      <c r="B11512" s="34" t="s">
        <v>22555</v>
      </c>
      <c r="C11512" s="34" t="s">
        <v>77</v>
      </c>
      <c r="E11512" s="30" t="s">
        <v>22556</v>
      </c>
      <c r="F11512" s="34" t="n">
        <f aca="false">IFERROR(VLOOKUP($A11512,'319'!$B:$H,7,0),0)</f>
        <v>0</v>
      </c>
      <c r="G11512" s="34" t="n">
        <f aca="false">SUMIFS('12.326ana'!$C:$C,'12.326ana'!$M:$M,redes!A11512)</f>
        <v>0</v>
      </c>
    </row>
    <row r="11513" customFormat="false" ht="14.4" hidden="true" customHeight="false" outlineLevel="0" collapsed="false">
      <c r="A11513" s="34" t="n">
        <v>9629629000170</v>
      </c>
      <c r="B11513" s="34" t="s">
        <v>22557</v>
      </c>
      <c r="C11513" s="34" t="s">
        <v>197</v>
      </c>
      <c r="E11513" s="30" t="s">
        <v>22558</v>
      </c>
      <c r="F11513" s="34" t="n">
        <f aca="false">IFERROR(VLOOKUP($A11513,'319'!$B:$H,7,0),0)</f>
        <v>0</v>
      </c>
      <c r="G11513" s="34" t="n">
        <f aca="false">SUMIFS('12.326ana'!$C:$C,'12.326ana'!$M:$M,redes!A11513)</f>
        <v>0</v>
      </c>
    </row>
    <row r="11514" customFormat="false" ht="14.4" hidden="true" customHeight="false" outlineLevel="0" collapsed="false">
      <c r="A11514" s="34" t="n">
        <v>9632559000109</v>
      </c>
      <c r="B11514" s="34" t="s">
        <v>22559</v>
      </c>
      <c r="C11514" s="34" t="s">
        <v>139</v>
      </c>
      <c r="E11514" s="30" t="s">
        <v>4387</v>
      </c>
      <c r="F11514" s="34" t="n">
        <f aca="false">IFERROR(VLOOKUP($A11514,'319'!$B:$H,7,0),0)</f>
        <v>0</v>
      </c>
      <c r="G11514" s="34" t="n">
        <f aca="false">SUMIFS('12.326ana'!$C:$C,'12.326ana'!$M:$M,redes!A11514)</f>
        <v>0</v>
      </c>
    </row>
    <row r="11515" customFormat="false" ht="14.4" hidden="true" customHeight="false" outlineLevel="0" collapsed="false">
      <c r="A11515" s="34" t="n">
        <v>9634398000192</v>
      </c>
      <c r="B11515" s="34" t="s">
        <v>22560</v>
      </c>
      <c r="C11515" s="34" t="s">
        <v>309</v>
      </c>
      <c r="E11515" s="30" t="s">
        <v>22561</v>
      </c>
      <c r="F11515" s="34" t="n">
        <f aca="false">IFERROR(VLOOKUP($A11515,'319'!$B:$H,7,0),0)</f>
        <v>0</v>
      </c>
      <c r="G11515" s="34" t="n">
        <f aca="false">SUMIFS('12.326ana'!$C:$C,'12.326ana'!$M:$M,redes!A11515)</f>
        <v>0</v>
      </c>
    </row>
    <row r="11516" customFormat="false" ht="14.4" hidden="true" customHeight="false" outlineLevel="0" collapsed="false">
      <c r="A11516" s="34" t="n">
        <v>9634604000164</v>
      </c>
      <c r="B11516" s="34" t="s">
        <v>22562</v>
      </c>
      <c r="C11516" s="34" t="s">
        <v>7250</v>
      </c>
      <c r="E11516" s="30" t="s">
        <v>9010</v>
      </c>
      <c r="F11516" s="34" t="n">
        <f aca="false">IFERROR(VLOOKUP($A11516,'319'!$B:$H,7,0),0)</f>
        <v>0</v>
      </c>
      <c r="G11516" s="34" t="n">
        <f aca="false">SUMIFS('12.326ana'!$C:$C,'12.326ana'!$M:$M,redes!A11516)</f>
        <v>0</v>
      </c>
    </row>
    <row r="11517" customFormat="false" ht="14.4" hidden="true" customHeight="false" outlineLevel="0" collapsed="false">
      <c r="A11517" s="34" t="n">
        <v>9636136000167</v>
      </c>
      <c r="B11517" s="34" t="s">
        <v>22563</v>
      </c>
      <c r="C11517" s="34" t="s">
        <v>103</v>
      </c>
      <c r="E11517" s="30" t="s">
        <v>7262</v>
      </c>
      <c r="F11517" s="34" t="n">
        <f aca="false">IFERROR(VLOOKUP($A11517,'319'!$B:$H,7,0),0)</f>
        <v>0</v>
      </c>
      <c r="G11517" s="34" t="n">
        <f aca="false">SUMIFS('12.326ana'!$C:$C,'12.326ana'!$M:$M,redes!A11517)</f>
        <v>0</v>
      </c>
    </row>
    <row r="11518" customFormat="false" ht="14.4" hidden="true" customHeight="false" outlineLevel="0" collapsed="false">
      <c r="A11518" s="34" t="n">
        <v>9645120000110</v>
      </c>
      <c r="B11518" s="34" t="s">
        <v>22564</v>
      </c>
      <c r="C11518" s="34" t="s">
        <v>197</v>
      </c>
      <c r="E11518" s="30" t="s">
        <v>22565</v>
      </c>
      <c r="F11518" s="34" t="n">
        <f aca="false">IFERROR(VLOOKUP($A11518,'319'!$B:$H,7,0),0)</f>
        <v>0</v>
      </c>
      <c r="G11518" s="34" t="n">
        <f aca="false">SUMIFS('12.326ana'!$C:$C,'12.326ana'!$M:$M,redes!A11518)</f>
        <v>0</v>
      </c>
    </row>
    <row r="11519" customFormat="false" ht="14.4" hidden="true" customHeight="false" outlineLevel="0" collapsed="false">
      <c r="A11519" s="34" t="n">
        <v>9645143000125</v>
      </c>
      <c r="B11519" s="34" t="s">
        <v>22566</v>
      </c>
      <c r="C11519" s="34" t="s">
        <v>463</v>
      </c>
      <c r="E11519" s="30" t="s">
        <v>22567</v>
      </c>
      <c r="F11519" s="34" t="n">
        <f aca="false">IFERROR(VLOOKUP($A11519,'319'!$B:$H,7,0),0)</f>
        <v>0</v>
      </c>
      <c r="G11519" s="34" t="n">
        <f aca="false">SUMIFS('12.326ana'!$C:$C,'12.326ana'!$M:$M,redes!A11519)</f>
        <v>0</v>
      </c>
    </row>
    <row r="11520" customFormat="false" ht="14.4" hidden="true" customHeight="false" outlineLevel="0" collapsed="false">
      <c r="A11520" s="34" t="n">
        <v>9645502000144</v>
      </c>
      <c r="B11520" s="34" t="s">
        <v>22568</v>
      </c>
      <c r="C11520" s="34" t="s">
        <v>328</v>
      </c>
      <c r="E11520" s="30" t="s">
        <v>22569</v>
      </c>
      <c r="F11520" s="34" t="n">
        <f aca="false">IFERROR(VLOOKUP($A11520,'319'!$B:$H,7,0),0)</f>
        <v>0</v>
      </c>
      <c r="G11520" s="34" t="n">
        <f aca="false">SUMIFS('12.326ana'!$C:$C,'12.326ana'!$M:$M,redes!A11520)</f>
        <v>0</v>
      </c>
    </row>
    <row r="11521" customFormat="false" ht="14.4" hidden="true" customHeight="false" outlineLevel="0" collapsed="false">
      <c r="A11521" s="34" t="n">
        <v>9646121000180</v>
      </c>
      <c r="B11521" s="34" t="s">
        <v>22570</v>
      </c>
      <c r="C11521" s="34" t="s">
        <v>967</v>
      </c>
      <c r="E11521" s="30" t="s">
        <v>13544</v>
      </c>
      <c r="F11521" s="34" t="n">
        <f aca="false">IFERROR(VLOOKUP($A11521,'319'!$B:$H,7,0),0)</f>
        <v>0</v>
      </c>
      <c r="G11521" s="34" t="n">
        <f aca="false">SUMIFS('12.326ana'!$C:$C,'12.326ana'!$M:$M,redes!A11521)</f>
        <v>0</v>
      </c>
    </row>
    <row r="11522" customFormat="false" ht="14.4" hidden="true" customHeight="false" outlineLevel="0" collapsed="false">
      <c r="A11522" s="34" t="n">
        <v>9646121000260</v>
      </c>
      <c r="B11522" s="34" t="s">
        <v>22571</v>
      </c>
      <c r="C11522" s="34" t="s">
        <v>336</v>
      </c>
      <c r="E11522" s="30" t="s">
        <v>3558</v>
      </c>
      <c r="F11522" s="34" t="n">
        <f aca="false">IFERROR(VLOOKUP($A11522,'319'!$B:$H,7,0),0)</f>
        <v>0</v>
      </c>
      <c r="G11522" s="34" t="n">
        <f aca="false">SUMIFS('12.326ana'!$C:$C,'12.326ana'!$M:$M,redes!A11522)</f>
        <v>0</v>
      </c>
    </row>
    <row r="11523" customFormat="false" ht="14.4" hidden="true" customHeight="false" outlineLevel="0" collapsed="false">
      <c r="A11523" s="34" t="n">
        <v>9646760000145</v>
      </c>
      <c r="B11523" s="34" t="s">
        <v>22572</v>
      </c>
      <c r="C11523" s="34" t="s">
        <v>103</v>
      </c>
      <c r="E11523" s="30" t="s">
        <v>22573</v>
      </c>
      <c r="F11523" s="34" t="n">
        <f aca="false">IFERROR(VLOOKUP($A11523,'319'!$B:$H,7,0),0)</f>
        <v>0</v>
      </c>
      <c r="G11523" s="34" t="n">
        <f aca="false">SUMIFS('12.326ana'!$C:$C,'12.326ana'!$M:$M,redes!A11523)</f>
        <v>0</v>
      </c>
    </row>
    <row r="11524" customFormat="false" ht="14.4" hidden="true" customHeight="false" outlineLevel="0" collapsed="false">
      <c r="A11524" s="34" t="n">
        <v>9648820000169</v>
      </c>
      <c r="B11524" s="34" t="s">
        <v>22574</v>
      </c>
      <c r="C11524" s="34" t="s">
        <v>77</v>
      </c>
      <c r="E11524" s="30" t="s">
        <v>11160</v>
      </c>
      <c r="F11524" s="34" t="n">
        <f aca="false">IFERROR(VLOOKUP($A11524,'319'!$B:$H,7,0),0)</f>
        <v>0</v>
      </c>
      <c r="G11524" s="34" t="n">
        <f aca="false">SUMIFS('12.326ana'!$C:$C,'12.326ana'!$M:$M,redes!A11524)</f>
        <v>0</v>
      </c>
    </row>
    <row r="11525" customFormat="false" ht="14.4" hidden="true" customHeight="false" outlineLevel="0" collapsed="false">
      <c r="A11525" s="34" t="n">
        <v>9649779000145</v>
      </c>
      <c r="B11525" s="34" t="s">
        <v>22575</v>
      </c>
      <c r="C11525" s="34" t="s">
        <v>994</v>
      </c>
      <c r="E11525" s="30" t="s">
        <v>22576</v>
      </c>
      <c r="F11525" s="34" t="n">
        <f aca="false">IFERROR(VLOOKUP($A11525,'319'!$B:$H,7,0),0)</f>
        <v>0</v>
      </c>
      <c r="G11525" s="34" t="n">
        <f aca="false">SUMIFS('12.326ana'!$C:$C,'12.326ana'!$M:$M,redes!A11525)</f>
        <v>0</v>
      </c>
    </row>
    <row r="11526" customFormat="false" ht="14.4" hidden="true" customHeight="false" outlineLevel="0" collapsed="false">
      <c r="A11526" s="34" t="n">
        <v>9653289000112</v>
      </c>
      <c r="B11526" s="34" t="s">
        <v>22577</v>
      </c>
      <c r="C11526" s="34" t="s">
        <v>77</v>
      </c>
      <c r="E11526" s="30" t="s">
        <v>22578</v>
      </c>
      <c r="F11526" s="34" t="n">
        <f aca="false">IFERROR(VLOOKUP($A11526,'319'!$B:$H,7,0),0)</f>
        <v>0</v>
      </c>
      <c r="G11526" s="34" t="n">
        <f aca="false">SUMIFS('12.326ana'!$C:$C,'12.326ana'!$M:$M,redes!A11526)</f>
        <v>0</v>
      </c>
    </row>
    <row r="11527" customFormat="false" ht="14.4" hidden="true" customHeight="false" outlineLevel="0" collapsed="false">
      <c r="A11527" s="34" t="n">
        <v>9653358000198</v>
      </c>
      <c r="B11527" s="34" t="s">
        <v>22579</v>
      </c>
      <c r="C11527" s="34" t="s">
        <v>77</v>
      </c>
      <c r="E11527" s="30" t="s">
        <v>22580</v>
      </c>
      <c r="F11527" s="34" t="n">
        <f aca="false">IFERROR(VLOOKUP($A11527,'319'!$B:$H,7,0),0)</f>
        <v>0</v>
      </c>
      <c r="G11527" s="34" t="n">
        <f aca="false">SUMIFS('12.326ana'!$C:$C,'12.326ana'!$M:$M,redes!A11527)</f>
        <v>0</v>
      </c>
    </row>
    <row r="11528" customFormat="false" ht="14.4" hidden="true" customHeight="false" outlineLevel="0" collapsed="false">
      <c r="A11528" s="34" t="n">
        <v>9657375000101</v>
      </c>
      <c r="B11528" s="34" t="s">
        <v>22581</v>
      </c>
      <c r="C11528" s="34" t="s">
        <v>77</v>
      </c>
      <c r="E11528" s="30" t="s">
        <v>22582</v>
      </c>
      <c r="F11528" s="34" t="n">
        <f aca="false">IFERROR(VLOOKUP($A11528,'319'!$B:$H,7,0),0)</f>
        <v>0</v>
      </c>
      <c r="G11528" s="34" t="n">
        <f aca="false">SUMIFS('12.326ana'!$C:$C,'12.326ana'!$M:$M,redes!A11528)</f>
        <v>0</v>
      </c>
    </row>
    <row r="11529" customFormat="false" ht="14.4" hidden="true" customHeight="false" outlineLevel="0" collapsed="false">
      <c r="A11529" s="34" t="n">
        <v>9661256000114</v>
      </c>
      <c r="B11529" s="34" t="s">
        <v>22583</v>
      </c>
      <c r="C11529" s="34" t="s">
        <v>77</v>
      </c>
      <c r="E11529" s="30" t="s">
        <v>12450</v>
      </c>
      <c r="F11529" s="34" t="n">
        <f aca="false">IFERROR(VLOOKUP($A11529,'319'!$B:$H,7,0),0)</f>
        <v>0</v>
      </c>
      <c r="G11529" s="34" t="n">
        <f aca="false">SUMIFS('12.326ana'!$C:$C,'12.326ana'!$M:$M,redes!A11529)</f>
        <v>0</v>
      </c>
    </row>
    <row r="11530" customFormat="false" ht="14.4" hidden="true" customHeight="false" outlineLevel="0" collapsed="false">
      <c r="A11530" s="34" t="n">
        <v>9661980000148</v>
      </c>
      <c r="B11530" s="34" t="s">
        <v>22584</v>
      </c>
      <c r="C11530" s="34" t="s">
        <v>77</v>
      </c>
      <c r="E11530" s="30" t="s">
        <v>3505</v>
      </c>
      <c r="F11530" s="34" t="n">
        <f aca="false">IFERROR(VLOOKUP($A11530,'319'!$B:$H,7,0),0)</f>
        <v>0</v>
      </c>
      <c r="G11530" s="34" t="n">
        <f aca="false">SUMIFS('12.326ana'!$C:$C,'12.326ana'!$M:$M,redes!A11530)</f>
        <v>0</v>
      </c>
    </row>
    <row r="11531" customFormat="false" ht="14.4" hidden="true" customHeight="false" outlineLevel="0" collapsed="false">
      <c r="A11531" s="34" t="n">
        <v>9676128000144</v>
      </c>
      <c r="B11531" s="34" t="s">
        <v>22585</v>
      </c>
      <c r="C11531" s="34" t="s">
        <v>103</v>
      </c>
      <c r="E11531" s="30" t="s">
        <v>22586</v>
      </c>
      <c r="F11531" s="34" t="n">
        <f aca="false">IFERROR(VLOOKUP($A11531,'319'!$B:$H,7,0),0)</f>
        <v>0</v>
      </c>
      <c r="G11531" s="34" t="n">
        <f aca="false">SUMIFS('12.326ana'!$C:$C,'12.326ana'!$M:$M,redes!A11531)</f>
        <v>0</v>
      </c>
    </row>
    <row r="11532" customFormat="false" ht="14.4" hidden="true" customHeight="false" outlineLevel="0" collapsed="false">
      <c r="A11532" s="34" t="n">
        <v>9686967000143</v>
      </c>
      <c r="B11532" s="34" t="s">
        <v>22587</v>
      </c>
      <c r="C11532" s="34" t="s">
        <v>979</v>
      </c>
      <c r="E11532" s="30" t="s">
        <v>8915</v>
      </c>
      <c r="F11532" s="34" t="n">
        <f aca="false">IFERROR(VLOOKUP($A11532,'319'!$B:$H,7,0),0)</f>
        <v>0</v>
      </c>
      <c r="G11532" s="34" t="n">
        <f aca="false">SUMIFS('12.326ana'!$C:$C,'12.326ana'!$M:$M,redes!A11532)</f>
        <v>0</v>
      </c>
    </row>
    <row r="11533" customFormat="false" ht="14.4" hidden="true" customHeight="false" outlineLevel="0" collapsed="false">
      <c r="A11533" s="34" t="n">
        <v>9721230000114</v>
      </c>
      <c r="B11533" s="34" t="s">
        <v>22588</v>
      </c>
      <c r="C11533" s="34" t="s">
        <v>77</v>
      </c>
      <c r="E11533" s="30" t="s">
        <v>10663</v>
      </c>
      <c r="F11533" s="34" t="n">
        <f aca="false">IFERROR(VLOOKUP($A11533,'319'!$B:$H,7,0),0)</f>
        <v>0</v>
      </c>
      <c r="G11533" s="34" t="n">
        <f aca="false">SUMIFS('12.326ana'!$C:$C,'12.326ana'!$M:$M,redes!A11533)</f>
        <v>0</v>
      </c>
    </row>
    <row r="11534" customFormat="false" ht="14.4" hidden="true" customHeight="false" outlineLevel="0" collapsed="false">
      <c r="A11534" s="34" t="n">
        <v>9721313000103</v>
      </c>
      <c r="B11534" s="34" t="s">
        <v>22589</v>
      </c>
      <c r="C11534" s="34" t="s">
        <v>77</v>
      </c>
      <c r="E11534" s="30" t="s">
        <v>3807</v>
      </c>
      <c r="F11534" s="34" t="n">
        <f aca="false">IFERROR(VLOOKUP($A11534,'319'!$B:$H,7,0),0)</f>
        <v>0</v>
      </c>
      <c r="G11534" s="34" t="n">
        <f aca="false">SUMIFS('12.326ana'!$C:$C,'12.326ana'!$M:$M,redes!A11534)</f>
        <v>0</v>
      </c>
    </row>
    <row r="11535" customFormat="false" ht="14.4" hidden="true" customHeight="false" outlineLevel="0" collapsed="false">
      <c r="A11535" s="34" t="n">
        <v>9721415000129</v>
      </c>
      <c r="B11535" s="34" t="s">
        <v>22590</v>
      </c>
      <c r="C11535" s="34" t="s">
        <v>309</v>
      </c>
      <c r="E11535" s="30" t="s">
        <v>22591</v>
      </c>
      <c r="F11535" s="34" t="n">
        <f aca="false">IFERROR(VLOOKUP($A11535,'319'!$B:$H,7,0),0)</f>
        <v>0</v>
      </c>
      <c r="G11535" s="34" t="n">
        <f aca="false">SUMIFS('12.326ana'!$C:$C,'12.326ana'!$M:$M,redes!A11535)</f>
        <v>0</v>
      </c>
    </row>
    <row r="11536" customFormat="false" ht="14.4" hidden="true" customHeight="false" outlineLevel="0" collapsed="false">
      <c r="A11536" s="34" t="n">
        <v>9912763000183</v>
      </c>
      <c r="B11536" s="34" t="s">
        <v>22592</v>
      </c>
      <c r="C11536" s="34" t="s">
        <v>89</v>
      </c>
      <c r="E11536" s="30" t="s">
        <v>22593</v>
      </c>
      <c r="F11536" s="34" t="n">
        <f aca="false">IFERROR(VLOOKUP($A11536,'319'!$B:$H,7,0),0)</f>
        <v>0</v>
      </c>
      <c r="G11536" s="34" t="n">
        <f aca="false">SUMIFS('12.326ana'!$C:$C,'12.326ana'!$M:$M,redes!A11536)</f>
        <v>0</v>
      </c>
    </row>
    <row r="11537" customFormat="false" ht="14.4" hidden="true" customHeight="false" outlineLevel="0" collapsed="false">
      <c r="A11537" s="34" t="n">
        <v>10015413000101</v>
      </c>
      <c r="B11537" s="34" t="s">
        <v>22594</v>
      </c>
      <c r="C11537" s="34" t="s">
        <v>139</v>
      </c>
      <c r="E11537" s="30" t="s">
        <v>22595</v>
      </c>
      <c r="F11537" s="34" t="n">
        <f aca="false">IFERROR(VLOOKUP($A11537,'319'!$B:$H,7,0),0)</f>
        <v>0</v>
      </c>
      <c r="G11537" s="34" t="n">
        <f aca="false">SUMIFS('12.326ana'!$C:$C,'12.326ana'!$M:$M,redes!A11537)</f>
        <v>0</v>
      </c>
    </row>
    <row r="11538" customFormat="false" ht="14.4" hidden="true" customHeight="false" outlineLevel="0" collapsed="false">
      <c r="A11538" s="34" t="n">
        <v>10015534000145</v>
      </c>
      <c r="B11538" s="34" t="s">
        <v>22596</v>
      </c>
      <c r="C11538" s="34" t="s">
        <v>77</v>
      </c>
      <c r="E11538" s="30" t="s">
        <v>4276</v>
      </c>
      <c r="F11538" s="34" t="n">
        <f aca="false">IFERROR(VLOOKUP($A11538,'319'!$B:$H,7,0),0)</f>
        <v>0</v>
      </c>
      <c r="G11538" s="34" t="n">
        <f aca="false">SUMIFS('12.326ana'!$C:$C,'12.326ana'!$M:$M,redes!A11538)</f>
        <v>0</v>
      </c>
    </row>
    <row r="11539" customFormat="false" ht="14.4" hidden="true" customHeight="false" outlineLevel="0" collapsed="false">
      <c r="A11539" s="34" t="n">
        <v>10141122000151</v>
      </c>
      <c r="B11539" s="34" t="s">
        <v>22597</v>
      </c>
      <c r="C11539" s="34" t="s">
        <v>781</v>
      </c>
      <c r="E11539" s="30" t="s">
        <v>22598</v>
      </c>
      <c r="F11539" s="34" t="n">
        <f aca="false">IFERROR(VLOOKUP($A11539,'319'!$B:$H,7,0),0)</f>
        <v>0</v>
      </c>
      <c r="G11539" s="34" t="n">
        <f aca="false">SUMIFS('12.326ana'!$C:$C,'12.326ana'!$M:$M,redes!A11539)</f>
        <v>0</v>
      </c>
    </row>
    <row r="11540" customFormat="false" ht="14.4" hidden="true" customHeight="false" outlineLevel="0" collapsed="false">
      <c r="A11540" s="34" t="n">
        <v>10141170000140</v>
      </c>
      <c r="B11540" s="34" t="s">
        <v>812</v>
      </c>
      <c r="C11540" s="34" t="s">
        <v>1341</v>
      </c>
      <c r="E11540" s="30" t="s">
        <v>22599</v>
      </c>
      <c r="F11540" s="34" t="n">
        <f aca="false">IFERROR(VLOOKUP($A11540,'319'!$B:$H,7,0),0)</f>
        <v>2550.96</v>
      </c>
      <c r="G11540" s="34" t="n">
        <f aca="false">SUMIFS('12.326ana'!$C:$C,'12.326ana'!$M:$M,redes!A11540)</f>
        <v>0</v>
      </c>
    </row>
    <row r="11541" customFormat="false" ht="14.4" hidden="true" customHeight="false" outlineLevel="0" collapsed="false">
      <c r="A11541" s="34" t="n">
        <v>10143897000166</v>
      </c>
      <c r="B11541" s="34" t="s">
        <v>22600</v>
      </c>
      <c r="C11541" s="34" t="s">
        <v>139</v>
      </c>
      <c r="E11541" s="30" t="s">
        <v>22601</v>
      </c>
      <c r="F11541" s="34" t="n">
        <f aca="false">IFERROR(VLOOKUP($A11541,'319'!$B:$H,7,0),0)</f>
        <v>0</v>
      </c>
      <c r="G11541" s="34" t="n">
        <f aca="false">SUMIFS('12.326ana'!$C:$C,'12.326ana'!$M:$M,redes!A11541)</f>
        <v>0</v>
      </c>
    </row>
    <row r="11542" customFormat="false" ht="14.4" hidden="true" customHeight="false" outlineLevel="0" collapsed="false">
      <c r="A11542" s="34" t="n">
        <v>10171991000129</v>
      </c>
      <c r="B11542" s="34" t="s">
        <v>22602</v>
      </c>
      <c r="C11542" s="34" t="s">
        <v>89</v>
      </c>
      <c r="E11542" s="30" t="s">
        <v>22603</v>
      </c>
      <c r="F11542" s="34" t="n">
        <f aca="false">IFERROR(VLOOKUP($A11542,'319'!$B:$H,7,0),0)</f>
        <v>0</v>
      </c>
      <c r="G11542" s="34" t="n">
        <f aca="false">SUMIFS('12.326ana'!$C:$C,'12.326ana'!$M:$M,redes!A11542)</f>
        <v>0</v>
      </c>
    </row>
    <row r="11543" customFormat="false" ht="14.4" hidden="true" customHeight="false" outlineLevel="0" collapsed="false">
      <c r="A11543" s="34" t="n">
        <v>10172366000100</v>
      </c>
      <c r="B11543" s="34" t="s">
        <v>22604</v>
      </c>
      <c r="C11543" s="34" t="s">
        <v>77</v>
      </c>
      <c r="E11543" s="30" t="s">
        <v>3078</v>
      </c>
      <c r="F11543" s="34" t="n">
        <f aca="false">IFERROR(VLOOKUP($A11543,'319'!$B:$H,7,0),0)</f>
        <v>0</v>
      </c>
      <c r="G11543" s="34" t="n">
        <f aca="false">SUMIFS('12.326ana'!$C:$C,'12.326ana'!$M:$M,redes!A11543)</f>
        <v>0</v>
      </c>
    </row>
    <row r="11544" customFormat="false" ht="14.4" hidden="true" customHeight="false" outlineLevel="0" collapsed="false">
      <c r="A11544" s="34" t="n">
        <v>10172695000142</v>
      </c>
      <c r="B11544" s="34" t="s">
        <v>22605</v>
      </c>
      <c r="C11544" s="34" t="s">
        <v>737</v>
      </c>
      <c r="E11544" s="30" t="s">
        <v>8864</v>
      </c>
      <c r="F11544" s="34" t="n">
        <f aca="false">IFERROR(VLOOKUP($A11544,'319'!$B:$H,7,0),0)</f>
        <v>0</v>
      </c>
      <c r="G11544" s="34" t="n">
        <f aca="false">SUMIFS('12.326ana'!$C:$C,'12.326ana'!$M:$M,redes!A11544)</f>
        <v>0</v>
      </c>
    </row>
    <row r="11545" customFormat="false" ht="14.4" hidden="true" customHeight="false" outlineLevel="0" collapsed="false">
      <c r="A11545" s="34" t="n">
        <v>10176136000100</v>
      </c>
      <c r="B11545" s="34" t="s">
        <v>22606</v>
      </c>
      <c r="C11545" s="34" t="s">
        <v>976</v>
      </c>
      <c r="E11545" s="30" t="s">
        <v>22266</v>
      </c>
      <c r="F11545" s="34" t="n">
        <f aca="false">IFERROR(VLOOKUP($A11545,'319'!$B:$H,7,0),0)</f>
        <v>0</v>
      </c>
      <c r="G11545" s="34" t="n">
        <f aca="false">SUMIFS('12.326ana'!$C:$C,'12.326ana'!$M:$M,redes!A11545)</f>
        <v>0</v>
      </c>
    </row>
    <row r="11546" customFormat="false" ht="14.4" hidden="true" customHeight="false" outlineLevel="0" collapsed="false">
      <c r="A11546" s="34" t="n">
        <v>10189407000162</v>
      </c>
      <c r="B11546" s="34" t="s">
        <v>22607</v>
      </c>
      <c r="C11546" s="34" t="s">
        <v>77</v>
      </c>
      <c r="E11546" s="30" t="s">
        <v>22608</v>
      </c>
      <c r="F11546" s="34" t="n">
        <f aca="false">IFERROR(VLOOKUP($A11546,'319'!$B:$H,7,0),0)</f>
        <v>0</v>
      </c>
      <c r="G11546" s="34" t="n">
        <f aca="false">SUMIFS('12.326ana'!$C:$C,'12.326ana'!$M:$M,redes!A11546)</f>
        <v>0</v>
      </c>
    </row>
    <row r="11547" customFormat="false" ht="14.4" hidden="true" customHeight="false" outlineLevel="0" collapsed="false">
      <c r="A11547" s="34" t="n">
        <v>10192878000120</v>
      </c>
      <c r="B11547" s="34" t="s">
        <v>22609</v>
      </c>
      <c r="C11547" s="34" t="s">
        <v>475</v>
      </c>
      <c r="E11547" s="30" t="s">
        <v>9664</v>
      </c>
      <c r="F11547" s="34" t="n">
        <f aca="false">IFERROR(VLOOKUP($A11547,'319'!$B:$H,7,0),0)</f>
        <v>0</v>
      </c>
      <c r="G11547" s="34" t="n">
        <f aca="false">SUMIFS('12.326ana'!$C:$C,'12.326ana'!$M:$M,redes!A11547)</f>
        <v>0</v>
      </c>
    </row>
    <row r="11548" customFormat="false" ht="14.4" hidden="true" customHeight="false" outlineLevel="0" collapsed="false">
      <c r="A11548" s="34" t="n">
        <v>10198391000154</v>
      </c>
      <c r="B11548" s="34" t="s">
        <v>22610</v>
      </c>
      <c r="C11548" s="34" t="s">
        <v>848</v>
      </c>
      <c r="D11548" s="34" t="s">
        <v>14479</v>
      </c>
      <c r="E11548" s="30" t="s">
        <v>14480</v>
      </c>
      <c r="F11548" s="34" t="n">
        <f aca="false">IFERROR(VLOOKUP($A11548,'319'!$B:$H,7,0),0)</f>
        <v>0</v>
      </c>
      <c r="G11548" s="34" t="n">
        <f aca="false">SUMIFS('12.326ana'!$C:$C,'12.326ana'!$M:$M,redes!A11548)</f>
        <v>0</v>
      </c>
    </row>
    <row r="11549" customFormat="false" ht="14.4" hidden="true" customHeight="false" outlineLevel="0" collapsed="false">
      <c r="A11549" s="34" t="n">
        <v>10202811000129</v>
      </c>
      <c r="B11549" s="34" t="s">
        <v>22611</v>
      </c>
      <c r="C11549" s="34" t="s">
        <v>594</v>
      </c>
      <c r="E11549" s="30" t="s">
        <v>20802</v>
      </c>
      <c r="F11549" s="34" t="n">
        <f aca="false">IFERROR(VLOOKUP($A11549,'319'!$B:$H,7,0),0)</f>
        <v>0</v>
      </c>
      <c r="G11549" s="34" t="n">
        <f aca="false">SUMIFS('12.326ana'!$C:$C,'12.326ana'!$M:$M,redes!A11549)</f>
        <v>0</v>
      </c>
    </row>
    <row r="11550" customFormat="false" ht="14.4" hidden="true" customHeight="false" outlineLevel="0" collapsed="false">
      <c r="A11550" s="34" t="n">
        <v>10207427000119</v>
      </c>
      <c r="B11550" s="34" t="s">
        <v>1691</v>
      </c>
      <c r="C11550" s="34" t="s">
        <v>197</v>
      </c>
      <c r="E11550" s="30" t="s">
        <v>8621</v>
      </c>
      <c r="F11550" s="34" t="n">
        <f aca="false">IFERROR(VLOOKUP($A11550,'319'!$B:$H,7,0),0)</f>
        <v>57.22</v>
      </c>
      <c r="G11550" s="34" t="n">
        <f aca="false">SUMIFS('12.326ana'!$C:$C,'12.326ana'!$M:$M,redes!A11550)</f>
        <v>0</v>
      </c>
    </row>
    <row r="11551" customFormat="false" ht="14.4" hidden="true" customHeight="false" outlineLevel="0" collapsed="false">
      <c r="A11551" s="34" t="n">
        <v>10207459000114</v>
      </c>
      <c r="B11551" s="34" t="s">
        <v>22612</v>
      </c>
      <c r="C11551" s="34" t="s">
        <v>197</v>
      </c>
      <c r="E11551" s="30" t="s">
        <v>22613</v>
      </c>
      <c r="F11551" s="34" t="n">
        <f aca="false">IFERROR(VLOOKUP($A11551,'319'!$B:$H,7,0),0)</f>
        <v>0</v>
      </c>
      <c r="G11551" s="34" t="n">
        <f aca="false">SUMIFS('12.326ana'!$C:$C,'12.326ana'!$M:$M,redes!A11551)</f>
        <v>0</v>
      </c>
    </row>
    <row r="11552" customFormat="false" ht="14.4" hidden="true" customHeight="false" outlineLevel="0" collapsed="false">
      <c r="A11552" s="34" t="n">
        <v>10208597000118</v>
      </c>
      <c r="B11552" s="34" t="s">
        <v>22614</v>
      </c>
      <c r="C11552" s="34" t="s">
        <v>77</v>
      </c>
      <c r="E11552" s="30" t="s">
        <v>22615</v>
      </c>
      <c r="F11552" s="34" t="n">
        <f aca="false">IFERROR(VLOOKUP($A11552,'319'!$B:$H,7,0),0)</f>
        <v>0</v>
      </c>
      <c r="G11552" s="34" t="n">
        <f aca="false">SUMIFS('12.326ana'!$C:$C,'12.326ana'!$M:$M,redes!A11552)</f>
        <v>0</v>
      </c>
    </row>
    <row r="11553" customFormat="false" ht="14.4" hidden="true" customHeight="false" outlineLevel="0" collapsed="false">
      <c r="A11553" s="34" t="n">
        <v>10216607000167</v>
      </c>
      <c r="B11553" s="34" t="s">
        <v>22616</v>
      </c>
      <c r="C11553" s="34" t="s">
        <v>713</v>
      </c>
      <c r="E11553" s="30" t="s">
        <v>22617</v>
      </c>
      <c r="F11553" s="34" t="n">
        <f aca="false">IFERROR(VLOOKUP($A11553,'319'!$B:$H,7,0),0)</f>
        <v>0</v>
      </c>
      <c r="G11553" s="34" t="n">
        <f aca="false">SUMIFS('12.326ana'!$C:$C,'12.326ana'!$M:$M,redes!A11553)</f>
        <v>0</v>
      </c>
    </row>
    <row r="11554" customFormat="false" ht="14.4" hidden="true" customHeight="false" outlineLevel="0" collapsed="false">
      <c r="A11554" s="34" t="n">
        <v>10221826000134</v>
      </c>
      <c r="B11554" s="34" t="s">
        <v>22618</v>
      </c>
      <c r="C11554" s="34" t="s">
        <v>107</v>
      </c>
      <c r="E11554" s="30" t="s">
        <v>22619</v>
      </c>
      <c r="F11554" s="34" t="n">
        <f aca="false">IFERROR(VLOOKUP($A11554,'319'!$B:$H,7,0),0)</f>
        <v>0</v>
      </c>
      <c r="G11554" s="34" t="n">
        <f aca="false">SUMIFS('12.326ana'!$C:$C,'12.326ana'!$M:$M,redes!A11554)</f>
        <v>0</v>
      </c>
    </row>
    <row r="11555" customFormat="false" ht="14.4" hidden="true" customHeight="false" outlineLevel="0" collapsed="false">
      <c r="A11555" s="34" t="n">
        <v>10224518000162</v>
      </c>
      <c r="B11555" s="34" t="s">
        <v>22620</v>
      </c>
      <c r="C11555" s="34" t="s">
        <v>598</v>
      </c>
      <c r="E11555" s="30" t="s">
        <v>8293</v>
      </c>
      <c r="F11555" s="34" t="n">
        <f aca="false">IFERROR(VLOOKUP($A11555,'319'!$B:$H,7,0),0)</f>
        <v>0</v>
      </c>
      <c r="G11555" s="34" t="n">
        <f aca="false">SUMIFS('12.326ana'!$C:$C,'12.326ana'!$M:$M,redes!A11555)</f>
        <v>0</v>
      </c>
    </row>
    <row r="11556" customFormat="false" ht="14.4" hidden="true" customHeight="false" outlineLevel="0" collapsed="false">
      <c r="A11556" s="34" t="n">
        <v>10228512000163</v>
      </c>
      <c r="B11556" s="34" t="s">
        <v>22621</v>
      </c>
      <c r="C11556" s="34" t="s">
        <v>737</v>
      </c>
      <c r="E11556" s="30" t="s">
        <v>22622</v>
      </c>
      <c r="F11556" s="34" t="n">
        <f aca="false">IFERROR(VLOOKUP($A11556,'319'!$B:$H,7,0),0)</f>
        <v>0</v>
      </c>
      <c r="G11556" s="34" t="n">
        <f aca="false">SUMIFS('12.326ana'!$C:$C,'12.326ana'!$M:$M,redes!A11556)</f>
        <v>0</v>
      </c>
    </row>
    <row r="11557" customFormat="false" ht="14.4" hidden="true" customHeight="false" outlineLevel="0" collapsed="false">
      <c r="A11557" s="34" t="n">
        <v>10234498000100</v>
      </c>
      <c r="B11557" s="34" t="s">
        <v>22623</v>
      </c>
      <c r="C11557" s="34" t="s">
        <v>478</v>
      </c>
      <c r="E11557" s="30" t="s">
        <v>22624</v>
      </c>
      <c r="F11557" s="34" t="n">
        <f aca="false">IFERROR(VLOOKUP($A11557,'319'!$B:$H,7,0),0)</f>
        <v>0</v>
      </c>
      <c r="G11557" s="34" t="n">
        <f aca="false">SUMIFS('12.326ana'!$C:$C,'12.326ana'!$M:$M,redes!A11557)</f>
        <v>0</v>
      </c>
    </row>
    <row r="11558" customFormat="false" ht="14.4" hidden="true" customHeight="false" outlineLevel="0" collapsed="false">
      <c r="A11558" s="34" t="n">
        <v>10235154000116</v>
      </c>
      <c r="B11558" s="34" t="s">
        <v>22625</v>
      </c>
      <c r="C11558" s="34" t="s">
        <v>77</v>
      </c>
      <c r="D11558" s="34" t="s">
        <v>22233</v>
      </c>
      <c r="E11558" s="30" t="s">
        <v>22626</v>
      </c>
      <c r="F11558" s="34" t="n">
        <f aca="false">IFERROR(VLOOKUP($A11558,'319'!$B:$H,7,0),0)</f>
        <v>0</v>
      </c>
      <c r="G11558" s="34" t="n">
        <f aca="false">SUMIFS('12.326ana'!$C:$C,'12.326ana'!$M:$M,redes!A11558)</f>
        <v>0</v>
      </c>
    </row>
    <row r="11559" customFormat="false" ht="14.4" hidden="true" customHeight="false" outlineLevel="0" collapsed="false">
      <c r="A11559" s="34" t="n">
        <v>10235154000205</v>
      </c>
      <c r="B11559" s="34" t="s">
        <v>22627</v>
      </c>
      <c r="C11559" s="34" t="s">
        <v>77</v>
      </c>
      <c r="D11559" s="34" t="s">
        <v>22233</v>
      </c>
      <c r="E11559" s="30" t="s">
        <v>12885</v>
      </c>
      <c r="F11559" s="34" t="n">
        <f aca="false">IFERROR(VLOOKUP($A11559,'319'!$B:$H,7,0),0)</f>
        <v>0</v>
      </c>
      <c r="G11559" s="34" t="n">
        <f aca="false">SUMIFS('12.326ana'!$C:$C,'12.326ana'!$M:$M,redes!A11559)</f>
        <v>0</v>
      </c>
    </row>
    <row r="11560" customFormat="false" ht="14.4" hidden="true" customHeight="false" outlineLevel="0" collapsed="false">
      <c r="A11560" s="34" t="n">
        <v>10235154000388</v>
      </c>
      <c r="B11560" s="34" t="s">
        <v>22625</v>
      </c>
      <c r="C11560" s="34" t="s">
        <v>77</v>
      </c>
      <c r="D11560" s="34" t="s">
        <v>22233</v>
      </c>
      <c r="E11560" s="30" t="s">
        <v>22628</v>
      </c>
      <c r="F11560" s="34" t="n">
        <f aca="false">IFERROR(VLOOKUP($A11560,'319'!$B:$H,7,0),0)</f>
        <v>0</v>
      </c>
      <c r="G11560" s="34" t="n">
        <f aca="false">SUMIFS('12.326ana'!$C:$C,'12.326ana'!$M:$M,redes!A11560)</f>
        <v>0</v>
      </c>
    </row>
    <row r="11561" customFormat="false" ht="14.4" hidden="true" customHeight="false" outlineLevel="0" collapsed="false">
      <c r="A11561" s="34" t="n">
        <v>10237681000160</v>
      </c>
      <c r="B11561" s="34" t="s">
        <v>22629</v>
      </c>
      <c r="C11561" s="34" t="s">
        <v>7250</v>
      </c>
      <c r="E11561" s="30" t="s">
        <v>5510</v>
      </c>
      <c r="F11561" s="34" t="n">
        <f aca="false">IFERROR(VLOOKUP($A11561,'319'!$B:$H,7,0),0)</f>
        <v>0</v>
      </c>
      <c r="G11561" s="34" t="n">
        <f aca="false">SUMIFS('12.326ana'!$C:$C,'12.326ana'!$M:$M,redes!A11561)</f>
        <v>0</v>
      </c>
    </row>
    <row r="11562" customFormat="false" ht="14.4" hidden="true" customHeight="false" outlineLevel="0" collapsed="false">
      <c r="A11562" s="34" t="n">
        <v>10238369000190</v>
      </c>
      <c r="B11562" s="34" t="s">
        <v>22630</v>
      </c>
      <c r="C11562" s="34" t="s">
        <v>464</v>
      </c>
      <c r="E11562" s="30" t="s">
        <v>22631</v>
      </c>
      <c r="F11562" s="34" t="n">
        <f aca="false">IFERROR(VLOOKUP($A11562,'319'!$B:$H,7,0),0)</f>
        <v>0</v>
      </c>
      <c r="G11562" s="34" t="n">
        <f aca="false">SUMIFS('12.326ana'!$C:$C,'12.326ana'!$M:$M,redes!A11562)</f>
        <v>0</v>
      </c>
    </row>
    <row r="11563" customFormat="false" ht="14.4" hidden="true" customHeight="false" outlineLevel="0" collapsed="false">
      <c r="A11563" s="34" t="n">
        <v>10238386000128</v>
      </c>
      <c r="B11563" s="34" t="s">
        <v>22632</v>
      </c>
      <c r="C11563" s="34" t="s">
        <v>473</v>
      </c>
      <c r="E11563" s="30" t="s">
        <v>22633</v>
      </c>
      <c r="F11563" s="34" t="n">
        <f aca="false">IFERROR(VLOOKUP($A11563,'319'!$B:$H,7,0),0)</f>
        <v>0</v>
      </c>
      <c r="G11563" s="34" t="n">
        <f aca="false">SUMIFS('12.326ana'!$C:$C,'12.326ana'!$M:$M,redes!A11563)</f>
        <v>0</v>
      </c>
    </row>
    <row r="11564" customFormat="false" ht="14.4" hidden="true" customHeight="false" outlineLevel="0" collapsed="false">
      <c r="A11564" s="34" t="n">
        <v>10242357000130</v>
      </c>
      <c r="B11564" s="34" t="s">
        <v>22634</v>
      </c>
      <c r="C11564" s="34" t="s">
        <v>127</v>
      </c>
      <c r="E11564" s="30" t="s">
        <v>6310</v>
      </c>
      <c r="F11564" s="34" t="n">
        <f aca="false">IFERROR(VLOOKUP($A11564,'319'!$B:$H,7,0),0)</f>
        <v>0</v>
      </c>
      <c r="G11564" s="34" t="n">
        <f aca="false">SUMIFS('12.326ana'!$C:$C,'12.326ana'!$M:$M,redes!A11564)</f>
        <v>0</v>
      </c>
    </row>
    <row r="11565" customFormat="false" ht="14.4" hidden="true" customHeight="false" outlineLevel="0" collapsed="false">
      <c r="A11565" s="34" t="n">
        <v>10243919000160</v>
      </c>
      <c r="B11565" s="34" t="s">
        <v>22635</v>
      </c>
      <c r="C11565" s="34" t="s">
        <v>139</v>
      </c>
      <c r="E11565" s="30" t="s">
        <v>22636</v>
      </c>
      <c r="F11565" s="34" t="n">
        <f aca="false">IFERROR(VLOOKUP($A11565,'319'!$B:$H,7,0),0)</f>
        <v>0</v>
      </c>
      <c r="G11565" s="34" t="n">
        <f aca="false">SUMIFS('12.326ana'!$C:$C,'12.326ana'!$M:$M,redes!A11565)</f>
        <v>0</v>
      </c>
    </row>
    <row r="11566" customFormat="false" ht="14.4" hidden="true" customHeight="false" outlineLevel="0" collapsed="false">
      <c r="A11566" s="34" t="n">
        <v>10248351000170</v>
      </c>
      <c r="B11566" s="34" t="s">
        <v>22637</v>
      </c>
      <c r="C11566" s="34" t="s">
        <v>77</v>
      </c>
      <c r="E11566" s="30" t="s">
        <v>22638</v>
      </c>
      <c r="F11566" s="34" t="n">
        <f aca="false">IFERROR(VLOOKUP($A11566,'319'!$B:$H,7,0),0)</f>
        <v>0</v>
      </c>
      <c r="G11566" s="34" t="n">
        <f aca="false">SUMIFS('12.326ana'!$C:$C,'12.326ana'!$M:$M,redes!A11566)</f>
        <v>0</v>
      </c>
    </row>
    <row r="11567" customFormat="false" ht="14.4" hidden="true" customHeight="false" outlineLevel="0" collapsed="false">
      <c r="A11567" s="34" t="n">
        <v>10251462000135</v>
      </c>
      <c r="B11567" s="34" t="s">
        <v>22639</v>
      </c>
      <c r="C11567" s="34" t="s">
        <v>154</v>
      </c>
      <c r="E11567" s="30" t="s">
        <v>22640</v>
      </c>
      <c r="F11567" s="34" t="n">
        <f aca="false">IFERROR(VLOOKUP($A11567,'319'!$B:$H,7,0),0)</f>
        <v>0</v>
      </c>
      <c r="G11567" s="34" t="n">
        <f aca="false">SUMIFS('12.326ana'!$C:$C,'12.326ana'!$M:$M,redes!A11567)</f>
        <v>0</v>
      </c>
    </row>
    <row r="11568" customFormat="false" ht="14.4" hidden="true" customHeight="false" outlineLevel="0" collapsed="false">
      <c r="A11568" s="34" t="n">
        <v>10253726000270</v>
      </c>
      <c r="B11568" s="34" t="s">
        <v>8811</v>
      </c>
      <c r="C11568" s="34" t="s">
        <v>77</v>
      </c>
      <c r="E11568" s="30" t="s">
        <v>22641</v>
      </c>
      <c r="F11568" s="34" t="n">
        <f aca="false">IFERROR(VLOOKUP($A11568,'319'!$B:$H,7,0),0)</f>
        <v>0</v>
      </c>
      <c r="G11568" s="34" t="n">
        <f aca="false">SUMIFS('12.326ana'!$C:$C,'12.326ana'!$M:$M,redes!A11568)</f>
        <v>0</v>
      </c>
    </row>
    <row r="11569" customFormat="false" ht="14.4" hidden="true" customHeight="false" outlineLevel="0" collapsed="false">
      <c r="A11569" s="34" t="n">
        <v>10254453000106</v>
      </c>
      <c r="B11569" s="34" t="s">
        <v>22642</v>
      </c>
      <c r="C11569" s="34" t="s">
        <v>192</v>
      </c>
      <c r="E11569" s="30" t="s">
        <v>22643</v>
      </c>
      <c r="F11569" s="34" t="n">
        <f aca="false">IFERROR(VLOOKUP($A11569,'319'!$B:$H,7,0),0)</f>
        <v>0</v>
      </c>
      <c r="G11569" s="34" t="n">
        <f aca="false">SUMIFS('12.326ana'!$C:$C,'12.326ana'!$M:$M,redes!A11569)</f>
        <v>0</v>
      </c>
    </row>
    <row r="11570" customFormat="false" ht="14.4" hidden="true" customHeight="false" outlineLevel="0" collapsed="false">
      <c r="A11570" s="34" t="n">
        <v>10257359000100</v>
      </c>
      <c r="B11570" s="34" t="s">
        <v>22644</v>
      </c>
      <c r="C11570" s="34" t="s">
        <v>77</v>
      </c>
      <c r="E11570" s="30" t="s">
        <v>22645</v>
      </c>
      <c r="F11570" s="34" t="n">
        <f aca="false">IFERROR(VLOOKUP($A11570,'319'!$B:$H,7,0),0)</f>
        <v>0</v>
      </c>
      <c r="G11570" s="34" t="n">
        <f aca="false">SUMIFS('12.326ana'!$C:$C,'12.326ana'!$M:$M,redes!A11570)</f>
        <v>0</v>
      </c>
    </row>
    <row r="11571" customFormat="false" ht="14.4" hidden="true" customHeight="false" outlineLevel="0" collapsed="false">
      <c r="A11571" s="34" t="n">
        <v>10262105000172</v>
      </c>
      <c r="B11571" s="34" t="s">
        <v>22646</v>
      </c>
      <c r="C11571" s="34" t="s">
        <v>107</v>
      </c>
      <c r="E11571" s="30" t="s">
        <v>22647</v>
      </c>
      <c r="F11571" s="34" t="n">
        <f aca="false">IFERROR(VLOOKUP($A11571,'319'!$B:$H,7,0),0)</f>
        <v>0</v>
      </c>
      <c r="G11571" s="34" t="n">
        <f aca="false">SUMIFS('12.326ana'!$C:$C,'12.326ana'!$M:$M,redes!A11571)</f>
        <v>0</v>
      </c>
    </row>
    <row r="11572" customFormat="false" ht="14.4" hidden="true" customHeight="false" outlineLevel="0" collapsed="false">
      <c r="A11572" s="34" t="n">
        <v>10268115000115</v>
      </c>
      <c r="B11572" s="34" t="s">
        <v>22648</v>
      </c>
      <c r="C11572" s="34" t="s">
        <v>781</v>
      </c>
      <c r="E11572" s="30" t="s">
        <v>22649</v>
      </c>
      <c r="F11572" s="34" t="n">
        <f aca="false">IFERROR(VLOOKUP($A11572,'319'!$B:$H,7,0),0)</f>
        <v>0</v>
      </c>
      <c r="G11572" s="34" t="n">
        <f aca="false">SUMIFS('12.326ana'!$C:$C,'12.326ana'!$M:$M,redes!A11572)</f>
        <v>0</v>
      </c>
    </row>
    <row r="11573" customFormat="false" ht="14.4" hidden="true" customHeight="false" outlineLevel="0" collapsed="false">
      <c r="A11573" s="34" t="n">
        <v>10268394000117</v>
      </c>
      <c r="B11573" s="34" t="s">
        <v>22650</v>
      </c>
      <c r="C11573" s="34" t="s">
        <v>809</v>
      </c>
      <c r="E11573" s="30" t="s">
        <v>22651</v>
      </c>
      <c r="F11573" s="34" t="n">
        <f aca="false">IFERROR(VLOOKUP($A11573,'319'!$B:$H,7,0),0)</f>
        <v>0</v>
      </c>
      <c r="G11573" s="34" t="n">
        <f aca="false">SUMIFS('12.326ana'!$C:$C,'12.326ana'!$M:$M,redes!A11573)</f>
        <v>0</v>
      </c>
    </row>
    <row r="11574" customFormat="false" ht="14.4" hidden="true" customHeight="false" outlineLevel="0" collapsed="false">
      <c r="A11574" s="34" t="n">
        <v>10268471000139</v>
      </c>
      <c r="B11574" s="34" t="s">
        <v>22652</v>
      </c>
      <c r="C11574" s="34" t="s">
        <v>77</v>
      </c>
      <c r="E11574" s="30" t="s">
        <v>22653</v>
      </c>
      <c r="F11574" s="34" t="n">
        <f aca="false">IFERROR(VLOOKUP($A11574,'319'!$B:$H,7,0),0)</f>
        <v>0</v>
      </c>
      <c r="G11574" s="34" t="n">
        <f aca="false">SUMIFS('12.326ana'!$C:$C,'12.326ana'!$M:$M,redes!A11574)</f>
        <v>0</v>
      </c>
    </row>
    <row r="11575" customFormat="false" ht="14.4" hidden="true" customHeight="false" outlineLevel="0" collapsed="false">
      <c r="A11575" s="34" t="n">
        <v>10272710000124</v>
      </c>
      <c r="B11575" s="34" t="s">
        <v>22654</v>
      </c>
      <c r="C11575" s="34" t="s">
        <v>594</v>
      </c>
      <c r="E11575" s="30" t="s">
        <v>22655</v>
      </c>
      <c r="F11575" s="34" t="n">
        <f aca="false">IFERROR(VLOOKUP($A11575,'319'!$B:$H,7,0),0)</f>
        <v>0</v>
      </c>
      <c r="G11575" s="34" t="n">
        <f aca="false">SUMIFS('12.326ana'!$C:$C,'12.326ana'!$M:$M,redes!A11575)</f>
        <v>0</v>
      </c>
    </row>
    <row r="11576" customFormat="false" ht="14.4" hidden="true" customHeight="false" outlineLevel="0" collapsed="false">
      <c r="A11576" s="34" t="n">
        <v>10275044000188</v>
      </c>
      <c r="B11576" s="34" t="s">
        <v>22656</v>
      </c>
      <c r="C11576" s="34" t="s">
        <v>77</v>
      </c>
      <c r="E11576" s="30" t="s">
        <v>6885</v>
      </c>
      <c r="F11576" s="34" t="n">
        <f aca="false">IFERROR(VLOOKUP($A11576,'319'!$B:$H,7,0),0)</f>
        <v>0</v>
      </c>
      <c r="G11576" s="34" t="n">
        <f aca="false">SUMIFS('12.326ana'!$C:$C,'12.326ana'!$M:$M,redes!A11576)</f>
        <v>0</v>
      </c>
    </row>
    <row r="11577" customFormat="false" ht="14.4" hidden="true" customHeight="false" outlineLevel="0" collapsed="false">
      <c r="A11577" s="34" t="n">
        <v>10275605000149</v>
      </c>
      <c r="B11577" s="34" t="s">
        <v>22657</v>
      </c>
      <c r="C11577" s="34" t="s">
        <v>77</v>
      </c>
      <c r="E11577" s="30" t="s">
        <v>22658</v>
      </c>
      <c r="F11577" s="34" t="n">
        <f aca="false">IFERROR(VLOOKUP($A11577,'319'!$B:$H,7,0),0)</f>
        <v>0</v>
      </c>
      <c r="G11577" s="34" t="n">
        <f aca="false">SUMIFS('12.326ana'!$C:$C,'12.326ana'!$M:$M,redes!A11577)</f>
        <v>0</v>
      </c>
    </row>
    <row r="11578" customFormat="false" ht="14.4" hidden="true" customHeight="false" outlineLevel="0" collapsed="false">
      <c r="A11578" s="34" t="n">
        <v>10276213000102</v>
      </c>
      <c r="B11578" s="34" t="s">
        <v>22659</v>
      </c>
      <c r="C11578" s="34" t="s">
        <v>207</v>
      </c>
      <c r="E11578" s="30" t="s">
        <v>22660</v>
      </c>
      <c r="F11578" s="34" t="n">
        <f aca="false">IFERROR(VLOOKUP($A11578,'319'!$B:$H,7,0),0)</f>
        <v>0</v>
      </c>
      <c r="G11578" s="34" t="n">
        <f aca="false">SUMIFS('12.326ana'!$C:$C,'12.326ana'!$M:$M,redes!A11578)</f>
        <v>0</v>
      </c>
    </row>
    <row r="11579" customFormat="false" ht="14.4" hidden="true" customHeight="false" outlineLevel="0" collapsed="false">
      <c r="A11579" s="34" t="n">
        <v>10276789000161</v>
      </c>
      <c r="B11579" s="34" t="s">
        <v>22661</v>
      </c>
      <c r="C11579" s="34" t="s">
        <v>107</v>
      </c>
      <c r="E11579" s="30" t="s">
        <v>22661</v>
      </c>
      <c r="F11579" s="34" t="n">
        <f aca="false">IFERROR(VLOOKUP($A11579,'319'!$B:$H,7,0),0)</f>
        <v>0</v>
      </c>
      <c r="G11579" s="34" t="n">
        <f aca="false">SUMIFS('12.326ana'!$C:$C,'12.326ana'!$M:$M,redes!A11579)</f>
        <v>0</v>
      </c>
    </row>
    <row r="11580" customFormat="false" ht="14.4" hidden="true" customHeight="false" outlineLevel="0" collapsed="false">
      <c r="A11580" s="34" t="n">
        <v>10278029000193</v>
      </c>
      <c r="B11580" s="34" t="s">
        <v>22662</v>
      </c>
      <c r="C11580" s="34" t="s">
        <v>77</v>
      </c>
      <c r="E11580" s="30" t="s">
        <v>22663</v>
      </c>
      <c r="F11580" s="34" t="n">
        <f aca="false">IFERROR(VLOOKUP($A11580,'319'!$B:$H,7,0),0)</f>
        <v>0</v>
      </c>
      <c r="G11580" s="34" t="n">
        <f aca="false">SUMIFS('12.326ana'!$C:$C,'12.326ana'!$M:$M,redes!A11580)</f>
        <v>0</v>
      </c>
    </row>
    <row r="11581" customFormat="false" ht="14.4" hidden="true" customHeight="false" outlineLevel="0" collapsed="false">
      <c r="A11581" s="34" t="n">
        <v>10278888001154</v>
      </c>
      <c r="B11581" s="34" t="s">
        <v>22664</v>
      </c>
      <c r="C11581" s="34" t="s">
        <v>77</v>
      </c>
      <c r="E11581" s="30" t="s">
        <v>22665</v>
      </c>
      <c r="F11581" s="34" t="n">
        <f aca="false">IFERROR(VLOOKUP($A11581,'319'!$B:$H,7,0),0)</f>
        <v>0</v>
      </c>
      <c r="G11581" s="34" t="n">
        <f aca="false">SUMIFS('12.326ana'!$C:$C,'12.326ana'!$M:$M,redes!A11581)</f>
        <v>0</v>
      </c>
    </row>
    <row r="11582" customFormat="false" ht="14.4" hidden="true" customHeight="false" outlineLevel="0" collapsed="false">
      <c r="A11582" s="34" t="n">
        <v>10279533000108</v>
      </c>
      <c r="B11582" s="34" t="s">
        <v>22666</v>
      </c>
      <c r="C11582" s="34" t="s">
        <v>935</v>
      </c>
      <c r="E11582" s="30" t="s">
        <v>13544</v>
      </c>
      <c r="F11582" s="34" t="n">
        <f aca="false">IFERROR(VLOOKUP($A11582,'319'!$B:$H,7,0),0)</f>
        <v>0</v>
      </c>
      <c r="G11582" s="34" t="n">
        <f aca="false">SUMIFS('12.326ana'!$C:$C,'12.326ana'!$M:$M,redes!A11582)</f>
        <v>0</v>
      </c>
    </row>
    <row r="11583" customFormat="false" ht="14.4" hidden="true" customHeight="false" outlineLevel="0" collapsed="false">
      <c r="A11583" s="34" t="n">
        <v>10281706000122</v>
      </c>
      <c r="B11583" s="34" t="s">
        <v>22667</v>
      </c>
      <c r="C11583" s="34" t="s">
        <v>737</v>
      </c>
      <c r="E11583" s="30" t="s">
        <v>22668</v>
      </c>
      <c r="F11583" s="34" t="n">
        <f aca="false">IFERROR(VLOOKUP($A11583,'319'!$B:$H,7,0),0)</f>
        <v>0</v>
      </c>
      <c r="G11583" s="34" t="n">
        <f aca="false">SUMIFS('12.326ana'!$C:$C,'12.326ana'!$M:$M,redes!A11583)</f>
        <v>0</v>
      </c>
    </row>
    <row r="11584" customFormat="false" ht="14.4" hidden="true" customHeight="false" outlineLevel="0" collapsed="false">
      <c r="A11584" s="34" t="n">
        <v>10281758000107</v>
      </c>
      <c r="B11584" s="34" t="s">
        <v>22669</v>
      </c>
      <c r="C11584" s="34" t="s">
        <v>351</v>
      </c>
      <c r="E11584" s="30" t="s">
        <v>9302</v>
      </c>
      <c r="F11584" s="34" t="n">
        <f aca="false">IFERROR(VLOOKUP($A11584,'319'!$B:$H,7,0),0)</f>
        <v>0</v>
      </c>
      <c r="G11584" s="34" t="n">
        <f aca="false">SUMIFS('12.326ana'!$C:$C,'12.326ana'!$M:$M,redes!A11584)</f>
        <v>0</v>
      </c>
    </row>
    <row r="11585" customFormat="false" ht="14.4" hidden="true" customHeight="false" outlineLevel="0" collapsed="false">
      <c r="A11585" s="34" t="n">
        <v>10284984000133</v>
      </c>
      <c r="B11585" s="34" t="s">
        <v>22670</v>
      </c>
      <c r="C11585" s="34" t="s">
        <v>117</v>
      </c>
      <c r="E11585" s="30" t="s">
        <v>22671</v>
      </c>
      <c r="F11585" s="34" t="n">
        <f aca="false">IFERROR(VLOOKUP($A11585,'319'!$B:$H,7,0),0)</f>
        <v>0</v>
      </c>
      <c r="G11585" s="34" t="n">
        <f aca="false">SUMIFS('12.326ana'!$C:$C,'12.326ana'!$M:$M,redes!A11585)</f>
        <v>0</v>
      </c>
    </row>
    <row r="11586" customFormat="false" ht="14.4" hidden="true" customHeight="false" outlineLevel="0" collapsed="false">
      <c r="A11586" s="34" t="n">
        <v>10285248000108</v>
      </c>
      <c r="B11586" s="34" t="s">
        <v>10518</v>
      </c>
      <c r="C11586" s="34" t="s">
        <v>77</v>
      </c>
      <c r="E11586" s="30" t="s">
        <v>19474</v>
      </c>
      <c r="F11586" s="34" t="n">
        <f aca="false">IFERROR(VLOOKUP($A11586,'319'!$B:$H,7,0),0)</f>
        <v>0</v>
      </c>
      <c r="G11586" s="34" t="n">
        <f aca="false">SUMIFS('12.326ana'!$C:$C,'12.326ana'!$M:$M,redes!A11586)</f>
        <v>0</v>
      </c>
    </row>
    <row r="11587" customFormat="false" ht="14.4" hidden="true" customHeight="false" outlineLevel="0" collapsed="false">
      <c r="A11587" s="34" t="n">
        <v>10288193000181</v>
      </c>
      <c r="B11587" s="34" t="s">
        <v>22672</v>
      </c>
      <c r="C11587" s="34" t="s">
        <v>77</v>
      </c>
      <c r="E11587" s="30" t="s">
        <v>22673</v>
      </c>
      <c r="F11587" s="34" t="n">
        <f aca="false">IFERROR(VLOOKUP($A11587,'319'!$B:$H,7,0),0)</f>
        <v>0</v>
      </c>
      <c r="G11587" s="34" t="n">
        <f aca="false">SUMIFS('12.326ana'!$C:$C,'12.326ana'!$M:$M,redes!A11587)</f>
        <v>0</v>
      </c>
    </row>
    <row r="11588" customFormat="false" ht="14.4" hidden="true" customHeight="false" outlineLevel="0" collapsed="false">
      <c r="A11588" s="34" t="n">
        <v>10291472000102</v>
      </c>
      <c r="B11588" s="34" t="s">
        <v>22674</v>
      </c>
      <c r="C11588" s="34" t="s">
        <v>473</v>
      </c>
      <c r="E11588" s="30" t="s">
        <v>22675</v>
      </c>
      <c r="F11588" s="34" t="n">
        <f aca="false">IFERROR(VLOOKUP($A11588,'319'!$B:$H,7,0),0)</f>
        <v>0</v>
      </c>
      <c r="G11588" s="34" t="n">
        <f aca="false">SUMIFS('12.326ana'!$C:$C,'12.326ana'!$M:$M,redes!A11588)</f>
        <v>0</v>
      </c>
    </row>
    <row r="11589" customFormat="false" ht="14.4" hidden="true" customHeight="false" outlineLevel="0" collapsed="false">
      <c r="A11589" s="34" t="n">
        <v>10292976000139</v>
      </c>
      <c r="B11589" s="34" t="s">
        <v>22676</v>
      </c>
      <c r="C11589" s="34" t="s">
        <v>107</v>
      </c>
      <c r="E11589" s="30" t="s">
        <v>22677</v>
      </c>
      <c r="F11589" s="34" t="n">
        <f aca="false">IFERROR(VLOOKUP($A11589,'319'!$B:$H,7,0),0)</f>
        <v>0</v>
      </c>
      <c r="G11589" s="34" t="n">
        <f aca="false">SUMIFS('12.326ana'!$C:$C,'12.326ana'!$M:$M,redes!A11589)</f>
        <v>0</v>
      </c>
    </row>
    <row r="11590" customFormat="false" ht="14.4" hidden="true" customHeight="false" outlineLevel="0" collapsed="false">
      <c r="A11590" s="34" t="n">
        <v>10292976000210</v>
      </c>
      <c r="B11590" s="34" t="s">
        <v>22676</v>
      </c>
      <c r="C11590" s="34" t="s">
        <v>107</v>
      </c>
      <c r="E11590" s="30" t="s">
        <v>6085</v>
      </c>
      <c r="F11590" s="34" t="n">
        <f aca="false">IFERROR(VLOOKUP($A11590,'319'!$B:$H,7,0),0)</f>
        <v>0</v>
      </c>
      <c r="G11590" s="34" t="n">
        <f aca="false">SUMIFS('12.326ana'!$C:$C,'12.326ana'!$M:$M,redes!A11590)</f>
        <v>0</v>
      </c>
    </row>
    <row r="11591" customFormat="false" ht="14.4" hidden="true" customHeight="false" outlineLevel="0" collapsed="false">
      <c r="A11591" s="34" t="n">
        <v>10295675000169</v>
      </c>
      <c r="B11591" s="34" t="s">
        <v>22678</v>
      </c>
      <c r="C11591" s="34" t="s">
        <v>77</v>
      </c>
      <c r="E11591" s="30" t="s">
        <v>15636</v>
      </c>
      <c r="F11591" s="34" t="n">
        <f aca="false">IFERROR(VLOOKUP($A11591,'319'!$B:$H,7,0),0)</f>
        <v>0</v>
      </c>
      <c r="G11591" s="34" t="n">
        <f aca="false">SUMIFS('12.326ana'!$C:$C,'12.326ana'!$M:$M,redes!A11591)</f>
        <v>0</v>
      </c>
    </row>
    <row r="11592" customFormat="false" ht="14.4" hidden="true" customHeight="false" outlineLevel="0" collapsed="false">
      <c r="A11592" s="34" t="n">
        <v>10296557000175</v>
      </c>
      <c r="B11592" s="34" t="s">
        <v>22679</v>
      </c>
      <c r="C11592" s="34" t="s">
        <v>299</v>
      </c>
      <c r="E11592" s="30" t="s">
        <v>22680</v>
      </c>
      <c r="F11592" s="34" t="n">
        <f aca="false">IFERROR(VLOOKUP($A11592,'319'!$B:$H,7,0),0)</f>
        <v>0</v>
      </c>
      <c r="G11592" s="34" t="n">
        <f aca="false">SUMIFS('12.326ana'!$C:$C,'12.326ana'!$M:$M,redes!A11592)</f>
        <v>0</v>
      </c>
    </row>
    <row r="11593" customFormat="false" ht="14.4" hidden="true" customHeight="false" outlineLevel="0" collapsed="false">
      <c r="A11593" s="34" t="n">
        <v>10296557000256</v>
      </c>
      <c r="B11593" s="34" t="s">
        <v>22681</v>
      </c>
      <c r="C11593" s="34" t="s">
        <v>581</v>
      </c>
      <c r="E11593" s="30" t="s">
        <v>21382</v>
      </c>
      <c r="F11593" s="34" t="n">
        <f aca="false">IFERROR(VLOOKUP($A11593,'319'!$B:$H,7,0),0)</f>
        <v>0</v>
      </c>
      <c r="G11593" s="34" t="n">
        <f aca="false">SUMIFS('12.326ana'!$C:$C,'12.326ana'!$M:$M,redes!A11593)</f>
        <v>0</v>
      </c>
    </row>
    <row r="11594" customFormat="false" ht="14.4" hidden="true" customHeight="false" outlineLevel="0" collapsed="false">
      <c r="A11594" s="34" t="n">
        <v>10299152000190</v>
      </c>
      <c r="B11594" s="34" t="s">
        <v>22682</v>
      </c>
      <c r="C11594" s="34" t="s">
        <v>464</v>
      </c>
      <c r="E11594" s="30" t="s">
        <v>22683</v>
      </c>
      <c r="F11594" s="34" t="n">
        <f aca="false">IFERROR(VLOOKUP($A11594,'319'!$B:$H,7,0),0)</f>
        <v>0</v>
      </c>
      <c r="G11594" s="34" t="n">
        <f aca="false">SUMIFS('12.326ana'!$C:$C,'12.326ana'!$M:$M,redes!A11594)</f>
        <v>0</v>
      </c>
    </row>
    <row r="11595" customFormat="false" ht="14.4" hidden="true" customHeight="false" outlineLevel="0" collapsed="false">
      <c r="A11595" s="34" t="n">
        <v>10303526000102</v>
      </c>
      <c r="B11595" s="34" t="s">
        <v>22684</v>
      </c>
      <c r="C11595" s="34" t="s">
        <v>139</v>
      </c>
      <c r="E11595" s="30" t="s">
        <v>22685</v>
      </c>
      <c r="F11595" s="34" t="n">
        <f aca="false">IFERROR(VLOOKUP($A11595,'319'!$B:$H,7,0),0)</f>
        <v>0</v>
      </c>
      <c r="G11595" s="34" t="n">
        <f aca="false">SUMIFS('12.326ana'!$C:$C,'12.326ana'!$M:$M,redes!A11595)</f>
        <v>0</v>
      </c>
    </row>
    <row r="11596" customFormat="false" ht="14.4" hidden="true" customHeight="false" outlineLevel="0" collapsed="false">
      <c r="A11596" s="34" t="n">
        <v>10303666000172</v>
      </c>
      <c r="B11596" s="34" t="s">
        <v>22686</v>
      </c>
      <c r="C11596" s="34" t="s">
        <v>77</v>
      </c>
      <c r="E11596" s="30" t="s">
        <v>22687</v>
      </c>
      <c r="F11596" s="34" t="n">
        <f aca="false">IFERROR(VLOOKUP($A11596,'319'!$B:$H,7,0),0)</f>
        <v>0</v>
      </c>
      <c r="G11596" s="34" t="n">
        <f aca="false">SUMIFS('12.326ana'!$C:$C,'12.326ana'!$M:$M,redes!A11596)</f>
        <v>0</v>
      </c>
    </row>
    <row r="11597" customFormat="false" ht="14.4" hidden="true" customHeight="false" outlineLevel="0" collapsed="false">
      <c r="A11597" s="34" t="n">
        <v>10309605000112</v>
      </c>
      <c r="B11597" s="34" t="s">
        <v>22688</v>
      </c>
      <c r="C11597" s="34" t="s">
        <v>631</v>
      </c>
      <c r="E11597" s="30" t="s">
        <v>18087</v>
      </c>
      <c r="F11597" s="34" t="n">
        <f aca="false">IFERROR(VLOOKUP($A11597,'319'!$B:$H,7,0),0)</f>
        <v>0</v>
      </c>
      <c r="G11597" s="34" t="n">
        <f aca="false">SUMIFS('12.326ana'!$C:$C,'12.326ana'!$M:$M,redes!A11597)</f>
        <v>0</v>
      </c>
    </row>
    <row r="11598" customFormat="false" ht="14.4" hidden="true" customHeight="false" outlineLevel="0" collapsed="false">
      <c r="A11598" s="34" t="n">
        <v>10310002000130</v>
      </c>
      <c r="B11598" s="34" t="s">
        <v>22689</v>
      </c>
      <c r="C11598" s="34" t="s">
        <v>342</v>
      </c>
      <c r="E11598" s="30" t="s">
        <v>8720</v>
      </c>
      <c r="F11598" s="34" t="n">
        <f aca="false">IFERROR(VLOOKUP($A11598,'319'!$B:$H,7,0),0)</f>
        <v>0</v>
      </c>
      <c r="G11598" s="34" t="n">
        <f aca="false">SUMIFS('12.326ana'!$C:$C,'12.326ana'!$M:$M,redes!A11598)</f>
        <v>0</v>
      </c>
    </row>
    <row r="11599" customFormat="false" ht="14.4" hidden="true" customHeight="false" outlineLevel="0" collapsed="false">
      <c r="A11599" s="34" t="n">
        <v>10310521000107</v>
      </c>
      <c r="B11599" s="34" t="s">
        <v>22690</v>
      </c>
      <c r="C11599" s="34" t="s">
        <v>4418</v>
      </c>
      <c r="E11599" s="30" t="s">
        <v>22691</v>
      </c>
      <c r="F11599" s="34" t="n">
        <f aca="false">IFERROR(VLOOKUP($A11599,'319'!$B:$H,7,0),0)</f>
        <v>0</v>
      </c>
      <c r="G11599" s="34" t="n">
        <f aca="false">SUMIFS('12.326ana'!$C:$C,'12.326ana'!$M:$M,redes!A11599)</f>
        <v>0</v>
      </c>
    </row>
    <row r="11600" customFormat="false" ht="14.4" hidden="true" customHeight="false" outlineLevel="0" collapsed="false">
      <c r="A11600" s="34" t="n">
        <v>10315806000122</v>
      </c>
      <c r="B11600" s="34" t="s">
        <v>20481</v>
      </c>
      <c r="C11600" s="34" t="s">
        <v>117</v>
      </c>
      <c r="E11600" s="30" t="s">
        <v>19709</v>
      </c>
      <c r="F11600" s="34" t="n">
        <f aca="false">IFERROR(VLOOKUP($A11600,'319'!$B:$H,7,0),0)</f>
        <v>0</v>
      </c>
      <c r="G11600" s="34" t="n">
        <f aca="false">SUMIFS('12.326ana'!$C:$C,'12.326ana'!$M:$M,redes!A11600)</f>
        <v>0</v>
      </c>
    </row>
    <row r="11601" customFormat="false" ht="14.4" hidden="true" customHeight="false" outlineLevel="0" collapsed="false">
      <c r="A11601" s="34" t="n">
        <v>10316540000132</v>
      </c>
      <c r="B11601" s="34" t="s">
        <v>22692</v>
      </c>
      <c r="C11601" s="34" t="s">
        <v>107</v>
      </c>
      <c r="E11601" s="30" t="s">
        <v>4731</v>
      </c>
      <c r="F11601" s="34" t="n">
        <f aca="false">IFERROR(VLOOKUP($A11601,'319'!$B:$H,7,0),0)</f>
        <v>0</v>
      </c>
      <c r="G11601" s="34" t="n">
        <f aca="false">SUMIFS('12.326ana'!$C:$C,'12.326ana'!$M:$M,redes!A11601)</f>
        <v>0</v>
      </c>
    </row>
    <row r="11602" customFormat="false" ht="14.4" hidden="true" customHeight="false" outlineLevel="0" collapsed="false">
      <c r="A11602" s="34" t="n">
        <v>10325787000115</v>
      </c>
      <c r="B11602" s="34" t="s">
        <v>22693</v>
      </c>
      <c r="C11602" s="34" t="s">
        <v>77</v>
      </c>
      <c r="E11602" s="30" t="s">
        <v>9719</v>
      </c>
      <c r="F11602" s="34" t="n">
        <f aca="false">IFERROR(VLOOKUP($A11602,'319'!$B:$H,7,0),0)</f>
        <v>0</v>
      </c>
      <c r="G11602" s="34" t="n">
        <f aca="false">SUMIFS('12.326ana'!$C:$C,'12.326ana'!$M:$M,redes!A11602)</f>
        <v>0</v>
      </c>
    </row>
    <row r="11603" customFormat="false" ht="14.4" hidden="true" customHeight="false" outlineLevel="0" collapsed="false">
      <c r="A11603" s="34" t="n">
        <v>10330610000107</v>
      </c>
      <c r="B11603" s="34" t="s">
        <v>22694</v>
      </c>
      <c r="C11603" s="34" t="s">
        <v>473</v>
      </c>
      <c r="E11603" s="30" t="s">
        <v>22695</v>
      </c>
      <c r="F11603" s="34" t="n">
        <f aca="false">IFERROR(VLOOKUP($A11603,'319'!$B:$H,7,0),0)</f>
        <v>0</v>
      </c>
      <c r="G11603" s="34" t="n">
        <f aca="false">SUMIFS('12.326ana'!$C:$C,'12.326ana'!$M:$M,redes!A11603)</f>
        <v>0</v>
      </c>
    </row>
    <row r="11604" customFormat="false" ht="14.4" hidden="true" customHeight="false" outlineLevel="0" collapsed="false">
      <c r="A11604" s="34" t="n">
        <v>10339662000144</v>
      </c>
      <c r="B11604" s="34" t="s">
        <v>22696</v>
      </c>
      <c r="C11604" s="34" t="s">
        <v>77</v>
      </c>
      <c r="E11604" s="30" t="s">
        <v>22697</v>
      </c>
      <c r="F11604" s="34" t="n">
        <f aca="false">IFERROR(VLOOKUP($A11604,'319'!$B:$H,7,0),0)</f>
        <v>0</v>
      </c>
      <c r="G11604" s="34" t="n">
        <f aca="false">SUMIFS('12.326ana'!$C:$C,'12.326ana'!$M:$M,redes!A11604)</f>
        <v>0</v>
      </c>
    </row>
    <row r="11605" customFormat="false" ht="14.4" hidden="true" customHeight="false" outlineLevel="0" collapsed="false">
      <c r="A11605" s="34" t="n">
        <v>10340458000143</v>
      </c>
      <c r="B11605" s="34" t="s">
        <v>22698</v>
      </c>
      <c r="C11605" s="34" t="s">
        <v>77</v>
      </c>
      <c r="E11605" s="30" t="s">
        <v>22699</v>
      </c>
      <c r="F11605" s="34" t="n">
        <f aca="false">IFERROR(VLOOKUP($A11605,'319'!$B:$H,7,0),0)</f>
        <v>0</v>
      </c>
      <c r="G11605" s="34" t="n">
        <f aca="false">SUMIFS('12.326ana'!$C:$C,'12.326ana'!$M:$M,redes!A11605)</f>
        <v>0</v>
      </c>
    </row>
    <row r="11606" customFormat="false" ht="14.4" hidden="true" customHeight="false" outlineLevel="0" collapsed="false">
      <c r="A11606" s="34" t="n">
        <v>10341565000196</v>
      </c>
      <c r="B11606" s="34" t="s">
        <v>22700</v>
      </c>
      <c r="C11606" s="34" t="s">
        <v>475</v>
      </c>
      <c r="E11606" s="30" t="s">
        <v>18063</v>
      </c>
      <c r="F11606" s="34" t="n">
        <f aca="false">IFERROR(VLOOKUP($A11606,'319'!$B:$H,7,0),0)</f>
        <v>0</v>
      </c>
      <c r="G11606" s="34" t="n">
        <f aca="false">SUMIFS('12.326ana'!$C:$C,'12.326ana'!$M:$M,redes!A11606)</f>
        <v>0</v>
      </c>
    </row>
    <row r="11607" customFormat="false" ht="14.4" hidden="true" customHeight="false" outlineLevel="0" collapsed="false">
      <c r="A11607" s="34" t="n">
        <v>10341960000179</v>
      </c>
      <c r="B11607" s="34" t="s">
        <v>22701</v>
      </c>
      <c r="C11607" s="34" t="s">
        <v>4829</v>
      </c>
      <c r="E11607" s="30" t="s">
        <v>22702</v>
      </c>
      <c r="F11607" s="34" t="n">
        <f aca="false">IFERROR(VLOOKUP($A11607,'319'!$B:$H,7,0),0)</f>
        <v>0</v>
      </c>
      <c r="G11607" s="34" t="n">
        <f aca="false">SUMIFS('12.326ana'!$C:$C,'12.326ana'!$M:$M,redes!A11607)</f>
        <v>0</v>
      </c>
    </row>
    <row r="11608" customFormat="false" ht="14.4" hidden="true" customHeight="false" outlineLevel="0" collapsed="false">
      <c r="A11608" s="34" t="n">
        <v>10341960000250</v>
      </c>
      <c r="B11608" s="34" t="s">
        <v>22701</v>
      </c>
      <c r="C11608" s="34" t="s">
        <v>77</v>
      </c>
      <c r="E11608" s="30" t="s">
        <v>22703</v>
      </c>
      <c r="F11608" s="34" t="n">
        <f aca="false">IFERROR(VLOOKUP($A11608,'319'!$B:$H,7,0),0)</f>
        <v>0</v>
      </c>
      <c r="G11608" s="34" t="n">
        <f aca="false">SUMIFS('12.326ana'!$C:$C,'12.326ana'!$M:$M,redes!A11608)</f>
        <v>0</v>
      </c>
    </row>
    <row r="11609" customFormat="false" ht="14.4" hidden="true" customHeight="false" outlineLevel="0" collapsed="false">
      <c r="A11609" s="34" t="n">
        <v>10341960000330</v>
      </c>
      <c r="B11609" s="34" t="s">
        <v>22701</v>
      </c>
      <c r="C11609" s="34" t="s">
        <v>77</v>
      </c>
      <c r="E11609" s="30" t="s">
        <v>22704</v>
      </c>
      <c r="F11609" s="34" t="n">
        <f aca="false">IFERROR(VLOOKUP($A11609,'319'!$B:$H,7,0),0)</f>
        <v>0</v>
      </c>
      <c r="G11609" s="34" t="n">
        <f aca="false">SUMIFS('12.326ana'!$C:$C,'12.326ana'!$M:$M,redes!A11609)</f>
        <v>0</v>
      </c>
    </row>
    <row r="11610" customFormat="false" ht="14.4" hidden="true" customHeight="false" outlineLevel="0" collapsed="false">
      <c r="A11610" s="34" t="n">
        <v>10341960000411</v>
      </c>
      <c r="B11610" s="34" t="s">
        <v>22701</v>
      </c>
      <c r="C11610" s="34" t="s">
        <v>6278</v>
      </c>
      <c r="E11610" s="30" t="s">
        <v>22702</v>
      </c>
      <c r="F11610" s="34" t="n">
        <f aca="false">IFERROR(VLOOKUP($A11610,'319'!$B:$H,7,0),0)</f>
        <v>0</v>
      </c>
      <c r="G11610" s="34" t="n">
        <f aca="false">SUMIFS('12.326ana'!$C:$C,'12.326ana'!$M:$M,redes!A11610)</f>
        <v>0</v>
      </c>
    </row>
    <row r="11611" customFormat="false" ht="14.4" hidden="true" customHeight="false" outlineLevel="0" collapsed="false">
      <c r="A11611" s="34" t="n">
        <v>10341960000500</v>
      </c>
      <c r="B11611" s="34" t="s">
        <v>22705</v>
      </c>
      <c r="C11611" s="34" t="s">
        <v>1054</v>
      </c>
      <c r="E11611" s="30" t="s">
        <v>22702</v>
      </c>
      <c r="F11611" s="34" t="n">
        <f aca="false">IFERROR(VLOOKUP($A11611,'319'!$B:$H,7,0),0)</f>
        <v>0</v>
      </c>
      <c r="G11611" s="34" t="n">
        <f aca="false">SUMIFS('12.326ana'!$C:$C,'12.326ana'!$M:$M,redes!A11611)</f>
        <v>0</v>
      </c>
    </row>
    <row r="11612" customFormat="false" ht="14.4" hidden="true" customHeight="false" outlineLevel="0" collapsed="false">
      <c r="A11612" s="34" t="n">
        <v>10342016000136</v>
      </c>
      <c r="B11612" s="34" t="s">
        <v>22706</v>
      </c>
      <c r="C11612" s="34" t="s">
        <v>89</v>
      </c>
      <c r="E11612" s="30" t="s">
        <v>22707</v>
      </c>
      <c r="F11612" s="34" t="n">
        <f aca="false">IFERROR(VLOOKUP($A11612,'319'!$B:$H,7,0),0)</f>
        <v>0</v>
      </c>
      <c r="G11612" s="34" t="n">
        <f aca="false">SUMIFS('12.326ana'!$C:$C,'12.326ana'!$M:$M,redes!A11612)</f>
        <v>0</v>
      </c>
    </row>
    <row r="11613" customFormat="false" ht="14.4" hidden="true" customHeight="false" outlineLevel="0" collapsed="false">
      <c r="A11613" s="34" t="n">
        <v>10343194000181</v>
      </c>
      <c r="B11613" s="34" t="s">
        <v>22708</v>
      </c>
      <c r="C11613" s="34" t="s">
        <v>129</v>
      </c>
      <c r="E11613" s="30" t="s">
        <v>22709</v>
      </c>
      <c r="F11613" s="34" t="n">
        <f aca="false">IFERROR(VLOOKUP($A11613,'319'!$B:$H,7,0),0)</f>
        <v>0</v>
      </c>
      <c r="G11613" s="34" t="n">
        <f aca="false">SUMIFS('12.326ana'!$C:$C,'12.326ana'!$M:$M,redes!A11613)</f>
        <v>0</v>
      </c>
    </row>
    <row r="11614" customFormat="false" ht="14.4" hidden="true" customHeight="false" outlineLevel="0" collapsed="false">
      <c r="A11614" s="34" t="n">
        <v>10345071000180</v>
      </c>
      <c r="B11614" s="34" t="s">
        <v>22710</v>
      </c>
      <c r="C11614" s="34" t="s">
        <v>631</v>
      </c>
      <c r="E11614" s="30" t="s">
        <v>22711</v>
      </c>
      <c r="F11614" s="34" t="n">
        <f aca="false">IFERROR(VLOOKUP($A11614,'319'!$B:$H,7,0),0)</f>
        <v>0</v>
      </c>
      <c r="G11614" s="34" t="n">
        <f aca="false">SUMIFS('12.326ana'!$C:$C,'12.326ana'!$M:$M,redes!A11614)</f>
        <v>0</v>
      </c>
    </row>
    <row r="11615" customFormat="false" ht="14.4" hidden="true" customHeight="false" outlineLevel="0" collapsed="false">
      <c r="A11615" s="34" t="n">
        <v>10345169000137</v>
      </c>
      <c r="B11615" s="34" t="s">
        <v>22712</v>
      </c>
      <c r="C11615" s="34" t="s">
        <v>127</v>
      </c>
      <c r="E11615" s="30" t="s">
        <v>22713</v>
      </c>
      <c r="F11615" s="34" t="n">
        <f aca="false">IFERROR(VLOOKUP($A11615,'319'!$B:$H,7,0),0)</f>
        <v>0</v>
      </c>
      <c r="G11615" s="34" t="n">
        <f aca="false">SUMIFS('12.326ana'!$C:$C,'12.326ana'!$M:$M,redes!A11615)</f>
        <v>0</v>
      </c>
    </row>
    <row r="11616" customFormat="false" ht="14.4" hidden="true" customHeight="false" outlineLevel="0" collapsed="false">
      <c r="A11616" s="34" t="n">
        <v>10345400000192</v>
      </c>
      <c r="B11616" s="34" t="s">
        <v>22714</v>
      </c>
      <c r="C11616" s="34" t="s">
        <v>680</v>
      </c>
      <c r="E11616" s="30" t="s">
        <v>22715</v>
      </c>
      <c r="F11616" s="34" t="n">
        <f aca="false">IFERROR(VLOOKUP($A11616,'319'!$B:$H,7,0),0)</f>
        <v>0</v>
      </c>
      <c r="G11616" s="34" t="n">
        <f aca="false">SUMIFS('12.326ana'!$C:$C,'12.326ana'!$M:$M,redes!A11616)</f>
        <v>0</v>
      </c>
    </row>
    <row r="11617" customFormat="false" ht="14.4" hidden="true" customHeight="false" outlineLevel="0" collapsed="false">
      <c r="A11617" s="34" t="n">
        <v>10345475000173</v>
      </c>
      <c r="B11617" s="34" t="s">
        <v>22716</v>
      </c>
      <c r="C11617" s="34" t="s">
        <v>89</v>
      </c>
      <c r="E11617" s="30" t="s">
        <v>22717</v>
      </c>
      <c r="F11617" s="34" t="n">
        <f aca="false">IFERROR(VLOOKUP($A11617,'319'!$B:$H,7,0),0)</f>
        <v>0</v>
      </c>
      <c r="G11617" s="34" t="n">
        <f aca="false">SUMIFS('12.326ana'!$C:$C,'12.326ana'!$M:$M,redes!A11617)</f>
        <v>0</v>
      </c>
    </row>
    <row r="11618" customFormat="false" ht="14.4" hidden="true" customHeight="false" outlineLevel="0" collapsed="false">
      <c r="A11618" s="34" t="n">
        <v>10348359000108</v>
      </c>
      <c r="B11618" s="34" t="s">
        <v>22718</v>
      </c>
      <c r="C11618" s="34" t="s">
        <v>994</v>
      </c>
      <c r="E11618" s="30" t="s">
        <v>22719</v>
      </c>
      <c r="F11618" s="34" t="n">
        <f aca="false">IFERROR(VLOOKUP($A11618,'319'!$B:$H,7,0),0)</f>
        <v>0</v>
      </c>
      <c r="G11618" s="34" t="n">
        <f aca="false">SUMIFS('12.326ana'!$C:$C,'12.326ana'!$M:$M,redes!A11618)</f>
        <v>0</v>
      </c>
    </row>
    <row r="11619" customFormat="false" ht="14.4" hidden="true" customHeight="false" outlineLevel="0" collapsed="false">
      <c r="A11619" s="34" t="n">
        <v>10348413000115</v>
      </c>
      <c r="B11619" s="34" t="s">
        <v>22720</v>
      </c>
      <c r="C11619" s="34" t="s">
        <v>781</v>
      </c>
      <c r="E11619" s="30" t="s">
        <v>22720</v>
      </c>
      <c r="F11619" s="34" t="n">
        <f aca="false">IFERROR(VLOOKUP($A11619,'319'!$B:$H,7,0),0)</f>
        <v>0</v>
      </c>
      <c r="G11619" s="34" t="n">
        <f aca="false">SUMIFS('12.326ana'!$C:$C,'12.326ana'!$M:$M,redes!A11619)</f>
        <v>0</v>
      </c>
    </row>
    <row r="11620" customFormat="false" ht="14.4" hidden="true" customHeight="false" outlineLevel="0" collapsed="false">
      <c r="A11620" s="34" t="n">
        <v>10353137000183</v>
      </c>
      <c r="B11620" s="34" t="s">
        <v>22721</v>
      </c>
      <c r="C11620" s="34" t="s">
        <v>680</v>
      </c>
      <c r="E11620" s="30" t="s">
        <v>22722</v>
      </c>
      <c r="F11620" s="34" t="n">
        <f aca="false">IFERROR(VLOOKUP($A11620,'319'!$B:$H,7,0),0)</f>
        <v>0</v>
      </c>
      <c r="G11620" s="34" t="n">
        <f aca="false">SUMIFS('12.326ana'!$C:$C,'12.326ana'!$M:$M,redes!A11620)</f>
        <v>0</v>
      </c>
    </row>
    <row r="11621" customFormat="false" ht="14.4" hidden="true" customHeight="false" outlineLevel="0" collapsed="false">
      <c r="A11621" s="34" t="n">
        <v>10354180000163</v>
      </c>
      <c r="B11621" s="34" t="s">
        <v>22723</v>
      </c>
      <c r="C11621" s="34" t="s">
        <v>4261</v>
      </c>
      <c r="E11621" s="30" t="s">
        <v>22724</v>
      </c>
      <c r="F11621" s="34" t="n">
        <f aca="false">IFERROR(VLOOKUP($A11621,'319'!$B:$H,7,0),0)</f>
        <v>0</v>
      </c>
      <c r="G11621" s="34" t="n">
        <f aca="false">SUMIFS('12.326ana'!$C:$C,'12.326ana'!$M:$M,redes!A11621)</f>
        <v>0</v>
      </c>
    </row>
    <row r="11622" customFormat="false" ht="14.4" hidden="true" customHeight="false" outlineLevel="0" collapsed="false">
      <c r="A11622" s="34" t="n">
        <v>10355737000180</v>
      </c>
      <c r="B11622" s="34" t="s">
        <v>22725</v>
      </c>
      <c r="C11622" s="34" t="s">
        <v>357</v>
      </c>
      <c r="E11622" s="30" t="s">
        <v>8490</v>
      </c>
      <c r="F11622" s="34" t="n">
        <f aca="false">IFERROR(VLOOKUP($A11622,'319'!$B:$H,7,0),0)</f>
        <v>0</v>
      </c>
      <c r="G11622" s="34" t="n">
        <f aca="false">SUMIFS('12.326ana'!$C:$C,'12.326ana'!$M:$M,redes!A11622)</f>
        <v>0</v>
      </c>
    </row>
    <row r="11623" customFormat="false" ht="14.4" hidden="true" customHeight="false" outlineLevel="0" collapsed="false">
      <c r="A11623" s="34" t="n">
        <v>10359659000192</v>
      </c>
      <c r="B11623" s="34" t="s">
        <v>22726</v>
      </c>
      <c r="C11623" s="34" t="s">
        <v>565</v>
      </c>
      <c r="E11623" s="30" t="s">
        <v>22727</v>
      </c>
      <c r="F11623" s="34" t="n">
        <f aca="false">IFERROR(VLOOKUP($A11623,'319'!$B:$H,7,0),0)</f>
        <v>0</v>
      </c>
      <c r="G11623" s="34" t="n">
        <f aca="false">SUMIFS('12.326ana'!$C:$C,'12.326ana'!$M:$M,redes!A11623)</f>
        <v>0</v>
      </c>
    </row>
    <row r="11624" customFormat="false" ht="14.4" hidden="true" customHeight="false" outlineLevel="0" collapsed="false">
      <c r="A11624" s="34" t="n">
        <v>10363102000125</v>
      </c>
      <c r="B11624" s="34" t="s">
        <v>22728</v>
      </c>
      <c r="C11624" s="34" t="s">
        <v>77</v>
      </c>
      <c r="E11624" s="30" t="s">
        <v>22729</v>
      </c>
      <c r="F11624" s="34" t="n">
        <f aca="false">IFERROR(VLOOKUP($A11624,'319'!$B:$H,7,0),0)</f>
        <v>0</v>
      </c>
      <c r="G11624" s="34" t="n">
        <f aca="false">SUMIFS('12.326ana'!$C:$C,'12.326ana'!$M:$M,redes!A11624)</f>
        <v>0</v>
      </c>
    </row>
    <row r="11625" customFormat="false" ht="14.4" hidden="true" customHeight="false" outlineLevel="0" collapsed="false">
      <c r="A11625" s="34" t="n">
        <v>10364428000177</v>
      </c>
      <c r="B11625" s="34" t="s">
        <v>22730</v>
      </c>
      <c r="C11625" s="34" t="s">
        <v>77</v>
      </c>
      <c r="E11625" s="30" t="s">
        <v>22731</v>
      </c>
      <c r="F11625" s="34" t="n">
        <f aca="false">IFERROR(VLOOKUP($A11625,'319'!$B:$H,7,0),0)</f>
        <v>0</v>
      </c>
      <c r="G11625" s="34" t="n">
        <f aca="false">SUMIFS('12.326ana'!$C:$C,'12.326ana'!$M:$M,redes!A11625)</f>
        <v>0</v>
      </c>
    </row>
    <row r="11626" customFormat="false" ht="14.4" hidden="true" customHeight="false" outlineLevel="0" collapsed="false">
      <c r="A11626" s="34" t="n">
        <v>10366371000145</v>
      </c>
      <c r="B11626" s="34" t="s">
        <v>22732</v>
      </c>
      <c r="C11626" s="34" t="s">
        <v>848</v>
      </c>
      <c r="E11626" s="30" t="s">
        <v>22733</v>
      </c>
      <c r="F11626" s="34" t="n">
        <f aca="false">IFERROR(VLOOKUP($A11626,'319'!$B:$H,7,0),0)</f>
        <v>0</v>
      </c>
      <c r="G11626" s="34" t="n">
        <f aca="false">SUMIFS('12.326ana'!$C:$C,'12.326ana'!$M:$M,redes!A11626)</f>
        <v>0</v>
      </c>
    </row>
    <row r="11627" customFormat="false" ht="14.4" hidden="true" customHeight="false" outlineLevel="0" collapsed="false">
      <c r="A11627" s="34" t="n">
        <v>10366630000138</v>
      </c>
      <c r="B11627" s="34" t="s">
        <v>22734</v>
      </c>
      <c r="C11627" s="34" t="s">
        <v>77</v>
      </c>
      <c r="E11627" s="30" t="s">
        <v>22735</v>
      </c>
      <c r="F11627" s="34" t="n">
        <f aca="false">IFERROR(VLOOKUP($A11627,'319'!$B:$H,7,0),0)</f>
        <v>0</v>
      </c>
      <c r="G11627" s="34" t="n">
        <f aca="false">SUMIFS('12.326ana'!$C:$C,'12.326ana'!$M:$M,redes!A11627)</f>
        <v>0</v>
      </c>
    </row>
    <row r="11628" customFormat="false" ht="14.4" hidden="true" customHeight="false" outlineLevel="0" collapsed="false">
      <c r="A11628" s="34" t="n">
        <v>10374962000164</v>
      </c>
      <c r="B11628" s="34" t="s">
        <v>11673</v>
      </c>
      <c r="C11628" s="34" t="s">
        <v>77</v>
      </c>
      <c r="E11628" s="30" t="s">
        <v>3996</v>
      </c>
      <c r="F11628" s="34" t="n">
        <f aca="false">IFERROR(VLOOKUP($A11628,'319'!$B:$H,7,0),0)</f>
        <v>0</v>
      </c>
      <c r="G11628" s="34" t="n">
        <f aca="false">SUMIFS('12.326ana'!$C:$C,'12.326ana'!$M:$M,redes!A11628)</f>
        <v>0</v>
      </c>
    </row>
    <row r="11629" customFormat="false" ht="14.4" hidden="true" customHeight="false" outlineLevel="0" collapsed="false">
      <c r="A11629" s="34" t="n">
        <v>10375683000115</v>
      </c>
      <c r="B11629" s="34" t="s">
        <v>22736</v>
      </c>
      <c r="C11629" s="34" t="s">
        <v>781</v>
      </c>
      <c r="E11629" s="30" t="s">
        <v>22737</v>
      </c>
      <c r="F11629" s="34" t="n">
        <f aca="false">IFERROR(VLOOKUP($A11629,'319'!$B:$H,7,0),0)</f>
        <v>0</v>
      </c>
      <c r="G11629" s="34" t="n">
        <f aca="false">SUMIFS('12.326ana'!$C:$C,'12.326ana'!$M:$M,redes!A11629)</f>
        <v>0</v>
      </c>
    </row>
    <row r="11630" customFormat="false" ht="14.4" hidden="true" customHeight="false" outlineLevel="0" collapsed="false">
      <c r="A11630" s="34" t="n">
        <v>10377108000151</v>
      </c>
      <c r="B11630" s="34" t="s">
        <v>22738</v>
      </c>
      <c r="C11630" s="34" t="s">
        <v>464</v>
      </c>
      <c r="E11630" s="30" t="s">
        <v>22739</v>
      </c>
      <c r="F11630" s="34" t="n">
        <f aca="false">IFERROR(VLOOKUP($A11630,'319'!$B:$H,7,0),0)</f>
        <v>0</v>
      </c>
      <c r="G11630" s="34" t="n">
        <f aca="false">SUMIFS('12.326ana'!$C:$C,'12.326ana'!$M:$M,redes!A11630)</f>
        <v>0</v>
      </c>
    </row>
    <row r="11631" customFormat="false" ht="14.4" hidden="true" customHeight="false" outlineLevel="0" collapsed="false">
      <c r="A11631" s="34" t="n">
        <v>10378730000184</v>
      </c>
      <c r="B11631" s="34" t="s">
        <v>22740</v>
      </c>
      <c r="C11631" s="34" t="s">
        <v>1680</v>
      </c>
      <c r="E11631" s="30" t="s">
        <v>22741</v>
      </c>
      <c r="F11631" s="34" t="n">
        <f aca="false">IFERROR(VLOOKUP($A11631,'319'!$B:$H,7,0),0)</f>
        <v>0</v>
      </c>
      <c r="G11631" s="34" t="n">
        <f aca="false">SUMIFS('12.326ana'!$C:$C,'12.326ana'!$M:$M,redes!A11631)</f>
        <v>0</v>
      </c>
    </row>
    <row r="11632" customFormat="false" ht="14.4" hidden="true" customHeight="false" outlineLevel="0" collapsed="false">
      <c r="A11632" s="34" t="n">
        <v>10380264000171</v>
      </c>
      <c r="B11632" s="34" t="s">
        <v>22742</v>
      </c>
      <c r="C11632" s="34" t="s">
        <v>594</v>
      </c>
      <c r="D11632" s="34" t="s">
        <v>22743</v>
      </c>
      <c r="E11632" s="30" t="s">
        <v>22744</v>
      </c>
      <c r="F11632" s="34" t="n">
        <f aca="false">IFERROR(VLOOKUP($A11632,'319'!$B:$H,7,0),0)</f>
        <v>0</v>
      </c>
      <c r="G11632" s="34" t="n">
        <f aca="false">SUMIFS('12.326ana'!$C:$C,'12.326ana'!$M:$M,redes!A11632)</f>
        <v>0</v>
      </c>
    </row>
    <row r="11633" customFormat="false" ht="14.4" hidden="true" customHeight="false" outlineLevel="0" collapsed="false">
      <c r="A11633" s="34" t="n">
        <v>10380264000252</v>
      </c>
      <c r="B11633" s="34" t="s">
        <v>22745</v>
      </c>
      <c r="C11633" s="34" t="s">
        <v>594</v>
      </c>
      <c r="D11633" s="34" t="s">
        <v>22743</v>
      </c>
      <c r="E11633" s="30" t="s">
        <v>22744</v>
      </c>
      <c r="F11633" s="34" t="n">
        <f aca="false">IFERROR(VLOOKUP($A11633,'319'!$B:$H,7,0),0)</f>
        <v>0</v>
      </c>
      <c r="G11633" s="34" t="n">
        <f aca="false">SUMIFS('12.326ana'!$C:$C,'12.326ana'!$M:$M,redes!A11633)</f>
        <v>0</v>
      </c>
    </row>
    <row r="11634" customFormat="false" ht="14.4" hidden="true" customHeight="false" outlineLevel="0" collapsed="false">
      <c r="A11634" s="34" t="n">
        <v>10380264000333</v>
      </c>
      <c r="B11634" s="34" t="s">
        <v>22745</v>
      </c>
      <c r="C11634" s="34" t="s">
        <v>594</v>
      </c>
      <c r="D11634" s="34" t="s">
        <v>22743</v>
      </c>
      <c r="E11634" s="30" t="s">
        <v>22746</v>
      </c>
      <c r="F11634" s="34" t="n">
        <f aca="false">IFERROR(VLOOKUP($A11634,'319'!$B:$H,7,0),0)</f>
        <v>0</v>
      </c>
      <c r="G11634" s="34" t="n">
        <f aca="false">SUMIFS('12.326ana'!$C:$C,'12.326ana'!$M:$M,redes!A11634)</f>
        <v>0</v>
      </c>
    </row>
    <row r="11635" customFormat="false" ht="14.4" hidden="true" customHeight="false" outlineLevel="0" collapsed="false">
      <c r="A11635" s="34" t="n">
        <v>10382583000116</v>
      </c>
      <c r="B11635" s="34" t="s">
        <v>22747</v>
      </c>
      <c r="C11635" s="34" t="s">
        <v>77</v>
      </c>
      <c r="E11635" s="30" t="s">
        <v>4504</v>
      </c>
      <c r="F11635" s="34" t="n">
        <f aca="false">IFERROR(VLOOKUP($A11635,'319'!$B:$H,7,0),0)</f>
        <v>0</v>
      </c>
      <c r="G11635" s="34" t="n">
        <f aca="false">SUMIFS('12.326ana'!$C:$C,'12.326ana'!$M:$M,redes!A11635)</f>
        <v>0</v>
      </c>
    </row>
    <row r="11636" customFormat="false" ht="14.4" hidden="true" customHeight="false" outlineLevel="0" collapsed="false">
      <c r="A11636" s="34" t="n">
        <v>10382658000169</v>
      </c>
      <c r="B11636" s="34" t="s">
        <v>22748</v>
      </c>
      <c r="C11636" s="34" t="s">
        <v>77</v>
      </c>
      <c r="E11636" s="30" t="s">
        <v>22749</v>
      </c>
      <c r="F11636" s="34" t="n">
        <f aca="false">IFERROR(VLOOKUP($A11636,'319'!$B:$H,7,0),0)</f>
        <v>0</v>
      </c>
      <c r="G11636" s="34" t="n">
        <f aca="false">SUMIFS('12.326ana'!$C:$C,'12.326ana'!$M:$M,redes!A11636)</f>
        <v>0</v>
      </c>
    </row>
    <row r="11637" customFormat="false" ht="14.4" hidden="true" customHeight="false" outlineLevel="0" collapsed="false">
      <c r="A11637" s="34" t="n">
        <v>10383483000104</v>
      </c>
      <c r="B11637" s="34" t="s">
        <v>22750</v>
      </c>
      <c r="C11637" s="34" t="s">
        <v>1054</v>
      </c>
      <c r="E11637" s="30" t="s">
        <v>14678</v>
      </c>
      <c r="F11637" s="34" t="n">
        <f aca="false">IFERROR(VLOOKUP($A11637,'319'!$B:$H,7,0),0)</f>
        <v>0</v>
      </c>
      <c r="G11637" s="34" t="n">
        <f aca="false">SUMIFS('12.326ana'!$C:$C,'12.326ana'!$M:$M,redes!A11637)</f>
        <v>0</v>
      </c>
    </row>
    <row r="11638" customFormat="false" ht="14.4" hidden="true" customHeight="false" outlineLevel="0" collapsed="false">
      <c r="A11638" s="34" t="n">
        <v>10389924000185</v>
      </c>
      <c r="B11638" s="34" t="s">
        <v>22751</v>
      </c>
      <c r="C11638" s="34" t="s">
        <v>192</v>
      </c>
      <c r="D11638" s="34" t="s">
        <v>17879</v>
      </c>
      <c r="E11638" s="30" t="s">
        <v>22752</v>
      </c>
      <c r="F11638" s="34" t="n">
        <f aca="false">IFERROR(VLOOKUP($A11638,'319'!$B:$H,7,0),0)</f>
        <v>3089.47</v>
      </c>
      <c r="G11638" s="34" t="n">
        <f aca="false">SUMIFS('12.326ana'!$C:$C,'12.326ana'!$M:$M,redes!A11638)</f>
        <v>0</v>
      </c>
    </row>
    <row r="11639" customFormat="false" ht="14.4" hidden="true" customHeight="false" outlineLevel="0" collapsed="false">
      <c r="A11639" s="34" t="n">
        <v>10395934000123</v>
      </c>
      <c r="B11639" s="34" t="s">
        <v>22753</v>
      </c>
      <c r="C11639" s="34" t="s">
        <v>103</v>
      </c>
      <c r="E11639" s="30" t="s">
        <v>22754</v>
      </c>
      <c r="F11639" s="34" t="n">
        <f aca="false">IFERROR(VLOOKUP($A11639,'319'!$B:$H,7,0),0)</f>
        <v>0</v>
      </c>
      <c r="G11639" s="34" t="n">
        <f aca="false">SUMIFS('12.326ana'!$C:$C,'12.326ana'!$M:$M,redes!A11639)</f>
        <v>0</v>
      </c>
    </row>
    <row r="11640" customFormat="false" ht="14.4" hidden="true" customHeight="false" outlineLevel="0" collapsed="false">
      <c r="A11640" s="34" t="n">
        <v>10396149000195</v>
      </c>
      <c r="B11640" s="34" t="s">
        <v>22755</v>
      </c>
      <c r="C11640" s="34" t="s">
        <v>103</v>
      </c>
      <c r="E11640" s="30" t="s">
        <v>22756</v>
      </c>
      <c r="F11640" s="34" t="n">
        <f aca="false">IFERROR(VLOOKUP($A11640,'319'!$B:$H,7,0),0)</f>
        <v>0</v>
      </c>
      <c r="G11640" s="34" t="n">
        <f aca="false">SUMIFS('12.326ana'!$C:$C,'12.326ana'!$M:$M,redes!A11640)</f>
        <v>0</v>
      </c>
    </row>
    <row r="11641" customFormat="false" ht="14.4" hidden="true" customHeight="false" outlineLevel="0" collapsed="false">
      <c r="A11641" s="34" t="n">
        <v>10396426000160</v>
      </c>
      <c r="B11641" s="34" t="s">
        <v>852</v>
      </c>
      <c r="C11641" s="34" t="s">
        <v>737</v>
      </c>
      <c r="E11641" s="30" t="s">
        <v>22757</v>
      </c>
      <c r="F11641" s="34" t="n">
        <f aca="false">IFERROR(VLOOKUP($A11641,'319'!$B:$H,7,0),0)</f>
        <v>1981.09</v>
      </c>
      <c r="G11641" s="34" t="n">
        <f aca="false">SUMIFS('12.326ana'!$C:$C,'12.326ana'!$M:$M,redes!A11641)</f>
        <v>0</v>
      </c>
    </row>
    <row r="11642" customFormat="false" ht="14.4" hidden="true" customHeight="false" outlineLevel="0" collapsed="false">
      <c r="A11642" s="34" t="n">
        <v>10398365000170</v>
      </c>
      <c r="B11642" s="34" t="s">
        <v>22758</v>
      </c>
      <c r="C11642" s="34" t="s">
        <v>77</v>
      </c>
      <c r="E11642" s="30" t="s">
        <v>22759</v>
      </c>
      <c r="F11642" s="34" t="n">
        <f aca="false">IFERROR(VLOOKUP($A11642,'319'!$B:$H,7,0),0)</f>
        <v>0</v>
      </c>
      <c r="G11642" s="34" t="n">
        <f aca="false">SUMIFS('12.326ana'!$C:$C,'12.326ana'!$M:$M,redes!A11642)</f>
        <v>0</v>
      </c>
    </row>
    <row r="11643" customFormat="false" ht="14.4" hidden="true" customHeight="false" outlineLevel="0" collapsed="false">
      <c r="A11643" s="34" t="n">
        <v>10399034000154</v>
      </c>
      <c r="B11643" s="34" t="s">
        <v>11751</v>
      </c>
      <c r="C11643" s="34" t="s">
        <v>77</v>
      </c>
      <c r="E11643" s="30" t="s">
        <v>22760</v>
      </c>
      <c r="F11643" s="34" t="n">
        <f aca="false">IFERROR(VLOOKUP($A11643,'319'!$B:$H,7,0),0)</f>
        <v>0</v>
      </c>
      <c r="G11643" s="34" t="n">
        <f aca="false">SUMIFS('12.326ana'!$C:$C,'12.326ana'!$M:$M,redes!A11643)</f>
        <v>0</v>
      </c>
    </row>
    <row r="11644" customFormat="false" ht="14.4" hidden="true" customHeight="false" outlineLevel="0" collapsed="false">
      <c r="A11644" s="34" t="n">
        <v>10399047000123</v>
      </c>
      <c r="B11644" s="34" t="s">
        <v>22761</v>
      </c>
      <c r="C11644" s="34" t="s">
        <v>77</v>
      </c>
      <c r="E11644" s="30" t="s">
        <v>22762</v>
      </c>
      <c r="F11644" s="34" t="n">
        <f aca="false">IFERROR(VLOOKUP($A11644,'319'!$B:$H,7,0),0)</f>
        <v>0</v>
      </c>
      <c r="G11644" s="34" t="n">
        <f aca="false">SUMIFS('12.326ana'!$C:$C,'12.326ana'!$M:$M,redes!A11644)</f>
        <v>0</v>
      </c>
    </row>
    <row r="11645" customFormat="false" ht="14.4" hidden="true" customHeight="false" outlineLevel="0" collapsed="false">
      <c r="A11645" s="34" t="n">
        <v>10405407000152</v>
      </c>
      <c r="B11645" s="34" t="s">
        <v>9725</v>
      </c>
      <c r="C11645" s="34" t="s">
        <v>77</v>
      </c>
      <c r="E11645" s="30" t="s">
        <v>6533</v>
      </c>
      <c r="F11645" s="34" t="n">
        <f aca="false">IFERROR(VLOOKUP($A11645,'319'!$B:$H,7,0),0)</f>
        <v>0</v>
      </c>
      <c r="G11645" s="34" t="n">
        <f aca="false">SUMIFS('12.326ana'!$C:$C,'12.326ana'!$M:$M,redes!A11645)</f>
        <v>0</v>
      </c>
    </row>
    <row r="11646" customFormat="false" ht="14.4" hidden="true" customHeight="false" outlineLevel="0" collapsed="false">
      <c r="A11646" s="34" t="n">
        <v>10408952000100</v>
      </c>
      <c r="B11646" s="34" t="s">
        <v>22763</v>
      </c>
      <c r="C11646" s="34" t="s">
        <v>309</v>
      </c>
      <c r="E11646" s="30" t="s">
        <v>22764</v>
      </c>
      <c r="F11646" s="34" t="n">
        <f aca="false">IFERROR(VLOOKUP($A11646,'319'!$B:$H,7,0),0)</f>
        <v>0</v>
      </c>
      <c r="G11646" s="34" t="n">
        <f aca="false">SUMIFS('12.326ana'!$C:$C,'12.326ana'!$M:$M,redes!A11646)</f>
        <v>0</v>
      </c>
    </row>
    <row r="11647" customFormat="false" ht="14.4" hidden="true" customHeight="false" outlineLevel="0" collapsed="false">
      <c r="A11647" s="34" t="n">
        <v>10411979000144</v>
      </c>
      <c r="B11647" s="34" t="s">
        <v>22765</v>
      </c>
      <c r="C11647" s="34" t="s">
        <v>77</v>
      </c>
      <c r="E11647" s="30" t="s">
        <v>22766</v>
      </c>
      <c r="F11647" s="34" t="n">
        <f aca="false">IFERROR(VLOOKUP($A11647,'319'!$B:$H,7,0),0)</f>
        <v>0</v>
      </c>
      <c r="G11647" s="34" t="n">
        <f aca="false">SUMIFS('12.326ana'!$C:$C,'12.326ana'!$M:$M,redes!A11647)</f>
        <v>0</v>
      </c>
    </row>
    <row r="11648" customFormat="false" ht="14.4" hidden="true" customHeight="false" outlineLevel="0" collapsed="false">
      <c r="A11648" s="34" t="n">
        <v>10412038000125</v>
      </c>
      <c r="B11648" s="34" t="s">
        <v>22767</v>
      </c>
      <c r="C11648" s="34" t="s">
        <v>107</v>
      </c>
      <c r="E11648" s="30" t="s">
        <v>22768</v>
      </c>
      <c r="F11648" s="34" t="n">
        <f aca="false">IFERROR(VLOOKUP($A11648,'319'!$B:$H,7,0),0)</f>
        <v>0</v>
      </c>
      <c r="G11648" s="34" t="n">
        <f aca="false">SUMIFS('12.326ana'!$C:$C,'12.326ana'!$M:$M,redes!A11648)</f>
        <v>0</v>
      </c>
    </row>
    <row r="11649" customFormat="false" ht="14.4" hidden="true" customHeight="false" outlineLevel="0" collapsed="false">
      <c r="A11649" s="34" t="n">
        <v>10414036000175</v>
      </c>
      <c r="B11649" s="34" t="s">
        <v>22769</v>
      </c>
      <c r="C11649" s="34" t="s">
        <v>77</v>
      </c>
      <c r="E11649" s="30" t="s">
        <v>22770</v>
      </c>
      <c r="F11649" s="34" t="n">
        <f aca="false">IFERROR(VLOOKUP($A11649,'319'!$B:$H,7,0),0)</f>
        <v>0</v>
      </c>
      <c r="G11649" s="34" t="n">
        <f aca="false">SUMIFS('12.326ana'!$C:$C,'12.326ana'!$M:$M,redes!A11649)</f>
        <v>0</v>
      </c>
    </row>
    <row r="11650" customFormat="false" ht="14.4" hidden="true" customHeight="false" outlineLevel="0" collapsed="false">
      <c r="A11650" s="34" t="n">
        <v>10415072000153</v>
      </c>
      <c r="B11650" s="34" t="s">
        <v>22771</v>
      </c>
      <c r="C11650" s="34" t="s">
        <v>107</v>
      </c>
      <c r="E11650" s="30"/>
      <c r="F11650" s="34" t="n">
        <f aca="false">IFERROR(VLOOKUP($A11650,'319'!$B:$H,7,0),0)</f>
        <v>0</v>
      </c>
      <c r="G11650" s="34" t="n">
        <f aca="false">SUMIFS('12.326ana'!$C:$C,'12.326ana'!$M:$M,redes!A11650)</f>
        <v>0</v>
      </c>
    </row>
    <row r="11651" customFormat="false" ht="14.4" hidden="true" customHeight="false" outlineLevel="0" collapsed="false">
      <c r="A11651" s="34" t="n">
        <v>10415153000153</v>
      </c>
      <c r="B11651" s="34" t="s">
        <v>22772</v>
      </c>
      <c r="C11651" s="34" t="s">
        <v>77</v>
      </c>
      <c r="E11651" s="30" t="s">
        <v>3001</v>
      </c>
      <c r="F11651" s="34" t="n">
        <f aca="false">IFERROR(VLOOKUP($A11651,'319'!$B:$H,7,0),0)</f>
        <v>0</v>
      </c>
      <c r="G11651" s="34" t="n">
        <f aca="false">SUMIFS('12.326ana'!$C:$C,'12.326ana'!$M:$M,redes!A11651)</f>
        <v>0</v>
      </c>
    </row>
    <row r="11652" customFormat="false" ht="14.4" hidden="true" customHeight="false" outlineLevel="0" collapsed="false">
      <c r="A11652" s="34" t="n">
        <v>10420559000124</v>
      </c>
      <c r="B11652" s="34" t="s">
        <v>22773</v>
      </c>
      <c r="C11652" s="34" t="s">
        <v>342</v>
      </c>
      <c r="E11652" s="30" t="s">
        <v>22774</v>
      </c>
      <c r="F11652" s="34" t="n">
        <f aca="false">IFERROR(VLOOKUP($A11652,'319'!$B:$H,7,0),0)</f>
        <v>0</v>
      </c>
      <c r="G11652" s="34" t="n">
        <f aca="false">SUMIFS('12.326ana'!$C:$C,'12.326ana'!$M:$M,redes!A11652)</f>
        <v>0</v>
      </c>
    </row>
    <row r="11653" customFormat="false" ht="14.4" hidden="true" customHeight="false" outlineLevel="0" collapsed="false">
      <c r="A11653" s="34" t="n">
        <v>10425859000104</v>
      </c>
      <c r="B11653" s="34" t="s">
        <v>1217</v>
      </c>
      <c r="C11653" s="34" t="s">
        <v>336</v>
      </c>
      <c r="E11653" s="30" t="s">
        <v>3463</v>
      </c>
      <c r="F11653" s="34" t="n">
        <f aca="false">IFERROR(VLOOKUP($A11653,'319'!$B:$H,7,0),0)</f>
        <v>309.42</v>
      </c>
      <c r="G11653" s="34" t="n">
        <f aca="false">SUMIFS('12.326ana'!$C:$C,'12.326ana'!$M:$M,redes!A11653)</f>
        <v>0</v>
      </c>
    </row>
    <row r="11654" customFormat="false" ht="14.4" hidden="true" customHeight="false" outlineLevel="0" collapsed="false">
      <c r="A11654" s="35" t="n">
        <v>10426623000184</v>
      </c>
      <c r="B11654" s="34" t="s">
        <v>22775</v>
      </c>
      <c r="C11654" s="34" t="s">
        <v>351</v>
      </c>
      <c r="E11654" s="30" t="s">
        <v>22776</v>
      </c>
      <c r="F11654" s="34" t="n">
        <f aca="false">IFERROR(VLOOKUP($A11654,'319'!$B:$H,7,0),0)</f>
        <v>0</v>
      </c>
      <c r="G11654" s="34" t="n">
        <f aca="false">SUMIFS('12.326ana'!$C:$C,'12.326ana'!$M:$M,redes!A11654)</f>
        <v>0</v>
      </c>
    </row>
    <row r="11655" customFormat="false" ht="14.4" hidden="true" customHeight="false" outlineLevel="0" collapsed="false">
      <c r="A11655" s="35" t="n">
        <v>10429083000192</v>
      </c>
      <c r="B11655" s="34" t="s">
        <v>22777</v>
      </c>
      <c r="C11655" s="34" t="s">
        <v>1680</v>
      </c>
      <c r="E11655" s="30" t="s">
        <v>22778</v>
      </c>
      <c r="F11655" s="34" t="n">
        <f aca="false">IFERROR(VLOOKUP($A11655,'319'!$B:$H,7,0),0)</f>
        <v>0</v>
      </c>
      <c r="G11655" s="34" t="n">
        <f aca="false">SUMIFS('12.326ana'!$C:$C,'12.326ana'!$M:$M,redes!A11655)</f>
        <v>0</v>
      </c>
    </row>
    <row r="11656" customFormat="false" ht="14.4" hidden="true" customHeight="false" outlineLevel="0" collapsed="false">
      <c r="A11656" s="35" t="n">
        <v>10432544000186</v>
      </c>
      <c r="B11656" s="34" t="s">
        <v>22779</v>
      </c>
      <c r="C11656" s="34" t="s">
        <v>77</v>
      </c>
      <c r="E11656" s="30" t="s">
        <v>22780</v>
      </c>
      <c r="F11656" s="34" t="n">
        <f aca="false">IFERROR(VLOOKUP($A11656,'319'!$B:$H,7,0),0)</f>
        <v>0</v>
      </c>
      <c r="G11656" s="34" t="n">
        <f aca="false">SUMIFS('12.326ana'!$C:$C,'12.326ana'!$M:$M,redes!A11656)</f>
        <v>0</v>
      </c>
    </row>
    <row r="11657" customFormat="false" ht="14.4" hidden="true" customHeight="false" outlineLevel="0" collapsed="false">
      <c r="A11657" s="35" t="n">
        <v>10433543000156</v>
      </c>
      <c r="B11657" s="34" t="s">
        <v>22781</v>
      </c>
      <c r="C11657" s="34" t="s">
        <v>77</v>
      </c>
      <c r="E11657" s="30" t="s">
        <v>22782</v>
      </c>
      <c r="F11657" s="34" t="n">
        <f aca="false">IFERROR(VLOOKUP($A11657,'319'!$B:$H,7,0),0)</f>
        <v>0</v>
      </c>
      <c r="G11657" s="34" t="n">
        <f aca="false">SUMIFS('12.326ana'!$C:$C,'12.326ana'!$M:$M,redes!A11657)</f>
        <v>0</v>
      </c>
    </row>
    <row r="11658" customFormat="false" ht="14.4" hidden="true" customHeight="false" outlineLevel="0" collapsed="false">
      <c r="A11658" s="35" t="n">
        <v>10436002000181</v>
      </c>
      <c r="B11658" s="34" t="s">
        <v>22783</v>
      </c>
      <c r="C11658" s="34" t="s">
        <v>139</v>
      </c>
      <c r="E11658" s="30" t="s">
        <v>22784</v>
      </c>
      <c r="F11658" s="34" t="n">
        <f aca="false">IFERROR(VLOOKUP($A11658,'319'!$B:$H,7,0),0)</f>
        <v>0</v>
      </c>
      <c r="G11658" s="34" t="n">
        <f aca="false">SUMIFS('12.326ana'!$C:$C,'12.326ana'!$M:$M,redes!A11658)</f>
        <v>0</v>
      </c>
    </row>
    <row r="11659" customFormat="false" ht="14.4" hidden="true" customHeight="false" outlineLevel="0" collapsed="false">
      <c r="A11659" s="35" t="n">
        <v>10436972000187</v>
      </c>
      <c r="B11659" s="34" t="s">
        <v>22785</v>
      </c>
      <c r="C11659" s="34" t="s">
        <v>77</v>
      </c>
      <c r="E11659" s="30" t="s">
        <v>22786</v>
      </c>
      <c r="F11659" s="34" t="n">
        <f aca="false">IFERROR(VLOOKUP($A11659,'319'!$B:$H,7,0),0)</f>
        <v>0</v>
      </c>
      <c r="G11659" s="34" t="n">
        <f aca="false">SUMIFS('12.326ana'!$C:$C,'12.326ana'!$M:$M,redes!A11659)</f>
        <v>0</v>
      </c>
    </row>
    <row r="11660" customFormat="false" ht="14.4" hidden="true" customHeight="false" outlineLevel="0" collapsed="false">
      <c r="A11660" s="35" t="n">
        <v>10436972000268</v>
      </c>
      <c r="B11660" s="34" t="s">
        <v>22787</v>
      </c>
      <c r="C11660" s="34" t="s">
        <v>77</v>
      </c>
      <c r="E11660" s="30" t="s">
        <v>22788</v>
      </c>
      <c r="F11660" s="34" t="n">
        <f aca="false">IFERROR(VLOOKUP($A11660,'319'!$B:$H,7,0),0)</f>
        <v>0</v>
      </c>
      <c r="G11660" s="34" t="n">
        <f aca="false">SUMIFS('12.326ana'!$C:$C,'12.326ana'!$M:$M,redes!A11660)</f>
        <v>0</v>
      </c>
    </row>
    <row r="11661" customFormat="false" ht="14.4" hidden="true" customHeight="false" outlineLevel="0" collapsed="false">
      <c r="A11661" s="35" t="n">
        <v>10439138000145</v>
      </c>
      <c r="B11661" s="34" t="s">
        <v>22789</v>
      </c>
      <c r="C11661" s="34" t="s">
        <v>77</v>
      </c>
      <c r="E11661" s="30" t="s">
        <v>22790</v>
      </c>
      <c r="F11661" s="34" t="n">
        <f aca="false">IFERROR(VLOOKUP($A11661,'319'!$B:$H,7,0),0)</f>
        <v>0</v>
      </c>
      <c r="G11661" s="34" t="n">
        <f aca="false">SUMIFS('12.326ana'!$C:$C,'12.326ana'!$M:$M,redes!A11661)</f>
        <v>0</v>
      </c>
    </row>
    <row r="11662" customFormat="false" ht="14.4" hidden="true" customHeight="false" outlineLevel="0" collapsed="false">
      <c r="A11662" s="35" t="n">
        <v>10440267000153</v>
      </c>
      <c r="B11662" s="34" t="s">
        <v>22791</v>
      </c>
      <c r="C11662" s="34" t="s">
        <v>77</v>
      </c>
      <c r="E11662" s="30" t="s">
        <v>22792</v>
      </c>
      <c r="F11662" s="34" t="n">
        <f aca="false">IFERROR(VLOOKUP($A11662,'319'!$B:$H,7,0),0)</f>
        <v>0</v>
      </c>
      <c r="G11662" s="34" t="n">
        <f aca="false">SUMIFS('12.326ana'!$C:$C,'12.326ana'!$M:$M,redes!A11662)</f>
        <v>0</v>
      </c>
    </row>
    <row r="11663" customFormat="false" ht="14.4" hidden="true" customHeight="false" outlineLevel="0" collapsed="false">
      <c r="A11663" s="35" t="n">
        <v>10443049000172</v>
      </c>
      <c r="B11663" s="34" t="s">
        <v>22793</v>
      </c>
      <c r="C11663" s="34" t="s">
        <v>139</v>
      </c>
      <c r="E11663" s="30" t="s">
        <v>22794</v>
      </c>
      <c r="F11663" s="34" t="n">
        <f aca="false">IFERROR(VLOOKUP($A11663,'319'!$B:$H,7,0),0)</f>
        <v>0</v>
      </c>
      <c r="G11663" s="34" t="n">
        <f aca="false">SUMIFS('12.326ana'!$C:$C,'12.326ana'!$M:$M,redes!A11663)</f>
        <v>0</v>
      </c>
    </row>
    <row r="11664" customFormat="false" ht="14.4" hidden="true" customHeight="false" outlineLevel="0" collapsed="false">
      <c r="A11664" s="35" t="n">
        <v>10449406000100</v>
      </c>
      <c r="B11664" s="34" t="s">
        <v>22795</v>
      </c>
      <c r="C11664" s="34" t="s">
        <v>309</v>
      </c>
      <c r="E11664" s="30" t="s">
        <v>22796</v>
      </c>
      <c r="F11664" s="34" t="n">
        <f aca="false">IFERROR(VLOOKUP($A11664,'319'!$B:$H,7,0),0)</f>
        <v>0</v>
      </c>
      <c r="G11664" s="34" t="n">
        <f aca="false">SUMIFS('12.326ana'!$C:$C,'12.326ana'!$M:$M,redes!A11664)</f>
        <v>0</v>
      </c>
    </row>
    <row r="11665" customFormat="false" ht="14.4" hidden="true" customHeight="false" outlineLevel="0" collapsed="false">
      <c r="A11665" s="35" t="n">
        <v>10454480000114</v>
      </c>
      <c r="B11665" s="34" t="s">
        <v>705</v>
      </c>
      <c r="C11665" s="34" t="s">
        <v>706</v>
      </c>
      <c r="E11665" s="30" t="s">
        <v>22797</v>
      </c>
      <c r="F11665" s="34" t="n">
        <f aca="false">IFERROR(VLOOKUP($A11665,'319'!$B:$H,7,0),0)</f>
        <v>6068.49</v>
      </c>
      <c r="G11665" s="34" t="n">
        <f aca="false">SUMIFS('12.326ana'!$C:$C,'12.326ana'!$M:$M,redes!A11665)</f>
        <v>0</v>
      </c>
    </row>
    <row r="11666" customFormat="false" ht="14.4" hidden="true" customHeight="false" outlineLevel="0" collapsed="false">
      <c r="A11666" s="35" t="n">
        <v>10454867000170</v>
      </c>
      <c r="B11666" s="34" t="s">
        <v>22798</v>
      </c>
      <c r="C11666" s="34" t="s">
        <v>77</v>
      </c>
      <c r="E11666" s="30" t="s">
        <v>22799</v>
      </c>
      <c r="F11666" s="34" t="n">
        <f aca="false">IFERROR(VLOOKUP($A11666,'319'!$B:$H,7,0),0)</f>
        <v>0</v>
      </c>
      <c r="G11666" s="34" t="n">
        <f aca="false">SUMIFS('12.326ana'!$C:$C,'12.326ana'!$M:$M,redes!A11666)</f>
        <v>0</v>
      </c>
    </row>
    <row r="11667" customFormat="false" ht="14.4" hidden="true" customHeight="false" outlineLevel="0" collapsed="false">
      <c r="A11667" s="35" t="n">
        <v>10455242000123</v>
      </c>
      <c r="B11667" s="34" t="s">
        <v>22800</v>
      </c>
      <c r="C11667" s="34" t="s">
        <v>77</v>
      </c>
      <c r="E11667" s="30" t="s">
        <v>4776</v>
      </c>
      <c r="F11667" s="34" t="n">
        <f aca="false">IFERROR(VLOOKUP($A11667,'319'!$B:$H,7,0),0)</f>
        <v>0</v>
      </c>
      <c r="G11667" s="34" t="n">
        <f aca="false">SUMIFS('12.326ana'!$C:$C,'12.326ana'!$M:$M,redes!A11667)</f>
        <v>0</v>
      </c>
    </row>
    <row r="11668" customFormat="false" ht="14.4" hidden="true" customHeight="false" outlineLevel="0" collapsed="false">
      <c r="A11668" s="35" t="n">
        <v>10461541000170</v>
      </c>
      <c r="B11668" s="34" t="s">
        <v>22801</v>
      </c>
      <c r="C11668" s="34" t="s">
        <v>77</v>
      </c>
      <c r="E11668" s="30" t="s">
        <v>22802</v>
      </c>
      <c r="F11668" s="34" t="n">
        <f aca="false">IFERROR(VLOOKUP($A11668,'319'!$B:$H,7,0),0)</f>
        <v>0</v>
      </c>
      <c r="G11668" s="34" t="n">
        <f aca="false">SUMIFS('12.326ana'!$C:$C,'12.326ana'!$M:$M,redes!A11668)</f>
        <v>0</v>
      </c>
    </row>
    <row r="11669" customFormat="false" ht="14.4" hidden="true" customHeight="false" outlineLevel="0" collapsed="false">
      <c r="A11669" s="35" t="n">
        <v>10461928000127</v>
      </c>
      <c r="B11669" s="34" t="s">
        <v>22803</v>
      </c>
      <c r="C11669" s="34" t="s">
        <v>192</v>
      </c>
      <c r="E11669" s="30" t="s">
        <v>22804</v>
      </c>
      <c r="F11669" s="34" t="n">
        <f aca="false">IFERROR(VLOOKUP($A11669,'319'!$B:$H,7,0),0)</f>
        <v>0</v>
      </c>
      <c r="G11669" s="34" t="n">
        <f aca="false">SUMIFS('12.326ana'!$C:$C,'12.326ana'!$M:$M,redes!A11669)</f>
        <v>0</v>
      </c>
    </row>
    <row r="11670" customFormat="false" ht="14.4" hidden="true" customHeight="false" outlineLevel="0" collapsed="false">
      <c r="A11670" s="35" t="n">
        <v>10463471000190</v>
      </c>
      <c r="B11670" s="34" t="s">
        <v>22805</v>
      </c>
      <c r="C11670" s="34" t="s">
        <v>594</v>
      </c>
      <c r="E11670" s="30" t="s">
        <v>22806</v>
      </c>
      <c r="F11670" s="34" t="n">
        <f aca="false">IFERROR(VLOOKUP($A11670,'319'!$B:$H,7,0),0)</f>
        <v>0</v>
      </c>
      <c r="G11670" s="34" t="n">
        <f aca="false">SUMIFS('12.326ana'!$C:$C,'12.326ana'!$M:$M,redes!A11670)</f>
        <v>0</v>
      </c>
    </row>
    <row r="11671" customFormat="false" ht="14.4" hidden="true" customHeight="false" outlineLevel="0" collapsed="false">
      <c r="A11671" s="35" t="n">
        <v>10467730000150</v>
      </c>
      <c r="B11671" s="34" t="s">
        <v>22807</v>
      </c>
      <c r="C11671" s="34" t="s">
        <v>463</v>
      </c>
      <c r="E11671" s="30" t="s">
        <v>22808</v>
      </c>
      <c r="F11671" s="34" t="n">
        <f aca="false">IFERROR(VLOOKUP($A11671,'319'!$B:$H,7,0),0)</f>
        <v>0</v>
      </c>
      <c r="G11671" s="34" t="n">
        <f aca="false">SUMIFS('12.326ana'!$C:$C,'12.326ana'!$M:$M,redes!A11671)</f>
        <v>0</v>
      </c>
    </row>
    <row r="11672" customFormat="false" ht="14.4" hidden="true" customHeight="false" outlineLevel="0" collapsed="false">
      <c r="A11672" s="35" t="n">
        <v>10473421000193</v>
      </c>
      <c r="B11672" s="34" t="s">
        <v>22809</v>
      </c>
      <c r="C11672" s="34" t="s">
        <v>77</v>
      </c>
      <c r="E11672" s="30" t="s">
        <v>22810</v>
      </c>
      <c r="F11672" s="34" t="n">
        <f aca="false">IFERROR(VLOOKUP($A11672,'319'!$B:$H,7,0),0)</f>
        <v>0</v>
      </c>
      <c r="G11672" s="34" t="n">
        <f aca="false">SUMIFS('12.326ana'!$C:$C,'12.326ana'!$M:$M,redes!A11672)</f>
        <v>0</v>
      </c>
    </row>
    <row r="11673" customFormat="false" ht="14.4" hidden="true" customHeight="false" outlineLevel="0" collapsed="false">
      <c r="A11673" s="35" t="n">
        <v>10476953000184</v>
      </c>
      <c r="B11673" s="34" t="s">
        <v>22811</v>
      </c>
      <c r="C11673" s="34" t="s">
        <v>604</v>
      </c>
      <c r="E11673" s="30" t="s">
        <v>22812</v>
      </c>
      <c r="F11673" s="34" t="n">
        <f aca="false">IFERROR(VLOOKUP($A11673,'319'!$B:$H,7,0),0)</f>
        <v>0</v>
      </c>
      <c r="G11673" s="34" t="n">
        <f aca="false">SUMIFS('12.326ana'!$C:$C,'12.326ana'!$M:$M,redes!A11673)</f>
        <v>0</v>
      </c>
    </row>
    <row r="11674" customFormat="false" ht="14.4" hidden="true" customHeight="false" outlineLevel="0" collapsed="false">
      <c r="A11674" s="34" t="n">
        <v>10479601000182</v>
      </c>
      <c r="B11674" s="34" t="s">
        <v>22813</v>
      </c>
      <c r="C11674" s="34" t="s">
        <v>1591</v>
      </c>
      <c r="E11674" s="30" t="s">
        <v>22814</v>
      </c>
      <c r="F11674" s="34" t="n">
        <f aca="false">IFERROR(VLOOKUP($A11674,'319'!$B:$H,7,0),0)</f>
        <v>0</v>
      </c>
      <c r="G11674" s="34" t="n">
        <f aca="false">SUMIFS('12.326ana'!$C:$C,'12.326ana'!$M:$M,redes!A11674)</f>
        <v>0</v>
      </c>
    </row>
    <row r="11675" customFormat="false" ht="14.4" hidden="true" customHeight="false" outlineLevel="0" collapsed="false">
      <c r="A11675" s="34" t="n">
        <v>10482980000160</v>
      </c>
      <c r="B11675" s="34" t="s">
        <v>22815</v>
      </c>
      <c r="C11675" s="34" t="s">
        <v>77</v>
      </c>
      <c r="D11675" s="34" t="s">
        <v>14249</v>
      </c>
      <c r="E11675" s="30" t="s">
        <v>14250</v>
      </c>
      <c r="F11675" s="34" t="n">
        <f aca="false">IFERROR(VLOOKUP($A11675,'319'!$B:$H,7,0),0)</f>
        <v>0</v>
      </c>
      <c r="G11675" s="34" t="n">
        <f aca="false">SUMIFS('12.326ana'!$C:$C,'12.326ana'!$M:$M,redes!A11675)</f>
        <v>0</v>
      </c>
    </row>
    <row r="11676" customFormat="false" ht="14.4" hidden="true" customHeight="false" outlineLevel="0" collapsed="false">
      <c r="A11676" s="34" t="n">
        <v>10482980000240</v>
      </c>
      <c r="B11676" s="34" t="s">
        <v>22815</v>
      </c>
      <c r="C11676" s="34" t="s">
        <v>77</v>
      </c>
      <c r="D11676" s="34" t="s">
        <v>14249</v>
      </c>
      <c r="E11676" s="30" t="s">
        <v>22816</v>
      </c>
      <c r="F11676" s="34" t="n">
        <f aca="false">IFERROR(VLOOKUP($A11676,'319'!$B:$H,7,0),0)</f>
        <v>0</v>
      </c>
      <c r="G11676" s="34" t="n">
        <f aca="false">SUMIFS('12.326ana'!$C:$C,'12.326ana'!$M:$M,redes!A11676)</f>
        <v>0</v>
      </c>
    </row>
    <row r="11677" customFormat="false" ht="14.4" hidden="true" customHeight="false" outlineLevel="0" collapsed="false">
      <c r="A11677" s="34" t="n">
        <v>10482980000321</v>
      </c>
      <c r="B11677" s="34" t="s">
        <v>22815</v>
      </c>
      <c r="C11677" s="34" t="s">
        <v>77</v>
      </c>
      <c r="D11677" s="34" t="s">
        <v>14249</v>
      </c>
      <c r="E11677" s="30" t="s">
        <v>22816</v>
      </c>
      <c r="F11677" s="34" t="n">
        <f aca="false">IFERROR(VLOOKUP($A11677,'319'!$B:$H,7,0),0)</f>
        <v>0</v>
      </c>
      <c r="G11677" s="34" t="n">
        <f aca="false">SUMIFS('12.326ana'!$C:$C,'12.326ana'!$M:$M,redes!A11677)</f>
        <v>0</v>
      </c>
    </row>
    <row r="11678" customFormat="false" ht="14.4" hidden="true" customHeight="false" outlineLevel="0" collapsed="false">
      <c r="A11678" s="34" t="n">
        <v>10485640000192</v>
      </c>
      <c r="B11678" s="34" t="s">
        <v>22817</v>
      </c>
      <c r="C11678" s="34" t="s">
        <v>77</v>
      </c>
      <c r="E11678" s="30" t="s">
        <v>22818</v>
      </c>
      <c r="F11678" s="34" t="n">
        <f aca="false">IFERROR(VLOOKUP($A11678,'319'!$B:$H,7,0),0)</f>
        <v>0</v>
      </c>
      <c r="G11678" s="34" t="n">
        <f aca="false">SUMIFS('12.326ana'!$C:$C,'12.326ana'!$M:$M,redes!A11678)</f>
        <v>0</v>
      </c>
    </row>
    <row r="11679" customFormat="false" ht="14.4" hidden="true" customHeight="false" outlineLevel="0" collapsed="false">
      <c r="A11679" s="34" t="n">
        <v>10489280000105</v>
      </c>
      <c r="B11679" s="34" t="s">
        <v>22819</v>
      </c>
      <c r="C11679" s="34" t="s">
        <v>464</v>
      </c>
      <c r="E11679" s="30" t="s">
        <v>22820</v>
      </c>
      <c r="F11679" s="34" t="n">
        <f aca="false">IFERROR(VLOOKUP($A11679,'319'!$B:$H,7,0),0)</f>
        <v>0</v>
      </c>
      <c r="G11679" s="34" t="n">
        <f aca="false">SUMIFS('12.326ana'!$C:$C,'12.326ana'!$M:$M,redes!A11679)</f>
        <v>0</v>
      </c>
    </row>
    <row r="11680" customFormat="false" ht="14.4" hidden="true" customHeight="false" outlineLevel="0" collapsed="false">
      <c r="A11680" s="34" t="n">
        <v>10489448000174</v>
      </c>
      <c r="B11680" s="34" t="s">
        <v>22821</v>
      </c>
      <c r="C11680" s="34" t="s">
        <v>139</v>
      </c>
      <c r="E11680" s="30" t="s">
        <v>13387</v>
      </c>
      <c r="F11680" s="34" t="n">
        <f aca="false">IFERROR(VLOOKUP($A11680,'319'!$B:$H,7,0),0)</f>
        <v>0</v>
      </c>
      <c r="G11680" s="34" t="n">
        <f aca="false">SUMIFS('12.326ana'!$C:$C,'12.326ana'!$M:$M,redes!A11680)</f>
        <v>0</v>
      </c>
    </row>
    <row r="11681" customFormat="false" ht="14.4" hidden="true" customHeight="false" outlineLevel="0" collapsed="false">
      <c r="A11681" s="34" t="n">
        <v>10496070000136</v>
      </c>
      <c r="B11681" s="34" t="s">
        <v>22822</v>
      </c>
      <c r="C11681" s="34" t="s">
        <v>1272</v>
      </c>
      <c r="E11681" s="30" t="s">
        <v>9202</v>
      </c>
      <c r="F11681" s="34" t="n">
        <f aca="false">IFERROR(VLOOKUP($A11681,'319'!$B:$H,7,0),0)</f>
        <v>0</v>
      </c>
      <c r="G11681" s="34" t="n">
        <f aca="false">SUMIFS('12.326ana'!$C:$C,'12.326ana'!$M:$M,redes!A11681)</f>
        <v>0</v>
      </c>
    </row>
    <row r="11682" customFormat="false" ht="14.4" hidden="true" customHeight="false" outlineLevel="0" collapsed="false">
      <c r="A11682" s="34" t="n">
        <v>10496124000163</v>
      </c>
      <c r="B11682" s="34" t="s">
        <v>22823</v>
      </c>
      <c r="C11682" s="34" t="s">
        <v>77</v>
      </c>
      <c r="E11682" s="30"/>
      <c r="F11682" s="34" t="n">
        <f aca="false">IFERROR(VLOOKUP($A11682,'319'!$B:$H,7,0),0)</f>
        <v>0</v>
      </c>
      <c r="G11682" s="34" t="n">
        <f aca="false">SUMIFS('12.326ana'!$C:$C,'12.326ana'!$M:$M,redes!A11682)</f>
        <v>0</v>
      </c>
    </row>
    <row r="11683" customFormat="false" ht="14.4" hidden="true" customHeight="false" outlineLevel="0" collapsed="false">
      <c r="A11683" s="34" t="n">
        <v>10497409000119</v>
      </c>
      <c r="B11683" s="34" t="s">
        <v>22824</v>
      </c>
      <c r="C11683" s="34" t="s">
        <v>594</v>
      </c>
      <c r="E11683" s="30" t="s">
        <v>22825</v>
      </c>
      <c r="F11683" s="34" t="n">
        <f aca="false">IFERROR(VLOOKUP($A11683,'319'!$B:$H,7,0),0)</f>
        <v>0</v>
      </c>
      <c r="G11683" s="34" t="n">
        <f aca="false">SUMIFS('12.326ana'!$C:$C,'12.326ana'!$M:$M,redes!A11683)</f>
        <v>0</v>
      </c>
    </row>
    <row r="11684" customFormat="false" ht="14.4" hidden="true" customHeight="false" outlineLevel="0" collapsed="false">
      <c r="A11684" s="34" t="n">
        <v>10499987000194</v>
      </c>
      <c r="B11684" s="34" t="s">
        <v>22826</v>
      </c>
      <c r="C11684" s="34" t="s">
        <v>478</v>
      </c>
      <c r="E11684" s="30" t="s">
        <v>3066</v>
      </c>
      <c r="F11684" s="34" t="n">
        <f aca="false">IFERROR(VLOOKUP($A11684,'319'!$B:$H,7,0),0)</f>
        <v>0</v>
      </c>
      <c r="G11684" s="34" t="n">
        <f aca="false">SUMIFS('12.326ana'!$C:$C,'12.326ana'!$M:$M,redes!A11684)</f>
        <v>0</v>
      </c>
    </row>
    <row r="11685" customFormat="false" ht="14.4" hidden="true" customHeight="false" outlineLevel="0" collapsed="false">
      <c r="A11685" s="34" t="n">
        <v>10502756000192</v>
      </c>
      <c r="B11685" s="34" t="s">
        <v>22827</v>
      </c>
      <c r="C11685" s="34" t="s">
        <v>77</v>
      </c>
      <c r="E11685" s="30" t="s">
        <v>11233</v>
      </c>
      <c r="F11685" s="34" t="n">
        <f aca="false">IFERROR(VLOOKUP($A11685,'319'!$B:$H,7,0),0)</f>
        <v>0</v>
      </c>
      <c r="G11685" s="34" t="n">
        <f aca="false">SUMIFS('12.326ana'!$C:$C,'12.326ana'!$M:$M,redes!A11685)</f>
        <v>0</v>
      </c>
    </row>
    <row r="11686" customFormat="false" ht="14.4" hidden="true" customHeight="false" outlineLevel="0" collapsed="false">
      <c r="A11686" s="34" t="n">
        <v>10509504000195</v>
      </c>
      <c r="B11686" s="34" t="s">
        <v>22828</v>
      </c>
      <c r="C11686" s="34" t="s">
        <v>680</v>
      </c>
      <c r="E11686" s="30" t="s">
        <v>22829</v>
      </c>
      <c r="F11686" s="34" t="n">
        <f aca="false">IFERROR(VLOOKUP($A11686,'319'!$B:$H,7,0),0)</f>
        <v>0</v>
      </c>
      <c r="G11686" s="34" t="n">
        <f aca="false">SUMIFS('12.326ana'!$C:$C,'12.326ana'!$M:$M,redes!A11686)</f>
        <v>0</v>
      </c>
    </row>
    <row r="11687" customFormat="false" ht="14.4" hidden="true" customHeight="false" outlineLevel="0" collapsed="false">
      <c r="A11687" s="34" t="n">
        <v>10512855000155</v>
      </c>
      <c r="B11687" s="34" t="s">
        <v>22830</v>
      </c>
      <c r="C11687" s="34" t="s">
        <v>77</v>
      </c>
      <c r="D11687" s="34" t="s">
        <v>20956</v>
      </c>
      <c r="E11687" s="30" t="s">
        <v>21637</v>
      </c>
      <c r="F11687" s="34" t="n">
        <f aca="false">IFERROR(VLOOKUP($A11687,'319'!$B:$H,7,0),0)</f>
        <v>0</v>
      </c>
      <c r="G11687" s="34" t="n">
        <f aca="false">SUMIFS('12.326ana'!$C:$C,'12.326ana'!$M:$M,redes!A11687)</f>
        <v>0</v>
      </c>
    </row>
    <row r="11688" customFormat="false" ht="14.4" hidden="true" customHeight="false" outlineLevel="0" collapsed="false">
      <c r="A11688" s="34" t="n">
        <v>10512870000101</v>
      </c>
      <c r="B11688" s="34" t="s">
        <v>22831</v>
      </c>
      <c r="C11688" s="34" t="s">
        <v>77</v>
      </c>
      <c r="D11688" s="34" t="s">
        <v>20956</v>
      </c>
      <c r="E11688" s="30" t="s">
        <v>21641</v>
      </c>
      <c r="F11688" s="34" t="n">
        <f aca="false">IFERROR(VLOOKUP($A11688,'319'!$B:$H,7,0),0)</f>
        <v>0</v>
      </c>
      <c r="G11688" s="34" t="n">
        <f aca="false">SUMIFS('12.326ana'!$C:$C,'12.326ana'!$M:$M,redes!A11688)</f>
        <v>0</v>
      </c>
    </row>
    <row r="11689" customFormat="false" ht="14.4" hidden="true" customHeight="false" outlineLevel="0" collapsed="false">
      <c r="A11689" s="34" t="n">
        <v>10513152000141</v>
      </c>
      <c r="B11689" s="34" t="s">
        <v>22832</v>
      </c>
      <c r="C11689" s="34" t="s">
        <v>117</v>
      </c>
      <c r="E11689" s="30" t="s">
        <v>12960</v>
      </c>
      <c r="F11689" s="34" t="n">
        <f aca="false">IFERROR(VLOOKUP($A11689,'319'!$B:$H,7,0),0)</f>
        <v>0</v>
      </c>
      <c r="G11689" s="34" t="n">
        <f aca="false">SUMIFS('12.326ana'!$C:$C,'12.326ana'!$M:$M,redes!A11689)</f>
        <v>0</v>
      </c>
    </row>
    <row r="11690" customFormat="false" ht="14.4" hidden="true" customHeight="false" outlineLevel="0" collapsed="false">
      <c r="A11690" s="34" t="n">
        <v>10513625000100</v>
      </c>
      <c r="B11690" s="34" t="s">
        <v>22833</v>
      </c>
      <c r="C11690" s="34" t="s">
        <v>77</v>
      </c>
      <c r="E11690" s="30" t="s">
        <v>10607</v>
      </c>
      <c r="F11690" s="34" t="n">
        <f aca="false">IFERROR(VLOOKUP($A11690,'319'!$B:$H,7,0),0)</f>
        <v>0</v>
      </c>
      <c r="G11690" s="34" t="n">
        <f aca="false">SUMIFS('12.326ana'!$C:$C,'12.326ana'!$M:$M,redes!A11690)</f>
        <v>0</v>
      </c>
    </row>
    <row r="11691" customFormat="false" ht="14.4" hidden="true" customHeight="false" outlineLevel="0" collapsed="false">
      <c r="A11691" s="34" t="n">
        <v>10513998000181</v>
      </c>
      <c r="B11691" s="34" t="s">
        <v>2885</v>
      </c>
      <c r="C11691" s="34" t="s">
        <v>77</v>
      </c>
      <c r="D11691" s="34" t="s">
        <v>20</v>
      </c>
      <c r="E11691" s="30" t="s">
        <v>2886</v>
      </c>
      <c r="F11691" s="34" t="n">
        <f aca="false">IFERROR(VLOOKUP($A11691,'319'!$B:$H,7,0),0)</f>
        <v>7039.28</v>
      </c>
      <c r="G11691" s="34" t="n">
        <f aca="false">SUMIFS('12.326ana'!$C:$C,'12.326ana'!$M:$M,redes!A11691)</f>
        <v>0</v>
      </c>
    </row>
    <row r="11692" customFormat="false" ht="14.4" hidden="true" customHeight="false" outlineLevel="0" collapsed="false">
      <c r="A11692" s="34" t="n">
        <v>10513998000262</v>
      </c>
      <c r="B11692" s="34" t="s">
        <v>2887</v>
      </c>
      <c r="C11692" s="34" t="s">
        <v>594</v>
      </c>
      <c r="D11692" s="34" t="s">
        <v>20</v>
      </c>
      <c r="E11692" s="30" t="s">
        <v>2888</v>
      </c>
      <c r="F11692" s="34" t="n">
        <f aca="false">IFERROR(VLOOKUP($A11692,'319'!$B:$H,7,0),0)</f>
        <v>15013.36</v>
      </c>
      <c r="G11692" s="34" t="n">
        <f aca="false">SUMIFS('12.326ana'!$C:$C,'12.326ana'!$M:$M,redes!A11692)</f>
        <v>0</v>
      </c>
    </row>
    <row r="11693" customFormat="false" ht="14.4" hidden="true" customHeight="false" outlineLevel="0" collapsed="false">
      <c r="A11693" s="34" t="n">
        <v>10513998000343</v>
      </c>
      <c r="B11693" s="34" t="s">
        <v>2889</v>
      </c>
      <c r="C11693" s="34" t="s">
        <v>594</v>
      </c>
      <c r="D11693" s="34" t="s">
        <v>20</v>
      </c>
      <c r="E11693" s="30" t="s">
        <v>2864</v>
      </c>
      <c r="F11693" s="34" t="n">
        <f aca="false">IFERROR(VLOOKUP($A11693,'319'!$B:$H,7,0),0)</f>
        <v>9885.15</v>
      </c>
      <c r="G11693" s="34" t="n">
        <f aca="false">SUMIFS('12.326ana'!$C:$C,'12.326ana'!$M:$M,redes!A11693)</f>
        <v>0</v>
      </c>
    </row>
    <row r="11694" customFormat="false" ht="14.4" hidden="true" customHeight="false" outlineLevel="0" collapsed="false">
      <c r="A11694" s="34" t="n">
        <v>10513998000424</v>
      </c>
      <c r="B11694" s="34" t="s">
        <v>2890</v>
      </c>
      <c r="C11694" s="34" t="s">
        <v>77</v>
      </c>
      <c r="D11694" s="34" t="s">
        <v>20</v>
      </c>
      <c r="E11694" s="30" t="s">
        <v>2864</v>
      </c>
      <c r="F11694" s="34" t="n">
        <f aca="false">IFERROR(VLOOKUP($A11694,'319'!$B:$H,7,0),0)</f>
        <v>7588.54</v>
      </c>
      <c r="G11694" s="34" t="n">
        <f aca="false">SUMIFS('12.326ana'!$C:$C,'12.326ana'!$M:$M,redes!A11694)</f>
        <v>0</v>
      </c>
    </row>
    <row r="11695" customFormat="false" ht="14.4" hidden="true" customHeight="false" outlineLevel="0" collapsed="false">
      <c r="A11695" s="34" t="n">
        <v>10513998000505</v>
      </c>
      <c r="B11695" s="34" t="s">
        <v>2891</v>
      </c>
      <c r="C11695" s="34" t="s">
        <v>77</v>
      </c>
      <c r="D11695" s="34" t="s">
        <v>20</v>
      </c>
      <c r="E11695" s="30" t="s">
        <v>2864</v>
      </c>
      <c r="F11695" s="34" t="n">
        <f aca="false">IFERROR(VLOOKUP($A11695,'319'!$B:$H,7,0),0)</f>
        <v>7570.65</v>
      </c>
      <c r="G11695" s="34" t="n">
        <f aca="false">SUMIFS('12.326ana'!$C:$C,'12.326ana'!$M:$M,redes!A11695)</f>
        <v>0</v>
      </c>
    </row>
    <row r="11696" customFormat="false" ht="14.4" hidden="true" customHeight="false" outlineLevel="0" collapsed="false">
      <c r="A11696" s="34" t="n">
        <v>10513998000696</v>
      </c>
      <c r="B11696" s="34" t="s">
        <v>2892</v>
      </c>
      <c r="C11696" s="34" t="s">
        <v>77</v>
      </c>
      <c r="D11696" s="34" t="s">
        <v>20</v>
      </c>
      <c r="E11696" s="30" t="s">
        <v>2864</v>
      </c>
      <c r="F11696" s="34" t="n">
        <f aca="false">IFERROR(VLOOKUP($A11696,'319'!$B:$H,7,0),0)</f>
        <v>10648.63</v>
      </c>
      <c r="G11696" s="34" t="n">
        <f aca="false">SUMIFS('12.326ana'!$C:$C,'12.326ana'!$M:$M,redes!A11696)</f>
        <v>0</v>
      </c>
    </row>
    <row r="11697" customFormat="false" ht="14.4" hidden="true" customHeight="false" outlineLevel="0" collapsed="false">
      <c r="A11697" s="34" t="n">
        <v>10513998000777</v>
      </c>
      <c r="B11697" s="34" t="s">
        <v>2893</v>
      </c>
      <c r="C11697" s="34" t="s">
        <v>448</v>
      </c>
      <c r="D11697" s="34" t="s">
        <v>20</v>
      </c>
      <c r="E11697" s="30" t="s">
        <v>2864</v>
      </c>
      <c r="F11697" s="34" t="n">
        <f aca="false">IFERROR(VLOOKUP($A11697,'319'!$B:$H,7,0),0)</f>
        <v>6840.96</v>
      </c>
      <c r="G11697" s="34" t="n">
        <f aca="false">SUMIFS('12.326ana'!$C:$C,'12.326ana'!$M:$M,redes!A11697)</f>
        <v>0</v>
      </c>
    </row>
    <row r="11698" customFormat="false" ht="14.4" hidden="true" customHeight="false" outlineLevel="0" collapsed="false">
      <c r="A11698" s="34" t="n">
        <v>10513998000858</v>
      </c>
      <c r="B11698" s="34" t="s">
        <v>2905</v>
      </c>
      <c r="C11698" s="34" t="s">
        <v>77</v>
      </c>
      <c r="D11698" s="34" t="s">
        <v>20</v>
      </c>
      <c r="E11698" s="30" t="s">
        <v>22834</v>
      </c>
      <c r="F11698" s="34" t="n">
        <f aca="false">IFERROR(VLOOKUP($A11698,'319'!$B:$H,7,0),0)</f>
        <v>0</v>
      </c>
      <c r="G11698" s="34" t="n">
        <f aca="false">SUMIFS('12.326ana'!$C:$C,'12.326ana'!$M:$M,redes!A11698)</f>
        <v>0</v>
      </c>
    </row>
    <row r="11699" customFormat="false" ht="14.4" hidden="true" customHeight="false" outlineLevel="0" collapsed="false">
      <c r="A11699" s="34" t="n">
        <v>10513998000939</v>
      </c>
      <c r="B11699" s="34" t="s">
        <v>2894</v>
      </c>
      <c r="C11699" s="34" t="s">
        <v>594</v>
      </c>
      <c r="D11699" s="34" t="s">
        <v>20</v>
      </c>
      <c r="E11699" s="30" t="s">
        <v>2864</v>
      </c>
      <c r="F11699" s="34" t="n">
        <f aca="false">IFERROR(VLOOKUP($A11699,'319'!$B:$H,7,0),0)</f>
        <v>7341.14</v>
      </c>
      <c r="G11699" s="34" t="n">
        <f aca="false">SUMIFS('12.326ana'!$C:$C,'12.326ana'!$M:$M,redes!A11699)</f>
        <v>0</v>
      </c>
    </row>
    <row r="11700" customFormat="false" ht="14.4" hidden="true" customHeight="false" outlineLevel="0" collapsed="false">
      <c r="A11700" s="34" t="n">
        <v>10513998001072</v>
      </c>
      <c r="B11700" s="34" t="s">
        <v>2895</v>
      </c>
      <c r="C11700" s="34" t="s">
        <v>107</v>
      </c>
      <c r="D11700" s="34" t="s">
        <v>20</v>
      </c>
      <c r="E11700" s="30" t="s">
        <v>2864</v>
      </c>
      <c r="F11700" s="34" t="n">
        <f aca="false">IFERROR(VLOOKUP($A11700,'319'!$B:$H,7,0),0)</f>
        <v>6834.75</v>
      </c>
      <c r="G11700" s="34" t="n">
        <f aca="false">SUMIFS('12.326ana'!$C:$C,'12.326ana'!$M:$M,redes!A11700)</f>
        <v>0</v>
      </c>
    </row>
    <row r="11701" customFormat="false" ht="14.4" hidden="true" customHeight="false" outlineLevel="0" collapsed="false">
      <c r="A11701" s="34" t="n">
        <v>10513998001153</v>
      </c>
      <c r="B11701" s="34" t="s">
        <v>2896</v>
      </c>
      <c r="C11701" s="34" t="s">
        <v>581</v>
      </c>
      <c r="D11701" s="34" t="s">
        <v>20</v>
      </c>
      <c r="E11701" s="30" t="s">
        <v>2897</v>
      </c>
      <c r="F11701" s="34" t="n">
        <f aca="false">IFERROR(VLOOKUP($A11701,'319'!$B:$H,7,0),0)</f>
        <v>17431.64</v>
      </c>
      <c r="G11701" s="34" t="n">
        <f aca="false">SUMIFS('12.326ana'!$C:$C,'12.326ana'!$M:$M,redes!A11701)</f>
        <v>0</v>
      </c>
    </row>
    <row r="11702" customFormat="false" ht="14.4" hidden="true" customHeight="false" outlineLevel="0" collapsed="false">
      <c r="A11702" s="34" t="n">
        <v>10513998001234</v>
      </c>
      <c r="B11702" s="34" t="s">
        <v>2898</v>
      </c>
      <c r="C11702" s="34" t="s">
        <v>604</v>
      </c>
      <c r="D11702" s="34" t="s">
        <v>20</v>
      </c>
      <c r="E11702" s="30" t="s">
        <v>2864</v>
      </c>
      <c r="F11702" s="34" t="n">
        <f aca="false">IFERROR(VLOOKUP($A11702,'319'!$B:$H,7,0),0)</f>
        <v>13515.72</v>
      </c>
      <c r="G11702" s="34" t="n">
        <f aca="false">SUMIFS('12.326ana'!$C:$C,'12.326ana'!$M:$M,redes!A11702)</f>
        <v>0</v>
      </c>
    </row>
    <row r="11703" customFormat="false" ht="14.4" hidden="true" customHeight="false" outlineLevel="0" collapsed="false">
      <c r="A11703" s="34" t="n">
        <v>10513998001315</v>
      </c>
      <c r="B11703" s="34" t="s">
        <v>2899</v>
      </c>
      <c r="C11703" s="34" t="s">
        <v>77</v>
      </c>
      <c r="D11703" s="34" t="s">
        <v>20</v>
      </c>
      <c r="E11703" s="30" t="s">
        <v>2900</v>
      </c>
      <c r="F11703" s="34" t="n">
        <f aca="false">IFERROR(VLOOKUP($A11703,'319'!$B:$H,7,0),0)</f>
        <v>8845.11</v>
      </c>
      <c r="G11703" s="34" t="n">
        <f aca="false">SUMIFS('12.326ana'!$C:$C,'12.326ana'!$M:$M,redes!A11703)</f>
        <v>0</v>
      </c>
    </row>
    <row r="11704" customFormat="false" ht="14.4" hidden="true" customHeight="false" outlineLevel="0" collapsed="false">
      <c r="A11704" s="34" t="n">
        <v>10513998001404</v>
      </c>
      <c r="B11704" s="34" t="s">
        <v>2901</v>
      </c>
      <c r="C11704" s="34" t="s">
        <v>107</v>
      </c>
      <c r="D11704" s="34" t="s">
        <v>20</v>
      </c>
      <c r="E11704" s="30" t="s">
        <v>2864</v>
      </c>
      <c r="F11704" s="34" t="n">
        <f aca="false">IFERROR(VLOOKUP($A11704,'319'!$B:$H,7,0),0)</f>
        <v>8079.43</v>
      </c>
      <c r="G11704" s="34" t="n">
        <f aca="false">SUMIFS('12.326ana'!$C:$C,'12.326ana'!$M:$M,redes!A11704)</f>
        <v>0</v>
      </c>
    </row>
    <row r="11705" customFormat="false" ht="14.4" hidden="true" customHeight="false" outlineLevel="0" collapsed="false">
      <c r="A11705" s="34" t="n">
        <v>10513998001587</v>
      </c>
      <c r="B11705" s="34" t="s">
        <v>2902</v>
      </c>
      <c r="C11705" s="34" t="s">
        <v>604</v>
      </c>
      <c r="D11705" s="34" t="s">
        <v>20</v>
      </c>
      <c r="E11705" s="30" t="s">
        <v>2864</v>
      </c>
      <c r="F11705" s="34" t="n">
        <f aca="false">IFERROR(VLOOKUP($A11705,'319'!$B:$H,7,0),0)</f>
        <v>8016.2</v>
      </c>
      <c r="G11705" s="34" t="n">
        <f aca="false">SUMIFS('12.326ana'!$C:$C,'12.326ana'!$M:$M,redes!A11705)</f>
        <v>0</v>
      </c>
    </row>
    <row r="11706" customFormat="false" ht="14.4" hidden="true" customHeight="false" outlineLevel="0" collapsed="false">
      <c r="A11706" s="34" t="n">
        <v>10513998001668</v>
      </c>
      <c r="B11706" s="34" t="s">
        <v>2903</v>
      </c>
      <c r="C11706" s="34" t="s">
        <v>107</v>
      </c>
      <c r="D11706" s="34" t="s">
        <v>20</v>
      </c>
      <c r="E11706" s="30" t="s">
        <v>2900</v>
      </c>
      <c r="F11706" s="34" t="n">
        <f aca="false">IFERROR(VLOOKUP($A11706,'319'!$B:$H,7,0),0)</f>
        <v>6349.62</v>
      </c>
      <c r="G11706" s="34" t="n">
        <f aca="false">SUMIFS('12.326ana'!$C:$C,'12.326ana'!$M:$M,redes!A11706)</f>
        <v>0</v>
      </c>
    </row>
    <row r="11707" customFormat="false" ht="14.4" hidden="true" customHeight="false" outlineLevel="0" collapsed="false">
      <c r="A11707" s="34" t="n">
        <v>10513998001749</v>
      </c>
      <c r="B11707" s="34" t="s">
        <v>2904</v>
      </c>
      <c r="C11707" s="34" t="s">
        <v>107</v>
      </c>
      <c r="D11707" s="34" t="s">
        <v>20</v>
      </c>
      <c r="E11707" s="30" t="s">
        <v>2905</v>
      </c>
      <c r="F11707" s="34" t="n">
        <f aca="false">IFERROR(VLOOKUP($A11707,'319'!$B:$H,7,0),0)</f>
        <v>6018.13</v>
      </c>
      <c r="G11707" s="34" t="n">
        <f aca="false">SUMIFS('12.326ana'!$C:$C,'12.326ana'!$M:$M,redes!A11707)</f>
        <v>0</v>
      </c>
    </row>
    <row r="11708" customFormat="false" ht="14.4" hidden="true" customHeight="false" outlineLevel="0" collapsed="false">
      <c r="A11708" s="34" t="n">
        <v>10513998001820</v>
      </c>
      <c r="B11708" s="34" t="s">
        <v>2906</v>
      </c>
      <c r="C11708" s="34" t="s">
        <v>107</v>
      </c>
      <c r="D11708" s="34" t="s">
        <v>20</v>
      </c>
      <c r="E11708" s="30" t="s">
        <v>2905</v>
      </c>
      <c r="F11708" s="34" t="n">
        <f aca="false">IFERROR(VLOOKUP($A11708,'319'!$B:$H,7,0),0)</f>
        <v>8614.16</v>
      </c>
      <c r="G11708" s="34" t="n">
        <f aca="false">SUMIFS('12.326ana'!$C:$C,'12.326ana'!$M:$M,redes!A11708)</f>
        <v>0</v>
      </c>
    </row>
    <row r="11709" customFormat="false" ht="14.4" hidden="true" customHeight="false" outlineLevel="0" collapsed="false">
      <c r="A11709" s="34" t="n">
        <v>10513998001900</v>
      </c>
      <c r="B11709" s="34" t="s">
        <v>2907</v>
      </c>
      <c r="C11709" s="34" t="s">
        <v>107</v>
      </c>
      <c r="D11709" s="34" t="s">
        <v>20</v>
      </c>
      <c r="E11709" s="30" t="s">
        <v>2864</v>
      </c>
      <c r="F11709" s="34" t="n">
        <f aca="false">IFERROR(VLOOKUP($A11709,'319'!$B:$H,7,0),0)</f>
        <v>8064.32</v>
      </c>
      <c r="G11709" s="34" t="n">
        <f aca="false">SUMIFS('12.326ana'!$C:$C,'12.326ana'!$M:$M,redes!A11709)</f>
        <v>0</v>
      </c>
    </row>
    <row r="11710" customFormat="false" ht="14.4" hidden="true" customHeight="false" outlineLevel="0" collapsed="false">
      <c r="A11710" s="34" t="n">
        <v>10513998002044</v>
      </c>
      <c r="B11710" s="34" t="s">
        <v>2908</v>
      </c>
      <c r="C11710" s="34" t="s">
        <v>604</v>
      </c>
      <c r="D11710" s="34" t="s">
        <v>20</v>
      </c>
      <c r="E11710" s="30" t="s">
        <v>2864</v>
      </c>
      <c r="F11710" s="34" t="n">
        <f aca="false">IFERROR(VLOOKUP($A11710,'319'!$B:$H,7,0),0)</f>
        <v>11020.83</v>
      </c>
      <c r="G11710" s="34" t="n">
        <f aca="false">SUMIFS('12.326ana'!$C:$C,'12.326ana'!$M:$M,redes!A11710)</f>
        <v>0</v>
      </c>
    </row>
    <row r="11711" customFormat="false" ht="14.4" hidden="true" customHeight="false" outlineLevel="0" collapsed="false">
      <c r="A11711" s="34" t="n">
        <v>10514015000121</v>
      </c>
      <c r="B11711" s="34" t="s">
        <v>22835</v>
      </c>
      <c r="C11711" s="34" t="s">
        <v>77</v>
      </c>
      <c r="E11711" s="30" t="s">
        <v>22836</v>
      </c>
      <c r="F11711" s="34" t="n">
        <f aca="false">IFERROR(VLOOKUP($A11711,'319'!$B:$H,7,0),0)</f>
        <v>0</v>
      </c>
      <c r="G11711" s="34" t="n">
        <f aca="false">SUMIFS('12.326ana'!$C:$C,'12.326ana'!$M:$M,redes!A11711)</f>
        <v>0</v>
      </c>
    </row>
    <row r="11712" customFormat="false" ht="14.4" hidden="true" customHeight="false" outlineLevel="0" collapsed="false">
      <c r="A11712" s="34" t="n">
        <v>10514061000120</v>
      </c>
      <c r="B11712" s="34" t="s">
        <v>22837</v>
      </c>
      <c r="C11712" s="34" t="s">
        <v>107</v>
      </c>
      <c r="E11712" s="30" t="s">
        <v>22838</v>
      </c>
      <c r="F11712" s="34" t="n">
        <f aca="false">IFERROR(VLOOKUP($A11712,'319'!$B:$H,7,0),0)</f>
        <v>0</v>
      </c>
      <c r="G11712" s="34" t="n">
        <f aca="false">SUMIFS('12.326ana'!$C:$C,'12.326ana'!$M:$M,redes!A11712)</f>
        <v>0</v>
      </c>
    </row>
    <row r="11713" customFormat="false" ht="14.4" hidden="true" customHeight="false" outlineLevel="0" collapsed="false">
      <c r="A11713" s="34" t="n">
        <v>10514365000198</v>
      </c>
      <c r="B11713" s="34" t="s">
        <v>22839</v>
      </c>
      <c r="C11713" s="34" t="s">
        <v>342</v>
      </c>
      <c r="E11713" s="30" t="s">
        <v>22840</v>
      </c>
      <c r="F11713" s="34" t="n">
        <f aca="false">IFERROR(VLOOKUP($A11713,'319'!$B:$H,7,0),0)</f>
        <v>0</v>
      </c>
      <c r="G11713" s="34" t="n">
        <f aca="false">SUMIFS('12.326ana'!$C:$C,'12.326ana'!$M:$M,redes!A11713)</f>
        <v>0</v>
      </c>
    </row>
    <row r="11714" customFormat="false" ht="14.4" hidden="true" customHeight="false" outlineLevel="0" collapsed="false">
      <c r="A11714" s="34" t="n">
        <v>10516354000147</v>
      </c>
      <c r="B11714" s="34" t="s">
        <v>22841</v>
      </c>
      <c r="C11714" s="34" t="s">
        <v>680</v>
      </c>
      <c r="E11714" s="30" t="s">
        <v>22842</v>
      </c>
      <c r="F11714" s="34" t="n">
        <f aca="false">IFERROR(VLOOKUP($A11714,'319'!$B:$H,7,0),0)</f>
        <v>0</v>
      </c>
      <c r="G11714" s="34" t="n">
        <f aca="false">SUMIFS('12.326ana'!$C:$C,'12.326ana'!$M:$M,redes!A11714)</f>
        <v>0</v>
      </c>
    </row>
    <row r="11715" customFormat="false" ht="14.4" hidden="true" customHeight="false" outlineLevel="0" collapsed="false">
      <c r="A11715" s="34" t="n">
        <v>10520198000198</v>
      </c>
      <c r="B11715" s="34" t="s">
        <v>22843</v>
      </c>
      <c r="C11715" s="34" t="s">
        <v>631</v>
      </c>
      <c r="E11715" s="30" t="s">
        <v>22844</v>
      </c>
      <c r="F11715" s="34" t="n">
        <f aca="false">IFERROR(VLOOKUP($A11715,'319'!$B:$H,7,0),0)</f>
        <v>0</v>
      </c>
      <c r="G11715" s="34" t="n">
        <f aca="false">SUMIFS('12.326ana'!$C:$C,'12.326ana'!$M:$M,redes!A11715)</f>
        <v>0</v>
      </c>
    </row>
    <row r="11716" customFormat="false" ht="14.4" hidden="true" customHeight="false" outlineLevel="0" collapsed="false">
      <c r="A11716" s="34" t="n">
        <v>10527340000129</v>
      </c>
      <c r="B11716" s="34" t="s">
        <v>22845</v>
      </c>
      <c r="C11716" s="34" t="s">
        <v>77</v>
      </c>
      <c r="E11716" s="30" t="s">
        <v>22846</v>
      </c>
      <c r="F11716" s="34" t="n">
        <f aca="false">IFERROR(VLOOKUP($A11716,'319'!$B:$H,7,0),0)</f>
        <v>0</v>
      </c>
      <c r="G11716" s="34" t="n">
        <f aca="false">SUMIFS('12.326ana'!$C:$C,'12.326ana'!$M:$M,redes!A11716)</f>
        <v>0</v>
      </c>
    </row>
    <row r="11717" customFormat="false" ht="14.4" hidden="true" customHeight="false" outlineLevel="0" collapsed="false">
      <c r="A11717" s="34" t="n">
        <v>10527652000132</v>
      </c>
      <c r="B11717" s="34" t="s">
        <v>22847</v>
      </c>
      <c r="C11717" s="34" t="s">
        <v>77</v>
      </c>
      <c r="E11717" s="30" t="s">
        <v>22848</v>
      </c>
      <c r="F11717" s="34" t="n">
        <f aca="false">IFERROR(VLOOKUP($A11717,'319'!$B:$H,7,0),0)</f>
        <v>0</v>
      </c>
      <c r="G11717" s="34" t="n">
        <f aca="false">SUMIFS('12.326ana'!$C:$C,'12.326ana'!$M:$M,redes!A11717)</f>
        <v>0</v>
      </c>
    </row>
    <row r="11718" customFormat="false" ht="14.4" hidden="true" customHeight="false" outlineLevel="0" collapsed="false">
      <c r="A11718" s="34" t="n">
        <v>10528144000179</v>
      </c>
      <c r="B11718" s="34" t="s">
        <v>22849</v>
      </c>
      <c r="C11718" s="34" t="s">
        <v>77</v>
      </c>
      <c r="E11718" s="30" t="s">
        <v>20445</v>
      </c>
      <c r="F11718" s="34" t="n">
        <f aca="false">IFERROR(VLOOKUP($A11718,'319'!$B:$H,7,0),0)</f>
        <v>0</v>
      </c>
      <c r="G11718" s="34" t="n">
        <f aca="false">SUMIFS('12.326ana'!$C:$C,'12.326ana'!$M:$M,redes!A11718)</f>
        <v>0</v>
      </c>
    </row>
    <row r="11719" customFormat="false" ht="14.4" hidden="true" customHeight="false" outlineLevel="0" collapsed="false">
      <c r="A11719" s="34" t="n">
        <v>10530230000116</v>
      </c>
      <c r="B11719" s="34" t="s">
        <v>872</v>
      </c>
      <c r="C11719" s="34" t="s">
        <v>473</v>
      </c>
      <c r="E11719" s="30" t="s">
        <v>22850</v>
      </c>
      <c r="F11719" s="34" t="n">
        <f aca="false">IFERROR(VLOOKUP($A11719,'319'!$B:$H,7,0),0)</f>
        <v>1845.2</v>
      </c>
      <c r="G11719" s="34" t="n">
        <f aca="false">SUMIFS('12.326ana'!$C:$C,'12.326ana'!$M:$M,redes!A11719)</f>
        <v>0</v>
      </c>
    </row>
    <row r="11720" customFormat="false" ht="14.4" hidden="true" customHeight="false" outlineLevel="0" collapsed="false">
      <c r="A11720" s="34" t="n">
        <v>10530998000190</v>
      </c>
      <c r="B11720" s="34" t="s">
        <v>22851</v>
      </c>
      <c r="C11720" s="34" t="s">
        <v>565</v>
      </c>
      <c r="E11720" s="30" t="s">
        <v>22852</v>
      </c>
      <c r="F11720" s="34" t="n">
        <f aca="false">IFERROR(VLOOKUP($A11720,'319'!$B:$H,7,0),0)</f>
        <v>0</v>
      </c>
      <c r="G11720" s="34" t="n">
        <f aca="false">SUMIFS('12.326ana'!$C:$C,'12.326ana'!$M:$M,redes!A11720)</f>
        <v>0</v>
      </c>
    </row>
    <row r="11721" customFormat="false" ht="14.4" hidden="true" customHeight="false" outlineLevel="0" collapsed="false">
      <c r="A11721" s="34" t="n">
        <v>10532988000193</v>
      </c>
      <c r="B11721" s="34" t="s">
        <v>22853</v>
      </c>
      <c r="C11721" s="34" t="s">
        <v>464</v>
      </c>
      <c r="E11721" s="30" t="s">
        <v>3297</v>
      </c>
      <c r="F11721" s="34" t="n">
        <f aca="false">IFERROR(VLOOKUP($A11721,'319'!$B:$H,7,0),0)</f>
        <v>0</v>
      </c>
      <c r="G11721" s="34" t="n">
        <f aca="false">SUMIFS('12.326ana'!$C:$C,'12.326ana'!$M:$M,redes!A11721)</f>
        <v>0</v>
      </c>
    </row>
    <row r="11722" customFormat="false" ht="14.4" hidden="true" customHeight="false" outlineLevel="0" collapsed="false">
      <c r="A11722" s="34" t="n">
        <v>10535971000190</v>
      </c>
      <c r="B11722" s="34" t="s">
        <v>22854</v>
      </c>
      <c r="C11722" s="34" t="s">
        <v>77</v>
      </c>
      <c r="E11722" s="30" t="s">
        <v>22855</v>
      </c>
      <c r="F11722" s="34" t="n">
        <f aca="false">IFERROR(VLOOKUP($A11722,'319'!$B:$H,7,0),0)</f>
        <v>0</v>
      </c>
      <c r="G11722" s="34" t="n">
        <f aca="false">SUMIFS('12.326ana'!$C:$C,'12.326ana'!$M:$M,redes!A11722)</f>
        <v>0</v>
      </c>
    </row>
    <row r="11723" customFormat="false" ht="14.4" hidden="true" customHeight="false" outlineLevel="0" collapsed="false">
      <c r="A11723" s="34" t="n">
        <v>10536283000144</v>
      </c>
      <c r="B11723" s="34" t="s">
        <v>22856</v>
      </c>
      <c r="C11723" s="34" t="s">
        <v>77</v>
      </c>
      <c r="E11723" s="30" t="s">
        <v>22857</v>
      </c>
      <c r="F11723" s="34" t="n">
        <f aca="false">IFERROR(VLOOKUP($A11723,'319'!$B:$H,7,0),0)</f>
        <v>0</v>
      </c>
      <c r="G11723" s="34" t="n">
        <f aca="false">SUMIFS('12.326ana'!$C:$C,'12.326ana'!$M:$M,redes!A11723)</f>
        <v>0</v>
      </c>
    </row>
    <row r="11724" customFormat="false" ht="14.4" hidden="true" customHeight="false" outlineLevel="0" collapsed="false">
      <c r="A11724" s="34" t="n">
        <v>10537936000100</v>
      </c>
      <c r="B11724" s="34" t="s">
        <v>22858</v>
      </c>
      <c r="C11724" s="34" t="s">
        <v>127</v>
      </c>
      <c r="E11724" s="30" t="s">
        <v>22859</v>
      </c>
      <c r="F11724" s="34" t="n">
        <f aca="false">IFERROR(VLOOKUP($A11724,'319'!$B:$H,7,0),0)</f>
        <v>0</v>
      </c>
      <c r="G11724" s="34" t="n">
        <f aca="false">SUMIFS('12.326ana'!$C:$C,'12.326ana'!$M:$M,redes!A11724)</f>
        <v>0</v>
      </c>
    </row>
    <row r="11725" customFormat="false" ht="14.4" hidden="true" customHeight="false" outlineLevel="0" collapsed="false">
      <c r="A11725" s="34" t="n">
        <v>10538455000119</v>
      </c>
      <c r="B11725" s="34" t="s">
        <v>22860</v>
      </c>
      <c r="C11725" s="34" t="s">
        <v>77</v>
      </c>
      <c r="E11725" s="30" t="s">
        <v>22861</v>
      </c>
      <c r="F11725" s="34" t="n">
        <f aca="false">IFERROR(VLOOKUP($A11725,'319'!$B:$H,7,0),0)</f>
        <v>0</v>
      </c>
      <c r="G11725" s="34" t="n">
        <f aca="false">SUMIFS('12.326ana'!$C:$C,'12.326ana'!$M:$M,redes!A11725)</f>
        <v>0</v>
      </c>
    </row>
    <row r="11726" customFormat="false" ht="14.4" hidden="true" customHeight="false" outlineLevel="0" collapsed="false">
      <c r="A11726" s="34" t="n">
        <v>10540853000170</v>
      </c>
      <c r="B11726" s="34" t="s">
        <v>3435</v>
      </c>
      <c r="C11726" s="34" t="s">
        <v>77</v>
      </c>
      <c r="E11726" s="30" t="s">
        <v>3436</v>
      </c>
      <c r="F11726" s="34" t="n">
        <f aca="false">IFERROR(VLOOKUP($A11726,'319'!$B:$H,7,0),0)</f>
        <v>0</v>
      </c>
      <c r="G11726" s="34" t="n">
        <f aca="false">SUMIFS('12.326ana'!$C:$C,'12.326ana'!$M:$M,redes!A11726)</f>
        <v>0</v>
      </c>
    </row>
    <row r="11727" customFormat="false" ht="14.4" hidden="true" customHeight="false" outlineLevel="0" collapsed="false">
      <c r="A11727" s="34" t="n">
        <v>10540923000190</v>
      </c>
      <c r="B11727" s="34" t="s">
        <v>22862</v>
      </c>
      <c r="C11727" s="34" t="s">
        <v>473</v>
      </c>
      <c r="E11727" s="30" t="s">
        <v>19903</v>
      </c>
      <c r="F11727" s="34" t="n">
        <f aca="false">IFERROR(VLOOKUP($A11727,'319'!$B:$H,7,0),0)</f>
        <v>0</v>
      </c>
      <c r="G11727" s="34" t="n">
        <f aca="false">SUMIFS('12.326ana'!$C:$C,'12.326ana'!$M:$M,redes!A11727)</f>
        <v>0</v>
      </c>
    </row>
    <row r="11728" customFormat="false" ht="14.4" hidden="true" customHeight="false" outlineLevel="0" collapsed="false">
      <c r="A11728" s="34" t="n">
        <v>10542693000106</v>
      </c>
      <c r="B11728" s="34" t="s">
        <v>22863</v>
      </c>
      <c r="C11728" s="34" t="s">
        <v>77</v>
      </c>
      <c r="E11728" s="30" t="s">
        <v>22864</v>
      </c>
      <c r="F11728" s="34" t="n">
        <f aca="false">IFERROR(VLOOKUP($A11728,'319'!$B:$H,7,0),0)</f>
        <v>0</v>
      </c>
      <c r="G11728" s="34" t="n">
        <f aca="false">SUMIFS('12.326ana'!$C:$C,'12.326ana'!$M:$M,redes!A11728)</f>
        <v>0</v>
      </c>
    </row>
    <row r="11729" customFormat="false" ht="14.4" hidden="true" customHeight="false" outlineLevel="0" collapsed="false">
      <c r="A11729" s="34" t="n">
        <v>10543161000185</v>
      </c>
      <c r="B11729" s="34" t="s">
        <v>22865</v>
      </c>
      <c r="C11729" s="34" t="s">
        <v>77</v>
      </c>
      <c r="E11729" s="30" t="s">
        <v>12912</v>
      </c>
      <c r="F11729" s="34" t="n">
        <f aca="false">IFERROR(VLOOKUP($A11729,'319'!$B:$H,7,0),0)</f>
        <v>0</v>
      </c>
      <c r="G11729" s="34" t="n">
        <f aca="false">SUMIFS('12.326ana'!$C:$C,'12.326ana'!$M:$M,redes!A11729)</f>
        <v>0</v>
      </c>
    </row>
    <row r="11730" customFormat="false" ht="14.4" hidden="true" customHeight="false" outlineLevel="0" collapsed="false">
      <c r="A11730" s="34" t="n">
        <v>10544838000108</v>
      </c>
      <c r="B11730" s="34" t="s">
        <v>22866</v>
      </c>
      <c r="C11730" s="34" t="s">
        <v>77</v>
      </c>
      <c r="E11730" s="30" t="s">
        <v>15043</v>
      </c>
      <c r="F11730" s="34" t="n">
        <f aca="false">IFERROR(VLOOKUP($A11730,'319'!$B:$H,7,0),0)</f>
        <v>0</v>
      </c>
      <c r="G11730" s="34" t="n">
        <f aca="false">SUMIFS('12.326ana'!$C:$C,'12.326ana'!$M:$M,redes!A11730)</f>
        <v>0</v>
      </c>
    </row>
    <row r="11731" customFormat="false" ht="14.4" hidden="true" customHeight="false" outlineLevel="0" collapsed="false">
      <c r="A11731" s="34" t="n">
        <v>10545393000172</v>
      </c>
      <c r="B11731" s="34" t="s">
        <v>22867</v>
      </c>
      <c r="C11731" s="34" t="s">
        <v>77</v>
      </c>
      <c r="E11731" s="30" t="s">
        <v>22868</v>
      </c>
      <c r="F11731" s="34" t="n">
        <f aca="false">IFERROR(VLOOKUP($A11731,'319'!$B:$H,7,0),0)</f>
        <v>0</v>
      </c>
      <c r="G11731" s="34" t="n">
        <f aca="false">SUMIFS('12.326ana'!$C:$C,'12.326ana'!$M:$M,redes!A11731)</f>
        <v>0</v>
      </c>
    </row>
    <row r="11732" customFormat="false" ht="14.4" hidden="true" customHeight="false" outlineLevel="0" collapsed="false">
      <c r="A11732" s="34" t="n">
        <v>10550300000106</v>
      </c>
      <c r="B11732" s="34" t="s">
        <v>22869</v>
      </c>
      <c r="C11732" s="34" t="s">
        <v>631</v>
      </c>
      <c r="E11732" s="30" t="s">
        <v>22870</v>
      </c>
      <c r="F11732" s="34" t="n">
        <f aca="false">IFERROR(VLOOKUP($A11732,'319'!$B:$H,7,0),0)</f>
        <v>0</v>
      </c>
      <c r="G11732" s="34" t="n">
        <f aca="false">SUMIFS('12.326ana'!$C:$C,'12.326ana'!$M:$M,redes!A11732)</f>
        <v>0</v>
      </c>
    </row>
    <row r="11733" customFormat="false" ht="14.4" hidden="true" customHeight="false" outlineLevel="0" collapsed="false">
      <c r="A11733" s="34" t="n">
        <v>10552117000131</v>
      </c>
      <c r="B11733" s="34" t="s">
        <v>22871</v>
      </c>
      <c r="C11733" s="34" t="s">
        <v>77</v>
      </c>
      <c r="E11733" s="30" t="s">
        <v>22872</v>
      </c>
      <c r="F11733" s="34" t="n">
        <f aca="false">IFERROR(VLOOKUP($A11733,'319'!$B:$H,7,0),0)</f>
        <v>0</v>
      </c>
      <c r="G11733" s="34" t="n">
        <f aca="false">SUMIFS('12.326ana'!$C:$C,'12.326ana'!$M:$M,redes!A11733)</f>
        <v>0</v>
      </c>
    </row>
    <row r="11734" customFormat="false" ht="14.4" hidden="true" customHeight="false" outlineLevel="0" collapsed="false">
      <c r="A11734" s="34" t="n">
        <v>10552233000150</v>
      </c>
      <c r="B11734" s="34" t="s">
        <v>22873</v>
      </c>
      <c r="C11734" s="34" t="s">
        <v>77</v>
      </c>
      <c r="E11734" s="30" t="s">
        <v>22874</v>
      </c>
      <c r="F11734" s="34" t="n">
        <f aca="false">IFERROR(VLOOKUP($A11734,'319'!$B:$H,7,0),0)</f>
        <v>0</v>
      </c>
      <c r="G11734" s="34" t="n">
        <f aca="false">SUMIFS('12.326ana'!$C:$C,'12.326ana'!$M:$M,redes!A11734)</f>
        <v>0</v>
      </c>
    </row>
    <row r="11735" customFormat="false" ht="14.4" hidden="true" customHeight="false" outlineLevel="0" collapsed="false">
      <c r="A11735" s="34" t="n">
        <v>10555962000160</v>
      </c>
      <c r="B11735" s="34" t="s">
        <v>22875</v>
      </c>
      <c r="C11735" s="34" t="s">
        <v>77</v>
      </c>
      <c r="E11735" s="30" t="s">
        <v>22876</v>
      </c>
      <c r="F11735" s="34" t="n">
        <f aca="false">IFERROR(VLOOKUP($A11735,'319'!$B:$H,7,0),0)</f>
        <v>0</v>
      </c>
      <c r="G11735" s="34" t="n">
        <f aca="false">SUMIFS('12.326ana'!$C:$C,'12.326ana'!$M:$M,redes!A11735)</f>
        <v>0</v>
      </c>
    </row>
    <row r="11736" customFormat="false" ht="14.4" hidden="true" customHeight="false" outlineLevel="0" collapsed="false">
      <c r="A11736" s="34" t="n">
        <v>10560387000194</v>
      </c>
      <c r="B11736" s="34" t="s">
        <v>6250</v>
      </c>
      <c r="C11736" s="34" t="s">
        <v>213</v>
      </c>
      <c r="E11736" s="30" t="s">
        <v>22877</v>
      </c>
      <c r="F11736" s="34" t="n">
        <f aca="false">IFERROR(VLOOKUP($A11736,'319'!$B:$H,7,0),0)</f>
        <v>0</v>
      </c>
      <c r="G11736" s="34" t="n">
        <f aca="false">SUMIFS('12.326ana'!$C:$C,'12.326ana'!$M:$M,redes!A11736)</f>
        <v>0</v>
      </c>
    </row>
    <row r="11737" customFormat="false" ht="14.4" hidden="true" customHeight="false" outlineLevel="0" collapsed="false">
      <c r="A11737" s="34" t="n">
        <v>10560756000149</v>
      </c>
      <c r="B11737" s="34" t="s">
        <v>22878</v>
      </c>
      <c r="C11737" s="34" t="s">
        <v>107</v>
      </c>
      <c r="E11737" s="30" t="s">
        <v>22879</v>
      </c>
      <c r="F11737" s="34" t="n">
        <f aca="false">IFERROR(VLOOKUP($A11737,'319'!$B:$H,7,0),0)</f>
        <v>0</v>
      </c>
      <c r="G11737" s="34" t="n">
        <f aca="false">SUMIFS('12.326ana'!$C:$C,'12.326ana'!$M:$M,redes!A11737)</f>
        <v>0</v>
      </c>
    </row>
    <row r="11738" customFormat="false" ht="14.4" hidden="true" customHeight="false" outlineLevel="0" collapsed="false">
      <c r="A11738" s="34" t="n">
        <v>10562776000159</v>
      </c>
      <c r="B11738" s="34" t="s">
        <v>22880</v>
      </c>
      <c r="C11738" s="34" t="s">
        <v>103</v>
      </c>
      <c r="E11738" s="30" t="s">
        <v>22881</v>
      </c>
      <c r="F11738" s="34" t="n">
        <f aca="false">IFERROR(VLOOKUP($A11738,'319'!$B:$H,7,0),0)</f>
        <v>0</v>
      </c>
      <c r="G11738" s="34" t="n">
        <f aca="false">SUMIFS('12.326ana'!$C:$C,'12.326ana'!$M:$M,redes!A11738)</f>
        <v>0</v>
      </c>
    </row>
    <row r="11739" customFormat="false" ht="14.4" hidden="true" customHeight="false" outlineLevel="0" collapsed="false">
      <c r="A11739" s="34" t="n">
        <v>10564093000130</v>
      </c>
      <c r="B11739" s="34" t="s">
        <v>22882</v>
      </c>
      <c r="C11739" s="34" t="s">
        <v>357</v>
      </c>
      <c r="E11739" s="30" t="s">
        <v>22883</v>
      </c>
      <c r="F11739" s="34" t="n">
        <f aca="false">IFERROR(VLOOKUP($A11739,'319'!$B:$H,7,0),0)</f>
        <v>0</v>
      </c>
      <c r="G11739" s="34" t="n">
        <f aca="false">SUMIFS('12.326ana'!$C:$C,'12.326ana'!$M:$M,redes!A11739)</f>
        <v>0</v>
      </c>
    </row>
    <row r="11740" customFormat="false" ht="14.4" hidden="true" customHeight="false" outlineLevel="0" collapsed="false">
      <c r="A11740" s="34" t="n">
        <v>10567059000110</v>
      </c>
      <c r="B11740" s="34" t="s">
        <v>914</v>
      </c>
      <c r="C11740" s="34" t="s">
        <v>594</v>
      </c>
      <c r="E11740" s="30" t="s">
        <v>4154</v>
      </c>
      <c r="F11740" s="34" t="n">
        <f aca="false">IFERROR(VLOOKUP($A11740,'319'!$B:$H,7,0),0)</f>
        <v>1355.57</v>
      </c>
      <c r="G11740" s="34" t="n">
        <f aca="false">SUMIFS('12.326ana'!$C:$C,'12.326ana'!$M:$M,redes!A11740)</f>
        <v>0</v>
      </c>
    </row>
    <row r="11741" customFormat="false" ht="14.4" hidden="true" customHeight="false" outlineLevel="0" collapsed="false">
      <c r="A11741" s="34" t="n">
        <v>10568534000172</v>
      </c>
      <c r="B11741" s="34" t="s">
        <v>22884</v>
      </c>
      <c r="C11741" s="34" t="s">
        <v>13835</v>
      </c>
      <c r="E11741" s="30" t="s">
        <v>22885</v>
      </c>
      <c r="F11741" s="34" t="n">
        <f aca="false">IFERROR(VLOOKUP($A11741,'319'!$B:$H,7,0),0)</f>
        <v>0</v>
      </c>
      <c r="G11741" s="34" t="n">
        <f aca="false">SUMIFS('12.326ana'!$C:$C,'12.326ana'!$M:$M,redes!A11741)</f>
        <v>0</v>
      </c>
    </row>
    <row r="11742" customFormat="false" ht="14.4" hidden="true" customHeight="false" outlineLevel="0" collapsed="false">
      <c r="A11742" s="34" t="n">
        <v>10568534000334</v>
      </c>
      <c r="B11742" s="34" t="s">
        <v>22884</v>
      </c>
      <c r="C11742" s="34" t="s">
        <v>1795</v>
      </c>
      <c r="E11742" s="30" t="s">
        <v>22886</v>
      </c>
      <c r="F11742" s="34" t="n">
        <f aca="false">IFERROR(VLOOKUP($A11742,'319'!$B:$H,7,0),0)</f>
        <v>0</v>
      </c>
      <c r="G11742" s="34" t="n">
        <f aca="false">SUMIFS('12.326ana'!$C:$C,'12.326ana'!$M:$M,redes!A11742)</f>
        <v>0</v>
      </c>
    </row>
    <row r="11743" customFormat="false" ht="14.4" hidden="true" customHeight="false" outlineLevel="0" collapsed="false">
      <c r="A11743" s="34" t="n">
        <v>10568534000415</v>
      </c>
      <c r="B11743" s="34" t="s">
        <v>22884</v>
      </c>
      <c r="C11743" s="34" t="s">
        <v>77</v>
      </c>
      <c r="E11743" s="30" t="s">
        <v>22886</v>
      </c>
      <c r="F11743" s="34" t="n">
        <f aca="false">IFERROR(VLOOKUP($A11743,'319'!$B:$H,7,0),0)</f>
        <v>0</v>
      </c>
      <c r="G11743" s="34" t="n">
        <f aca="false">SUMIFS('12.326ana'!$C:$C,'12.326ana'!$M:$M,redes!A11743)</f>
        <v>0</v>
      </c>
    </row>
    <row r="11744" customFormat="false" ht="14.4" hidden="true" customHeight="false" outlineLevel="0" collapsed="false">
      <c r="A11744" s="34" t="n">
        <v>10573276000112</v>
      </c>
      <c r="B11744" s="34" t="s">
        <v>22887</v>
      </c>
      <c r="C11744" s="34" t="s">
        <v>139</v>
      </c>
      <c r="E11744" s="30" t="s">
        <v>22888</v>
      </c>
      <c r="F11744" s="34" t="n">
        <f aca="false">IFERROR(VLOOKUP($A11744,'319'!$B:$H,7,0),0)</f>
        <v>0</v>
      </c>
      <c r="G11744" s="34" t="n">
        <f aca="false">SUMIFS('12.326ana'!$C:$C,'12.326ana'!$M:$M,redes!A11744)</f>
        <v>0</v>
      </c>
    </row>
    <row r="11745" customFormat="false" ht="14.4" hidden="true" customHeight="false" outlineLevel="0" collapsed="false">
      <c r="A11745" s="34" t="n">
        <v>10573337000141</v>
      </c>
      <c r="B11745" s="34" t="s">
        <v>22889</v>
      </c>
      <c r="C11745" s="34" t="s">
        <v>957</v>
      </c>
      <c r="E11745" s="30" t="s">
        <v>22890</v>
      </c>
      <c r="F11745" s="34" t="n">
        <f aca="false">IFERROR(VLOOKUP($A11745,'319'!$B:$H,7,0),0)</f>
        <v>0</v>
      </c>
      <c r="G11745" s="34" t="n">
        <f aca="false">SUMIFS('12.326ana'!$C:$C,'12.326ana'!$M:$M,redes!A11745)</f>
        <v>0</v>
      </c>
    </row>
    <row r="11746" customFormat="false" ht="14.4" hidden="true" customHeight="false" outlineLevel="0" collapsed="false">
      <c r="A11746" s="34" t="n">
        <v>10574985000201</v>
      </c>
      <c r="B11746" s="34" t="s">
        <v>22891</v>
      </c>
      <c r="C11746" s="34" t="s">
        <v>213</v>
      </c>
      <c r="E11746" s="30" t="s">
        <v>22892</v>
      </c>
      <c r="F11746" s="34" t="n">
        <f aca="false">IFERROR(VLOOKUP($A11746,'319'!$B:$H,7,0),0)</f>
        <v>0</v>
      </c>
      <c r="G11746" s="34" t="n">
        <f aca="false">SUMIFS('12.326ana'!$C:$C,'12.326ana'!$M:$M,redes!A11746)</f>
        <v>0</v>
      </c>
    </row>
    <row r="11747" customFormat="false" ht="14.4" hidden="true" customHeight="false" outlineLevel="0" collapsed="false">
      <c r="A11747" s="34" t="n">
        <v>10575523000110</v>
      </c>
      <c r="B11747" s="34" t="s">
        <v>22893</v>
      </c>
      <c r="C11747" s="34" t="s">
        <v>77</v>
      </c>
      <c r="E11747" s="30" t="s">
        <v>22894</v>
      </c>
      <c r="F11747" s="34" t="n">
        <f aca="false">IFERROR(VLOOKUP($A11747,'319'!$B:$H,7,0),0)</f>
        <v>0</v>
      </c>
      <c r="G11747" s="34" t="n">
        <f aca="false">SUMIFS('12.326ana'!$C:$C,'12.326ana'!$M:$M,redes!A11747)</f>
        <v>0</v>
      </c>
    </row>
    <row r="11748" customFormat="false" ht="14.4" hidden="true" customHeight="false" outlineLevel="0" collapsed="false">
      <c r="A11748" s="34" t="n">
        <v>10575633000181</v>
      </c>
      <c r="B11748" s="34" t="s">
        <v>22895</v>
      </c>
      <c r="C11748" s="34" t="s">
        <v>77</v>
      </c>
      <c r="E11748" s="30" t="s">
        <v>9535</v>
      </c>
      <c r="F11748" s="34" t="n">
        <f aca="false">IFERROR(VLOOKUP($A11748,'319'!$B:$H,7,0),0)</f>
        <v>0</v>
      </c>
      <c r="G11748" s="34" t="n">
        <f aca="false">SUMIFS('12.326ana'!$C:$C,'12.326ana'!$M:$M,redes!A11748)</f>
        <v>0</v>
      </c>
    </row>
    <row r="11749" customFormat="false" ht="14.4" hidden="true" customHeight="false" outlineLevel="0" collapsed="false">
      <c r="A11749" s="34" t="n">
        <v>10578054000192</v>
      </c>
      <c r="B11749" s="34" t="s">
        <v>22896</v>
      </c>
      <c r="C11749" s="34" t="s">
        <v>473</v>
      </c>
      <c r="E11749" s="30" t="s">
        <v>3066</v>
      </c>
      <c r="F11749" s="34" t="n">
        <f aca="false">IFERROR(VLOOKUP($A11749,'319'!$B:$H,7,0),0)</f>
        <v>0</v>
      </c>
      <c r="G11749" s="34" t="n">
        <f aca="false">SUMIFS('12.326ana'!$C:$C,'12.326ana'!$M:$M,redes!A11749)</f>
        <v>0</v>
      </c>
    </row>
    <row r="11750" customFormat="false" ht="14.4" hidden="true" customHeight="false" outlineLevel="0" collapsed="false">
      <c r="A11750" s="34" t="n">
        <v>10578298000175</v>
      </c>
      <c r="B11750" s="34" t="s">
        <v>22897</v>
      </c>
      <c r="C11750" s="34" t="s">
        <v>309</v>
      </c>
      <c r="E11750" s="30" t="s">
        <v>13273</v>
      </c>
      <c r="F11750" s="34" t="n">
        <f aca="false">IFERROR(VLOOKUP($A11750,'319'!$B:$H,7,0),0)</f>
        <v>0</v>
      </c>
      <c r="G11750" s="34" t="n">
        <f aca="false">SUMIFS('12.326ana'!$C:$C,'12.326ana'!$M:$M,redes!A11750)</f>
        <v>0</v>
      </c>
    </row>
    <row r="11751" customFormat="false" ht="14.4" hidden="true" customHeight="false" outlineLevel="0" collapsed="false">
      <c r="A11751" s="34" t="n">
        <v>10578377000186</v>
      </c>
      <c r="B11751" s="34" t="s">
        <v>22898</v>
      </c>
      <c r="C11751" s="34" t="s">
        <v>77</v>
      </c>
      <c r="E11751" s="30" t="s">
        <v>22899</v>
      </c>
      <c r="F11751" s="34" t="n">
        <f aca="false">IFERROR(VLOOKUP($A11751,'319'!$B:$H,7,0),0)</f>
        <v>0</v>
      </c>
      <c r="G11751" s="34" t="n">
        <f aca="false">SUMIFS('12.326ana'!$C:$C,'12.326ana'!$M:$M,redes!A11751)</f>
        <v>0</v>
      </c>
    </row>
    <row r="11752" customFormat="false" ht="14.4" hidden="true" customHeight="false" outlineLevel="0" collapsed="false">
      <c r="A11752" s="34" t="n">
        <v>10579997000130</v>
      </c>
      <c r="B11752" s="34" t="s">
        <v>22900</v>
      </c>
      <c r="C11752" s="34" t="s">
        <v>77</v>
      </c>
      <c r="E11752" s="30" t="s">
        <v>22901</v>
      </c>
      <c r="F11752" s="34" t="n">
        <f aca="false">IFERROR(VLOOKUP($A11752,'319'!$B:$H,7,0),0)</f>
        <v>0</v>
      </c>
      <c r="G11752" s="34" t="n">
        <f aca="false">SUMIFS('12.326ana'!$C:$C,'12.326ana'!$M:$M,redes!A11752)</f>
        <v>0</v>
      </c>
    </row>
    <row r="11753" customFormat="false" ht="14.4" hidden="true" customHeight="false" outlineLevel="0" collapsed="false">
      <c r="A11753" s="34" t="n">
        <v>10583312000129</v>
      </c>
      <c r="B11753" s="34" t="s">
        <v>22902</v>
      </c>
      <c r="C11753" s="34" t="s">
        <v>103</v>
      </c>
      <c r="E11753" s="30" t="s">
        <v>13693</v>
      </c>
      <c r="F11753" s="34" t="n">
        <f aca="false">IFERROR(VLOOKUP($A11753,'319'!$B:$H,7,0),0)</f>
        <v>0</v>
      </c>
      <c r="G11753" s="34" t="n">
        <f aca="false">SUMIFS('12.326ana'!$C:$C,'12.326ana'!$M:$M,redes!A11753)</f>
        <v>0</v>
      </c>
    </row>
    <row r="11754" customFormat="false" ht="14.4" hidden="true" customHeight="false" outlineLevel="0" collapsed="false">
      <c r="A11754" s="34" t="n">
        <v>10583560000170</v>
      </c>
      <c r="B11754" s="34" t="s">
        <v>22903</v>
      </c>
      <c r="C11754" s="34" t="s">
        <v>213</v>
      </c>
      <c r="E11754" s="30" t="s">
        <v>22904</v>
      </c>
      <c r="F11754" s="34" t="n">
        <f aca="false">IFERROR(VLOOKUP($A11754,'319'!$B:$H,7,0),0)</f>
        <v>0</v>
      </c>
      <c r="G11754" s="34" t="n">
        <f aca="false">SUMIFS('12.326ana'!$C:$C,'12.326ana'!$M:$M,redes!A11754)</f>
        <v>0</v>
      </c>
    </row>
    <row r="11755" customFormat="false" ht="14.4" hidden="true" customHeight="false" outlineLevel="0" collapsed="false">
      <c r="A11755" s="34" t="n">
        <v>10588395000149</v>
      </c>
      <c r="B11755" s="34" t="s">
        <v>22905</v>
      </c>
      <c r="C11755" s="34" t="s">
        <v>77</v>
      </c>
      <c r="E11755" s="30" t="s">
        <v>22906</v>
      </c>
      <c r="F11755" s="34" t="n">
        <f aca="false">IFERROR(VLOOKUP($A11755,'319'!$B:$H,7,0),0)</f>
        <v>0</v>
      </c>
      <c r="G11755" s="34" t="n">
        <f aca="false">SUMIFS('12.326ana'!$C:$C,'12.326ana'!$M:$M,redes!A11755)</f>
        <v>0</v>
      </c>
    </row>
    <row r="11756" customFormat="false" ht="14.4" hidden="true" customHeight="false" outlineLevel="0" collapsed="false">
      <c r="A11756" s="34" t="n">
        <v>10589628000128</v>
      </c>
      <c r="B11756" s="34" t="s">
        <v>1332</v>
      </c>
      <c r="C11756" s="34" t="s">
        <v>967</v>
      </c>
      <c r="E11756" s="30" t="s">
        <v>22907</v>
      </c>
      <c r="F11756" s="34" t="n">
        <f aca="false">IFERROR(VLOOKUP($A11756,'319'!$B:$H,7,0),0)</f>
        <v>250.33</v>
      </c>
      <c r="G11756" s="34" t="n">
        <f aca="false">SUMIFS('12.326ana'!$C:$C,'12.326ana'!$M:$M,redes!A11756)</f>
        <v>0</v>
      </c>
    </row>
    <row r="11757" customFormat="false" ht="14.4" hidden="true" customHeight="false" outlineLevel="0" collapsed="false">
      <c r="A11757" s="34" t="n">
        <v>10592328000106</v>
      </c>
      <c r="B11757" s="34" t="s">
        <v>22908</v>
      </c>
      <c r="C11757" s="34" t="s">
        <v>77</v>
      </c>
      <c r="E11757" s="30"/>
      <c r="F11757" s="34" t="n">
        <f aca="false">IFERROR(VLOOKUP($A11757,'319'!$B:$H,7,0),0)</f>
        <v>0</v>
      </c>
      <c r="G11757" s="34" t="n">
        <f aca="false">SUMIFS('12.326ana'!$C:$C,'12.326ana'!$M:$M,redes!A11757)</f>
        <v>0</v>
      </c>
    </row>
    <row r="11758" customFormat="false" ht="14.4" hidden="true" customHeight="false" outlineLevel="0" collapsed="false">
      <c r="A11758" s="34" t="n">
        <v>10597843000170</v>
      </c>
      <c r="B11758" s="34" t="s">
        <v>22909</v>
      </c>
      <c r="C11758" s="34" t="s">
        <v>967</v>
      </c>
      <c r="E11758" s="30" t="s">
        <v>22910</v>
      </c>
      <c r="F11758" s="34" t="n">
        <f aca="false">IFERROR(VLOOKUP($A11758,'319'!$B:$H,7,0),0)</f>
        <v>0</v>
      </c>
      <c r="G11758" s="34" t="n">
        <f aca="false">SUMIFS('12.326ana'!$C:$C,'12.326ana'!$M:$M,redes!A11758)</f>
        <v>0</v>
      </c>
    </row>
    <row r="11759" customFormat="false" ht="14.4" hidden="true" customHeight="false" outlineLevel="0" collapsed="false">
      <c r="A11759" s="34" t="n">
        <v>10597983000149</v>
      </c>
      <c r="B11759" s="34" t="s">
        <v>22911</v>
      </c>
      <c r="C11759" s="34" t="s">
        <v>1272</v>
      </c>
      <c r="E11759" s="30" t="s">
        <v>22912</v>
      </c>
      <c r="F11759" s="34" t="n">
        <f aca="false">IFERROR(VLOOKUP($A11759,'319'!$B:$H,7,0),0)</f>
        <v>0</v>
      </c>
      <c r="G11759" s="34" t="n">
        <f aca="false">SUMIFS('12.326ana'!$C:$C,'12.326ana'!$M:$M,redes!A11759)</f>
        <v>0</v>
      </c>
    </row>
    <row r="11760" customFormat="false" ht="14.4" hidden="true" customHeight="false" outlineLevel="0" collapsed="false">
      <c r="A11760" s="34" t="n">
        <v>10602507000179</v>
      </c>
      <c r="B11760" s="34" t="s">
        <v>22913</v>
      </c>
      <c r="C11760" s="34" t="s">
        <v>77</v>
      </c>
      <c r="D11760" s="34" t="s">
        <v>22914</v>
      </c>
      <c r="E11760" s="30" t="s">
        <v>22915</v>
      </c>
      <c r="F11760" s="34" t="n">
        <f aca="false">IFERROR(VLOOKUP($A11760,'319'!$B:$H,7,0),0)</f>
        <v>0</v>
      </c>
      <c r="G11760" s="34" t="n">
        <f aca="false">SUMIFS('12.326ana'!$C:$C,'12.326ana'!$M:$M,redes!A11760)</f>
        <v>0</v>
      </c>
    </row>
    <row r="11761" customFormat="false" ht="14.4" hidden="true" customHeight="false" outlineLevel="0" collapsed="false">
      <c r="A11761" s="34" t="n">
        <v>10602507000250</v>
      </c>
      <c r="B11761" s="34" t="s">
        <v>22913</v>
      </c>
      <c r="C11761" s="34" t="s">
        <v>77</v>
      </c>
      <c r="E11761" s="30" t="s">
        <v>22915</v>
      </c>
      <c r="F11761" s="34" t="n">
        <f aca="false">IFERROR(VLOOKUP($A11761,'319'!$B:$H,7,0),0)</f>
        <v>0</v>
      </c>
      <c r="G11761" s="34" t="n">
        <f aca="false">SUMIFS('12.326ana'!$C:$C,'12.326ana'!$M:$M,redes!A11761)</f>
        <v>0</v>
      </c>
    </row>
    <row r="11762" customFormat="false" ht="14.4" hidden="true" customHeight="false" outlineLevel="0" collapsed="false">
      <c r="A11762" s="34" t="n">
        <v>10602507000330</v>
      </c>
      <c r="B11762" s="34" t="s">
        <v>22913</v>
      </c>
      <c r="C11762" s="34" t="s">
        <v>77</v>
      </c>
      <c r="D11762" s="34" t="s">
        <v>22914</v>
      </c>
      <c r="E11762" s="30" t="s">
        <v>18381</v>
      </c>
      <c r="F11762" s="34" t="n">
        <f aca="false">IFERROR(VLOOKUP($A11762,'319'!$B:$H,7,0),0)</f>
        <v>0</v>
      </c>
      <c r="G11762" s="34" t="n">
        <f aca="false">SUMIFS('12.326ana'!$C:$C,'12.326ana'!$M:$M,redes!A11762)</f>
        <v>0</v>
      </c>
    </row>
    <row r="11763" customFormat="false" ht="14.4" hidden="true" customHeight="false" outlineLevel="0" collapsed="false">
      <c r="A11763" s="34" t="n">
        <v>10602538000120</v>
      </c>
      <c r="B11763" s="34" t="s">
        <v>22916</v>
      </c>
      <c r="C11763" s="34" t="s">
        <v>464</v>
      </c>
      <c r="E11763" s="30" t="s">
        <v>22917</v>
      </c>
      <c r="F11763" s="34" t="n">
        <f aca="false">IFERROR(VLOOKUP($A11763,'319'!$B:$H,7,0),0)</f>
        <v>0</v>
      </c>
      <c r="G11763" s="34" t="n">
        <f aca="false">SUMIFS('12.326ana'!$C:$C,'12.326ana'!$M:$M,redes!A11763)</f>
        <v>0</v>
      </c>
    </row>
    <row r="11764" customFormat="false" ht="14.4" hidden="true" customHeight="false" outlineLevel="0" collapsed="false">
      <c r="A11764" s="34" t="n">
        <v>10602927000155</v>
      </c>
      <c r="B11764" s="34" t="s">
        <v>22918</v>
      </c>
      <c r="C11764" s="34" t="s">
        <v>77</v>
      </c>
      <c r="E11764" s="30" t="s">
        <v>22919</v>
      </c>
      <c r="F11764" s="34" t="n">
        <f aca="false">IFERROR(VLOOKUP($A11764,'319'!$B:$H,7,0),0)</f>
        <v>0</v>
      </c>
      <c r="G11764" s="34" t="n">
        <f aca="false">SUMIFS('12.326ana'!$C:$C,'12.326ana'!$M:$M,redes!A11764)</f>
        <v>0</v>
      </c>
    </row>
    <row r="11765" customFormat="false" ht="14.4" hidden="true" customHeight="false" outlineLevel="0" collapsed="false">
      <c r="A11765" s="34" t="n">
        <v>10612142000163</v>
      </c>
      <c r="B11765" s="34" t="s">
        <v>22920</v>
      </c>
      <c r="C11765" s="34" t="s">
        <v>957</v>
      </c>
      <c r="E11765" s="30" t="s">
        <v>12198</v>
      </c>
      <c r="F11765" s="34" t="n">
        <f aca="false">IFERROR(VLOOKUP($A11765,'319'!$B:$H,7,0),0)</f>
        <v>1129.18</v>
      </c>
      <c r="G11765" s="34" t="n">
        <f aca="false">SUMIFS('12.326ana'!$C:$C,'12.326ana'!$M:$M,redes!A11765)</f>
        <v>0</v>
      </c>
    </row>
    <row r="11766" customFormat="false" ht="14.4" hidden="true" customHeight="false" outlineLevel="0" collapsed="false">
      <c r="A11766" s="34" t="n">
        <v>10615572000139</v>
      </c>
      <c r="B11766" s="34" t="s">
        <v>22921</v>
      </c>
      <c r="C11766" s="34" t="s">
        <v>342</v>
      </c>
      <c r="E11766" s="30" t="s">
        <v>22922</v>
      </c>
      <c r="F11766" s="34" t="n">
        <f aca="false">IFERROR(VLOOKUP($A11766,'319'!$B:$H,7,0),0)</f>
        <v>0</v>
      </c>
      <c r="G11766" s="34" t="n">
        <f aca="false">SUMIFS('12.326ana'!$C:$C,'12.326ana'!$M:$M,redes!A11766)</f>
        <v>0</v>
      </c>
    </row>
    <row r="11767" customFormat="false" ht="14.4" hidden="true" customHeight="false" outlineLevel="0" collapsed="false">
      <c r="A11767" s="34" t="n">
        <v>10617931000197</v>
      </c>
      <c r="B11767" s="34" t="s">
        <v>3149</v>
      </c>
      <c r="C11767" s="34" t="s">
        <v>77</v>
      </c>
      <c r="E11767" s="30" t="s">
        <v>3150</v>
      </c>
      <c r="F11767" s="34" t="n">
        <f aca="false">IFERROR(VLOOKUP($A11767,'319'!$B:$H,7,0),0)</f>
        <v>0</v>
      </c>
      <c r="G11767" s="34" t="n">
        <f aca="false">SUMIFS('12.326ana'!$C:$C,'12.326ana'!$M:$M,redes!A11767)</f>
        <v>0</v>
      </c>
    </row>
    <row r="11768" customFormat="false" ht="14.4" hidden="true" customHeight="false" outlineLevel="0" collapsed="false">
      <c r="A11768" s="34" t="n">
        <v>10619279000140</v>
      </c>
      <c r="B11768" s="34" t="s">
        <v>22923</v>
      </c>
      <c r="C11768" s="34" t="s">
        <v>107</v>
      </c>
      <c r="E11768" s="30" t="s">
        <v>22924</v>
      </c>
      <c r="F11768" s="34" t="n">
        <f aca="false">IFERROR(VLOOKUP($A11768,'319'!$B:$H,7,0),0)</f>
        <v>0</v>
      </c>
      <c r="G11768" s="34" t="n">
        <f aca="false">SUMIFS('12.326ana'!$C:$C,'12.326ana'!$M:$M,redes!A11768)</f>
        <v>0</v>
      </c>
    </row>
    <row r="11769" customFormat="false" ht="14.4" hidden="true" customHeight="false" outlineLevel="0" collapsed="false">
      <c r="A11769" s="34" t="n">
        <v>10627939000134</v>
      </c>
      <c r="B11769" s="34" t="s">
        <v>22925</v>
      </c>
      <c r="C11769" s="34" t="s">
        <v>107</v>
      </c>
      <c r="E11769" s="30" t="s">
        <v>22926</v>
      </c>
      <c r="F11769" s="34" t="n">
        <f aca="false">IFERROR(VLOOKUP($A11769,'319'!$B:$H,7,0),0)</f>
        <v>0</v>
      </c>
      <c r="G11769" s="34" t="n">
        <f aca="false">SUMIFS('12.326ana'!$C:$C,'12.326ana'!$M:$M,redes!A11769)</f>
        <v>0</v>
      </c>
    </row>
    <row r="11770" customFormat="false" ht="14.4" hidden="true" customHeight="false" outlineLevel="0" collapsed="false">
      <c r="A11770" s="34" t="n">
        <v>10628713000158</v>
      </c>
      <c r="B11770" s="34" t="s">
        <v>22927</v>
      </c>
      <c r="C11770" s="34" t="s">
        <v>89</v>
      </c>
      <c r="E11770" s="30" t="s">
        <v>22928</v>
      </c>
      <c r="F11770" s="34" t="n">
        <f aca="false">IFERROR(VLOOKUP($A11770,'319'!$B:$H,7,0),0)</f>
        <v>0</v>
      </c>
      <c r="G11770" s="34" t="n">
        <f aca="false">SUMIFS('12.326ana'!$C:$C,'12.326ana'!$M:$M,redes!A11770)</f>
        <v>0</v>
      </c>
    </row>
    <row r="11771" customFormat="false" ht="14.4" hidden="true" customHeight="false" outlineLevel="0" collapsed="false">
      <c r="A11771" s="34" t="n">
        <v>10628898000109</v>
      </c>
      <c r="B11771" s="34" t="s">
        <v>22929</v>
      </c>
      <c r="C11771" s="34" t="s">
        <v>464</v>
      </c>
      <c r="E11771" s="30" t="s">
        <v>22930</v>
      </c>
      <c r="F11771" s="34" t="n">
        <f aca="false">IFERROR(VLOOKUP($A11771,'319'!$B:$H,7,0),0)</f>
        <v>0</v>
      </c>
      <c r="G11771" s="34" t="n">
        <f aca="false">SUMIFS('12.326ana'!$C:$C,'12.326ana'!$M:$M,redes!A11771)</f>
        <v>0</v>
      </c>
    </row>
    <row r="11772" customFormat="false" ht="14.4" hidden="true" customHeight="false" outlineLevel="0" collapsed="false">
      <c r="A11772" s="34" t="n">
        <v>10631874000109</v>
      </c>
      <c r="B11772" s="34" t="s">
        <v>22931</v>
      </c>
      <c r="C11772" s="34" t="s">
        <v>77</v>
      </c>
      <c r="E11772" s="30" t="s">
        <v>22932</v>
      </c>
      <c r="F11772" s="34" t="n">
        <f aca="false">IFERROR(VLOOKUP($A11772,'319'!$B:$H,7,0),0)</f>
        <v>0</v>
      </c>
      <c r="G11772" s="34" t="n">
        <f aca="false">SUMIFS('12.326ana'!$C:$C,'12.326ana'!$M:$M,redes!A11772)</f>
        <v>0</v>
      </c>
    </row>
    <row r="11773" customFormat="false" ht="14.4" hidden="true" customHeight="false" outlineLevel="0" collapsed="false">
      <c r="A11773" s="34" t="n">
        <v>10632937000133</v>
      </c>
      <c r="B11773" s="34" t="s">
        <v>22933</v>
      </c>
      <c r="C11773" s="34" t="s">
        <v>77</v>
      </c>
      <c r="E11773" s="30" t="s">
        <v>22934</v>
      </c>
      <c r="F11773" s="34" t="n">
        <f aca="false">IFERROR(VLOOKUP($A11773,'319'!$B:$H,7,0),0)</f>
        <v>0</v>
      </c>
      <c r="G11773" s="34" t="n">
        <f aca="false">SUMIFS('12.326ana'!$C:$C,'12.326ana'!$M:$M,redes!A11773)</f>
        <v>0</v>
      </c>
    </row>
    <row r="11774" customFormat="false" ht="14.4" hidden="true" customHeight="false" outlineLevel="0" collapsed="false">
      <c r="A11774" s="34" t="n">
        <v>10635702000103</v>
      </c>
      <c r="B11774" s="34" t="s">
        <v>22935</v>
      </c>
      <c r="C11774" s="34" t="s">
        <v>935</v>
      </c>
      <c r="E11774" s="30" t="s">
        <v>22936</v>
      </c>
      <c r="F11774" s="34" t="n">
        <f aca="false">IFERROR(VLOOKUP($A11774,'319'!$B:$H,7,0),0)</f>
        <v>0</v>
      </c>
      <c r="G11774" s="34" t="n">
        <f aca="false">SUMIFS('12.326ana'!$C:$C,'12.326ana'!$M:$M,redes!A11774)</f>
        <v>0</v>
      </c>
    </row>
    <row r="11775" customFormat="false" ht="14.4" hidden="true" customHeight="false" outlineLevel="0" collapsed="false">
      <c r="A11775" s="34" t="n">
        <v>10638481000119</v>
      </c>
      <c r="B11775" s="34" t="s">
        <v>22937</v>
      </c>
      <c r="C11775" s="34" t="s">
        <v>994</v>
      </c>
      <c r="E11775" s="30" t="s">
        <v>22938</v>
      </c>
      <c r="F11775" s="34" t="n">
        <f aca="false">IFERROR(VLOOKUP($A11775,'319'!$B:$H,7,0),0)</f>
        <v>0</v>
      </c>
      <c r="G11775" s="34" t="n">
        <f aca="false">SUMIFS('12.326ana'!$C:$C,'12.326ana'!$M:$M,redes!A11775)</f>
        <v>0</v>
      </c>
    </row>
    <row r="11776" customFormat="false" ht="14.4" hidden="true" customHeight="false" outlineLevel="0" collapsed="false">
      <c r="A11776" s="34" t="n">
        <v>10641928000109</v>
      </c>
      <c r="B11776" s="34" t="s">
        <v>22939</v>
      </c>
      <c r="C11776" s="34" t="s">
        <v>475</v>
      </c>
      <c r="E11776" s="30" t="s">
        <v>10579</v>
      </c>
      <c r="F11776" s="34" t="n">
        <f aca="false">IFERROR(VLOOKUP($A11776,'319'!$B:$H,7,0),0)</f>
        <v>0</v>
      </c>
      <c r="G11776" s="34" t="n">
        <f aca="false">SUMIFS('12.326ana'!$C:$C,'12.326ana'!$M:$M,redes!A11776)</f>
        <v>0</v>
      </c>
    </row>
    <row r="11777" customFormat="false" ht="14.4" hidden="true" customHeight="false" outlineLevel="0" collapsed="false">
      <c r="A11777" s="34" t="n">
        <v>10642004000127</v>
      </c>
      <c r="B11777" s="34" t="s">
        <v>22940</v>
      </c>
      <c r="C11777" s="34" t="s">
        <v>89</v>
      </c>
      <c r="E11777" s="30" t="s">
        <v>22941</v>
      </c>
      <c r="F11777" s="34" t="n">
        <f aca="false">IFERROR(VLOOKUP($A11777,'319'!$B:$H,7,0),0)</f>
        <v>0</v>
      </c>
      <c r="G11777" s="34" t="n">
        <f aca="false">SUMIFS('12.326ana'!$C:$C,'12.326ana'!$M:$M,redes!A11777)</f>
        <v>0</v>
      </c>
    </row>
    <row r="11778" customFormat="false" ht="14.4" hidden="true" customHeight="false" outlineLevel="0" collapsed="false">
      <c r="A11778" s="34" t="n">
        <v>10645862000125</v>
      </c>
      <c r="B11778" s="34" t="s">
        <v>22942</v>
      </c>
      <c r="C11778" s="34" t="s">
        <v>77</v>
      </c>
      <c r="E11778" s="30" t="s">
        <v>22943</v>
      </c>
      <c r="F11778" s="34" t="n">
        <f aca="false">IFERROR(VLOOKUP($A11778,'319'!$B:$H,7,0),0)</f>
        <v>0</v>
      </c>
      <c r="G11778" s="34" t="n">
        <f aca="false">SUMIFS('12.326ana'!$C:$C,'12.326ana'!$M:$M,redes!A11778)</f>
        <v>0</v>
      </c>
    </row>
    <row r="11779" customFormat="false" ht="14.4" hidden="true" customHeight="false" outlineLevel="0" collapsed="false">
      <c r="A11779" s="34" t="n">
        <v>10649228000160</v>
      </c>
      <c r="B11779" s="34" t="s">
        <v>22944</v>
      </c>
      <c r="C11779" s="34" t="s">
        <v>77</v>
      </c>
      <c r="E11779" s="30" t="s">
        <v>22945</v>
      </c>
      <c r="F11779" s="34" t="n">
        <f aca="false">IFERROR(VLOOKUP($A11779,'319'!$B:$H,7,0),0)</f>
        <v>0</v>
      </c>
      <c r="G11779" s="34" t="n">
        <f aca="false">SUMIFS('12.326ana'!$C:$C,'12.326ana'!$M:$M,redes!A11779)</f>
        <v>0</v>
      </c>
    </row>
    <row r="11780" customFormat="false" ht="14.4" hidden="true" customHeight="false" outlineLevel="0" collapsed="false">
      <c r="A11780" s="34" t="n">
        <v>10651009000116</v>
      </c>
      <c r="B11780" s="34" t="s">
        <v>22946</v>
      </c>
      <c r="C11780" s="34" t="s">
        <v>4156</v>
      </c>
      <c r="E11780" s="30" t="s">
        <v>3601</v>
      </c>
      <c r="F11780" s="34" t="n">
        <f aca="false">IFERROR(VLOOKUP($A11780,'319'!$B:$H,7,0),0)</f>
        <v>0</v>
      </c>
      <c r="G11780" s="34" t="n">
        <f aca="false">SUMIFS('12.326ana'!$C:$C,'12.326ana'!$M:$M,redes!A11780)</f>
        <v>0</v>
      </c>
    </row>
    <row r="11781" customFormat="false" ht="14.4" hidden="true" customHeight="false" outlineLevel="0" collapsed="false">
      <c r="A11781" s="34" t="n">
        <v>10660296000120</v>
      </c>
      <c r="B11781" s="34" t="s">
        <v>22947</v>
      </c>
      <c r="C11781" s="34" t="s">
        <v>107</v>
      </c>
      <c r="E11781" s="30" t="s">
        <v>22948</v>
      </c>
      <c r="F11781" s="34" t="n">
        <f aca="false">IFERROR(VLOOKUP($A11781,'319'!$B:$H,7,0),0)</f>
        <v>0</v>
      </c>
      <c r="G11781" s="34" t="n">
        <f aca="false">SUMIFS('12.326ana'!$C:$C,'12.326ana'!$M:$M,redes!A11781)</f>
        <v>0</v>
      </c>
    </row>
    <row r="11782" customFormat="false" ht="14.4" hidden="true" customHeight="false" outlineLevel="0" collapsed="false">
      <c r="A11782" s="34" t="n">
        <v>10662733000145</v>
      </c>
      <c r="B11782" s="34" t="s">
        <v>22949</v>
      </c>
      <c r="C11782" s="34" t="s">
        <v>377</v>
      </c>
      <c r="E11782" s="30" t="s">
        <v>22950</v>
      </c>
      <c r="F11782" s="34" t="n">
        <f aca="false">IFERROR(VLOOKUP($A11782,'319'!$B:$H,7,0),0)</f>
        <v>0</v>
      </c>
      <c r="G11782" s="34" t="n">
        <f aca="false">SUMIFS('12.326ana'!$C:$C,'12.326ana'!$M:$M,redes!A11782)</f>
        <v>0</v>
      </c>
    </row>
    <row r="11783" customFormat="false" ht="14.4" hidden="true" customHeight="false" outlineLevel="0" collapsed="false">
      <c r="A11783" s="34" t="n">
        <v>10663187000167</v>
      </c>
      <c r="B11783" s="34" t="s">
        <v>22951</v>
      </c>
      <c r="C11783" s="34" t="s">
        <v>77</v>
      </c>
      <c r="E11783" s="30" t="s">
        <v>22952</v>
      </c>
      <c r="F11783" s="34" t="n">
        <f aca="false">IFERROR(VLOOKUP($A11783,'319'!$B:$H,7,0),0)</f>
        <v>0</v>
      </c>
      <c r="G11783" s="34" t="n">
        <f aca="false">SUMIFS('12.326ana'!$C:$C,'12.326ana'!$M:$M,redes!A11783)</f>
        <v>0</v>
      </c>
    </row>
    <row r="11784" customFormat="false" ht="14.4" hidden="true" customHeight="false" outlineLevel="0" collapsed="false">
      <c r="A11784" s="34" t="n">
        <v>10665747000112</v>
      </c>
      <c r="B11784" s="34" t="s">
        <v>22953</v>
      </c>
      <c r="C11784" s="34" t="s">
        <v>604</v>
      </c>
      <c r="E11784" s="30" t="s">
        <v>6533</v>
      </c>
      <c r="F11784" s="34" t="n">
        <f aca="false">IFERROR(VLOOKUP($A11784,'319'!$B:$H,7,0),0)</f>
        <v>0</v>
      </c>
      <c r="G11784" s="34" t="n">
        <f aca="false">SUMIFS('12.326ana'!$C:$C,'12.326ana'!$M:$M,redes!A11784)</f>
        <v>0</v>
      </c>
    </row>
    <row r="11785" customFormat="false" ht="14.4" hidden="true" customHeight="false" outlineLevel="0" collapsed="false">
      <c r="A11785" s="34" t="n">
        <v>10667741000184</v>
      </c>
      <c r="B11785" s="34" t="s">
        <v>22954</v>
      </c>
      <c r="C11785" s="34" t="s">
        <v>351</v>
      </c>
      <c r="E11785" s="30" t="s">
        <v>22955</v>
      </c>
      <c r="F11785" s="34" t="n">
        <f aca="false">IFERROR(VLOOKUP($A11785,'319'!$B:$H,7,0),0)</f>
        <v>0</v>
      </c>
      <c r="G11785" s="34" t="n">
        <f aca="false">SUMIFS('12.326ana'!$C:$C,'12.326ana'!$M:$M,redes!A11785)</f>
        <v>0</v>
      </c>
    </row>
    <row r="11786" customFormat="false" ht="14.4" hidden="true" customHeight="false" outlineLevel="0" collapsed="false">
      <c r="A11786" s="34" t="n">
        <v>10671070000125</v>
      </c>
      <c r="B11786" s="34" t="s">
        <v>22956</v>
      </c>
      <c r="C11786" s="34" t="s">
        <v>706</v>
      </c>
      <c r="E11786" s="30" t="s">
        <v>22957</v>
      </c>
      <c r="F11786" s="34" t="n">
        <f aca="false">IFERROR(VLOOKUP($A11786,'319'!$B:$H,7,0),0)</f>
        <v>0</v>
      </c>
      <c r="G11786" s="34" t="n">
        <f aca="false">SUMIFS('12.326ana'!$C:$C,'12.326ana'!$M:$M,redes!A11786)</f>
        <v>0</v>
      </c>
    </row>
    <row r="11787" customFormat="false" ht="14.4" hidden="true" customHeight="false" outlineLevel="0" collapsed="false">
      <c r="A11787" s="34" t="n">
        <v>10673402000100</v>
      </c>
      <c r="B11787" s="34" t="s">
        <v>22958</v>
      </c>
      <c r="C11787" s="34" t="s">
        <v>342</v>
      </c>
      <c r="E11787" s="30" t="s">
        <v>22959</v>
      </c>
      <c r="F11787" s="34" t="n">
        <f aca="false">IFERROR(VLOOKUP($A11787,'319'!$B:$H,7,0),0)</f>
        <v>0</v>
      </c>
      <c r="G11787" s="34" t="n">
        <f aca="false">SUMIFS('12.326ana'!$C:$C,'12.326ana'!$M:$M,redes!A11787)</f>
        <v>0</v>
      </c>
    </row>
    <row r="11788" customFormat="false" ht="14.4" hidden="true" customHeight="false" outlineLevel="0" collapsed="false">
      <c r="A11788" s="34" t="n">
        <v>10673554000103</v>
      </c>
      <c r="B11788" s="34" t="s">
        <v>22960</v>
      </c>
      <c r="C11788" s="34" t="s">
        <v>598</v>
      </c>
      <c r="E11788" s="30" t="s">
        <v>22961</v>
      </c>
      <c r="F11788" s="34" t="n">
        <f aca="false">IFERROR(VLOOKUP($A11788,'319'!$B:$H,7,0),0)</f>
        <v>0</v>
      </c>
      <c r="G11788" s="34" t="n">
        <f aca="false">SUMIFS('12.326ana'!$C:$C,'12.326ana'!$M:$M,redes!A11788)</f>
        <v>0</v>
      </c>
    </row>
    <row r="11789" customFormat="false" ht="14.4" hidden="true" customHeight="false" outlineLevel="0" collapsed="false">
      <c r="A11789" s="34" t="n">
        <v>10675946000101</v>
      </c>
      <c r="B11789" s="34" t="s">
        <v>22962</v>
      </c>
      <c r="C11789" s="34" t="s">
        <v>77</v>
      </c>
      <c r="E11789" s="30" t="s">
        <v>22963</v>
      </c>
      <c r="F11789" s="34" t="n">
        <f aca="false">IFERROR(VLOOKUP($A11789,'319'!$B:$H,7,0),0)</f>
        <v>0</v>
      </c>
      <c r="G11789" s="34" t="n">
        <f aca="false">SUMIFS('12.326ana'!$C:$C,'12.326ana'!$M:$M,redes!A11789)</f>
        <v>0</v>
      </c>
    </row>
    <row r="11790" customFormat="false" ht="14.4" hidden="true" customHeight="false" outlineLevel="0" collapsed="false">
      <c r="A11790" s="34" t="n">
        <v>10678710000129</v>
      </c>
      <c r="B11790" s="34" t="s">
        <v>22964</v>
      </c>
      <c r="C11790" s="34" t="s">
        <v>77</v>
      </c>
      <c r="E11790" s="30" t="s">
        <v>22965</v>
      </c>
      <c r="F11790" s="34" t="n">
        <f aca="false">IFERROR(VLOOKUP($A11790,'319'!$B:$H,7,0),0)</f>
        <v>0</v>
      </c>
      <c r="G11790" s="34" t="n">
        <f aca="false">SUMIFS('12.326ana'!$C:$C,'12.326ana'!$M:$M,redes!A11790)</f>
        <v>0</v>
      </c>
    </row>
    <row r="11791" customFormat="false" ht="14.4" hidden="true" customHeight="false" outlineLevel="0" collapsed="false">
      <c r="A11791" s="34" t="n">
        <v>10678973000138</v>
      </c>
      <c r="B11791" s="34" t="s">
        <v>22966</v>
      </c>
      <c r="C11791" s="34" t="s">
        <v>77</v>
      </c>
      <c r="E11791" s="30" t="s">
        <v>3066</v>
      </c>
      <c r="F11791" s="34" t="n">
        <f aca="false">IFERROR(VLOOKUP($A11791,'319'!$B:$H,7,0),0)</f>
        <v>0</v>
      </c>
      <c r="G11791" s="34" t="n">
        <f aca="false">SUMIFS('12.326ana'!$C:$C,'12.326ana'!$M:$M,redes!A11791)</f>
        <v>0</v>
      </c>
    </row>
    <row r="11792" customFormat="false" ht="14.4" hidden="true" customHeight="false" outlineLevel="0" collapsed="false">
      <c r="A11792" s="34" t="n">
        <v>10682076000106</v>
      </c>
      <c r="B11792" s="34" t="s">
        <v>22967</v>
      </c>
      <c r="C11792" s="34" t="s">
        <v>764</v>
      </c>
      <c r="E11792" s="30" t="s">
        <v>22968</v>
      </c>
      <c r="F11792" s="34" t="n">
        <f aca="false">IFERROR(VLOOKUP($A11792,'319'!$B:$H,7,0),0)</f>
        <v>0</v>
      </c>
      <c r="G11792" s="34" t="n">
        <f aca="false">SUMIFS('12.326ana'!$C:$C,'12.326ana'!$M:$M,redes!A11792)</f>
        <v>0</v>
      </c>
    </row>
    <row r="11793" customFormat="false" ht="14.4" hidden="true" customHeight="false" outlineLevel="0" collapsed="false">
      <c r="A11793" s="34" t="n">
        <v>10685823000151</v>
      </c>
      <c r="B11793" s="34" t="s">
        <v>22969</v>
      </c>
      <c r="C11793" s="34" t="s">
        <v>478</v>
      </c>
      <c r="E11793" s="30" t="s">
        <v>22970</v>
      </c>
      <c r="F11793" s="34" t="n">
        <f aca="false">IFERROR(VLOOKUP($A11793,'319'!$B:$H,7,0),0)</f>
        <v>0</v>
      </c>
      <c r="G11793" s="34" t="n">
        <f aca="false">SUMIFS('12.326ana'!$C:$C,'12.326ana'!$M:$M,redes!A11793)</f>
        <v>0</v>
      </c>
    </row>
    <row r="11794" customFormat="false" ht="14.4" hidden="true" customHeight="false" outlineLevel="0" collapsed="false">
      <c r="A11794" s="34" t="n">
        <v>10685944000101</v>
      </c>
      <c r="B11794" s="34" t="s">
        <v>22971</v>
      </c>
      <c r="C11794" s="34" t="s">
        <v>4261</v>
      </c>
      <c r="E11794" s="30" t="s">
        <v>22971</v>
      </c>
      <c r="F11794" s="34" t="n">
        <f aca="false">IFERROR(VLOOKUP($A11794,'319'!$B:$H,7,0),0)</f>
        <v>0</v>
      </c>
      <c r="G11794" s="34" t="n">
        <f aca="false">SUMIFS('12.326ana'!$C:$C,'12.326ana'!$M:$M,redes!A11794)</f>
        <v>0</v>
      </c>
    </row>
    <row r="11795" customFormat="false" ht="14.4" hidden="true" customHeight="false" outlineLevel="0" collapsed="false">
      <c r="A11795" s="34" t="n">
        <v>10686322000190</v>
      </c>
      <c r="B11795" s="34" t="s">
        <v>22972</v>
      </c>
      <c r="C11795" s="34" t="s">
        <v>192</v>
      </c>
      <c r="E11795" s="30" t="s">
        <v>22973</v>
      </c>
      <c r="F11795" s="34" t="n">
        <f aca="false">IFERROR(VLOOKUP($A11795,'319'!$B:$H,7,0),0)</f>
        <v>0</v>
      </c>
      <c r="G11795" s="34" t="n">
        <f aca="false">SUMIFS('12.326ana'!$C:$C,'12.326ana'!$M:$M,redes!A11795)</f>
        <v>0</v>
      </c>
    </row>
    <row r="11796" customFormat="false" ht="14.4" hidden="true" customHeight="false" outlineLevel="0" collapsed="false">
      <c r="A11796" s="34" t="n">
        <v>10689753000100</v>
      </c>
      <c r="B11796" s="34" t="s">
        <v>22974</v>
      </c>
      <c r="C11796" s="34" t="s">
        <v>77</v>
      </c>
      <c r="E11796" s="30" t="s">
        <v>22975</v>
      </c>
      <c r="F11796" s="34" t="n">
        <f aca="false">IFERROR(VLOOKUP($A11796,'319'!$B:$H,7,0),0)</f>
        <v>0</v>
      </c>
      <c r="G11796" s="34" t="n">
        <f aca="false">SUMIFS('12.326ana'!$C:$C,'12.326ana'!$M:$M,redes!A11796)</f>
        <v>0</v>
      </c>
    </row>
    <row r="11797" customFormat="false" ht="14.4" hidden="true" customHeight="false" outlineLevel="0" collapsed="false">
      <c r="A11797" s="34" t="n">
        <v>10690016000127</v>
      </c>
      <c r="B11797" s="34" t="s">
        <v>22976</v>
      </c>
      <c r="C11797" s="34" t="s">
        <v>103</v>
      </c>
      <c r="E11797" s="30" t="s">
        <v>22977</v>
      </c>
      <c r="F11797" s="34" t="n">
        <f aca="false">IFERROR(VLOOKUP($A11797,'319'!$B:$H,7,0),0)</f>
        <v>0</v>
      </c>
      <c r="G11797" s="34" t="n">
        <f aca="false">SUMIFS('12.326ana'!$C:$C,'12.326ana'!$M:$M,redes!A11797)</f>
        <v>0</v>
      </c>
    </row>
    <row r="11798" customFormat="false" ht="14.4" hidden="true" customHeight="false" outlineLevel="0" collapsed="false">
      <c r="A11798" s="34" t="n">
        <v>10694980000123</v>
      </c>
      <c r="B11798" s="34" t="s">
        <v>22978</v>
      </c>
      <c r="C11798" s="34" t="s">
        <v>737</v>
      </c>
      <c r="E11798" s="30" t="s">
        <v>9753</v>
      </c>
      <c r="F11798" s="34" t="n">
        <f aca="false">IFERROR(VLOOKUP($A11798,'319'!$B:$H,7,0),0)</f>
        <v>0</v>
      </c>
      <c r="G11798" s="34" t="n">
        <f aca="false">SUMIFS('12.326ana'!$C:$C,'12.326ana'!$M:$M,redes!A11798)</f>
        <v>0</v>
      </c>
    </row>
    <row r="11799" customFormat="false" ht="14.4" hidden="true" customHeight="false" outlineLevel="0" collapsed="false">
      <c r="A11799" s="34" t="n">
        <v>10695451000144</v>
      </c>
      <c r="B11799" s="34" t="s">
        <v>22979</v>
      </c>
      <c r="C11799" s="34" t="s">
        <v>77</v>
      </c>
      <c r="E11799" s="30" t="s">
        <v>22980</v>
      </c>
      <c r="F11799" s="34" t="n">
        <f aca="false">IFERROR(VLOOKUP($A11799,'319'!$B:$H,7,0),0)</f>
        <v>0</v>
      </c>
      <c r="G11799" s="34" t="n">
        <f aca="false">SUMIFS('12.326ana'!$C:$C,'12.326ana'!$M:$M,redes!A11799)</f>
        <v>0</v>
      </c>
    </row>
    <row r="11800" customFormat="false" ht="14.4" hidden="true" customHeight="false" outlineLevel="0" collapsed="false">
      <c r="A11800" s="34" t="n">
        <v>10695527000131</v>
      </c>
      <c r="B11800" s="34" t="s">
        <v>22981</v>
      </c>
      <c r="C11800" s="34" t="s">
        <v>328</v>
      </c>
      <c r="E11800" s="30" t="s">
        <v>22982</v>
      </c>
      <c r="F11800" s="34" t="n">
        <f aca="false">IFERROR(VLOOKUP($A11800,'319'!$B:$H,7,0),0)</f>
        <v>0</v>
      </c>
      <c r="G11800" s="34" t="n">
        <f aca="false">SUMIFS('12.326ana'!$C:$C,'12.326ana'!$M:$M,redes!A11800)</f>
        <v>0</v>
      </c>
    </row>
    <row r="11801" customFormat="false" ht="14.4" hidden="true" customHeight="false" outlineLevel="0" collapsed="false">
      <c r="A11801" s="34" t="n">
        <v>10695967000199</v>
      </c>
      <c r="B11801" s="34" t="s">
        <v>22983</v>
      </c>
      <c r="C11801" s="34" t="s">
        <v>962</v>
      </c>
      <c r="E11801" s="30" t="s">
        <v>22984</v>
      </c>
      <c r="F11801" s="34" t="n">
        <f aca="false">IFERROR(VLOOKUP($A11801,'319'!$B:$H,7,0),0)</f>
        <v>0</v>
      </c>
      <c r="G11801" s="34" t="n">
        <f aca="false">SUMIFS('12.326ana'!$C:$C,'12.326ana'!$M:$M,redes!A11801)</f>
        <v>0</v>
      </c>
    </row>
    <row r="11802" customFormat="false" ht="14.4" hidden="true" customHeight="false" outlineLevel="0" collapsed="false">
      <c r="A11802" s="34" t="n">
        <v>10698670000187</v>
      </c>
      <c r="B11802" s="34" t="s">
        <v>11178</v>
      </c>
      <c r="C11802" s="34" t="s">
        <v>213</v>
      </c>
      <c r="E11802" s="30" t="s">
        <v>22985</v>
      </c>
      <c r="F11802" s="34" t="n">
        <f aca="false">IFERROR(VLOOKUP($A11802,'319'!$B:$H,7,0),0)</f>
        <v>0</v>
      </c>
      <c r="G11802" s="34" t="n">
        <f aca="false">SUMIFS('12.326ana'!$C:$C,'12.326ana'!$M:$M,redes!A11802)</f>
        <v>0</v>
      </c>
    </row>
    <row r="11803" customFormat="false" ht="14.4" hidden="true" customHeight="false" outlineLevel="0" collapsed="false">
      <c r="A11803" s="34" t="n">
        <v>10701968000107</v>
      </c>
      <c r="B11803" s="34" t="s">
        <v>22986</v>
      </c>
      <c r="C11803" s="34" t="s">
        <v>1591</v>
      </c>
      <c r="E11803" s="30" t="s">
        <v>22987</v>
      </c>
      <c r="F11803" s="34" t="n">
        <f aca="false">IFERROR(VLOOKUP($A11803,'319'!$B:$H,7,0),0)</f>
        <v>0</v>
      </c>
      <c r="G11803" s="34" t="n">
        <f aca="false">SUMIFS('12.326ana'!$C:$C,'12.326ana'!$M:$M,redes!A11803)</f>
        <v>0</v>
      </c>
    </row>
    <row r="11804" customFormat="false" ht="14.4" hidden="true" customHeight="false" outlineLevel="0" collapsed="false">
      <c r="A11804" s="34" t="n">
        <v>10701999000150</v>
      </c>
      <c r="B11804" s="34" t="s">
        <v>22988</v>
      </c>
      <c r="C11804" s="34" t="s">
        <v>77</v>
      </c>
      <c r="E11804" s="30" t="s">
        <v>22989</v>
      </c>
      <c r="F11804" s="34" t="n">
        <f aca="false">IFERROR(VLOOKUP($A11804,'319'!$B:$H,7,0),0)</f>
        <v>0</v>
      </c>
      <c r="G11804" s="34" t="n">
        <f aca="false">SUMIFS('12.326ana'!$C:$C,'12.326ana'!$M:$M,redes!A11804)</f>
        <v>0</v>
      </c>
    </row>
    <row r="11805" customFormat="false" ht="14.4" hidden="true" customHeight="false" outlineLevel="0" collapsed="false">
      <c r="A11805" s="34" t="n">
        <v>10704422000100</v>
      </c>
      <c r="B11805" s="34" t="s">
        <v>22990</v>
      </c>
      <c r="C11805" s="34" t="s">
        <v>342</v>
      </c>
      <c r="E11805" s="30" t="s">
        <v>22991</v>
      </c>
      <c r="F11805" s="34" t="n">
        <f aca="false">IFERROR(VLOOKUP($A11805,'319'!$B:$H,7,0),0)</f>
        <v>0</v>
      </c>
      <c r="G11805" s="34" t="n">
        <f aca="false">SUMIFS('12.326ana'!$C:$C,'12.326ana'!$M:$M,redes!A11805)</f>
        <v>0</v>
      </c>
    </row>
    <row r="11806" customFormat="false" ht="14.4" hidden="true" customHeight="false" outlineLevel="0" collapsed="false">
      <c r="A11806" s="34" t="n">
        <v>10705415000114</v>
      </c>
      <c r="B11806" s="34" t="s">
        <v>22992</v>
      </c>
      <c r="C11806" s="34" t="s">
        <v>89</v>
      </c>
      <c r="E11806" s="30" t="s">
        <v>22993</v>
      </c>
      <c r="F11806" s="34" t="n">
        <f aca="false">IFERROR(VLOOKUP($A11806,'319'!$B:$H,7,0),0)</f>
        <v>0</v>
      </c>
      <c r="G11806" s="34" t="n">
        <f aca="false">SUMIFS('12.326ana'!$C:$C,'12.326ana'!$M:$M,redes!A11806)</f>
        <v>0</v>
      </c>
    </row>
    <row r="11807" customFormat="false" ht="14.4" hidden="true" customHeight="false" outlineLevel="0" collapsed="false">
      <c r="A11807" s="34" t="n">
        <v>10705434000140</v>
      </c>
      <c r="B11807" s="34" t="s">
        <v>22994</v>
      </c>
      <c r="C11807" s="34" t="s">
        <v>89</v>
      </c>
      <c r="E11807" s="30" t="s">
        <v>22995</v>
      </c>
      <c r="F11807" s="34" t="n">
        <f aca="false">IFERROR(VLOOKUP($A11807,'319'!$B:$H,7,0),0)</f>
        <v>0</v>
      </c>
      <c r="G11807" s="34" t="n">
        <f aca="false">SUMIFS('12.326ana'!$C:$C,'12.326ana'!$M:$M,redes!A11807)</f>
        <v>0</v>
      </c>
    </row>
    <row r="11808" customFormat="false" ht="14.4" hidden="true" customHeight="false" outlineLevel="0" collapsed="false">
      <c r="A11808" s="34" t="n">
        <v>10707062000191</v>
      </c>
      <c r="B11808" s="34" t="s">
        <v>22996</v>
      </c>
      <c r="C11808" s="34" t="s">
        <v>631</v>
      </c>
      <c r="E11808" s="30" t="s">
        <v>22997</v>
      </c>
      <c r="F11808" s="34" t="n">
        <f aca="false">IFERROR(VLOOKUP($A11808,'319'!$B:$H,7,0),0)</f>
        <v>0</v>
      </c>
      <c r="G11808" s="34" t="n">
        <f aca="false">SUMIFS('12.326ana'!$C:$C,'12.326ana'!$M:$M,redes!A11808)</f>
        <v>0</v>
      </c>
    </row>
    <row r="11809" customFormat="false" ht="14.4" hidden="true" customHeight="false" outlineLevel="0" collapsed="false">
      <c r="A11809" s="34" t="n">
        <v>10712521000125</v>
      </c>
      <c r="B11809" s="34" t="s">
        <v>22998</v>
      </c>
      <c r="C11809" s="34" t="s">
        <v>139</v>
      </c>
      <c r="E11809" s="30" t="s">
        <v>22999</v>
      </c>
      <c r="F11809" s="34" t="n">
        <f aca="false">IFERROR(VLOOKUP($A11809,'319'!$B:$H,7,0),0)</f>
        <v>0</v>
      </c>
      <c r="G11809" s="34" t="n">
        <f aca="false">SUMIFS('12.326ana'!$C:$C,'12.326ana'!$M:$M,redes!A11809)</f>
        <v>0</v>
      </c>
    </row>
    <row r="11810" customFormat="false" ht="14.4" hidden="true" customHeight="false" outlineLevel="0" collapsed="false">
      <c r="A11810" s="34" t="n">
        <v>10712527000100</v>
      </c>
      <c r="B11810" s="34" t="s">
        <v>23000</v>
      </c>
      <c r="C11810" s="34" t="s">
        <v>139</v>
      </c>
      <c r="E11810" s="30" t="s">
        <v>23000</v>
      </c>
      <c r="F11810" s="34" t="n">
        <f aca="false">IFERROR(VLOOKUP($A11810,'319'!$B:$H,7,0),0)</f>
        <v>0</v>
      </c>
      <c r="G11810" s="34" t="n">
        <f aca="false">SUMIFS('12.326ana'!$C:$C,'12.326ana'!$M:$M,redes!A11810)</f>
        <v>0</v>
      </c>
    </row>
    <row r="11811" customFormat="false" ht="14.4" hidden="true" customHeight="false" outlineLevel="0" collapsed="false">
      <c r="A11811" s="34" t="n">
        <v>10712609000147</v>
      </c>
      <c r="B11811" s="34" t="s">
        <v>23001</v>
      </c>
      <c r="C11811" s="34" t="s">
        <v>77</v>
      </c>
      <c r="E11811" s="30" t="s">
        <v>23002</v>
      </c>
      <c r="F11811" s="34" t="n">
        <f aca="false">IFERROR(VLOOKUP($A11811,'319'!$B:$H,7,0),0)</f>
        <v>0</v>
      </c>
      <c r="G11811" s="34" t="n">
        <f aca="false">SUMIFS('12.326ana'!$C:$C,'12.326ana'!$M:$M,redes!A11811)</f>
        <v>0</v>
      </c>
    </row>
    <row r="11812" customFormat="false" ht="14.4" hidden="true" customHeight="false" outlineLevel="0" collapsed="false">
      <c r="A11812" s="34" t="n">
        <v>10712688000196</v>
      </c>
      <c r="B11812" s="34" t="s">
        <v>23003</v>
      </c>
      <c r="C11812" s="34" t="s">
        <v>631</v>
      </c>
      <c r="E11812" s="30" t="s">
        <v>23004</v>
      </c>
      <c r="F11812" s="34" t="n">
        <f aca="false">IFERROR(VLOOKUP($A11812,'319'!$B:$H,7,0),0)</f>
        <v>0</v>
      </c>
      <c r="G11812" s="34" t="n">
        <f aca="false">SUMIFS('12.326ana'!$C:$C,'12.326ana'!$M:$M,redes!A11812)</f>
        <v>0</v>
      </c>
    </row>
    <row r="11813" customFormat="false" ht="14.4" hidden="true" customHeight="false" outlineLevel="0" collapsed="false">
      <c r="A11813" s="34" t="n">
        <v>10713751000109</v>
      </c>
      <c r="B11813" s="34" t="s">
        <v>23005</v>
      </c>
      <c r="C11813" s="34" t="s">
        <v>77</v>
      </c>
      <c r="E11813" s="30" t="s">
        <v>23006</v>
      </c>
      <c r="F11813" s="34" t="n">
        <f aca="false">IFERROR(VLOOKUP($A11813,'319'!$B:$H,7,0),0)</f>
        <v>0</v>
      </c>
      <c r="G11813" s="34" t="n">
        <f aca="false">SUMIFS('12.326ana'!$C:$C,'12.326ana'!$M:$M,redes!A11813)</f>
        <v>0</v>
      </c>
    </row>
    <row r="11814" customFormat="false" ht="14.4" hidden="true" customHeight="false" outlineLevel="0" collapsed="false">
      <c r="A11814" s="34" t="n">
        <v>10714010000142</v>
      </c>
      <c r="B11814" s="34" t="s">
        <v>23007</v>
      </c>
      <c r="C11814" s="34" t="s">
        <v>107</v>
      </c>
      <c r="E11814" s="30" t="s">
        <v>7730</v>
      </c>
      <c r="F11814" s="34" t="n">
        <f aca="false">IFERROR(VLOOKUP($A11814,'319'!$B:$H,7,0),0)</f>
        <v>0</v>
      </c>
      <c r="G11814" s="34" t="n">
        <f aca="false">SUMIFS('12.326ana'!$C:$C,'12.326ana'!$M:$M,redes!A11814)</f>
        <v>0</v>
      </c>
    </row>
    <row r="11815" customFormat="false" ht="14.4" hidden="true" customHeight="false" outlineLevel="0" collapsed="false">
      <c r="A11815" s="34" t="n">
        <v>10715634000184</v>
      </c>
      <c r="B11815" s="34" t="s">
        <v>23008</v>
      </c>
      <c r="C11815" s="34" t="s">
        <v>357</v>
      </c>
      <c r="D11815" s="34" t="s">
        <v>9598</v>
      </c>
      <c r="E11815" s="30" t="s">
        <v>23009</v>
      </c>
      <c r="F11815" s="34" t="n">
        <f aca="false">IFERROR(VLOOKUP($A11815,'319'!$B:$H,7,0),0)</f>
        <v>0</v>
      </c>
      <c r="G11815" s="34" t="n">
        <f aca="false">SUMIFS('12.326ana'!$C:$C,'12.326ana'!$M:$M,redes!A11815)</f>
        <v>0</v>
      </c>
    </row>
    <row r="11816" customFormat="false" ht="14.4" hidden="true" customHeight="false" outlineLevel="0" collapsed="false">
      <c r="A11816" s="34" t="n">
        <v>10718925000126</v>
      </c>
      <c r="B11816" s="34" t="s">
        <v>23010</v>
      </c>
      <c r="C11816" s="34" t="s">
        <v>77</v>
      </c>
      <c r="E11816" s="30" t="s">
        <v>23011</v>
      </c>
      <c r="F11816" s="34" t="n">
        <f aca="false">IFERROR(VLOOKUP($A11816,'319'!$B:$H,7,0),0)</f>
        <v>0</v>
      </c>
      <c r="G11816" s="34" t="n">
        <f aca="false">SUMIFS('12.326ana'!$C:$C,'12.326ana'!$M:$M,redes!A11816)</f>
        <v>0</v>
      </c>
    </row>
    <row r="11817" customFormat="false" ht="14.4" hidden="true" customHeight="false" outlineLevel="0" collapsed="false">
      <c r="A11817" s="34" t="n">
        <v>10722406000212</v>
      </c>
      <c r="B11817" s="34" t="s">
        <v>23012</v>
      </c>
      <c r="C11817" s="34" t="s">
        <v>2998</v>
      </c>
      <c r="E11817" s="30" t="s">
        <v>23013</v>
      </c>
      <c r="F11817" s="34" t="n">
        <f aca="false">IFERROR(VLOOKUP($A11817,'319'!$B:$H,7,0),0)</f>
        <v>0</v>
      </c>
      <c r="G11817" s="34" t="n">
        <f aca="false">SUMIFS('12.326ana'!$C:$C,'12.326ana'!$M:$M,redes!A11817)</f>
        <v>0</v>
      </c>
    </row>
    <row r="11818" customFormat="false" ht="14.4" hidden="true" customHeight="false" outlineLevel="0" collapsed="false">
      <c r="A11818" s="34" t="n">
        <v>10724767000117</v>
      </c>
      <c r="B11818" s="34" t="s">
        <v>23014</v>
      </c>
      <c r="C11818" s="34" t="s">
        <v>77</v>
      </c>
      <c r="E11818" s="30" t="s">
        <v>23015</v>
      </c>
      <c r="F11818" s="34" t="n">
        <f aca="false">IFERROR(VLOOKUP($A11818,'319'!$B:$H,7,0),0)</f>
        <v>0</v>
      </c>
      <c r="G11818" s="34" t="n">
        <f aca="false">SUMIFS('12.326ana'!$C:$C,'12.326ana'!$M:$M,redes!A11818)</f>
        <v>0</v>
      </c>
    </row>
    <row r="11819" customFormat="false" ht="14.4" hidden="true" customHeight="false" outlineLevel="0" collapsed="false">
      <c r="A11819" s="34" t="n">
        <v>10726011000107</v>
      </c>
      <c r="B11819" s="34" t="s">
        <v>23016</v>
      </c>
      <c r="C11819" s="34" t="s">
        <v>139</v>
      </c>
      <c r="E11819" s="30" t="s">
        <v>23017</v>
      </c>
      <c r="F11819" s="34" t="n">
        <f aca="false">IFERROR(VLOOKUP($A11819,'319'!$B:$H,7,0),0)</f>
        <v>0</v>
      </c>
      <c r="G11819" s="34" t="n">
        <f aca="false">SUMIFS('12.326ana'!$C:$C,'12.326ana'!$M:$M,redes!A11819)</f>
        <v>0</v>
      </c>
    </row>
    <row r="11820" customFormat="false" ht="14.4" hidden="true" customHeight="false" outlineLevel="0" collapsed="false">
      <c r="A11820" s="34" t="n">
        <v>10728157000191</v>
      </c>
      <c r="B11820" s="34" t="s">
        <v>23018</v>
      </c>
      <c r="C11820" s="34" t="s">
        <v>89</v>
      </c>
      <c r="E11820" s="30" t="s">
        <v>23018</v>
      </c>
      <c r="F11820" s="34" t="n">
        <f aca="false">IFERROR(VLOOKUP($A11820,'319'!$B:$H,7,0),0)</f>
        <v>0</v>
      </c>
      <c r="G11820" s="34" t="n">
        <f aca="false">SUMIFS('12.326ana'!$C:$C,'12.326ana'!$M:$M,redes!A11820)</f>
        <v>0</v>
      </c>
    </row>
    <row r="11821" customFormat="false" ht="14.4" hidden="true" customHeight="false" outlineLevel="0" collapsed="false">
      <c r="A11821" s="34" t="n">
        <v>10729289000138</v>
      </c>
      <c r="B11821" s="34" t="s">
        <v>23019</v>
      </c>
      <c r="C11821" s="34" t="s">
        <v>77</v>
      </c>
      <c r="E11821" s="30" t="s">
        <v>23020</v>
      </c>
      <c r="F11821" s="34" t="n">
        <f aca="false">IFERROR(VLOOKUP($A11821,'319'!$B:$H,7,0),0)</f>
        <v>0</v>
      </c>
      <c r="G11821" s="34" t="n">
        <f aca="false">SUMIFS('12.326ana'!$C:$C,'12.326ana'!$M:$M,redes!A11821)</f>
        <v>0</v>
      </c>
    </row>
    <row r="11822" customFormat="false" ht="14.4" hidden="true" customHeight="false" outlineLevel="0" collapsed="false">
      <c r="A11822" s="34" t="n">
        <v>10729306000137</v>
      </c>
      <c r="B11822" s="34" t="s">
        <v>23021</v>
      </c>
      <c r="C11822" s="34" t="s">
        <v>77</v>
      </c>
      <c r="E11822" s="30" t="s">
        <v>23022</v>
      </c>
      <c r="F11822" s="34" t="n">
        <f aca="false">IFERROR(VLOOKUP($A11822,'319'!$B:$H,7,0),0)</f>
        <v>0</v>
      </c>
      <c r="G11822" s="34" t="n">
        <f aca="false">SUMIFS('12.326ana'!$C:$C,'12.326ana'!$M:$M,redes!A11822)</f>
        <v>0</v>
      </c>
    </row>
    <row r="11823" customFormat="false" ht="14.4" hidden="true" customHeight="false" outlineLevel="0" collapsed="false">
      <c r="A11823" s="34" t="n">
        <v>10735622000111</v>
      </c>
      <c r="B11823" s="34" t="s">
        <v>23023</v>
      </c>
      <c r="C11823" s="34" t="s">
        <v>127</v>
      </c>
      <c r="E11823" s="30" t="s">
        <v>23024</v>
      </c>
      <c r="F11823" s="34" t="n">
        <f aca="false">IFERROR(VLOOKUP($A11823,'319'!$B:$H,7,0),0)</f>
        <v>0</v>
      </c>
      <c r="G11823" s="34" t="n">
        <f aca="false">SUMIFS('12.326ana'!$C:$C,'12.326ana'!$M:$M,redes!A11823)</f>
        <v>0</v>
      </c>
    </row>
    <row r="11824" customFormat="false" ht="14.4" hidden="true" customHeight="false" outlineLevel="0" collapsed="false">
      <c r="A11824" s="34" t="n">
        <v>10736443000107</v>
      </c>
      <c r="B11824" s="34" t="s">
        <v>23025</v>
      </c>
      <c r="C11824" s="34" t="s">
        <v>7250</v>
      </c>
      <c r="E11824" s="30" t="s">
        <v>23026</v>
      </c>
      <c r="F11824" s="34" t="n">
        <f aca="false">IFERROR(VLOOKUP($A11824,'319'!$B:$H,7,0),0)</f>
        <v>0</v>
      </c>
      <c r="G11824" s="34" t="n">
        <f aca="false">SUMIFS('12.326ana'!$C:$C,'12.326ana'!$M:$M,redes!A11824)</f>
        <v>0</v>
      </c>
    </row>
    <row r="11825" customFormat="false" ht="14.4" hidden="true" customHeight="false" outlineLevel="0" collapsed="false">
      <c r="A11825" s="34" t="n">
        <v>10739465000112</v>
      </c>
      <c r="B11825" s="34" t="s">
        <v>23027</v>
      </c>
      <c r="C11825" s="34" t="s">
        <v>309</v>
      </c>
      <c r="E11825" s="30" t="s">
        <v>5613</v>
      </c>
      <c r="F11825" s="34" t="n">
        <f aca="false">IFERROR(VLOOKUP($A11825,'319'!$B:$H,7,0),0)</f>
        <v>0</v>
      </c>
      <c r="G11825" s="34" t="n">
        <f aca="false">SUMIFS('12.326ana'!$C:$C,'12.326ana'!$M:$M,redes!A11825)</f>
        <v>0</v>
      </c>
    </row>
    <row r="11826" customFormat="false" ht="14.4" hidden="true" customHeight="false" outlineLevel="0" collapsed="false">
      <c r="A11826" s="34" t="n">
        <v>10742642000110</v>
      </c>
      <c r="B11826" s="34" t="s">
        <v>23028</v>
      </c>
      <c r="C11826" s="34" t="s">
        <v>631</v>
      </c>
      <c r="E11826" s="30" t="s">
        <v>23029</v>
      </c>
      <c r="F11826" s="34" t="n">
        <f aca="false">IFERROR(VLOOKUP($A11826,'319'!$B:$H,7,0),0)</f>
        <v>0</v>
      </c>
      <c r="G11826" s="34" t="n">
        <f aca="false">SUMIFS('12.326ana'!$C:$C,'12.326ana'!$M:$M,redes!A11826)</f>
        <v>0</v>
      </c>
    </row>
    <row r="11827" customFormat="false" ht="14.4" hidden="true" customHeight="false" outlineLevel="0" collapsed="false">
      <c r="A11827" s="34" t="n">
        <v>10742642000209</v>
      </c>
      <c r="B11827" s="34" t="s">
        <v>23028</v>
      </c>
      <c r="C11827" s="34" t="s">
        <v>565</v>
      </c>
      <c r="D11827" s="34" t="s">
        <v>13626</v>
      </c>
      <c r="E11827" s="30" t="s">
        <v>22363</v>
      </c>
      <c r="F11827" s="34" t="n">
        <f aca="false">IFERROR(VLOOKUP($A11827,'319'!$B:$H,7,0),0)</f>
        <v>0</v>
      </c>
      <c r="G11827" s="34" t="n">
        <f aca="false">SUMIFS('12.326ana'!$C:$C,'12.326ana'!$M:$M,redes!A11827)</f>
        <v>0</v>
      </c>
    </row>
    <row r="11828" customFormat="false" ht="14.4" hidden="true" customHeight="false" outlineLevel="0" collapsed="false">
      <c r="A11828" s="34" t="n">
        <v>10742642000381</v>
      </c>
      <c r="B11828" s="34" t="s">
        <v>23028</v>
      </c>
      <c r="C11828" s="34" t="s">
        <v>842</v>
      </c>
      <c r="E11828" s="30" t="s">
        <v>23030</v>
      </c>
      <c r="F11828" s="34" t="n">
        <f aca="false">IFERROR(VLOOKUP($A11828,'319'!$B:$H,7,0),0)</f>
        <v>0</v>
      </c>
      <c r="G11828" s="34" t="n">
        <f aca="false">SUMIFS('12.326ana'!$C:$C,'12.326ana'!$M:$M,redes!A11828)</f>
        <v>0</v>
      </c>
    </row>
    <row r="11829" customFormat="false" ht="14.4" hidden="true" customHeight="false" outlineLevel="0" collapsed="false">
      <c r="A11829" s="34" t="n">
        <v>10742771000108</v>
      </c>
      <c r="B11829" s="34" t="s">
        <v>23031</v>
      </c>
      <c r="C11829" s="34" t="s">
        <v>604</v>
      </c>
      <c r="E11829" s="30" t="s">
        <v>23032</v>
      </c>
      <c r="F11829" s="34" t="n">
        <f aca="false">IFERROR(VLOOKUP($A11829,'319'!$B:$H,7,0),0)</f>
        <v>0</v>
      </c>
      <c r="G11829" s="34" t="n">
        <f aca="false">SUMIFS('12.326ana'!$C:$C,'12.326ana'!$M:$M,redes!A11829)</f>
        <v>0</v>
      </c>
    </row>
    <row r="11830" customFormat="false" ht="14.4" hidden="true" customHeight="false" outlineLevel="0" collapsed="false">
      <c r="A11830" s="34" t="n">
        <v>10742885000158</v>
      </c>
      <c r="B11830" s="34" t="s">
        <v>23033</v>
      </c>
      <c r="C11830" s="34" t="s">
        <v>139</v>
      </c>
      <c r="E11830" s="30" t="s">
        <v>23034</v>
      </c>
      <c r="F11830" s="34" t="n">
        <f aca="false">IFERROR(VLOOKUP($A11830,'319'!$B:$H,7,0),0)</f>
        <v>0</v>
      </c>
      <c r="G11830" s="34" t="n">
        <f aca="false">SUMIFS('12.326ana'!$C:$C,'12.326ana'!$M:$M,redes!A11830)</f>
        <v>0</v>
      </c>
    </row>
    <row r="11831" customFormat="false" ht="14.4" hidden="true" customHeight="false" outlineLevel="0" collapsed="false">
      <c r="A11831" s="34" t="n">
        <v>10744874000107</v>
      </c>
      <c r="B11831" s="34" t="s">
        <v>23035</v>
      </c>
      <c r="C11831" s="34" t="s">
        <v>473</v>
      </c>
      <c r="E11831" s="30" t="s">
        <v>23036</v>
      </c>
      <c r="F11831" s="34" t="n">
        <f aca="false">IFERROR(VLOOKUP($A11831,'319'!$B:$H,7,0),0)</f>
        <v>0</v>
      </c>
      <c r="G11831" s="34" t="n">
        <f aca="false">SUMIFS('12.326ana'!$C:$C,'12.326ana'!$M:$M,redes!A11831)</f>
        <v>0</v>
      </c>
    </row>
    <row r="11832" customFormat="false" ht="14.4" hidden="true" customHeight="false" outlineLevel="0" collapsed="false">
      <c r="A11832" s="34" t="n">
        <v>10749114000192</v>
      </c>
      <c r="B11832" s="34" t="s">
        <v>23037</v>
      </c>
      <c r="C11832" s="34" t="s">
        <v>103</v>
      </c>
      <c r="E11832" s="30" t="s">
        <v>17141</v>
      </c>
      <c r="F11832" s="34" t="n">
        <f aca="false">IFERROR(VLOOKUP($A11832,'319'!$B:$H,7,0),0)</f>
        <v>0</v>
      </c>
      <c r="G11832" s="34" t="n">
        <f aca="false">SUMIFS('12.326ana'!$C:$C,'12.326ana'!$M:$M,redes!A11832)</f>
        <v>0</v>
      </c>
    </row>
    <row r="11833" customFormat="false" ht="14.4" hidden="true" customHeight="false" outlineLevel="0" collapsed="false">
      <c r="A11833" s="34" t="n">
        <v>10749204000183</v>
      </c>
      <c r="B11833" s="34" t="s">
        <v>23038</v>
      </c>
      <c r="C11833" s="34" t="s">
        <v>77</v>
      </c>
      <c r="E11833" s="30" t="s">
        <v>23039</v>
      </c>
      <c r="F11833" s="34" t="n">
        <f aca="false">IFERROR(VLOOKUP($A11833,'319'!$B:$H,7,0),0)</f>
        <v>0</v>
      </c>
      <c r="G11833" s="34" t="n">
        <f aca="false">SUMIFS('12.326ana'!$C:$C,'12.326ana'!$M:$M,redes!A11833)</f>
        <v>0</v>
      </c>
    </row>
    <row r="11834" customFormat="false" ht="14.4" hidden="true" customHeight="false" outlineLevel="0" collapsed="false">
      <c r="A11834" s="34" t="n">
        <v>10754654000164</v>
      </c>
      <c r="B11834" s="34" t="s">
        <v>23040</v>
      </c>
      <c r="C11834" s="34" t="s">
        <v>77</v>
      </c>
      <c r="E11834" s="30" t="s">
        <v>23041</v>
      </c>
      <c r="F11834" s="34" t="n">
        <f aca="false">IFERROR(VLOOKUP($A11834,'319'!$B:$H,7,0),0)</f>
        <v>0</v>
      </c>
      <c r="G11834" s="34" t="n">
        <f aca="false">SUMIFS('12.326ana'!$C:$C,'12.326ana'!$M:$M,redes!A11834)</f>
        <v>0</v>
      </c>
    </row>
    <row r="11835" customFormat="false" ht="14.4" hidden="true" customHeight="false" outlineLevel="0" collapsed="false">
      <c r="A11835" s="34" t="n">
        <v>10754693000161</v>
      </c>
      <c r="B11835" s="34" t="s">
        <v>23042</v>
      </c>
      <c r="C11835" s="34" t="s">
        <v>213</v>
      </c>
      <c r="E11835" s="30" t="s">
        <v>23043</v>
      </c>
      <c r="F11835" s="34" t="n">
        <f aca="false">IFERROR(VLOOKUP($A11835,'319'!$B:$H,7,0),0)</f>
        <v>0</v>
      </c>
      <c r="G11835" s="34" t="n">
        <f aca="false">SUMIFS('12.326ana'!$C:$C,'12.326ana'!$M:$M,redes!A11835)</f>
        <v>0</v>
      </c>
    </row>
    <row r="11836" customFormat="false" ht="14.4" hidden="true" customHeight="false" outlineLevel="0" collapsed="false">
      <c r="A11836" s="34" t="n">
        <v>10754993000140</v>
      </c>
      <c r="B11836" s="34" t="s">
        <v>23044</v>
      </c>
      <c r="C11836" s="34" t="s">
        <v>77</v>
      </c>
      <c r="E11836" s="30"/>
      <c r="F11836" s="34" t="n">
        <f aca="false">IFERROR(VLOOKUP($A11836,'319'!$B:$H,7,0),0)</f>
        <v>0</v>
      </c>
      <c r="G11836" s="34" t="n">
        <f aca="false">SUMIFS('12.326ana'!$C:$C,'12.326ana'!$M:$M,redes!A11836)</f>
        <v>0</v>
      </c>
    </row>
    <row r="11837" customFormat="false" ht="14.4" hidden="true" customHeight="false" outlineLevel="0" collapsed="false">
      <c r="A11837" s="34" t="n">
        <v>10755052000121</v>
      </c>
      <c r="B11837" s="34" t="s">
        <v>23045</v>
      </c>
      <c r="C11837" s="34" t="s">
        <v>103</v>
      </c>
      <c r="E11837" s="30" t="s">
        <v>23046</v>
      </c>
      <c r="F11837" s="34" t="n">
        <f aca="false">IFERROR(VLOOKUP($A11837,'319'!$B:$H,7,0),0)</f>
        <v>0</v>
      </c>
      <c r="G11837" s="34" t="n">
        <f aca="false">SUMIFS('12.326ana'!$C:$C,'12.326ana'!$M:$M,redes!A11837)</f>
        <v>0</v>
      </c>
    </row>
    <row r="11838" customFormat="false" ht="14.4" hidden="true" customHeight="false" outlineLevel="0" collapsed="false">
      <c r="A11838" s="34" t="n">
        <v>10755369000168</v>
      </c>
      <c r="B11838" s="34" t="s">
        <v>23047</v>
      </c>
      <c r="C11838" s="34" t="s">
        <v>154</v>
      </c>
      <c r="E11838" s="30" t="s">
        <v>17473</v>
      </c>
      <c r="F11838" s="34" t="n">
        <f aca="false">IFERROR(VLOOKUP($A11838,'319'!$B:$H,7,0),0)</f>
        <v>0</v>
      </c>
      <c r="G11838" s="34" t="n">
        <f aca="false">SUMIFS('12.326ana'!$C:$C,'12.326ana'!$M:$M,redes!A11838)</f>
        <v>0</v>
      </c>
    </row>
    <row r="11839" customFormat="false" ht="14.4" hidden="true" customHeight="false" outlineLevel="0" collapsed="false">
      <c r="A11839" s="34" t="n">
        <v>10756548000110</v>
      </c>
      <c r="B11839" s="34" t="s">
        <v>23048</v>
      </c>
      <c r="C11839" s="34" t="s">
        <v>336</v>
      </c>
      <c r="E11839" s="30" t="s">
        <v>23049</v>
      </c>
      <c r="F11839" s="34" t="n">
        <f aca="false">IFERROR(VLOOKUP($A11839,'319'!$B:$H,7,0),0)</f>
        <v>0</v>
      </c>
      <c r="G11839" s="34" t="n">
        <f aca="false">SUMIFS('12.326ana'!$C:$C,'12.326ana'!$M:$M,redes!A11839)</f>
        <v>0</v>
      </c>
    </row>
    <row r="11840" customFormat="false" ht="14.4" hidden="true" customHeight="false" outlineLevel="0" collapsed="false">
      <c r="A11840" s="34" t="n">
        <v>10757479000169</v>
      </c>
      <c r="B11840" s="34" t="s">
        <v>23050</v>
      </c>
      <c r="C11840" s="34" t="s">
        <v>77</v>
      </c>
      <c r="E11840" s="30" t="s">
        <v>3777</v>
      </c>
      <c r="F11840" s="34" t="n">
        <f aca="false">IFERROR(VLOOKUP($A11840,'319'!$B:$H,7,0),0)</f>
        <v>0</v>
      </c>
      <c r="G11840" s="34" t="n">
        <f aca="false">SUMIFS('12.326ana'!$C:$C,'12.326ana'!$M:$M,redes!A11840)</f>
        <v>0</v>
      </c>
    </row>
    <row r="11841" customFormat="false" ht="14.4" hidden="true" customHeight="false" outlineLevel="0" collapsed="false">
      <c r="A11841" s="34" t="n">
        <v>10760496000155</v>
      </c>
      <c r="B11841" s="34" t="s">
        <v>23051</v>
      </c>
      <c r="C11841" s="34" t="s">
        <v>207</v>
      </c>
      <c r="E11841" s="30" t="s">
        <v>23052</v>
      </c>
      <c r="F11841" s="34" t="n">
        <f aca="false">IFERROR(VLOOKUP($A11841,'319'!$B:$H,7,0),0)</f>
        <v>0</v>
      </c>
      <c r="G11841" s="34" t="n">
        <f aca="false">SUMIFS('12.326ana'!$C:$C,'12.326ana'!$M:$M,redes!A11841)</f>
        <v>0</v>
      </c>
    </row>
    <row r="11842" customFormat="false" ht="14.4" hidden="true" customHeight="false" outlineLevel="0" collapsed="false">
      <c r="A11842" s="34" t="n">
        <v>10761008000205</v>
      </c>
      <c r="B11842" s="34" t="s">
        <v>23053</v>
      </c>
      <c r="C11842" s="34" t="s">
        <v>207</v>
      </c>
      <c r="E11842" s="30" t="s">
        <v>23054</v>
      </c>
      <c r="F11842" s="34" t="n">
        <f aca="false">IFERROR(VLOOKUP($A11842,'319'!$B:$H,7,0),0)</f>
        <v>0</v>
      </c>
      <c r="G11842" s="34" t="n">
        <f aca="false">SUMIFS('12.326ana'!$C:$C,'12.326ana'!$M:$M,redes!A11842)</f>
        <v>0</v>
      </c>
    </row>
    <row r="11843" customFormat="false" ht="14.4" hidden="true" customHeight="false" outlineLevel="0" collapsed="false">
      <c r="A11843" s="34" t="n">
        <v>10764399000130</v>
      </c>
      <c r="B11843" s="34" t="s">
        <v>6826</v>
      </c>
      <c r="C11843" s="34" t="s">
        <v>77</v>
      </c>
      <c r="E11843" s="30" t="s">
        <v>23055</v>
      </c>
      <c r="F11843" s="34" t="n">
        <f aca="false">IFERROR(VLOOKUP($A11843,'319'!$B:$H,7,0),0)</f>
        <v>0</v>
      </c>
      <c r="G11843" s="34" t="n">
        <f aca="false">SUMIFS('12.326ana'!$C:$C,'12.326ana'!$M:$M,redes!A11843)</f>
        <v>0</v>
      </c>
    </row>
    <row r="11844" customFormat="false" ht="14.4" hidden="true" customHeight="false" outlineLevel="0" collapsed="false">
      <c r="A11844" s="34" t="n">
        <v>10764474000163</v>
      </c>
      <c r="B11844" s="34" t="s">
        <v>23056</v>
      </c>
      <c r="C11844" s="34" t="s">
        <v>737</v>
      </c>
      <c r="E11844" s="30" t="s">
        <v>23057</v>
      </c>
      <c r="F11844" s="34" t="n">
        <f aca="false">IFERROR(VLOOKUP($A11844,'319'!$B:$H,7,0),0)</f>
        <v>0</v>
      </c>
      <c r="G11844" s="34" t="n">
        <f aca="false">SUMIFS('12.326ana'!$C:$C,'12.326ana'!$M:$M,redes!A11844)</f>
        <v>0</v>
      </c>
    </row>
    <row r="11845" customFormat="false" ht="14.4" hidden="true" customHeight="false" outlineLevel="0" collapsed="false">
      <c r="A11845" s="34" t="n">
        <v>10776408000103</v>
      </c>
      <c r="B11845" s="34" t="s">
        <v>23058</v>
      </c>
      <c r="C11845" s="34" t="s">
        <v>77</v>
      </c>
      <c r="E11845" s="30" t="s">
        <v>23059</v>
      </c>
      <c r="F11845" s="34" t="n">
        <f aca="false">IFERROR(VLOOKUP($A11845,'319'!$B:$H,7,0),0)</f>
        <v>0</v>
      </c>
      <c r="G11845" s="34" t="n">
        <f aca="false">SUMIFS('12.326ana'!$C:$C,'12.326ana'!$M:$M,redes!A11845)</f>
        <v>0</v>
      </c>
    </row>
    <row r="11846" customFormat="false" ht="14.4" hidden="true" customHeight="false" outlineLevel="0" collapsed="false">
      <c r="A11846" s="34" t="n">
        <v>10778035000100</v>
      </c>
      <c r="B11846" s="34" t="s">
        <v>23060</v>
      </c>
      <c r="C11846" s="34" t="s">
        <v>197</v>
      </c>
      <c r="E11846" s="30" t="s">
        <v>7223</v>
      </c>
      <c r="F11846" s="34" t="n">
        <f aca="false">IFERROR(VLOOKUP($A11846,'319'!$B:$H,7,0),0)</f>
        <v>0</v>
      </c>
      <c r="G11846" s="34" t="n">
        <f aca="false">SUMIFS('12.326ana'!$C:$C,'12.326ana'!$M:$M,redes!A11846)</f>
        <v>0</v>
      </c>
    </row>
    <row r="11847" customFormat="false" ht="14.4" hidden="true" customHeight="false" outlineLevel="0" collapsed="false">
      <c r="A11847" s="34" t="n">
        <v>10778993000180</v>
      </c>
      <c r="B11847" s="34" t="s">
        <v>23061</v>
      </c>
      <c r="C11847" s="34" t="s">
        <v>77</v>
      </c>
      <c r="E11847" s="30" t="s">
        <v>3965</v>
      </c>
      <c r="F11847" s="34" t="n">
        <f aca="false">IFERROR(VLOOKUP($A11847,'319'!$B:$H,7,0),0)</f>
        <v>0</v>
      </c>
      <c r="G11847" s="34" t="n">
        <f aca="false">SUMIFS('12.326ana'!$C:$C,'12.326ana'!$M:$M,redes!A11847)</f>
        <v>0</v>
      </c>
    </row>
    <row r="11848" customFormat="false" ht="14.4" hidden="true" customHeight="false" outlineLevel="0" collapsed="false">
      <c r="A11848" s="34" t="n">
        <v>10779447000164</v>
      </c>
      <c r="B11848" s="34" t="s">
        <v>23062</v>
      </c>
      <c r="C11848" s="34" t="s">
        <v>103</v>
      </c>
      <c r="E11848" s="30" t="s">
        <v>3194</v>
      </c>
      <c r="F11848" s="34" t="n">
        <f aca="false">IFERROR(VLOOKUP($A11848,'319'!$B:$H,7,0),0)</f>
        <v>0</v>
      </c>
      <c r="G11848" s="34" t="n">
        <f aca="false">SUMIFS('12.326ana'!$C:$C,'12.326ana'!$M:$M,redes!A11848)</f>
        <v>0</v>
      </c>
    </row>
    <row r="11849" customFormat="false" ht="14.4" hidden="true" customHeight="false" outlineLevel="0" collapsed="false">
      <c r="A11849" s="34" t="n">
        <v>10779482000183</v>
      </c>
      <c r="B11849" s="34" t="s">
        <v>23063</v>
      </c>
      <c r="C11849" s="34" t="s">
        <v>107</v>
      </c>
      <c r="E11849" s="30" t="s">
        <v>23064</v>
      </c>
      <c r="F11849" s="34" t="n">
        <f aca="false">IFERROR(VLOOKUP($A11849,'319'!$B:$H,7,0),0)</f>
        <v>0</v>
      </c>
      <c r="G11849" s="34" t="n">
        <f aca="false">SUMIFS('12.326ana'!$C:$C,'12.326ana'!$M:$M,redes!A11849)</f>
        <v>0</v>
      </c>
    </row>
    <row r="11850" customFormat="false" ht="14.4" hidden="true" customHeight="false" outlineLevel="0" collapsed="false">
      <c r="A11850" s="34" t="n">
        <v>10791183000164</v>
      </c>
      <c r="B11850" s="34" t="s">
        <v>23065</v>
      </c>
      <c r="C11850" s="34" t="s">
        <v>77</v>
      </c>
      <c r="E11850" s="30" t="s">
        <v>23066</v>
      </c>
      <c r="F11850" s="34" t="n">
        <f aca="false">IFERROR(VLOOKUP($A11850,'319'!$B:$H,7,0),0)</f>
        <v>0</v>
      </c>
      <c r="G11850" s="34" t="n">
        <f aca="false">SUMIFS('12.326ana'!$C:$C,'12.326ana'!$M:$M,redes!A11850)</f>
        <v>0</v>
      </c>
    </row>
    <row r="11851" customFormat="false" ht="14.4" hidden="true" customHeight="false" outlineLevel="0" collapsed="false">
      <c r="A11851" s="34" t="n">
        <v>10791470000174</v>
      </c>
      <c r="B11851" s="34" t="s">
        <v>23067</v>
      </c>
      <c r="C11851" s="34" t="s">
        <v>77</v>
      </c>
      <c r="E11851" s="30" t="s">
        <v>12175</v>
      </c>
      <c r="F11851" s="34" t="n">
        <f aca="false">IFERROR(VLOOKUP($A11851,'319'!$B:$H,7,0),0)</f>
        <v>0</v>
      </c>
      <c r="G11851" s="34" t="n">
        <f aca="false">SUMIFS('12.326ana'!$C:$C,'12.326ana'!$M:$M,redes!A11851)</f>
        <v>0</v>
      </c>
    </row>
    <row r="11852" customFormat="false" ht="14.4" hidden="true" customHeight="false" outlineLevel="0" collapsed="false">
      <c r="A11852" s="34" t="n">
        <v>10791521000168</v>
      </c>
      <c r="B11852" s="34" t="s">
        <v>23068</v>
      </c>
      <c r="C11852" s="34" t="s">
        <v>565</v>
      </c>
      <c r="E11852" s="30" t="s">
        <v>23069</v>
      </c>
      <c r="F11852" s="34" t="n">
        <f aca="false">IFERROR(VLOOKUP($A11852,'319'!$B:$H,7,0),0)</f>
        <v>0</v>
      </c>
      <c r="G11852" s="34" t="n">
        <f aca="false">SUMIFS('12.326ana'!$C:$C,'12.326ana'!$M:$M,redes!A11852)</f>
        <v>0</v>
      </c>
    </row>
    <row r="11853" customFormat="false" ht="14.4" hidden="true" customHeight="false" outlineLevel="0" collapsed="false">
      <c r="A11853" s="34" t="n">
        <v>10793738000107</v>
      </c>
      <c r="B11853" s="34" t="s">
        <v>23070</v>
      </c>
      <c r="C11853" s="34" t="s">
        <v>2998</v>
      </c>
      <c r="E11853" s="30" t="s">
        <v>23071</v>
      </c>
      <c r="F11853" s="34" t="n">
        <f aca="false">IFERROR(VLOOKUP($A11853,'319'!$B:$H,7,0),0)</f>
        <v>0</v>
      </c>
      <c r="G11853" s="34" t="n">
        <f aca="false">SUMIFS('12.326ana'!$C:$C,'12.326ana'!$M:$M,redes!A11853)</f>
        <v>0</v>
      </c>
    </row>
    <row r="11854" customFormat="false" ht="14.4" hidden="true" customHeight="false" outlineLevel="0" collapsed="false">
      <c r="A11854" s="34" t="n">
        <v>10796253000177</v>
      </c>
      <c r="B11854" s="34" t="s">
        <v>23072</v>
      </c>
      <c r="C11854" s="34" t="s">
        <v>336</v>
      </c>
      <c r="E11854" s="30" t="s">
        <v>23073</v>
      </c>
      <c r="F11854" s="34" t="n">
        <f aca="false">IFERROR(VLOOKUP($A11854,'319'!$B:$H,7,0),0)</f>
        <v>0</v>
      </c>
      <c r="G11854" s="34" t="n">
        <f aca="false">SUMIFS('12.326ana'!$C:$C,'12.326ana'!$M:$M,redes!A11854)</f>
        <v>0</v>
      </c>
    </row>
    <row r="11855" customFormat="false" ht="14.4" hidden="true" customHeight="false" outlineLevel="0" collapsed="false">
      <c r="A11855" s="34" t="n">
        <v>10796374000119</v>
      </c>
      <c r="B11855" s="34" t="s">
        <v>23074</v>
      </c>
      <c r="C11855" s="34" t="s">
        <v>631</v>
      </c>
      <c r="E11855" s="30" t="s">
        <v>23074</v>
      </c>
      <c r="F11855" s="34" t="n">
        <f aca="false">IFERROR(VLOOKUP($A11855,'319'!$B:$H,7,0),0)</f>
        <v>0</v>
      </c>
      <c r="G11855" s="34" t="n">
        <f aca="false">SUMIFS('12.326ana'!$C:$C,'12.326ana'!$M:$M,redes!A11855)</f>
        <v>0</v>
      </c>
    </row>
    <row r="11856" customFormat="false" ht="14.4" hidden="true" customHeight="false" outlineLevel="0" collapsed="false">
      <c r="A11856" s="34" t="n">
        <v>10797147000108</v>
      </c>
      <c r="B11856" s="34" t="s">
        <v>23075</v>
      </c>
      <c r="C11856" s="34" t="s">
        <v>309</v>
      </c>
      <c r="E11856" s="30" t="s">
        <v>23076</v>
      </c>
      <c r="F11856" s="34" t="n">
        <f aca="false">IFERROR(VLOOKUP($A11856,'319'!$B:$H,7,0),0)</f>
        <v>0</v>
      </c>
      <c r="G11856" s="34" t="n">
        <f aca="false">SUMIFS('12.326ana'!$C:$C,'12.326ana'!$M:$M,redes!A11856)</f>
        <v>0</v>
      </c>
    </row>
    <row r="11857" customFormat="false" ht="14.4" hidden="true" customHeight="false" outlineLevel="0" collapsed="false">
      <c r="A11857" s="34" t="n">
        <v>10798021000158</v>
      </c>
      <c r="B11857" s="34" t="s">
        <v>23077</v>
      </c>
      <c r="C11857" s="34" t="s">
        <v>213</v>
      </c>
      <c r="E11857" s="30" t="s">
        <v>23078</v>
      </c>
      <c r="F11857" s="34" t="n">
        <f aca="false">IFERROR(VLOOKUP($A11857,'319'!$B:$H,7,0),0)</f>
        <v>0</v>
      </c>
      <c r="G11857" s="34" t="n">
        <f aca="false">SUMIFS('12.326ana'!$C:$C,'12.326ana'!$M:$M,redes!A11857)</f>
        <v>0</v>
      </c>
    </row>
    <row r="11858" customFormat="false" ht="14.4" hidden="true" customHeight="false" outlineLevel="0" collapsed="false">
      <c r="A11858" s="34" t="n">
        <v>10805891000107</v>
      </c>
      <c r="B11858" s="34" t="s">
        <v>23079</v>
      </c>
      <c r="C11858" s="34" t="s">
        <v>77</v>
      </c>
      <c r="E11858" s="30" t="s">
        <v>23080</v>
      </c>
      <c r="F11858" s="34" t="n">
        <f aca="false">IFERROR(VLOOKUP($A11858,'319'!$B:$H,7,0),0)</f>
        <v>0</v>
      </c>
      <c r="G11858" s="34" t="n">
        <f aca="false">SUMIFS('12.326ana'!$C:$C,'12.326ana'!$M:$M,redes!A11858)</f>
        <v>0</v>
      </c>
    </row>
    <row r="11859" customFormat="false" ht="14.4" hidden="true" customHeight="false" outlineLevel="0" collapsed="false">
      <c r="A11859" s="34" t="n">
        <v>10806760000144</v>
      </c>
      <c r="B11859" s="34" t="s">
        <v>23081</v>
      </c>
      <c r="C11859" s="34" t="s">
        <v>594</v>
      </c>
      <c r="E11859" s="30" t="s">
        <v>10663</v>
      </c>
      <c r="F11859" s="34" t="n">
        <f aca="false">IFERROR(VLOOKUP($A11859,'319'!$B:$H,7,0),0)</f>
        <v>0</v>
      </c>
      <c r="G11859" s="34" t="n">
        <f aca="false">SUMIFS('12.326ana'!$C:$C,'12.326ana'!$M:$M,redes!A11859)</f>
        <v>0</v>
      </c>
    </row>
    <row r="11860" customFormat="false" ht="14.4" hidden="true" customHeight="false" outlineLevel="0" collapsed="false">
      <c r="A11860" s="34" t="n">
        <v>10806872000103</v>
      </c>
      <c r="B11860" s="34" t="s">
        <v>11779</v>
      </c>
      <c r="C11860" s="34" t="s">
        <v>3060</v>
      </c>
      <c r="E11860" s="30" t="s">
        <v>23082</v>
      </c>
      <c r="F11860" s="34" t="n">
        <f aca="false">IFERROR(VLOOKUP($A11860,'319'!$B:$H,7,0),0)</f>
        <v>65.52</v>
      </c>
      <c r="G11860" s="34" t="n">
        <f aca="false">SUMIFS('12.326ana'!$C:$C,'12.326ana'!$M:$M,redes!A11860)</f>
        <v>0</v>
      </c>
    </row>
    <row r="11861" customFormat="false" ht="14.4" hidden="true" customHeight="false" outlineLevel="0" collapsed="false">
      <c r="A11861" s="34" t="n">
        <v>10812464000156</v>
      </c>
      <c r="B11861" s="34" t="s">
        <v>23083</v>
      </c>
      <c r="C11861" s="34" t="s">
        <v>598</v>
      </c>
      <c r="E11861" s="30" t="s">
        <v>23084</v>
      </c>
      <c r="F11861" s="34" t="n">
        <f aca="false">IFERROR(VLOOKUP($A11861,'319'!$B:$H,7,0),0)</f>
        <v>0</v>
      </c>
      <c r="G11861" s="34" t="n">
        <f aca="false">SUMIFS('12.326ana'!$C:$C,'12.326ana'!$M:$M,redes!A11861)</f>
        <v>0</v>
      </c>
    </row>
    <row r="11862" customFormat="false" ht="14.4" hidden="true" customHeight="false" outlineLevel="0" collapsed="false">
      <c r="A11862" s="34" t="n">
        <v>10812487000160</v>
      </c>
      <c r="B11862" s="34" t="s">
        <v>23085</v>
      </c>
      <c r="C11862" s="34" t="s">
        <v>77</v>
      </c>
      <c r="E11862" s="30" t="s">
        <v>23085</v>
      </c>
      <c r="F11862" s="34" t="n">
        <f aca="false">IFERROR(VLOOKUP($A11862,'319'!$B:$H,7,0),0)</f>
        <v>0</v>
      </c>
      <c r="G11862" s="34" t="n">
        <f aca="false">SUMIFS('12.326ana'!$C:$C,'12.326ana'!$M:$M,redes!A11862)</f>
        <v>0</v>
      </c>
    </row>
    <row r="11863" customFormat="false" ht="14.4" hidden="true" customHeight="false" outlineLevel="0" collapsed="false">
      <c r="A11863" s="34" t="n">
        <v>10812487000241</v>
      </c>
      <c r="B11863" s="34" t="s">
        <v>23086</v>
      </c>
      <c r="C11863" s="34" t="s">
        <v>77</v>
      </c>
      <c r="E11863" s="30" t="s">
        <v>23087</v>
      </c>
      <c r="F11863" s="34" t="n">
        <f aca="false">IFERROR(VLOOKUP($A11863,'319'!$B:$H,7,0),0)</f>
        <v>0</v>
      </c>
      <c r="G11863" s="34" t="n">
        <f aca="false">SUMIFS('12.326ana'!$C:$C,'12.326ana'!$M:$M,redes!A11863)</f>
        <v>0</v>
      </c>
    </row>
    <row r="11864" customFormat="false" ht="14.4" hidden="true" customHeight="false" outlineLevel="0" collapsed="false">
      <c r="A11864" s="34" t="n">
        <v>10813088000114</v>
      </c>
      <c r="B11864" s="34" t="s">
        <v>23088</v>
      </c>
      <c r="C11864" s="34" t="s">
        <v>342</v>
      </c>
      <c r="E11864" s="30" t="s">
        <v>19089</v>
      </c>
      <c r="F11864" s="34" t="n">
        <f aca="false">IFERROR(VLOOKUP($A11864,'319'!$B:$H,7,0),0)</f>
        <v>0</v>
      </c>
      <c r="G11864" s="34" t="n">
        <f aca="false">SUMIFS('12.326ana'!$C:$C,'12.326ana'!$M:$M,redes!A11864)</f>
        <v>0</v>
      </c>
    </row>
    <row r="11865" customFormat="false" ht="14.4" hidden="true" customHeight="false" outlineLevel="0" collapsed="false">
      <c r="A11865" s="34" t="n">
        <v>10816100000144</v>
      </c>
      <c r="B11865" s="34" t="s">
        <v>23089</v>
      </c>
      <c r="C11865" s="34" t="s">
        <v>207</v>
      </c>
      <c r="E11865" s="30" t="s">
        <v>23090</v>
      </c>
      <c r="F11865" s="34" t="n">
        <f aca="false">IFERROR(VLOOKUP($A11865,'319'!$B:$H,7,0),0)</f>
        <v>0</v>
      </c>
      <c r="G11865" s="34" t="n">
        <f aca="false">SUMIFS('12.326ana'!$C:$C,'12.326ana'!$M:$M,redes!A11865)</f>
        <v>0</v>
      </c>
    </row>
    <row r="11866" customFormat="false" ht="14.4" hidden="true" customHeight="false" outlineLevel="0" collapsed="false">
      <c r="A11866" s="34" t="n">
        <v>10819352000127</v>
      </c>
      <c r="B11866" s="34" t="s">
        <v>1400</v>
      </c>
      <c r="C11866" s="34" t="s">
        <v>804</v>
      </c>
      <c r="E11866" s="30" t="s">
        <v>23091</v>
      </c>
      <c r="F11866" s="34" t="n">
        <f aca="false">IFERROR(VLOOKUP($A11866,'319'!$B:$H,7,0),0)</f>
        <v>229.32</v>
      </c>
      <c r="G11866" s="34" t="n">
        <f aca="false">SUMIFS('12.326ana'!$C:$C,'12.326ana'!$M:$M,redes!A11866)</f>
        <v>0</v>
      </c>
    </row>
    <row r="11867" customFormat="false" ht="14.4" hidden="true" customHeight="false" outlineLevel="0" collapsed="false">
      <c r="A11867" s="34" t="n">
        <v>10819352000208</v>
      </c>
      <c r="B11867" s="34" t="s">
        <v>23092</v>
      </c>
      <c r="C11867" s="34" t="s">
        <v>804</v>
      </c>
      <c r="E11867" s="30" t="s">
        <v>23093</v>
      </c>
      <c r="F11867" s="34" t="n">
        <f aca="false">IFERROR(VLOOKUP($A11867,'319'!$B:$H,7,0),0)</f>
        <v>0</v>
      </c>
      <c r="G11867" s="34" t="n">
        <f aca="false">SUMIFS('12.326ana'!$C:$C,'12.326ana'!$M:$M,redes!A11867)</f>
        <v>0</v>
      </c>
    </row>
    <row r="11868" customFormat="false" ht="14.4" hidden="true" customHeight="false" outlineLevel="0" collapsed="false">
      <c r="A11868" s="34" t="n">
        <v>10822046000140</v>
      </c>
      <c r="B11868" s="34" t="s">
        <v>23094</v>
      </c>
      <c r="C11868" s="34" t="s">
        <v>309</v>
      </c>
      <c r="E11868" s="30" t="s">
        <v>23095</v>
      </c>
      <c r="F11868" s="34" t="n">
        <f aca="false">IFERROR(VLOOKUP($A11868,'319'!$B:$H,7,0),0)</f>
        <v>0</v>
      </c>
      <c r="G11868" s="34" t="n">
        <f aca="false">SUMIFS('12.326ana'!$C:$C,'12.326ana'!$M:$M,redes!A11868)</f>
        <v>0</v>
      </c>
    </row>
    <row r="11869" customFormat="false" ht="14.4" hidden="true" customHeight="false" outlineLevel="0" collapsed="false">
      <c r="A11869" s="34" t="n">
        <v>10832043000197</v>
      </c>
      <c r="B11869" s="34" t="s">
        <v>23096</v>
      </c>
      <c r="C11869" s="34" t="s">
        <v>77</v>
      </c>
      <c r="E11869" s="30" t="s">
        <v>15404</v>
      </c>
      <c r="F11869" s="34" t="n">
        <f aca="false">IFERROR(VLOOKUP($A11869,'319'!$B:$H,7,0),0)</f>
        <v>0</v>
      </c>
      <c r="G11869" s="34" t="n">
        <f aca="false">SUMIFS('12.326ana'!$C:$C,'12.326ana'!$M:$M,redes!A11869)</f>
        <v>0</v>
      </c>
    </row>
    <row r="11870" customFormat="false" ht="14.4" hidden="true" customHeight="false" outlineLevel="0" collapsed="false">
      <c r="A11870" s="34" t="n">
        <v>10833451000163</v>
      </c>
      <c r="B11870" s="34" t="s">
        <v>23097</v>
      </c>
      <c r="C11870" s="34" t="s">
        <v>77</v>
      </c>
      <c r="E11870" s="30" t="s">
        <v>23098</v>
      </c>
      <c r="F11870" s="34" t="n">
        <f aca="false">IFERROR(VLOOKUP($A11870,'319'!$B:$H,7,0),0)</f>
        <v>0</v>
      </c>
      <c r="G11870" s="34" t="n">
        <f aca="false">SUMIFS('12.326ana'!$C:$C,'12.326ana'!$M:$M,redes!A11870)</f>
        <v>0</v>
      </c>
    </row>
    <row r="11871" customFormat="false" ht="14.4" hidden="true" customHeight="false" outlineLevel="0" collapsed="false">
      <c r="A11871" s="34" t="n">
        <v>10833830000153</v>
      </c>
      <c r="B11871" s="34" t="s">
        <v>23099</v>
      </c>
      <c r="C11871" s="34" t="s">
        <v>77</v>
      </c>
      <c r="E11871" s="30" t="s">
        <v>23100</v>
      </c>
      <c r="F11871" s="34" t="n">
        <f aca="false">IFERROR(VLOOKUP($A11871,'319'!$B:$H,7,0),0)</f>
        <v>0</v>
      </c>
      <c r="G11871" s="34" t="n">
        <f aca="false">SUMIFS('12.326ana'!$C:$C,'12.326ana'!$M:$M,redes!A11871)</f>
        <v>0</v>
      </c>
    </row>
    <row r="11872" customFormat="false" ht="14.4" hidden="true" customHeight="false" outlineLevel="0" collapsed="false">
      <c r="A11872" s="34" t="n">
        <v>10833993000136</v>
      </c>
      <c r="B11872" s="34" t="s">
        <v>23101</v>
      </c>
      <c r="C11872" s="34" t="s">
        <v>77</v>
      </c>
      <c r="E11872" s="30" t="s">
        <v>2846</v>
      </c>
      <c r="F11872" s="34" t="n">
        <f aca="false">IFERROR(VLOOKUP($A11872,'319'!$B:$H,7,0),0)</f>
        <v>0</v>
      </c>
      <c r="G11872" s="34" t="n">
        <f aca="false">SUMIFS('12.326ana'!$C:$C,'12.326ana'!$M:$M,redes!A11872)</f>
        <v>0</v>
      </c>
    </row>
    <row r="11873" customFormat="false" ht="14.4" hidden="true" customHeight="false" outlineLevel="0" collapsed="false">
      <c r="A11873" s="34" t="n">
        <v>10836920000106</v>
      </c>
      <c r="B11873" s="34" t="s">
        <v>23102</v>
      </c>
      <c r="C11873" s="34" t="s">
        <v>77</v>
      </c>
      <c r="E11873" s="30" t="s">
        <v>20581</v>
      </c>
      <c r="F11873" s="34" t="n">
        <f aca="false">IFERROR(VLOOKUP($A11873,'319'!$B:$H,7,0),0)</f>
        <v>0</v>
      </c>
      <c r="G11873" s="34" t="n">
        <f aca="false">SUMIFS('12.326ana'!$C:$C,'12.326ana'!$M:$M,redes!A11873)</f>
        <v>0</v>
      </c>
    </row>
    <row r="11874" customFormat="false" ht="14.4" hidden="true" customHeight="false" outlineLevel="0" collapsed="false">
      <c r="A11874" s="34" t="n">
        <v>10839747000191</v>
      </c>
      <c r="B11874" s="34" t="s">
        <v>23103</v>
      </c>
      <c r="C11874" s="34" t="s">
        <v>77</v>
      </c>
      <c r="E11874" s="30" t="s">
        <v>23104</v>
      </c>
      <c r="F11874" s="34" t="n">
        <f aca="false">IFERROR(VLOOKUP($A11874,'319'!$B:$H,7,0),0)</f>
        <v>0</v>
      </c>
      <c r="G11874" s="34" t="n">
        <f aca="false">SUMIFS('12.326ana'!$C:$C,'12.326ana'!$M:$M,redes!A11874)</f>
        <v>0</v>
      </c>
    </row>
    <row r="11875" customFormat="false" ht="14.4" hidden="true" customHeight="false" outlineLevel="0" collapsed="false">
      <c r="A11875" s="34" t="n">
        <v>10840542000126</v>
      </c>
      <c r="B11875" s="34" t="s">
        <v>23105</v>
      </c>
      <c r="C11875" s="34" t="s">
        <v>342</v>
      </c>
      <c r="E11875" s="30" t="s">
        <v>23106</v>
      </c>
      <c r="F11875" s="34" t="n">
        <f aca="false">IFERROR(VLOOKUP($A11875,'319'!$B:$H,7,0),0)</f>
        <v>0</v>
      </c>
      <c r="G11875" s="34" t="n">
        <f aca="false">SUMIFS('12.326ana'!$C:$C,'12.326ana'!$M:$M,redes!A11875)</f>
        <v>0</v>
      </c>
    </row>
    <row r="11876" customFormat="false" ht="14.4" hidden="true" customHeight="false" outlineLevel="0" collapsed="false">
      <c r="A11876" s="34" t="n">
        <v>10840703000181</v>
      </c>
      <c r="B11876" s="34" t="s">
        <v>23107</v>
      </c>
      <c r="C11876" s="34" t="s">
        <v>631</v>
      </c>
      <c r="E11876" s="30" t="s">
        <v>23108</v>
      </c>
      <c r="F11876" s="34" t="n">
        <f aca="false">IFERROR(VLOOKUP($A11876,'319'!$B:$H,7,0),0)</f>
        <v>0</v>
      </c>
      <c r="G11876" s="34" t="n">
        <f aca="false">SUMIFS('12.326ana'!$C:$C,'12.326ana'!$M:$M,redes!A11876)</f>
        <v>0</v>
      </c>
    </row>
    <row r="11877" customFormat="false" ht="14.4" hidden="true" customHeight="false" outlineLevel="0" collapsed="false">
      <c r="A11877" s="34" t="n">
        <v>10840894000181</v>
      </c>
      <c r="B11877" s="34" t="s">
        <v>23109</v>
      </c>
      <c r="C11877" s="34" t="s">
        <v>77</v>
      </c>
      <c r="E11877" s="30" t="s">
        <v>23110</v>
      </c>
      <c r="F11877" s="34" t="n">
        <f aca="false">IFERROR(VLOOKUP($A11877,'319'!$B:$H,7,0),0)</f>
        <v>0</v>
      </c>
      <c r="G11877" s="34" t="n">
        <f aca="false">SUMIFS('12.326ana'!$C:$C,'12.326ana'!$M:$M,redes!A11877)</f>
        <v>0</v>
      </c>
    </row>
    <row r="11878" customFormat="false" ht="14.4" hidden="true" customHeight="false" outlineLevel="0" collapsed="false">
      <c r="A11878" s="34" t="n">
        <v>10841135000133</v>
      </c>
      <c r="B11878" s="34" t="s">
        <v>23111</v>
      </c>
      <c r="C11878" s="34" t="s">
        <v>77</v>
      </c>
      <c r="E11878" s="30" t="s">
        <v>23112</v>
      </c>
      <c r="F11878" s="34" t="n">
        <f aca="false">IFERROR(VLOOKUP($A11878,'319'!$B:$H,7,0),0)</f>
        <v>0</v>
      </c>
      <c r="G11878" s="34" t="n">
        <f aca="false">SUMIFS('12.326ana'!$C:$C,'12.326ana'!$M:$M,redes!A11878)</f>
        <v>0</v>
      </c>
    </row>
    <row r="11879" customFormat="false" ht="14.4" hidden="true" customHeight="false" outlineLevel="0" collapsed="false">
      <c r="A11879" s="34" t="n">
        <v>10844267000119</v>
      </c>
      <c r="B11879" s="34" t="s">
        <v>23113</v>
      </c>
      <c r="C11879" s="34" t="s">
        <v>309</v>
      </c>
      <c r="E11879" s="30" t="s">
        <v>23114</v>
      </c>
      <c r="F11879" s="34" t="n">
        <f aca="false">IFERROR(VLOOKUP($A11879,'319'!$B:$H,7,0),0)</f>
        <v>0</v>
      </c>
      <c r="G11879" s="34" t="n">
        <f aca="false">SUMIFS('12.326ana'!$C:$C,'12.326ana'!$M:$M,redes!A11879)</f>
        <v>0</v>
      </c>
    </row>
    <row r="11880" customFormat="false" ht="14.4" hidden="true" customHeight="false" outlineLevel="0" collapsed="false">
      <c r="A11880" s="34" t="n">
        <v>10844267000208</v>
      </c>
      <c r="B11880" s="34" t="s">
        <v>23115</v>
      </c>
      <c r="C11880" s="34" t="s">
        <v>309</v>
      </c>
      <c r="E11880" s="30" t="s">
        <v>23114</v>
      </c>
      <c r="F11880" s="34" t="n">
        <f aca="false">IFERROR(VLOOKUP($A11880,'319'!$B:$H,7,0),0)</f>
        <v>0</v>
      </c>
      <c r="G11880" s="34" t="n">
        <f aca="false">SUMIFS('12.326ana'!$C:$C,'12.326ana'!$M:$M,redes!A11880)</f>
        <v>0</v>
      </c>
    </row>
    <row r="11881" customFormat="false" ht="14.4" hidden="true" customHeight="false" outlineLevel="0" collapsed="false">
      <c r="A11881" s="34" t="n">
        <v>10847171000104</v>
      </c>
      <c r="B11881" s="34" t="s">
        <v>23116</v>
      </c>
      <c r="C11881" s="34" t="s">
        <v>565</v>
      </c>
      <c r="E11881" s="30" t="s">
        <v>23117</v>
      </c>
      <c r="F11881" s="34" t="n">
        <f aca="false">IFERROR(VLOOKUP($A11881,'319'!$B:$H,7,0),0)</f>
        <v>0</v>
      </c>
      <c r="G11881" s="34" t="n">
        <f aca="false">SUMIFS('12.326ana'!$C:$C,'12.326ana'!$M:$M,redes!A11881)</f>
        <v>0</v>
      </c>
    </row>
    <row r="11882" customFormat="false" ht="14.4" hidden="true" customHeight="false" outlineLevel="0" collapsed="false">
      <c r="A11882" s="34" t="n">
        <v>10847635000182</v>
      </c>
      <c r="B11882" s="34" t="s">
        <v>23118</v>
      </c>
      <c r="C11882" s="34" t="s">
        <v>77</v>
      </c>
      <c r="E11882" s="30" t="s">
        <v>23119</v>
      </c>
      <c r="F11882" s="34" t="n">
        <f aca="false">IFERROR(VLOOKUP($A11882,'319'!$B:$H,7,0),0)</f>
        <v>0</v>
      </c>
      <c r="G11882" s="34" t="n">
        <f aca="false">SUMIFS('12.326ana'!$C:$C,'12.326ana'!$M:$M,redes!A11882)</f>
        <v>0</v>
      </c>
    </row>
    <row r="11883" customFormat="false" ht="14.4" hidden="true" customHeight="false" outlineLevel="0" collapsed="false">
      <c r="A11883" s="34" t="n">
        <v>10851617000174</v>
      </c>
      <c r="B11883" s="34" t="s">
        <v>23120</v>
      </c>
      <c r="C11883" s="34" t="s">
        <v>328</v>
      </c>
      <c r="E11883" s="30" t="s">
        <v>23121</v>
      </c>
      <c r="F11883" s="34" t="n">
        <f aca="false">IFERROR(VLOOKUP($A11883,'319'!$B:$H,7,0),0)</f>
        <v>0</v>
      </c>
      <c r="G11883" s="34" t="n">
        <f aca="false">SUMIFS('12.326ana'!$C:$C,'12.326ana'!$M:$M,redes!A11883)</f>
        <v>0</v>
      </c>
    </row>
    <row r="11884" customFormat="false" ht="14.4" hidden="true" customHeight="false" outlineLevel="0" collapsed="false">
      <c r="A11884" s="34" t="n">
        <v>10851944000126</v>
      </c>
      <c r="B11884" s="34" t="s">
        <v>23122</v>
      </c>
      <c r="C11884" s="34" t="s">
        <v>77</v>
      </c>
      <c r="E11884" s="30" t="s">
        <v>23123</v>
      </c>
      <c r="F11884" s="34" t="n">
        <f aca="false">IFERROR(VLOOKUP($A11884,'319'!$B:$H,7,0),0)</f>
        <v>0</v>
      </c>
      <c r="G11884" s="34" t="n">
        <f aca="false">SUMIFS('12.326ana'!$C:$C,'12.326ana'!$M:$M,redes!A11884)</f>
        <v>0</v>
      </c>
    </row>
    <row r="11885" customFormat="false" ht="14.4" hidden="true" customHeight="false" outlineLevel="0" collapsed="false">
      <c r="A11885" s="34" t="n">
        <v>10854927000142</v>
      </c>
      <c r="B11885" s="34" t="s">
        <v>23124</v>
      </c>
      <c r="C11885" s="34" t="s">
        <v>77</v>
      </c>
      <c r="E11885" s="30" t="s">
        <v>20206</v>
      </c>
      <c r="F11885" s="34" t="n">
        <f aca="false">IFERROR(VLOOKUP($A11885,'319'!$B:$H,7,0),0)</f>
        <v>0</v>
      </c>
      <c r="G11885" s="34" t="n">
        <f aca="false">SUMIFS('12.326ana'!$C:$C,'12.326ana'!$M:$M,redes!A11885)</f>
        <v>0</v>
      </c>
    </row>
    <row r="11886" customFormat="false" ht="14.4" hidden="true" customHeight="false" outlineLevel="0" collapsed="false">
      <c r="A11886" s="34" t="n">
        <v>10854927000223</v>
      </c>
      <c r="B11886" s="34" t="s">
        <v>23125</v>
      </c>
      <c r="C11886" s="34" t="s">
        <v>77</v>
      </c>
      <c r="E11886" s="30" t="s">
        <v>20206</v>
      </c>
      <c r="F11886" s="34" t="n">
        <f aca="false">IFERROR(VLOOKUP($A11886,'319'!$B:$H,7,0),0)</f>
        <v>0</v>
      </c>
      <c r="G11886" s="34" t="n">
        <f aca="false">SUMIFS('12.326ana'!$C:$C,'12.326ana'!$M:$M,redes!A11886)</f>
        <v>0</v>
      </c>
    </row>
    <row r="11887" customFormat="false" ht="14.4" hidden="true" customHeight="false" outlineLevel="0" collapsed="false">
      <c r="A11887" s="34" t="n">
        <v>10854927000304</v>
      </c>
      <c r="B11887" s="34" t="s">
        <v>23125</v>
      </c>
      <c r="C11887" s="34" t="s">
        <v>77</v>
      </c>
      <c r="E11887" s="30" t="s">
        <v>20206</v>
      </c>
      <c r="F11887" s="34" t="n">
        <f aca="false">IFERROR(VLOOKUP($A11887,'319'!$B:$H,7,0),0)</f>
        <v>0</v>
      </c>
      <c r="G11887" s="34" t="n">
        <f aca="false">SUMIFS('12.326ana'!$C:$C,'12.326ana'!$M:$M,redes!A11887)</f>
        <v>0</v>
      </c>
    </row>
    <row r="11888" customFormat="false" ht="14.4" hidden="true" customHeight="false" outlineLevel="0" collapsed="false">
      <c r="A11888" s="34" t="n">
        <v>10861033000180</v>
      </c>
      <c r="B11888" s="34" t="s">
        <v>23126</v>
      </c>
      <c r="C11888" s="34" t="s">
        <v>604</v>
      </c>
      <c r="E11888" s="30" t="s">
        <v>23127</v>
      </c>
      <c r="F11888" s="34" t="n">
        <f aca="false">IFERROR(VLOOKUP($A11888,'319'!$B:$H,7,0),0)</f>
        <v>0</v>
      </c>
      <c r="G11888" s="34" t="n">
        <f aca="false">SUMIFS('12.326ana'!$C:$C,'12.326ana'!$M:$M,redes!A11888)</f>
        <v>0</v>
      </c>
    </row>
    <row r="11889" customFormat="false" ht="14.4" hidden="true" customHeight="false" outlineLevel="0" collapsed="false">
      <c r="A11889" s="34" t="n">
        <v>10865132000210</v>
      </c>
      <c r="B11889" s="34" t="s">
        <v>23128</v>
      </c>
      <c r="C11889" s="34" t="s">
        <v>117</v>
      </c>
      <c r="E11889" s="30" t="s">
        <v>23129</v>
      </c>
      <c r="F11889" s="34" t="n">
        <f aca="false">IFERROR(VLOOKUP($A11889,'319'!$B:$H,7,0),0)</f>
        <v>0</v>
      </c>
      <c r="G11889" s="34" t="n">
        <f aca="false">SUMIFS('12.326ana'!$C:$C,'12.326ana'!$M:$M,redes!A11889)</f>
        <v>0</v>
      </c>
    </row>
    <row r="11890" customFormat="false" ht="14.4" hidden="true" customHeight="false" outlineLevel="0" collapsed="false">
      <c r="A11890" s="34" t="n">
        <v>10867478000177</v>
      </c>
      <c r="B11890" s="34" t="s">
        <v>23130</v>
      </c>
      <c r="C11890" s="34" t="s">
        <v>77</v>
      </c>
      <c r="E11890" s="30" t="s">
        <v>23131</v>
      </c>
      <c r="F11890" s="34" t="n">
        <f aca="false">IFERROR(VLOOKUP($A11890,'319'!$B:$H,7,0),0)</f>
        <v>0</v>
      </c>
      <c r="G11890" s="34" t="n">
        <f aca="false">SUMIFS('12.326ana'!$C:$C,'12.326ana'!$M:$M,redes!A11890)</f>
        <v>0</v>
      </c>
    </row>
    <row r="11891" customFormat="false" ht="14.4" hidden="true" customHeight="false" outlineLevel="0" collapsed="false">
      <c r="A11891" s="34" t="n">
        <v>10871113000116</v>
      </c>
      <c r="B11891" s="34" t="s">
        <v>23132</v>
      </c>
      <c r="C11891" s="34" t="s">
        <v>107</v>
      </c>
      <c r="E11891" s="30" t="s">
        <v>23133</v>
      </c>
      <c r="F11891" s="34" t="n">
        <f aca="false">IFERROR(VLOOKUP($A11891,'319'!$B:$H,7,0),0)</f>
        <v>0</v>
      </c>
      <c r="G11891" s="34" t="n">
        <f aca="false">SUMIFS('12.326ana'!$C:$C,'12.326ana'!$M:$M,redes!A11891)</f>
        <v>0</v>
      </c>
    </row>
    <row r="11892" customFormat="false" ht="14.4" hidden="true" customHeight="false" outlineLevel="0" collapsed="false">
      <c r="A11892" s="34" t="n">
        <v>10876085000120</v>
      </c>
      <c r="B11892" s="34" t="s">
        <v>23134</v>
      </c>
      <c r="C11892" s="34" t="s">
        <v>107</v>
      </c>
      <c r="E11892" s="30" t="s">
        <v>23134</v>
      </c>
      <c r="F11892" s="34" t="n">
        <f aca="false">IFERROR(VLOOKUP($A11892,'319'!$B:$H,7,0),0)</f>
        <v>0</v>
      </c>
      <c r="G11892" s="34" t="n">
        <f aca="false">SUMIFS('12.326ana'!$C:$C,'12.326ana'!$M:$M,redes!A11892)</f>
        <v>0</v>
      </c>
    </row>
    <row r="11893" customFormat="false" ht="14.4" hidden="true" customHeight="false" outlineLevel="0" collapsed="false">
      <c r="A11893" s="34" t="n">
        <v>10879796000158</v>
      </c>
      <c r="B11893" s="34" t="s">
        <v>11053</v>
      </c>
      <c r="C11893" s="34" t="s">
        <v>478</v>
      </c>
      <c r="E11893" s="30" t="s">
        <v>23135</v>
      </c>
      <c r="F11893" s="34" t="n">
        <f aca="false">IFERROR(VLOOKUP($A11893,'319'!$B:$H,7,0),0)</f>
        <v>0</v>
      </c>
      <c r="G11893" s="34" t="n">
        <f aca="false">SUMIFS('12.326ana'!$C:$C,'12.326ana'!$M:$M,redes!A11893)</f>
        <v>0</v>
      </c>
    </row>
    <row r="11894" customFormat="false" ht="14.4" hidden="true" customHeight="false" outlineLevel="0" collapsed="false">
      <c r="A11894" s="34" t="n">
        <v>10880863000154</v>
      </c>
      <c r="B11894" s="34" t="s">
        <v>23136</v>
      </c>
      <c r="C11894" s="34" t="s">
        <v>463</v>
      </c>
      <c r="E11894" s="30" t="s">
        <v>23137</v>
      </c>
      <c r="F11894" s="34" t="n">
        <f aca="false">IFERROR(VLOOKUP($A11894,'319'!$B:$H,7,0),0)</f>
        <v>0</v>
      </c>
      <c r="G11894" s="34" t="n">
        <f aca="false">SUMIFS('12.326ana'!$C:$C,'12.326ana'!$M:$M,redes!A11894)</f>
        <v>0</v>
      </c>
    </row>
    <row r="11895" customFormat="false" ht="14.4" hidden="true" customHeight="false" outlineLevel="0" collapsed="false">
      <c r="A11895" s="34" t="n">
        <v>10885764000165</v>
      </c>
      <c r="B11895" s="34" t="s">
        <v>23138</v>
      </c>
      <c r="C11895" s="34" t="s">
        <v>848</v>
      </c>
      <c r="E11895" s="30" t="s">
        <v>23139</v>
      </c>
      <c r="F11895" s="34" t="n">
        <f aca="false">IFERROR(VLOOKUP($A11895,'319'!$B:$H,7,0),0)</f>
        <v>0</v>
      </c>
      <c r="G11895" s="34" t="n">
        <f aca="false">SUMIFS('12.326ana'!$C:$C,'12.326ana'!$M:$M,redes!A11895)</f>
        <v>0</v>
      </c>
    </row>
    <row r="11896" customFormat="false" ht="14.4" hidden="true" customHeight="false" outlineLevel="0" collapsed="false">
      <c r="A11896" s="34" t="n">
        <v>10890492000191</v>
      </c>
      <c r="B11896" s="34" t="s">
        <v>23140</v>
      </c>
      <c r="C11896" s="34" t="s">
        <v>77</v>
      </c>
      <c r="E11896" s="30" t="s">
        <v>20932</v>
      </c>
      <c r="F11896" s="34" t="n">
        <f aca="false">IFERROR(VLOOKUP($A11896,'319'!$B:$H,7,0),0)</f>
        <v>0</v>
      </c>
      <c r="G11896" s="34" t="n">
        <f aca="false">SUMIFS('12.326ana'!$C:$C,'12.326ana'!$M:$M,redes!A11896)</f>
        <v>0</v>
      </c>
    </row>
    <row r="11897" customFormat="false" ht="14.4" hidden="true" customHeight="false" outlineLevel="0" collapsed="false">
      <c r="A11897" s="34" t="n">
        <v>10891474000124</v>
      </c>
      <c r="B11897" s="34" t="s">
        <v>23141</v>
      </c>
      <c r="C11897" s="34" t="s">
        <v>77</v>
      </c>
      <c r="E11897" s="30" t="s">
        <v>22431</v>
      </c>
      <c r="F11897" s="34" t="n">
        <f aca="false">IFERROR(VLOOKUP($A11897,'319'!$B:$H,7,0),0)</f>
        <v>0</v>
      </c>
      <c r="G11897" s="34" t="n">
        <f aca="false">SUMIFS('12.326ana'!$C:$C,'12.326ana'!$M:$M,redes!A11897)</f>
        <v>0</v>
      </c>
    </row>
    <row r="11898" customFormat="false" ht="14.4" hidden="true" customHeight="false" outlineLevel="0" collapsed="false">
      <c r="A11898" s="34" t="n">
        <v>10895106000154</v>
      </c>
      <c r="B11898" s="34" t="s">
        <v>23142</v>
      </c>
      <c r="C11898" s="34" t="s">
        <v>192</v>
      </c>
      <c r="E11898" s="30" t="s">
        <v>8490</v>
      </c>
      <c r="F11898" s="34" t="n">
        <f aca="false">IFERROR(VLOOKUP($A11898,'319'!$B:$H,7,0),0)</f>
        <v>0</v>
      </c>
      <c r="G11898" s="34" t="n">
        <f aca="false">SUMIFS('12.326ana'!$C:$C,'12.326ana'!$M:$M,redes!A11898)</f>
        <v>0</v>
      </c>
    </row>
    <row r="11899" customFormat="false" ht="14.4" hidden="true" customHeight="false" outlineLevel="0" collapsed="false">
      <c r="A11899" s="34" t="n">
        <v>10898569000170</v>
      </c>
      <c r="B11899" s="34" t="s">
        <v>23143</v>
      </c>
      <c r="C11899" s="34" t="s">
        <v>562</v>
      </c>
      <c r="E11899" s="30" t="s">
        <v>23144</v>
      </c>
      <c r="F11899" s="34" t="n">
        <f aca="false">IFERROR(VLOOKUP($A11899,'319'!$B:$H,7,0),0)</f>
        <v>0</v>
      </c>
      <c r="G11899" s="34" t="n">
        <f aca="false">SUMIFS('12.326ana'!$C:$C,'12.326ana'!$M:$M,redes!A11899)</f>
        <v>0</v>
      </c>
    </row>
    <row r="11900" customFormat="false" ht="14.4" hidden="true" customHeight="false" outlineLevel="0" collapsed="false">
      <c r="A11900" s="34" t="n">
        <v>10901369000129</v>
      </c>
      <c r="B11900" s="34" t="s">
        <v>23145</v>
      </c>
      <c r="C11900" s="34" t="s">
        <v>117</v>
      </c>
      <c r="E11900" s="30" t="s">
        <v>23146</v>
      </c>
      <c r="F11900" s="34" t="n">
        <f aca="false">IFERROR(VLOOKUP($A11900,'319'!$B:$H,7,0),0)</f>
        <v>0</v>
      </c>
      <c r="G11900" s="34" t="n">
        <f aca="false">SUMIFS('12.326ana'!$C:$C,'12.326ana'!$M:$M,redes!A11900)</f>
        <v>0</v>
      </c>
    </row>
    <row r="11901" customFormat="false" ht="14.4" hidden="true" customHeight="false" outlineLevel="0" collapsed="false">
      <c r="A11901" s="34" t="n">
        <v>10902042000171</v>
      </c>
      <c r="B11901" s="34" t="s">
        <v>23147</v>
      </c>
      <c r="C11901" s="34" t="s">
        <v>478</v>
      </c>
      <c r="E11901" s="30" t="s">
        <v>23148</v>
      </c>
      <c r="F11901" s="34" t="n">
        <f aca="false">IFERROR(VLOOKUP($A11901,'319'!$B:$H,7,0),0)</f>
        <v>0</v>
      </c>
      <c r="G11901" s="34" t="n">
        <f aca="false">SUMIFS('12.326ana'!$C:$C,'12.326ana'!$M:$M,redes!A11901)</f>
        <v>0</v>
      </c>
    </row>
    <row r="11902" customFormat="false" ht="14.4" hidden="true" customHeight="false" outlineLevel="0" collapsed="false">
      <c r="A11902" s="34" t="n">
        <v>10907536000149</v>
      </c>
      <c r="B11902" s="34" t="s">
        <v>22087</v>
      </c>
      <c r="C11902" s="34" t="s">
        <v>89</v>
      </c>
      <c r="E11902" s="30" t="s">
        <v>22088</v>
      </c>
      <c r="F11902" s="34" t="n">
        <f aca="false">IFERROR(VLOOKUP($A11902,'319'!$B:$H,7,0),0)</f>
        <v>0</v>
      </c>
      <c r="G11902" s="34" t="n">
        <f aca="false">SUMIFS('12.326ana'!$C:$C,'12.326ana'!$M:$M,redes!A11902)</f>
        <v>0</v>
      </c>
    </row>
    <row r="11903" customFormat="false" ht="14.4" hidden="true" customHeight="false" outlineLevel="0" collapsed="false">
      <c r="A11903" s="34" t="n">
        <v>10908637000134</v>
      </c>
      <c r="B11903" s="34" t="s">
        <v>6782</v>
      </c>
      <c r="C11903" s="34" t="s">
        <v>77</v>
      </c>
      <c r="E11903" s="30" t="s">
        <v>10030</v>
      </c>
      <c r="F11903" s="34" t="n">
        <f aca="false">IFERROR(VLOOKUP($A11903,'319'!$B:$H,7,0),0)</f>
        <v>0</v>
      </c>
      <c r="G11903" s="34" t="n">
        <f aca="false">SUMIFS('12.326ana'!$C:$C,'12.326ana'!$M:$M,redes!A11903)</f>
        <v>0</v>
      </c>
    </row>
    <row r="11904" customFormat="false" ht="14.4" hidden="true" customHeight="false" outlineLevel="0" collapsed="false">
      <c r="A11904" s="34" t="n">
        <v>10910736000150</v>
      </c>
      <c r="B11904" s="34" t="s">
        <v>23149</v>
      </c>
      <c r="C11904" s="34" t="s">
        <v>154</v>
      </c>
      <c r="E11904" s="30" t="s">
        <v>21769</v>
      </c>
      <c r="F11904" s="34" t="n">
        <f aca="false">IFERROR(VLOOKUP($A11904,'319'!$B:$H,7,0),0)</f>
        <v>0</v>
      </c>
      <c r="G11904" s="34" t="n">
        <f aca="false">SUMIFS('12.326ana'!$C:$C,'12.326ana'!$M:$M,redes!A11904)</f>
        <v>0</v>
      </c>
    </row>
    <row r="11905" customFormat="false" ht="14.4" hidden="true" customHeight="false" outlineLevel="0" collapsed="false">
      <c r="A11905" s="34" t="n">
        <v>10914172000124</v>
      </c>
      <c r="B11905" s="34" t="s">
        <v>23150</v>
      </c>
      <c r="C11905" s="34" t="s">
        <v>107</v>
      </c>
      <c r="E11905" s="30" t="s">
        <v>12450</v>
      </c>
      <c r="F11905" s="34" t="n">
        <f aca="false">IFERROR(VLOOKUP($A11905,'319'!$B:$H,7,0),0)</f>
        <v>0</v>
      </c>
      <c r="G11905" s="34" t="n">
        <f aca="false">SUMIFS('12.326ana'!$C:$C,'12.326ana'!$M:$M,redes!A11905)</f>
        <v>0</v>
      </c>
    </row>
    <row r="11906" customFormat="false" ht="14.4" hidden="true" customHeight="false" outlineLevel="0" collapsed="false">
      <c r="A11906" s="34" t="n">
        <v>10918762000125</v>
      </c>
      <c r="B11906" s="34" t="s">
        <v>23151</v>
      </c>
      <c r="C11906" s="34" t="s">
        <v>77</v>
      </c>
      <c r="E11906" s="30" t="s">
        <v>23152</v>
      </c>
      <c r="F11906" s="34" t="n">
        <f aca="false">IFERROR(VLOOKUP($A11906,'319'!$B:$H,7,0),0)</f>
        <v>0</v>
      </c>
      <c r="G11906" s="34" t="n">
        <f aca="false">SUMIFS('12.326ana'!$C:$C,'12.326ana'!$M:$M,redes!A11906)</f>
        <v>0</v>
      </c>
    </row>
    <row r="11907" customFormat="false" ht="14.4" hidden="true" customHeight="false" outlineLevel="0" collapsed="false">
      <c r="A11907" s="34" t="n">
        <v>10924312000145</v>
      </c>
      <c r="B11907" s="34" t="s">
        <v>23153</v>
      </c>
      <c r="C11907" s="34" t="s">
        <v>127</v>
      </c>
      <c r="E11907" s="30" t="s">
        <v>23154</v>
      </c>
      <c r="F11907" s="34" t="n">
        <f aca="false">IFERROR(VLOOKUP($A11907,'319'!$B:$H,7,0),0)</f>
        <v>0</v>
      </c>
      <c r="G11907" s="34" t="n">
        <f aca="false">SUMIFS('12.326ana'!$C:$C,'12.326ana'!$M:$M,redes!A11907)</f>
        <v>0</v>
      </c>
    </row>
    <row r="11908" customFormat="false" ht="14.4" hidden="true" customHeight="false" outlineLevel="0" collapsed="false">
      <c r="A11908" s="34" t="n">
        <v>10924666000190</v>
      </c>
      <c r="B11908" s="34" t="s">
        <v>23155</v>
      </c>
      <c r="C11908" s="34" t="s">
        <v>77</v>
      </c>
      <c r="E11908" s="30" t="s">
        <v>23156</v>
      </c>
      <c r="F11908" s="34" t="n">
        <f aca="false">IFERROR(VLOOKUP($A11908,'319'!$B:$H,7,0),0)</f>
        <v>0</v>
      </c>
      <c r="G11908" s="34" t="n">
        <f aca="false">SUMIFS('12.326ana'!$C:$C,'12.326ana'!$M:$M,redes!A11908)</f>
        <v>0</v>
      </c>
    </row>
    <row r="11909" customFormat="false" ht="14.4" hidden="true" customHeight="false" outlineLevel="0" collapsed="false">
      <c r="A11909" s="34" t="n">
        <v>10927161000189</v>
      </c>
      <c r="B11909" s="34" t="s">
        <v>23157</v>
      </c>
      <c r="C11909" s="34" t="s">
        <v>77</v>
      </c>
      <c r="E11909" s="30" t="s">
        <v>23158</v>
      </c>
      <c r="F11909" s="34" t="n">
        <f aca="false">IFERROR(VLOOKUP($A11909,'319'!$B:$H,7,0),0)</f>
        <v>0</v>
      </c>
      <c r="G11909" s="34" t="n">
        <f aca="false">SUMIFS('12.326ana'!$C:$C,'12.326ana'!$M:$M,redes!A11909)</f>
        <v>0</v>
      </c>
    </row>
    <row r="11910" customFormat="false" ht="14.4" hidden="true" customHeight="false" outlineLevel="0" collapsed="false">
      <c r="A11910" s="34" t="n">
        <v>10928538000114</v>
      </c>
      <c r="B11910" s="34" t="s">
        <v>23159</v>
      </c>
      <c r="C11910" s="34" t="s">
        <v>103</v>
      </c>
      <c r="E11910" s="30" t="s">
        <v>23160</v>
      </c>
      <c r="F11910" s="34" t="n">
        <f aca="false">IFERROR(VLOOKUP($A11910,'319'!$B:$H,7,0),0)</f>
        <v>0</v>
      </c>
      <c r="G11910" s="34" t="n">
        <f aca="false">SUMIFS('12.326ana'!$C:$C,'12.326ana'!$M:$M,redes!A11910)</f>
        <v>0</v>
      </c>
    </row>
    <row r="11911" customFormat="false" ht="14.4" hidden="true" customHeight="false" outlineLevel="0" collapsed="false">
      <c r="A11911" s="34" t="n">
        <v>10930180000164</v>
      </c>
      <c r="B11911" s="34" t="s">
        <v>23161</v>
      </c>
      <c r="C11911" s="34" t="s">
        <v>77</v>
      </c>
      <c r="E11911" s="30" t="s">
        <v>8319</v>
      </c>
      <c r="F11911" s="34" t="n">
        <f aca="false">IFERROR(VLOOKUP($A11911,'319'!$B:$H,7,0),0)</f>
        <v>0</v>
      </c>
      <c r="G11911" s="34" t="n">
        <f aca="false">SUMIFS('12.326ana'!$C:$C,'12.326ana'!$M:$M,redes!A11911)</f>
        <v>0</v>
      </c>
    </row>
    <row r="11912" customFormat="false" ht="14.4" hidden="true" customHeight="false" outlineLevel="0" collapsed="false">
      <c r="A11912" s="34" t="n">
        <v>10932527000108</v>
      </c>
      <c r="B11912" s="34" t="s">
        <v>23162</v>
      </c>
      <c r="C11912" s="34" t="s">
        <v>77</v>
      </c>
      <c r="E11912" s="30" t="s">
        <v>3243</v>
      </c>
      <c r="F11912" s="34" t="n">
        <f aca="false">IFERROR(VLOOKUP($A11912,'319'!$B:$H,7,0),0)</f>
        <v>0</v>
      </c>
      <c r="G11912" s="34" t="n">
        <f aca="false">SUMIFS('12.326ana'!$C:$C,'12.326ana'!$M:$M,redes!A11912)</f>
        <v>0</v>
      </c>
    </row>
    <row r="11913" customFormat="false" ht="14.4" hidden="true" customHeight="false" outlineLevel="0" collapsed="false">
      <c r="A11913" s="34" t="n">
        <v>10933202000140</v>
      </c>
      <c r="B11913" s="34" t="s">
        <v>23163</v>
      </c>
      <c r="C11913" s="34" t="s">
        <v>89</v>
      </c>
      <c r="E11913" s="30" t="s">
        <v>23164</v>
      </c>
      <c r="F11913" s="34" t="n">
        <f aca="false">IFERROR(VLOOKUP($A11913,'319'!$B:$H,7,0),0)</f>
        <v>0</v>
      </c>
      <c r="G11913" s="34" t="n">
        <f aca="false">SUMIFS('12.326ana'!$C:$C,'12.326ana'!$M:$M,redes!A11913)</f>
        <v>0</v>
      </c>
    </row>
    <row r="11914" customFormat="false" ht="14.4" hidden="true" customHeight="false" outlineLevel="0" collapsed="false">
      <c r="A11914" s="34" t="n">
        <v>10934027000105</v>
      </c>
      <c r="B11914" s="34" t="s">
        <v>9283</v>
      </c>
      <c r="C11914" s="34" t="s">
        <v>565</v>
      </c>
      <c r="E11914" s="30" t="s">
        <v>9284</v>
      </c>
      <c r="F11914" s="34" t="n">
        <f aca="false">IFERROR(VLOOKUP($A11914,'319'!$B:$H,7,0),0)</f>
        <v>88.6</v>
      </c>
      <c r="G11914" s="34" t="n">
        <f aca="false">SUMIFS('12.326ana'!$C:$C,'12.326ana'!$M:$M,redes!A11914)</f>
        <v>0</v>
      </c>
    </row>
    <row r="11915" customFormat="false" ht="14.4" hidden="true" customHeight="false" outlineLevel="0" collapsed="false">
      <c r="A11915" s="34" t="n">
        <v>10935608000161</v>
      </c>
      <c r="B11915" s="34" t="s">
        <v>23165</v>
      </c>
      <c r="C11915" s="34" t="s">
        <v>107</v>
      </c>
      <c r="E11915" s="30" t="s">
        <v>23166</v>
      </c>
      <c r="F11915" s="34" t="n">
        <f aca="false">IFERROR(VLOOKUP($A11915,'319'!$B:$H,7,0),0)</f>
        <v>0</v>
      </c>
      <c r="G11915" s="34" t="n">
        <f aca="false">SUMIFS('12.326ana'!$C:$C,'12.326ana'!$M:$M,redes!A11915)</f>
        <v>0</v>
      </c>
    </row>
    <row r="11916" customFormat="false" ht="14.4" hidden="true" customHeight="false" outlineLevel="0" collapsed="false">
      <c r="A11916" s="34" t="n">
        <v>10936536000177</v>
      </c>
      <c r="B11916" s="34" t="s">
        <v>23167</v>
      </c>
      <c r="C11916" s="34" t="s">
        <v>77</v>
      </c>
      <c r="E11916" s="30" t="s">
        <v>23168</v>
      </c>
      <c r="F11916" s="34" t="n">
        <f aca="false">IFERROR(VLOOKUP($A11916,'319'!$B:$H,7,0),0)</f>
        <v>0</v>
      </c>
      <c r="G11916" s="34" t="n">
        <f aca="false">SUMIFS('12.326ana'!$C:$C,'12.326ana'!$M:$M,redes!A11916)</f>
        <v>0</v>
      </c>
    </row>
    <row r="11917" customFormat="false" ht="14.4" hidden="true" customHeight="false" outlineLevel="0" collapsed="false">
      <c r="A11917" s="34" t="n">
        <v>10942029000146</v>
      </c>
      <c r="B11917" s="34" t="s">
        <v>23169</v>
      </c>
      <c r="C11917" s="34" t="s">
        <v>117</v>
      </c>
      <c r="E11917" s="30" t="s">
        <v>23170</v>
      </c>
      <c r="F11917" s="34" t="n">
        <f aca="false">IFERROR(VLOOKUP($A11917,'319'!$B:$H,7,0),0)</f>
        <v>0</v>
      </c>
      <c r="G11917" s="34" t="n">
        <f aca="false">SUMIFS('12.326ana'!$C:$C,'12.326ana'!$M:$M,redes!A11917)</f>
        <v>0</v>
      </c>
    </row>
    <row r="11918" customFormat="false" ht="14.4" hidden="true" customHeight="false" outlineLevel="0" collapsed="false">
      <c r="A11918" s="34" t="n">
        <v>10942518000106</v>
      </c>
      <c r="B11918" s="34" t="s">
        <v>23171</v>
      </c>
      <c r="C11918" s="34" t="s">
        <v>842</v>
      </c>
      <c r="E11918" s="30" t="s">
        <v>23172</v>
      </c>
      <c r="F11918" s="34" t="n">
        <f aca="false">IFERROR(VLOOKUP($A11918,'319'!$B:$H,7,0),0)</f>
        <v>0</v>
      </c>
      <c r="G11918" s="34" t="n">
        <f aca="false">SUMIFS('12.326ana'!$C:$C,'12.326ana'!$M:$M,redes!A11918)</f>
        <v>0</v>
      </c>
    </row>
    <row r="11919" customFormat="false" ht="14.4" hidden="true" customHeight="false" outlineLevel="0" collapsed="false">
      <c r="A11919" s="34" t="n">
        <v>10942756000103</v>
      </c>
      <c r="B11919" s="34" t="s">
        <v>23173</v>
      </c>
      <c r="C11919" s="34" t="s">
        <v>77</v>
      </c>
      <c r="E11919" s="30" t="s">
        <v>23174</v>
      </c>
      <c r="F11919" s="34" t="n">
        <f aca="false">IFERROR(VLOOKUP($A11919,'319'!$B:$H,7,0),0)</f>
        <v>0</v>
      </c>
      <c r="G11919" s="34" t="n">
        <f aca="false">SUMIFS('12.326ana'!$C:$C,'12.326ana'!$M:$M,redes!A11919)</f>
        <v>0</v>
      </c>
    </row>
    <row r="11920" customFormat="false" ht="14.4" hidden="true" customHeight="false" outlineLevel="0" collapsed="false">
      <c r="A11920" s="34" t="n">
        <v>10944955000150</v>
      </c>
      <c r="B11920" s="34" t="s">
        <v>23175</v>
      </c>
      <c r="C11920" s="34" t="s">
        <v>781</v>
      </c>
      <c r="E11920" s="30" t="s">
        <v>23004</v>
      </c>
      <c r="F11920" s="34" t="n">
        <f aca="false">IFERROR(VLOOKUP($A11920,'319'!$B:$H,7,0),0)</f>
        <v>0</v>
      </c>
      <c r="G11920" s="34" t="n">
        <f aca="false">SUMIFS('12.326ana'!$C:$C,'12.326ana'!$M:$M,redes!A11920)</f>
        <v>0</v>
      </c>
    </row>
    <row r="11921" customFormat="false" ht="14.4" hidden="true" customHeight="false" outlineLevel="0" collapsed="false">
      <c r="A11921" s="34" t="n">
        <v>10949161000180</v>
      </c>
      <c r="B11921" s="34" t="s">
        <v>23176</v>
      </c>
      <c r="C11921" s="34" t="s">
        <v>77</v>
      </c>
      <c r="E11921" s="30" t="s">
        <v>4540</v>
      </c>
      <c r="F11921" s="34" t="n">
        <f aca="false">IFERROR(VLOOKUP($A11921,'319'!$B:$H,7,0),0)</f>
        <v>0</v>
      </c>
      <c r="G11921" s="34" t="n">
        <f aca="false">SUMIFS('12.326ana'!$C:$C,'12.326ana'!$M:$M,redes!A11921)</f>
        <v>0</v>
      </c>
    </row>
    <row r="11922" customFormat="false" ht="14.4" hidden="true" customHeight="false" outlineLevel="0" collapsed="false">
      <c r="A11922" s="34" t="n">
        <v>10949334000160</v>
      </c>
      <c r="B11922" s="34" t="s">
        <v>23177</v>
      </c>
      <c r="C11922" s="34" t="s">
        <v>192</v>
      </c>
      <c r="E11922" s="30" t="s">
        <v>9472</v>
      </c>
      <c r="F11922" s="34" t="n">
        <f aca="false">IFERROR(VLOOKUP($A11922,'319'!$B:$H,7,0),0)</f>
        <v>0</v>
      </c>
      <c r="G11922" s="34" t="n">
        <f aca="false">SUMIFS('12.326ana'!$C:$C,'12.326ana'!$M:$M,redes!A11922)</f>
        <v>0</v>
      </c>
    </row>
    <row r="11923" customFormat="false" ht="14.4" hidden="true" customHeight="false" outlineLevel="0" collapsed="false">
      <c r="A11923" s="34" t="n">
        <v>10949355000185</v>
      </c>
      <c r="B11923" s="34" t="s">
        <v>23178</v>
      </c>
      <c r="C11923" s="34" t="s">
        <v>192</v>
      </c>
      <c r="E11923" s="30" t="s">
        <v>23179</v>
      </c>
      <c r="F11923" s="34" t="n">
        <f aca="false">IFERROR(VLOOKUP($A11923,'319'!$B:$H,7,0),0)</f>
        <v>0</v>
      </c>
      <c r="G11923" s="34" t="n">
        <f aca="false">SUMIFS('12.326ana'!$C:$C,'12.326ana'!$M:$M,redes!A11923)</f>
        <v>0</v>
      </c>
    </row>
    <row r="11924" customFormat="false" ht="14.4" hidden="true" customHeight="false" outlineLevel="0" collapsed="false">
      <c r="A11924" s="34" t="n">
        <v>10951880000135</v>
      </c>
      <c r="B11924" s="34" t="s">
        <v>23180</v>
      </c>
      <c r="C11924" s="34" t="s">
        <v>781</v>
      </c>
      <c r="E11924" s="30" t="s">
        <v>11287</v>
      </c>
      <c r="F11924" s="34" t="n">
        <f aca="false">IFERROR(VLOOKUP($A11924,'319'!$B:$H,7,0),0)</f>
        <v>0</v>
      </c>
      <c r="G11924" s="34" t="n">
        <f aca="false">SUMIFS('12.326ana'!$C:$C,'12.326ana'!$M:$M,redes!A11924)</f>
        <v>0</v>
      </c>
    </row>
    <row r="11925" customFormat="false" ht="14.4" hidden="true" customHeight="false" outlineLevel="0" collapsed="false">
      <c r="A11925" s="34" t="n">
        <v>10953536000185</v>
      </c>
      <c r="B11925" s="34" t="s">
        <v>23181</v>
      </c>
      <c r="C11925" s="34" t="s">
        <v>77</v>
      </c>
      <c r="E11925" s="30" t="s">
        <v>23182</v>
      </c>
      <c r="F11925" s="34" t="n">
        <f aca="false">IFERROR(VLOOKUP($A11925,'319'!$B:$H,7,0),0)</f>
        <v>0</v>
      </c>
      <c r="G11925" s="34" t="n">
        <f aca="false">SUMIFS('12.326ana'!$C:$C,'12.326ana'!$M:$M,redes!A11925)</f>
        <v>0</v>
      </c>
    </row>
    <row r="11926" customFormat="false" ht="14.4" hidden="true" customHeight="false" outlineLevel="0" collapsed="false">
      <c r="A11926" s="34" t="n">
        <v>10953767000270</v>
      </c>
      <c r="B11926" s="34" t="s">
        <v>23183</v>
      </c>
      <c r="C11926" s="34" t="s">
        <v>77</v>
      </c>
      <c r="E11926" s="30" t="s">
        <v>23184</v>
      </c>
      <c r="F11926" s="34" t="n">
        <f aca="false">IFERROR(VLOOKUP($A11926,'319'!$B:$H,7,0),0)</f>
        <v>0</v>
      </c>
      <c r="G11926" s="34" t="n">
        <f aca="false">SUMIFS('12.326ana'!$C:$C,'12.326ana'!$M:$M,redes!A11926)</f>
        <v>0</v>
      </c>
    </row>
    <row r="11927" customFormat="false" ht="14.4" hidden="true" customHeight="false" outlineLevel="0" collapsed="false">
      <c r="A11927" s="34" t="n">
        <v>10954638000115</v>
      </c>
      <c r="B11927" s="34" t="s">
        <v>23185</v>
      </c>
      <c r="C11927" s="34" t="s">
        <v>89</v>
      </c>
      <c r="E11927" s="30" t="s">
        <v>23186</v>
      </c>
      <c r="F11927" s="34" t="n">
        <f aca="false">IFERROR(VLOOKUP($A11927,'319'!$B:$H,7,0),0)</f>
        <v>0</v>
      </c>
      <c r="G11927" s="34" t="n">
        <f aca="false">SUMIFS('12.326ana'!$C:$C,'12.326ana'!$M:$M,redes!A11927)</f>
        <v>0</v>
      </c>
    </row>
    <row r="11928" customFormat="false" ht="14.4" hidden="true" customHeight="false" outlineLevel="0" collapsed="false">
      <c r="A11928" s="34" t="n">
        <v>10957498000139</v>
      </c>
      <c r="B11928" s="34" t="s">
        <v>1798</v>
      </c>
      <c r="C11928" s="34" t="s">
        <v>3594</v>
      </c>
      <c r="D11928" s="34" t="s">
        <v>23187</v>
      </c>
      <c r="E11928" s="30" t="s">
        <v>3194</v>
      </c>
      <c r="F11928" s="34" t="n">
        <f aca="false">IFERROR(VLOOKUP($A11928,'319'!$B:$H,7,0),0)</f>
        <v>-137.19</v>
      </c>
      <c r="G11928" s="34" t="n">
        <f aca="false">SUMIFS('12.326ana'!$C:$C,'12.326ana'!$M:$M,redes!A11928)</f>
        <v>0</v>
      </c>
    </row>
    <row r="11929" customFormat="false" ht="14.4" hidden="true" customHeight="false" outlineLevel="0" collapsed="false">
      <c r="A11929" s="34" t="n">
        <v>10970680000120</v>
      </c>
      <c r="B11929" s="34" t="s">
        <v>23188</v>
      </c>
      <c r="C11929" s="34" t="s">
        <v>77</v>
      </c>
      <c r="E11929" s="30" t="s">
        <v>23189</v>
      </c>
      <c r="F11929" s="34" t="n">
        <f aca="false">IFERROR(VLOOKUP($A11929,'319'!$B:$H,7,0),0)</f>
        <v>0</v>
      </c>
      <c r="G11929" s="34" t="n">
        <f aca="false">SUMIFS('12.326ana'!$C:$C,'12.326ana'!$M:$M,redes!A11929)</f>
        <v>0</v>
      </c>
    </row>
    <row r="11930" customFormat="false" ht="14.4" hidden="true" customHeight="false" outlineLevel="0" collapsed="false">
      <c r="A11930" s="34" t="n">
        <v>10970943000109</v>
      </c>
      <c r="B11930" s="34" t="s">
        <v>23190</v>
      </c>
      <c r="C11930" s="34" t="s">
        <v>842</v>
      </c>
      <c r="D11930" s="34" t="s">
        <v>13626</v>
      </c>
      <c r="E11930" s="30"/>
      <c r="F11930" s="34" t="n">
        <f aca="false">IFERROR(VLOOKUP($A11930,'319'!$B:$H,7,0),0)</f>
        <v>0</v>
      </c>
      <c r="G11930" s="34" t="n">
        <f aca="false">SUMIFS('12.326ana'!$C:$C,'12.326ana'!$M:$M,redes!A11930)</f>
        <v>0</v>
      </c>
    </row>
    <row r="11931" customFormat="false" ht="14.4" hidden="true" customHeight="false" outlineLevel="0" collapsed="false">
      <c r="A11931" s="34" t="n">
        <v>10977132000121</v>
      </c>
      <c r="B11931" s="34" t="s">
        <v>18692</v>
      </c>
      <c r="C11931" s="34" t="s">
        <v>77</v>
      </c>
      <c r="E11931" s="30" t="s">
        <v>20206</v>
      </c>
      <c r="F11931" s="34" t="n">
        <f aca="false">IFERROR(VLOOKUP($A11931,'319'!$B:$H,7,0),0)</f>
        <v>0</v>
      </c>
      <c r="G11931" s="34" t="n">
        <f aca="false">SUMIFS('12.326ana'!$C:$C,'12.326ana'!$M:$M,redes!A11931)</f>
        <v>0</v>
      </c>
    </row>
    <row r="11932" customFormat="false" ht="14.4" hidden="true" customHeight="false" outlineLevel="0" collapsed="false">
      <c r="A11932" s="34" t="n">
        <v>10980135000114</v>
      </c>
      <c r="B11932" s="34" t="s">
        <v>23191</v>
      </c>
      <c r="C11932" s="34" t="s">
        <v>935</v>
      </c>
      <c r="E11932" s="30" t="s">
        <v>23192</v>
      </c>
      <c r="F11932" s="34" t="n">
        <f aca="false">IFERROR(VLOOKUP($A11932,'319'!$B:$H,7,0),0)</f>
        <v>348.53</v>
      </c>
      <c r="G11932" s="34" t="n">
        <f aca="false">SUMIFS('12.326ana'!$C:$C,'12.326ana'!$M:$M,redes!A11932)</f>
        <v>0</v>
      </c>
    </row>
    <row r="11933" customFormat="false" ht="14.4" hidden="true" customHeight="false" outlineLevel="0" collapsed="false">
      <c r="A11933" s="34" t="n">
        <v>10980395000190</v>
      </c>
      <c r="B11933" s="34" t="s">
        <v>23193</v>
      </c>
      <c r="C11933" s="34" t="s">
        <v>127</v>
      </c>
      <c r="E11933" s="30" t="s">
        <v>23194</v>
      </c>
      <c r="F11933" s="34" t="n">
        <f aca="false">IFERROR(VLOOKUP($A11933,'319'!$B:$H,7,0),0)</f>
        <v>0</v>
      </c>
      <c r="G11933" s="34" t="n">
        <f aca="false">SUMIFS('12.326ana'!$C:$C,'12.326ana'!$M:$M,redes!A11933)</f>
        <v>0</v>
      </c>
    </row>
    <row r="11934" customFormat="false" ht="14.4" hidden="true" customHeight="false" outlineLevel="0" collapsed="false">
      <c r="A11934" s="34" t="n">
        <v>10980790000172</v>
      </c>
      <c r="B11934" s="34" t="s">
        <v>23195</v>
      </c>
      <c r="C11934" s="34" t="s">
        <v>77</v>
      </c>
      <c r="E11934" s="30" t="s">
        <v>23196</v>
      </c>
      <c r="F11934" s="34" t="n">
        <f aca="false">IFERROR(VLOOKUP($A11934,'319'!$B:$H,7,0),0)</f>
        <v>0</v>
      </c>
      <c r="G11934" s="34" t="n">
        <f aca="false">SUMIFS('12.326ana'!$C:$C,'12.326ana'!$M:$M,redes!A11934)</f>
        <v>0</v>
      </c>
    </row>
    <row r="11935" customFormat="false" ht="14.4" hidden="true" customHeight="false" outlineLevel="0" collapsed="false">
      <c r="A11935" s="34" t="n">
        <v>10983283000192</v>
      </c>
      <c r="B11935" s="34" t="s">
        <v>23197</v>
      </c>
      <c r="C11935" s="34" t="s">
        <v>377</v>
      </c>
      <c r="E11935" s="30" t="s">
        <v>23198</v>
      </c>
      <c r="F11935" s="34" t="n">
        <f aca="false">IFERROR(VLOOKUP($A11935,'319'!$B:$H,7,0),0)</f>
        <v>0</v>
      </c>
      <c r="G11935" s="34" t="n">
        <f aca="false">SUMIFS('12.326ana'!$C:$C,'12.326ana'!$M:$M,redes!A11935)</f>
        <v>0</v>
      </c>
    </row>
    <row r="11936" customFormat="false" ht="14.4" hidden="true" customHeight="false" outlineLevel="0" collapsed="false">
      <c r="A11936" s="34" t="n">
        <v>10983283000273</v>
      </c>
      <c r="B11936" s="34" t="s">
        <v>23197</v>
      </c>
      <c r="C11936" s="34" t="s">
        <v>377</v>
      </c>
      <c r="E11936" s="30" t="s">
        <v>23199</v>
      </c>
      <c r="F11936" s="34" t="n">
        <f aca="false">IFERROR(VLOOKUP($A11936,'319'!$B:$H,7,0),0)</f>
        <v>0</v>
      </c>
      <c r="G11936" s="34" t="n">
        <f aca="false">SUMIFS('12.326ana'!$C:$C,'12.326ana'!$M:$M,redes!A11936)</f>
        <v>0</v>
      </c>
    </row>
    <row r="11937" customFormat="false" ht="14.4" hidden="true" customHeight="false" outlineLevel="0" collapsed="false">
      <c r="A11937" s="34" t="n">
        <v>10983803000167</v>
      </c>
      <c r="B11937" s="34" t="s">
        <v>23200</v>
      </c>
      <c r="C11937" s="34" t="s">
        <v>781</v>
      </c>
      <c r="E11937" s="30" t="s">
        <v>23201</v>
      </c>
      <c r="F11937" s="34" t="n">
        <f aca="false">IFERROR(VLOOKUP($A11937,'319'!$B:$H,7,0),0)</f>
        <v>0</v>
      </c>
      <c r="G11937" s="34" t="n">
        <f aca="false">SUMIFS('12.326ana'!$C:$C,'12.326ana'!$M:$M,redes!A11937)</f>
        <v>0</v>
      </c>
    </row>
    <row r="11938" customFormat="false" ht="14.4" hidden="true" customHeight="false" outlineLevel="0" collapsed="false">
      <c r="A11938" s="34" t="n">
        <v>10985542000114</v>
      </c>
      <c r="B11938" s="34" t="s">
        <v>23202</v>
      </c>
      <c r="C11938" s="34" t="s">
        <v>77</v>
      </c>
      <c r="E11938" s="30" t="s">
        <v>23202</v>
      </c>
      <c r="F11938" s="34" t="n">
        <f aca="false">IFERROR(VLOOKUP($A11938,'319'!$B:$H,7,0),0)</f>
        <v>0</v>
      </c>
      <c r="G11938" s="34" t="n">
        <f aca="false">SUMIFS('12.326ana'!$C:$C,'12.326ana'!$M:$M,redes!A11938)</f>
        <v>0</v>
      </c>
    </row>
    <row r="11939" customFormat="false" ht="14.4" hidden="true" customHeight="false" outlineLevel="0" collapsed="false">
      <c r="A11939" s="34" t="n">
        <v>10992827000182</v>
      </c>
      <c r="B11939" s="34" t="s">
        <v>23203</v>
      </c>
      <c r="C11939" s="34" t="s">
        <v>357</v>
      </c>
      <c r="E11939" s="30" t="s">
        <v>23204</v>
      </c>
      <c r="F11939" s="34" t="n">
        <f aca="false">IFERROR(VLOOKUP($A11939,'319'!$B:$H,7,0),0)</f>
        <v>0</v>
      </c>
      <c r="G11939" s="34" t="n">
        <f aca="false">SUMIFS('12.326ana'!$C:$C,'12.326ana'!$M:$M,redes!A11939)</f>
        <v>0</v>
      </c>
    </row>
    <row r="11940" customFormat="false" ht="14.4" hidden="true" customHeight="false" outlineLevel="0" collapsed="false">
      <c r="A11940" s="34" t="n">
        <v>10994243000146</v>
      </c>
      <c r="B11940" s="34" t="s">
        <v>23205</v>
      </c>
      <c r="C11940" s="34" t="s">
        <v>77</v>
      </c>
      <c r="E11940" s="30" t="s">
        <v>23206</v>
      </c>
      <c r="F11940" s="34" t="n">
        <f aca="false">IFERROR(VLOOKUP($A11940,'319'!$B:$H,7,0),0)</f>
        <v>0</v>
      </c>
      <c r="G11940" s="34" t="n">
        <f aca="false">SUMIFS('12.326ana'!$C:$C,'12.326ana'!$M:$M,redes!A11940)</f>
        <v>0</v>
      </c>
    </row>
    <row r="11941" customFormat="false" ht="14.4" hidden="true" customHeight="false" outlineLevel="0" collapsed="false">
      <c r="A11941" s="34" t="n">
        <v>10996236000183</v>
      </c>
      <c r="B11941" s="34" t="s">
        <v>9360</v>
      </c>
      <c r="C11941" s="34" t="s">
        <v>77</v>
      </c>
      <c r="E11941" s="30" t="s">
        <v>9361</v>
      </c>
      <c r="F11941" s="34" t="n">
        <f aca="false">IFERROR(VLOOKUP($A11941,'319'!$B:$H,7,0),0)</f>
        <v>0</v>
      </c>
      <c r="G11941" s="34" t="n">
        <f aca="false">SUMIFS('12.326ana'!$C:$C,'12.326ana'!$M:$M,redes!A11941)</f>
        <v>0</v>
      </c>
    </row>
    <row r="11942" customFormat="false" ht="14.4" hidden="true" customHeight="false" outlineLevel="0" collapsed="false">
      <c r="A11942" s="34" t="n">
        <v>10996487000168</v>
      </c>
      <c r="B11942" s="34" t="s">
        <v>23207</v>
      </c>
      <c r="C11942" s="34" t="s">
        <v>77</v>
      </c>
      <c r="E11942" s="30" t="s">
        <v>23208</v>
      </c>
      <c r="F11942" s="34" t="n">
        <f aca="false">IFERROR(VLOOKUP($A11942,'319'!$B:$H,7,0),0)</f>
        <v>0</v>
      </c>
      <c r="G11942" s="34" t="n">
        <f aca="false">SUMIFS('12.326ana'!$C:$C,'12.326ana'!$M:$M,redes!A11942)</f>
        <v>0</v>
      </c>
    </row>
    <row r="11943" customFormat="false" ht="14.4" hidden="true" customHeight="false" outlineLevel="0" collapsed="false">
      <c r="A11943" s="34" t="n">
        <v>11001784000199</v>
      </c>
      <c r="B11943" s="34" t="s">
        <v>23209</v>
      </c>
      <c r="C11943" s="34" t="s">
        <v>342</v>
      </c>
      <c r="E11943" s="30" t="s">
        <v>23210</v>
      </c>
      <c r="F11943" s="34" t="n">
        <f aca="false">IFERROR(VLOOKUP($A11943,'319'!$B:$H,7,0),0)</f>
        <v>0</v>
      </c>
      <c r="G11943" s="34" t="n">
        <f aca="false">SUMIFS('12.326ana'!$C:$C,'12.326ana'!$M:$M,redes!A11943)</f>
        <v>0</v>
      </c>
    </row>
    <row r="11944" customFormat="false" ht="14.4" hidden="true" customHeight="false" outlineLevel="0" collapsed="false">
      <c r="A11944" s="34" t="n">
        <v>11006429000102</v>
      </c>
      <c r="B11944" s="34" t="s">
        <v>23211</v>
      </c>
      <c r="C11944" s="34" t="s">
        <v>89</v>
      </c>
      <c r="E11944" s="30" t="s">
        <v>23212</v>
      </c>
      <c r="F11944" s="34" t="n">
        <f aca="false">IFERROR(VLOOKUP($A11944,'319'!$B:$H,7,0),0)</f>
        <v>0</v>
      </c>
      <c r="G11944" s="34" t="n">
        <f aca="false">SUMIFS('12.326ana'!$C:$C,'12.326ana'!$M:$M,redes!A11944)</f>
        <v>0</v>
      </c>
    </row>
    <row r="11945" customFormat="false" ht="14.4" hidden="true" customHeight="false" outlineLevel="0" collapsed="false">
      <c r="A11945" s="34" t="n">
        <v>11013405000180</v>
      </c>
      <c r="B11945" s="34" t="s">
        <v>23213</v>
      </c>
      <c r="C11945" s="34" t="s">
        <v>77</v>
      </c>
      <c r="E11945" s="30" t="s">
        <v>23214</v>
      </c>
      <c r="F11945" s="34" t="n">
        <f aca="false">IFERROR(VLOOKUP($A11945,'319'!$B:$H,7,0),0)</f>
        <v>0</v>
      </c>
      <c r="G11945" s="34" t="n">
        <f aca="false">SUMIFS('12.326ana'!$C:$C,'12.326ana'!$M:$M,redes!A11945)</f>
        <v>0</v>
      </c>
    </row>
    <row r="11946" customFormat="false" ht="14.4" hidden="true" customHeight="false" outlineLevel="0" collapsed="false">
      <c r="A11946" s="34" t="n">
        <v>11019967000131</v>
      </c>
      <c r="B11946" s="34" t="s">
        <v>23215</v>
      </c>
      <c r="C11946" s="34" t="s">
        <v>77</v>
      </c>
      <c r="E11946" s="30" t="s">
        <v>4069</v>
      </c>
      <c r="F11946" s="34" t="n">
        <f aca="false">IFERROR(VLOOKUP($A11946,'319'!$B:$H,7,0),0)</f>
        <v>0</v>
      </c>
      <c r="G11946" s="34" t="n">
        <f aca="false">SUMIFS('12.326ana'!$C:$C,'12.326ana'!$M:$M,redes!A11946)</f>
        <v>0</v>
      </c>
    </row>
    <row r="11947" customFormat="false" ht="14.4" hidden="true" customHeight="false" outlineLevel="0" collapsed="false">
      <c r="A11947" s="34" t="n">
        <v>11023122000110</v>
      </c>
      <c r="B11947" s="34" t="s">
        <v>23216</v>
      </c>
      <c r="C11947" s="34" t="s">
        <v>139</v>
      </c>
      <c r="E11947" s="30" t="s">
        <v>23217</v>
      </c>
      <c r="F11947" s="34" t="n">
        <f aca="false">IFERROR(VLOOKUP($A11947,'319'!$B:$H,7,0),0)</f>
        <v>0</v>
      </c>
      <c r="G11947" s="34" t="n">
        <f aca="false">SUMIFS('12.326ana'!$C:$C,'12.326ana'!$M:$M,redes!A11947)</f>
        <v>0</v>
      </c>
    </row>
    <row r="11948" customFormat="false" ht="14.4" hidden="true" customHeight="false" outlineLevel="0" collapsed="false">
      <c r="A11948" s="34" t="n">
        <v>11024556000134</v>
      </c>
      <c r="B11948" s="34" t="s">
        <v>23218</v>
      </c>
      <c r="C11948" s="34" t="s">
        <v>463</v>
      </c>
      <c r="E11948" s="30" t="s">
        <v>3781</v>
      </c>
      <c r="F11948" s="34" t="n">
        <f aca="false">IFERROR(VLOOKUP($A11948,'319'!$B:$H,7,0),0)</f>
        <v>0</v>
      </c>
      <c r="G11948" s="34" t="n">
        <f aca="false">SUMIFS('12.326ana'!$C:$C,'12.326ana'!$M:$M,redes!A11948)</f>
        <v>0</v>
      </c>
    </row>
    <row r="11949" customFormat="false" ht="14.4" hidden="true" customHeight="false" outlineLevel="0" collapsed="false">
      <c r="A11949" s="34" t="n">
        <v>11024606000183</v>
      </c>
      <c r="B11949" s="34" t="s">
        <v>23219</v>
      </c>
      <c r="C11949" s="34" t="s">
        <v>979</v>
      </c>
      <c r="E11949" s="30" t="s">
        <v>13013</v>
      </c>
      <c r="F11949" s="34" t="n">
        <f aca="false">IFERROR(VLOOKUP($A11949,'319'!$B:$H,7,0),0)</f>
        <v>0</v>
      </c>
      <c r="G11949" s="34" t="n">
        <f aca="false">SUMIFS('12.326ana'!$C:$C,'12.326ana'!$M:$M,redes!A11949)</f>
        <v>0</v>
      </c>
    </row>
    <row r="11950" customFormat="false" ht="14.4" hidden="true" customHeight="false" outlineLevel="0" collapsed="false">
      <c r="A11950" s="34" t="n">
        <v>11028887000142</v>
      </c>
      <c r="B11950" s="34" t="s">
        <v>23220</v>
      </c>
      <c r="C11950" s="34" t="s">
        <v>77</v>
      </c>
      <c r="E11950" s="30" t="s">
        <v>3001</v>
      </c>
      <c r="F11950" s="34" t="n">
        <f aca="false">IFERROR(VLOOKUP($A11950,'319'!$B:$H,7,0),0)</f>
        <v>0</v>
      </c>
      <c r="G11950" s="34" t="n">
        <f aca="false">SUMIFS('12.326ana'!$C:$C,'12.326ana'!$M:$M,redes!A11950)</f>
        <v>0</v>
      </c>
    </row>
    <row r="11951" customFormat="false" ht="14.4" hidden="true" customHeight="false" outlineLevel="0" collapsed="false">
      <c r="A11951" s="34" t="n">
        <v>11033171000133</v>
      </c>
      <c r="B11951" s="34" t="s">
        <v>23221</v>
      </c>
      <c r="C11951" s="34" t="s">
        <v>475</v>
      </c>
      <c r="E11951" s="30" t="s">
        <v>23222</v>
      </c>
      <c r="F11951" s="34" t="n">
        <f aca="false">IFERROR(VLOOKUP($A11951,'319'!$B:$H,7,0),0)</f>
        <v>0</v>
      </c>
      <c r="G11951" s="34" t="n">
        <f aca="false">SUMIFS('12.326ana'!$C:$C,'12.326ana'!$M:$M,redes!A11951)</f>
        <v>0</v>
      </c>
    </row>
    <row r="11952" customFormat="false" ht="14.4" hidden="true" customHeight="false" outlineLevel="0" collapsed="false">
      <c r="A11952" s="34" t="n">
        <v>11037386000122</v>
      </c>
      <c r="B11952" s="34" t="s">
        <v>23223</v>
      </c>
      <c r="C11952" s="34" t="s">
        <v>77</v>
      </c>
      <c r="E11952" s="30" t="s">
        <v>23224</v>
      </c>
      <c r="F11952" s="34" t="n">
        <f aca="false">IFERROR(VLOOKUP($A11952,'319'!$B:$H,7,0),0)</f>
        <v>0</v>
      </c>
      <c r="G11952" s="34" t="n">
        <f aca="false">SUMIFS('12.326ana'!$C:$C,'12.326ana'!$M:$M,redes!A11952)</f>
        <v>0</v>
      </c>
    </row>
    <row r="11953" customFormat="false" ht="14.4" hidden="true" customHeight="false" outlineLevel="0" collapsed="false">
      <c r="A11953" s="34" t="n">
        <v>11037770000125</v>
      </c>
      <c r="B11953" s="34" t="s">
        <v>23225</v>
      </c>
      <c r="C11953" s="34" t="s">
        <v>89</v>
      </c>
      <c r="E11953" s="30" t="s">
        <v>23226</v>
      </c>
      <c r="F11953" s="34" t="n">
        <f aca="false">IFERROR(VLOOKUP($A11953,'319'!$B:$H,7,0),0)</f>
        <v>0</v>
      </c>
      <c r="G11953" s="34" t="n">
        <f aca="false">SUMIFS('12.326ana'!$C:$C,'12.326ana'!$M:$M,redes!A11953)</f>
        <v>0</v>
      </c>
    </row>
    <row r="11954" customFormat="false" ht="14.4" hidden="true" customHeight="false" outlineLevel="0" collapsed="false">
      <c r="A11954" s="34" t="n">
        <v>11037808000160</v>
      </c>
      <c r="B11954" s="34" t="s">
        <v>23227</v>
      </c>
      <c r="C11954" s="34" t="s">
        <v>77</v>
      </c>
      <c r="E11954" s="30" t="s">
        <v>23228</v>
      </c>
      <c r="F11954" s="34" t="n">
        <f aca="false">IFERROR(VLOOKUP($A11954,'319'!$B:$H,7,0),0)</f>
        <v>0</v>
      </c>
      <c r="G11954" s="34" t="n">
        <f aca="false">SUMIFS('12.326ana'!$C:$C,'12.326ana'!$M:$M,redes!A11954)</f>
        <v>0</v>
      </c>
    </row>
    <row r="11955" customFormat="false" ht="14.4" hidden="true" customHeight="false" outlineLevel="0" collapsed="false">
      <c r="A11955" s="34" t="n">
        <v>11040109000179</v>
      </c>
      <c r="B11955" s="34" t="s">
        <v>23229</v>
      </c>
      <c r="C11955" s="34" t="s">
        <v>357</v>
      </c>
      <c r="E11955" s="30" t="s">
        <v>23230</v>
      </c>
      <c r="F11955" s="34" t="n">
        <f aca="false">IFERROR(VLOOKUP($A11955,'319'!$B:$H,7,0),0)</f>
        <v>0</v>
      </c>
      <c r="G11955" s="34" t="n">
        <f aca="false">SUMIFS('12.326ana'!$C:$C,'12.326ana'!$M:$M,redes!A11955)</f>
        <v>0</v>
      </c>
    </row>
    <row r="11956" customFormat="false" ht="14.4" hidden="true" customHeight="false" outlineLevel="0" collapsed="false">
      <c r="A11956" s="34" t="n">
        <v>11041782000123</v>
      </c>
      <c r="B11956" s="34" t="s">
        <v>23231</v>
      </c>
      <c r="C11956" s="34" t="s">
        <v>77</v>
      </c>
      <c r="E11956" s="30" t="s">
        <v>23232</v>
      </c>
      <c r="F11956" s="34" t="n">
        <f aca="false">IFERROR(VLOOKUP($A11956,'319'!$B:$H,7,0),0)</f>
        <v>0</v>
      </c>
      <c r="G11956" s="34" t="n">
        <f aca="false">SUMIFS('12.326ana'!$C:$C,'12.326ana'!$M:$M,redes!A11956)</f>
        <v>0</v>
      </c>
    </row>
    <row r="11957" customFormat="false" ht="14.4" hidden="true" customHeight="false" outlineLevel="0" collapsed="false">
      <c r="A11957" s="34" t="n">
        <v>11041971000104</v>
      </c>
      <c r="B11957" s="34" t="s">
        <v>23233</v>
      </c>
      <c r="C11957" s="34" t="s">
        <v>721</v>
      </c>
      <c r="E11957" s="30" t="s">
        <v>23234</v>
      </c>
      <c r="F11957" s="34" t="n">
        <f aca="false">IFERROR(VLOOKUP($A11957,'319'!$B:$H,7,0),0)</f>
        <v>0</v>
      </c>
      <c r="G11957" s="34" t="n">
        <f aca="false">SUMIFS('12.326ana'!$C:$C,'12.326ana'!$M:$M,redes!A11957)</f>
        <v>0</v>
      </c>
    </row>
    <row r="11958" customFormat="false" ht="14.4" hidden="true" customHeight="false" outlineLevel="0" collapsed="false">
      <c r="A11958" s="34" t="n">
        <v>11058284000193</v>
      </c>
      <c r="B11958" s="34" t="s">
        <v>23235</v>
      </c>
      <c r="C11958" s="34" t="s">
        <v>77</v>
      </c>
      <c r="E11958" s="30" t="s">
        <v>23235</v>
      </c>
      <c r="F11958" s="34" t="n">
        <f aca="false">IFERROR(VLOOKUP($A11958,'319'!$B:$H,7,0),0)</f>
        <v>0</v>
      </c>
      <c r="G11958" s="34" t="n">
        <f aca="false">SUMIFS('12.326ana'!$C:$C,'12.326ana'!$M:$M,redes!A11958)</f>
        <v>0</v>
      </c>
    </row>
    <row r="11959" customFormat="false" ht="14.4" hidden="true" customHeight="false" outlineLevel="0" collapsed="false">
      <c r="A11959" s="34" t="n">
        <v>11060055000103</v>
      </c>
      <c r="B11959" s="34" t="s">
        <v>23236</v>
      </c>
      <c r="C11959" s="34" t="s">
        <v>77</v>
      </c>
      <c r="E11959" s="30" t="s">
        <v>23236</v>
      </c>
      <c r="F11959" s="34" t="n">
        <f aca="false">IFERROR(VLOOKUP($A11959,'319'!$B:$H,7,0),0)</f>
        <v>0</v>
      </c>
      <c r="G11959" s="34" t="n">
        <f aca="false">SUMIFS('12.326ana'!$C:$C,'12.326ana'!$M:$M,redes!A11959)</f>
        <v>0</v>
      </c>
    </row>
    <row r="11960" customFormat="false" ht="14.4" hidden="true" customHeight="false" outlineLevel="0" collapsed="false">
      <c r="A11960" s="34" t="n">
        <v>11064018000173</v>
      </c>
      <c r="B11960" s="34" t="s">
        <v>23237</v>
      </c>
      <c r="C11960" s="34" t="s">
        <v>77</v>
      </c>
      <c r="E11960" s="30"/>
      <c r="F11960" s="34" t="n">
        <f aca="false">IFERROR(VLOOKUP($A11960,'319'!$B:$H,7,0),0)</f>
        <v>0</v>
      </c>
      <c r="G11960" s="34" t="n">
        <f aca="false">SUMIFS('12.326ana'!$C:$C,'12.326ana'!$M:$M,redes!A11960)</f>
        <v>0</v>
      </c>
    </row>
    <row r="11961" customFormat="false" ht="14.4" hidden="true" customHeight="false" outlineLevel="0" collapsed="false">
      <c r="A11961" s="34" t="n">
        <v>11077305000118</v>
      </c>
      <c r="B11961" s="34" t="s">
        <v>23238</v>
      </c>
      <c r="C11961" s="34" t="s">
        <v>328</v>
      </c>
      <c r="E11961" s="30" t="s">
        <v>7565</v>
      </c>
      <c r="F11961" s="34" t="n">
        <f aca="false">IFERROR(VLOOKUP($A11961,'319'!$B:$H,7,0),0)</f>
        <v>0</v>
      </c>
      <c r="G11961" s="34" t="n">
        <f aca="false">SUMIFS('12.326ana'!$C:$C,'12.326ana'!$M:$M,redes!A11961)</f>
        <v>0</v>
      </c>
    </row>
    <row r="11962" customFormat="false" ht="14.4" hidden="true" customHeight="false" outlineLevel="0" collapsed="false">
      <c r="A11962" s="34" t="n">
        <v>11077388000145</v>
      </c>
      <c r="B11962" s="34" t="s">
        <v>23239</v>
      </c>
      <c r="C11962" s="34" t="s">
        <v>328</v>
      </c>
      <c r="E11962" s="30" t="s">
        <v>12526</v>
      </c>
      <c r="F11962" s="34" t="n">
        <f aca="false">IFERROR(VLOOKUP($A11962,'319'!$B:$H,7,0),0)</f>
        <v>0</v>
      </c>
      <c r="G11962" s="34" t="n">
        <f aca="false">SUMIFS('12.326ana'!$C:$C,'12.326ana'!$M:$M,redes!A11962)</f>
        <v>0</v>
      </c>
    </row>
    <row r="11963" customFormat="false" ht="14.4" hidden="true" customHeight="false" outlineLevel="0" collapsed="false">
      <c r="A11963" s="34" t="n">
        <v>11079736000113</v>
      </c>
      <c r="B11963" s="34" t="s">
        <v>23240</v>
      </c>
      <c r="C11963" s="34" t="s">
        <v>77</v>
      </c>
      <c r="E11963" s="30" t="s">
        <v>8604</v>
      </c>
      <c r="F11963" s="34" t="n">
        <f aca="false">IFERROR(VLOOKUP($A11963,'319'!$B:$H,7,0),0)</f>
        <v>0</v>
      </c>
      <c r="G11963" s="34" t="n">
        <f aca="false">SUMIFS('12.326ana'!$C:$C,'12.326ana'!$M:$M,redes!A11963)</f>
        <v>0</v>
      </c>
    </row>
    <row r="11964" customFormat="false" ht="14.4" hidden="true" customHeight="false" outlineLevel="0" collapsed="false">
      <c r="A11964" s="34" t="n">
        <v>11079880000150</v>
      </c>
      <c r="B11964" s="34" t="s">
        <v>23241</v>
      </c>
      <c r="C11964" s="34" t="s">
        <v>77</v>
      </c>
      <c r="E11964" s="30" t="s">
        <v>23242</v>
      </c>
      <c r="F11964" s="34" t="n">
        <f aca="false">IFERROR(VLOOKUP($A11964,'319'!$B:$H,7,0),0)</f>
        <v>0</v>
      </c>
      <c r="G11964" s="34" t="n">
        <f aca="false">SUMIFS('12.326ana'!$C:$C,'12.326ana'!$M:$M,redes!A11964)</f>
        <v>0</v>
      </c>
    </row>
    <row r="11965" customFormat="false" ht="14.4" hidden="true" customHeight="false" outlineLevel="0" collapsed="false">
      <c r="A11965" s="34" t="n">
        <v>11085742000183</v>
      </c>
      <c r="B11965" s="34" t="s">
        <v>23243</v>
      </c>
      <c r="C11965" s="34" t="s">
        <v>23244</v>
      </c>
      <c r="E11965" s="30" t="s">
        <v>23243</v>
      </c>
      <c r="F11965" s="34" t="n">
        <f aca="false">IFERROR(VLOOKUP($A11965,'319'!$B:$H,7,0),0)</f>
        <v>0</v>
      </c>
      <c r="G11965" s="34" t="n">
        <f aca="false">SUMIFS('12.326ana'!$C:$C,'12.326ana'!$M:$M,redes!A11965)</f>
        <v>0</v>
      </c>
    </row>
    <row r="11966" customFormat="false" ht="14.4" hidden="true" customHeight="false" outlineLevel="0" collapsed="false">
      <c r="A11966" s="34" t="n">
        <v>11089284000150</v>
      </c>
      <c r="B11966" s="34" t="s">
        <v>23245</v>
      </c>
      <c r="C11966" s="34" t="s">
        <v>77</v>
      </c>
      <c r="E11966" s="30" t="s">
        <v>23246</v>
      </c>
      <c r="F11966" s="34" t="n">
        <f aca="false">IFERROR(VLOOKUP($A11966,'319'!$B:$H,7,0),0)</f>
        <v>0</v>
      </c>
      <c r="G11966" s="34" t="n">
        <f aca="false">SUMIFS('12.326ana'!$C:$C,'12.326ana'!$M:$M,redes!A11966)</f>
        <v>0</v>
      </c>
    </row>
    <row r="11967" customFormat="false" ht="14.4" hidden="true" customHeight="false" outlineLevel="0" collapsed="false">
      <c r="A11967" s="34" t="n">
        <v>11089967000108</v>
      </c>
      <c r="B11967" s="34" t="s">
        <v>23247</v>
      </c>
      <c r="C11967" s="34" t="s">
        <v>103</v>
      </c>
      <c r="E11967" s="30" t="s">
        <v>23248</v>
      </c>
      <c r="F11967" s="34" t="n">
        <f aca="false">IFERROR(VLOOKUP($A11967,'319'!$B:$H,7,0),0)</f>
        <v>0</v>
      </c>
      <c r="G11967" s="34" t="n">
        <f aca="false">SUMIFS('12.326ana'!$C:$C,'12.326ana'!$M:$M,redes!A11967)</f>
        <v>0</v>
      </c>
    </row>
    <row r="11968" customFormat="false" ht="14.4" hidden="true" customHeight="false" outlineLevel="0" collapsed="false">
      <c r="A11968" s="34" t="n">
        <v>11090631000165</v>
      </c>
      <c r="B11968" s="34" t="s">
        <v>23249</v>
      </c>
      <c r="C11968" s="34" t="s">
        <v>103</v>
      </c>
      <c r="E11968" s="30" t="s">
        <v>23250</v>
      </c>
      <c r="F11968" s="34" t="n">
        <f aca="false">IFERROR(VLOOKUP($A11968,'319'!$B:$H,7,0),0)</f>
        <v>0</v>
      </c>
      <c r="G11968" s="34" t="n">
        <f aca="false">SUMIFS('12.326ana'!$C:$C,'12.326ana'!$M:$M,redes!A11968)</f>
        <v>0</v>
      </c>
    </row>
    <row r="11969" customFormat="false" ht="14.4" hidden="true" customHeight="false" outlineLevel="0" collapsed="false">
      <c r="A11969" s="34" t="n">
        <v>11090641000109</v>
      </c>
      <c r="B11969" s="34" t="s">
        <v>23251</v>
      </c>
      <c r="C11969" s="34" t="s">
        <v>107</v>
      </c>
      <c r="E11969" s="30" t="s">
        <v>23252</v>
      </c>
      <c r="F11969" s="34" t="n">
        <f aca="false">IFERROR(VLOOKUP($A11969,'319'!$B:$H,7,0),0)</f>
        <v>0</v>
      </c>
      <c r="G11969" s="34" t="n">
        <f aca="false">SUMIFS('12.326ana'!$C:$C,'12.326ana'!$M:$M,redes!A11969)</f>
        <v>0</v>
      </c>
    </row>
    <row r="11970" customFormat="false" ht="14.4" hidden="true" customHeight="false" outlineLevel="0" collapsed="false">
      <c r="A11970" s="34" t="n">
        <v>11097724000111</v>
      </c>
      <c r="B11970" s="34" t="s">
        <v>23253</v>
      </c>
      <c r="C11970" s="34" t="s">
        <v>139</v>
      </c>
      <c r="E11970" s="30" t="s">
        <v>23254</v>
      </c>
      <c r="F11970" s="34" t="n">
        <f aca="false">IFERROR(VLOOKUP($A11970,'319'!$B:$H,7,0),0)</f>
        <v>0</v>
      </c>
      <c r="G11970" s="34" t="n">
        <f aca="false">SUMIFS('12.326ana'!$C:$C,'12.326ana'!$M:$M,redes!A11970)</f>
        <v>0</v>
      </c>
    </row>
    <row r="11971" customFormat="false" ht="14.4" hidden="true" customHeight="false" outlineLevel="0" collapsed="false">
      <c r="A11971" s="34" t="n">
        <v>11098677000120</v>
      </c>
      <c r="B11971" s="34" t="s">
        <v>23255</v>
      </c>
      <c r="C11971" s="34" t="s">
        <v>77</v>
      </c>
      <c r="E11971" s="30" t="s">
        <v>23256</v>
      </c>
      <c r="F11971" s="34" t="n">
        <f aca="false">IFERROR(VLOOKUP($A11971,'319'!$B:$H,7,0),0)</f>
        <v>0</v>
      </c>
      <c r="G11971" s="34" t="n">
        <f aca="false">SUMIFS('12.326ana'!$C:$C,'12.326ana'!$M:$M,redes!A11971)</f>
        <v>0</v>
      </c>
    </row>
    <row r="11972" customFormat="false" ht="14.4" hidden="true" customHeight="false" outlineLevel="0" collapsed="false">
      <c r="A11972" s="34" t="n">
        <v>11099224000119</v>
      </c>
      <c r="B11972" s="34" t="s">
        <v>23257</v>
      </c>
      <c r="C11972" s="34" t="s">
        <v>192</v>
      </c>
      <c r="E11972" s="30" t="s">
        <v>23258</v>
      </c>
      <c r="F11972" s="34" t="n">
        <f aca="false">IFERROR(VLOOKUP($A11972,'319'!$B:$H,7,0),0)</f>
        <v>0</v>
      </c>
      <c r="G11972" s="34" t="n">
        <f aca="false">SUMIFS('12.326ana'!$C:$C,'12.326ana'!$M:$M,redes!A11972)</f>
        <v>0</v>
      </c>
    </row>
    <row r="11973" customFormat="false" ht="14.4" hidden="true" customHeight="false" outlineLevel="0" collapsed="false">
      <c r="A11973" s="34" t="n">
        <v>11101641000159</v>
      </c>
      <c r="B11973" s="34" t="s">
        <v>23259</v>
      </c>
      <c r="C11973" s="34" t="s">
        <v>744</v>
      </c>
      <c r="E11973" s="30" t="s">
        <v>23260</v>
      </c>
      <c r="F11973" s="34" t="n">
        <f aca="false">IFERROR(VLOOKUP($A11973,'319'!$B:$H,7,0),0)</f>
        <v>0</v>
      </c>
      <c r="G11973" s="34" t="n">
        <f aca="false">SUMIFS('12.326ana'!$C:$C,'12.326ana'!$M:$M,redes!A11973)</f>
        <v>0</v>
      </c>
    </row>
    <row r="11974" customFormat="false" ht="14.4" hidden="true" customHeight="false" outlineLevel="0" collapsed="false">
      <c r="A11974" s="34" t="n">
        <v>11106276000175</v>
      </c>
      <c r="B11974" s="34" t="s">
        <v>3250</v>
      </c>
      <c r="C11974" s="34" t="s">
        <v>781</v>
      </c>
      <c r="E11974" s="30" t="s">
        <v>3251</v>
      </c>
      <c r="F11974" s="34" t="n">
        <f aca="false">IFERROR(VLOOKUP($A11974,'319'!$B:$H,7,0),0)</f>
        <v>0</v>
      </c>
      <c r="G11974" s="34" t="n">
        <f aca="false">SUMIFS('12.326ana'!$C:$C,'12.326ana'!$M:$M,redes!A11974)</f>
        <v>0</v>
      </c>
    </row>
    <row r="11975" customFormat="false" ht="14.4" hidden="true" customHeight="false" outlineLevel="0" collapsed="false">
      <c r="A11975" s="34" t="n">
        <v>11106512000153</v>
      </c>
      <c r="B11975" s="34" t="s">
        <v>23261</v>
      </c>
      <c r="C11975" s="34" t="s">
        <v>192</v>
      </c>
      <c r="E11975" s="30" t="s">
        <v>23262</v>
      </c>
      <c r="F11975" s="34" t="n">
        <f aca="false">IFERROR(VLOOKUP($A11975,'319'!$B:$H,7,0),0)</f>
        <v>0</v>
      </c>
      <c r="G11975" s="34" t="n">
        <f aca="false">SUMIFS('12.326ana'!$C:$C,'12.326ana'!$M:$M,redes!A11975)</f>
        <v>0</v>
      </c>
    </row>
    <row r="11976" customFormat="false" ht="14.4" hidden="true" customHeight="false" outlineLevel="0" collapsed="false">
      <c r="A11976" s="34" t="n">
        <v>11106756000136</v>
      </c>
      <c r="B11976" s="34" t="s">
        <v>23263</v>
      </c>
      <c r="C11976" s="34" t="s">
        <v>562</v>
      </c>
      <c r="E11976" s="30" t="s">
        <v>23264</v>
      </c>
      <c r="F11976" s="34" t="n">
        <f aca="false">IFERROR(VLOOKUP($A11976,'319'!$B:$H,7,0),0)</f>
        <v>0</v>
      </c>
      <c r="G11976" s="34" t="n">
        <f aca="false">SUMIFS('12.326ana'!$C:$C,'12.326ana'!$M:$M,redes!A11976)</f>
        <v>0</v>
      </c>
    </row>
    <row r="11977" customFormat="false" ht="14.4" hidden="true" customHeight="false" outlineLevel="0" collapsed="false">
      <c r="A11977" s="34" t="n">
        <v>11107325000194</v>
      </c>
      <c r="B11977" s="34" t="s">
        <v>23265</v>
      </c>
      <c r="C11977" s="34" t="s">
        <v>77</v>
      </c>
      <c r="D11977" s="34" t="s">
        <v>9598</v>
      </c>
      <c r="E11977" s="30" t="s">
        <v>23266</v>
      </c>
      <c r="F11977" s="34" t="n">
        <f aca="false">IFERROR(VLOOKUP($A11977,'319'!$B:$H,7,0),0)</f>
        <v>0</v>
      </c>
      <c r="G11977" s="34" t="n">
        <f aca="false">SUMIFS('12.326ana'!$C:$C,'12.326ana'!$M:$M,redes!A11977)</f>
        <v>0</v>
      </c>
    </row>
    <row r="11978" customFormat="false" ht="14.4" hidden="true" customHeight="false" outlineLevel="0" collapsed="false">
      <c r="A11978" s="34" t="n">
        <v>11109080000134</v>
      </c>
      <c r="B11978" s="34" t="s">
        <v>23267</v>
      </c>
      <c r="C11978" s="34" t="s">
        <v>1591</v>
      </c>
      <c r="E11978" s="30" t="s">
        <v>23268</v>
      </c>
      <c r="F11978" s="34" t="n">
        <f aca="false">IFERROR(VLOOKUP($A11978,'319'!$B:$H,7,0),0)</f>
        <v>0</v>
      </c>
      <c r="G11978" s="34" t="n">
        <f aca="false">SUMIFS('12.326ana'!$C:$C,'12.326ana'!$M:$M,redes!A11978)</f>
        <v>0</v>
      </c>
    </row>
    <row r="11979" customFormat="false" ht="14.4" hidden="true" customHeight="false" outlineLevel="0" collapsed="false">
      <c r="A11979" s="34" t="n">
        <v>11110303000183</v>
      </c>
      <c r="B11979" s="34" t="s">
        <v>23269</v>
      </c>
      <c r="C11979" s="34" t="s">
        <v>1680</v>
      </c>
      <c r="E11979" s="30" t="s">
        <v>23270</v>
      </c>
      <c r="F11979" s="34" t="n">
        <f aca="false">IFERROR(VLOOKUP($A11979,'319'!$B:$H,7,0),0)</f>
        <v>0</v>
      </c>
      <c r="G11979" s="34" t="n">
        <f aca="false">SUMIFS('12.326ana'!$C:$C,'12.326ana'!$M:$M,redes!A11979)</f>
        <v>0</v>
      </c>
    </row>
    <row r="11980" customFormat="false" ht="14.4" hidden="true" customHeight="false" outlineLevel="0" collapsed="false">
      <c r="A11980" s="34" t="n">
        <v>11110788000105</v>
      </c>
      <c r="B11980" s="34" t="s">
        <v>23271</v>
      </c>
      <c r="C11980" s="34" t="s">
        <v>77</v>
      </c>
      <c r="E11980" s="30" t="s">
        <v>23271</v>
      </c>
      <c r="F11980" s="34" t="n">
        <f aca="false">IFERROR(VLOOKUP($A11980,'319'!$B:$H,7,0),0)</f>
        <v>0</v>
      </c>
      <c r="G11980" s="34" t="n">
        <f aca="false">SUMIFS('12.326ana'!$C:$C,'12.326ana'!$M:$M,redes!A11980)</f>
        <v>0</v>
      </c>
    </row>
    <row r="11981" customFormat="false" ht="14.4" hidden="true" customHeight="false" outlineLevel="0" collapsed="false">
      <c r="A11981" s="34" t="n">
        <v>11113911000141</v>
      </c>
      <c r="B11981" s="34" t="s">
        <v>23272</v>
      </c>
      <c r="C11981" s="34" t="s">
        <v>967</v>
      </c>
      <c r="E11981" s="30" t="s">
        <v>3078</v>
      </c>
      <c r="F11981" s="34" t="n">
        <f aca="false">IFERROR(VLOOKUP($A11981,'319'!$B:$H,7,0),0)</f>
        <v>0</v>
      </c>
      <c r="G11981" s="34" t="n">
        <f aca="false">SUMIFS('12.326ana'!$C:$C,'12.326ana'!$M:$M,redes!A11981)</f>
        <v>0</v>
      </c>
    </row>
    <row r="11982" customFormat="false" ht="14.4" hidden="true" customHeight="false" outlineLevel="0" collapsed="false">
      <c r="A11982" s="34" t="n">
        <v>11114034000123</v>
      </c>
      <c r="B11982" s="34" t="s">
        <v>23273</v>
      </c>
      <c r="C11982" s="34" t="s">
        <v>213</v>
      </c>
      <c r="E11982" s="30" t="s">
        <v>23274</v>
      </c>
      <c r="F11982" s="34" t="n">
        <f aca="false">IFERROR(VLOOKUP($A11982,'319'!$B:$H,7,0),0)</f>
        <v>0</v>
      </c>
      <c r="G11982" s="34" t="n">
        <f aca="false">SUMIFS('12.326ana'!$C:$C,'12.326ana'!$M:$M,redes!A11982)</f>
        <v>0</v>
      </c>
    </row>
    <row r="11983" customFormat="false" ht="14.4" hidden="true" customHeight="false" outlineLevel="0" collapsed="false">
      <c r="A11983" s="34" t="n">
        <v>11121210000154</v>
      </c>
      <c r="B11983" s="34" t="s">
        <v>23275</v>
      </c>
      <c r="C11983" s="34" t="s">
        <v>107</v>
      </c>
      <c r="E11983" s="30" t="s">
        <v>23275</v>
      </c>
      <c r="F11983" s="34" t="n">
        <f aca="false">IFERROR(VLOOKUP($A11983,'319'!$B:$H,7,0),0)</f>
        <v>0</v>
      </c>
      <c r="G11983" s="34" t="n">
        <f aca="false">SUMIFS('12.326ana'!$C:$C,'12.326ana'!$M:$M,redes!A11983)</f>
        <v>0</v>
      </c>
    </row>
    <row r="11984" customFormat="false" ht="14.4" hidden="true" customHeight="false" outlineLevel="0" collapsed="false">
      <c r="A11984" s="34" t="n">
        <v>11121236000100</v>
      </c>
      <c r="B11984" s="34" t="s">
        <v>23276</v>
      </c>
      <c r="C11984" s="34" t="s">
        <v>107</v>
      </c>
      <c r="E11984" s="30" t="s">
        <v>23277</v>
      </c>
      <c r="F11984" s="34" t="n">
        <f aca="false">IFERROR(VLOOKUP($A11984,'319'!$B:$H,7,0),0)</f>
        <v>0</v>
      </c>
      <c r="G11984" s="34" t="n">
        <f aca="false">SUMIFS('12.326ana'!$C:$C,'12.326ana'!$M:$M,redes!A11984)</f>
        <v>0</v>
      </c>
    </row>
    <row r="11985" customFormat="false" ht="14.4" hidden="true" customHeight="false" outlineLevel="0" collapsed="false">
      <c r="A11985" s="34" t="n">
        <v>11125092000152</v>
      </c>
      <c r="B11985" s="34" t="s">
        <v>23278</v>
      </c>
      <c r="C11985" s="34" t="s">
        <v>107</v>
      </c>
      <c r="E11985" s="30" t="s">
        <v>21234</v>
      </c>
      <c r="F11985" s="34" t="n">
        <f aca="false">IFERROR(VLOOKUP($A11985,'319'!$B:$H,7,0),0)</f>
        <v>0</v>
      </c>
      <c r="G11985" s="34" t="n">
        <f aca="false">SUMIFS('12.326ana'!$C:$C,'12.326ana'!$M:$M,redes!A11985)</f>
        <v>0</v>
      </c>
    </row>
    <row r="11986" customFormat="false" ht="14.4" hidden="true" customHeight="false" outlineLevel="0" collapsed="false">
      <c r="A11986" s="34" t="n">
        <v>11130417000195</v>
      </c>
      <c r="B11986" s="34" t="s">
        <v>23279</v>
      </c>
      <c r="C11986" s="34" t="s">
        <v>77</v>
      </c>
      <c r="E11986" s="30" t="s">
        <v>23280</v>
      </c>
      <c r="F11986" s="34" t="n">
        <f aca="false">IFERROR(VLOOKUP($A11986,'319'!$B:$H,7,0),0)</f>
        <v>0</v>
      </c>
      <c r="G11986" s="34" t="n">
        <f aca="false">SUMIFS('12.326ana'!$C:$C,'12.326ana'!$M:$M,redes!A11986)</f>
        <v>0</v>
      </c>
    </row>
    <row r="11987" customFormat="false" ht="14.4" hidden="true" customHeight="false" outlineLevel="0" collapsed="false">
      <c r="A11987" s="34" t="n">
        <v>11136012000164</v>
      </c>
      <c r="B11987" s="34" t="s">
        <v>23281</v>
      </c>
      <c r="C11987" s="34" t="s">
        <v>1054</v>
      </c>
      <c r="E11987" s="30" t="s">
        <v>23282</v>
      </c>
      <c r="F11987" s="34" t="n">
        <f aca="false">IFERROR(VLOOKUP($A11987,'319'!$B:$H,7,0),0)</f>
        <v>0</v>
      </c>
      <c r="G11987" s="34" t="n">
        <f aca="false">SUMIFS('12.326ana'!$C:$C,'12.326ana'!$M:$M,redes!A11987)</f>
        <v>0</v>
      </c>
    </row>
    <row r="11988" customFormat="false" ht="14.4" hidden="true" customHeight="false" outlineLevel="0" collapsed="false">
      <c r="A11988" s="34" t="n">
        <v>11138048000187</v>
      </c>
      <c r="B11988" s="34" t="s">
        <v>23283</v>
      </c>
      <c r="C11988" s="34" t="s">
        <v>781</v>
      </c>
      <c r="E11988" s="30" t="s">
        <v>23284</v>
      </c>
      <c r="F11988" s="34" t="n">
        <f aca="false">IFERROR(VLOOKUP($A11988,'319'!$B:$H,7,0),0)</f>
        <v>0</v>
      </c>
      <c r="G11988" s="34" t="n">
        <f aca="false">SUMIFS('12.326ana'!$C:$C,'12.326ana'!$M:$M,redes!A11988)</f>
        <v>0</v>
      </c>
    </row>
    <row r="11989" customFormat="false" ht="14.4" hidden="true" customHeight="false" outlineLevel="0" collapsed="false">
      <c r="A11989" s="34" t="n">
        <v>11138257000120</v>
      </c>
      <c r="B11989" s="34" t="s">
        <v>23285</v>
      </c>
      <c r="C11989" s="34" t="s">
        <v>139</v>
      </c>
      <c r="E11989" s="30" t="s">
        <v>23286</v>
      </c>
      <c r="F11989" s="34" t="n">
        <f aca="false">IFERROR(VLOOKUP($A11989,'319'!$B:$H,7,0),0)</f>
        <v>0</v>
      </c>
      <c r="G11989" s="34" t="n">
        <f aca="false">SUMIFS('12.326ana'!$C:$C,'12.326ana'!$M:$M,redes!A11989)</f>
        <v>0</v>
      </c>
    </row>
    <row r="11990" customFormat="false" ht="14.4" hidden="true" customHeight="false" outlineLevel="0" collapsed="false">
      <c r="A11990" s="34" t="n">
        <v>11145245000123</v>
      </c>
      <c r="B11990" s="34" t="s">
        <v>23287</v>
      </c>
      <c r="C11990" s="34" t="s">
        <v>475</v>
      </c>
      <c r="E11990" s="30" t="s">
        <v>23288</v>
      </c>
      <c r="F11990" s="34" t="n">
        <f aca="false">IFERROR(VLOOKUP($A11990,'319'!$B:$H,7,0),0)</f>
        <v>0</v>
      </c>
      <c r="G11990" s="34" t="n">
        <f aca="false">SUMIFS('12.326ana'!$C:$C,'12.326ana'!$M:$M,redes!A11990)</f>
        <v>0</v>
      </c>
    </row>
    <row r="11991" customFormat="false" ht="14.4" hidden="true" customHeight="false" outlineLevel="0" collapsed="false">
      <c r="A11991" s="34" t="n">
        <v>11149849000148</v>
      </c>
      <c r="B11991" s="34" t="s">
        <v>6120</v>
      </c>
      <c r="C11991" s="34" t="s">
        <v>1272</v>
      </c>
      <c r="E11991" s="30" t="s">
        <v>6121</v>
      </c>
      <c r="F11991" s="34" t="n">
        <f aca="false">IFERROR(VLOOKUP($A11991,'319'!$B:$H,7,0),0)</f>
        <v>0</v>
      </c>
      <c r="G11991" s="34" t="n">
        <f aca="false">SUMIFS('12.326ana'!$C:$C,'12.326ana'!$M:$M,redes!A11991)</f>
        <v>0</v>
      </c>
    </row>
    <row r="11992" customFormat="false" ht="14.4" hidden="true" customHeight="false" outlineLevel="0" collapsed="false">
      <c r="A11992" s="34" t="n">
        <v>11150704000167</v>
      </c>
      <c r="B11992" s="34" t="s">
        <v>23289</v>
      </c>
      <c r="C11992" s="34" t="s">
        <v>299</v>
      </c>
      <c r="E11992" s="30" t="s">
        <v>23289</v>
      </c>
      <c r="F11992" s="34" t="n">
        <f aca="false">IFERROR(VLOOKUP($A11992,'319'!$B:$H,7,0),0)</f>
        <v>0</v>
      </c>
      <c r="G11992" s="34" t="n">
        <f aca="false">SUMIFS('12.326ana'!$C:$C,'12.326ana'!$M:$M,redes!A11992)</f>
        <v>0</v>
      </c>
    </row>
    <row r="11993" customFormat="false" ht="14.4" hidden="true" customHeight="false" outlineLevel="0" collapsed="false">
      <c r="A11993" s="34" t="n">
        <v>11156034000196</v>
      </c>
      <c r="B11993" s="34" t="s">
        <v>23290</v>
      </c>
      <c r="C11993" s="34" t="s">
        <v>89</v>
      </c>
      <c r="E11993" s="30" t="s">
        <v>18669</v>
      </c>
      <c r="F11993" s="34" t="n">
        <f aca="false">IFERROR(VLOOKUP($A11993,'319'!$B:$H,7,0),0)</f>
        <v>0</v>
      </c>
      <c r="G11993" s="34" t="n">
        <f aca="false">SUMIFS('12.326ana'!$C:$C,'12.326ana'!$M:$M,redes!A11993)</f>
        <v>0</v>
      </c>
    </row>
    <row r="11994" customFormat="false" ht="14.4" hidden="true" customHeight="false" outlineLevel="0" collapsed="false">
      <c r="A11994" s="34" t="n">
        <v>11165052000134</v>
      </c>
      <c r="B11994" s="34" t="s">
        <v>23291</v>
      </c>
      <c r="C11994" s="34" t="s">
        <v>77</v>
      </c>
      <c r="E11994" s="30" t="s">
        <v>23292</v>
      </c>
      <c r="F11994" s="34" t="n">
        <f aca="false">IFERROR(VLOOKUP($A11994,'319'!$B:$H,7,0),0)</f>
        <v>0</v>
      </c>
      <c r="G11994" s="34" t="n">
        <f aca="false">SUMIFS('12.326ana'!$C:$C,'12.326ana'!$M:$M,redes!A11994)</f>
        <v>0</v>
      </c>
    </row>
    <row r="11995" customFormat="false" ht="14.4" hidden="true" customHeight="false" outlineLevel="0" collapsed="false">
      <c r="A11995" s="34" t="n">
        <v>11165252000197</v>
      </c>
      <c r="B11995" s="34" t="s">
        <v>23293</v>
      </c>
      <c r="C11995" s="34" t="s">
        <v>342</v>
      </c>
      <c r="E11995" s="30" t="s">
        <v>23294</v>
      </c>
      <c r="F11995" s="34" t="n">
        <f aca="false">IFERROR(VLOOKUP($A11995,'319'!$B:$H,7,0),0)</f>
        <v>0</v>
      </c>
      <c r="G11995" s="34" t="n">
        <f aca="false">SUMIFS('12.326ana'!$C:$C,'12.326ana'!$M:$M,redes!A11995)</f>
        <v>0</v>
      </c>
    </row>
    <row r="11996" customFormat="false" ht="14.4" hidden="true" customHeight="false" outlineLevel="0" collapsed="false">
      <c r="A11996" s="34" t="n">
        <v>11166484000160</v>
      </c>
      <c r="B11996" s="34" t="s">
        <v>23295</v>
      </c>
      <c r="C11996" s="34" t="s">
        <v>77</v>
      </c>
      <c r="E11996" s="30" t="s">
        <v>23296</v>
      </c>
      <c r="F11996" s="34" t="n">
        <f aca="false">IFERROR(VLOOKUP($A11996,'319'!$B:$H,7,0),0)</f>
        <v>0</v>
      </c>
      <c r="G11996" s="34" t="n">
        <f aca="false">SUMIFS('12.326ana'!$C:$C,'12.326ana'!$M:$M,redes!A11996)</f>
        <v>0</v>
      </c>
    </row>
    <row r="11997" customFormat="false" ht="14.4" hidden="true" customHeight="false" outlineLevel="0" collapsed="false">
      <c r="A11997" s="34" t="n">
        <v>11169774000167</v>
      </c>
      <c r="B11997" s="34" t="s">
        <v>23297</v>
      </c>
      <c r="C11997" s="34" t="s">
        <v>377</v>
      </c>
      <c r="E11997" s="30" t="s">
        <v>23298</v>
      </c>
      <c r="F11997" s="34" t="n">
        <f aca="false">IFERROR(VLOOKUP($A11997,'319'!$B:$H,7,0),0)</f>
        <v>0</v>
      </c>
      <c r="G11997" s="34" t="n">
        <f aca="false">SUMIFS('12.326ana'!$C:$C,'12.326ana'!$M:$M,redes!A11997)</f>
        <v>0</v>
      </c>
    </row>
    <row r="11998" customFormat="false" ht="14.4" hidden="true" customHeight="false" outlineLevel="0" collapsed="false">
      <c r="A11998" s="34" t="n">
        <v>11170190000101</v>
      </c>
      <c r="B11998" s="34" t="s">
        <v>23299</v>
      </c>
      <c r="C11998" s="34" t="s">
        <v>77</v>
      </c>
      <c r="E11998" s="30" t="s">
        <v>23300</v>
      </c>
      <c r="F11998" s="34" t="n">
        <f aca="false">IFERROR(VLOOKUP($A11998,'319'!$B:$H,7,0),0)</f>
        <v>0</v>
      </c>
      <c r="G11998" s="34" t="n">
        <f aca="false">SUMIFS('12.326ana'!$C:$C,'12.326ana'!$M:$M,redes!A11998)</f>
        <v>0</v>
      </c>
    </row>
    <row r="11999" customFormat="false" ht="14.4" hidden="true" customHeight="false" outlineLevel="0" collapsed="false">
      <c r="A11999" s="34" t="n">
        <v>11170351000167</v>
      </c>
      <c r="B11999" s="34" t="s">
        <v>23301</v>
      </c>
      <c r="C11999" s="34" t="s">
        <v>77</v>
      </c>
      <c r="E11999" s="30" t="s">
        <v>23302</v>
      </c>
      <c r="F11999" s="34" t="n">
        <f aca="false">IFERROR(VLOOKUP($A11999,'319'!$B:$H,7,0),0)</f>
        <v>0</v>
      </c>
      <c r="G11999" s="34" t="n">
        <f aca="false">SUMIFS('12.326ana'!$C:$C,'12.326ana'!$M:$M,redes!A11999)</f>
        <v>0</v>
      </c>
    </row>
    <row r="12000" customFormat="false" ht="14.4" hidden="true" customHeight="false" outlineLevel="0" collapsed="false">
      <c r="A12000" s="34" t="n">
        <v>11170416000174</v>
      </c>
      <c r="B12000" s="34" t="s">
        <v>23303</v>
      </c>
      <c r="C12000" s="34" t="s">
        <v>213</v>
      </c>
      <c r="E12000" s="30" t="s">
        <v>17750</v>
      </c>
      <c r="F12000" s="34" t="n">
        <f aca="false">IFERROR(VLOOKUP($A12000,'319'!$B:$H,7,0),0)</f>
        <v>0</v>
      </c>
      <c r="G12000" s="34" t="n">
        <f aca="false">SUMIFS('12.326ana'!$C:$C,'12.326ana'!$M:$M,redes!A12000)</f>
        <v>0</v>
      </c>
    </row>
    <row r="12001" customFormat="false" ht="14.4" hidden="true" customHeight="false" outlineLevel="0" collapsed="false">
      <c r="A12001" s="34" t="n">
        <v>11172845000180</v>
      </c>
      <c r="B12001" s="34" t="s">
        <v>23304</v>
      </c>
      <c r="C12001" s="34" t="s">
        <v>962</v>
      </c>
      <c r="E12001" s="30" t="s">
        <v>3066</v>
      </c>
      <c r="F12001" s="34" t="n">
        <f aca="false">IFERROR(VLOOKUP($A12001,'319'!$B:$H,7,0),0)</f>
        <v>0</v>
      </c>
      <c r="G12001" s="34" t="n">
        <f aca="false">SUMIFS('12.326ana'!$C:$C,'12.326ana'!$M:$M,redes!A12001)</f>
        <v>0</v>
      </c>
    </row>
    <row r="12002" customFormat="false" ht="14.4" hidden="true" customHeight="false" outlineLevel="0" collapsed="false">
      <c r="A12002" s="34" t="n">
        <v>11174408000104</v>
      </c>
      <c r="B12002" s="34" t="s">
        <v>23305</v>
      </c>
      <c r="C12002" s="34" t="s">
        <v>107</v>
      </c>
      <c r="E12002" s="30" t="s">
        <v>23306</v>
      </c>
      <c r="F12002" s="34" t="n">
        <f aca="false">IFERROR(VLOOKUP($A12002,'319'!$B:$H,7,0),0)</f>
        <v>0</v>
      </c>
      <c r="G12002" s="34" t="n">
        <f aca="false">SUMIFS('12.326ana'!$C:$C,'12.326ana'!$M:$M,redes!A12002)</f>
        <v>0</v>
      </c>
    </row>
    <row r="12003" customFormat="false" ht="14.4" hidden="true" customHeight="false" outlineLevel="0" collapsed="false">
      <c r="A12003" s="34" t="n">
        <v>11180306000193</v>
      </c>
      <c r="B12003" s="34" t="s">
        <v>23307</v>
      </c>
      <c r="C12003" s="34" t="s">
        <v>139</v>
      </c>
      <c r="E12003" s="30" t="s">
        <v>23308</v>
      </c>
      <c r="F12003" s="34" t="n">
        <f aca="false">IFERROR(VLOOKUP($A12003,'319'!$B:$H,7,0),0)</f>
        <v>0</v>
      </c>
      <c r="G12003" s="34" t="n">
        <f aca="false">SUMIFS('12.326ana'!$C:$C,'12.326ana'!$M:$M,redes!A12003)</f>
        <v>0</v>
      </c>
    </row>
    <row r="12004" customFormat="false" ht="14.4" hidden="true" customHeight="false" outlineLevel="0" collapsed="false">
      <c r="A12004" s="34" t="n">
        <v>11181421000182</v>
      </c>
      <c r="B12004" s="34" t="s">
        <v>23309</v>
      </c>
      <c r="C12004" s="34" t="s">
        <v>464</v>
      </c>
      <c r="E12004" s="30" t="s">
        <v>23310</v>
      </c>
      <c r="F12004" s="34" t="n">
        <f aca="false">IFERROR(VLOOKUP($A12004,'319'!$B:$H,7,0),0)</f>
        <v>0</v>
      </c>
      <c r="G12004" s="34" t="n">
        <f aca="false">SUMIFS('12.326ana'!$C:$C,'12.326ana'!$M:$M,redes!A12004)</f>
        <v>0</v>
      </c>
    </row>
    <row r="12005" customFormat="false" ht="14.4" hidden="true" customHeight="false" outlineLevel="0" collapsed="false">
      <c r="A12005" s="34" t="n">
        <v>11186115000139</v>
      </c>
      <c r="B12005" s="34" t="s">
        <v>23311</v>
      </c>
      <c r="C12005" s="34" t="s">
        <v>89</v>
      </c>
      <c r="E12005" s="30" t="s">
        <v>3066</v>
      </c>
      <c r="F12005" s="34" t="n">
        <f aca="false">IFERROR(VLOOKUP($A12005,'319'!$B:$H,7,0),0)</f>
        <v>0</v>
      </c>
      <c r="G12005" s="34" t="n">
        <f aca="false">SUMIFS('12.326ana'!$C:$C,'12.326ana'!$M:$M,redes!A12005)</f>
        <v>0</v>
      </c>
    </row>
    <row r="12006" customFormat="false" ht="14.4" hidden="true" customHeight="false" outlineLevel="0" collapsed="false">
      <c r="A12006" s="34" t="n">
        <v>11186214000110</v>
      </c>
      <c r="B12006" s="34" t="s">
        <v>23312</v>
      </c>
      <c r="C12006" s="34" t="s">
        <v>213</v>
      </c>
      <c r="E12006" s="30" t="s">
        <v>6287</v>
      </c>
      <c r="F12006" s="34" t="n">
        <f aca="false">IFERROR(VLOOKUP($A12006,'319'!$B:$H,7,0),0)</f>
        <v>0</v>
      </c>
      <c r="G12006" s="34" t="n">
        <f aca="false">SUMIFS('12.326ana'!$C:$C,'12.326ana'!$M:$M,redes!A12006)</f>
        <v>0</v>
      </c>
    </row>
    <row r="12007" customFormat="false" ht="14.4" hidden="true" customHeight="false" outlineLevel="0" collapsed="false">
      <c r="A12007" s="34" t="n">
        <v>11191841000140</v>
      </c>
      <c r="B12007" s="34" t="s">
        <v>23313</v>
      </c>
      <c r="C12007" s="34" t="s">
        <v>77</v>
      </c>
      <c r="E12007" s="30" t="s">
        <v>4456</v>
      </c>
      <c r="F12007" s="34" t="n">
        <f aca="false">IFERROR(VLOOKUP($A12007,'319'!$B:$H,7,0),0)</f>
        <v>0</v>
      </c>
      <c r="G12007" s="34" t="n">
        <f aca="false">SUMIFS('12.326ana'!$C:$C,'12.326ana'!$M:$M,redes!A12007)</f>
        <v>0</v>
      </c>
    </row>
    <row r="12008" customFormat="false" ht="14.4" hidden="true" customHeight="false" outlineLevel="0" collapsed="false">
      <c r="A12008" s="34" t="n">
        <v>11192061000114</v>
      </c>
      <c r="B12008" s="34" t="s">
        <v>23314</v>
      </c>
      <c r="C12008" s="34" t="s">
        <v>77</v>
      </c>
      <c r="E12008" s="30" t="s">
        <v>23315</v>
      </c>
      <c r="F12008" s="34" t="n">
        <f aca="false">IFERROR(VLOOKUP($A12008,'319'!$B:$H,7,0),0)</f>
        <v>0</v>
      </c>
      <c r="G12008" s="34" t="n">
        <f aca="false">SUMIFS('12.326ana'!$C:$C,'12.326ana'!$M:$M,redes!A12008)</f>
        <v>0</v>
      </c>
    </row>
    <row r="12009" customFormat="false" ht="14.4" hidden="true" customHeight="false" outlineLevel="0" collapsed="false">
      <c r="A12009" s="34" t="n">
        <v>11192100000183</v>
      </c>
      <c r="B12009" s="34" t="s">
        <v>23316</v>
      </c>
      <c r="C12009" s="34" t="s">
        <v>77</v>
      </c>
      <c r="E12009" s="30" t="s">
        <v>23317</v>
      </c>
      <c r="F12009" s="34" t="n">
        <f aca="false">IFERROR(VLOOKUP($A12009,'319'!$B:$H,7,0),0)</f>
        <v>0</v>
      </c>
      <c r="G12009" s="34" t="n">
        <f aca="false">SUMIFS('12.326ana'!$C:$C,'12.326ana'!$M:$M,redes!A12009)</f>
        <v>0</v>
      </c>
    </row>
    <row r="12010" customFormat="false" ht="14.4" hidden="true" customHeight="false" outlineLevel="0" collapsed="false">
      <c r="A12010" s="34" t="n">
        <v>11192344000166</v>
      </c>
      <c r="B12010" s="34" t="s">
        <v>23318</v>
      </c>
      <c r="C12010" s="34" t="s">
        <v>342</v>
      </c>
      <c r="E12010" s="30" t="s">
        <v>9701</v>
      </c>
      <c r="F12010" s="34" t="n">
        <f aca="false">IFERROR(VLOOKUP($A12010,'319'!$B:$H,7,0),0)</f>
        <v>0</v>
      </c>
      <c r="G12010" s="34" t="n">
        <f aca="false">SUMIFS('12.326ana'!$C:$C,'12.326ana'!$M:$M,redes!A12010)</f>
        <v>0</v>
      </c>
    </row>
    <row r="12011" customFormat="false" ht="14.4" hidden="true" customHeight="false" outlineLevel="0" collapsed="false">
      <c r="A12011" s="34" t="n">
        <v>11195832000127</v>
      </c>
      <c r="B12011" s="34" t="s">
        <v>23319</v>
      </c>
      <c r="C12011" s="34" t="s">
        <v>77</v>
      </c>
      <c r="E12011" s="30" t="s">
        <v>23320</v>
      </c>
      <c r="F12011" s="34" t="n">
        <f aca="false">IFERROR(VLOOKUP($A12011,'319'!$B:$H,7,0),0)</f>
        <v>0</v>
      </c>
      <c r="G12011" s="34" t="n">
        <f aca="false">SUMIFS('12.326ana'!$C:$C,'12.326ana'!$M:$M,redes!A12011)</f>
        <v>0</v>
      </c>
    </row>
    <row r="12012" customFormat="false" ht="14.4" hidden="true" customHeight="false" outlineLevel="0" collapsed="false">
      <c r="A12012" s="34" t="n">
        <v>11196780000103</v>
      </c>
      <c r="B12012" s="34" t="s">
        <v>23321</v>
      </c>
      <c r="C12012" s="34" t="s">
        <v>77</v>
      </c>
      <c r="E12012" s="30" t="s">
        <v>23322</v>
      </c>
      <c r="F12012" s="34" t="n">
        <f aca="false">IFERROR(VLOOKUP($A12012,'319'!$B:$H,7,0),0)</f>
        <v>0</v>
      </c>
      <c r="G12012" s="34" t="n">
        <f aca="false">SUMIFS('12.326ana'!$C:$C,'12.326ana'!$M:$M,redes!A12012)</f>
        <v>0</v>
      </c>
    </row>
    <row r="12013" customFormat="false" ht="14.4" hidden="true" customHeight="false" outlineLevel="0" collapsed="false">
      <c r="A12013" s="34" t="n">
        <v>11200633000160</v>
      </c>
      <c r="B12013" s="34" t="s">
        <v>23323</v>
      </c>
      <c r="C12013" s="34" t="s">
        <v>107</v>
      </c>
      <c r="E12013" s="30" t="s">
        <v>8700</v>
      </c>
      <c r="F12013" s="34" t="n">
        <f aca="false">IFERROR(VLOOKUP($A12013,'319'!$B:$H,7,0),0)</f>
        <v>0</v>
      </c>
      <c r="G12013" s="34" t="n">
        <f aca="false">SUMIFS('12.326ana'!$C:$C,'12.326ana'!$M:$M,redes!A12013)</f>
        <v>0</v>
      </c>
    </row>
    <row r="12014" customFormat="false" ht="14.4" hidden="true" customHeight="false" outlineLevel="0" collapsed="false">
      <c r="A12014" s="35" t="n">
        <v>11200890000100</v>
      </c>
      <c r="B12014" s="34" t="s">
        <v>23324</v>
      </c>
      <c r="C12014" s="34" t="s">
        <v>89</v>
      </c>
      <c r="E12014" s="30" t="s">
        <v>21811</v>
      </c>
      <c r="F12014" s="34" t="n">
        <f aca="false">IFERROR(VLOOKUP($A12014,'319'!$B:$H,7,0),0)</f>
        <v>0</v>
      </c>
      <c r="G12014" s="34" t="n">
        <f aca="false">SUMIFS('12.326ana'!$C:$C,'12.326ana'!$M:$M,redes!A12014)</f>
        <v>0</v>
      </c>
    </row>
    <row r="12015" customFormat="false" ht="14.4" hidden="true" customHeight="false" outlineLevel="0" collapsed="false">
      <c r="A12015" s="35" t="n">
        <v>11209481000166</v>
      </c>
      <c r="B12015" s="34" t="s">
        <v>23325</v>
      </c>
      <c r="C12015" s="34" t="s">
        <v>77</v>
      </c>
      <c r="E12015" s="30" t="s">
        <v>3724</v>
      </c>
      <c r="F12015" s="34" t="n">
        <f aca="false">IFERROR(VLOOKUP($A12015,'319'!$B:$H,7,0),0)</f>
        <v>0</v>
      </c>
      <c r="G12015" s="34" t="n">
        <f aca="false">SUMIFS('12.326ana'!$C:$C,'12.326ana'!$M:$M,redes!A12015)</f>
        <v>0</v>
      </c>
    </row>
    <row r="12016" customFormat="false" ht="14.4" hidden="true" customHeight="false" outlineLevel="0" collapsed="false">
      <c r="A12016" s="35" t="n">
        <v>11211255000110</v>
      </c>
      <c r="B12016" s="34" t="s">
        <v>23326</v>
      </c>
      <c r="C12016" s="34" t="s">
        <v>107</v>
      </c>
      <c r="E12016" s="30" t="s">
        <v>23327</v>
      </c>
      <c r="F12016" s="34" t="n">
        <f aca="false">IFERROR(VLOOKUP($A12016,'319'!$B:$H,7,0),0)</f>
        <v>0</v>
      </c>
      <c r="G12016" s="34" t="n">
        <f aca="false">SUMIFS('12.326ana'!$C:$C,'12.326ana'!$M:$M,redes!A12016)</f>
        <v>0</v>
      </c>
    </row>
    <row r="12017" customFormat="false" ht="14.4" hidden="true" customHeight="false" outlineLevel="0" collapsed="false">
      <c r="A12017" s="34" t="n">
        <v>11215988000122</v>
      </c>
      <c r="B12017" s="34" t="s">
        <v>23328</v>
      </c>
      <c r="C12017" s="34" t="s">
        <v>77</v>
      </c>
      <c r="E12017" s="30" t="s">
        <v>23329</v>
      </c>
      <c r="F12017" s="34" t="n">
        <f aca="false">IFERROR(VLOOKUP($A12017,'319'!$B:$H,7,0),0)</f>
        <v>0</v>
      </c>
      <c r="G12017" s="34" t="n">
        <f aca="false">SUMIFS('12.326ana'!$C:$C,'12.326ana'!$M:$M,redes!A12017)</f>
        <v>0</v>
      </c>
    </row>
    <row r="12018" customFormat="false" ht="14.4" hidden="true" customHeight="false" outlineLevel="0" collapsed="false">
      <c r="A12018" s="34" t="n">
        <v>11216097000190</v>
      </c>
      <c r="B12018" s="34" t="s">
        <v>23330</v>
      </c>
      <c r="C12018" s="34" t="s">
        <v>103</v>
      </c>
      <c r="E12018" s="30" t="s">
        <v>23331</v>
      </c>
      <c r="F12018" s="34" t="n">
        <f aca="false">IFERROR(VLOOKUP($A12018,'319'!$B:$H,7,0),0)</f>
        <v>0</v>
      </c>
      <c r="G12018" s="34" t="n">
        <f aca="false">SUMIFS('12.326ana'!$C:$C,'12.326ana'!$M:$M,redes!A12018)</f>
        <v>0</v>
      </c>
    </row>
    <row r="12019" customFormat="false" ht="14.4" hidden="true" customHeight="false" outlineLevel="0" collapsed="false">
      <c r="A12019" s="34" t="n">
        <v>11220071000116</v>
      </c>
      <c r="B12019" s="34" t="s">
        <v>23332</v>
      </c>
      <c r="C12019" s="34" t="s">
        <v>77</v>
      </c>
      <c r="D12019" s="34" t="s">
        <v>23333</v>
      </c>
      <c r="E12019" s="30" t="s">
        <v>23334</v>
      </c>
      <c r="F12019" s="34" t="n">
        <f aca="false">IFERROR(VLOOKUP($A12019,'319'!$B:$H,7,0),0)</f>
        <v>0</v>
      </c>
      <c r="G12019" s="34" t="n">
        <f aca="false">SUMIFS('12.326ana'!$C:$C,'12.326ana'!$M:$M,redes!A12019)</f>
        <v>0</v>
      </c>
    </row>
    <row r="12020" customFormat="false" ht="14.4" hidden="true" customHeight="false" outlineLevel="0" collapsed="false">
      <c r="A12020" s="34" t="n">
        <v>11220071000205</v>
      </c>
      <c r="B12020" s="34" t="s">
        <v>23332</v>
      </c>
      <c r="C12020" s="34" t="s">
        <v>77</v>
      </c>
      <c r="D12020" s="34" t="s">
        <v>23333</v>
      </c>
      <c r="E12020" s="30" t="s">
        <v>23335</v>
      </c>
      <c r="F12020" s="34" t="n">
        <f aca="false">IFERROR(VLOOKUP($A12020,'319'!$B:$H,7,0),0)</f>
        <v>112.66</v>
      </c>
      <c r="G12020" s="34" t="n">
        <f aca="false">SUMIFS('12.326ana'!$C:$C,'12.326ana'!$M:$M,redes!A12020)</f>
        <v>0</v>
      </c>
    </row>
    <row r="12021" customFormat="false" ht="14.4" hidden="true" customHeight="false" outlineLevel="0" collapsed="false">
      <c r="A12021" s="34" t="n">
        <v>11220071000388</v>
      </c>
      <c r="B12021" s="34" t="s">
        <v>23336</v>
      </c>
      <c r="C12021" s="34" t="s">
        <v>77</v>
      </c>
      <c r="D12021" s="34" t="s">
        <v>23333</v>
      </c>
      <c r="E12021" s="30" t="s">
        <v>23337</v>
      </c>
      <c r="F12021" s="34" t="n">
        <f aca="false">IFERROR(VLOOKUP($A12021,'319'!$B:$H,7,0),0)</f>
        <v>0</v>
      </c>
      <c r="G12021" s="34" t="n">
        <f aca="false">SUMIFS('12.326ana'!$C:$C,'12.326ana'!$M:$M,redes!A12021)</f>
        <v>0</v>
      </c>
    </row>
    <row r="12022" customFormat="false" ht="14.4" hidden="true" customHeight="false" outlineLevel="0" collapsed="false">
      <c r="A12022" s="34" t="n">
        <v>11220071000469</v>
      </c>
      <c r="B12022" s="34" t="s">
        <v>23332</v>
      </c>
      <c r="C12022" s="34" t="s">
        <v>77</v>
      </c>
      <c r="E12022" s="30" t="s">
        <v>23338</v>
      </c>
      <c r="F12022" s="34" t="n">
        <f aca="false">IFERROR(VLOOKUP($A12022,'319'!$B:$H,7,0),0)</f>
        <v>304.25</v>
      </c>
      <c r="G12022" s="34" t="n">
        <f aca="false">SUMIFS('12.326ana'!$C:$C,'12.326ana'!$M:$M,redes!A12022)</f>
        <v>0</v>
      </c>
    </row>
    <row r="12023" customFormat="false" ht="14.4" hidden="true" customHeight="false" outlineLevel="0" collapsed="false">
      <c r="A12023" s="34" t="n">
        <v>11220161000107</v>
      </c>
      <c r="B12023" s="34" t="s">
        <v>23339</v>
      </c>
      <c r="C12023" s="34" t="s">
        <v>464</v>
      </c>
      <c r="E12023" s="30" t="s">
        <v>10914</v>
      </c>
      <c r="F12023" s="34" t="n">
        <f aca="false">IFERROR(VLOOKUP($A12023,'319'!$B:$H,7,0),0)</f>
        <v>0</v>
      </c>
      <c r="G12023" s="34" t="n">
        <f aca="false">SUMIFS('12.326ana'!$C:$C,'12.326ana'!$M:$M,redes!A12023)</f>
        <v>0</v>
      </c>
    </row>
    <row r="12024" customFormat="false" ht="14.4" hidden="true" customHeight="false" outlineLevel="0" collapsed="false">
      <c r="A12024" s="34" t="n">
        <v>11223718000163</v>
      </c>
      <c r="B12024" s="34" t="s">
        <v>23340</v>
      </c>
      <c r="C12024" s="34" t="s">
        <v>357</v>
      </c>
      <c r="E12024" s="30" t="s">
        <v>23341</v>
      </c>
      <c r="F12024" s="34" t="n">
        <f aca="false">IFERROR(VLOOKUP($A12024,'319'!$B:$H,7,0),0)</f>
        <v>0</v>
      </c>
      <c r="G12024" s="34" t="n">
        <f aca="false">SUMIFS('12.326ana'!$C:$C,'12.326ana'!$M:$M,redes!A12024)</f>
        <v>0</v>
      </c>
    </row>
    <row r="12025" customFormat="false" ht="14.4" hidden="true" customHeight="false" outlineLevel="0" collapsed="false">
      <c r="A12025" s="34" t="n">
        <v>11224694000167</v>
      </c>
      <c r="B12025" s="34" t="s">
        <v>23342</v>
      </c>
      <c r="C12025" s="34" t="s">
        <v>77</v>
      </c>
      <c r="E12025" s="30"/>
      <c r="F12025" s="34" t="n">
        <f aca="false">IFERROR(VLOOKUP($A12025,'319'!$B:$H,7,0),0)</f>
        <v>0</v>
      </c>
      <c r="G12025" s="34" t="n">
        <f aca="false">SUMIFS('12.326ana'!$C:$C,'12.326ana'!$M:$M,redes!A12025)</f>
        <v>0</v>
      </c>
    </row>
    <row r="12026" customFormat="false" ht="14.4" hidden="true" customHeight="false" outlineLevel="0" collapsed="false">
      <c r="A12026" s="34" t="n">
        <v>11224856000167</v>
      </c>
      <c r="B12026" s="34" t="s">
        <v>23343</v>
      </c>
      <c r="C12026" s="34" t="s">
        <v>139</v>
      </c>
      <c r="E12026" s="30" t="s">
        <v>3472</v>
      </c>
      <c r="F12026" s="34" t="n">
        <f aca="false">IFERROR(VLOOKUP($A12026,'319'!$B:$H,7,0),0)</f>
        <v>0</v>
      </c>
      <c r="G12026" s="34" t="n">
        <f aca="false">SUMIFS('12.326ana'!$C:$C,'12.326ana'!$M:$M,redes!A12026)</f>
        <v>0</v>
      </c>
    </row>
    <row r="12027" customFormat="false" ht="14.4" hidden="true" customHeight="false" outlineLevel="0" collapsed="false">
      <c r="A12027" s="34" t="n">
        <v>11225384000167</v>
      </c>
      <c r="B12027" s="34" t="s">
        <v>23344</v>
      </c>
      <c r="C12027" s="34" t="s">
        <v>77</v>
      </c>
      <c r="E12027" s="30" t="s">
        <v>23345</v>
      </c>
      <c r="F12027" s="34" t="n">
        <f aca="false">IFERROR(VLOOKUP($A12027,'319'!$B:$H,7,0),0)</f>
        <v>0</v>
      </c>
      <c r="G12027" s="34" t="n">
        <f aca="false">SUMIFS('12.326ana'!$C:$C,'12.326ana'!$M:$M,redes!A12027)</f>
        <v>0</v>
      </c>
    </row>
    <row r="12028" customFormat="false" ht="14.4" hidden="true" customHeight="false" outlineLevel="0" collapsed="false">
      <c r="A12028" s="34" t="n">
        <v>11227614000127</v>
      </c>
      <c r="B12028" s="34" t="s">
        <v>23346</v>
      </c>
      <c r="C12028" s="34" t="s">
        <v>77</v>
      </c>
      <c r="E12028" s="30" t="s">
        <v>23347</v>
      </c>
      <c r="F12028" s="34" t="n">
        <f aca="false">IFERROR(VLOOKUP($A12028,'319'!$B:$H,7,0),0)</f>
        <v>0</v>
      </c>
      <c r="G12028" s="34" t="n">
        <f aca="false">SUMIFS('12.326ana'!$C:$C,'12.326ana'!$M:$M,redes!A12028)</f>
        <v>0</v>
      </c>
    </row>
    <row r="12029" customFormat="false" ht="14.4" hidden="true" customHeight="false" outlineLevel="0" collapsed="false">
      <c r="A12029" s="34" t="n">
        <v>11232408000105</v>
      </c>
      <c r="B12029" s="34" t="s">
        <v>23348</v>
      </c>
      <c r="C12029" s="34" t="s">
        <v>77</v>
      </c>
      <c r="E12029" s="30" t="s">
        <v>23349</v>
      </c>
      <c r="F12029" s="34" t="n">
        <f aca="false">IFERROR(VLOOKUP($A12029,'319'!$B:$H,7,0),0)</f>
        <v>0</v>
      </c>
      <c r="G12029" s="34" t="n">
        <f aca="false">SUMIFS('12.326ana'!$C:$C,'12.326ana'!$M:$M,redes!A12029)</f>
        <v>0</v>
      </c>
    </row>
    <row r="12030" customFormat="false" ht="14.4" hidden="true" customHeight="false" outlineLevel="0" collapsed="false">
      <c r="A12030" s="34" t="n">
        <v>11233906000172</v>
      </c>
      <c r="B12030" s="34" t="s">
        <v>23350</v>
      </c>
      <c r="C12030" s="34" t="s">
        <v>77</v>
      </c>
      <c r="E12030" s="30" t="s">
        <v>3927</v>
      </c>
      <c r="F12030" s="34" t="n">
        <f aca="false">IFERROR(VLOOKUP($A12030,'319'!$B:$H,7,0),0)</f>
        <v>0</v>
      </c>
      <c r="G12030" s="34" t="n">
        <f aca="false">SUMIFS('12.326ana'!$C:$C,'12.326ana'!$M:$M,redes!A12030)</f>
        <v>0</v>
      </c>
    </row>
    <row r="12031" customFormat="false" ht="14.4" hidden="true" customHeight="false" outlineLevel="0" collapsed="false">
      <c r="A12031" s="34" t="n">
        <v>11234041000169</v>
      </c>
      <c r="B12031" s="34" t="s">
        <v>23351</v>
      </c>
      <c r="C12031" s="34" t="s">
        <v>107</v>
      </c>
      <c r="E12031" s="30" t="s">
        <v>23351</v>
      </c>
      <c r="F12031" s="34" t="n">
        <f aca="false">IFERROR(VLOOKUP($A12031,'319'!$B:$H,7,0),0)</f>
        <v>0</v>
      </c>
      <c r="G12031" s="34" t="n">
        <f aca="false">SUMIFS('12.326ana'!$C:$C,'12.326ana'!$M:$M,redes!A12031)</f>
        <v>0</v>
      </c>
    </row>
    <row r="12032" customFormat="false" ht="14.4" hidden="true" customHeight="false" outlineLevel="0" collapsed="false">
      <c r="A12032" s="34" t="n">
        <v>11236796000100</v>
      </c>
      <c r="B12032" s="34" t="s">
        <v>23352</v>
      </c>
      <c r="C12032" s="34" t="s">
        <v>1680</v>
      </c>
      <c r="E12032" s="30" t="s">
        <v>23353</v>
      </c>
      <c r="F12032" s="34" t="n">
        <f aca="false">IFERROR(VLOOKUP($A12032,'319'!$B:$H,7,0),0)</f>
        <v>0</v>
      </c>
      <c r="G12032" s="34" t="n">
        <f aca="false">SUMIFS('12.326ana'!$C:$C,'12.326ana'!$M:$M,redes!A12032)</f>
        <v>0</v>
      </c>
    </row>
    <row r="12033" customFormat="false" ht="14.4" hidden="true" customHeight="false" outlineLevel="0" collapsed="false">
      <c r="A12033" s="34" t="n">
        <v>11237793000183</v>
      </c>
      <c r="B12033" s="34" t="s">
        <v>23354</v>
      </c>
      <c r="C12033" s="34" t="s">
        <v>192</v>
      </c>
      <c r="E12033" s="30" t="s">
        <v>23355</v>
      </c>
      <c r="F12033" s="34" t="n">
        <f aca="false">IFERROR(VLOOKUP($A12033,'319'!$B:$H,7,0),0)</f>
        <v>0</v>
      </c>
      <c r="G12033" s="34" t="n">
        <f aca="false">SUMIFS('12.326ana'!$C:$C,'12.326ana'!$M:$M,redes!A12033)</f>
        <v>0</v>
      </c>
    </row>
    <row r="12034" customFormat="false" ht="14.4" hidden="true" customHeight="false" outlineLevel="0" collapsed="false">
      <c r="A12034" s="34" t="n">
        <v>11246143000102</v>
      </c>
      <c r="B12034" s="34" t="s">
        <v>23356</v>
      </c>
      <c r="C12034" s="34" t="s">
        <v>77</v>
      </c>
      <c r="E12034" s="30"/>
      <c r="F12034" s="34" t="n">
        <f aca="false">IFERROR(VLOOKUP($A12034,'319'!$B:$H,7,0),0)</f>
        <v>0</v>
      </c>
      <c r="G12034" s="34" t="n">
        <f aca="false">SUMIFS('12.326ana'!$C:$C,'12.326ana'!$M:$M,redes!A12034)</f>
        <v>0</v>
      </c>
    </row>
    <row r="12035" customFormat="false" ht="14.4" hidden="true" customHeight="false" outlineLevel="0" collapsed="false">
      <c r="A12035" s="34" t="n">
        <v>11246674000197</v>
      </c>
      <c r="B12035" s="34" t="s">
        <v>23357</v>
      </c>
      <c r="C12035" s="34" t="s">
        <v>77</v>
      </c>
      <c r="E12035" s="30" t="s">
        <v>23358</v>
      </c>
      <c r="F12035" s="34" t="n">
        <f aca="false">IFERROR(VLOOKUP($A12035,'319'!$B:$H,7,0),0)</f>
        <v>0</v>
      </c>
      <c r="G12035" s="34" t="n">
        <f aca="false">SUMIFS('12.326ana'!$C:$C,'12.326ana'!$M:$M,redes!A12035)</f>
        <v>0</v>
      </c>
    </row>
    <row r="12036" customFormat="false" ht="14.4" hidden="true" customHeight="false" outlineLevel="0" collapsed="false">
      <c r="A12036" s="34" t="n">
        <v>11248079000190</v>
      </c>
      <c r="B12036" s="34" t="s">
        <v>23359</v>
      </c>
      <c r="C12036" s="34" t="s">
        <v>296</v>
      </c>
      <c r="E12036" s="30" t="s">
        <v>20759</v>
      </c>
      <c r="F12036" s="34" t="n">
        <f aca="false">IFERROR(VLOOKUP($A12036,'319'!$B:$H,7,0),0)</f>
        <v>0</v>
      </c>
      <c r="G12036" s="34" t="n">
        <f aca="false">SUMIFS('12.326ana'!$C:$C,'12.326ana'!$M:$M,redes!A12036)</f>
        <v>0</v>
      </c>
    </row>
    <row r="12037" customFormat="false" ht="14.4" hidden="true" customHeight="false" outlineLevel="0" collapsed="false">
      <c r="A12037" s="34" t="n">
        <v>11248094000139</v>
      </c>
      <c r="B12037" s="34" t="s">
        <v>23360</v>
      </c>
      <c r="C12037" s="34" t="s">
        <v>464</v>
      </c>
      <c r="E12037" s="30" t="s">
        <v>11684</v>
      </c>
      <c r="F12037" s="34" t="n">
        <f aca="false">IFERROR(VLOOKUP($A12037,'319'!$B:$H,7,0),0)</f>
        <v>0</v>
      </c>
      <c r="G12037" s="34" t="n">
        <f aca="false">SUMIFS('12.326ana'!$C:$C,'12.326ana'!$M:$M,redes!A12037)</f>
        <v>0</v>
      </c>
    </row>
    <row r="12038" customFormat="false" ht="14.4" hidden="true" customHeight="false" outlineLevel="0" collapsed="false">
      <c r="A12038" s="34" t="n">
        <v>11250905000136</v>
      </c>
      <c r="B12038" s="34" t="s">
        <v>23361</v>
      </c>
      <c r="C12038" s="34" t="s">
        <v>77</v>
      </c>
      <c r="E12038" s="30" t="s">
        <v>23362</v>
      </c>
      <c r="F12038" s="34" t="n">
        <f aca="false">IFERROR(VLOOKUP($A12038,'319'!$B:$H,7,0),0)</f>
        <v>0</v>
      </c>
      <c r="G12038" s="34" t="n">
        <f aca="false">SUMIFS('12.326ana'!$C:$C,'12.326ana'!$M:$M,redes!A12038)</f>
        <v>0</v>
      </c>
    </row>
    <row r="12039" customFormat="false" ht="14.4" hidden="true" customHeight="false" outlineLevel="0" collapsed="false">
      <c r="A12039" s="34" t="n">
        <v>11252968000121</v>
      </c>
      <c r="B12039" s="34" t="s">
        <v>23363</v>
      </c>
      <c r="C12039" s="34" t="s">
        <v>706</v>
      </c>
      <c r="E12039" s="30" t="s">
        <v>23364</v>
      </c>
      <c r="F12039" s="34" t="n">
        <f aca="false">IFERROR(VLOOKUP($A12039,'319'!$B:$H,7,0),0)</f>
        <v>0</v>
      </c>
      <c r="G12039" s="34" t="n">
        <f aca="false">SUMIFS('12.326ana'!$C:$C,'12.326ana'!$M:$M,redes!A12039)</f>
        <v>0</v>
      </c>
    </row>
    <row r="12040" customFormat="false" ht="14.4" hidden="true" customHeight="false" outlineLevel="0" collapsed="false">
      <c r="A12040" s="34" t="n">
        <v>11255797000194</v>
      </c>
      <c r="B12040" s="34" t="s">
        <v>23365</v>
      </c>
      <c r="C12040" s="34" t="s">
        <v>979</v>
      </c>
      <c r="E12040" s="30" t="s">
        <v>23366</v>
      </c>
      <c r="F12040" s="34" t="n">
        <f aca="false">IFERROR(VLOOKUP($A12040,'319'!$B:$H,7,0),0)</f>
        <v>0</v>
      </c>
      <c r="G12040" s="34" t="n">
        <f aca="false">SUMIFS('12.326ana'!$C:$C,'12.326ana'!$M:$M,redes!A12040)</f>
        <v>0</v>
      </c>
    </row>
    <row r="12041" customFormat="false" ht="14.4" hidden="true" customHeight="false" outlineLevel="0" collapsed="false">
      <c r="A12041" s="34" t="n">
        <v>11257153000135</v>
      </c>
      <c r="B12041" s="34" t="s">
        <v>23367</v>
      </c>
      <c r="C12041" s="34" t="s">
        <v>1680</v>
      </c>
      <c r="E12041" s="30" t="s">
        <v>23368</v>
      </c>
      <c r="F12041" s="34" t="n">
        <f aca="false">IFERROR(VLOOKUP($A12041,'319'!$B:$H,7,0),0)</f>
        <v>0</v>
      </c>
      <c r="G12041" s="34" t="n">
        <f aca="false">SUMIFS('12.326ana'!$C:$C,'12.326ana'!$M:$M,redes!A12041)</f>
        <v>0</v>
      </c>
    </row>
    <row r="12042" customFormat="false" ht="14.4" hidden="true" customHeight="false" outlineLevel="0" collapsed="false">
      <c r="A12042" s="34" t="n">
        <v>11259012000151</v>
      </c>
      <c r="B12042" s="34" t="s">
        <v>23369</v>
      </c>
      <c r="C12042" s="34" t="s">
        <v>107</v>
      </c>
      <c r="E12042" s="30" t="s">
        <v>23370</v>
      </c>
      <c r="F12042" s="34" t="n">
        <f aca="false">IFERROR(VLOOKUP($A12042,'319'!$B:$H,7,0),0)</f>
        <v>0</v>
      </c>
      <c r="G12042" s="34" t="n">
        <f aca="false">SUMIFS('12.326ana'!$C:$C,'12.326ana'!$M:$M,redes!A12042)</f>
        <v>0</v>
      </c>
    </row>
    <row r="12043" customFormat="false" ht="14.4" hidden="true" customHeight="false" outlineLevel="0" collapsed="false">
      <c r="A12043" s="34" t="n">
        <v>11259189000158</v>
      </c>
      <c r="B12043" s="34" t="s">
        <v>23371</v>
      </c>
      <c r="C12043" s="34" t="s">
        <v>107</v>
      </c>
      <c r="E12043" s="30" t="s">
        <v>23372</v>
      </c>
      <c r="F12043" s="34" t="n">
        <f aca="false">IFERROR(VLOOKUP($A12043,'319'!$B:$H,7,0),0)</f>
        <v>0</v>
      </c>
      <c r="G12043" s="34" t="n">
        <f aca="false">SUMIFS('12.326ana'!$C:$C,'12.326ana'!$M:$M,redes!A12043)</f>
        <v>0</v>
      </c>
    </row>
    <row r="12044" customFormat="false" ht="14.4" hidden="true" customHeight="false" outlineLevel="0" collapsed="false">
      <c r="A12044" s="34" t="n">
        <v>11259189000239</v>
      </c>
      <c r="B12044" s="34" t="s">
        <v>23371</v>
      </c>
      <c r="C12044" s="34" t="s">
        <v>342</v>
      </c>
      <c r="E12044" s="30" t="s">
        <v>23373</v>
      </c>
      <c r="F12044" s="34" t="n">
        <f aca="false">IFERROR(VLOOKUP($A12044,'319'!$B:$H,7,0),0)</f>
        <v>0</v>
      </c>
      <c r="G12044" s="34" t="n">
        <f aca="false">SUMIFS('12.326ana'!$C:$C,'12.326ana'!$M:$M,redes!A12044)</f>
        <v>0</v>
      </c>
    </row>
    <row r="12045" customFormat="false" ht="14.4" hidden="true" customHeight="false" outlineLevel="0" collapsed="false">
      <c r="A12045" s="34" t="n">
        <v>11262492000100</v>
      </c>
      <c r="B12045" s="34" t="s">
        <v>23374</v>
      </c>
      <c r="C12045" s="34" t="s">
        <v>77</v>
      </c>
      <c r="E12045" s="30" t="s">
        <v>13055</v>
      </c>
      <c r="F12045" s="34" t="n">
        <f aca="false">IFERROR(VLOOKUP($A12045,'319'!$B:$H,7,0),0)</f>
        <v>0</v>
      </c>
      <c r="G12045" s="34" t="n">
        <f aca="false">SUMIFS('12.326ana'!$C:$C,'12.326ana'!$M:$M,redes!A12045)</f>
        <v>0</v>
      </c>
    </row>
    <row r="12046" customFormat="false" ht="14.4" hidden="true" customHeight="false" outlineLevel="0" collapsed="false">
      <c r="A12046" s="34" t="n">
        <v>11268068000172</v>
      </c>
      <c r="B12046" s="34" t="s">
        <v>23375</v>
      </c>
      <c r="C12046" s="34" t="s">
        <v>77</v>
      </c>
      <c r="E12046" s="30" t="s">
        <v>23376</v>
      </c>
      <c r="F12046" s="34" t="n">
        <f aca="false">IFERROR(VLOOKUP($A12046,'319'!$B:$H,7,0),0)</f>
        <v>0</v>
      </c>
      <c r="G12046" s="34" t="n">
        <f aca="false">SUMIFS('12.326ana'!$C:$C,'12.326ana'!$M:$M,redes!A12046)</f>
        <v>0</v>
      </c>
    </row>
    <row r="12047" customFormat="false" ht="14.4" hidden="true" customHeight="false" outlineLevel="0" collapsed="false">
      <c r="A12047" s="34" t="n">
        <v>11277593000154</v>
      </c>
      <c r="B12047" s="34" t="s">
        <v>23377</v>
      </c>
      <c r="C12047" s="34" t="s">
        <v>448</v>
      </c>
      <c r="E12047" s="30" t="s">
        <v>23378</v>
      </c>
      <c r="F12047" s="34" t="n">
        <f aca="false">IFERROR(VLOOKUP($A12047,'319'!$B:$H,7,0),0)</f>
        <v>0</v>
      </c>
      <c r="G12047" s="34" t="n">
        <f aca="false">SUMIFS('12.326ana'!$C:$C,'12.326ana'!$M:$M,redes!A12047)</f>
        <v>0</v>
      </c>
    </row>
    <row r="12048" customFormat="false" ht="14.4" hidden="true" customHeight="false" outlineLevel="0" collapsed="false">
      <c r="A12048" s="34" t="n">
        <v>11277622000188</v>
      </c>
      <c r="B12048" s="34" t="s">
        <v>23379</v>
      </c>
      <c r="C12048" s="34" t="s">
        <v>89</v>
      </c>
      <c r="E12048" s="30" t="s">
        <v>23380</v>
      </c>
      <c r="F12048" s="34" t="n">
        <f aca="false">IFERROR(VLOOKUP($A12048,'319'!$B:$H,7,0),0)</f>
        <v>0</v>
      </c>
      <c r="G12048" s="34" t="n">
        <f aca="false">SUMIFS('12.326ana'!$C:$C,'12.326ana'!$M:$M,redes!A12048)</f>
        <v>0</v>
      </c>
    </row>
    <row r="12049" customFormat="false" ht="14.4" hidden="true" customHeight="false" outlineLevel="0" collapsed="false">
      <c r="A12049" s="34" t="n">
        <v>11284179000172</v>
      </c>
      <c r="B12049" s="34" t="s">
        <v>23381</v>
      </c>
      <c r="C12049" s="34" t="s">
        <v>107</v>
      </c>
      <c r="E12049" s="30" t="s">
        <v>23382</v>
      </c>
      <c r="F12049" s="34" t="n">
        <f aca="false">IFERROR(VLOOKUP($A12049,'319'!$B:$H,7,0),0)</f>
        <v>0</v>
      </c>
      <c r="G12049" s="34" t="n">
        <f aca="false">SUMIFS('12.326ana'!$C:$C,'12.326ana'!$M:$M,redes!A12049)</f>
        <v>0</v>
      </c>
    </row>
    <row r="12050" customFormat="false" ht="14.4" hidden="true" customHeight="false" outlineLevel="0" collapsed="false">
      <c r="A12050" s="34" t="n">
        <v>11285579000100</v>
      </c>
      <c r="B12050" s="34" t="s">
        <v>23383</v>
      </c>
      <c r="C12050" s="34" t="s">
        <v>77</v>
      </c>
      <c r="E12050" s="30" t="s">
        <v>23384</v>
      </c>
      <c r="F12050" s="34" t="n">
        <f aca="false">IFERROR(VLOOKUP($A12050,'319'!$B:$H,7,0),0)</f>
        <v>0</v>
      </c>
      <c r="G12050" s="34" t="n">
        <f aca="false">SUMIFS('12.326ana'!$C:$C,'12.326ana'!$M:$M,redes!A12050)</f>
        <v>0</v>
      </c>
    </row>
    <row r="12051" customFormat="false" ht="14.4" hidden="true" customHeight="false" outlineLevel="0" collapsed="false">
      <c r="A12051" s="34" t="n">
        <v>11288508000153</v>
      </c>
      <c r="B12051" s="34" t="s">
        <v>23385</v>
      </c>
      <c r="C12051" s="34" t="s">
        <v>464</v>
      </c>
      <c r="E12051" s="30" t="s">
        <v>13612</v>
      </c>
      <c r="F12051" s="34" t="n">
        <f aca="false">IFERROR(VLOOKUP($A12051,'319'!$B:$H,7,0),0)</f>
        <v>0</v>
      </c>
      <c r="G12051" s="34" t="n">
        <f aca="false">SUMIFS('12.326ana'!$C:$C,'12.326ana'!$M:$M,redes!A12051)</f>
        <v>0</v>
      </c>
    </row>
    <row r="12052" customFormat="false" ht="14.4" hidden="true" customHeight="false" outlineLevel="0" collapsed="false">
      <c r="A12052" s="34" t="n">
        <v>11289660000150</v>
      </c>
      <c r="B12052" s="34" t="s">
        <v>23386</v>
      </c>
      <c r="C12052" s="34" t="s">
        <v>77</v>
      </c>
      <c r="E12052" s="30" t="s">
        <v>23387</v>
      </c>
      <c r="F12052" s="34" t="n">
        <f aca="false">IFERROR(VLOOKUP($A12052,'319'!$B:$H,7,0),0)</f>
        <v>0</v>
      </c>
      <c r="G12052" s="34" t="n">
        <f aca="false">SUMIFS('12.326ana'!$C:$C,'12.326ana'!$M:$M,redes!A12052)</f>
        <v>0</v>
      </c>
    </row>
    <row r="12053" customFormat="false" ht="14.4" hidden="true" customHeight="false" outlineLevel="0" collapsed="false">
      <c r="A12053" s="34" t="n">
        <v>11289698000123</v>
      </c>
      <c r="B12053" s="34" t="s">
        <v>23388</v>
      </c>
      <c r="C12053" s="34" t="s">
        <v>77</v>
      </c>
      <c r="E12053" s="30" t="s">
        <v>23389</v>
      </c>
      <c r="F12053" s="34" t="n">
        <f aca="false">IFERROR(VLOOKUP($A12053,'319'!$B:$H,7,0),0)</f>
        <v>0</v>
      </c>
      <c r="G12053" s="34" t="n">
        <f aca="false">SUMIFS('12.326ana'!$C:$C,'12.326ana'!$M:$M,redes!A12053)</f>
        <v>0</v>
      </c>
    </row>
    <row r="12054" customFormat="false" ht="14.4" hidden="true" customHeight="false" outlineLevel="0" collapsed="false">
      <c r="A12054" s="34" t="n">
        <v>11289979000186</v>
      </c>
      <c r="B12054" s="34" t="s">
        <v>23390</v>
      </c>
      <c r="C12054" s="34" t="s">
        <v>631</v>
      </c>
      <c r="E12054" s="30" t="s">
        <v>6700</v>
      </c>
      <c r="F12054" s="34" t="n">
        <f aca="false">IFERROR(VLOOKUP($A12054,'319'!$B:$H,7,0),0)</f>
        <v>0</v>
      </c>
      <c r="G12054" s="34" t="n">
        <f aca="false">SUMIFS('12.326ana'!$C:$C,'12.326ana'!$M:$M,redes!A12054)</f>
        <v>0</v>
      </c>
    </row>
    <row r="12055" customFormat="false" ht="14.4" hidden="true" customHeight="false" outlineLevel="0" collapsed="false">
      <c r="A12055" s="34" t="n">
        <v>11290352000145</v>
      </c>
      <c r="B12055" s="34" t="s">
        <v>4777</v>
      </c>
      <c r="C12055" s="34" t="s">
        <v>192</v>
      </c>
      <c r="E12055" s="30" t="s">
        <v>23391</v>
      </c>
      <c r="F12055" s="34" t="n">
        <f aca="false">IFERROR(VLOOKUP($A12055,'319'!$B:$H,7,0),0)</f>
        <v>0</v>
      </c>
      <c r="G12055" s="34" t="n">
        <f aca="false">SUMIFS('12.326ana'!$C:$C,'12.326ana'!$M:$M,redes!A12055)</f>
        <v>0</v>
      </c>
    </row>
    <row r="12056" customFormat="false" ht="14.4" hidden="true" customHeight="false" outlineLevel="0" collapsed="false">
      <c r="A12056" s="34" t="n">
        <v>11300196000156</v>
      </c>
      <c r="B12056" s="34" t="s">
        <v>23392</v>
      </c>
      <c r="C12056" s="34" t="s">
        <v>77</v>
      </c>
      <c r="E12056" s="30" t="s">
        <v>23393</v>
      </c>
      <c r="F12056" s="34" t="n">
        <f aca="false">IFERROR(VLOOKUP($A12056,'319'!$B:$H,7,0),0)</f>
        <v>0</v>
      </c>
      <c r="G12056" s="34" t="n">
        <f aca="false">SUMIFS('12.326ana'!$C:$C,'12.326ana'!$M:$M,redes!A12056)</f>
        <v>0</v>
      </c>
    </row>
    <row r="12057" customFormat="false" ht="14.4" hidden="true" customHeight="false" outlineLevel="0" collapsed="false">
      <c r="A12057" s="34" t="n">
        <v>11304125000121</v>
      </c>
      <c r="B12057" s="34" t="s">
        <v>23394</v>
      </c>
      <c r="C12057" s="34" t="s">
        <v>77</v>
      </c>
      <c r="E12057" s="30" t="s">
        <v>5646</v>
      </c>
      <c r="F12057" s="34" t="n">
        <f aca="false">IFERROR(VLOOKUP($A12057,'319'!$B:$H,7,0),0)</f>
        <v>0</v>
      </c>
      <c r="G12057" s="34" t="n">
        <f aca="false">SUMIFS('12.326ana'!$C:$C,'12.326ana'!$M:$M,redes!A12057)</f>
        <v>0</v>
      </c>
    </row>
    <row r="12058" customFormat="false" ht="14.4" hidden="true" customHeight="false" outlineLevel="0" collapsed="false">
      <c r="A12058" s="34" t="n">
        <v>11307930000109</v>
      </c>
      <c r="B12058" s="34" t="s">
        <v>23395</v>
      </c>
      <c r="C12058" s="34" t="s">
        <v>139</v>
      </c>
      <c r="E12058" s="30" t="s">
        <v>23396</v>
      </c>
      <c r="F12058" s="34" t="n">
        <f aca="false">IFERROR(VLOOKUP($A12058,'319'!$B:$H,7,0),0)</f>
        <v>0</v>
      </c>
      <c r="G12058" s="34" t="n">
        <f aca="false">SUMIFS('12.326ana'!$C:$C,'12.326ana'!$M:$M,redes!A12058)</f>
        <v>0</v>
      </c>
    </row>
    <row r="12059" customFormat="false" ht="14.4" hidden="true" customHeight="false" outlineLevel="0" collapsed="false">
      <c r="A12059" s="34" t="n">
        <v>11309969000165</v>
      </c>
      <c r="B12059" s="34" t="s">
        <v>23397</v>
      </c>
      <c r="C12059" s="34" t="s">
        <v>77</v>
      </c>
      <c r="E12059" s="30" t="s">
        <v>23398</v>
      </c>
      <c r="F12059" s="34" t="n">
        <f aca="false">IFERROR(VLOOKUP($A12059,'319'!$B:$H,7,0),0)</f>
        <v>0</v>
      </c>
      <c r="G12059" s="34" t="n">
        <f aca="false">SUMIFS('12.326ana'!$C:$C,'12.326ana'!$M:$M,redes!A12059)</f>
        <v>0</v>
      </c>
    </row>
    <row r="12060" customFormat="false" ht="14.4" hidden="true" customHeight="false" outlineLevel="0" collapsed="false">
      <c r="A12060" s="34" t="n">
        <v>11311873000131</v>
      </c>
      <c r="B12060" s="34" t="s">
        <v>734</v>
      </c>
      <c r="C12060" s="34" t="s">
        <v>336</v>
      </c>
      <c r="D12060" s="34" t="s">
        <v>36</v>
      </c>
      <c r="E12060" s="30" t="s">
        <v>2909</v>
      </c>
      <c r="F12060" s="34" t="n">
        <f aca="false">IFERROR(VLOOKUP($A12060,'319'!$B:$H,7,0),0)</f>
        <v>3066.66</v>
      </c>
      <c r="G12060" s="34" t="n">
        <f aca="false">SUMIFS('12.326ana'!$C:$C,'12.326ana'!$M:$M,redes!A12060)</f>
        <v>0</v>
      </c>
    </row>
    <row r="12061" customFormat="false" ht="14.4" hidden="true" customHeight="false" outlineLevel="0" collapsed="false">
      <c r="A12061" s="34" t="n">
        <v>11311873000212</v>
      </c>
      <c r="B12061" s="34" t="s">
        <v>734</v>
      </c>
      <c r="C12061" s="34" t="s">
        <v>336</v>
      </c>
      <c r="D12061" s="34" t="s">
        <v>36</v>
      </c>
      <c r="E12061" s="30" t="s">
        <v>2956</v>
      </c>
      <c r="F12061" s="34" t="n">
        <f aca="false">IFERROR(VLOOKUP($A12061,'319'!$B:$H,7,0),0)</f>
        <v>1977.64</v>
      </c>
      <c r="G12061" s="34" t="n">
        <f aca="false">SUMIFS('12.326ana'!$C:$C,'12.326ana'!$M:$M,redes!A12061)</f>
        <v>0</v>
      </c>
    </row>
    <row r="12062" customFormat="false" ht="14.4" hidden="true" customHeight="false" outlineLevel="0" collapsed="false">
      <c r="A12062" s="34" t="n">
        <v>11311873000301</v>
      </c>
      <c r="B12062" s="34" t="s">
        <v>2911</v>
      </c>
      <c r="C12062" s="34" t="s">
        <v>342</v>
      </c>
      <c r="D12062" s="34" t="s">
        <v>36</v>
      </c>
      <c r="E12062" s="30" t="s">
        <v>2912</v>
      </c>
      <c r="F12062" s="34" t="n">
        <f aca="false">IFERROR(VLOOKUP($A12062,'319'!$B:$H,7,0),0)</f>
        <v>5218.58</v>
      </c>
      <c r="G12062" s="34" t="n">
        <f aca="false">SUMIFS('12.326ana'!$C:$C,'12.326ana'!$M:$M,redes!A12062)</f>
        <v>0</v>
      </c>
    </row>
    <row r="12063" customFormat="false" ht="14.4" hidden="true" customHeight="false" outlineLevel="0" collapsed="false">
      <c r="A12063" s="34" t="n">
        <v>11313306000114</v>
      </c>
      <c r="B12063" s="34" t="s">
        <v>23399</v>
      </c>
      <c r="C12063" s="34" t="s">
        <v>463</v>
      </c>
      <c r="E12063" s="30" t="s">
        <v>23400</v>
      </c>
      <c r="F12063" s="34" t="n">
        <f aca="false">IFERROR(VLOOKUP($A12063,'319'!$B:$H,7,0),0)</f>
        <v>0</v>
      </c>
      <c r="G12063" s="34" t="n">
        <f aca="false">SUMIFS('12.326ana'!$C:$C,'12.326ana'!$M:$M,redes!A12063)</f>
        <v>0</v>
      </c>
    </row>
    <row r="12064" customFormat="false" ht="14.4" hidden="true" customHeight="false" outlineLevel="0" collapsed="false">
      <c r="A12064" s="34" t="n">
        <v>11314151000130</v>
      </c>
      <c r="B12064" s="34" t="s">
        <v>23401</v>
      </c>
      <c r="C12064" s="34" t="s">
        <v>77</v>
      </c>
      <c r="E12064" s="30" t="s">
        <v>16812</v>
      </c>
      <c r="F12064" s="34" t="n">
        <f aca="false">IFERROR(VLOOKUP($A12064,'319'!$B:$H,7,0),0)</f>
        <v>0</v>
      </c>
      <c r="G12064" s="34" t="n">
        <f aca="false">SUMIFS('12.326ana'!$C:$C,'12.326ana'!$M:$M,redes!A12064)</f>
        <v>0</v>
      </c>
    </row>
    <row r="12065" customFormat="false" ht="14.4" hidden="true" customHeight="false" outlineLevel="0" collapsed="false">
      <c r="A12065" s="34" t="n">
        <v>11316206000141</v>
      </c>
      <c r="B12065" s="34" t="s">
        <v>23402</v>
      </c>
      <c r="C12065" s="34" t="s">
        <v>77</v>
      </c>
      <c r="E12065" s="30" t="s">
        <v>23403</v>
      </c>
      <c r="F12065" s="34" t="n">
        <f aca="false">IFERROR(VLOOKUP($A12065,'319'!$B:$H,7,0),0)</f>
        <v>0</v>
      </c>
      <c r="G12065" s="34" t="n">
        <f aca="false">SUMIFS('12.326ana'!$C:$C,'12.326ana'!$M:$M,redes!A12065)</f>
        <v>0</v>
      </c>
    </row>
    <row r="12066" customFormat="false" ht="14.4" hidden="true" customHeight="false" outlineLevel="0" collapsed="false">
      <c r="A12066" s="34" t="n">
        <v>11325730000189</v>
      </c>
      <c r="B12066" s="34" t="s">
        <v>23404</v>
      </c>
      <c r="C12066" s="34" t="s">
        <v>1272</v>
      </c>
      <c r="E12066" s="30" t="s">
        <v>23405</v>
      </c>
      <c r="F12066" s="34" t="n">
        <f aca="false">IFERROR(VLOOKUP($A12066,'319'!$B:$H,7,0),0)</f>
        <v>0</v>
      </c>
      <c r="G12066" s="34" t="n">
        <f aca="false">SUMIFS('12.326ana'!$C:$C,'12.326ana'!$M:$M,redes!A12066)</f>
        <v>0</v>
      </c>
    </row>
    <row r="12067" customFormat="false" ht="14.4" hidden="true" customHeight="false" outlineLevel="0" collapsed="false">
      <c r="A12067" s="34" t="n">
        <v>11326829000103</v>
      </c>
      <c r="B12067" s="34" t="s">
        <v>23406</v>
      </c>
      <c r="C12067" s="34" t="s">
        <v>3594</v>
      </c>
      <c r="E12067" s="30" t="s">
        <v>3794</v>
      </c>
      <c r="F12067" s="34" t="n">
        <f aca="false">IFERROR(VLOOKUP($A12067,'319'!$B:$H,7,0),0)</f>
        <v>0</v>
      </c>
      <c r="G12067" s="34" t="n">
        <f aca="false">SUMIFS('12.326ana'!$C:$C,'12.326ana'!$M:$M,redes!A12067)</f>
        <v>0</v>
      </c>
    </row>
    <row r="12068" customFormat="false" ht="14.4" hidden="true" customHeight="false" outlineLevel="0" collapsed="false">
      <c r="A12068" s="34" t="n">
        <v>11329921000119</v>
      </c>
      <c r="B12068" s="34" t="s">
        <v>23407</v>
      </c>
      <c r="C12068" s="34" t="s">
        <v>77</v>
      </c>
      <c r="E12068" s="30" t="s">
        <v>5444</v>
      </c>
      <c r="F12068" s="34" t="n">
        <f aca="false">IFERROR(VLOOKUP($A12068,'319'!$B:$H,7,0),0)</f>
        <v>0</v>
      </c>
      <c r="G12068" s="34" t="n">
        <f aca="false">SUMIFS('12.326ana'!$C:$C,'12.326ana'!$M:$M,redes!A12068)</f>
        <v>0</v>
      </c>
    </row>
    <row r="12069" customFormat="false" ht="14.4" hidden="true" customHeight="false" outlineLevel="0" collapsed="false">
      <c r="A12069" s="34" t="n">
        <v>11330532000103</v>
      </c>
      <c r="B12069" s="34" t="s">
        <v>23408</v>
      </c>
      <c r="C12069" s="34" t="s">
        <v>77</v>
      </c>
      <c r="E12069" s="30" t="s">
        <v>23409</v>
      </c>
      <c r="F12069" s="34" t="n">
        <f aca="false">IFERROR(VLOOKUP($A12069,'319'!$B:$H,7,0),0)</f>
        <v>0</v>
      </c>
      <c r="G12069" s="34" t="n">
        <f aca="false">SUMIFS('12.326ana'!$C:$C,'12.326ana'!$M:$M,redes!A12069)</f>
        <v>0</v>
      </c>
    </row>
    <row r="12070" customFormat="false" ht="14.4" hidden="true" customHeight="false" outlineLevel="0" collapsed="false">
      <c r="A12070" s="34" t="n">
        <v>11334076000170</v>
      </c>
      <c r="B12070" s="34" t="s">
        <v>23410</v>
      </c>
      <c r="C12070" s="34" t="s">
        <v>77</v>
      </c>
      <c r="E12070" s="30" t="s">
        <v>10738</v>
      </c>
      <c r="F12070" s="34" t="n">
        <f aca="false">IFERROR(VLOOKUP($A12070,'319'!$B:$H,7,0),0)</f>
        <v>0</v>
      </c>
      <c r="G12070" s="34" t="n">
        <f aca="false">SUMIFS('12.326ana'!$C:$C,'12.326ana'!$M:$M,redes!A12070)</f>
        <v>0</v>
      </c>
    </row>
    <row r="12071" customFormat="false" ht="14.4" hidden="true" customHeight="false" outlineLevel="0" collapsed="false">
      <c r="A12071" s="34" t="n">
        <v>11335070000117</v>
      </c>
      <c r="B12071" s="34" t="s">
        <v>23411</v>
      </c>
      <c r="C12071" s="34" t="s">
        <v>77</v>
      </c>
      <c r="E12071" s="30" t="s">
        <v>23412</v>
      </c>
      <c r="F12071" s="34" t="n">
        <f aca="false">IFERROR(VLOOKUP($A12071,'319'!$B:$H,7,0),0)</f>
        <v>0</v>
      </c>
      <c r="G12071" s="34" t="n">
        <f aca="false">SUMIFS('12.326ana'!$C:$C,'12.326ana'!$M:$M,redes!A12071)</f>
        <v>0</v>
      </c>
    </row>
    <row r="12072" customFormat="false" ht="14.4" hidden="true" customHeight="false" outlineLevel="0" collapsed="false">
      <c r="A12072" s="34" t="n">
        <v>11336977000109</v>
      </c>
      <c r="B12072" s="34" t="s">
        <v>23413</v>
      </c>
      <c r="C12072" s="34" t="s">
        <v>604</v>
      </c>
      <c r="E12072" s="30" t="s">
        <v>23414</v>
      </c>
      <c r="F12072" s="34" t="n">
        <f aca="false">IFERROR(VLOOKUP($A12072,'319'!$B:$H,7,0),0)</f>
        <v>0</v>
      </c>
      <c r="G12072" s="34" t="n">
        <f aca="false">SUMIFS('12.326ana'!$C:$C,'12.326ana'!$M:$M,redes!A12072)</f>
        <v>0</v>
      </c>
    </row>
    <row r="12073" customFormat="false" ht="14.4" hidden="true" customHeight="false" outlineLevel="0" collapsed="false">
      <c r="A12073" s="34" t="n">
        <v>11337493000176</v>
      </c>
      <c r="B12073" s="34" t="s">
        <v>23415</v>
      </c>
      <c r="C12073" s="34" t="s">
        <v>77</v>
      </c>
      <c r="E12073" s="30" t="s">
        <v>23416</v>
      </c>
      <c r="F12073" s="34" t="n">
        <f aca="false">IFERROR(VLOOKUP($A12073,'319'!$B:$H,7,0),0)</f>
        <v>0</v>
      </c>
      <c r="G12073" s="34" t="n">
        <f aca="false">SUMIFS('12.326ana'!$C:$C,'12.326ana'!$M:$M,redes!A12073)</f>
        <v>0</v>
      </c>
    </row>
    <row r="12074" customFormat="false" ht="14.4" hidden="true" customHeight="false" outlineLevel="0" collapsed="false">
      <c r="A12074" s="34" t="n">
        <v>11337569000163</v>
      </c>
      <c r="B12074" s="34" t="s">
        <v>23417</v>
      </c>
      <c r="C12074" s="34" t="s">
        <v>89</v>
      </c>
      <c r="E12074" s="30" t="s">
        <v>23418</v>
      </c>
      <c r="F12074" s="34" t="n">
        <f aca="false">IFERROR(VLOOKUP($A12074,'319'!$B:$H,7,0),0)</f>
        <v>0</v>
      </c>
      <c r="G12074" s="34" t="n">
        <f aca="false">SUMIFS('12.326ana'!$C:$C,'12.326ana'!$M:$M,redes!A12074)</f>
        <v>0</v>
      </c>
    </row>
    <row r="12075" customFormat="false" ht="14.4" hidden="true" customHeight="false" outlineLevel="0" collapsed="false">
      <c r="A12075" s="34" t="n">
        <v>11347486000155</v>
      </c>
      <c r="B12075" s="34" t="s">
        <v>23419</v>
      </c>
      <c r="C12075" s="34" t="s">
        <v>77</v>
      </c>
      <c r="E12075" s="30" t="s">
        <v>23420</v>
      </c>
      <c r="F12075" s="34" t="n">
        <f aca="false">IFERROR(VLOOKUP($A12075,'319'!$B:$H,7,0),0)</f>
        <v>0</v>
      </c>
      <c r="G12075" s="34" t="n">
        <f aca="false">SUMIFS('12.326ana'!$C:$C,'12.326ana'!$M:$M,redes!A12075)</f>
        <v>0</v>
      </c>
    </row>
    <row r="12076" customFormat="false" ht="14.4" hidden="true" customHeight="false" outlineLevel="0" collapsed="false">
      <c r="A12076" s="34" t="n">
        <v>11352253000140</v>
      </c>
      <c r="B12076" s="34" t="s">
        <v>1069</v>
      </c>
      <c r="C12076" s="34" t="s">
        <v>77</v>
      </c>
      <c r="E12076" s="30" t="s">
        <v>23421</v>
      </c>
      <c r="F12076" s="34" t="n">
        <f aca="false">IFERROR(VLOOKUP($A12076,'319'!$B:$H,7,0),0)</f>
        <v>672.23</v>
      </c>
      <c r="G12076" s="34" t="n">
        <f aca="false">SUMIFS('12.326ana'!$C:$C,'12.326ana'!$M:$M,redes!A12076)</f>
        <v>0</v>
      </c>
    </row>
    <row r="12077" customFormat="false" ht="14.4" hidden="true" customHeight="false" outlineLevel="0" collapsed="false">
      <c r="A12077" s="34" t="n">
        <v>11355581000109</v>
      </c>
      <c r="B12077" s="34" t="s">
        <v>23422</v>
      </c>
      <c r="C12077" s="34" t="s">
        <v>77</v>
      </c>
      <c r="E12077" s="30"/>
      <c r="F12077" s="34" t="n">
        <f aca="false">IFERROR(VLOOKUP($A12077,'319'!$B:$H,7,0),0)</f>
        <v>0</v>
      </c>
      <c r="G12077" s="34" t="n">
        <f aca="false">SUMIFS('12.326ana'!$C:$C,'12.326ana'!$M:$M,redes!A12077)</f>
        <v>0</v>
      </c>
    </row>
    <row r="12078" customFormat="false" ht="14.4" hidden="true" customHeight="false" outlineLevel="0" collapsed="false">
      <c r="A12078" s="34" t="n">
        <v>11356651000135</v>
      </c>
      <c r="B12078" s="34" t="s">
        <v>23423</v>
      </c>
      <c r="C12078" s="34" t="s">
        <v>107</v>
      </c>
      <c r="E12078" s="30" t="s">
        <v>23424</v>
      </c>
      <c r="F12078" s="34" t="n">
        <f aca="false">IFERROR(VLOOKUP($A12078,'319'!$B:$H,7,0),0)</f>
        <v>0</v>
      </c>
      <c r="G12078" s="34" t="n">
        <f aca="false">SUMIFS('12.326ana'!$C:$C,'12.326ana'!$M:$M,redes!A12078)</f>
        <v>0</v>
      </c>
    </row>
    <row r="12079" customFormat="false" ht="14.4" hidden="true" customHeight="false" outlineLevel="0" collapsed="false">
      <c r="A12079" s="34" t="n">
        <v>11357078000184</v>
      </c>
      <c r="B12079" s="34" t="s">
        <v>1305</v>
      </c>
      <c r="C12079" s="34" t="s">
        <v>1306</v>
      </c>
      <c r="E12079" s="30" t="s">
        <v>4674</v>
      </c>
      <c r="F12079" s="34" t="n">
        <f aca="false">IFERROR(VLOOKUP($A12079,'319'!$B:$H,7,0),0)</f>
        <v>253.51</v>
      </c>
      <c r="G12079" s="34" t="n">
        <f aca="false">SUMIFS('12.326ana'!$C:$C,'12.326ana'!$M:$M,redes!A12079)</f>
        <v>0</v>
      </c>
    </row>
    <row r="12080" customFormat="false" ht="14.4" hidden="true" customHeight="false" outlineLevel="0" collapsed="false">
      <c r="A12080" s="34" t="n">
        <v>11360046000138</v>
      </c>
      <c r="B12080" s="34" t="s">
        <v>23425</v>
      </c>
      <c r="C12080" s="34" t="s">
        <v>357</v>
      </c>
      <c r="E12080" s="30" t="s">
        <v>13293</v>
      </c>
      <c r="F12080" s="34" t="n">
        <f aca="false">IFERROR(VLOOKUP($A12080,'319'!$B:$H,7,0),0)</f>
        <v>0</v>
      </c>
      <c r="G12080" s="34" t="n">
        <f aca="false">SUMIFS('12.326ana'!$C:$C,'12.326ana'!$M:$M,redes!A12080)</f>
        <v>0</v>
      </c>
    </row>
    <row r="12081" customFormat="false" ht="14.4" hidden="true" customHeight="false" outlineLevel="0" collapsed="false">
      <c r="A12081" s="34" t="n">
        <v>11364420000173</v>
      </c>
      <c r="B12081" s="34" t="s">
        <v>23426</v>
      </c>
      <c r="C12081" s="34" t="s">
        <v>77</v>
      </c>
      <c r="E12081" s="30" t="s">
        <v>23427</v>
      </c>
      <c r="F12081" s="34" t="n">
        <f aca="false">IFERROR(VLOOKUP($A12081,'319'!$B:$H,7,0),0)</f>
        <v>0</v>
      </c>
      <c r="G12081" s="34" t="n">
        <f aca="false">SUMIFS('12.326ana'!$C:$C,'12.326ana'!$M:$M,redes!A12081)</f>
        <v>0</v>
      </c>
    </row>
    <row r="12082" customFormat="false" ht="14.4" hidden="true" customHeight="false" outlineLevel="0" collapsed="false">
      <c r="A12082" s="34" t="n">
        <v>11364446000111</v>
      </c>
      <c r="B12082" s="34" t="s">
        <v>23428</v>
      </c>
      <c r="C12082" s="34" t="s">
        <v>107</v>
      </c>
      <c r="E12082" s="30" t="s">
        <v>23428</v>
      </c>
      <c r="F12082" s="34" t="n">
        <f aca="false">IFERROR(VLOOKUP($A12082,'319'!$B:$H,7,0),0)</f>
        <v>0</v>
      </c>
      <c r="G12082" s="34" t="n">
        <f aca="false">SUMIFS('12.326ana'!$C:$C,'12.326ana'!$M:$M,redes!A12082)</f>
        <v>0</v>
      </c>
    </row>
    <row r="12083" customFormat="false" ht="14.4" hidden="true" customHeight="false" outlineLevel="0" collapsed="false">
      <c r="A12083" s="34" t="n">
        <v>11365268000143</v>
      </c>
      <c r="B12083" s="34" t="s">
        <v>23429</v>
      </c>
      <c r="C12083" s="34" t="s">
        <v>77</v>
      </c>
      <c r="E12083" s="30" t="s">
        <v>23430</v>
      </c>
      <c r="F12083" s="34" t="n">
        <f aca="false">IFERROR(VLOOKUP($A12083,'319'!$B:$H,7,0),0)</f>
        <v>0</v>
      </c>
      <c r="G12083" s="34" t="n">
        <f aca="false">SUMIFS('12.326ana'!$C:$C,'12.326ana'!$M:$M,redes!A12083)</f>
        <v>0</v>
      </c>
    </row>
    <row r="12084" customFormat="false" ht="14.4" hidden="true" customHeight="false" outlineLevel="0" collapsed="false">
      <c r="A12084" s="34" t="n">
        <v>11365545000118</v>
      </c>
      <c r="B12084" s="34" t="s">
        <v>23431</v>
      </c>
      <c r="C12084" s="34" t="s">
        <v>1306</v>
      </c>
      <c r="E12084" s="30" t="s">
        <v>23432</v>
      </c>
      <c r="F12084" s="34" t="n">
        <f aca="false">IFERROR(VLOOKUP($A12084,'319'!$B:$H,7,0),0)</f>
        <v>0</v>
      </c>
      <c r="G12084" s="34" t="n">
        <f aca="false">SUMIFS('12.326ana'!$C:$C,'12.326ana'!$M:$M,redes!A12084)</f>
        <v>0</v>
      </c>
    </row>
    <row r="12085" customFormat="false" ht="14.4" hidden="true" customHeight="false" outlineLevel="0" collapsed="false">
      <c r="A12085" s="34" t="n">
        <v>11368299000158</v>
      </c>
      <c r="B12085" s="34" t="s">
        <v>23433</v>
      </c>
      <c r="C12085" s="34" t="s">
        <v>737</v>
      </c>
      <c r="E12085" s="30" t="s">
        <v>23434</v>
      </c>
      <c r="F12085" s="34" t="n">
        <f aca="false">IFERROR(VLOOKUP($A12085,'319'!$B:$H,7,0),0)</f>
        <v>0</v>
      </c>
      <c r="G12085" s="34" t="n">
        <f aca="false">SUMIFS('12.326ana'!$C:$C,'12.326ana'!$M:$M,redes!A12085)</f>
        <v>0</v>
      </c>
    </row>
    <row r="12086" customFormat="false" ht="14.4" hidden="true" customHeight="false" outlineLevel="0" collapsed="false">
      <c r="A12086" s="34" t="n">
        <v>11368332000301</v>
      </c>
      <c r="B12086" s="34" t="s">
        <v>23435</v>
      </c>
      <c r="C12086" s="34" t="s">
        <v>77</v>
      </c>
      <c r="E12086" s="30" t="s">
        <v>23436</v>
      </c>
      <c r="F12086" s="34" t="n">
        <f aca="false">IFERROR(VLOOKUP($A12086,'319'!$B:$H,7,0),0)</f>
        <v>0</v>
      </c>
      <c r="G12086" s="34" t="n">
        <f aca="false">SUMIFS('12.326ana'!$C:$C,'12.326ana'!$M:$M,redes!A12086)</f>
        <v>0</v>
      </c>
    </row>
    <row r="12087" customFormat="false" ht="14.4" hidden="true" customHeight="false" outlineLevel="0" collapsed="false">
      <c r="A12087" s="34" t="n">
        <v>11376396000192</v>
      </c>
      <c r="B12087" s="34" t="s">
        <v>23437</v>
      </c>
      <c r="C12087" s="34" t="s">
        <v>107</v>
      </c>
      <c r="E12087" s="30" t="s">
        <v>23438</v>
      </c>
      <c r="F12087" s="34" t="n">
        <f aca="false">IFERROR(VLOOKUP($A12087,'319'!$B:$H,7,0),0)</f>
        <v>0</v>
      </c>
      <c r="G12087" s="34" t="n">
        <f aca="false">SUMIFS('12.326ana'!$C:$C,'12.326ana'!$M:$M,redes!A12087)</f>
        <v>0</v>
      </c>
    </row>
    <row r="12088" customFormat="false" ht="14.4" hidden="true" customHeight="false" outlineLevel="0" collapsed="false">
      <c r="A12088" s="34" t="n">
        <v>11377029000103</v>
      </c>
      <c r="B12088" s="34" t="s">
        <v>23439</v>
      </c>
      <c r="C12088" s="34" t="s">
        <v>631</v>
      </c>
      <c r="E12088" s="30" t="s">
        <v>10099</v>
      </c>
      <c r="F12088" s="34" t="n">
        <f aca="false">IFERROR(VLOOKUP($A12088,'319'!$B:$H,7,0),0)</f>
        <v>0</v>
      </c>
      <c r="G12088" s="34" t="n">
        <f aca="false">SUMIFS('12.326ana'!$C:$C,'12.326ana'!$M:$M,redes!A12088)</f>
        <v>0</v>
      </c>
    </row>
    <row r="12089" customFormat="false" ht="14.4" hidden="true" customHeight="false" outlineLevel="0" collapsed="false">
      <c r="A12089" s="34" t="n">
        <v>11387197000180</v>
      </c>
      <c r="B12089" s="34" t="s">
        <v>23440</v>
      </c>
      <c r="C12089" s="34" t="s">
        <v>77</v>
      </c>
      <c r="E12089" s="30" t="s">
        <v>23441</v>
      </c>
      <c r="F12089" s="34" t="n">
        <f aca="false">IFERROR(VLOOKUP($A12089,'319'!$B:$H,7,0),0)</f>
        <v>0</v>
      </c>
      <c r="G12089" s="34" t="n">
        <f aca="false">SUMIFS('12.326ana'!$C:$C,'12.326ana'!$M:$M,redes!A12089)</f>
        <v>0</v>
      </c>
    </row>
    <row r="12090" customFormat="false" ht="14.4" hidden="true" customHeight="false" outlineLevel="0" collapsed="false">
      <c r="A12090" s="34" t="n">
        <v>11388699000125</v>
      </c>
      <c r="B12090" s="34" t="s">
        <v>23442</v>
      </c>
      <c r="C12090" s="34" t="s">
        <v>192</v>
      </c>
      <c r="E12090" s="30" t="s">
        <v>23443</v>
      </c>
      <c r="F12090" s="34" t="n">
        <f aca="false">IFERROR(VLOOKUP($A12090,'319'!$B:$H,7,0),0)</f>
        <v>0</v>
      </c>
      <c r="G12090" s="34" t="n">
        <f aca="false">SUMIFS('12.326ana'!$C:$C,'12.326ana'!$M:$M,redes!A12090)</f>
        <v>0</v>
      </c>
    </row>
    <row r="12091" customFormat="false" ht="14.4" hidden="true" customHeight="false" outlineLevel="0" collapsed="false">
      <c r="A12091" s="34" t="n">
        <v>11388891000111</v>
      </c>
      <c r="B12091" s="34" t="s">
        <v>23444</v>
      </c>
      <c r="C12091" s="34" t="s">
        <v>77</v>
      </c>
      <c r="E12091" s="30" t="s">
        <v>23445</v>
      </c>
      <c r="F12091" s="34" t="n">
        <f aca="false">IFERROR(VLOOKUP($A12091,'319'!$B:$H,7,0),0)</f>
        <v>0</v>
      </c>
      <c r="G12091" s="34" t="n">
        <f aca="false">SUMIFS('12.326ana'!$C:$C,'12.326ana'!$M:$M,redes!A12091)</f>
        <v>0</v>
      </c>
    </row>
    <row r="12092" customFormat="false" ht="14.4" hidden="true" customHeight="false" outlineLevel="0" collapsed="false">
      <c r="A12092" s="34" t="n">
        <v>11388946000193</v>
      </c>
      <c r="B12092" s="34" t="s">
        <v>23446</v>
      </c>
      <c r="C12092" s="34" t="s">
        <v>77</v>
      </c>
      <c r="E12092" s="30" t="s">
        <v>23447</v>
      </c>
      <c r="F12092" s="34" t="n">
        <f aca="false">IFERROR(VLOOKUP($A12092,'319'!$B:$H,7,0),0)</f>
        <v>0</v>
      </c>
      <c r="G12092" s="34" t="n">
        <f aca="false">SUMIFS('12.326ana'!$C:$C,'12.326ana'!$M:$M,redes!A12092)</f>
        <v>0</v>
      </c>
    </row>
    <row r="12093" customFormat="false" ht="14.4" hidden="true" customHeight="false" outlineLevel="0" collapsed="false">
      <c r="A12093" s="34" t="n">
        <v>11393168000120</v>
      </c>
      <c r="B12093" s="34" t="s">
        <v>23448</v>
      </c>
      <c r="C12093" s="34" t="s">
        <v>197</v>
      </c>
      <c r="E12093" s="30" t="s">
        <v>18371</v>
      </c>
      <c r="F12093" s="34" t="n">
        <f aca="false">IFERROR(VLOOKUP($A12093,'319'!$B:$H,7,0),0)</f>
        <v>0</v>
      </c>
      <c r="G12093" s="34" t="n">
        <f aca="false">SUMIFS('12.326ana'!$C:$C,'12.326ana'!$M:$M,redes!A12093)</f>
        <v>0</v>
      </c>
    </row>
    <row r="12094" customFormat="false" ht="14.4" hidden="true" customHeight="false" outlineLevel="0" collapsed="false">
      <c r="A12094" s="34" t="n">
        <v>11404721000183</v>
      </c>
      <c r="B12094" s="34" t="s">
        <v>23449</v>
      </c>
      <c r="C12094" s="34" t="s">
        <v>77</v>
      </c>
      <c r="E12094" s="30" t="s">
        <v>23450</v>
      </c>
      <c r="F12094" s="34" t="n">
        <f aca="false">IFERROR(VLOOKUP($A12094,'319'!$B:$H,7,0),0)</f>
        <v>0</v>
      </c>
      <c r="G12094" s="34" t="n">
        <f aca="false">SUMIFS('12.326ana'!$C:$C,'12.326ana'!$M:$M,redes!A12094)</f>
        <v>0</v>
      </c>
    </row>
    <row r="12095" customFormat="false" ht="14.4" hidden="true" customHeight="false" outlineLevel="0" collapsed="false">
      <c r="A12095" s="34" t="n">
        <v>11404915000189</v>
      </c>
      <c r="B12095" s="34" t="s">
        <v>23451</v>
      </c>
      <c r="C12095" s="34" t="s">
        <v>77</v>
      </c>
      <c r="E12095" s="30" t="s">
        <v>23452</v>
      </c>
      <c r="F12095" s="34" t="n">
        <f aca="false">IFERROR(VLOOKUP($A12095,'319'!$B:$H,7,0),0)</f>
        <v>0</v>
      </c>
      <c r="G12095" s="34" t="n">
        <f aca="false">SUMIFS('12.326ana'!$C:$C,'12.326ana'!$M:$M,redes!A12095)</f>
        <v>0</v>
      </c>
    </row>
    <row r="12096" customFormat="false" ht="14.4" hidden="true" customHeight="false" outlineLevel="0" collapsed="false">
      <c r="A12096" s="34" t="n">
        <v>11404979000180</v>
      </c>
      <c r="B12096" s="34" t="s">
        <v>23453</v>
      </c>
      <c r="C12096" s="34" t="s">
        <v>12298</v>
      </c>
      <c r="D12096" s="34" t="s">
        <v>9598</v>
      </c>
      <c r="E12096" s="30" t="s">
        <v>23454</v>
      </c>
      <c r="F12096" s="34" t="n">
        <f aca="false">IFERROR(VLOOKUP($A12096,'319'!$B:$H,7,0),0)</f>
        <v>0</v>
      </c>
      <c r="G12096" s="34" t="n">
        <f aca="false">SUMIFS('12.326ana'!$C:$C,'12.326ana'!$M:$M,redes!A12096)</f>
        <v>0</v>
      </c>
    </row>
    <row r="12097" customFormat="false" ht="14.4" hidden="true" customHeight="false" outlineLevel="0" collapsed="false">
      <c r="A12097" s="34" t="n">
        <v>11408658000153</v>
      </c>
      <c r="B12097" s="34" t="s">
        <v>23455</v>
      </c>
      <c r="C12097" s="34" t="s">
        <v>77</v>
      </c>
      <c r="E12097" s="30" t="s">
        <v>23456</v>
      </c>
      <c r="F12097" s="34" t="n">
        <f aca="false">IFERROR(VLOOKUP($A12097,'319'!$B:$H,7,0),0)</f>
        <v>0</v>
      </c>
      <c r="G12097" s="34" t="n">
        <f aca="false">SUMIFS('12.326ana'!$C:$C,'12.326ana'!$M:$M,redes!A12097)</f>
        <v>0</v>
      </c>
    </row>
    <row r="12098" customFormat="false" ht="14.4" hidden="true" customHeight="false" outlineLevel="0" collapsed="false">
      <c r="A12098" s="34" t="n">
        <v>11410634000139</v>
      </c>
      <c r="B12098" s="34" t="s">
        <v>23457</v>
      </c>
      <c r="C12098" s="34" t="s">
        <v>77</v>
      </c>
      <c r="E12098" s="30" t="s">
        <v>23458</v>
      </c>
      <c r="F12098" s="34" t="n">
        <f aca="false">IFERROR(VLOOKUP($A12098,'319'!$B:$H,7,0),0)</f>
        <v>0</v>
      </c>
      <c r="G12098" s="34" t="n">
        <f aca="false">SUMIFS('12.326ana'!$C:$C,'12.326ana'!$M:$M,redes!A12098)</f>
        <v>0</v>
      </c>
    </row>
    <row r="12099" customFormat="false" ht="14.4" hidden="true" customHeight="false" outlineLevel="0" collapsed="false">
      <c r="A12099" s="34" t="n">
        <v>11411195000189</v>
      </c>
      <c r="B12099" s="34" t="s">
        <v>23459</v>
      </c>
      <c r="C12099" s="34" t="s">
        <v>77</v>
      </c>
      <c r="E12099" s="30" t="s">
        <v>23456</v>
      </c>
      <c r="F12099" s="34" t="n">
        <f aca="false">IFERROR(VLOOKUP($A12099,'319'!$B:$H,7,0),0)</f>
        <v>0</v>
      </c>
      <c r="G12099" s="34" t="n">
        <f aca="false">SUMIFS('12.326ana'!$C:$C,'12.326ana'!$M:$M,redes!A12099)</f>
        <v>0</v>
      </c>
    </row>
    <row r="12100" customFormat="false" ht="14.4" hidden="true" customHeight="false" outlineLevel="0" collapsed="false">
      <c r="A12100" s="34" t="n">
        <v>11411217000100</v>
      </c>
      <c r="B12100" s="34" t="s">
        <v>23460</v>
      </c>
      <c r="C12100" s="34" t="s">
        <v>77</v>
      </c>
      <c r="E12100" s="30" t="s">
        <v>23461</v>
      </c>
      <c r="F12100" s="34" t="n">
        <f aca="false">IFERROR(VLOOKUP($A12100,'319'!$B:$H,7,0),0)</f>
        <v>0</v>
      </c>
      <c r="G12100" s="34" t="n">
        <f aca="false">SUMIFS('12.326ana'!$C:$C,'12.326ana'!$M:$M,redes!A12100)</f>
        <v>0</v>
      </c>
    </row>
    <row r="12101" customFormat="false" ht="14.4" hidden="true" customHeight="false" outlineLevel="0" collapsed="false">
      <c r="A12101" s="34" t="n">
        <v>11413160000189</v>
      </c>
      <c r="B12101" s="34" t="s">
        <v>23462</v>
      </c>
      <c r="C12101" s="34" t="s">
        <v>464</v>
      </c>
      <c r="E12101" s="30" t="s">
        <v>23463</v>
      </c>
      <c r="F12101" s="34" t="n">
        <f aca="false">IFERROR(VLOOKUP($A12101,'319'!$B:$H,7,0),0)</f>
        <v>0</v>
      </c>
      <c r="G12101" s="34" t="n">
        <f aca="false">SUMIFS('12.326ana'!$C:$C,'12.326ana'!$M:$M,redes!A12101)</f>
        <v>0</v>
      </c>
    </row>
    <row r="12102" customFormat="false" ht="14.4" hidden="true" customHeight="false" outlineLevel="0" collapsed="false">
      <c r="A12102" s="34" t="n">
        <v>11420449000125</v>
      </c>
      <c r="B12102" s="34" t="s">
        <v>1382</v>
      </c>
      <c r="C12102" s="34" t="s">
        <v>77</v>
      </c>
      <c r="E12102" s="30" t="s">
        <v>23464</v>
      </c>
      <c r="F12102" s="34" t="n">
        <f aca="false">IFERROR(VLOOKUP($A12102,'319'!$B:$H,7,0),0)</f>
        <v>247.84</v>
      </c>
      <c r="G12102" s="34" t="n">
        <f aca="false">SUMIFS('12.326ana'!$C:$C,'12.326ana'!$M:$M,redes!A12102)</f>
        <v>0</v>
      </c>
    </row>
    <row r="12103" customFormat="false" ht="14.4" hidden="true" customHeight="false" outlineLevel="0" collapsed="false">
      <c r="A12103" s="34" t="n">
        <v>11421582000104</v>
      </c>
      <c r="B12103" s="34" t="s">
        <v>23465</v>
      </c>
      <c r="C12103" s="34" t="s">
        <v>478</v>
      </c>
      <c r="E12103" s="30" t="s">
        <v>4741</v>
      </c>
      <c r="F12103" s="34" t="n">
        <f aca="false">IFERROR(VLOOKUP($A12103,'319'!$B:$H,7,0),0)</f>
        <v>0</v>
      </c>
      <c r="G12103" s="34" t="n">
        <f aca="false">SUMIFS('12.326ana'!$C:$C,'12.326ana'!$M:$M,redes!A12103)</f>
        <v>0</v>
      </c>
    </row>
    <row r="12104" customFormat="false" ht="14.4" hidden="true" customHeight="false" outlineLevel="0" collapsed="false">
      <c r="A12104" s="34" t="n">
        <v>11421810000138</v>
      </c>
      <c r="B12104" s="34" t="s">
        <v>23466</v>
      </c>
      <c r="C12104" s="34" t="s">
        <v>1341</v>
      </c>
      <c r="E12104" s="30" t="s">
        <v>23467</v>
      </c>
      <c r="F12104" s="34" t="n">
        <f aca="false">IFERROR(VLOOKUP($A12104,'319'!$B:$H,7,0),0)</f>
        <v>-163.07</v>
      </c>
      <c r="G12104" s="34" t="n">
        <f aca="false">SUMIFS('12.326ana'!$C:$C,'12.326ana'!$M:$M,redes!A12104)</f>
        <v>0</v>
      </c>
    </row>
    <row r="12105" customFormat="false" ht="14.4" hidden="true" customHeight="false" outlineLevel="0" collapsed="false">
      <c r="A12105" s="34" t="n">
        <v>11421976000154</v>
      </c>
      <c r="B12105" s="34" t="s">
        <v>23468</v>
      </c>
      <c r="C12105" s="34" t="s">
        <v>342</v>
      </c>
      <c r="E12105" s="30" t="s">
        <v>23469</v>
      </c>
      <c r="F12105" s="34" t="n">
        <f aca="false">IFERROR(VLOOKUP($A12105,'319'!$B:$H,7,0),0)</f>
        <v>0</v>
      </c>
      <c r="G12105" s="34" t="n">
        <f aca="false">SUMIFS('12.326ana'!$C:$C,'12.326ana'!$M:$M,redes!A12105)</f>
        <v>0</v>
      </c>
    </row>
    <row r="12106" customFormat="false" ht="14.4" hidden="true" customHeight="false" outlineLevel="0" collapsed="false">
      <c r="A12106" s="34" t="n">
        <v>11425317000196</v>
      </c>
      <c r="B12106" s="34" t="s">
        <v>23470</v>
      </c>
      <c r="C12106" s="34" t="s">
        <v>77</v>
      </c>
      <c r="E12106" s="30" t="s">
        <v>17105</v>
      </c>
      <c r="F12106" s="34" t="n">
        <f aca="false">IFERROR(VLOOKUP($A12106,'319'!$B:$H,7,0),0)</f>
        <v>0</v>
      </c>
      <c r="G12106" s="34" t="n">
        <f aca="false">SUMIFS('12.326ana'!$C:$C,'12.326ana'!$M:$M,redes!A12106)</f>
        <v>0</v>
      </c>
    </row>
    <row r="12107" customFormat="false" ht="14.4" hidden="true" customHeight="false" outlineLevel="0" collapsed="false">
      <c r="A12107" s="34" t="n">
        <v>11425839000198</v>
      </c>
      <c r="B12107" s="34" t="s">
        <v>23471</v>
      </c>
      <c r="C12107" s="34" t="s">
        <v>737</v>
      </c>
      <c r="E12107" s="30" t="s">
        <v>23472</v>
      </c>
      <c r="F12107" s="34" t="n">
        <f aca="false">IFERROR(VLOOKUP($A12107,'319'!$B:$H,7,0),0)</f>
        <v>0</v>
      </c>
      <c r="G12107" s="34" t="n">
        <f aca="false">SUMIFS('12.326ana'!$C:$C,'12.326ana'!$M:$M,redes!A12107)</f>
        <v>0</v>
      </c>
    </row>
    <row r="12108" customFormat="false" ht="14.4" hidden="true" customHeight="false" outlineLevel="0" collapsed="false">
      <c r="A12108" s="34" t="n">
        <v>11426029000156</v>
      </c>
      <c r="B12108" s="34" t="s">
        <v>23473</v>
      </c>
      <c r="C12108" s="34" t="s">
        <v>6278</v>
      </c>
      <c r="E12108" s="30" t="s">
        <v>3790</v>
      </c>
      <c r="F12108" s="34" t="n">
        <f aca="false">IFERROR(VLOOKUP($A12108,'319'!$B:$H,7,0),0)</f>
        <v>0</v>
      </c>
      <c r="G12108" s="34" t="n">
        <f aca="false">SUMIFS('12.326ana'!$C:$C,'12.326ana'!$M:$M,redes!A12108)</f>
        <v>0</v>
      </c>
    </row>
    <row r="12109" customFormat="false" ht="14.4" hidden="true" customHeight="false" outlineLevel="0" collapsed="false">
      <c r="A12109" s="34" t="n">
        <v>11430823000173</v>
      </c>
      <c r="B12109" s="34" t="s">
        <v>23474</v>
      </c>
      <c r="C12109" s="34" t="s">
        <v>77</v>
      </c>
      <c r="E12109" s="30" t="s">
        <v>23475</v>
      </c>
      <c r="F12109" s="34" t="n">
        <f aca="false">IFERROR(VLOOKUP($A12109,'319'!$B:$H,7,0),0)</f>
        <v>0</v>
      </c>
      <c r="G12109" s="34" t="n">
        <f aca="false">SUMIFS('12.326ana'!$C:$C,'12.326ana'!$M:$M,redes!A12109)</f>
        <v>0</v>
      </c>
    </row>
    <row r="12110" customFormat="false" ht="14.4" hidden="true" customHeight="false" outlineLevel="0" collapsed="false">
      <c r="A12110" s="34" t="n">
        <v>11431224000174</v>
      </c>
      <c r="B12110" s="34" t="s">
        <v>23476</v>
      </c>
      <c r="C12110" s="34" t="s">
        <v>680</v>
      </c>
      <c r="E12110" s="30" t="s">
        <v>23477</v>
      </c>
      <c r="F12110" s="34" t="n">
        <f aca="false">IFERROR(VLOOKUP($A12110,'319'!$B:$H,7,0),0)</f>
        <v>0</v>
      </c>
      <c r="G12110" s="34" t="n">
        <f aca="false">SUMIFS('12.326ana'!$C:$C,'12.326ana'!$M:$M,redes!A12110)</f>
        <v>0</v>
      </c>
    </row>
    <row r="12111" customFormat="false" ht="14.4" hidden="true" customHeight="false" outlineLevel="0" collapsed="false">
      <c r="A12111" s="34" t="n">
        <v>11433449000160</v>
      </c>
      <c r="B12111" s="34" t="s">
        <v>23478</v>
      </c>
      <c r="C12111" s="34" t="s">
        <v>77</v>
      </c>
      <c r="E12111" s="30" t="s">
        <v>23456</v>
      </c>
      <c r="F12111" s="34" t="n">
        <f aca="false">IFERROR(VLOOKUP($A12111,'319'!$B:$H,7,0),0)</f>
        <v>0</v>
      </c>
      <c r="G12111" s="34" t="n">
        <f aca="false">SUMIFS('12.326ana'!$C:$C,'12.326ana'!$M:$M,redes!A12111)</f>
        <v>0</v>
      </c>
    </row>
    <row r="12112" customFormat="false" ht="14.4" hidden="true" customHeight="false" outlineLevel="0" collapsed="false">
      <c r="A12112" s="34" t="n">
        <v>11438953000152</v>
      </c>
      <c r="B12112" s="34" t="s">
        <v>23479</v>
      </c>
      <c r="C12112" s="34" t="s">
        <v>12821</v>
      </c>
      <c r="E12112" s="30" t="s">
        <v>23480</v>
      </c>
      <c r="F12112" s="34" t="n">
        <f aca="false">IFERROR(VLOOKUP($A12112,'319'!$B:$H,7,0),0)</f>
        <v>0</v>
      </c>
      <c r="G12112" s="34" t="n">
        <f aca="false">SUMIFS('12.326ana'!$C:$C,'12.326ana'!$M:$M,redes!A12112)</f>
        <v>0</v>
      </c>
    </row>
    <row r="12113" customFormat="false" ht="14.4" hidden="true" customHeight="false" outlineLevel="0" collapsed="false">
      <c r="A12113" s="34" t="n">
        <v>11445716000119</v>
      </c>
      <c r="B12113" s="34" t="s">
        <v>23481</v>
      </c>
      <c r="C12113" s="34" t="s">
        <v>127</v>
      </c>
      <c r="E12113" s="30" t="s">
        <v>23482</v>
      </c>
      <c r="F12113" s="34" t="n">
        <f aca="false">IFERROR(VLOOKUP($A12113,'319'!$B:$H,7,0),0)</f>
        <v>0</v>
      </c>
      <c r="G12113" s="34" t="n">
        <f aca="false">SUMIFS('12.326ana'!$C:$C,'12.326ana'!$M:$M,redes!A12113)</f>
        <v>0</v>
      </c>
    </row>
    <row r="12114" customFormat="false" ht="14.4" hidden="true" customHeight="false" outlineLevel="0" collapsed="false">
      <c r="A12114" s="34" t="n">
        <v>11446719000177</v>
      </c>
      <c r="B12114" s="34" t="s">
        <v>23483</v>
      </c>
      <c r="C12114" s="34" t="s">
        <v>103</v>
      </c>
      <c r="E12114" s="30" t="s">
        <v>23484</v>
      </c>
      <c r="F12114" s="34" t="n">
        <f aca="false">IFERROR(VLOOKUP($A12114,'319'!$B:$H,7,0),0)</f>
        <v>0</v>
      </c>
      <c r="G12114" s="34" t="n">
        <f aca="false">SUMIFS('12.326ana'!$C:$C,'12.326ana'!$M:$M,redes!A12114)</f>
        <v>0</v>
      </c>
    </row>
    <row r="12115" customFormat="false" ht="14.4" hidden="true" customHeight="false" outlineLevel="0" collapsed="false">
      <c r="A12115" s="34" t="n">
        <v>11453219000162</v>
      </c>
      <c r="B12115" s="34" t="s">
        <v>23485</v>
      </c>
      <c r="C12115" s="34" t="s">
        <v>336</v>
      </c>
      <c r="E12115" s="30" t="s">
        <v>22431</v>
      </c>
      <c r="F12115" s="34" t="n">
        <f aca="false">IFERROR(VLOOKUP($A12115,'319'!$B:$H,7,0),0)</f>
        <v>0</v>
      </c>
      <c r="G12115" s="34" t="n">
        <f aca="false">SUMIFS('12.326ana'!$C:$C,'12.326ana'!$M:$M,redes!A12115)</f>
        <v>0</v>
      </c>
    </row>
    <row r="12116" customFormat="false" ht="14.4" hidden="true" customHeight="false" outlineLevel="0" collapsed="false">
      <c r="A12116" s="34" t="n">
        <v>11471458000145</v>
      </c>
      <c r="B12116" s="34" t="s">
        <v>23486</v>
      </c>
      <c r="C12116" s="34" t="s">
        <v>77</v>
      </c>
      <c r="E12116" s="30" t="s">
        <v>11496</v>
      </c>
      <c r="F12116" s="34" t="n">
        <f aca="false">IFERROR(VLOOKUP($A12116,'319'!$B:$H,7,0),0)</f>
        <v>0</v>
      </c>
      <c r="G12116" s="34" t="n">
        <f aca="false">SUMIFS('12.326ana'!$C:$C,'12.326ana'!$M:$M,redes!A12116)</f>
        <v>0</v>
      </c>
    </row>
    <row r="12117" customFormat="false" ht="14.4" hidden="true" customHeight="false" outlineLevel="0" collapsed="false">
      <c r="A12117" s="34" t="n">
        <v>11475196000197</v>
      </c>
      <c r="B12117" s="34" t="s">
        <v>23487</v>
      </c>
      <c r="C12117" s="34" t="s">
        <v>107</v>
      </c>
      <c r="E12117" s="30" t="s">
        <v>23488</v>
      </c>
      <c r="F12117" s="34" t="n">
        <f aca="false">IFERROR(VLOOKUP($A12117,'319'!$B:$H,7,0),0)</f>
        <v>0</v>
      </c>
      <c r="G12117" s="34" t="n">
        <f aca="false">SUMIFS('12.326ana'!$C:$C,'12.326ana'!$M:$M,redes!A12117)</f>
        <v>0</v>
      </c>
    </row>
    <row r="12118" customFormat="false" ht="14.4" hidden="true" customHeight="false" outlineLevel="0" collapsed="false">
      <c r="A12118" s="34" t="n">
        <v>11476050000166</v>
      </c>
      <c r="B12118" s="34" t="s">
        <v>23489</v>
      </c>
      <c r="C12118" s="34" t="s">
        <v>77</v>
      </c>
      <c r="E12118" s="30" t="s">
        <v>23490</v>
      </c>
      <c r="F12118" s="34" t="n">
        <f aca="false">IFERROR(VLOOKUP($A12118,'319'!$B:$H,7,0),0)</f>
        <v>0</v>
      </c>
      <c r="G12118" s="34" t="n">
        <f aca="false">SUMIFS('12.326ana'!$C:$C,'12.326ana'!$M:$M,redes!A12118)</f>
        <v>0</v>
      </c>
    </row>
    <row r="12119" customFormat="false" ht="14.4" hidden="true" customHeight="false" outlineLevel="0" collapsed="false">
      <c r="A12119" s="34" t="n">
        <v>11478035000157</v>
      </c>
      <c r="B12119" s="34" t="s">
        <v>23491</v>
      </c>
      <c r="C12119" s="34" t="s">
        <v>77</v>
      </c>
      <c r="E12119" s="30" t="s">
        <v>23456</v>
      </c>
      <c r="F12119" s="34" t="n">
        <f aca="false">IFERROR(VLOOKUP($A12119,'319'!$B:$H,7,0),0)</f>
        <v>0</v>
      </c>
      <c r="G12119" s="34" t="n">
        <f aca="false">SUMIFS('12.326ana'!$C:$C,'12.326ana'!$M:$M,redes!A12119)</f>
        <v>0</v>
      </c>
    </row>
    <row r="12120" customFormat="false" ht="14.4" hidden="true" customHeight="false" outlineLevel="0" collapsed="false">
      <c r="A12120" s="34" t="n">
        <v>11479047000104</v>
      </c>
      <c r="B12120" s="34" t="s">
        <v>23492</v>
      </c>
      <c r="C12120" s="34" t="s">
        <v>967</v>
      </c>
      <c r="E12120" s="30" t="s">
        <v>23493</v>
      </c>
      <c r="F12120" s="34" t="n">
        <f aca="false">IFERROR(VLOOKUP($A12120,'319'!$B:$H,7,0),0)</f>
        <v>0</v>
      </c>
      <c r="G12120" s="34" t="n">
        <f aca="false">SUMIFS('12.326ana'!$C:$C,'12.326ana'!$M:$M,redes!A12120)</f>
        <v>0</v>
      </c>
    </row>
    <row r="12121" customFormat="false" ht="14.4" hidden="true" customHeight="false" outlineLevel="0" collapsed="false">
      <c r="A12121" s="34" t="n">
        <v>11482420000330</v>
      </c>
      <c r="B12121" s="34" t="s">
        <v>23494</v>
      </c>
      <c r="C12121" s="34" t="s">
        <v>77</v>
      </c>
      <c r="E12121" s="30" t="s">
        <v>23495</v>
      </c>
      <c r="F12121" s="34" t="n">
        <f aca="false">IFERROR(VLOOKUP($A12121,'319'!$B:$H,7,0),0)</f>
        <v>0</v>
      </c>
      <c r="G12121" s="34" t="n">
        <f aca="false">SUMIFS('12.326ana'!$C:$C,'12.326ana'!$M:$M,redes!A12121)</f>
        <v>0</v>
      </c>
    </row>
    <row r="12122" customFormat="false" ht="14.4" hidden="true" customHeight="false" outlineLevel="0" collapsed="false">
      <c r="A12122" s="34" t="n">
        <v>11482420000410</v>
      </c>
      <c r="B12122" s="34" t="s">
        <v>23494</v>
      </c>
      <c r="C12122" s="34" t="s">
        <v>77</v>
      </c>
      <c r="E12122" s="30" t="s">
        <v>23496</v>
      </c>
      <c r="F12122" s="34" t="n">
        <f aca="false">IFERROR(VLOOKUP($A12122,'319'!$B:$H,7,0),0)</f>
        <v>0</v>
      </c>
      <c r="G12122" s="34" t="n">
        <f aca="false">SUMIFS('12.326ana'!$C:$C,'12.326ana'!$M:$M,redes!A12122)</f>
        <v>0</v>
      </c>
    </row>
    <row r="12123" customFormat="false" ht="14.4" hidden="true" customHeight="false" outlineLevel="0" collapsed="false">
      <c r="A12123" s="34" t="n">
        <v>11486285000139</v>
      </c>
      <c r="B12123" s="34" t="s">
        <v>23497</v>
      </c>
      <c r="C12123" s="34" t="s">
        <v>117</v>
      </c>
      <c r="E12123" s="30" t="s">
        <v>23498</v>
      </c>
      <c r="F12123" s="34" t="n">
        <f aca="false">IFERROR(VLOOKUP($A12123,'319'!$B:$H,7,0),0)</f>
        <v>0</v>
      </c>
      <c r="G12123" s="34" t="n">
        <f aca="false">SUMIFS('12.326ana'!$C:$C,'12.326ana'!$M:$M,redes!A12123)</f>
        <v>0</v>
      </c>
    </row>
    <row r="12124" customFormat="false" ht="14.4" hidden="true" customHeight="false" outlineLevel="0" collapsed="false">
      <c r="A12124" s="34" t="n">
        <v>11489954000126</v>
      </c>
      <c r="B12124" s="34" t="s">
        <v>23499</v>
      </c>
      <c r="C12124" s="34" t="s">
        <v>117</v>
      </c>
      <c r="E12124" s="30" t="s">
        <v>6669</v>
      </c>
      <c r="F12124" s="34" t="n">
        <f aca="false">IFERROR(VLOOKUP($A12124,'319'!$B:$H,7,0),0)</f>
        <v>0</v>
      </c>
      <c r="G12124" s="34" t="n">
        <f aca="false">SUMIFS('12.326ana'!$C:$C,'12.326ana'!$M:$M,redes!A12124)</f>
        <v>0</v>
      </c>
    </row>
    <row r="12125" customFormat="false" ht="14.4" hidden="true" customHeight="false" outlineLevel="0" collapsed="false">
      <c r="A12125" s="34" t="n">
        <v>11494892000140</v>
      </c>
      <c r="B12125" s="34" t="s">
        <v>23500</v>
      </c>
      <c r="C12125" s="34" t="s">
        <v>139</v>
      </c>
      <c r="E12125" s="30" t="s">
        <v>23501</v>
      </c>
      <c r="F12125" s="34" t="n">
        <f aca="false">IFERROR(VLOOKUP($A12125,'319'!$B:$H,7,0),0)</f>
        <v>0</v>
      </c>
      <c r="G12125" s="34" t="n">
        <f aca="false">SUMIFS('12.326ana'!$C:$C,'12.326ana'!$M:$M,redes!A12125)</f>
        <v>0</v>
      </c>
    </row>
    <row r="12126" customFormat="false" ht="14.4" hidden="true" customHeight="false" outlineLevel="0" collapsed="false">
      <c r="A12126" s="34" t="n">
        <v>11494983000186</v>
      </c>
      <c r="B12126" s="34" t="s">
        <v>23502</v>
      </c>
      <c r="C12126" s="34" t="s">
        <v>10103</v>
      </c>
      <c r="E12126" s="30" t="s">
        <v>16406</v>
      </c>
      <c r="F12126" s="34" t="n">
        <f aca="false">IFERROR(VLOOKUP($A12126,'319'!$B:$H,7,0),0)</f>
        <v>0</v>
      </c>
      <c r="G12126" s="34" t="n">
        <f aca="false">SUMIFS('12.326ana'!$C:$C,'12.326ana'!$M:$M,redes!A12126)</f>
        <v>0</v>
      </c>
    </row>
    <row r="12127" customFormat="false" ht="14.4" hidden="true" customHeight="false" outlineLevel="0" collapsed="false">
      <c r="A12127" s="34" t="n">
        <v>11498820000171</v>
      </c>
      <c r="B12127" s="34" t="s">
        <v>23503</v>
      </c>
      <c r="C12127" s="34" t="s">
        <v>473</v>
      </c>
      <c r="E12127" s="30" t="s">
        <v>23504</v>
      </c>
      <c r="F12127" s="34" t="n">
        <f aca="false">IFERROR(VLOOKUP($A12127,'319'!$B:$H,7,0),0)</f>
        <v>916.45</v>
      </c>
      <c r="G12127" s="34" t="n">
        <f aca="false">SUMIFS('12.326ana'!$C:$C,'12.326ana'!$M:$M,redes!A12127)</f>
        <v>0</v>
      </c>
    </row>
    <row r="12128" customFormat="false" ht="14.4" hidden="true" customHeight="false" outlineLevel="0" collapsed="false">
      <c r="A12128" s="34" t="n">
        <v>11501169000141</v>
      </c>
      <c r="B12128" s="34" t="s">
        <v>23505</v>
      </c>
      <c r="C12128" s="34" t="s">
        <v>342</v>
      </c>
      <c r="E12128" s="30" t="s">
        <v>5611</v>
      </c>
      <c r="F12128" s="34" t="n">
        <f aca="false">IFERROR(VLOOKUP($A12128,'319'!$B:$H,7,0),0)</f>
        <v>0</v>
      </c>
      <c r="G12128" s="34" t="n">
        <f aca="false">SUMIFS('12.326ana'!$C:$C,'12.326ana'!$M:$M,redes!A12128)</f>
        <v>0</v>
      </c>
    </row>
    <row r="12129" customFormat="false" ht="14.4" hidden="true" customHeight="false" outlineLevel="0" collapsed="false">
      <c r="A12129" s="34" t="n">
        <v>11504932000198</v>
      </c>
      <c r="B12129" s="34" t="s">
        <v>23506</v>
      </c>
      <c r="C12129" s="34" t="s">
        <v>598</v>
      </c>
      <c r="E12129" s="30" t="s">
        <v>23507</v>
      </c>
      <c r="F12129" s="34" t="n">
        <f aca="false">IFERROR(VLOOKUP($A12129,'319'!$B:$H,7,0),0)</f>
        <v>0</v>
      </c>
      <c r="G12129" s="34" t="n">
        <f aca="false">SUMIFS('12.326ana'!$C:$C,'12.326ana'!$M:$M,redes!A12129)</f>
        <v>0</v>
      </c>
    </row>
    <row r="12130" customFormat="false" ht="14.4" hidden="true" customHeight="false" outlineLevel="0" collapsed="false">
      <c r="A12130" s="34" t="n">
        <v>11507453000125</v>
      </c>
      <c r="B12130" s="34" t="s">
        <v>23508</v>
      </c>
      <c r="C12130" s="34" t="s">
        <v>478</v>
      </c>
      <c r="E12130" s="30" t="s">
        <v>23282</v>
      </c>
      <c r="F12130" s="34" t="n">
        <f aca="false">IFERROR(VLOOKUP($A12130,'319'!$B:$H,7,0),0)</f>
        <v>0</v>
      </c>
      <c r="G12130" s="34" t="n">
        <f aca="false">SUMIFS('12.326ana'!$C:$C,'12.326ana'!$M:$M,redes!A12130)</f>
        <v>0</v>
      </c>
    </row>
    <row r="12131" customFormat="false" ht="14.4" hidden="true" customHeight="false" outlineLevel="0" collapsed="false">
      <c r="A12131" s="34" t="n">
        <v>11509989000180</v>
      </c>
      <c r="B12131" s="34" t="s">
        <v>23509</v>
      </c>
      <c r="C12131" s="34" t="s">
        <v>77</v>
      </c>
      <c r="E12131" s="30" t="s">
        <v>7565</v>
      </c>
      <c r="F12131" s="34" t="n">
        <f aca="false">IFERROR(VLOOKUP($A12131,'319'!$B:$H,7,0),0)</f>
        <v>0</v>
      </c>
      <c r="G12131" s="34" t="n">
        <f aca="false">SUMIFS('12.326ana'!$C:$C,'12.326ana'!$M:$M,redes!A12131)</f>
        <v>0</v>
      </c>
    </row>
    <row r="12132" customFormat="false" ht="14.4" hidden="true" customHeight="false" outlineLevel="0" collapsed="false">
      <c r="A12132" s="34" t="n">
        <v>11513479000186</v>
      </c>
      <c r="B12132" s="34" t="s">
        <v>23510</v>
      </c>
      <c r="C12132" s="34" t="s">
        <v>377</v>
      </c>
      <c r="E12132" s="30" t="s">
        <v>23511</v>
      </c>
      <c r="F12132" s="34" t="n">
        <f aca="false">IFERROR(VLOOKUP($A12132,'319'!$B:$H,7,0),0)</f>
        <v>0</v>
      </c>
      <c r="G12132" s="34" t="n">
        <f aca="false">SUMIFS('12.326ana'!$C:$C,'12.326ana'!$M:$M,redes!A12132)</f>
        <v>0</v>
      </c>
    </row>
    <row r="12133" customFormat="false" ht="14.4" hidden="true" customHeight="false" outlineLevel="0" collapsed="false">
      <c r="A12133" s="34" t="n">
        <v>11516412000103</v>
      </c>
      <c r="B12133" s="34" t="s">
        <v>23512</v>
      </c>
      <c r="C12133" s="34" t="s">
        <v>77</v>
      </c>
      <c r="E12133" s="30" t="s">
        <v>23513</v>
      </c>
      <c r="F12133" s="34" t="n">
        <f aca="false">IFERROR(VLOOKUP($A12133,'319'!$B:$H,7,0),0)</f>
        <v>0</v>
      </c>
      <c r="G12133" s="34" t="n">
        <f aca="false">SUMIFS('12.326ana'!$C:$C,'12.326ana'!$M:$M,redes!A12133)</f>
        <v>0</v>
      </c>
    </row>
    <row r="12134" customFormat="false" ht="14.4" hidden="true" customHeight="false" outlineLevel="0" collapsed="false">
      <c r="A12134" s="34" t="n">
        <v>11531980000175</v>
      </c>
      <c r="B12134" s="34" t="s">
        <v>23514</v>
      </c>
      <c r="C12134" s="34" t="s">
        <v>77</v>
      </c>
      <c r="E12134" s="30" t="s">
        <v>23515</v>
      </c>
      <c r="F12134" s="34" t="n">
        <f aca="false">IFERROR(VLOOKUP($A12134,'319'!$B:$H,7,0),0)</f>
        <v>0</v>
      </c>
      <c r="G12134" s="34" t="n">
        <f aca="false">SUMIFS('12.326ana'!$C:$C,'12.326ana'!$M:$M,redes!A12134)</f>
        <v>0</v>
      </c>
    </row>
    <row r="12135" customFormat="false" ht="14.4" hidden="true" customHeight="false" outlineLevel="0" collapsed="false">
      <c r="A12135" s="34" t="n">
        <v>11537939000106</v>
      </c>
      <c r="B12135" s="34" t="s">
        <v>6660</v>
      </c>
      <c r="C12135" s="34" t="s">
        <v>77</v>
      </c>
      <c r="E12135" s="30" t="s">
        <v>23516</v>
      </c>
      <c r="F12135" s="34" t="n">
        <f aca="false">IFERROR(VLOOKUP($A12135,'319'!$B:$H,7,0),0)</f>
        <v>0</v>
      </c>
      <c r="G12135" s="34" t="n">
        <f aca="false">SUMIFS('12.326ana'!$C:$C,'12.326ana'!$M:$M,redes!A12135)</f>
        <v>0</v>
      </c>
    </row>
    <row r="12136" customFormat="false" ht="14.4" hidden="true" customHeight="false" outlineLevel="0" collapsed="false">
      <c r="A12136" s="34" t="n">
        <v>11542908000143</v>
      </c>
      <c r="B12136" s="34" t="s">
        <v>23517</v>
      </c>
      <c r="C12136" s="34" t="s">
        <v>77</v>
      </c>
      <c r="E12136" s="30" t="s">
        <v>23518</v>
      </c>
      <c r="F12136" s="34" t="n">
        <f aca="false">IFERROR(VLOOKUP($A12136,'319'!$B:$H,7,0),0)</f>
        <v>0</v>
      </c>
      <c r="G12136" s="34" t="n">
        <f aca="false">SUMIFS('12.326ana'!$C:$C,'12.326ana'!$M:$M,redes!A12136)</f>
        <v>0</v>
      </c>
    </row>
    <row r="12137" customFormat="false" ht="14.4" hidden="true" customHeight="false" outlineLevel="0" collapsed="false">
      <c r="A12137" s="34" t="n">
        <v>11544647000109</v>
      </c>
      <c r="B12137" s="34" t="s">
        <v>7176</v>
      </c>
      <c r="C12137" s="34" t="s">
        <v>77</v>
      </c>
      <c r="E12137" s="30" t="s">
        <v>23519</v>
      </c>
      <c r="F12137" s="34" t="n">
        <f aca="false">IFERROR(VLOOKUP($A12137,'319'!$B:$H,7,0),0)</f>
        <v>0</v>
      </c>
      <c r="G12137" s="34" t="n">
        <f aca="false">SUMIFS('12.326ana'!$C:$C,'12.326ana'!$M:$M,redes!A12137)</f>
        <v>0</v>
      </c>
    </row>
    <row r="12138" customFormat="false" ht="14.4" hidden="true" customHeight="false" outlineLevel="0" collapsed="false">
      <c r="A12138" s="34" t="n">
        <v>11546430000120</v>
      </c>
      <c r="B12138" s="34" t="s">
        <v>23520</v>
      </c>
      <c r="C12138" s="34" t="s">
        <v>77</v>
      </c>
      <c r="E12138" s="30" t="s">
        <v>23521</v>
      </c>
      <c r="F12138" s="34" t="n">
        <f aca="false">IFERROR(VLOOKUP($A12138,'319'!$B:$H,7,0),0)</f>
        <v>0</v>
      </c>
      <c r="G12138" s="34" t="n">
        <f aca="false">SUMIFS('12.326ana'!$C:$C,'12.326ana'!$M:$M,redes!A12138)</f>
        <v>0</v>
      </c>
    </row>
    <row r="12139" customFormat="false" ht="14.4" hidden="true" customHeight="false" outlineLevel="0" collapsed="false">
      <c r="A12139" s="34" t="n">
        <v>11548876000193</v>
      </c>
      <c r="B12139" s="34" t="s">
        <v>23522</v>
      </c>
      <c r="C12139" s="34" t="s">
        <v>89</v>
      </c>
      <c r="E12139" s="30" t="s">
        <v>23523</v>
      </c>
      <c r="F12139" s="34" t="n">
        <f aca="false">IFERROR(VLOOKUP($A12139,'319'!$B:$H,7,0),0)</f>
        <v>0</v>
      </c>
      <c r="G12139" s="34" t="n">
        <f aca="false">SUMIFS('12.326ana'!$C:$C,'12.326ana'!$M:$M,redes!A12139)</f>
        <v>0</v>
      </c>
    </row>
    <row r="12140" customFormat="false" ht="14.4" hidden="true" customHeight="false" outlineLevel="0" collapsed="false">
      <c r="A12140" s="34" t="n">
        <v>11548882000140</v>
      </c>
      <c r="B12140" s="34" t="s">
        <v>23524</v>
      </c>
      <c r="C12140" s="34" t="s">
        <v>1680</v>
      </c>
      <c r="E12140" s="30" t="s">
        <v>23525</v>
      </c>
      <c r="F12140" s="34" t="n">
        <f aca="false">IFERROR(VLOOKUP($A12140,'319'!$B:$H,7,0),0)</f>
        <v>0</v>
      </c>
      <c r="G12140" s="34" t="n">
        <f aca="false">SUMIFS('12.326ana'!$C:$C,'12.326ana'!$M:$M,redes!A12140)</f>
        <v>0</v>
      </c>
    </row>
    <row r="12141" customFormat="false" ht="14.4" hidden="true" customHeight="false" outlineLevel="0" collapsed="false">
      <c r="A12141" s="34" t="n">
        <v>11549673000111</v>
      </c>
      <c r="B12141" s="34" t="s">
        <v>23526</v>
      </c>
      <c r="C12141" s="34" t="s">
        <v>77</v>
      </c>
      <c r="E12141" s="30"/>
      <c r="F12141" s="34" t="n">
        <f aca="false">IFERROR(VLOOKUP($A12141,'319'!$B:$H,7,0),0)</f>
        <v>0</v>
      </c>
      <c r="G12141" s="34" t="n">
        <f aca="false">SUMIFS('12.326ana'!$C:$C,'12.326ana'!$M:$M,redes!A12141)</f>
        <v>0</v>
      </c>
    </row>
    <row r="12142" customFormat="false" ht="14.4" hidden="true" customHeight="false" outlineLevel="0" collapsed="false">
      <c r="A12142" s="34" t="n">
        <v>11551145000105</v>
      </c>
      <c r="B12142" s="34" t="s">
        <v>23527</v>
      </c>
      <c r="C12142" s="34" t="s">
        <v>197</v>
      </c>
      <c r="E12142" s="30" t="s">
        <v>23528</v>
      </c>
      <c r="F12142" s="34" t="n">
        <f aca="false">IFERROR(VLOOKUP($A12142,'319'!$B:$H,7,0),0)</f>
        <v>0</v>
      </c>
      <c r="G12142" s="34" t="n">
        <f aca="false">SUMIFS('12.326ana'!$C:$C,'12.326ana'!$M:$M,redes!A12142)</f>
        <v>0</v>
      </c>
    </row>
    <row r="12143" customFormat="false" ht="14.4" hidden="true" customHeight="false" outlineLevel="0" collapsed="false">
      <c r="A12143" s="34" t="n">
        <v>11555227000110</v>
      </c>
      <c r="B12143" s="34" t="s">
        <v>23529</v>
      </c>
      <c r="C12143" s="34" t="s">
        <v>299</v>
      </c>
      <c r="E12143" s="30" t="s">
        <v>13612</v>
      </c>
      <c r="F12143" s="34" t="n">
        <f aca="false">IFERROR(VLOOKUP($A12143,'319'!$B:$H,7,0),0)</f>
        <v>0</v>
      </c>
      <c r="G12143" s="34" t="n">
        <f aca="false">SUMIFS('12.326ana'!$C:$C,'12.326ana'!$M:$M,redes!A12143)</f>
        <v>0</v>
      </c>
    </row>
    <row r="12144" customFormat="false" ht="14.4" hidden="true" customHeight="false" outlineLevel="0" collapsed="false">
      <c r="A12144" s="34" t="n">
        <v>11556824000169</v>
      </c>
      <c r="B12144" s="34" t="s">
        <v>23530</v>
      </c>
      <c r="C12144" s="34" t="s">
        <v>117</v>
      </c>
      <c r="E12144" s="30" t="s">
        <v>23531</v>
      </c>
      <c r="F12144" s="34" t="n">
        <f aca="false">IFERROR(VLOOKUP($A12144,'319'!$B:$H,7,0),0)</f>
        <v>0</v>
      </c>
      <c r="G12144" s="34" t="n">
        <f aca="false">SUMIFS('12.326ana'!$C:$C,'12.326ana'!$M:$M,redes!A12144)</f>
        <v>0</v>
      </c>
    </row>
    <row r="12145" customFormat="false" ht="14.4" hidden="true" customHeight="false" outlineLevel="0" collapsed="false">
      <c r="A12145" s="34" t="n">
        <v>11558206000158</v>
      </c>
      <c r="B12145" s="34" t="s">
        <v>23532</v>
      </c>
      <c r="C12145" s="34" t="s">
        <v>77</v>
      </c>
      <c r="E12145" s="30" t="s">
        <v>23533</v>
      </c>
      <c r="F12145" s="34" t="n">
        <f aca="false">IFERROR(VLOOKUP($A12145,'319'!$B:$H,7,0),0)</f>
        <v>0</v>
      </c>
      <c r="G12145" s="34" t="n">
        <f aca="false">SUMIFS('12.326ana'!$C:$C,'12.326ana'!$M:$M,redes!A12145)</f>
        <v>0</v>
      </c>
    </row>
    <row r="12146" customFormat="false" ht="14.4" hidden="true" customHeight="false" outlineLevel="0" collapsed="false">
      <c r="A12146" s="34" t="n">
        <v>11562476000132</v>
      </c>
      <c r="B12146" s="34" t="s">
        <v>23534</v>
      </c>
      <c r="C12146" s="34" t="s">
        <v>475</v>
      </c>
      <c r="E12146" s="30" t="s">
        <v>23535</v>
      </c>
      <c r="F12146" s="34" t="n">
        <f aca="false">IFERROR(VLOOKUP($A12146,'319'!$B:$H,7,0),0)</f>
        <v>0</v>
      </c>
      <c r="G12146" s="34" t="n">
        <f aca="false">SUMIFS('12.326ana'!$C:$C,'12.326ana'!$M:$M,redes!A12146)</f>
        <v>0</v>
      </c>
    </row>
    <row r="12147" customFormat="false" ht="14.4" hidden="true" customHeight="false" outlineLevel="0" collapsed="false">
      <c r="A12147" s="34" t="n">
        <v>11564682000181</v>
      </c>
      <c r="B12147" s="34" t="s">
        <v>23536</v>
      </c>
      <c r="C12147" s="34" t="s">
        <v>77</v>
      </c>
      <c r="E12147" s="30" t="s">
        <v>23537</v>
      </c>
      <c r="F12147" s="34" t="n">
        <f aca="false">IFERROR(VLOOKUP($A12147,'319'!$B:$H,7,0),0)</f>
        <v>0</v>
      </c>
      <c r="G12147" s="34" t="n">
        <f aca="false">SUMIFS('12.326ana'!$C:$C,'12.326ana'!$M:$M,redes!A12147)</f>
        <v>0</v>
      </c>
    </row>
    <row r="12148" customFormat="false" ht="14.4" hidden="true" customHeight="false" outlineLevel="0" collapsed="false">
      <c r="A12148" s="34" t="n">
        <v>11570758000181</v>
      </c>
      <c r="B12148" s="34" t="s">
        <v>23538</v>
      </c>
      <c r="C12148" s="34" t="s">
        <v>77</v>
      </c>
      <c r="E12148" s="30" t="s">
        <v>23539</v>
      </c>
      <c r="F12148" s="34" t="n">
        <f aca="false">IFERROR(VLOOKUP($A12148,'319'!$B:$H,7,0),0)</f>
        <v>0</v>
      </c>
      <c r="G12148" s="34" t="n">
        <f aca="false">SUMIFS('12.326ana'!$C:$C,'12.326ana'!$M:$M,redes!A12148)</f>
        <v>0</v>
      </c>
    </row>
    <row r="12149" customFormat="false" ht="14.4" hidden="true" customHeight="false" outlineLevel="0" collapsed="false">
      <c r="A12149" s="34" t="n">
        <v>11573643000140</v>
      </c>
      <c r="B12149" s="34" t="s">
        <v>23540</v>
      </c>
      <c r="C12149" s="34" t="s">
        <v>594</v>
      </c>
      <c r="E12149" s="30" t="s">
        <v>23541</v>
      </c>
      <c r="F12149" s="34" t="n">
        <f aca="false">IFERROR(VLOOKUP($A12149,'319'!$B:$H,7,0),0)</f>
        <v>0</v>
      </c>
      <c r="G12149" s="34" t="n">
        <f aca="false">SUMIFS('12.326ana'!$C:$C,'12.326ana'!$M:$M,redes!A12149)</f>
        <v>0</v>
      </c>
    </row>
    <row r="12150" customFormat="false" ht="14.4" hidden="true" customHeight="false" outlineLevel="0" collapsed="false">
      <c r="A12150" s="34" t="n">
        <v>11573661000122</v>
      </c>
      <c r="B12150" s="34" t="s">
        <v>23542</v>
      </c>
      <c r="C12150" s="34" t="s">
        <v>935</v>
      </c>
      <c r="E12150" s="30" t="s">
        <v>23543</v>
      </c>
      <c r="F12150" s="34" t="n">
        <f aca="false">IFERROR(VLOOKUP($A12150,'319'!$B:$H,7,0),0)</f>
        <v>0</v>
      </c>
      <c r="G12150" s="34" t="n">
        <f aca="false">SUMIFS('12.326ana'!$C:$C,'12.326ana'!$M:$M,redes!A12150)</f>
        <v>0</v>
      </c>
    </row>
    <row r="12151" customFormat="false" ht="14.4" hidden="true" customHeight="false" outlineLevel="0" collapsed="false">
      <c r="A12151" s="34" t="n">
        <v>11576987000103</v>
      </c>
      <c r="B12151" s="34" t="s">
        <v>23544</v>
      </c>
      <c r="C12151" s="34" t="s">
        <v>77</v>
      </c>
      <c r="E12151" s="30" t="s">
        <v>23545</v>
      </c>
      <c r="F12151" s="34" t="n">
        <f aca="false">IFERROR(VLOOKUP($A12151,'319'!$B:$H,7,0),0)</f>
        <v>0</v>
      </c>
      <c r="G12151" s="34" t="n">
        <f aca="false">SUMIFS('12.326ana'!$C:$C,'12.326ana'!$M:$M,redes!A12151)</f>
        <v>0</v>
      </c>
    </row>
    <row r="12152" customFormat="false" ht="14.4" hidden="true" customHeight="false" outlineLevel="0" collapsed="false">
      <c r="A12152" s="34" t="n">
        <v>11578006000167</v>
      </c>
      <c r="B12152" s="34" t="s">
        <v>23546</v>
      </c>
      <c r="C12152" s="34" t="s">
        <v>77</v>
      </c>
      <c r="E12152" s="30"/>
      <c r="F12152" s="34" t="n">
        <f aca="false">IFERROR(VLOOKUP($A12152,'319'!$B:$H,7,0),0)</f>
        <v>0</v>
      </c>
      <c r="G12152" s="34" t="n">
        <f aca="false">SUMIFS('12.326ana'!$C:$C,'12.326ana'!$M:$M,redes!A12152)</f>
        <v>0</v>
      </c>
    </row>
    <row r="12153" customFormat="false" ht="14.4" hidden="true" customHeight="false" outlineLevel="0" collapsed="false">
      <c r="A12153" s="34" t="n">
        <v>11578990000166</v>
      </c>
      <c r="B12153" s="34" t="s">
        <v>23547</v>
      </c>
      <c r="C12153" s="34" t="s">
        <v>77</v>
      </c>
      <c r="E12153" s="30" t="s">
        <v>23548</v>
      </c>
      <c r="F12153" s="34" t="n">
        <f aca="false">IFERROR(VLOOKUP($A12153,'319'!$B:$H,7,0),0)</f>
        <v>0</v>
      </c>
      <c r="G12153" s="34" t="n">
        <f aca="false">SUMIFS('12.326ana'!$C:$C,'12.326ana'!$M:$M,redes!A12153)</f>
        <v>0</v>
      </c>
    </row>
    <row r="12154" customFormat="false" ht="14.4" hidden="true" customHeight="false" outlineLevel="0" collapsed="false">
      <c r="A12154" s="34" t="n">
        <v>11580120000121</v>
      </c>
      <c r="B12154" s="34" t="s">
        <v>23549</v>
      </c>
      <c r="C12154" s="34" t="s">
        <v>117</v>
      </c>
      <c r="E12154" s="30" t="s">
        <v>23550</v>
      </c>
      <c r="F12154" s="34" t="n">
        <f aca="false">IFERROR(VLOOKUP($A12154,'319'!$B:$H,7,0),0)</f>
        <v>-982.62</v>
      </c>
      <c r="G12154" s="34" t="n">
        <f aca="false">SUMIFS('12.326ana'!$C:$C,'12.326ana'!$M:$M,redes!A12154)</f>
        <v>0</v>
      </c>
    </row>
    <row r="12155" customFormat="false" ht="14.4" hidden="true" customHeight="false" outlineLevel="0" collapsed="false">
      <c r="A12155" s="34" t="n">
        <v>11580980000165</v>
      </c>
      <c r="B12155" s="34" t="s">
        <v>23551</v>
      </c>
      <c r="C12155" s="34" t="s">
        <v>77</v>
      </c>
      <c r="E12155" s="30" t="s">
        <v>23551</v>
      </c>
      <c r="F12155" s="34" t="n">
        <f aca="false">IFERROR(VLOOKUP($A12155,'319'!$B:$H,7,0),0)</f>
        <v>0</v>
      </c>
      <c r="G12155" s="34" t="n">
        <f aca="false">SUMIFS('12.326ana'!$C:$C,'12.326ana'!$M:$M,redes!A12155)</f>
        <v>0</v>
      </c>
    </row>
    <row r="12156" customFormat="false" ht="14.4" hidden="true" customHeight="false" outlineLevel="0" collapsed="false">
      <c r="A12156" s="34" t="n">
        <v>11583623000150</v>
      </c>
      <c r="B12156" s="34" t="s">
        <v>23552</v>
      </c>
      <c r="C12156" s="34" t="s">
        <v>680</v>
      </c>
      <c r="E12156" s="30" t="s">
        <v>23553</v>
      </c>
      <c r="F12156" s="34" t="n">
        <f aca="false">IFERROR(VLOOKUP($A12156,'319'!$B:$H,7,0),0)</f>
        <v>0</v>
      </c>
      <c r="G12156" s="34" t="n">
        <f aca="false">SUMIFS('12.326ana'!$C:$C,'12.326ana'!$M:$M,redes!A12156)</f>
        <v>0</v>
      </c>
    </row>
    <row r="12157" customFormat="false" ht="14.4" hidden="true" customHeight="false" outlineLevel="0" collapsed="false">
      <c r="A12157" s="34" t="n">
        <v>11583990000154</v>
      </c>
      <c r="B12157" s="34" t="s">
        <v>23554</v>
      </c>
      <c r="C12157" s="34" t="s">
        <v>89</v>
      </c>
      <c r="E12157" s="30" t="s">
        <v>23555</v>
      </c>
      <c r="F12157" s="34" t="n">
        <f aca="false">IFERROR(VLOOKUP($A12157,'319'!$B:$H,7,0),0)</f>
        <v>0</v>
      </c>
      <c r="G12157" s="34" t="n">
        <f aca="false">SUMIFS('12.326ana'!$C:$C,'12.326ana'!$M:$M,redes!A12157)</f>
        <v>0</v>
      </c>
    </row>
    <row r="12158" customFormat="false" ht="14.4" hidden="true" customHeight="false" outlineLevel="0" collapsed="false">
      <c r="A12158" s="34" t="n">
        <v>11587687000120</v>
      </c>
      <c r="B12158" s="34" t="s">
        <v>23556</v>
      </c>
      <c r="C12158" s="34" t="s">
        <v>77</v>
      </c>
      <c r="E12158" s="30" t="s">
        <v>5206</v>
      </c>
      <c r="F12158" s="34" t="n">
        <f aca="false">IFERROR(VLOOKUP($A12158,'319'!$B:$H,7,0),0)</f>
        <v>0</v>
      </c>
      <c r="G12158" s="34" t="n">
        <f aca="false">SUMIFS('12.326ana'!$C:$C,'12.326ana'!$M:$M,redes!A12158)</f>
        <v>0</v>
      </c>
    </row>
    <row r="12159" customFormat="false" ht="14.4" hidden="true" customHeight="false" outlineLevel="0" collapsed="false">
      <c r="A12159" s="34" t="n">
        <v>11588038000143</v>
      </c>
      <c r="B12159" s="34" t="s">
        <v>23557</v>
      </c>
      <c r="C12159" s="34" t="s">
        <v>478</v>
      </c>
      <c r="E12159" s="30" t="s">
        <v>23558</v>
      </c>
      <c r="F12159" s="34" t="n">
        <f aca="false">IFERROR(VLOOKUP($A12159,'319'!$B:$H,7,0),0)</f>
        <v>0</v>
      </c>
      <c r="G12159" s="34" t="n">
        <f aca="false">SUMIFS('12.326ana'!$C:$C,'12.326ana'!$M:$M,redes!A12159)</f>
        <v>0</v>
      </c>
    </row>
    <row r="12160" customFormat="false" ht="14.4" hidden="true" customHeight="false" outlineLevel="0" collapsed="false">
      <c r="A12160" s="34" t="n">
        <v>11589065000130</v>
      </c>
      <c r="B12160" s="34" t="s">
        <v>23559</v>
      </c>
      <c r="C12160" s="34" t="s">
        <v>309</v>
      </c>
      <c r="E12160" s="30" t="s">
        <v>23560</v>
      </c>
      <c r="F12160" s="34" t="n">
        <f aca="false">IFERROR(VLOOKUP($A12160,'319'!$B:$H,7,0),0)</f>
        <v>0</v>
      </c>
      <c r="G12160" s="34" t="n">
        <f aca="false">SUMIFS('12.326ana'!$C:$C,'12.326ana'!$M:$M,redes!A12160)</f>
        <v>0</v>
      </c>
    </row>
    <row r="12161" customFormat="false" ht="14.4" hidden="true" customHeight="false" outlineLevel="0" collapsed="false">
      <c r="A12161" s="34" t="n">
        <v>11591548000170</v>
      </c>
      <c r="B12161" s="34" t="s">
        <v>23561</v>
      </c>
      <c r="C12161" s="34" t="s">
        <v>197</v>
      </c>
      <c r="E12161" s="30" t="s">
        <v>23562</v>
      </c>
      <c r="F12161" s="34" t="n">
        <f aca="false">IFERROR(VLOOKUP($A12161,'319'!$B:$H,7,0),0)</f>
        <v>0</v>
      </c>
      <c r="G12161" s="34" t="n">
        <f aca="false">SUMIFS('12.326ana'!$C:$C,'12.326ana'!$M:$M,redes!A12161)</f>
        <v>0</v>
      </c>
    </row>
    <row r="12162" customFormat="false" ht="14.4" hidden="true" customHeight="false" outlineLevel="0" collapsed="false">
      <c r="A12162" s="34" t="n">
        <v>11594180000101</v>
      </c>
      <c r="B12162" s="34" t="s">
        <v>23563</v>
      </c>
      <c r="C12162" s="34" t="s">
        <v>309</v>
      </c>
      <c r="E12162" s="30" t="s">
        <v>18023</v>
      </c>
      <c r="F12162" s="34" t="n">
        <f aca="false">IFERROR(VLOOKUP($A12162,'319'!$B:$H,7,0),0)</f>
        <v>0</v>
      </c>
      <c r="G12162" s="34" t="n">
        <f aca="false">SUMIFS('12.326ana'!$C:$C,'12.326ana'!$M:$M,redes!A12162)</f>
        <v>0</v>
      </c>
    </row>
    <row r="12163" customFormat="false" ht="14.4" hidden="true" customHeight="false" outlineLevel="0" collapsed="false">
      <c r="A12163" s="34" t="n">
        <v>11599723000175</v>
      </c>
      <c r="B12163" s="34" t="s">
        <v>23564</v>
      </c>
      <c r="C12163" s="34" t="s">
        <v>139</v>
      </c>
      <c r="E12163" s="30" t="s">
        <v>8279</v>
      </c>
      <c r="F12163" s="34" t="n">
        <f aca="false">IFERROR(VLOOKUP($A12163,'319'!$B:$H,7,0),0)</f>
        <v>0</v>
      </c>
      <c r="G12163" s="34" t="n">
        <f aca="false">SUMIFS('12.326ana'!$C:$C,'12.326ana'!$M:$M,redes!A12163)</f>
        <v>0</v>
      </c>
    </row>
    <row r="12164" customFormat="false" ht="14.4" hidden="true" customHeight="false" outlineLevel="0" collapsed="false">
      <c r="A12164" s="34" t="n">
        <v>11601706000125</v>
      </c>
      <c r="B12164" s="34" t="s">
        <v>23565</v>
      </c>
      <c r="C12164" s="34" t="s">
        <v>680</v>
      </c>
      <c r="E12164" s="30" t="s">
        <v>3632</v>
      </c>
      <c r="F12164" s="34" t="n">
        <f aca="false">IFERROR(VLOOKUP($A12164,'319'!$B:$H,7,0),0)</f>
        <v>0</v>
      </c>
      <c r="G12164" s="34" t="n">
        <f aca="false">SUMIFS('12.326ana'!$C:$C,'12.326ana'!$M:$M,redes!A12164)</f>
        <v>0</v>
      </c>
    </row>
    <row r="12165" customFormat="false" ht="14.4" hidden="true" customHeight="false" outlineLevel="0" collapsed="false">
      <c r="A12165" s="34" t="n">
        <v>11601767000192</v>
      </c>
      <c r="B12165" s="34" t="s">
        <v>23566</v>
      </c>
      <c r="C12165" s="34" t="s">
        <v>737</v>
      </c>
      <c r="E12165" s="30" t="s">
        <v>23567</v>
      </c>
      <c r="F12165" s="34" t="n">
        <f aca="false">IFERROR(VLOOKUP($A12165,'319'!$B:$H,7,0),0)</f>
        <v>0</v>
      </c>
      <c r="G12165" s="34" t="n">
        <f aca="false">SUMIFS('12.326ana'!$C:$C,'12.326ana'!$M:$M,redes!A12165)</f>
        <v>0</v>
      </c>
    </row>
    <row r="12166" customFormat="false" ht="14.4" hidden="true" customHeight="false" outlineLevel="0" collapsed="false">
      <c r="A12166" s="34" t="n">
        <v>11603566000124</v>
      </c>
      <c r="B12166" s="34" t="s">
        <v>23568</v>
      </c>
      <c r="C12166" s="34" t="s">
        <v>1272</v>
      </c>
      <c r="E12166" s="30" t="s">
        <v>9183</v>
      </c>
      <c r="F12166" s="34" t="n">
        <f aca="false">IFERROR(VLOOKUP($A12166,'319'!$B:$H,7,0),0)</f>
        <v>0</v>
      </c>
      <c r="G12166" s="34" t="n">
        <f aca="false">SUMIFS('12.326ana'!$C:$C,'12.326ana'!$M:$M,redes!A12166)</f>
        <v>0</v>
      </c>
    </row>
    <row r="12167" customFormat="false" ht="14.4" hidden="true" customHeight="false" outlineLevel="0" collapsed="false">
      <c r="A12167" s="34" t="n">
        <v>11605237000112</v>
      </c>
      <c r="B12167" s="34" t="s">
        <v>23569</v>
      </c>
      <c r="C12167" s="34" t="s">
        <v>77</v>
      </c>
      <c r="E12167" s="30" t="s">
        <v>23570</v>
      </c>
      <c r="F12167" s="34" t="n">
        <f aca="false">IFERROR(VLOOKUP($A12167,'319'!$B:$H,7,0),0)</f>
        <v>0</v>
      </c>
      <c r="G12167" s="34" t="n">
        <f aca="false">SUMIFS('12.326ana'!$C:$C,'12.326ana'!$M:$M,redes!A12167)</f>
        <v>0</v>
      </c>
    </row>
    <row r="12168" customFormat="false" ht="14.4" hidden="true" customHeight="false" outlineLevel="0" collapsed="false">
      <c r="A12168" s="34" t="n">
        <v>11606154000148</v>
      </c>
      <c r="B12168" s="34" t="s">
        <v>23571</v>
      </c>
      <c r="C12168" s="34" t="s">
        <v>77</v>
      </c>
      <c r="E12168" s="30" t="s">
        <v>12796</v>
      </c>
      <c r="F12168" s="34" t="n">
        <f aca="false">IFERROR(VLOOKUP($A12168,'319'!$B:$H,7,0),0)</f>
        <v>0</v>
      </c>
      <c r="G12168" s="34" t="n">
        <f aca="false">SUMIFS('12.326ana'!$C:$C,'12.326ana'!$M:$M,redes!A12168)</f>
        <v>0</v>
      </c>
    </row>
    <row r="12169" customFormat="false" ht="14.4" hidden="true" customHeight="false" outlineLevel="0" collapsed="false">
      <c r="A12169" s="34" t="n">
        <v>11608139000139</v>
      </c>
      <c r="B12169" s="34" t="s">
        <v>23572</v>
      </c>
      <c r="C12169" s="34" t="s">
        <v>77</v>
      </c>
      <c r="E12169" s="30" t="s">
        <v>23573</v>
      </c>
      <c r="F12169" s="34" t="n">
        <f aca="false">IFERROR(VLOOKUP($A12169,'319'!$B:$H,7,0),0)</f>
        <v>0</v>
      </c>
      <c r="G12169" s="34" t="n">
        <f aca="false">SUMIFS('12.326ana'!$C:$C,'12.326ana'!$M:$M,redes!A12169)</f>
        <v>0</v>
      </c>
    </row>
    <row r="12170" customFormat="false" ht="14.4" hidden="true" customHeight="false" outlineLevel="0" collapsed="false">
      <c r="A12170" s="34" t="n">
        <v>11609182000119</v>
      </c>
      <c r="B12170" s="34" t="s">
        <v>23574</v>
      </c>
      <c r="C12170" s="34" t="s">
        <v>77</v>
      </c>
      <c r="E12170" s="30" t="s">
        <v>23575</v>
      </c>
      <c r="F12170" s="34" t="n">
        <f aca="false">IFERROR(VLOOKUP($A12170,'319'!$B:$H,7,0),0)</f>
        <v>0</v>
      </c>
      <c r="G12170" s="34" t="n">
        <f aca="false">SUMIFS('12.326ana'!$C:$C,'12.326ana'!$M:$M,redes!A12170)</f>
        <v>0</v>
      </c>
    </row>
    <row r="12171" customFormat="false" ht="14.4" hidden="true" customHeight="false" outlineLevel="0" collapsed="false">
      <c r="A12171" s="34" t="n">
        <v>11613470000147</v>
      </c>
      <c r="B12171" s="34" t="s">
        <v>23576</v>
      </c>
      <c r="C12171" s="34" t="s">
        <v>351</v>
      </c>
      <c r="E12171" s="30" t="s">
        <v>23577</v>
      </c>
      <c r="F12171" s="34" t="n">
        <f aca="false">IFERROR(VLOOKUP($A12171,'319'!$B:$H,7,0),0)</f>
        <v>0</v>
      </c>
      <c r="G12171" s="34" t="n">
        <f aca="false">SUMIFS('12.326ana'!$C:$C,'12.326ana'!$M:$M,redes!A12171)</f>
        <v>0</v>
      </c>
    </row>
    <row r="12172" customFormat="false" ht="14.4" hidden="true" customHeight="false" outlineLevel="0" collapsed="false">
      <c r="A12172" s="34" t="n">
        <v>11620854000197</v>
      </c>
      <c r="B12172" s="34" t="s">
        <v>23578</v>
      </c>
      <c r="C12172" s="34" t="s">
        <v>631</v>
      </c>
      <c r="E12172" s="30" t="s">
        <v>23579</v>
      </c>
      <c r="F12172" s="34" t="n">
        <f aca="false">IFERROR(VLOOKUP($A12172,'319'!$B:$H,7,0),0)</f>
        <v>0</v>
      </c>
      <c r="G12172" s="34" t="n">
        <f aca="false">SUMIFS('12.326ana'!$C:$C,'12.326ana'!$M:$M,redes!A12172)</f>
        <v>0</v>
      </c>
    </row>
    <row r="12173" customFormat="false" ht="14.4" hidden="true" customHeight="false" outlineLevel="0" collapsed="false">
      <c r="A12173" s="34" t="n">
        <v>11621316000117</v>
      </c>
      <c r="B12173" s="34" t="s">
        <v>23580</v>
      </c>
      <c r="C12173" s="34" t="s">
        <v>127</v>
      </c>
      <c r="E12173" s="30" t="s">
        <v>23581</v>
      </c>
      <c r="F12173" s="34" t="n">
        <f aca="false">IFERROR(VLOOKUP($A12173,'319'!$B:$H,7,0),0)</f>
        <v>0</v>
      </c>
      <c r="G12173" s="34" t="n">
        <f aca="false">SUMIFS('12.326ana'!$C:$C,'12.326ana'!$M:$M,redes!A12173)</f>
        <v>0</v>
      </c>
    </row>
    <row r="12174" customFormat="false" ht="14.4" hidden="true" customHeight="false" outlineLevel="0" collapsed="false">
      <c r="A12174" s="34" t="n">
        <v>11632111000137</v>
      </c>
      <c r="B12174" s="34" t="s">
        <v>23582</v>
      </c>
      <c r="C12174" s="34" t="s">
        <v>77</v>
      </c>
      <c r="E12174" s="30" t="s">
        <v>23583</v>
      </c>
      <c r="F12174" s="34" t="n">
        <f aca="false">IFERROR(VLOOKUP($A12174,'319'!$B:$H,7,0),0)</f>
        <v>0</v>
      </c>
      <c r="G12174" s="34" t="n">
        <f aca="false">SUMIFS('12.326ana'!$C:$C,'12.326ana'!$M:$M,redes!A12174)</f>
        <v>0</v>
      </c>
    </row>
    <row r="12175" customFormat="false" ht="14.4" hidden="true" customHeight="false" outlineLevel="0" collapsed="false">
      <c r="A12175" s="34" t="n">
        <v>11632219000120</v>
      </c>
      <c r="B12175" s="34" t="s">
        <v>5760</v>
      </c>
      <c r="C12175" s="34" t="s">
        <v>77</v>
      </c>
      <c r="E12175" s="30" t="s">
        <v>5761</v>
      </c>
      <c r="F12175" s="34" t="n">
        <f aca="false">IFERROR(VLOOKUP($A12175,'319'!$B:$H,7,0),0)</f>
        <v>0</v>
      </c>
      <c r="G12175" s="34" t="n">
        <f aca="false">SUMIFS('12.326ana'!$C:$C,'12.326ana'!$M:$M,redes!A12175)</f>
        <v>0</v>
      </c>
    </row>
    <row r="12176" customFormat="false" ht="14.4" hidden="true" customHeight="false" outlineLevel="0" collapsed="false">
      <c r="A12176" s="34" t="n">
        <v>11634328000186</v>
      </c>
      <c r="B12176" s="34" t="s">
        <v>23584</v>
      </c>
      <c r="C12176" s="34" t="s">
        <v>77</v>
      </c>
      <c r="E12176" s="30" t="s">
        <v>23585</v>
      </c>
      <c r="F12176" s="34" t="n">
        <f aca="false">IFERROR(VLOOKUP($A12176,'319'!$B:$H,7,0),0)</f>
        <v>0</v>
      </c>
      <c r="G12176" s="34" t="n">
        <f aca="false">SUMIFS('12.326ana'!$C:$C,'12.326ana'!$M:$M,redes!A12176)</f>
        <v>0</v>
      </c>
    </row>
    <row r="12177" customFormat="false" ht="14.4" hidden="true" customHeight="false" outlineLevel="0" collapsed="false">
      <c r="A12177" s="34" t="n">
        <v>11639082000135</v>
      </c>
      <c r="B12177" s="34" t="s">
        <v>23586</v>
      </c>
      <c r="C12177" s="34" t="s">
        <v>478</v>
      </c>
      <c r="E12177" s="30" t="s">
        <v>23090</v>
      </c>
      <c r="F12177" s="34" t="n">
        <f aca="false">IFERROR(VLOOKUP($A12177,'319'!$B:$H,7,0),0)</f>
        <v>0</v>
      </c>
      <c r="G12177" s="34" t="n">
        <f aca="false">SUMIFS('12.326ana'!$C:$C,'12.326ana'!$M:$M,redes!A12177)</f>
        <v>0</v>
      </c>
    </row>
    <row r="12178" customFormat="false" ht="14.4" hidden="true" customHeight="false" outlineLevel="0" collapsed="false">
      <c r="A12178" s="34" t="n">
        <v>11639680000104</v>
      </c>
      <c r="B12178" s="34" t="s">
        <v>969</v>
      </c>
      <c r="C12178" s="34" t="s">
        <v>77</v>
      </c>
      <c r="E12178" s="30" t="s">
        <v>3794</v>
      </c>
      <c r="F12178" s="34" t="n">
        <f aca="false">IFERROR(VLOOKUP($A12178,'319'!$B:$H,7,0),0)</f>
        <v>1043.18</v>
      </c>
      <c r="G12178" s="34" t="n">
        <f aca="false">SUMIFS('12.326ana'!$C:$C,'12.326ana'!$M:$M,redes!A12178)</f>
        <v>0</v>
      </c>
    </row>
    <row r="12179" customFormat="false" ht="14.4" hidden="true" customHeight="false" outlineLevel="0" collapsed="false">
      <c r="A12179" s="34" t="n">
        <v>11641383000101</v>
      </c>
      <c r="B12179" s="34" t="s">
        <v>22584</v>
      </c>
      <c r="C12179" s="34" t="s">
        <v>464</v>
      </c>
      <c r="E12179" s="30" t="s">
        <v>3794</v>
      </c>
      <c r="F12179" s="34" t="n">
        <f aca="false">IFERROR(VLOOKUP($A12179,'319'!$B:$H,7,0),0)</f>
        <v>0</v>
      </c>
      <c r="G12179" s="34" t="n">
        <f aca="false">SUMIFS('12.326ana'!$C:$C,'12.326ana'!$M:$M,redes!A12179)</f>
        <v>0</v>
      </c>
    </row>
    <row r="12180" customFormat="false" ht="14.4" hidden="true" customHeight="false" outlineLevel="0" collapsed="false">
      <c r="A12180" s="34" t="n">
        <v>11641811000198</v>
      </c>
      <c r="B12180" s="34" t="s">
        <v>23587</v>
      </c>
      <c r="C12180" s="34" t="s">
        <v>89</v>
      </c>
      <c r="E12180" s="30" t="s">
        <v>23588</v>
      </c>
      <c r="F12180" s="34" t="n">
        <f aca="false">IFERROR(VLOOKUP($A12180,'319'!$B:$H,7,0),0)</f>
        <v>0</v>
      </c>
      <c r="G12180" s="34" t="n">
        <f aca="false">SUMIFS('12.326ana'!$C:$C,'12.326ana'!$M:$M,redes!A12180)</f>
        <v>0</v>
      </c>
    </row>
    <row r="12181" customFormat="false" ht="14.4" hidden="true" customHeight="false" outlineLevel="0" collapsed="false">
      <c r="A12181" s="34" t="n">
        <v>11648054000184</v>
      </c>
      <c r="B12181" s="34" t="s">
        <v>23589</v>
      </c>
      <c r="C12181" s="34" t="s">
        <v>604</v>
      </c>
      <c r="E12181" s="30" t="s">
        <v>12096</v>
      </c>
      <c r="F12181" s="34" t="n">
        <f aca="false">IFERROR(VLOOKUP($A12181,'319'!$B:$H,7,0),0)</f>
        <v>0</v>
      </c>
      <c r="G12181" s="34" t="n">
        <f aca="false">SUMIFS('12.326ana'!$C:$C,'12.326ana'!$M:$M,redes!A12181)</f>
        <v>0</v>
      </c>
    </row>
    <row r="12182" customFormat="false" ht="14.4" hidden="true" customHeight="false" outlineLevel="0" collapsed="false">
      <c r="A12182" s="34" t="n">
        <v>11656300000140</v>
      </c>
      <c r="B12182" s="34" t="s">
        <v>23590</v>
      </c>
      <c r="C12182" s="34" t="s">
        <v>103</v>
      </c>
      <c r="E12182" s="30" t="s">
        <v>23591</v>
      </c>
      <c r="F12182" s="34" t="n">
        <f aca="false">IFERROR(VLOOKUP($A12182,'319'!$B:$H,7,0),0)</f>
        <v>0</v>
      </c>
      <c r="G12182" s="34" t="n">
        <f aca="false">SUMIFS('12.326ana'!$C:$C,'12.326ana'!$M:$M,redes!A12182)</f>
        <v>0</v>
      </c>
    </row>
    <row r="12183" customFormat="false" ht="14.4" hidden="true" customHeight="false" outlineLevel="0" collapsed="false">
      <c r="A12183" s="34" t="n">
        <v>11659316000106</v>
      </c>
      <c r="B12183" s="34" t="s">
        <v>23592</v>
      </c>
      <c r="C12183" s="34" t="s">
        <v>197</v>
      </c>
      <c r="E12183" s="30" t="s">
        <v>4262</v>
      </c>
      <c r="F12183" s="34" t="n">
        <f aca="false">IFERROR(VLOOKUP($A12183,'319'!$B:$H,7,0),0)</f>
        <v>0</v>
      </c>
      <c r="G12183" s="34" t="n">
        <f aca="false">SUMIFS('12.326ana'!$C:$C,'12.326ana'!$M:$M,redes!A12183)</f>
        <v>0</v>
      </c>
    </row>
    <row r="12184" customFormat="false" ht="14.4" hidden="true" customHeight="false" outlineLevel="0" collapsed="false">
      <c r="A12184" s="34" t="n">
        <v>11666134000162</v>
      </c>
      <c r="B12184" s="34" t="s">
        <v>23593</v>
      </c>
      <c r="C12184" s="34" t="s">
        <v>77</v>
      </c>
      <c r="E12184" s="30" t="s">
        <v>23594</v>
      </c>
      <c r="F12184" s="34" t="n">
        <f aca="false">IFERROR(VLOOKUP($A12184,'319'!$B:$H,7,0),0)</f>
        <v>0</v>
      </c>
      <c r="G12184" s="34" t="n">
        <f aca="false">SUMIFS('12.326ana'!$C:$C,'12.326ana'!$M:$M,redes!A12184)</f>
        <v>0</v>
      </c>
    </row>
    <row r="12185" customFormat="false" ht="14.4" hidden="true" customHeight="false" outlineLevel="0" collapsed="false">
      <c r="A12185" s="34" t="n">
        <v>11667416000184</v>
      </c>
      <c r="B12185" s="34" t="s">
        <v>23595</v>
      </c>
      <c r="C12185" s="34" t="s">
        <v>213</v>
      </c>
      <c r="E12185" s="30" t="s">
        <v>7363</v>
      </c>
      <c r="F12185" s="34" t="n">
        <f aca="false">IFERROR(VLOOKUP($A12185,'319'!$B:$H,7,0),0)</f>
        <v>0</v>
      </c>
      <c r="G12185" s="34" t="n">
        <f aca="false">SUMIFS('12.326ana'!$C:$C,'12.326ana'!$M:$M,redes!A12185)</f>
        <v>0</v>
      </c>
    </row>
    <row r="12186" customFormat="false" ht="14.4" hidden="true" customHeight="false" outlineLevel="0" collapsed="false">
      <c r="A12186" s="34" t="n">
        <v>11675176000160</v>
      </c>
      <c r="B12186" s="34" t="s">
        <v>23596</v>
      </c>
      <c r="C12186" s="34" t="s">
        <v>342</v>
      </c>
      <c r="E12186" s="30" t="s">
        <v>23597</v>
      </c>
      <c r="F12186" s="34" t="n">
        <f aca="false">IFERROR(VLOOKUP($A12186,'319'!$B:$H,7,0),0)</f>
        <v>0</v>
      </c>
      <c r="G12186" s="34" t="n">
        <f aca="false">SUMIFS('12.326ana'!$C:$C,'12.326ana'!$M:$M,redes!A12186)</f>
        <v>0</v>
      </c>
    </row>
    <row r="12187" customFormat="false" ht="14.4" hidden="true" customHeight="false" outlineLevel="0" collapsed="false">
      <c r="A12187" s="34" t="n">
        <v>11681687000194</v>
      </c>
      <c r="B12187" s="34" t="s">
        <v>23598</v>
      </c>
      <c r="C12187" s="34" t="s">
        <v>448</v>
      </c>
      <c r="E12187" s="30" t="s">
        <v>23599</v>
      </c>
      <c r="F12187" s="34" t="n">
        <f aca="false">IFERROR(VLOOKUP($A12187,'319'!$B:$H,7,0),0)</f>
        <v>0</v>
      </c>
      <c r="G12187" s="34" t="n">
        <f aca="false">SUMIFS('12.326ana'!$C:$C,'12.326ana'!$M:$M,redes!A12187)</f>
        <v>0</v>
      </c>
    </row>
    <row r="12188" customFormat="false" ht="14.4" hidden="true" customHeight="false" outlineLevel="0" collapsed="false">
      <c r="A12188" s="34" t="n">
        <v>11681709000116</v>
      </c>
      <c r="B12188" s="34" t="s">
        <v>23600</v>
      </c>
      <c r="C12188" s="34" t="s">
        <v>77</v>
      </c>
      <c r="E12188" s="30" t="s">
        <v>8789</v>
      </c>
      <c r="F12188" s="34" t="n">
        <f aca="false">IFERROR(VLOOKUP($A12188,'319'!$B:$H,7,0),0)</f>
        <v>0</v>
      </c>
      <c r="G12188" s="34" t="n">
        <f aca="false">SUMIFS('12.326ana'!$C:$C,'12.326ana'!$M:$M,redes!A12188)</f>
        <v>0</v>
      </c>
    </row>
    <row r="12189" customFormat="false" ht="14.4" hidden="true" customHeight="false" outlineLevel="0" collapsed="false">
      <c r="A12189" s="34" t="n">
        <v>11684540000158</v>
      </c>
      <c r="B12189" s="34" t="s">
        <v>23601</v>
      </c>
      <c r="C12189" s="34" t="s">
        <v>77</v>
      </c>
      <c r="E12189" s="30" t="s">
        <v>23602</v>
      </c>
      <c r="F12189" s="34" t="n">
        <f aca="false">IFERROR(VLOOKUP($A12189,'319'!$B:$H,7,0),0)</f>
        <v>0</v>
      </c>
      <c r="G12189" s="34" t="n">
        <f aca="false">SUMIFS('12.326ana'!$C:$C,'12.326ana'!$M:$M,redes!A12189)</f>
        <v>0</v>
      </c>
    </row>
    <row r="12190" customFormat="false" ht="14.4" hidden="true" customHeight="false" outlineLevel="0" collapsed="false">
      <c r="A12190" s="34" t="n">
        <v>11690496000199</v>
      </c>
      <c r="B12190" s="34" t="s">
        <v>23603</v>
      </c>
      <c r="C12190" s="34" t="s">
        <v>744</v>
      </c>
      <c r="E12190" s="30"/>
      <c r="F12190" s="34" t="n">
        <f aca="false">IFERROR(VLOOKUP($A12190,'319'!$B:$H,7,0),0)</f>
        <v>0</v>
      </c>
      <c r="G12190" s="34" t="n">
        <f aca="false">SUMIFS('12.326ana'!$C:$C,'12.326ana'!$M:$M,redes!A12190)</f>
        <v>0</v>
      </c>
    </row>
    <row r="12191" customFormat="false" ht="14.4" hidden="true" customHeight="false" outlineLevel="0" collapsed="false">
      <c r="A12191" s="34" t="n">
        <v>11693543000158</v>
      </c>
      <c r="B12191" s="34" t="s">
        <v>23604</v>
      </c>
      <c r="C12191" s="34" t="s">
        <v>77</v>
      </c>
      <c r="E12191" s="30" t="s">
        <v>23605</v>
      </c>
      <c r="F12191" s="34" t="n">
        <f aca="false">IFERROR(VLOOKUP($A12191,'319'!$B:$H,7,0),0)</f>
        <v>0</v>
      </c>
      <c r="G12191" s="34" t="n">
        <f aca="false">SUMIFS('12.326ana'!$C:$C,'12.326ana'!$M:$M,redes!A12191)</f>
        <v>0</v>
      </c>
    </row>
    <row r="12192" customFormat="false" ht="14.4" hidden="true" customHeight="false" outlineLevel="0" collapsed="false">
      <c r="A12192" s="34" t="n">
        <v>11694558000130</v>
      </c>
      <c r="B12192" s="34" t="s">
        <v>23606</v>
      </c>
      <c r="C12192" s="34" t="s">
        <v>77</v>
      </c>
      <c r="E12192" s="30" t="s">
        <v>23607</v>
      </c>
      <c r="F12192" s="34" t="n">
        <f aca="false">IFERROR(VLOOKUP($A12192,'319'!$B:$H,7,0),0)</f>
        <v>0</v>
      </c>
      <c r="G12192" s="34" t="n">
        <f aca="false">SUMIFS('12.326ana'!$C:$C,'12.326ana'!$M:$M,redes!A12192)</f>
        <v>0</v>
      </c>
    </row>
    <row r="12193" customFormat="false" ht="14.4" hidden="true" customHeight="false" outlineLevel="0" collapsed="false">
      <c r="A12193" s="34" t="n">
        <v>11694728000187</v>
      </c>
      <c r="B12193" s="34" t="s">
        <v>23608</v>
      </c>
      <c r="C12193" s="34" t="s">
        <v>299</v>
      </c>
      <c r="E12193" s="30" t="s">
        <v>5597</v>
      </c>
      <c r="F12193" s="34" t="n">
        <f aca="false">IFERROR(VLOOKUP($A12193,'319'!$B:$H,7,0),0)</f>
        <v>0</v>
      </c>
      <c r="G12193" s="34" t="n">
        <f aca="false">SUMIFS('12.326ana'!$C:$C,'12.326ana'!$M:$M,redes!A12193)</f>
        <v>0</v>
      </c>
    </row>
    <row r="12194" customFormat="false" ht="14.4" hidden="true" customHeight="false" outlineLevel="0" collapsed="false">
      <c r="A12194" s="34" t="n">
        <v>11695007000191</v>
      </c>
      <c r="B12194" s="34" t="s">
        <v>23609</v>
      </c>
      <c r="C12194" s="34" t="s">
        <v>475</v>
      </c>
      <c r="E12194" s="30" t="s">
        <v>23610</v>
      </c>
      <c r="F12194" s="34" t="n">
        <f aca="false">IFERROR(VLOOKUP($A12194,'319'!$B:$H,7,0),0)</f>
        <v>0</v>
      </c>
      <c r="G12194" s="34" t="n">
        <f aca="false">SUMIFS('12.326ana'!$C:$C,'12.326ana'!$M:$M,redes!A12194)</f>
        <v>0</v>
      </c>
    </row>
    <row r="12195" customFormat="false" ht="14.4" hidden="true" customHeight="false" outlineLevel="0" collapsed="false">
      <c r="A12195" s="34" t="n">
        <v>11695334000143</v>
      </c>
      <c r="B12195" s="34" t="s">
        <v>23611</v>
      </c>
      <c r="C12195" s="34" t="s">
        <v>357</v>
      </c>
      <c r="E12195" s="30" t="s">
        <v>23612</v>
      </c>
      <c r="F12195" s="34" t="n">
        <f aca="false">IFERROR(VLOOKUP($A12195,'319'!$B:$H,7,0),0)</f>
        <v>0</v>
      </c>
      <c r="G12195" s="34" t="n">
        <f aca="false">SUMIFS('12.326ana'!$C:$C,'12.326ana'!$M:$M,redes!A12195)</f>
        <v>0</v>
      </c>
    </row>
    <row r="12196" customFormat="false" ht="14.4" hidden="true" customHeight="false" outlineLevel="0" collapsed="false">
      <c r="A12196" s="34" t="n">
        <v>11700725000109</v>
      </c>
      <c r="B12196" s="34" t="s">
        <v>23613</v>
      </c>
      <c r="C12196" s="34" t="s">
        <v>351</v>
      </c>
      <c r="E12196" s="30" t="s">
        <v>7730</v>
      </c>
      <c r="F12196" s="34" t="n">
        <f aca="false">IFERROR(VLOOKUP($A12196,'319'!$B:$H,7,0),0)</f>
        <v>0</v>
      </c>
      <c r="G12196" s="34" t="n">
        <f aca="false">SUMIFS('12.326ana'!$C:$C,'12.326ana'!$M:$M,redes!A12196)</f>
        <v>0</v>
      </c>
    </row>
    <row r="12197" customFormat="false" ht="14.4" hidden="true" customHeight="false" outlineLevel="0" collapsed="false">
      <c r="A12197" s="34" t="n">
        <v>11703219000173</v>
      </c>
      <c r="B12197" s="34" t="s">
        <v>23614</v>
      </c>
      <c r="C12197" s="34" t="s">
        <v>192</v>
      </c>
      <c r="E12197" s="30" t="s">
        <v>23615</v>
      </c>
      <c r="F12197" s="34" t="n">
        <f aca="false">IFERROR(VLOOKUP($A12197,'319'!$B:$H,7,0),0)</f>
        <v>0</v>
      </c>
      <c r="G12197" s="34" t="n">
        <f aca="false">SUMIFS('12.326ana'!$C:$C,'12.326ana'!$M:$M,redes!A12197)</f>
        <v>0</v>
      </c>
    </row>
    <row r="12198" customFormat="false" ht="14.4" hidden="true" customHeight="false" outlineLevel="0" collapsed="false">
      <c r="A12198" s="34" t="n">
        <v>11706212000105</v>
      </c>
      <c r="B12198" s="34" t="s">
        <v>23616</v>
      </c>
      <c r="C12198" s="34" t="s">
        <v>77</v>
      </c>
      <c r="E12198" s="30" t="s">
        <v>23617</v>
      </c>
      <c r="F12198" s="34" t="n">
        <f aca="false">IFERROR(VLOOKUP($A12198,'319'!$B:$H,7,0),0)</f>
        <v>0</v>
      </c>
      <c r="G12198" s="34" t="n">
        <f aca="false">SUMIFS('12.326ana'!$C:$C,'12.326ana'!$M:$M,redes!A12198)</f>
        <v>0</v>
      </c>
    </row>
    <row r="12199" customFormat="false" ht="14.4" hidden="true" customHeight="false" outlineLevel="0" collapsed="false">
      <c r="A12199" s="34" t="n">
        <v>11706219000127</v>
      </c>
      <c r="B12199" s="34" t="s">
        <v>23618</v>
      </c>
      <c r="C12199" s="34" t="s">
        <v>1680</v>
      </c>
      <c r="E12199" s="30" t="s">
        <v>23619</v>
      </c>
      <c r="F12199" s="34" t="n">
        <f aca="false">IFERROR(VLOOKUP($A12199,'319'!$B:$H,7,0),0)</f>
        <v>0</v>
      </c>
      <c r="G12199" s="34" t="n">
        <f aca="false">SUMIFS('12.326ana'!$C:$C,'12.326ana'!$M:$M,redes!A12199)</f>
        <v>0</v>
      </c>
    </row>
    <row r="12200" customFormat="false" ht="14.4" hidden="true" customHeight="false" outlineLevel="0" collapsed="false">
      <c r="A12200" s="34" t="n">
        <v>11707948000106</v>
      </c>
      <c r="B12200" s="34" t="s">
        <v>23620</v>
      </c>
      <c r="C12200" s="34" t="s">
        <v>192</v>
      </c>
      <c r="E12200" s="30" t="s">
        <v>16099</v>
      </c>
      <c r="F12200" s="34" t="n">
        <f aca="false">IFERROR(VLOOKUP($A12200,'319'!$B:$H,7,0),0)</f>
        <v>0</v>
      </c>
      <c r="G12200" s="34" t="n">
        <f aca="false">SUMIFS('12.326ana'!$C:$C,'12.326ana'!$M:$M,redes!A12200)</f>
        <v>0</v>
      </c>
    </row>
    <row r="12201" customFormat="false" ht="14.4" hidden="true" customHeight="false" outlineLevel="0" collapsed="false">
      <c r="A12201" s="34" t="n">
        <v>11717661000159</v>
      </c>
      <c r="B12201" s="34" t="s">
        <v>23621</v>
      </c>
      <c r="C12201" s="34" t="s">
        <v>89</v>
      </c>
      <c r="E12201" s="30" t="s">
        <v>23622</v>
      </c>
      <c r="F12201" s="34" t="n">
        <f aca="false">IFERROR(VLOOKUP($A12201,'319'!$B:$H,7,0),0)</f>
        <v>0</v>
      </c>
      <c r="G12201" s="34" t="n">
        <f aca="false">SUMIFS('12.326ana'!$C:$C,'12.326ana'!$M:$M,redes!A12201)</f>
        <v>0</v>
      </c>
    </row>
    <row r="12202" customFormat="false" ht="14.4" hidden="true" customHeight="false" outlineLevel="0" collapsed="false">
      <c r="A12202" s="34" t="n">
        <v>11717928000108</v>
      </c>
      <c r="B12202" s="34" t="s">
        <v>23623</v>
      </c>
      <c r="C12202" s="34" t="s">
        <v>77</v>
      </c>
      <c r="E12202" s="30" t="s">
        <v>23624</v>
      </c>
      <c r="F12202" s="34" t="n">
        <f aca="false">IFERROR(VLOOKUP($A12202,'319'!$B:$H,7,0),0)</f>
        <v>0</v>
      </c>
      <c r="G12202" s="34" t="n">
        <f aca="false">SUMIFS('12.326ana'!$C:$C,'12.326ana'!$M:$M,redes!A12202)</f>
        <v>0</v>
      </c>
    </row>
    <row r="12203" customFormat="false" ht="14.4" hidden="true" customHeight="false" outlineLevel="0" collapsed="false">
      <c r="A12203" s="34" t="n">
        <v>11720393000124</v>
      </c>
      <c r="B12203" s="34" t="s">
        <v>23625</v>
      </c>
      <c r="C12203" s="34" t="s">
        <v>77</v>
      </c>
      <c r="E12203" s="30" t="s">
        <v>23626</v>
      </c>
      <c r="F12203" s="34" t="n">
        <f aca="false">IFERROR(VLOOKUP($A12203,'319'!$B:$H,7,0),0)</f>
        <v>0</v>
      </c>
      <c r="G12203" s="34" t="n">
        <f aca="false">SUMIFS('12.326ana'!$C:$C,'12.326ana'!$M:$M,redes!A12203)</f>
        <v>0</v>
      </c>
    </row>
    <row r="12204" customFormat="false" ht="14.4" hidden="true" customHeight="false" outlineLevel="0" collapsed="false">
      <c r="A12204" s="34" t="n">
        <v>11720870000151</v>
      </c>
      <c r="B12204" s="34" t="s">
        <v>23627</v>
      </c>
      <c r="C12204" s="34" t="s">
        <v>77</v>
      </c>
      <c r="E12204" s="30" t="s">
        <v>23628</v>
      </c>
      <c r="F12204" s="34" t="n">
        <f aca="false">IFERROR(VLOOKUP($A12204,'319'!$B:$H,7,0),0)</f>
        <v>0</v>
      </c>
      <c r="G12204" s="34" t="n">
        <f aca="false">SUMIFS('12.326ana'!$C:$C,'12.326ana'!$M:$M,redes!A12204)</f>
        <v>0</v>
      </c>
    </row>
    <row r="12205" customFormat="false" ht="14.4" hidden="true" customHeight="false" outlineLevel="0" collapsed="false">
      <c r="A12205" s="34" t="n">
        <v>11722868000111</v>
      </c>
      <c r="B12205" s="34" t="s">
        <v>934</v>
      </c>
      <c r="C12205" s="34" t="s">
        <v>309</v>
      </c>
      <c r="E12205" s="30" t="s">
        <v>9260</v>
      </c>
      <c r="F12205" s="34" t="n">
        <f aca="false">IFERROR(VLOOKUP($A12205,'319'!$B:$H,7,0),0)</f>
        <v>1231.62</v>
      </c>
      <c r="G12205" s="34" t="n">
        <f aca="false">SUMIFS('12.326ana'!$C:$C,'12.326ana'!$M:$M,redes!A12205)</f>
        <v>0</v>
      </c>
    </row>
    <row r="12206" customFormat="false" ht="14.4" hidden="true" customHeight="false" outlineLevel="0" collapsed="false">
      <c r="A12206" s="34" t="n">
        <v>11732580000128</v>
      </c>
      <c r="B12206" s="34" t="s">
        <v>23629</v>
      </c>
      <c r="C12206" s="34" t="s">
        <v>464</v>
      </c>
      <c r="E12206" s="30" t="s">
        <v>23630</v>
      </c>
      <c r="F12206" s="34" t="n">
        <f aca="false">IFERROR(VLOOKUP($A12206,'319'!$B:$H,7,0),0)</f>
        <v>0</v>
      </c>
      <c r="G12206" s="34" t="n">
        <f aca="false">SUMIFS('12.326ana'!$C:$C,'12.326ana'!$M:$M,redes!A12206)</f>
        <v>0</v>
      </c>
    </row>
    <row r="12207" customFormat="false" ht="14.4" hidden="true" customHeight="false" outlineLevel="0" collapsed="false">
      <c r="A12207" s="34" t="n">
        <v>11732852000190</v>
      </c>
      <c r="B12207" s="34" t="s">
        <v>23631</v>
      </c>
      <c r="C12207" s="34" t="s">
        <v>139</v>
      </c>
      <c r="E12207" s="30" t="s">
        <v>16634</v>
      </c>
      <c r="F12207" s="34" t="n">
        <f aca="false">IFERROR(VLOOKUP($A12207,'319'!$B:$H,7,0),0)</f>
        <v>0</v>
      </c>
      <c r="G12207" s="34" t="n">
        <f aca="false">SUMIFS('12.326ana'!$C:$C,'12.326ana'!$M:$M,redes!A12207)</f>
        <v>0</v>
      </c>
    </row>
    <row r="12208" customFormat="false" ht="14.4" hidden="true" customHeight="false" outlineLevel="0" collapsed="false">
      <c r="A12208" s="34" t="n">
        <v>11734322000180</v>
      </c>
      <c r="B12208" s="34" t="s">
        <v>23632</v>
      </c>
      <c r="C12208" s="34" t="s">
        <v>77</v>
      </c>
      <c r="E12208" s="30" t="s">
        <v>6700</v>
      </c>
      <c r="F12208" s="34" t="n">
        <f aca="false">IFERROR(VLOOKUP($A12208,'319'!$B:$H,7,0),0)</f>
        <v>0</v>
      </c>
      <c r="G12208" s="34" t="n">
        <f aca="false">SUMIFS('12.326ana'!$C:$C,'12.326ana'!$M:$M,redes!A12208)</f>
        <v>0</v>
      </c>
    </row>
    <row r="12209" customFormat="false" ht="14.4" hidden="true" customHeight="false" outlineLevel="0" collapsed="false">
      <c r="A12209" s="34" t="n">
        <v>11736140000149</v>
      </c>
      <c r="B12209" s="34" t="s">
        <v>23633</v>
      </c>
      <c r="C12209" s="34" t="s">
        <v>107</v>
      </c>
      <c r="E12209" s="30" t="s">
        <v>3385</v>
      </c>
      <c r="F12209" s="34" t="n">
        <f aca="false">IFERROR(VLOOKUP($A12209,'319'!$B:$H,7,0),0)</f>
        <v>0</v>
      </c>
      <c r="G12209" s="34" t="n">
        <f aca="false">SUMIFS('12.326ana'!$C:$C,'12.326ana'!$M:$M,redes!A12209)</f>
        <v>0</v>
      </c>
    </row>
    <row r="12210" customFormat="false" ht="14.4" hidden="true" customHeight="false" outlineLevel="0" collapsed="false">
      <c r="A12210" s="34" t="n">
        <v>11741087000174</v>
      </c>
      <c r="B12210" s="34" t="s">
        <v>23634</v>
      </c>
      <c r="C12210" s="34" t="s">
        <v>357</v>
      </c>
      <c r="E12210" s="30" t="s">
        <v>23635</v>
      </c>
      <c r="F12210" s="34" t="n">
        <f aca="false">IFERROR(VLOOKUP($A12210,'319'!$B:$H,7,0),0)</f>
        <v>0</v>
      </c>
      <c r="G12210" s="34" t="n">
        <f aca="false">SUMIFS('12.326ana'!$C:$C,'12.326ana'!$M:$M,redes!A12210)</f>
        <v>0</v>
      </c>
    </row>
    <row r="12211" customFormat="false" ht="14.4" hidden="true" customHeight="false" outlineLevel="0" collapsed="false">
      <c r="A12211" s="34" t="n">
        <v>11741187000109</v>
      </c>
      <c r="B12211" s="34" t="s">
        <v>12226</v>
      </c>
      <c r="C12211" s="34" t="s">
        <v>77</v>
      </c>
      <c r="E12211" s="30" t="s">
        <v>23636</v>
      </c>
      <c r="F12211" s="34" t="n">
        <f aca="false">IFERROR(VLOOKUP($A12211,'319'!$B:$H,7,0),0)</f>
        <v>0</v>
      </c>
      <c r="G12211" s="34" t="n">
        <f aca="false">SUMIFS('12.326ana'!$C:$C,'12.326ana'!$M:$M,redes!A12211)</f>
        <v>0</v>
      </c>
    </row>
    <row r="12212" customFormat="false" ht="14.4" hidden="true" customHeight="false" outlineLevel="0" collapsed="false">
      <c r="A12212" s="34" t="n">
        <v>11744384000173</v>
      </c>
      <c r="B12212" s="34" t="s">
        <v>23637</v>
      </c>
      <c r="C12212" s="34" t="s">
        <v>77</v>
      </c>
      <c r="E12212" s="30" t="s">
        <v>23638</v>
      </c>
      <c r="F12212" s="34" t="n">
        <f aca="false">IFERROR(VLOOKUP($A12212,'319'!$B:$H,7,0),0)</f>
        <v>0</v>
      </c>
      <c r="G12212" s="34" t="n">
        <f aca="false">SUMIFS('12.326ana'!$C:$C,'12.326ana'!$M:$M,redes!A12212)</f>
        <v>0</v>
      </c>
    </row>
    <row r="12213" customFormat="false" ht="14.4" hidden="true" customHeight="false" outlineLevel="0" collapsed="false">
      <c r="A12213" s="34" t="n">
        <v>11745222000150</v>
      </c>
      <c r="B12213" s="34" t="s">
        <v>23639</v>
      </c>
      <c r="C12213" s="34" t="s">
        <v>1054</v>
      </c>
      <c r="E12213" s="30" t="s">
        <v>23640</v>
      </c>
      <c r="F12213" s="34" t="n">
        <f aca="false">IFERROR(VLOOKUP($A12213,'319'!$B:$H,7,0),0)</f>
        <v>0</v>
      </c>
      <c r="G12213" s="34" t="n">
        <f aca="false">SUMIFS('12.326ana'!$C:$C,'12.326ana'!$M:$M,redes!A12213)</f>
        <v>0</v>
      </c>
    </row>
    <row r="12214" customFormat="false" ht="14.4" hidden="true" customHeight="false" outlineLevel="0" collapsed="false">
      <c r="A12214" s="34" t="n">
        <v>11745614000119</v>
      </c>
      <c r="B12214" s="34" t="s">
        <v>23641</v>
      </c>
      <c r="C12214" s="34" t="s">
        <v>478</v>
      </c>
      <c r="E12214" s="30" t="s">
        <v>2912</v>
      </c>
      <c r="F12214" s="34" t="n">
        <f aca="false">IFERROR(VLOOKUP($A12214,'319'!$B:$H,7,0),0)</f>
        <v>0</v>
      </c>
      <c r="G12214" s="34" t="n">
        <f aca="false">SUMIFS('12.326ana'!$C:$C,'12.326ana'!$M:$M,redes!A12214)</f>
        <v>0</v>
      </c>
    </row>
    <row r="12215" customFormat="false" ht="14.4" hidden="true" customHeight="false" outlineLevel="0" collapsed="false">
      <c r="A12215" s="34" t="n">
        <v>11745720000100</v>
      </c>
      <c r="B12215" s="34" t="s">
        <v>23642</v>
      </c>
      <c r="C12215" s="34" t="s">
        <v>594</v>
      </c>
      <c r="E12215" s="30" t="s">
        <v>23643</v>
      </c>
      <c r="F12215" s="34" t="n">
        <f aca="false">IFERROR(VLOOKUP($A12215,'319'!$B:$H,7,0),0)</f>
        <v>0</v>
      </c>
      <c r="G12215" s="34" t="n">
        <f aca="false">SUMIFS('12.326ana'!$C:$C,'12.326ana'!$M:$M,redes!A12215)</f>
        <v>0</v>
      </c>
    </row>
    <row r="12216" customFormat="false" ht="14.4" hidden="true" customHeight="false" outlineLevel="0" collapsed="false">
      <c r="A12216" s="34" t="n">
        <v>11749963000109</v>
      </c>
      <c r="B12216" s="34" t="s">
        <v>23644</v>
      </c>
      <c r="C12216" s="34" t="s">
        <v>77</v>
      </c>
      <c r="E12216" s="30" t="s">
        <v>23645</v>
      </c>
      <c r="F12216" s="34" t="n">
        <f aca="false">IFERROR(VLOOKUP($A12216,'319'!$B:$H,7,0),0)</f>
        <v>0</v>
      </c>
      <c r="G12216" s="34" t="n">
        <f aca="false">SUMIFS('12.326ana'!$C:$C,'12.326ana'!$M:$M,redes!A12216)</f>
        <v>0</v>
      </c>
    </row>
    <row r="12217" customFormat="false" ht="14.4" hidden="true" customHeight="false" outlineLevel="0" collapsed="false">
      <c r="A12217" s="34" t="n">
        <v>11750059000113</v>
      </c>
      <c r="B12217" s="34" t="s">
        <v>23646</v>
      </c>
      <c r="C12217" s="34" t="s">
        <v>77</v>
      </c>
      <c r="E12217" s="30" t="s">
        <v>23647</v>
      </c>
      <c r="F12217" s="34" t="n">
        <f aca="false">IFERROR(VLOOKUP($A12217,'319'!$B:$H,7,0),0)</f>
        <v>0</v>
      </c>
      <c r="G12217" s="34" t="n">
        <f aca="false">SUMIFS('12.326ana'!$C:$C,'12.326ana'!$M:$M,redes!A12217)</f>
        <v>0</v>
      </c>
    </row>
    <row r="12218" customFormat="false" ht="14.4" hidden="true" customHeight="false" outlineLevel="0" collapsed="false">
      <c r="A12218" s="34" t="n">
        <v>11750084000105</v>
      </c>
      <c r="B12218" s="34" t="s">
        <v>23648</v>
      </c>
      <c r="C12218" s="34" t="s">
        <v>77</v>
      </c>
      <c r="E12218" s="30" t="s">
        <v>3922</v>
      </c>
      <c r="F12218" s="34" t="n">
        <f aca="false">IFERROR(VLOOKUP($A12218,'319'!$B:$H,7,0),0)</f>
        <v>0</v>
      </c>
      <c r="G12218" s="34" t="n">
        <f aca="false">SUMIFS('12.326ana'!$C:$C,'12.326ana'!$M:$M,redes!A12218)</f>
        <v>0</v>
      </c>
    </row>
    <row r="12219" customFormat="false" ht="14.4" hidden="true" customHeight="false" outlineLevel="0" collapsed="false">
      <c r="A12219" s="34" t="n">
        <v>11751921000102</v>
      </c>
      <c r="B12219" s="34" t="s">
        <v>23649</v>
      </c>
      <c r="C12219" s="34" t="s">
        <v>77</v>
      </c>
      <c r="E12219" s="30"/>
      <c r="F12219" s="34" t="n">
        <f aca="false">IFERROR(VLOOKUP($A12219,'319'!$B:$H,7,0),0)</f>
        <v>0</v>
      </c>
      <c r="G12219" s="34" t="n">
        <f aca="false">SUMIFS('12.326ana'!$C:$C,'12.326ana'!$M:$M,redes!A12219)</f>
        <v>0</v>
      </c>
    </row>
    <row r="12220" customFormat="false" ht="14.4" hidden="true" customHeight="false" outlineLevel="0" collapsed="false">
      <c r="A12220" s="34" t="n">
        <v>11757414000186</v>
      </c>
      <c r="B12220" s="34" t="s">
        <v>23650</v>
      </c>
      <c r="C12220" s="34" t="s">
        <v>154</v>
      </c>
      <c r="E12220" s="30" t="s">
        <v>23651</v>
      </c>
      <c r="F12220" s="34" t="n">
        <f aca="false">IFERROR(VLOOKUP($A12220,'319'!$B:$H,7,0),0)</f>
        <v>0</v>
      </c>
      <c r="G12220" s="34" t="n">
        <f aca="false">SUMIFS('12.326ana'!$C:$C,'12.326ana'!$M:$M,redes!A12220)</f>
        <v>0</v>
      </c>
    </row>
    <row r="12221" customFormat="false" ht="14.4" hidden="true" customHeight="false" outlineLevel="0" collapsed="false">
      <c r="A12221" s="34" t="n">
        <v>11779082000130</v>
      </c>
      <c r="B12221" s="34" t="s">
        <v>23652</v>
      </c>
      <c r="C12221" s="34" t="s">
        <v>1272</v>
      </c>
      <c r="E12221" s="30" t="s">
        <v>23653</v>
      </c>
      <c r="F12221" s="34" t="n">
        <f aca="false">IFERROR(VLOOKUP($A12221,'319'!$B:$H,7,0),0)</f>
        <v>0</v>
      </c>
      <c r="G12221" s="34" t="n">
        <f aca="false">SUMIFS('12.326ana'!$C:$C,'12.326ana'!$M:$M,redes!A12221)</f>
        <v>0</v>
      </c>
    </row>
    <row r="12222" customFormat="false" ht="14.4" hidden="true" customHeight="false" outlineLevel="0" collapsed="false">
      <c r="A12222" s="34" t="n">
        <v>11781001000137</v>
      </c>
      <c r="B12222" s="34" t="s">
        <v>23654</v>
      </c>
      <c r="C12222" s="34" t="s">
        <v>464</v>
      </c>
      <c r="E12222" s="30" t="s">
        <v>23655</v>
      </c>
      <c r="F12222" s="34" t="n">
        <f aca="false">IFERROR(VLOOKUP($A12222,'319'!$B:$H,7,0),0)</f>
        <v>0</v>
      </c>
      <c r="G12222" s="34" t="n">
        <f aca="false">SUMIFS('12.326ana'!$C:$C,'12.326ana'!$M:$M,redes!A12222)</f>
        <v>0</v>
      </c>
    </row>
    <row r="12223" customFormat="false" ht="14.4" hidden="true" customHeight="false" outlineLevel="0" collapsed="false">
      <c r="A12223" s="34" t="n">
        <v>11783432000132</v>
      </c>
      <c r="B12223" s="34" t="s">
        <v>23656</v>
      </c>
      <c r="C12223" s="34" t="s">
        <v>604</v>
      </c>
      <c r="E12223" s="30" t="s">
        <v>23657</v>
      </c>
      <c r="F12223" s="34" t="n">
        <f aca="false">IFERROR(VLOOKUP($A12223,'319'!$B:$H,7,0),0)</f>
        <v>0</v>
      </c>
      <c r="G12223" s="34" t="n">
        <f aca="false">SUMIFS('12.326ana'!$C:$C,'12.326ana'!$M:$M,redes!A12223)</f>
        <v>0</v>
      </c>
    </row>
    <row r="12224" customFormat="false" ht="14.4" hidden="true" customHeight="false" outlineLevel="0" collapsed="false">
      <c r="A12224" s="34" t="n">
        <v>11786009000196</v>
      </c>
      <c r="B12224" s="34" t="s">
        <v>9835</v>
      </c>
      <c r="C12224" s="34" t="s">
        <v>127</v>
      </c>
      <c r="E12224" s="30" t="s">
        <v>9835</v>
      </c>
      <c r="F12224" s="34" t="n">
        <f aca="false">IFERROR(VLOOKUP($A12224,'319'!$B:$H,7,0),0)</f>
        <v>0</v>
      </c>
      <c r="G12224" s="34" t="n">
        <f aca="false">SUMIFS('12.326ana'!$C:$C,'12.326ana'!$M:$M,redes!A12224)</f>
        <v>0</v>
      </c>
    </row>
    <row r="12225" customFormat="false" ht="14.4" hidden="true" customHeight="false" outlineLevel="0" collapsed="false">
      <c r="A12225" s="34" t="n">
        <v>11787278000177</v>
      </c>
      <c r="B12225" s="34" t="s">
        <v>23658</v>
      </c>
      <c r="C12225" s="34" t="s">
        <v>309</v>
      </c>
      <c r="E12225" s="30" t="s">
        <v>14178</v>
      </c>
      <c r="F12225" s="34" t="n">
        <f aca="false">IFERROR(VLOOKUP($A12225,'319'!$B:$H,7,0),0)</f>
        <v>0</v>
      </c>
      <c r="G12225" s="34" t="n">
        <f aca="false">SUMIFS('12.326ana'!$C:$C,'12.326ana'!$M:$M,redes!A12225)</f>
        <v>0</v>
      </c>
    </row>
    <row r="12226" customFormat="false" ht="14.4" hidden="true" customHeight="false" outlineLevel="0" collapsed="false">
      <c r="A12226" s="34" t="n">
        <v>11788578000170</v>
      </c>
      <c r="B12226" s="34" t="s">
        <v>23659</v>
      </c>
      <c r="C12226" s="34" t="s">
        <v>475</v>
      </c>
      <c r="E12226" s="30" t="s">
        <v>23660</v>
      </c>
      <c r="F12226" s="34" t="n">
        <f aca="false">IFERROR(VLOOKUP($A12226,'319'!$B:$H,7,0),0)</f>
        <v>0</v>
      </c>
      <c r="G12226" s="34" t="n">
        <f aca="false">SUMIFS('12.326ana'!$C:$C,'12.326ana'!$M:$M,redes!A12226)</f>
        <v>0</v>
      </c>
    </row>
    <row r="12227" customFormat="false" ht="14.4" hidden="true" customHeight="false" outlineLevel="0" collapsed="false">
      <c r="A12227" s="34" t="n">
        <v>11792057000197</v>
      </c>
      <c r="B12227" s="34" t="s">
        <v>23661</v>
      </c>
      <c r="C12227" s="34" t="s">
        <v>139</v>
      </c>
      <c r="E12227" s="30" t="s">
        <v>23662</v>
      </c>
      <c r="F12227" s="34" t="n">
        <f aca="false">IFERROR(VLOOKUP($A12227,'319'!$B:$H,7,0),0)</f>
        <v>0</v>
      </c>
      <c r="G12227" s="34" t="n">
        <f aca="false">SUMIFS('12.326ana'!$C:$C,'12.326ana'!$M:$M,redes!A12227)</f>
        <v>0</v>
      </c>
    </row>
    <row r="12228" customFormat="false" ht="14.4" hidden="true" customHeight="false" outlineLevel="0" collapsed="false">
      <c r="A12228" s="34" t="n">
        <v>11792433000143</v>
      </c>
      <c r="B12228" s="34" t="s">
        <v>23663</v>
      </c>
      <c r="C12228" s="34" t="s">
        <v>478</v>
      </c>
      <c r="E12228" s="30" t="s">
        <v>23664</v>
      </c>
      <c r="F12228" s="34" t="n">
        <f aca="false">IFERROR(VLOOKUP($A12228,'319'!$B:$H,7,0),0)</f>
        <v>0</v>
      </c>
      <c r="G12228" s="34" t="n">
        <f aca="false">SUMIFS('12.326ana'!$C:$C,'12.326ana'!$M:$M,redes!A12228)</f>
        <v>0</v>
      </c>
    </row>
    <row r="12229" customFormat="false" ht="14.4" hidden="true" customHeight="false" outlineLevel="0" collapsed="false">
      <c r="A12229" s="34" t="n">
        <v>11792510000165</v>
      </c>
      <c r="B12229" s="34" t="s">
        <v>23665</v>
      </c>
      <c r="C12229" s="34" t="s">
        <v>77</v>
      </c>
      <c r="E12229" s="30" t="s">
        <v>13794</v>
      </c>
      <c r="F12229" s="34" t="n">
        <f aca="false">IFERROR(VLOOKUP($A12229,'319'!$B:$H,7,0),0)</f>
        <v>0</v>
      </c>
      <c r="G12229" s="34" t="n">
        <f aca="false">SUMIFS('12.326ana'!$C:$C,'12.326ana'!$M:$M,redes!A12229)</f>
        <v>0</v>
      </c>
    </row>
    <row r="12230" customFormat="false" ht="14.4" hidden="true" customHeight="false" outlineLevel="0" collapsed="false">
      <c r="A12230" s="34" t="n">
        <v>11796956000168</v>
      </c>
      <c r="B12230" s="34" t="s">
        <v>23666</v>
      </c>
      <c r="C12230" s="34" t="s">
        <v>781</v>
      </c>
      <c r="E12230" s="30" t="s">
        <v>23443</v>
      </c>
      <c r="F12230" s="34" t="n">
        <f aca="false">IFERROR(VLOOKUP($A12230,'319'!$B:$H,7,0),0)</f>
        <v>0</v>
      </c>
      <c r="G12230" s="34" t="n">
        <f aca="false">SUMIFS('12.326ana'!$C:$C,'12.326ana'!$M:$M,redes!A12230)</f>
        <v>0</v>
      </c>
    </row>
    <row r="12231" customFormat="false" ht="14.4" hidden="true" customHeight="false" outlineLevel="0" collapsed="false">
      <c r="A12231" s="34" t="n">
        <v>11804015000129</v>
      </c>
      <c r="B12231" s="34" t="s">
        <v>23667</v>
      </c>
      <c r="C12231" s="34" t="s">
        <v>781</v>
      </c>
      <c r="E12231" s="30" t="s">
        <v>3357</v>
      </c>
      <c r="F12231" s="34" t="n">
        <f aca="false">IFERROR(VLOOKUP($A12231,'319'!$B:$H,7,0),0)</f>
        <v>0</v>
      </c>
      <c r="G12231" s="34" t="n">
        <f aca="false">SUMIFS('12.326ana'!$C:$C,'12.326ana'!$M:$M,redes!A12231)</f>
        <v>0</v>
      </c>
    </row>
    <row r="12232" customFormat="false" ht="14.4" hidden="true" customHeight="false" outlineLevel="0" collapsed="false">
      <c r="A12232" s="34" t="n">
        <v>11804735000194</v>
      </c>
      <c r="B12232" s="34" t="s">
        <v>23668</v>
      </c>
      <c r="C12232" s="34" t="s">
        <v>631</v>
      </c>
      <c r="E12232" s="30" t="s">
        <v>23669</v>
      </c>
      <c r="F12232" s="34" t="n">
        <f aca="false">IFERROR(VLOOKUP($A12232,'319'!$B:$H,7,0),0)</f>
        <v>0</v>
      </c>
      <c r="G12232" s="34" t="n">
        <f aca="false">SUMIFS('12.326ana'!$C:$C,'12.326ana'!$M:$M,redes!A12232)</f>
        <v>0</v>
      </c>
    </row>
    <row r="12233" customFormat="false" ht="14.4" hidden="true" customHeight="false" outlineLevel="0" collapsed="false">
      <c r="A12233" s="34" t="n">
        <v>11804977000188</v>
      </c>
      <c r="B12233" s="34" t="s">
        <v>4114</v>
      </c>
      <c r="C12233" s="34" t="s">
        <v>781</v>
      </c>
      <c r="E12233" s="30" t="s">
        <v>23670</v>
      </c>
      <c r="F12233" s="34" t="n">
        <f aca="false">IFERROR(VLOOKUP($A12233,'319'!$B:$H,7,0),0)</f>
        <v>225.2</v>
      </c>
      <c r="G12233" s="34" t="n">
        <f aca="false">SUMIFS('12.326ana'!$C:$C,'12.326ana'!$M:$M,redes!A12233)</f>
        <v>0</v>
      </c>
    </row>
    <row r="12234" customFormat="false" ht="14.4" hidden="true" customHeight="false" outlineLevel="0" collapsed="false">
      <c r="A12234" s="34" t="n">
        <v>11812969000183</v>
      </c>
      <c r="B12234" s="34" t="s">
        <v>23671</v>
      </c>
      <c r="C12234" s="34" t="s">
        <v>77</v>
      </c>
      <c r="E12234" s="30" t="s">
        <v>3556</v>
      </c>
      <c r="F12234" s="34" t="n">
        <f aca="false">IFERROR(VLOOKUP($A12234,'319'!$B:$H,7,0),0)</f>
        <v>0</v>
      </c>
      <c r="G12234" s="34" t="n">
        <f aca="false">SUMIFS('12.326ana'!$C:$C,'12.326ana'!$M:$M,redes!A12234)</f>
        <v>0</v>
      </c>
    </row>
    <row r="12235" customFormat="false" ht="14.4" hidden="true" customHeight="false" outlineLevel="0" collapsed="false">
      <c r="A12235" s="34" t="n">
        <v>11814022000101</v>
      </c>
      <c r="B12235" s="34" t="s">
        <v>23672</v>
      </c>
      <c r="C12235" s="34" t="s">
        <v>631</v>
      </c>
      <c r="E12235" s="30" t="s">
        <v>23673</v>
      </c>
      <c r="F12235" s="34" t="n">
        <f aca="false">IFERROR(VLOOKUP($A12235,'319'!$B:$H,7,0),0)</f>
        <v>0</v>
      </c>
      <c r="G12235" s="34" t="n">
        <f aca="false">SUMIFS('12.326ana'!$C:$C,'12.326ana'!$M:$M,redes!A12235)</f>
        <v>0</v>
      </c>
    </row>
    <row r="12236" customFormat="false" ht="14.4" hidden="true" customHeight="false" outlineLevel="0" collapsed="false">
      <c r="A12236" s="34" t="n">
        <v>11816186000178</v>
      </c>
      <c r="B12236" s="34" t="s">
        <v>23674</v>
      </c>
      <c r="C12236" s="34" t="s">
        <v>20620</v>
      </c>
      <c r="E12236" s="30" t="s">
        <v>23675</v>
      </c>
      <c r="F12236" s="34" t="n">
        <f aca="false">IFERROR(VLOOKUP($A12236,'319'!$B:$H,7,0),0)</f>
        <v>0</v>
      </c>
      <c r="G12236" s="34" t="n">
        <f aca="false">SUMIFS('12.326ana'!$C:$C,'12.326ana'!$M:$M,redes!A12236)</f>
        <v>0</v>
      </c>
    </row>
    <row r="12237" customFormat="false" ht="14.4" hidden="true" customHeight="false" outlineLevel="0" collapsed="false">
      <c r="A12237" s="34" t="n">
        <v>11817375000165</v>
      </c>
      <c r="B12237" s="34" t="s">
        <v>23676</v>
      </c>
      <c r="C12237" s="34" t="s">
        <v>781</v>
      </c>
      <c r="E12237" s="30" t="s">
        <v>23677</v>
      </c>
      <c r="F12237" s="34" t="n">
        <f aca="false">IFERROR(VLOOKUP($A12237,'319'!$B:$H,7,0),0)</f>
        <v>0</v>
      </c>
      <c r="G12237" s="34" t="n">
        <f aca="false">SUMIFS('12.326ana'!$C:$C,'12.326ana'!$M:$M,redes!A12237)</f>
        <v>0</v>
      </c>
    </row>
    <row r="12238" customFormat="false" ht="14.4" hidden="true" customHeight="false" outlineLevel="0" collapsed="false">
      <c r="A12238" s="34" t="n">
        <v>11818453000146</v>
      </c>
      <c r="B12238" s="34" t="s">
        <v>23678</v>
      </c>
      <c r="C12238" s="34" t="s">
        <v>737</v>
      </c>
      <c r="E12238" s="30" t="s">
        <v>23679</v>
      </c>
      <c r="F12238" s="34" t="n">
        <f aca="false">IFERROR(VLOOKUP($A12238,'319'!$B:$H,7,0),0)</f>
        <v>0</v>
      </c>
      <c r="G12238" s="34" t="n">
        <f aca="false">SUMIFS('12.326ana'!$C:$C,'12.326ana'!$M:$M,redes!A12238)</f>
        <v>0</v>
      </c>
    </row>
    <row r="12239" customFormat="false" ht="14.4" hidden="true" customHeight="false" outlineLevel="0" collapsed="false">
      <c r="A12239" s="34" t="n">
        <v>11819738000100</v>
      </c>
      <c r="B12239" s="34" t="s">
        <v>23680</v>
      </c>
      <c r="C12239" s="34" t="s">
        <v>77</v>
      </c>
      <c r="E12239" s="30" t="s">
        <v>9181</v>
      </c>
      <c r="F12239" s="34" t="n">
        <f aca="false">IFERROR(VLOOKUP($A12239,'319'!$B:$H,7,0),0)</f>
        <v>0</v>
      </c>
      <c r="G12239" s="34" t="n">
        <f aca="false">SUMIFS('12.326ana'!$C:$C,'12.326ana'!$M:$M,redes!A12239)</f>
        <v>0</v>
      </c>
    </row>
    <row r="12240" customFormat="false" ht="14.4" hidden="true" customHeight="false" outlineLevel="0" collapsed="false">
      <c r="A12240" s="34" t="n">
        <v>11823139000151</v>
      </c>
      <c r="B12240" s="34" t="s">
        <v>23681</v>
      </c>
      <c r="C12240" s="34" t="s">
        <v>967</v>
      </c>
      <c r="E12240" s="30" t="s">
        <v>23682</v>
      </c>
      <c r="F12240" s="34" t="n">
        <f aca="false">IFERROR(VLOOKUP($A12240,'319'!$B:$H,7,0),0)</f>
        <v>0</v>
      </c>
      <c r="G12240" s="34" t="n">
        <f aca="false">SUMIFS('12.326ana'!$C:$C,'12.326ana'!$M:$M,redes!A12240)</f>
        <v>0</v>
      </c>
    </row>
    <row r="12241" customFormat="false" ht="14.4" hidden="true" customHeight="false" outlineLevel="0" collapsed="false">
      <c r="A12241" s="34" t="n">
        <v>11839716000101</v>
      </c>
      <c r="B12241" s="34" t="s">
        <v>7729</v>
      </c>
      <c r="C12241" s="34" t="s">
        <v>77</v>
      </c>
      <c r="E12241" s="30" t="s">
        <v>3112</v>
      </c>
      <c r="F12241" s="34" t="n">
        <f aca="false">IFERROR(VLOOKUP($A12241,'319'!$B:$H,7,0),0)</f>
        <v>0</v>
      </c>
      <c r="G12241" s="34" t="n">
        <f aca="false">SUMIFS('12.326ana'!$C:$C,'12.326ana'!$M:$M,redes!A12241)</f>
        <v>0</v>
      </c>
    </row>
    <row r="12242" customFormat="false" ht="14.4" hidden="true" customHeight="false" outlineLevel="0" collapsed="false">
      <c r="A12242" s="34" t="n">
        <v>11845196000131</v>
      </c>
      <c r="B12242" s="34" t="s">
        <v>23683</v>
      </c>
      <c r="C12242" s="34" t="s">
        <v>77</v>
      </c>
      <c r="E12242" s="30" t="s">
        <v>23684</v>
      </c>
      <c r="F12242" s="34" t="n">
        <f aca="false">IFERROR(VLOOKUP($A12242,'319'!$B:$H,7,0),0)</f>
        <v>0</v>
      </c>
      <c r="G12242" s="34" t="n">
        <f aca="false">SUMIFS('12.326ana'!$C:$C,'12.326ana'!$M:$M,redes!A12242)</f>
        <v>0</v>
      </c>
    </row>
    <row r="12243" customFormat="false" ht="14.4" hidden="true" customHeight="false" outlineLevel="0" collapsed="false">
      <c r="A12243" s="34" t="n">
        <v>11849681000183</v>
      </c>
      <c r="B12243" s="34" t="s">
        <v>9974</v>
      </c>
      <c r="C12243" s="34" t="s">
        <v>77</v>
      </c>
      <c r="E12243" s="30" t="s">
        <v>23685</v>
      </c>
      <c r="F12243" s="34" t="n">
        <f aca="false">IFERROR(VLOOKUP($A12243,'319'!$B:$H,7,0),0)</f>
        <v>0</v>
      </c>
      <c r="G12243" s="34" t="n">
        <f aca="false">SUMIFS('12.326ana'!$C:$C,'12.326ana'!$M:$M,redes!A12243)</f>
        <v>0</v>
      </c>
    </row>
    <row r="12244" customFormat="false" ht="14.4" hidden="true" customHeight="false" outlineLevel="0" collapsed="false">
      <c r="A12244" s="34" t="n">
        <v>11851633000120</v>
      </c>
      <c r="B12244" s="34" t="s">
        <v>23686</v>
      </c>
      <c r="C12244" s="34" t="s">
        <v>213</v>
      </c>
      <c r="E12244" s="30" t="s">
        <v>23687</v>
      </c>
      <c r="F12244" s="34" t="n">
        <f aca="false">IFERROR(VLOOKUP($A12244,'319'!$B:$H,7,0),0)</f>
        <v>0</v>
      </c>
      <c r="G12244" s="34" t="n">
        <f aca="false">SUMIFS('12.326ana'!$C:$C,'12.326ana'!$M:$M,redes!A12244)</f>
        <v>0</v>
      </c>
    </row>
    <row r="12245" customFormat="false" ht="14.4" hidden="true" customHeight="false" outlineLevel="0" collapsed="false">
      <c r="A12245" s="34" t="n">
        <v>11853246000122</v>
      </c>
      <c r="B12245" s="34" t="s">
        <v>23688</v>
      </c>
      <c r="C12245" s="34" t="s">
        <v>562</v>
      </c>
      <c r="E12245" s="30" t="s">
        <v>23689</v>
      </c>
      <c r="F12245" s="34" t="n">
        <f aca="false">IFERROR(VLOOKUP($A12245,'319'!$B:$H,7,0),0)</f>
        <v>0</v>
      </c>
      <c r="G12245" s="34" t="n">
        <f aca="false">SUMIFS('12.326ana'!$C:$C,'12.326ana'!$M:$M,redes!A12245)</f>
        <v>0</v>
      </c>
    </row>
    <row r="12246" customFormat="false" ht="14.4" hidden="true" customHeight="false" outlineLevel="0" collapsed="false">
      <c r="A12246" s="34" t="n">
        <v>11856860000148</v>
      </c>
      <c r="B12246" s="34" t="s">
        <v>23690</v>
      </c>
      <c r="C12246" s="34" t="s">
        <v>77</v>
      </c>
      <c r="E12246" s="30" t="s">
        <v>23691</v>
      </c>
      <c r="F12246" s="34" t="n">
        <f aca="false">IFERROR(VLOOKUP($A12246,'319'!$B:$H,7,0),0)</f>
        <v>0</v>
      </c>
      <c r="G12246" s="34" t="n">
        <f aca="false">SUMIFS('12.326ana'!$C:$C,'12.326ana'!$M:$M,redes!A12246)</f>
        <v>0</v>
      </c>
    </row>
    <row r="12247" customFormat="false" ht="14.4" hidden="true" customHeight="false" outlineLevel="0" collapsed="false">
      <c r="A12247" s="34" t="n">
        <v>11861261000112</v>
      </c>
      <c r="B12247" s="34" t="s">
        <v>23692</v>
      </c>
      <c r="C12247" s="34" t="s">
        <v>77</v>
      </c>
      <c r="E12247" s="30" t="s">
        <v>6533</v>
      </c>
      <c r="F12247" s="34" t="n">
        <f aca="false">IFERROR(VLOOKUP($A12247,'319'!$B:$H,7,0),0)</f>
        <v>0</v>
      </c>
      <c r="G12247" s="34" t="n">
        <f aca="false">SUMIFS('12.326ana'!$C:$C,'12.326ana'!$M:$M,redes!A12247)</f>
        <v>0</v>
      </c>
    </row>
    <row r="12248" customFormat="false" ht="14.4" hidden="true" customHeight="false" outlineLevel="0" collapsed="false">
      <c r="A12248" s="34" t="n">
        <v>11865067000105</v>
      </c>
      <c r="B12248" s="34" t="s">
        <v>23693</v>
      </c>
      <c r="C12248" s="34" t="s">
        <v>89</v>
      </c>
      <c r="E12248" s="30" t="s">
        <v>23694</v>
      </c>
      <c r="F12248" s="34" t="n">
        <f aca="false">IFERROR(VLOOKUP($A12248,'319'!$B:$H,7,0),0)</f>
        <v>0</v>
      </c>
      <c r="G12248" s="34" t="n">
        <f aca="false">SUMIFS('12.326ana'!$C:$C,'12.326ana'!$M:$M,redes!A12248)</f>
        <v>0</v>
      </c>
    </row>
    <row r="12249" customFormat="false" ht="14.4" hidden="true" customHeight="false" outlineLevel="0" collapsed="false">
      <c r="A12249" s="34" t="n">
        <v>11866862000118</v>
      </c>
      <c r="B12249" s="34" t="s">
        <v>3975</v>
      </c>
      <c r="C12249" s="34" t="s">
        <v>77</v>
      </c>
      <c r="E12249" s="30" t="s">
        <v>23695</v>
      </c>
      <c r="F12249" s="34" t="n">
        <f aca="false">IFERROR(VLOOKUP($A12249,'319'!$B:$H,7,0),0)</f>
        <v>0</v>
      </c>
      <c r="G12249" s="34" t="n">
        <f aca="false">SUMIFS('12.326ana'!$C:$C,'12.326ana'!$M:$M,redes!A12249)</f>
        <v>0</v>
      </c>
    </row>
    <row r="12250" customFormat="false" ht="14.4" hidden="true" customHeight="false" outlineLevel="0" collapsed="false">
      <c r="A12250" s="34" t="n">
        <v>11867625000171</v>
      </c>
      <c r="B12250" s="34" t="s">
        <v>23696</v>
      </c>
      <c r="C12250" s="34" t="s">
        <v>448</v>
      </c>
      <c r="E12250" s="30" t="s">
        <v>23697</v>
      </c>
      <c r="F12250" s="34" t="n">
        <f aca="false">IFERROR(VLOOKUP($A12250,'319'!$B:$H,7,0),0)</f>
        <v>0</v>
      </c>
      <c r="G12250" s="34" t="n">
        <f aca="false">SUMIFS('12.326ana'!$C:$C,'12.326ana'!$M:$M,redes!A12250)</f>
        <v>0</v>
      </c>
    </row>
    <row r="12251" customFormat="false" ht="14.4" hidden="true" customHeight="false" outlineLevel="0" collapsed="false">
      <c r="A12251" s="34" t="n">
        <v>11867844000150</v>
      </c>
      <c r="B12251" s="34" t="s">
        <v>23698</v>
      </c>
      <c r="C12251" s="34" t="s">
        <v>7250</v>
      </c>
      <c r="E12251" s="30" t="s">
        <v>23699</v>
      </c>
      <c r="F12251" s="34" t="n">
        <f aca="false">IFERROR(VLOOKUP($A12251,'319'!$B:$H,7,0),0)</f>
        <v>0</v>
      </c>
      <c r="G12251" s="34" t="n">
        <f aca="false">SUMIFS('12.326ana'!$C:$C,'12.326ana'!$M:$M,redes!A12251)</f>
        <v>0</v>
      </c>
    </row>
    <row r="12252" customFormat="false" ht="14.4" hidden="true" customHeight="false" outlineLevel="0" collapsed="false">
      <c r="A12252" s="34" t="n">
        <v>11869248000100</v>
      </c>
      <c r="B12252" s="34" t="s">
        <v>23700</v>
      </c>
      <c r="C12252" s="34" t="s">
        <v>117</v>
      </c>
      <c r="E12252" s="30" t="s">
        <v>21697</v>
      </c>
      <c r="F12252" s="34" t="n">
        <f aca="false">IFERROR(VLOOKUP($A12252,'319'!$B:$H,7,0),0)</f>
        <v>0</v>
      </c>
      <c r="G12252" s="34" t="n">
        <f aca="false">SUMIFS('12.326ana'!$C:$C,'12.326ana'!$M:$M,redes!A12252)</f>
        <v>0</v>
      </c>
    </row>
    <row r="12253" customFormat="false" ht="14.4" hidden="true" customHeight="false" outlineLevel="0" collapsed="false">
      <c r="A12253" s="34" t="n">
        <v>11869614000120</v>
      </c>
      <c r="B12253" s="34" t="s">
        <v>23701</v>
      </c>
      <c r="C12253" s="34" t="s">
        <v>89</v>
      </c>
      <c r="E12253" s="30" t="s">
        <v>23702</v>
      </c>
      <c r="F12253" s="34" t="n">
        <f aca="false">IFERROR(VLOOKUP($A12253,'319'!$B:$H,7,0),0)</f>
        <v>0</v>
      </c>
      <c r="G12253" s="34" t="n">
        <f aca="false">SUMIFS('12.326ana'!$C:$C,'12.326ana'!$M:$M,redes!A12253)</f>
        <v>0</v>
      </c>
    </row>
    <row r="12254" customFormat="false" ht="14.4" hidden="true" customHeight="false" outlineLevel="0" collapsed="false">
      <c r="A12254" s="34" t="n">
        <v>11878900000152</v>
      </c>
      <c r="B12254" s="34" t="s">
        <v>23703</v>
      </c>
      <c r="C12254" s="34" t="s">
        <v>309</v>
      </c>
      <c r="E12254" s="30" t="s">
        <v>23704</v>
      </c>
      <c r="F12254" s="34" t="n">
        <f aca="false">IFERROR(VLOOKUP($A12254,'319'!$B:$H,7,0),0)</f>
        <v>0</v>
      </c>
      <c r="G12254" s="34" t="n">
        <f aca="false">SUMIFS('12.326ana'!$C:$C,'12.326ana'!$M:$M,redes!A12254)</f>
        <v>0</v>
      </c>
    </row>
    <row r="12255" customFormat="false" ht="14.4" hidden="true" customHeight="false" outlineLevel="0" collapsed="false">
      <c r="A12255" s="34" t="n">
        <v>11885566000164</v>
      </c>
      <c r="B12255" s="34" t="s">
        <v>23705</v>
      </c>
      <c r="C12255" s="34" t="s">
        <v>77</v>
      </c>
      <c r="E12255" s="30" t="s">
        <v>8513</v>
      </c>
      <c r="F12255" s="34" t="n">
        <f aca="false">IFERROR(VLOOKUP($A12255,'319'!$B:$H,7,0),0)</f>
        <v>0</v>
      </c>
      <c r="G12255" s="34" t="n">
        <f aca="false">SUMIFS('12.326ana'!$C:$C,'12.326ana'!$M:$M,redes!A12255)</f>
        <v>0</v>
      </c>
    </row>
    <row r="12256" customFormat="false" ht="14.4" hidden="true" customHeight="false" outlineLevel="0" collapsed="false">
      <c r="A12256" s="35" t="n">
        <v>11888978000158</v>
      </c>
      <c r="B12256" s="34" t="s">
        <v>1472</v>
      </c>
      <c r="C12256" s="34" t="s">
        <v>77</v>
      </c>
      <c r="E12256" s="30" t="s">
        <v>23706</v>
      </c>
      <c r="F12256" s="34" t="n">
        <f aca="false">IFERROR(VLOOKUP($A12256,'319'!$B:$H,7,0),0)</f>
        <v>161.86</v>
      </c>
      <c r="G12256" s="34" t="n">
        <f aca="false">SUMIFS('12.326ana'!$C:$C,'12.326ana'!$M:$M,redes!A12256)</f>
        <v>0</v>
      </c>
    </row>
    <row r="12257" customFormat="false" ht="14.4" hidden="true" customHeight="false" outlineLevel="0" collapsed="false">
      <c r="A12257" s="35" t="n">
        <v>11890532000168</v>
      </c>
      <c r="B12257" s="34" t="s">
        <v>23707</v>
      </c>
      <c r="C12257" s="34" t="s">
        <v>77</v>
      </c>
      <c r="E12257" s="30" t="s">
        <v>13198</v>
      </c>
      <c r="F12257" s="34" t="n">
        <f aca="false">IFERROR(VLOOKUP($A12257,'319'!$B:$H,7,0),0)</f>
        <v>0</v>
      </c>
      <c r="G12257" s="34" t="n">
        <f aca="false">SUMIFS('12.326ana'!$C:$C,'12.326ana'!$M:$M,redes!A12257)</f>
        <v>0</v>
      </c>
    </row>
    <row r="12258" customFormat="false" ht="14.4" hidden="true" customHeight="false" outlineLevel="0" collapsed="false">
      <c r="A12258" s="35" t="n">
        <v>11907443000187</v>
      </c>
      <c r="B12258" s="34" t="s">
        <v>23708</v>
      </c>
      <c r="C12258" s="34" t="s">
        <v>962</v>
      </c>
      <c r="E12258" s="30" t="s">
        <v>23709</v>
      </c>
      <c r="F12258" s="34" t="n">
        <f aca="false">IFERROR(VLOOKUP($A12258,'319'!$B:$H,7,0),0)</f>
        <v>0</v>
      </c>
      <c r="G12258" s="34" t="n">
        <f aca="false">SUMIFS('12.326ana'!$C:$C,'12.326ana'!$M:$M,redes!A12258)</f>
        <v>0</v>
      </c>
    </row>
    <row r="12259" customFormat="false" ht="14.4" hidden="true" customHeight="false" outlineLevel="0" collapsed="false">
      <c r="A12259" s="35" t="n">
        <v>11909865000191</v>
      </c>
      <c r="B12259" s="34" t="s">
        <v>23710</v>
      </c>
      <c r="C12259" s="34" t="s">
        <v>546</v>
      </c>
      <c r="E12259" s="30" t="s">
        <v>23711</v>
      </c>
      <c r="F12259" s="34" t="n">
        <f aca="false">IFERROR(VLOOKUP($A12259,'319'!$B:$H,7,0),0)</f>
        <v>0</v>
      </c>
      <c r="G12259" s="34" t="n">
        <f aca="false">SUMIFS('12.326ana'!$C:$C,'12.326ana'!$M:$M,redes!A12259)</f>
        <v>0</v>
      </c>
    </row>
    <row r="12260" customFormat="false" ht="14.4" hidden="true" customHeight="false" outlineLevel="0" collapsed="false">
      <c r="A12260" s="35" t="n">
        <v>11916246000124</v>
      </c>
      <c r="B12260" s="34" t="s">
        <v>23712</v>
      </c>
      <c r="C12260" s="34" t="s">
        <v>478</v>
      </c>
      <c r="E12260" s="30" t="s">
        <v>23713</v>
      </c>
      <c r="F12260" s="34" t="n">
        <f aca="false">IFERROR(VLOOKUP($A12260,'319'!$B:$H,7,0),0)</f>
        <v>0</v>
      </c>
      <c r="G12260" s="34" t="n">
        <f aca="false">SUMIFS('12.326ana'!$C:$C,'12.326ana'!$M:$M,redes!A12260)</f>
        <v>0</v>
      </c>
    </row>
    <row r="12261" customFormat="false" ht="14.4" hidden="true" customHeight="false" outlineLevel="0" collapsed="false">
      <c r="A12261" s="35" t="n">
        <v>11919165000188</v>
      </c>
      <c r="B12261" s="34" t="s">
        <v>11034</v>
      </c>
      <c r="C12261" s="34" t="s">
        <v>77</v>
      </c>
      <c r="E12261" s="30" t="s">
        <v>23714</v>
      </c>
      <c r="F12261" s="34" t="n">
        <f aca="false">IFERROR(VLOOKUP($A12261,'319'!$B:$H,7,0),0)</f>
        <v>0</v>
      </c>
      <c r="G12261" s="34" t="n">
        <f aca="false">SUMIFS('12.326ana'!$C:$C,'12.326ana'!$M:$M,redes!A12261)</f>
        <v>0</v>
      </c>
    </row>
    <row r="12262" customFormat="false" ht="14.4" hidden="true" customHeight="false" outlineLevel="0" collapsed="false">
      <c r="A12262" s="35" t="n">
        <v>11920243000164</v>
      </c>
      <c r="B12262" s="34" t="s">
        <v>23715</v>
      </c>
      <c r="C12262" s="34" t="s">
        <v>77</v>
      </c>
      <c r="E12262" s="30" t="s">
        <v>23716</v>
      </c>
      <c r="F12262" s="34" t="n">
        <f aca="false">IFERROR(VLOOKUP($A12262,'319'!$B:$H,7,0),0)</f>
        <v>0</v>
      </c>
      <c r="G12262" s="34" t="n">
        <f aca="false">SUMIFS('12.326ana'!$C:$C,'12.326ana'!$M:$M,redes!A12262)</f>
        <v>0</v>
      </c>
    </row>
    <row r="12263" customFormat="false" ht="14.4" hidden="true" customHeight="false" outlineLevel="0" collapsed="false">
      <c r="A12263" s="35" t="n">
        <v>11922446000190</v>
      </c>
      <c r="B12263" s="34" t="s">
        <v>23717</v>
      </c>
      <c r="C12263" s="34" t="s">
        <v>581</v>
      </c>
      <c r="E12263" s="30" t="s">
        <v>23718</v>
      </c>
      <c r="F12263" s="34" t="n">
        <f aca="false">IFERROR(VLOOKUP($A12263,'319'!$B:$H,7,0),0)</f>
        <v>0</v>
      </c>
      <c r="G12263" s="34" t="n">
        <f aca="false">SUMIFS('12.326ana'!$C:$C,'12.326ana'!$M:$M,redes!A12263)</f>
        <v>0</v>
      </c>
    </row>
    <row r="12264" customFormat="false" ht="14.4" hidden="true" customHeight="false" outlineLevel="0" collapsed="false">
      <c r="A12264" s="35" t="n">
        <v>11923199000146</v>
      </c>
      <c r="B12264" s="34" t="s">
        <v>23719</v>
      </c>
      <c r="C12264" s="34" t="s">
        <v>192</v>
      </c>
      <c r="E12264" s="30" t="s">
        <v>23720</v>
      </c>
      <c r="F12264" s="34" t="n">
        <f aca="false">IFERROR(VLOOKUP($A12264,'319'!$B:$H,7,0),0)</f>
        <v>0</v>
      </c>
      <c r="G12264" s="34" t="n">
        <f aca="false">SUMIFS('12.326ana'!$C:$C,'12.326ana'!$M:$M,redes!A12264)</f>
        <v>0</v>
      </c>
    </row>
    <row r="12265" customFormat="false" ht="14.4" hidden="true" customHeight="false" outlineLevel="0" collapsed="false">
      <c r="A12265" s="35" t="n">
        <v>11928836000177</v>
      </c>
      <c r="B12265" s="34" t="s">
        <v>23721</v>
      </c>
      <c r="C12265" s="34" t="s">
        <v>357</v>
      </c>
      <c r="E12265" s="30" t="s">
        <v>23722</v>
      </c>
      <c r="F12265" s="34" t="n">
        <f aca="false">IFERROR(VLOOKUP($A12265,'319'!$B:$H,7,0),0)</f>
        <v>0</v>
      </c>
      <c r="G12265" s="34" t="n">
        <f aca="false">SUMIFS('12.326ana'!$C:$C,'12.326ana'!$M:$M,redes!A12265)</f>
        <v>0</v>
      </c>
    </row>
    <row r="12266" customFormat="false" ht="14.4" hidden="true" customHeight="false" outlineLevel="0" collapsed="false">
      <c r="A12266" s="35" t="n">
        <v>11950348000166</v>
      </c>
      <c r="B12266" s="34" t="s">
        <v>11803</v>
      </c>
      <c r="C12266" s="34" t="s">
        <v>77</v>
      </c>
      <c r="E12266" s="30" t="s">
        <v>23723</v>
      </c>
      <c r="F12266" s="34" t="n">
        <f aca="false">IFERROR(VLOOKUP($A12266,'319'!$B:$H,7,0),0)</f>
        <v>0</v>
      </c>
      <c r="G12266" s="34" t="n">
        <f aca="false">SUMIFS('12.326ana'!$C:$C,'12.326ana'!$M:$M,redes!A12266)</f>
        <v>0</v>
      </c>
    </row>
    <row r="12267" customFormat="false" ht="14.4" hidden="true" customHeight="false" outlineLevel="0" collapsed="false">
      <c r="A12267" s="35" t="n">
        <v>11951143000103</v>
      </c>
      <c r="B12267" s="34" t="s">
        <v>23724</v>
      </c>
      <c r="C12267" s="34" t="s">
        <v>139</v>
      </c>
      <c r="E12267" s="30" t="s">
        <v>23725</v>
      </c>
      <c r="F12267" s="34" t="n">
        <f aca="false">IFERROR(VLOOKUP($A12267,'319'!$B:$H,7,0),0)</f>
        <v>0</v>
      </c>
      <c r="G12267" s="34" t="n">
        <f aca="false">SUMIFS('12.326ana'!$C:$C,'12.326ana'!$M:$M,redes!A12267)</f>
        <v>0</v>
      </c>
    </row>
    <row r="12268" customFormat="false" ht="14.4" hidden="true" customHeight="false" outlineLevel="0" collapsed="false">
      <c r="A12268" s="35" t="n">
        <v>11964189000159</v>
      </c>
      <c r="B12268" s="34" t="s">
        <v>23726</v>
      </c>
      <c r="C12268" s="34" t="s">
        <v>389</v>
      </c>
      <c r="E12268" s="30" t="s">
        <v>11160</v>
      </c>
      <c r="F12268" s="34" t="n">
        <f aca="false">IFERROR(VLOOKUP($A12268,'319'!$B:$H,7,0),0)</f>
        <v>0</v>
      </c>
      <c r="G12268" s="34" t="n">
        <f aca="false">SUMIFS('12.326ana'!$C:$C,'12.326ana'!$M:$M,redes!A12268)</f>
        <v>0</v>
      </c>
    </row>
    <row r="12269" customFormat="false" ht="14.4" hidden="true" customHeight="false" outlineLevel="0" collapsed="false">
      <c r="A12269" s="35" t="n">
        <v>11964986000136</v>
      </c>
      <c r="B12269" s="34" t="s">
        <v>23727</v>
      </c>
      <c r="C12269" s="34" t="s">
        <v>207</v>
      </c>
      <c r="E12269" s="30" t="s">
        <v>10879</v>
      </c>
      <c r="F12269" s="34" t="n">
        <f aca="false">IFERROR(VLOOKUP($A12269,'319'!$B:$H,7,0),0)</f>
        <v>0</v>
      </c>
      <c r="G12269" s="34" t="n">
        <f aca="false">SUMIFS('12.326ana'!$C:$C,'12.326ana'!$M:$M,redes!A12269)</f>
        <v>0</v>
      </c>
    </row>
    <row r="12270" customFormat="false" ht="14.4" hidden="true" customHeight="false" outlineLevel="0" collapsed="false">
      <c r="A12270" s="34" t="n">
        <v>11966737000180</v>
      </c>
      <c r="B12270" s="34" t="s">
        <v>23728</v>
      </c>
      <c r="C12270" s="34" t="s">
        <v>781</v>
      </c>
      <c r="E12270" s="30" t="s">
        <v>23728</v>
      </c>
      <c r="F12270" s="34" t="n">
        <f aca="false">IFERROR(VLOOKUP($A12270,'319'!$B:$H,7,0),0)</f>
        <v>0</v>
      </c>
      <c r="G12270" s="34" t="n">
        <f aca="false">SUMIFS('12.326ana'!$C:$C,'12.326ana'!$M:$M,redes!A12270)</f>
        <v>0</v>
      </c>
    </row>
    <row r="12271" customFormat="false" ht="14.4" hidden="true" customHeight="false" outlineLevel="0" collapsed="false">
      <c r="A12271" s="34" t="n">
        <v>11969981000104</v>
      </c>
      <c r="B12271" s="34" t="s">
        <v>23729</v>
      </c>
      <c r="C12271" s="34" t="s">
        <v>89</v>
      </c>
      <c r="E12271" s="30" t="s">
        <v>23730</v>
      </c>
      <c r="F12271" s="34" t="n">
        <f aca="false">IFERROR(VLOOKUP($A12271,'319'!$B:$H,7,0),0)</f>
        <v>0</v>
      </c>
      <c r="G12271" s="34" t="n">
        <f aca="false">SUMIFS('12.326ana'!$C:$C,'12.326ana'!$M:$M,redes!A12271)</f>
        <v>0</v>
      </c>
    </row>
    <row r="12272" customFormat="false" ht="14.4" hidden="true" customHeight="false" outlineLevel="0" collapsed="false">
      <c r="A12272" s="34" t="n">
        <v>11970924000137</v>
      </c>
      <c r="B12272" s="34" t="s">
        <v>23731</v>
      </c>
      <c r="C12272" s="34" t="s">
        <v>77</v>
      </c>
      <c r="E12272" s="30" t="s">
        <v>23732</v>
      </c>
      <c r="F12272" s="34" t="n">
        <f aca="false">IFERROR(VLOOKUP($A12272,'319'!$B:$H,7,0),0)</f>
        <v>0</v>
      </c>
      <c r="G12272" s="34" t="n">
        <f aca="false">SUMIFS('12.326ana'!$C:$C,'12.326ana'!$M:$M,redes!A12272)</f>
        <v>0</v>
      </c>
    </row>
    <row r="12273" customFormat="false" ht="14.4" hidden="true" customHeight="false" outlineLevel="0" collapsed="false">
      <c r="A12273" s="34" t="n">
        <v>11971420000131</v>
      </c>
      <c r="B12273" s="34" t="s">
        <v>23733</v>
      </c>
      <c r="C12273" s="34" t="s">
        <v>357</v>
      </c>
      <c r="E12273" s="30" t="s">
        <v>23734</v>
      </c>
      <c r="F12273" s="34" t="n">
        <f aca="false">IFERROR(VLOOKUP($A12273,'319'!$B:$H,7,0),0)</f>
        <v>0</v>
      </c>
      <c r="G12273" s="34" t="n">
        <f aca="false">SUMIFS('12.326ana'!$C:$C,'12.326ana'!$M:$M,redes!A12273)</f>
        <v>0</v>
      </c>
    </row>
    <row r="12274" customFormat="false" ht="14.4" hidden="true" customHeight="false" outlineLevel="0" collapsed="false">
      <c r="A12274" s="34" t="n">
        <v>11971544000117</v>
      </c>
      <c r="B12274" s="34" t="s">
        <v>23735</v>
      </c>
      <c r="C12274" s="34" t="s">
        <v>77</v>
      </c>
      <c r="E12274" s="30" t="s">
        <v>6103</v>
      </c>
      <c r="F12274" s="34" t="n">
        <f aca="false">IFERROR(VLOOKUP($A12274,'319'!$B:$H,7,0),0)</f>
        <v>0</v>
      </c>
      <c r="G12274" s="34" t="n">
        <f aca="false">SUMIFS('12.326ana'!$C:$C,'12.326ana'!$M:$M,redes!A12274)</f>
        <v>0</v>
      </c>
    </row>
    <row r="12275" customFormat="false" ht="14.4" hidden="true" customHeight="false" outlineLevel="0" collapsed="false">
      <c r="A12275" s="34" t="n">
        <v>11975880000138</v>
      </c>
      <c r="B12275" s="34" t="s">
        <v>23736</v>
      </c>
      <c r="C12275" s="34" t="s">
        <v>77</v>
      </c>
      <c r="E12275" s="30" t="s">
        <v>23737</v>
      </c>
      <c r="F12275" s="34" t="n">
        <f aca="false">IFERROR(VLOOKUP($A12275,'319'!$B:$H,7,0),0)</f>
        <v>0</v>
      </c>
      <c r="G12275" s="34" t="n">
        <f aca="false">SUMIFS('12.326ana'!$C:$C,'12.326ana'!$M:$M,redes!A12275)</f>
        <v>0</v>
      </c>
    </row>
    <row r="12276" customFormat="false" ht="14.4" hidden="true" customHeight="false" outlineLevel="0" collapsed="false">
      <c r="A12276" s="34" t="n">
        <v>11977601000175</v>
      </c>
      <c r="B12276" s="34" t="s">
        <v>23738</v>
      </c>
      <c r="C12276" s="34" t="s">
        <v>127</v>
      </c>
      <c r="E12276" s="30" t="s">
        <v>23739</v>
      </c>
      <c r="F12276" s="34" t="n">
        <f aca="false">IFERROR(VLOOKUP($A12276,'319'!$B:$H,7,0),0)</f>
        <v>0</v>
      </c>
      <c r="G12276" s="34" t="n">
        <f aca="false">SUMIFS('12.326ana'!$C:$C,'12.326ana'!$M:$M,redes!A12276)</f>
        <v>0</v>
      </c>
    </row>
    <row r="12277" customFormat="false" ht="14.4" hidden="true" customHeight="false" outlineLevel="0" collapsed="false">
      <c r="A12277" s="34" t="n">
        <v>11978401000137</v>
      </c>
      <c r="B12277" s="34" t="s">
        <v>23740</v>
      </c>
      <c r="C12277" s="34" t="s">
        <v>107</v>
      </c>
      <c r="E12277" s="30" t="s">
        <v>23741</v>
      </c>
      <c r="F12277" s="34" t="n">
        <f aca="false">IFERROR(VLOOKUP($A12277,'319'!$B:$H,7,0),0)</f>
        <v>0</v>
      </c>
      <c r="G12277" s="34" t="n">
        <f aca="false">SUMIFS('12.326ana'!$C:$C,'12.326ana'!$M:$M,redes!A12277)</f>
        <v>0</v>
      </c>
    </row>
    <row r="12278" customFormat="false" ht="14.4" hidden="true" customHeight="false" outlineLevel="0" collapsed="false">
      <c r="A12278" s="34" t="n">
        <v>11978462000102</v>
      </c>
      <c r="B12278" s="34" t="s">
        <v>23742</v>
      </c>
      <c r="C12278" s="34" t="s">
        <v>12298</v>
      </c>
      <c r="E12278" s="30" t="s">
        <v>23743</v>
      </c>
      <c r="F12278" s="34" t="n">
        <f aca="false">IFERROR(VLOOKUP($A12278,'319'!$B:$H,7,0),0)</f>
        <v>0</v>
      </c>
      <c r="G12278" s="34" t="n">
        <f aca="false">SUMIFS('12.326ana'!$C:$C,'12.326ana'!$M:$M,redes!A12278)</f>
        <v>0</v>
      </c>
    </row>
    <row r="12279" customFormat="false" ht="14.4" hidden="true" customHeight="false" outlineLevel="0" collapsed="false">
      <c r="A12279" s="34" t="n">
        <v>11983737000198</v>
      </c>
      <c r="B12279" s="34" t="s">
        <v>23744</v>
      </c>
      <c r="C12279" s="34" t="s">
        <v>309</v>
      </c>
      <c r="E12279" s="30" t="s">
        <v>23745</v>
      </c>
      <c r="F12279" s="34" t="n">
        <f aca="false">IFERROR(VLOOKUP($A12279,'319'!$B:$H,7,0),0)</f>
        <v>0</v>
      </c>
      <c r="G12279" s="34" t="n">
        <f aca="false">SUMIFS('12.326ana'!$C:$C,'12.326ana'!$M:$M,redes!A12279)</f>
        <v>0</v>
      </c>
    </row>
    <row r="12280" customFormat="false" ht="14.4" hidden="true" customHeight="false" outlineLevel="0" collapsed="false">
      <c r="A12280" s="34" t="n">
        <v>11984593000194</v>
      </c>
      <c r="B12280" s="34" t="s">
        <v>23746</v>
      </c>
      <c r="C12280" s="34" t="s">
        <v>464</v>
      </c>
      <c r="E12280" s="30" t="s">
        <v>4942</v>
      </c>
      <c r="F12280" s="34" t="n">
        <f aca="false">IFERROR(VLOOKUP($A12280,'319'!$B:$H,7,0),0)</f>
        <v>0</v>
      </c>
      <c r="G12280" s="34" t="n">
        <f aca="false">SUMIFS('12.326ana'!$C:$C,'12.326ana'!$M:$M,redes!A12280)</f>
        <v>0</v>
      </c>
    </row>
    <row r="12281" customFormat="false" ht="14.4" hidden="true" customHeight="false" outlineLevel="0" collapsed="false">
      <c r="A12281" s="34" t="n">
        <v>11990681000107</v>
      </c>
      <c r="B12281" s="34" t="s">
        <v>23747</v>
      </c>
      <c r="C12281" s="34" t="s">
        <v>103</v>
      </c>
      <c r="E12281" s="30" t="s">
        <v>3965</v>
      </c>
      <c r="F12281" s="34" t="n">
        <f aca="false">IFERROR(VLOOKUP($A12281,'319'!$B:$H,7,0),0)</f>
        <v>0</v>
      </c>
      <c r="G12281" s="34" t="n">
        <f aca="false">SUMIFS('12.326ana'!$C:$C,'12.326ana'!$M:$M,redes!A12281)</f>
        <v>0</v>
      </c>
    </row>
    <row r="12282" customFormat="false" ht="14.4" hidden="true" customHeight="false" outlineLevel="0" collapsed="false">
      <c r="A12282" s="34" t="n">
        <v>11991705000134</v>
      </c>
      <c r="B12282" s="34" t="s">
        <v>23748</v>
      </c>
      <c r="C12282" s="34" t="s">
        <v>77</v>
      </c>
      <c r="E12282" s="30" t="s">
        <v>23749</v>
      </c>
      <c r="F12282" s="34" t="n">
        <f aca="false">IFERROR(VLOOKUP($A12282,'319'!$B:$H,7,0),0)</f>
        <v>0</v>
      </c>
      <c r="G12282" s="34" t="n">
        <f aca="false">SUMIFS('12.326ana'!$C:$C,'12.326ana'!$M:$M,redes!A12282)</f>
        <v>0</v>
      </c>
    </row>
    <row r="12283" customFormat="false" ht="14.4" hidden="true" customHeight="false" outlineLevel="0" collapsed="false">
      <c r="A12283" s="34" t="n">
        <v>11996707000116</v>
      </c>
      <c r="B12283" s="34" t="s">
        <v>23750</v>
      </c>
      <c r="C12283" s="34" t="s">
        <v>357</v>
      </c>
      <c r="E12283" s="30" t="s">
        <v>13744</v>
      </c>
      <c r="F12283" s="34" t="n">
        <f aca="false">IFERROR(VLOOKUP($A12283,'319'!$B:$H,7,0),0)</f>
        <v>0</v>
      </c>
      <c r="G12283" s="34" t="n">
        <f aca="false">SUMIFS('12.326ana'!$C:$C,'12.326ana'!$M:$M,redes!A12283)</f>
        <v>0</v>
      </c>
    </row>
    <row r="12284" customFormat="false" ht="14.4" hidden="true" customHeight="false" outlineLevel="0" collapsed="false">
      <c r="A12284" s="34" t="n">
        <v>11996763000150</v>
      </c>
      <c r="B12284" s="34" t="s">
        <v>23751</v>
      </c>
      <c r="C12284" s="34" t="s">
        <v>357</v>
      </c>
      <c r="E12284" s="30" t="s">
        <v>23752</v>
      </c>
      <c r="F12284" s="34" t="n">
        <f aca="false">IFERROR(VLOOKUP($A12284,'319'!$B:$H,7,0),0)</f>
        <v>0</v>
      </c>
      <c r="G12284" s="34" t="n">
        <f aca="false">SUMIFS('12.326ana'!$C:$C,'12.326ana'!$M:$M,redes!A12284)</f>
        <v>0</v>
      </c>
    </row>
    <row r="12285" customFormat="false" ht="14.4" hidden="true" customHeight="false" outlineLevel="0" collapsed="false">
      <c r="A12285" s="34" t="n">
        <v>12000257000122</v>
      </c>
      <c r="B12285" s="34" t="s">
        <v>23753</v>
      </c>
      <c r="C12285" s="34" t="s">
        <v>207</v>
      </c>
      <c r="E12285" s="30" t="s">
        <v>3143</v>
      </c>
      <c r="F12285" s="34" t="n">
        <f aca="false">IFERROR(VLOOKUP($A12285,'319'!$B:$H,7,0),0)</f>
        <v>0</v>
      </c>
      <c r="G12285" s="34" t="n">
        <f aca="false">SUMIFS('12.326ana'!$C:$C,'12.326ana'!$M:$M,redes!A12285)</f>
        <v>0</v>
      </c>
    </row>
    <row r="12286" customFormat="false" ht="14.4" hidden="true" customHeight="false" outlineLevel="0" collapsed="false">
      <c r="A12286" s="34" t="n">
        <v>12003789000113</v>
      </c>
      <c r="B12286" s="34" t="s">
        <v>23754</v>
      </c>
      <c r="C12286" s="34" t="s">
        <v>77</v>
      </c>
      <c r="E12286" s="30" t="s">
        <v>23755</v>
      </c>
      <c r="F12286" s="34" t="n">
        <f aca="false">IFERROR(VLOOKUP($A12286,'319'!$B:$H,7,0),0)</f>
        <v>0</v>
      </c>
      <c r="G12286" s="34" t="n">
        <f aca="false">SUMIFS('12.326ana'!$C:$C,'12.326ana'!$M:$M,redes!A12286)</f>
        <v>0</v>
      </c>
    </row>
    <row r="12287" customFormat="false" ht="14.4" hidden="true" customHeight="false" outlineLevel="0" collapsed="false">
      <c r="A12287" s="34" t="n">
        <v>12004558000124</v>
      </c>
      <c r="B12287" s="34" t="s">
        <v>23756</v>
      </c>
      <c r="C12287" s="34" t="s">
        <v>77</v>
      </c>
      <c r="E12287" s="30" t="s">
        <v>4104</v>
      </c>
      <c r="F12287" s="34" t="n">
        <f aca="false">IFERROR(VLOOKUP($A12287,'319'!$B:$H,7,0),0)</f>
        <v>0</v>
      </c>
      <c r="G12287" s="34" t="n">
        <f aca="false">SUMIFS('12.326ana'!$C:$C,'12.326ana'!$M:$M,redes!A12287)</f>
        <v>0</v>
      </c>
    </row>
    <row r="12288" customFormat="false" ht="14.4" hidden="true" customHeight="false" outlineLevel="0" collapsed="false">
      <c r="A12288" s="34" t="n">
        <v>12019273000167</v>
      </c>
      <c r="B12288" s="34" t="s">
        <v>23757</v>
      </c>
      <c r="C12288" s="34" t="s">
        <v>77</v>
      </c>
      <c r="E12288" s="30"/>
      <c r="F12288" s="34" t="n">
        <f aca="false">IFERROR(VLOOKUP($A12288,'319'!$B:$H,7,0),0)</f>
        <v>0</v>
      </c>
      <c r="G12288" s="34" t="n">
        <f aca="false">SUMIFS('12.326ana'!$C:$C,'12.326ana'!$M:$M,redes!A12288)</f>
        <v>0</v>
      </c>
    </row>
    <row r="12289" customFormat="false" ht="14.4" hidden="true" customHeight="false" outlineLevel="0" collapsed="false">
      <c r="A12289" s="34" t="n">
        <v>12026397000170</v>
      </c>
      <c r="B12289" s="34" t="s">
        <v>23758</v>
      </c>
      <c r="C12289" s="34" t="s">
        <v>77</v>
      </c>
      <c r="E12289" s="30" t="s">
        <v>23759</v>
      </c>
      <c r="F12289" s="34" t="n">
        <f aca="false">IFERROR(VLOOKUP($A12289,'319'!$B:$H,7,0),0)</f>
        <v>0</v>
      </c>
      <c r="G12289" s="34" t="n">
        <f aca="false">SUMIFS('12.326ana'!$C:$C,'12.326ana'!$M:$M,redes!A12289)</f>
        <v>0</v>
      </c>
    </row>
    <row r="12290" customFormat="false" ht="14.4" hidden="true" customHeight="false" outlineLevel="0" collapsed="false">
      <c r="A12290" s="34" t="n">
        <v>12026847000124</v>
      </c>
      <c r="B12290" s="34" t="s">
        <v>23760</v>
      </c>
      <c r="C12290" s="34" t="s">
        <v>2998</v>
      </c>
      <c r="E12290" s="30" t="s">
        <v>23761</v>
      </c>
      <c r="F12290" s="34" t="n">
        <f aca="false">IFERROR(VLOOKUP($A12290,'319'!$B:$H,7,0),0)</f>
        <v>0</v>
      </c>
      <c r="G12290" s="34" t="n">
        <f aca="false">SUMIFS('12.326ana'!$C:$C,'12.326ana'!$M:$M,redes!A12290)</f>
        <v>0</v>
      </c>
    </row>
    <row r="12291" customFormat="false" ht="14.4" hidden="true" customHeight="false" outlineLevel="0" collapsed="false">
      <c r="A12291" s="34" t="n">
        <v>12031674000132</v>
      </c>
      <c r="B12291" s="34" t="s">
        <v>23762</v>
      </c>
      <c r="C12291" s="34" t="s">
        <v>737</v>
      </c>
      <c r="E12291" s="30" t="s">
        <v>23763</v>
      </c>
      <c r="F12291" s="34" t="n">
        <f aca="false">IFERROR(VLOOKUP($A12291,'319'!$B:$H,7,0),0)</f>
        <v>0</v>
      </c>
      <c r="G12291" s="34" t="n">
        <f aca="false">SUMIFS('12.326ana'!$C:$C,'12.326ana'!$M:$M,redes!A12291)</f>
        <v>0</v>
      </c>
    </row>
    <row r="12292" customFormat="false" ht="14.4" hidden="true" customHeight="false" outlineLevel="0" collapsed="false">
      <c r="A12292" s="34" t="n">
        <v>12032500000194</v>
      </c>
      <c r="B12292" s="34" t="s">
        <v>23764</v>
      </c>
      <c r="C12292" s="34" t="s">
        <v>107</v>
      </c>
      <c r="E12292" s="30" t="s">
        <v>23765</v>
      </c>
      <c r="F12292" s="34" t="n">
        <f aca="false">IFERROR(VLOOKUP($A12292,'319'!$B:$H,7,0),0)</f>
        <v>0</v>
      </c>
      <c r="G12292" s="34" t="n">
        <f aca="false">SUMIFS('12.326ana'!$C:$C,'12.326ana'!$M:$M,redes!A12292)</f>
        <v>0</v>
      </c>
    </row>
    <row r="12293" customFormat="false" ht="14.4" hidden="true" customHeight="false" outlineLevel="0" collapsed="false">
      <c r="A12293" s="34" t="n">
        <v>12034206000111</v>
      </c>
      <c r="B12293" s="34" t="s">
        <v>23766</v>
      </c>
      <c r="C12293" s="34" t="s">
        <v>77</v>
      </c>
      <c r="E12293" s="30" t="s">
        <v>6036</v>
      </c>
      <c r="F12293" s="34" t="n">
        <f aca="false">IFERROR(VLOOKUP($A12293,'319'!$B:$H,7,0),0)</f>
        <v>0</v>
      </c>
      <c r="G12293" s="34" t="n">
        <f aca="false">SUMIFS('12.326ana'!$C:$C,'12.326ana'!$M:$M,redes!A12293)</f>
        <v>0</v>
      </c>
    </row>
    <row r="12294" customFormat="false" ht="14.4" hidden="true" customHeight="false" outlineLevel="0" collapsed="false">
      <c r="A12294" s="34" t="n">
        <v>12035282000141</v>
      </c>
      <c r="B12294" s="34" t="s">
        <v>23767</v>
      </c>
      <c r="C12294" s="34" t="s">
        <v>89</v>
      </c>
      <c r="E12294" s="30" t="s">
        <v>23768</v>
      </c>
      <c r="F12294" s="34" t="n">
        <f aca="false">IFERROR(VLOOKUP($A12294,'319'!$B:$H,7,0),0)</f>
        <v>0</v>
      </c>
      <c r="G12294" s="34" t="n">
        <f aca="false">SUMIFS('12.326ana'!$C:$C,'12.326ana'!$M:$M,redes!A12294)</f>
        <v>0</v>
      </c>
    </row>
    <row r="12295" customFormat="false" ht="14.4" hidden="true" customHeight="false" outlineLevel="0" collapsed="false">
      <c r="A12295" s="34" t="n">
        <v>12043922000165</v>
      </c>
      <c r="B12295" s="34" t="s">
        <v>23769</v>
      </c>
      <c r="C12295" s="34" t="s">
        <v>77</v>
      </c>
      <c r="E12295" s="30" t="s">
        <v>23770</v>
      </c>
      <c r="F12295" s="34" t="n">
        <f aca="false">IFERROR(VLOOKUP($A12295,'319'!$B:$H,7,0),0)</f>
        <v>0</v>
      </c>
      <c r="G12295" s="34" t="n">
        <f aca="false">SUMIFS('12.326ana'!$C:$C,'12.326ana'!$M:$M,redes!A12295)</f>
        <v>0</v>
      </c>
    </row>
    <row r="12296" customFormat="false" ht="14.4" hidden="true" customHeight="false" outlineLevel="0" collapsed="false">
      <c r="A12296" s="34" t="n">
        <v>12046328000128</v>
      </c>
      <c r="B12296" s="34" t="s">
        <v>23771</v>
      </c>
      <c r="C12296" s="34" t="s">
        <v>77</v>
      </c>
      <c r="E12296" s="30" t="s">
        <v>23772</v>
      </c>
      <c r="F12296" s="34" t="n">
        <f aca="false">IFERROR(VLOOKUP($A12296,'319'!$B:$H,7,0),0)</f>
        <v>0</v>
      </c>
      <c r="G12296" s="34" t="n">
        <f aca="false">SUMIFS('12.326ana'!$C:$C,'12.326ana'!$M:$M,redes!A12296)</f>
        <v>0</v>
      </c>
    </row>
    <row r="12297" customFormat="false" ht="14.4" hidden="true" customHeight="false" outlineLevel="0" collapsed="false">
      <c r="A12297" s="34" t="n">
        <v>12050935000161</v>
      </c>
      <c r="B12297" s="34" t="s">
        <v>23773</v>
      </c>
      <c r="C12297" s="34" t="s">
        <v>4139</v>
      </c>
      <c r="E12297" s="30" t="s">
        <v>23774</v>
      </c>
      <c r="F12297" s="34" t="n">
        <f aca="false">IFERROR(VLOOKUP($A12297,'319'!$B:$H,7,0),0)</f>
        <v>0</v>
      </c>
      <c r="G12297" s="34" t="n">
        <f aca="false">SUMIFS('12.326ana'!$C:$C,'12.326ana'!$M:$M,redes!A12297)</f>
        <v>0</v>
      </c>
    </row>
    <row r="12298" customFormat="false" ht="14.4" hidden="true" customHeight="false" outlineLevel="0" collapsed="false">
      <c r="A12298" s="34" t="n">
        <v>12051473000105</v>
      </c>
      <c r="B12298" s="34" t="s">
        <v>23775</v>
      </c>
      <c r="C12298" s="34" t="s">
        <v>77</v>
      </c>
      <c r="E12298" s="30" t="s">
        <v>23776</v>
      </c>
      <c r="F12298" s="34" t="n">
        <f aca="false">IFERROR(VLOOKUP($A12298,'319'!$B:$H,7,0),0)</f>
        <v>0</v>
      </c>
      <c r="G12298" s="34" t="n">
        <f aca="false">SUMIFS('12.326ana'!$C:$C,'12.326ana'!$M:$M,redes!A12298)</f>
        <v>0</v>
      </c>
    </row>
    <row r="12299" customFormat="false" ht="14.4" hidden="true" customHeight="false" outlineLevel="0" collapsed="false">
      <c r="A12299" s="34" t="n">
        <v>12052099000154</v>
      </c>
      <c r="B12299" s="34" t="s">
        <v>23777</v>
      </c>
      <c r="C12299" s="34" t="s">
        <v>77</v>
      </c>
      <c r="E12299" s="30" t="s">
        <v>16430</v>
      </c>
      <c r="F12299" s="34" t="n">
        <f aca="false">IFERROR(VLOOKUP($A12299,'319'!$B:$H,7,0),0)</f>
        <v>0</v>
      </c>
      <c r="G12299" s="34" t="n">
        <f aca="false">SUMIFS('12.326ana'!$C:$C,'12.326ana'!$M:$M,redes!A12299)</f>
        <v>0</v>
      </c>
    </row>
    <row r="12300" customFormat="false" ht="14.4" hidden="true" customHeight="false" outlineLevel="0" collapsed="false">
      <c r="A12300" s="34" t="n">
        <v>12054922000160</v>
      </c>
      <c r="B12300" s="34" t="s">
        <v>23778</v>
      </c>
      <c r="C12300" s="34" t="s">
        <v>77</v>
      </c>
      <c r="E12300" s="30" t="s">
        <v>23017</v>
      </c>
      <c r="F12300" s="34" t="n">
        <f aca="false">IFERROR(VLOOKUP($A12300,'319'!$B:$H,7,0),0)</f>
        <v>0</v>
      </c>
      <c r="G12300" s="34" t="n">
        <f aca="false">SUMIFS('12.326ana'!$C:$C,'12.326ana'!$M:$M,redes!A12300)</f>
        <v>0</v>
      </c>
    </row>
    <row r="12301" customFormat="false" ht="14.4" hidden="true" customHeight="false" outlineLevel="0" collapsed="false">
      <c r="A12301" s="34" t="n">
        <v>12058315000179</v>
      </c>
      <c r="B12301" s="34" t="s">
        <v>23779</v>
      </c>
      <c r="C12301" s="34" t="s">
        <v>804</v>
      </c>
      <c r="E12301" s="30" t="s">
        <v>6631</v>
      </c>
      <c r="F12301" s="34" t="n">
        <f aca="false">IFERROR(VLOOKUP($A12301,'319'!$B:$H,7,0),0)</f>
        <v>0</v>
      </c>
      <c r="G12301" s="34" t="n">
        <f aca="false">SUMIFS('12.326ana'!$C:$C,'12.326ana'!$M:$M,redes!A12301)</f>
        <v>0</v>
      </c>
    </row>
    <row r="12302" customFormat="false" ht="14.4" hidden="true" customHeight="false" outlineLevel="0" collapsed="false">
      <c r="A12302" s="34" t="n">
        <v>12058808000109</v>
      </c>
      <c r="B12302" s="34" t="s">
        <v>23780</v>
      </c>
      <c r="C12302" s="34" t="s">
        <v>77</v>
      </c>
      <c r="E12302" s="30" t="s">
        <v>3588</v>
      </c>
      <c r="F12302" s="34" t="n">
        <f aca="false">IFERROR(VLOOKUP($A12302,'319'!$B:$H,7,0),0)</f>
        <v>0</v>
      </c>
      <c r="G12302" s="34" t="n">
        <f aca="false">SUMIFS('12.326ana'!$C:$C,'12.326ana'!$M:$M,redes!A12302)</f>
        <v>0</v>
      </c>
    </row>
    <row r="12303" customFormat="false" ht="14.4" hidden="true" customHeight="false" outlineLevel="0" collapsed="false">
      <c r="A12303" s="34" t="n">
        <v>12059071000149</v>
      </c>
      <c r="B12303" s="34" t="s">
        <v>23781</v>
      </c>
      <c r="C12303" s="34" t="s">
        <v>77</v>
      </c>
      <c r="E12303" s="30" t="s">
        <v>23782</v>
      </c>
      <c r="F12303" s="34" t="n">
        <f aca="false">IFERROR(VLOOKUP($A12303,'319'!$B:$H,7,0),0)</f>
        <v>0</v>
      </c>
      <c r="G12303" s="34" t="n">
        <f aca="false">SUMIFS('12.326ana'!$C:$C,'12.326ana'!$M:$M,redes!A12303)</f>
        <v>0</v>
      </c>
    </row>
    <row r="12304" customFormat="false" ht="14.4" hidden="true" customHeight="false" outlineLevel="0" collapsed="false">
      <c r="A12304" s="34" t="n">
        <v>12061920000107</v>
      </c>
      <c r="B12304" s="34" t="s">
        <v>1393</v>
      </c>
      <c r="C12304" s="34" t="s">
        <v>351</v>
      </c>
      <c r="E12304" s="30" t="s">
        <v>23783</v>
      </c>
      <c r="F12304" s="34" t="n">
        <f aca="false">IFERROR(VLOOKUP($A12304,'319'!$B:$H,7,0),0)</f>
        <v>238.5</v>
      </c>
      <c r="G12304" s="34" t="n">
        <f aca="false">SUMIFS('12.326ana'!$C:$C,'12.326ana'!$M:$M,redes!A12304)</f>
        <v>0</v>
      </c>
    </row>
    <row r="12305" customFormat="false" ht="14.4" hidden="true" customHeight="false" outlineLevel="0" collapsed="false">
      <c r="A12305" s="34" t="n">
        <v>12062216000160</v>
      </c>
      <c r="B12305" s="34" t="s">
        <v>11612</v>
      </c>
      <c r="C12305" s="34" t="s">
        <v>192</v>
      </c>
      <c r="E12305" s="30" t="s">
        <v>11612</v>
      </c>
      <c r="F12305" s="34" t="n">
        <f aca="false">IFERROR(VLOOKUP($A12305,'319'!$B:$H,7,0),0)</f>
        <v>0</v>
      </c>
      <c r="G12305" s="34" t="n">
        <f aca="false">SUMIFS('12.326ana'!$C:$C,'12.326ana'!$M:$M,redes!A12305)</f>
        <v>0</v>
      </c>
    </row>
    <row r="12306" customFormat="false" ht="14.4" hidden="true" customHeight="false" outlineLevel="0" collapsed="false">
      <c r="A12306" s="34" t="n">
        <v>12071898000178</v>
      </c>
      <c r="B12306" s="34" t="s">
        <v>23784</v>
      </c>
      <c r="C12306" s="34" t="s">
        <v>107</v>
      </c>
      <c r="E12306" s="30" t="s">
        <v>23785</v>
      </c>
      <c r="F12306" s="34" t="n">
        <f aca="false">IFERROR(VLOOKUP($A12306,'319'!$B:$H,7,0),0)</f>
        <v>0</v>
      </c>
      <c r="G12306" s="34" t="n">
        <f aca="false">SUMIFS('12.326ana'!$C:$C,'12.326ana'!$M:$M,redes!A12306)</f>
        <v>0</v>
      </c>
    </row>
    <row r="12307" customFormat="false" ht="14.4" hidden="true" customHeight="false" outlineLevel="0" collapsed="false">
      <c r="A12307" s="34" t="n">
        <v>12073955000158</v>
      </c>
      <c r="B12307" s="34" t="s">
        <v>4962</v>
      </c>
      <c r="C12307" s="34" t="s">
        <v>77</v>
      </c>
      <c r="E12307" s="30" t="s">
        <v>4963</v>
      </c>
      <c r="F12307" s="34" t="n">
        <f aca="false">IFERROR(VLOOKUP($A12307,'319'!$B:$H,7,0),0)</f>
        <v>0</v>
      </c>
      <c r="G12307" s="34" t="n">
        <f aca="false">SUMIFS('12.326ana'!$C:$C,'12.326ana'!$M:$M,redes!A12307)</f>
        <v>0</v>
      </c>
    </row>
    <row r="12308" customFormat="false" ht="14.4" hidden="true" customHeight="false" outlineLevel="0" collapsed="false">
      <c r="A12308" s="34" t="n">
        <v>12075667000132</v>
      </c>
      <c r="B12308" s="34" t="s">
        <v>2913</v>
      </c>
      <c r="C12308" s="34" t="s">
        <v>77</v>
      </c>
      <c r="D12308" s="34" t="s">
        <v>20</v>
      </c>
      <c r="E12308" s="30" t="s">
        <v>2914</v>
      </c>
      <c r="F12308" s="34" t="n">
        <f aca="false">IFERROR(VLOOKUP($A12308,'319'!$B:$H,7,0),0)</f>
        <v>6930.69</v>
      </c>
      <c r="G12308" s="34" t="n">
        <f aca="false">SUMIFS('12.326ana'!$C:$C,'12.326ana'!$M:$M,redes!A12308)</f>
        <v>0</v>
      </c>
    </row>
    <row r="12309" customFormat="false" ht="14.4" hidden="true" customHeight="false" outlineLevel="0" collapsed="false">
      <c r="A12309" s="34" t="n">
        <v>12075667000213</v>
      </c>
      <c r="B12309" s="34" t="s">
        <v>2915</v>
      </c>
      <c r="C12309" s="34" t="s">
        <v>77</v>
      </c>
      <c r="D12309" s="34" t="s">
        <v>20</v>
      </c>
      <c r="E12309" s="30" t="s">
        <v>2916</v>
      </c>
      <c r="F12309" s="34" t="n">
        <f aca="false">IFERROR(VLOOKUP($A12309,'319'!$B:$H,7,0),0)</f>
        <v>5744.51</v>
      </c>
      <c r="G12309" s="34" t="n">
        <f aca="false">SUMIFS('12.326ana'!$C:$C,'12.326ana'!$M:$M,redes!A12309)</f>
        <v>0</v>
      </c>
    </row>
    <row r="12310" customFormat="false" ht="14.4" hidden="true" customHeight="false" outlineLevel="0" collapsed="false">
      <c r="A12310" s="34" t="n">
        <v>12075667000302</v>
      </c>
      <c r="B12310" s="34" t="s">
        <v>2917</v>
      </c>
      <c r="C12310" s="34" t="s">
        <v>77</v>
      </c>
      <c r="D12310" s="34" t="s">
        <v>20</v>
      </c>
      <c r="E12310" s="30" t="s">
        <v>2918</v>
      </c>
      <c r="F12310" s="34" t="n">
        <f aca="false">IFERROR(VLOOKUP($A12310,'319'!$B:$H,7,0),0)</f>
        <v>9465.1</v>
      </c>
      <c r="G12310" s="34" t="n">
        <f aca="false">SUMIFS('12.326ana'!$C:$C,'12.326ana'!$M:$M,redes!A12310)</f>
        <v>0</v>
      </c>
    </row>
    <row r="12311" customFormat="false" ht="14.4" hidden="true" customHeight="false" outlineLevel="0" collapsed="false">
      <c r="A12311" s="34" t="n">
        <v>12075667000485</v>
      </c>
      <c r="B12311" s="34" t="s">
        <v>2919</v>
      </c>
      <c r="C12311" s="34" t="s">
        <v>77</v>
      </c>
      <c r="D12311" s="34" t="s">
        <v>20</v>
      </c>
      <c r="E12311" s="30" t="s">
        <v>2920</v>
      </c>
      <c r="F12311" s="34" t="n">
        <f aca="false">IFERROR(VLOOKUP($A12311,'319'!$B:$H,7,0),0)</f>
        <v>6486.87</v>
      </c>
      <c r="G12311" s="34" t="n">
        <f aca="false">SUMIFS('12.326ana'!$C:$C,'12.326ana'!$M:$M,redes!A12311)</f>
        <v>0</v>
      </c>
    </row>
    <row r="12312" customFormat="false" ht="14.4" hidden="true" customHeight="false" outlineLevel="0" collapsed="false">
      <c r="A12312" s="34" t="n">
        <v>12075667000566</v>
      </c>
      <c r="B12312" s="34" t="s">
        <v>2921</v>
      </c>
      <c r="C12312" s="34" t="s">
        <v>77</v>
      </c>
      <c r="D12312" s="34" t="s">
        <v>20</v>
      </c>
      <c r="E12312" s="30" t="s">
        <v>2864</v>
      </c>
      <c r="F12312" s="34" t="n">
        <f aca="false">IFERROR(VLOOKUP($A12312,'319'!$B:$H,7,0),0)</f>
        <v>9050.91</v>
      </c>
      <c r="G12312" s="34" t="n">
        <f aca="false">SUMIFS('12.326ana'!$C:$C,'12.326ana'!$M:$M,redes!A12312)</f>
        <v>0</v>
      </c>
    </row>
    <row r="12313" customFormat="false" ht="14.4" hidden="true" customHeight="false" outlineLevel="0" collapsed="false">
      <c r="A12313" s="34" t="n">
        <v>12075667000647</v>
      </c>
      <c r="B12313" s="34" t="s">
        <v>2922</v>
      </c>
      <c r="C12313" s="34" t="s">
        <v>77</v>
      </c>
      <c r="D12313" s="34" t="s">
        <v>20</v>
      </c>
      <c r="E12313" s="30" t="s">
        <v>2864</v>
      </c>
      <c r="F12313" s="34" t="n">
        <f aca="false">IFERROR(VLOOKUP($A12313,'319'!$B:$H,7,0),0)</f>
        <v>5471.92</v>
      </c>
      <c r="G12313" s="34" t="n">
        <f aca="false">SUMIFS('12.326ana'!$C:$C,'12.326ana'!$M:$M,redes!A12313)</f>
        <v>0</v>
      </c>
    </row>
    <row r="12314" customFormat="false" ht="14.4" hidden="true" customHeight="false" outlineLevel="0" collapsed="false">
      <c r="A12314" s="34" t="n">
        <v>12075667000728</v>
      </c>
      <c r="B12314" s="34" t="s">
        <v>2923</v>
      </c>
      <c r="C12314" s="34" t="s">
        <v>77</v>
      </c>
      <c r="D12314" s="34" t="s">
        <v>20</v>
      </c>
      <c r="E12314" s="30" t="s">
        <v>2864</v>
      </c>
      <c r="F12314" s="34" t="n">
        <f aca="false">IFERROR(VLOOKUP($A12314,'319'!$B:$H,7,0),0)</f>
        <v>8870.47</v>
      </c>
      <c r="G12314" s="34" t="n">
        <f aca="false">SUMIFS('12.326ana'!$C:$C,'12.326ana'!$M:$M,redes!A12314)</f>
        <v>0</v>
      </c>
    </row>
    <row r="12315" customFormat="false" ht="14.4" hidden="true" customHeight="false" outlineLevel="0" collapsed="false">
      <c r="A12315" s="34" t="n">
        <v>12075667000809</v>
      </c>
      <c r="B12315" s="34" t="s">
        <v>2924</v>
      </c>
      <c r="C12315" s="34" t="s">
        <v>77</v>
      </c>
      <c r="D12315" s="34" t="s">
        <v>20</v>
      </c>
      <c r="E12315" s="30" t="s">
        <v>2925</v>
      </c>
      <c r="F12315" s="34" t="n">
        <f aca="false">IFERROR(VLOOKUP($A12315,'319'!$B:$H,7,0),0)</f>
        <v>5560.78</v>
      </c>
      <c r="G12315" s="34" t="n">
        <f aca="false">SUMIFS('12.326ana'!$C:$C,'12.326ana'!$M:$M,redes!A12315)</f>
        <v>0</v>
      </c>
    </row>
    <row r="12316" customFormat="false" ht="14.4" hidden="true" customHeight="false" outlineLevel="0" collapsed="false">
      <c r="A12316" s="34" t="n">
        <v>12075667000990</v>
      </c>
      <c r="B12316" s="34" t="s">
        <v>2926</v>
      </c>
      <c r="C12316" s="34" t="s">
        <v>77</v>
      </c>
      <c r="D12316" s="34" t="s">
        <v>20</v>
      </c>
      <c r="E12316" s="30" t="s">
        <v>2927</v>
      </c>
      <c r="F12316" s="34" t="n">
        <f aca="false">IFERROR(VLOOKUP($A12316,'319'!$B:$H,7,0),0)</f>
        <v>2969.21</v>
      </c>
      <c r="G12316" s="34" t="n">
        <f aca="false">SUMIFS('12.326ana'!$C:$C,'12.326ana'!$M:$M,redes!A12316)</f>
        <v>0</v>
      </c>
    </row>
    <row r="12317" customFormat="false" ht="14.4" hidden="true" customHeight="false" outlineLevel="0" collapsed="false">
      <c r="A12317" s="34" t="n">
        <v>12075667001023</v>
      </c>
      <c r="B12317" s="34" t="s">
        <v>2928</v>
      </c>
      <c r="C12317" s="34" t="s">
        <v>77</v>
      </c>
      <c r="D12317" s="34" t="s">
        <v>20</v>
      </c>
      <c r="E12317" s="30" t="s">
        <v>2929</v>
      </c>
      <c r="F12317" s="34" t="n">
        <f aca="false">IFERROR(VLOOKUP($A12317,'319'!$B:$H,7,0),0)</f>
        <v>3733.49</v>
      </c>
      <c r="G12317" s="34" t="n">
        <f aca="false">SUMIFS('12.326ana'!$C:$C,'12.326ana'!$M:$M,redes!A12317)</f>
        <v>0</v>
      </c>
    </row>
    <row r="12318" customFormat="false" ht="14.4" hidden="true" customHeight="false" outlineLevel="0" collapsed="false">
      <c r="A12318" s="34" t="n">
        <v>12075667001104</v>
      </c>
      <c r="B12318" s="34" t="s">
        <v>2930</v>
      </c>
      <c r="C12318" s="34" t="s">
        <v>77</v>
      </c>
      <c r="D12318" s="34" t="s">
        <v>20</v>
      </c>
      <c r="E12318" s="30" t="s">
        <v>2931</v>
      </c>
      <c r="F12318" s="34" t="n">
        <f aca="false">IFERROR(VLOOKUP($A12318,'319'!$B:$H,7,0),0)</f>
        <v>0</v>
      </c>
      <c r="G12318" s="34" t="n">
        <f aca="false">SUMIFS('12.326ana'!$C:$C,'12.326ana'!$M:$M,redes!A12318)</f>
        <v>0</v>
      </c>
    </row>
    <row r="12319" customFormat="false" ht="14.4" hidden="true" customHeight="false" outlineLevel="0" collapsed="false">
      <c r="A12319" s="34" t="n">
        <v>12075667001295</v>
      </c>
      <c r="B12319" s="34" t="s">
        <v>2932</v>
      </c>
      <c r="C12319" s="34" t="s">
        <v>77</v>
      </c>
      <c r="D12319" s="34" t="s">
        <v>20</v>
      </c>
      <c r="E12319" s="30" t="s">
        <v>2933</v>
      </c>
      <c r="F12319" s="34" t="n">
        <f aca="false">IFERROR(VLOOKUP($A12319,'319'!$B:$H,7,0),0)</f>
        <v>6053.28</v>
      </c>
      <c r="G12319" s="34" t="n">
        <f aca="false">SUMIFS('12.326ana'!$C:$C,'12.326ana'!$M:$M,redes!A12319)</f>
        <v>0</v>
      </c>
    </row>
    <row r="12320" customFormat="false" ht="14.4" hidden="true" customHeight="false" outlineLevel="0" collapsed="false">
      <c r="A12320" s="34" t="n">
        <v>12075667001376</v>
      </c>
      <c r="B12320" s="34" t="s">
        <v>2934</v>
      </c>
      <c r="C12320" s="34" t="s">
        <v>77</v>
      </c>
      <c r="D12320" s="34" t="s">
        <v>20</v>
      </c>
      <c r="E12320" s="30" t="s">
        <v>2864</v>
      </c>
      <c r="F12320" s="34" t="n">
        <f aca="false">IFERROR(VLOOKUP($A12320,'319'!$B:$H,7,0),0)</f>
        <v>7411.74</v>
      </c>
      <c r="G12320" s="34" t="n">
        <f aca="false">SUMIFS('12.326ana'!$C:$C,'12.326ana'!$M:$M,redes!A12320)</f>
        <v>0</v>
      </c>
    </row>
    <row r="12321" customFormat="false" ht="14.4" hidden="true" customHeight="false" outlineLevel="0" collapsed="false">
      <c r="A12321" s="34" t="n">
        <v>12075667001457</v>
      </c>
      <c r="B12321" s="34" t="s">
        <v>2935</v>
      </c>
      <c r="C12321" s="34" t="s">
        <v>77</v>
      </c>
      <c r="D12321" s="34" t="s">
        <v>20</v>
      </c>
      <c r="E12321" s="30" t="s">
        <v>2864</v>
      </c>
      <c r="F12321" s="34" t="n">
        <f aca="false">IFERROR(VLOOKUP($A12321,'319'!$B:$H,7,0),0)</f>
        <v>6095.11</v>
      </c>
      <c r="G12321" s="34" t="n">
        <f aca="false">SUMIFS('12.326ana'!$C:$C,'12.326ana'!$M:$M,redes!A12321)</f>
        <v>0</v>
      </c>
    </row>
    <row r="12322" customFormat="false" ht="14.4" hidden="true" customHeight="false" outlineLevel="0" collapsed="false">
      <c r="A12322" s="34" t="n">
        <v>12075667001538</v>
      </c>
      <c r="B12322" s="34" t="s">
        <v>23786</v>
      </c>
      <c r="C12322" s="34" t="s">
        <v>77</v>
      </c>
      <c r="D12322" s="34" t="s">
        <v>20</v>
      </c>
      <c r="E12322" s="30" t="s">
        <v>23787</v>
      </c>
      <c r="F12322" s="34" t="n">
        <f aca="false">IFERROR(VLOOKUP($A12322,'319'!$B:$H,7,0),0)</f>
        <v>7508.4</v>
      </c>
      <c r="G12322" s="34" t="n">
        <f aca="false">SUMIFS('12.326ana'!$C:$C,'12.326ana'!$M:$M,redes!A12322)</f>
        <v>0</v>
      </c>
    </row>
    <row r="12323" customFormat="false" ht="14.4" hidden="true" customHeight="false" outlineLevel="0" collapsed="false">
      <c r="A12323" s="34" t="n">
        <v>12075667001619</v>
      </c>
      <c r="B12323" s="34" t="s">
        <v>23788</v>
      </c>
      <c r="C12323" s="34" t="s">
        <v>129</v>
      </c>
      <c r="D12323" s="34" t="s">
        <v>20</v>
      </c>
      <c r="E12323" s="30" t="s">
        <v>23789</v>
      </c>
      <c r="F12323" s="34" t="n">
        <f aca="false">IFERROR(VLOOKUP($A12323,'319'!$B:$H,7,0),0)</f>
        <v>12268.68</v>
      </c>
      <c r="G12323" s="34" t="n">
        <f aca="false">SUMIFS('12.326ana'!$C:$C,'12.326ana'!$M:$M,redes!A12323)</f>
        <v>0</v>
      </c>
    </row>
    <row r="12324" customFormat="false" ht="14.4" hidden="true" customHeight="false" outlineLevel="0" collapsed="false">
      <c r="A12324" s="34" t="n">
        <v>12076982000184</v>
      </c>
      <c r="B12324" s="34" t="s">
        <v>6717</v>
      </c>
      <c r="C12324" s="34" t="s">
        <v>77</v>
      </c>
      <c r="E12324" s="30" t="s">
        <v>23790</v>
      </c>
      <c r="F12324" s="34" t="n">
        <f aca="false">IFERROR(VLOOKUP($A12324,'319'!$B:$H,7,0),0)</f>
        <v>0</v>
      </c>
      <c r="G12324" s="34" t="n">
        <f aca="false">SUMIFS('12.326ana'!$C:$C,'12.326ana'!$M:$M,redes!A12324)</f>
        <v>0</v>
      </c>
    </row>
    <row r="12325" customFormat="false" ht="14.4" hidden="true" customHeight="false" outlineLevel="0" collapsed="false">
      <c r="A12325" s="34" t="n">
        <v>12077065000114</v>
      </c>
      <c r="B12325" s="34" t="s">
        <v>23791</v>
      </c>
      <c r="C12325" s="34" t="s">
        <v>77</v>
      </c>
      <c r="E12325" s="30" t="s">
        <v>11228</v>
      </c>
      <c r="F12325" s="34" t="n">
        <f aca="false">IFERROR(VLOOKUP($A12325,'319'!$B:$H,7,0),0)</f>
        <v>0</v>
      </c>
      <c r="G12325" s="34" t="n">
        <f aca="false">SUMIFS('12.326ana'!$C:$C,'12.326ana'!$M:$M,redes!A12325)</f>
        <v>0</v>
      </c>
    </row>
    <row r="12326" customFormat="false" ht="14.4" hidden="true" customHeight="false" outlineLevel="0" collapsed="false">
      <c r="A12326" s="34" t="n">
        <v>12077441000170</v>
      </c>
      <c r="B12326" s="34" t="s">
        <v>23792</v>
      </c>
      <c r="C12326" s="34" t="s">
        <v>197</v>
      </c>
      <c r="E12326" s="30" t="s">
        <v>23793</v>
      </c>
      <c r="F12326" s="34" t="n">
        <f aca="false">IFERROR(VLOOKUP($A12326,'319'!$B:$H,7,0),0)</f>
        <v>0</v>
      </c>
      <c r="G12326" s="34" t="n">
        <f aca="false">SUMIFS('12.326ana'!$C:$C,'12.326ana'!$M:$M,redes!A12326)</f>
        <v>0</v>
      </c>
    </row>
    <row r="12327" customFormat="false" ht="14.4" hidden="true" customHeight="false" outlineLevel="0" collapsed="false">
      <c r="A12327" s="34" t="n">
        <v>12081511000164</v>
      </c>
      <c r="B12327" s="34" t="s">
        <v>23794</v>
      </c>
      <c r="C12327" s="34" t="s">
        <v>336</v>
      </c>
      <c r="E12327" s="30" t="s">
        <v>23795</v>
      </c>
      <c r="F12327" s="34" t="n">
        <f aca="false">IFERROR(VLOOKUP($A12327,'319'!$B:$H,7,0),0)</f>
        <v>0</v>
      </c>
      <c r="G12327" s="34" t="n">
        <f aca="false">SUMIFS('12.326ana'!$C:$C,'12.326ana'!$M:$M,redes!A12327)</f>
        <v>0</v>
      </c>
    </row>
    <row r="12328" customFormat="false" ht="14.4" hidden="true" customHeight="false" outlineLevel="0" collapsed="false">
      <c r="A12328" s="34" t="n">
        <v>12084266000149</v>
      </c>
      <c r="B12328" s="34" t="s">
        <v>23796</v>
      </c>
      <c r="C12328" s="34" t="s">
        <v>328</v>
      </c>
      <c r="E12328" s="30" t="s">
        <v>23797</v>
      </c>
      <c r="F12328" s="34" t="n">
        <f aca="false">IFERROR(VLOOKUP($A12328,'319'!$B:$H,7,0),0)</f>
        <v>0</v>
      </c>
      <c r="G12328" s="34" t="n">
        <f aca="false">SUMIFS('12.326ana'!$C:$C,'12.326ana'!$M:$M,redes!A12328)</f>
        <v>0</v>
      </c>
    </row>
    <row r="12329" customFormat="false" ht="14.4" hidden="true" customHeight="false" outlineLevel="0" collapsed="false">
      <c r="A12329" s="34" t="n">
        <v>12085034000105</v>
      </c>
      <c r="B12329" s="34" t="s">
        <v>23798</v>
      </c>
      <c r="C12329" s="34" t="s">
        <v>604</v>
      </c>
      <c r="E12329" s="30" t="s">
        <v>23799</v>
      </c>
      <c r="F12329" s="34" t="n">
        <f aca="false">IFERROR(VLOOKUP($A12329,'319'!$B:$H,7,0),0)</f>
        <v>0</v>
      </c>
      <c r="G12329" s="34" t="n">
        <f aca="false">SUMIFS('12.326ana'!$C:$C,'12.326ana'!$M:$M,redes!A12329)</f>
        <v>0</v>
      </c>
    </row>
    <row r="12330" customFormat="false" ht="14.4" hidden="true" customHeight="false" outlineLevel="0" collapsed="false">
      <c r="A12330" s="34" t="n">
        <v>12085256000128</v>
      </c>
      <c r="B12330" s="34" t="s">
        <v>23800</v>
      </c>
      <c r="C12330" s="34" t="s">
        <v>77</v>
      </c>
      <c r="E12330" s="30" t="s">
        <v>23801</v>
      </c>
      <c r="F12330" s="34" t="n">
        <f aca="false">IFERROR(VLOOKUP($A12330,'319'!$B:$H,7,0),0)</f>
        <v>0</v>
      </c>
      <c r="G12330" s="34" t="n">
        <f aca="false">SUMIFS('12.326ana'!$C:$C,'12.326ana'!$M:$M,redes!A12330)</f>
        <v>0</v>
      </c>
    </row>
    <row r="12331" customFormat="false" ht="14.4" hidden="true" customHeight="false" outlineLevel="0" collapsed="false">
      <c r="A12331" s="34" t="n">
        <v>12087923000101</v>
      </c>
      <c r="B12331" s="34" t="s">
        <v>23802</v>
      </c>
      <c r="C12331" s="34" t="s">
        <v>475</v>
      </c>
      <c r="E12331" s="30" t="s">
        <v>23803</v>
      </c>
      <c r="F12331" s="34" t="n">
        <f aca="false">IFERROR(VLOOKUP($A12331,'319'!$B:$H,7,0),0)</f>
        <v>0</v>
      </c>
      <c r="G12331" s="34" t="n">
        <f aca="false">SUMIFS('12.326ana'!$C:$C,'12.326ana'!$M:$M,redes!A12331)</f>
        <v>0</v>
      </c>
    </row>
    <row r="12332" customFormat="false" ht="14.4" hidden="true" customHeight="false" outlineLevel="0" collapsed="false">
      <c r="A12332" s="34" t="n">
        <v>12090881000168</v>
      </c>
      <c r="B12332" s="34" t="s">
        <v>23804</v>
      </c>
      <c r="C12332" s="34" t="s">
        <v>77</v>
      </c>
      <c r="E12332" s="30" t="s">
        <v>3078</v>
      </c>
      <c r="F12332" s="34" t="n">
        <f aca="false">IFERROR(VLOOKUP($A12332,'319'!$B:$H,7,0),0)</f>
        <v>0</v>
      </c>
      <c r="G12332" s="34" t="n">
        <f aca="false">SUMIFS('12.326ana'!$C:$C,'12.326ana'!$M:$M,redes!A12332)</f>
        <v>0</v>
      </c>
    </row>
    <row r="12333" customFormat="false" ht="14.4" hidden="true" customHeight="false" outlineLevel="0" collapsed="false">
      <c r="A12333" s="34" t="n">
        <v>12091761000185</v>
      </c>
      <c r="B12333" s="34" t="s">
        <v>23805</v>
      </c>
      <c r="C12333" s="34" t="s">
        <v>89</v>
      </c>
      <c r="E12333" s="30" t="s">
        <v>23806</v>
      </c>
      <c r="F12333" s="34" t="n">
        <f aca="false">IFERROR(VLOOKUP($A12333,'319'!$B:$H,7,0),0)</f>
        <v>0</v>
      </c>
      <c r="G12333" s="34" t="n">
        <f aca="false">SUMIFS('12.326ana'!$C:$C,'12.326ana'!$M:$M,redes!A12333)</f>
        <v>0</v>
      </c>
    </row>
    <row r="12334" customFormat="false" ht="14.4" hidden="true" customHeight="false" outlineLevel="0" collapsed="false">
      <c r="A12334" s="34" t="n">
        <v>12092238000173</v>
      </c>
      <c r="B12334" s="34" t="s">
        <v>23807</v>
      </c>
      <c r="C12334" s="34" t="s">
        <v>342</v>
      </c>
      <c r="E12334" s="30" t="s">
        <v>18129</v>
      </c>
      <c r="F12334" s="34" t="n">
        <f aca="false">IFERROR(VLOOKUP($A12334,'319'!$B:$H,7,0),0)</f>
        <v>0</v>
      </c>
      <c r="G12334" s="34" t="n">
        <f aca="false">SUMIFS('12.326ana'!$C:$C,'12.326ana'!$M:$M,redes!A12334)</f>
        <v>0</v>
      </c>
    </row>
    <row r="12335" customFormat="false" ht="14.4" hidden="true" customHeight="false" outlineLevel="0" collapsed="false">
      <c r="A12335" s="34" t="n">
        <v>12093528000131</v>
      </c>
      <c r="B12335" s="34" t="s">
        <v>23808</v>
      </c>
      <c r="C12335" s="34" t="s">
        <v>713</v>
      </c>
      <c r="E12335" s="30" t="s">
        <v>23809</v>
      </c>
      <c r="F12335" s="34" t="n">
        <f aca="false">IFERROR(VLOOKUP($A12335,'319'!$B:$H,7,0),0)</f>
        <v>0</v>
      </c>
      <c r="G12335" s="34" t="n">
        <f aca="false">SUMIFS('12.326ana'!$C:$C,'12.326ana'!$M:$M,redes!A12335)</f>
        <v>0</v>
      </c>
    </row>
    <row r="12336" customFormat="false" ht="14.4" hidden="true" customHeight="false" outlineLevel="0" collapsed="false">
      <c r="A12336" s="34" t="n">
        <v>12094236000113</v>
      </c>
      <c r="B12336" s="34" t="s">
        <v>10397</v>
      </c>
      <c r="C12336" s="34" t="s">
        <v>77</v>
      </c>
      <c r="E12336" s="30" t="s">
        <v>4394</v>
      </c>
      <c r="F12336" s="34" t="n">
        <f aca="false">IFERROR(VLOOKUP($A12336,'319'!$B:$H,7,0),0)</f>
        <v>0</v>
      </c>
      <c r="G12336" s="34" t="n">
        <f aca="false">SUMIFS('12.326ana'!$C:$C,'12.326ana'!$M:$M,redes!A12336)</f>
        <v>0</v>
      </c>
    </row>
    <row r="12337" customFormat="false" ht="14.4" hidden="true" customHeight="false" outlineLevel="0" collapsed="false">
      <c r="A12337" s="34" t="n">
        <v>12095500000133</v>
      </c>
      <c r="B12337" s="34" t="s">
        <v>23810</v>
      </c>
      <c r="C12337" s="34" t="s">
        <v>4261</v>
      </c>
      <c r="E12337" s="30" t="s">
        <v>23810</v>
      </c>
      <c r="F12337" s="34" t="n">
        <f aca="false">IFERROR(VLOOKUP($A12337,'319'!$B:$H,7,0),0)</f>
        <v>0</v>
      </c>
      <c r="G12337" s="34" t="n">
        <f aca="false">SUMIFS('12.326ana'!$C:$C,'12.326ana'!$M:$M,redes!A12337)</f>
        <v>0</v>
      </c>
    </row>
    <row r="12338" customFormat="false" ht="14.4" hidden="true" customHeight="false" outlineLevel="0" collapsed="false">
      <c r="A12338" s="34" t="n">
        <v>12095773000188</v>
      </c>
      <c r="B12338" s="34" t="s">
        <v>23811</v>
      </c>
      <c r="C12338" s="34" t="s">
        <v>77</v>
      </c>
      <c r="E12338" s="30" t="s">
        <v>6671</v>
      </c>
      <c r="F12338" s="34" t="n">
        <f aca="false">IFERROR(VLOOKUP($A12338,'319'!$B:$H,7,0),0)</f>
        <v>0</v>
      </c>
      <c r="G12338" s="34" t="n">
        <f aca="false">SUMIFS('12.326ana'!$C:$C,'12.326ana'!$M:$M,redes!A12338)</f>
        <v>0</v>
      </c>
    </row>
    <row r="12339" customFormat="false" ht="14.4" hidden="true" customHeight="false" outlineLevel="0" collapsed="false">
      <c r="A12339" s="34" t="n">
        <v>12096498000117</v>
      </c>
      <c r="B12339" s="34" t="s">
        <v>23812</v>
      </c>
      <c r="C12339" s="34" t="s">
        <v>598</v>
      </c>
      <c r="E12339" s="30" t="s">
        <v>14678</v>
      </c>
      <c r="F12339" s="34" t="n">
        <f aca="false">IFERROR(VLOOKUP($A12339,'319'!$B:$H,7,0),0)</f>
        <v>0</v>
      </c>
      <c r="G12339" s="34" t="n">
        <f aca="false">SUMIFS('12.326ana'!$C:$C,'12.326ana'!$M:$M,redes!A12339)</f>
        <v>0</v>
      </c>
    </row>
    <row r="12340" customFormat="false" ht="14.4" hidden="true" customHeight="false" outlineLevel="0" collapsed="false">
      <c r="A12340" s="34" t="n">
        <v>12098410000104</v>
      </c>
      <c r="B12340" s="34" t="s">
        <v>23813</v>
      </c>
      <c r="C12340" s="34" t="s">
        <v>107</v>
      </c>
      <c r="E12340" s="30" t="s">
        <v>23814</v>
      </c>
      <c r="F12340" s="34" t="n">
        <f aca="false">IFERROR(VLOOKUP($A12340,'319'!$B:$H,7,0),0)</f>
        <v>0</v>
      </c>
      <c r="G12340" s="34" t="n">
        <f aca="false">SUMIFS('12.326ana'!$C:$C,'12.326ana'!$M:$M,redes!A12340)</f>
        <v>0</v>
      </c>
    </row>
    <row r="12341" customFormat="false" ht="14.4" hidden="true" customHeight="false" outlineLevel="0" collapsed="false">
      <c r="A12341" s="34" t="n">
        <v>12099302000148</v>
      </c>
      <c r="B12341" s="34" t="s">
        <v>23815</v>
      </c>
      <c r="C12341" s="34" t="s">
        <v>77</v>
      </c>
      <c r="E12341" s="30" t="s">
        <v>5798</v>
      </c>
      <c r="F12341" s="34" t="n">
        <f aca="false">IFERROR(VLOOKUP($A12341,'319'!$B:$H,7,0),0)</f>
        <v>0</v>
      </c>
      <c r="G12341" s="34" t="n">
        <f aca="false">SUMIFS('12.326ana'!$C:$C,'12.326ana'!$M:$M,redes!A12341)</f>
        <v>0</v>
      </c>
    </row>
    <row r="12342" customFormat="false" ht="14.4" hidden="true" customHeight="false" outlineLevel="0" collapsed="false">
      <c r="A12342" s="34" t="n">
        <v>12104635000118</v>
      </c>
      <c r="B12342" s="34" t="s">
        <v>23816</v>
      </c>
      <c r="C12342" s="34" t="s">
        <v>935</v>
      </c>
      <c r="E12342" s="30" t="s">
        <v>20032</v>
      </c>
      <c r="F12342" s="34" t="n">
        <f aca="false">IFERROR(VLOOKUP($A12342,'319'!$B:$H,7,0),0)</f>
        <v>0</v>
      </c>
      <c r="G12342" s="34" t="n">
        <f aca="false">SUMIFS('12.326ana'!$C:$C,'12.326ana'!$M:$M,redes!A12342)</f>
        <v>0</v>
      </c>
    </row>
    <row r="12343" customFormat="false" ht="14.4" hidden="true" customHeight="false" outlineLevel="0" collapsed="false">
      <c r="A12343" s="34" t="n">
        <v>12104938000130</v>
      </c>
      <c r="B12343" s="34" t="s">
        <v>23817</v>
      </c>
      <c r="C12343" s="34" t="s">
        <v>809</v>
      </c>
      <c r="E12343" s="30" t="s">
        <v>3320</v>
      </c>
      <c r="F12343" s="34" t="n">
        <f aca="false">IFERROR(VLOOKUP($A12343,'319'!$B:$H,7,0),0)</f>
        <v>0</v>
      </c>
      <c r="G12343" s="34" t="n">
        <f aca="false">SUMIFS('12.326ana'!$C:$C,'12.326ana'!$M:$M,redes!A12343)</f>
        <v>0</v>
      </c>
    </row>
    <row r="12344" customFormat="false" ht="14.4" hidden="true" customHeight="false" outlineLevel="0" collapsed="false">
      <c r="A12344" s="34" t="n">
        <v>12107323000168</v>
      </c>
      <c r="B12344" s="34" t="s">
        <v>23818</v>
      </c>
      <c r="C12344" s="34" t="s">
        <v>77</v>
      </c>
      <c r="E12344" s="30" t="s">
        <v>5240</v>
      </c>
      <c r="F12344" s="34" t="n">
        <f aca="false">IFERROR(VLOOKUP($A12344,'319'!$B:$H,7,0),0)</f>
        <v>0</v>
      </c>
      <c r="G12344" s="34" t="n">
        <f aca="false">SUMIFS('12.326ana'!$C:$C,'12.326ana'!$M:$M,redes!A12344)</f>
        <v>0</v>
      </c>
    </row>
    <row r="12345" customFormat="false" ht="14.4" hidden="true" customHeight="false" outlineLevel="0" collapsed="false">
      <c r="A12345" s="34" t="n">
        <v>12111864000160</v>
      </c>
      <c r="B12345" s="34" t="s">
        <v>23819</v>
      </c>
      <c r="C12345" s="34" t="s">
        <v>77</v>
      </c>
      <c r="E12345" s="30" t="s">
        <v>9826</v>
      </c>
      <c r="F12345" s="34" t="n">
        <f aca="false">IFERROR(VLOOKUP($A12345,'319'!$B:$H,7,0),0)</f>
        <v>0</v>
      </c>
      <c r="G12345" s="34" t="n">
        <f aca="false">SUMIFS('12.326ana'!$C:$C,'12.326ana'!$M:$M,redes!A12345)</f>
        <v>0</v>
      </c>
    </row>
    <row r="12346" customFormat="false" ht="14.4" hidden="true" customHeight="false" outlineLevel="0" collapsed="false">
      <c r="A12346" s="34" t="n">
        <v>12116262000103</v>
      </c>
      <c r="B12346" s="34" t="s">
        <v>23820</v>
      </c>
      <c r="C12346" s="34" t="s">
        <v>77</v>
      </c>
      <c r="E12346" s="30" t="s">
        <v>23821</v>
      </c>
      <c r="F12346" s="34" t="n">
        <f aca="false">IFERROR(VLOOKUP($A12346,'319'!$B:$H,7,0),0)</f>
        <v>0</v>
      </c>
      <c r="G12346" s="34" t="n">
        <f aca="false">SUMIFS('12.326ana'!$C:$C,'12.326ana'!$M:$M,redes!A12346)</f>
        <v>0</v>
      </c>
    </row>
    <row r="12347" customFormat="false" ht="14.4" hidden="true" customHeight="false" outlineLevel="0" collapsed="false">
      <c r="A12347" s="34" t="n">
        <v>12116589000177</v>
      </c>
      <c r="B12347" s="34" t="s">
        <v>23822</v>
      </c>
      <c r="C12347" s="34" t="s">
        <v>77</v>
      </c>
      <c r="E12347" s="30" t="s">
        <v>6735</v>
      </c>
      <c r="F12347" s="34" t="n">
        <f aca="false">IFERROR(VLOOKUP($A12347,'319'!$B:$H,7,0),0)</f>
        <v>0</v>
      </c>
      <c r="G12347" s="34" t="n">
        <f aca="false">SUMIFS('12.326ana'!$C:$C,'12.326ana'!$M:$M,redes!A12347)</f>
        <v>0</v>
      </c>
    </row>
    <row r="12348" customFormat="false" ht="14.4" hidden="true" customHeight="false" outlineLevel="0" collapsed="false">
      <c r="A12348" s="34" t="n">
        <v>12117712000174</v>
      </c>
      <c r="B12348" s="34" t="s">
        <v>23823</v>
      </c>
      <c r="C12348" s="34" t="s">
        <v>377</v>
      </c>
      <c r="E12348" s="30" t="s">
        <v>23824</v>
      </c>
      <c r="F12348" s="34" t="n">
        <f aca="false">IFERROR(VLOOKUP($A12348,'319'!$B:$H,7,0),0)</f>
        <v>0</v>
      </c>
      <c r="G12348" s="34" t="n">
        <f aca="false">SUMIFS('12.326ana'!$C:$C,'12.326ana'!$M:$M,redes!A12348)</f>
        <v>0</v>
      </c>
    </row>
    <row r="12349" customFormat="false" ht="14.4" hidden="true" customHeight="false" outlineLevel="0" collapsed="false">
      <c r="A12349" s="34" t="n">
        <v>12121559000159</v>
      </c>
      <c r="B12349" s="34" t="s">
        <v>12066</v>
      </c>
      <c r="C12349" s="34" t="s">
        <v>77</v>
      </c>
      <c r="E12349" s="30" t="s">
        <v>4137</v>
      </c>
      <c r="F12349" s="34" t="n">
        <f aca="false">IFERROR(VLOOKUP($A12349,'319'!$B:$H,7,0),0)</f>
        <v>0</v>
      </c>
      <c r="G12349" s="34" t="n">
        <f aca="false">SUMIFS('12.326ana'!$C:$C,'12.326ana'!$M:$M,redes!A12349)</f>
        <v>0</v>
      </c>
    </row>
    <row r="12350" customFormat="false" ht="14.4" hidden="true" customHeight="false" outlineLevel="0" collapsed="false">
      <c r="A12350" s="34" t="n">
        <v>12136530000140</v>
      </c>
      <c r="B12350" s="34" t="s">
        <v>23825</v>
      </c>
      <c r="C12350" s="34" t="s">
        <v>478</v>
      </c>
      <c r="E12350" s="30" t="s">
        <v>23826</v>
      </c>
      <c r="F12350" s="34" t="n">
        <f aca="false">IFERROR(VLOOKUP($A12350,'319'!$B:$H,7,0),0)</f>
        <v>0</v>
      </c>
      <c r="G12350" s="34" t="n">
        <f aca="false">SUMIFS('12.326ana'!$C:$C,'12.326ana'!$M:$M,redes!A12350)</f>
        <v>0</v>
      </c>
    </row>
    <row r="12351" customFormat="false" ht="14.4" hidden="true" customHeight="false" outlineLevel="0" collapsed="false">
      <c r="A12351" s="34" t="n">
        <v>12139866000167</v>
      </c>
      <c r="B12351" s="34" t="s">
        <v>23827</v>
      </c>
      <c r="C12351" s="34" t="s">
        <v>107</v>
      </c>
      <c r="E12351" s="30" t="s">
        <v>23828</v>
      </c>
      <c r="F12351" s="34" t="n">
        <f aca="false">IFERROR(VLOOKUP($A12351,'319'!$B:$H,7,0),0)</f>
        <v>0</v>
      </c>
      <c r="G12351" s="34" t="n">
        <f aca="false">SUMIFS('12.326ana'!$C:$C,'12.326ana'!$M:$M,redes!A12351)</f>
        <v>0</v>
      </c>
    </row>
    <row r="12352" customFormat="false" ht="14.4" hidden="true" customHeight="false" outlineLevel="0" collapsed="false">
      <c r="A12352" s="34" t="n">
        <v>12142455000120</v>
      </c>
      <c r="B12352" s="34" t="s">
        <v>23829</v>
      </c>
      <c r="C12352" s="34" t="s">
        <v>12298</v>
      </c>
      <c r="E12352" s="30" t="s">
        <v>23830</v>
      </c>
      <c r="F12352" s="34" t="n">
        <f aca="false">IFERROR(VLOOKUP($A12352,'319'!$B:$H,7,0),0)</f>
        <v>0</v>
      </c>
      <c r="G12352" s="34" t="n">
        <f aca="false">SUMIFS('12.326ana'!$C:$C,'12.326ana'!$M:$M,redes!A12352)</f>
        <v>0</v>
      </c>
    </row>
    <row r="12353" customFormat="false" ht="14.4" hidden="true" customHeight="false" outlineLevel="0" collapsed="false">
      <c r="A12353" s="34" t="n">
        <v>12146959000119</v>
      </c>
      <c r="B12353" s="34" t="s">
        <v>23831</v>
      </c>
      <c r="C12353" s="34" t="s">
        <v>139</v>
      </c>
      <c r="E12353" s="30" t="s">
        <v>23832</v>
      </c>
      <c r="F12353" s="34" t="n">
        <f aca="false">IFERROR(VLOOKUP($A12353,'319'!$B:$H,7,0),0)</f>
        <v>0</v>
      </c>
      <c r="G12353" s="34" t="n">
        <f aca="false">SUMIFS('12.326ana'!$C:$C,'12.326ana'!$M:$M,redes!A12353)</f>
        <v>0</v>
      </c>
    </row>
    <row r="12354" customFormat="false" ht="14.4" hidden="true" customHeight="false" outlineLevel="0" collapsed="false">
      <c r="A12354" s="34" t="n">
        <v>12148154000104</v>
      </c>
      <c r="B12354" s="34" t="s">
        <v>23833</v>
      </c>
      <c r="C12354" s="34" t="s">
        <v>77</v>
      </c>
      <c r="E12354" s="30"/>
      <c r="F12354" s="34" t="n">
        <f aca="false">IFERROR(VLOOKUP($A12354,'319'!$B:$H,7,0),0)</f>
        <v>0</v>
      </c>
      <c r="G12354" s="34" t="n">
        <f aca="false">SUMIFS('12.326ana'!$C:$C,'12.326ana'!$M:$M,redes!A12354)</f>
        <v>0</v>
      </c>
    </row>
    <row r="12355" customFormat="false" ht="14.4" hidden="true" customHeight="false" outlineLevel="0" collapsed="false">
      <c r="A12355" s="34" t="n">
        <v>12149059000125</v>
      </c>
      <c r="B12355" s="34" t="s">
        <v>23834</v>
      </c>
      <c r="C12355" s="34" t="s">
        <v>107</v>
      </c>
      <c r="E12355" s="30" t="s">
        <v>7027</v>
      </c>
      <c r="F12355" s="34" t="n">
        <f aca="false">IFERROR(VLOOKUP($A12355,'319'!$B:$H,7,0),0)</f>
        <v>0</v>
      </c>
      <c r="G12355" s="34" t="n">
        <f aca="false">SUMIFS('12.326ana'!$C:$C,'12.326ana'!$M:$M,redes!A12355)</f>
        <v>0</v>
      </c>
    </row>
    <row r="12356" customFormat="false" ht="14.4" hidden="true" customHeight="false" outlineLevel="0" collapsed="false">
      <c r="A12356" s="34" t="n">
        <v>12160656000150</v>
      </c>
      <c r="B12356" s="34" t="s">
        <v>5871</v>
      </c>
      <c r="C12356" s="34" t="s">
        <v>103</v>
      </c>
      <c r="E12356" s="30" t="s">
        <v>23835</v>
      </c>
      <c r="F12356" s="34" t="n">
        <f aca="false">IFERROR(VLOOKUP($A12356,'319'!$B:$H,7,0),0)</f>
        <v>0</v>
      </c>
      <c r="G12356" s="34" t="n">
        <f aca="false">SUMIFS('12.326ana'!$C:$C,'12.326ana'!$M:$M,redes!A12356)</f>
        <v>0</v>
      </c>
    </row>
    <row r="12357" customFormat="false" ht="14.4" hidden="true" customHeight="false" outlineLevel="0" collapsed="false">
      <c r="A12357" s="34" t="n">
        <v>12182464000145</v>
      </c>
      <c r="B12357" s="34" t="s">
        <v>23836</v>
      </c>
      <c r="C12357" s="34" t="s">
        <v>139</v>
      </c>
      <c r="E12357" s="30" t="s">
        <v>23837</v>
      </c>
      <c r="F12357" s="34" t="n">
        <f aca="false">IFERROR(VLOOKUP($A12357,'319'!$B:$H,7,0),0)</f>
        <v>0</v>
      </c>
      <c r="G12357" s="34" t="n">
        <f aca="false">SUMIFS('12.326ana'!$C:$C,'12.326ana'!$M:$M,redes!A12357)</f>
        <v>0</v>
      </c>
    </row>
    <row r="12358" customFormat="false" ht="14.4" hidden="true" customHeight="false" outlineLevel="0" collapsed="false">
      <c r="A12358" s="34" t="n">
        <v>12184046000197</v>
      </c>
      <c r="B12358" s="34" t="s">
        <v>23838</v>
      </c>
      <c r="C12358" s="34" t="s">
        <v>77</v>
      </c>
      <c r="E12358" s="30" t="s">
        <v>23839</v>
      </c>
      <c r="F12358" s="34" t="n">
        <f aca="false">IFERROR(VLOOKUP($A12358,'319'!$B:$H,7,0),0)</f>
        <v>0</v>
      </c>
      <c r="G12358" s="34" t="n">
        <f aca="false">SUMIFS('12.326ana'!$C:$C,'12.326ana'!$M:$M,redes!A12358)</f>
        <v>0</v>
      </c>
    </row>
    <row r="12359" customFormat="false" ht="14.4" hidden="true" customHeight="false" outlineLevel="0" collapsed="false">
      <c r="A12359" s="34" t="n">
        <v>12184507000121</v>
      </c>
      <c r="B12359" s="34" t="s">
        <v>23840</v>
      </c>
      <c r="C12359" s="34" t="s">
        <v>77</v>
      </c>
      <c r="E12359" s="30" t="s">
        <v>23841</v>
      </c>
      <c r="F12359" s="34" t="n">
        <f aca="false">IFERROR(VLOOKUP($A12359,'319'!$B:$H,7,0),0)</f>
        <v>0</v>
      </c>
      <c r="G12359" s="34" t="n">
        <f aca="false">SUMIFS('12.326ana'!$C:$C,'12.326ana'!$M:$M,redes!A12359)</f>
        <v>0</v>
      </c>
    </row>
    <row r="12360" customFormat="false" ht="14.4" hidden="true" customHeight="false" outlineLevel="0" collapsed="false">
      <c r="A12360" s="34" t="n">
        <v>12184778000187</v>
      </c>
      <c r="B12360" s="34" t="s">
        <v>23842</v>
      </c>
      <c r="C12360" s="34" t="s">
        <v>77</v>
      </c>
      <c r="E12360" s="30"/>
      <c r="F12360" s="34" t="n">
        <f aca="false">IFERROR(VLOOKUP($A12360,'319'!$B:$H,7,0),0)</f>
        <v>0</v>
      </c>
      <c r="G12360" s="34" t="n">
        <f aca="false">SUMIFS('12.326ana'!$C:$C,'12.326ana'!$M:$M,redes!A12360)</f>
        <v>0</v>
      </c>
    </row>
    <row r="12361" customFormat="false" ht="14.4" hidden="true" customHeight="false" outlineLevel="0" collapsed="false">
      <c r="A12361" s="34" t="n">
        <v>12192141000132</v>
      </c>
      <c r="B12361" s="34" t="s">
        <v>23843</v>
      </c>
      <c r="C12361" s="34" t="s">
        <v>77</v>
      </c>
      <c r="E12361" s="30" t="s">
        <v>23843</v>
      </c>
      <c r="F12361" s="34" t="n">
        <f aca="false">IFERROR(VLOOKUP($A12361,'319'!$B:$H,7,0),0)</f>
        <v>0</v>
      </c>
      <c r="G12361" s="34" t="n">
        <f aca="false">SUMIFS('12.326ana'!$C:$C,'12.326ana'!$M:$M,redes!A12361)</f>
        <v>0</v>
      </c>
    </row>
    <row r="12362" customFormat="false" ht="14.4" hidden="true" customHeight="false" outlineLevel="0" collapsed="false">
      <c r="A12362" s="34" t="n">
        <v>12209402000180</v>
      </c>
      <c r="B12362" s="34" t="s">
        <v>10090</v>
      </c>
      <c r="C12362" s="34" t="s">
        <v>77</v>
      </c>
      <c r="E12362" s="30" t="s">
        <v>3922</v>
      </c>
      <c r="F12362" s="34" t="n">
        <f aca="false">IFERROR(VLOOKUP($A12362,'319'!$B:$H,7,0),0)</f>
        <v>0</v>
      </c>
      <c r="G12362" s="34" t="n">
        <f aca="false">SUMIFS('12.326ana'!$C:$C,'12.326ana'!$M:$M,redes!A12362)</f>
        <v>0</v>
      </c>
    </row>
    <row r="12363" customFormat="false" ht="14.4" hidden="true" customHeight="false" outlineLevel="0" collapsed="false">
      <c r="A12363" s="34" t="n">
        <v>12210103000165</v>
      </c>
      <c r="B12363" s="34" t="s">
        <v>23844</v>
      </c>
      <c r="C12363" s="34" t="s">
        <v>77</v>
      </c>
      <c r="E12363" s="30" t="s">
        <v>23845</v>
      </c>
      <c r="F12363" s="34" t="n">
        <f aca="false">IFERROR(VLOOKUP($A12363,'319'!$B:$H,7,0),0)</f>
        <v>0</v>
      </c>
      <c r="G12363" s="34" t="n">
        <f aca="false">SUMIFS('12.326ana'!$C:$C,'12.326ana'!$M:$M,redes!A12363)</f>
        <v>0</v>
      </c>
    </row>
    <row r="12364" customFormat="false" ht="14.4" hidden="true" customHeight="false" outlineLevel="0" collapsed="false">
      <c r="A12364" s="34" t="n">
        <v>12218808000129</v>
      </c>
      <c r="B12364" s="34" t="s">
        <v>23846</v>
      </c>
      <c r="C12364" s="34" t="s">
        <v>77</v>
      </c>
      <c r="E12364" s="30" t="s">
        <v>23847</v>
      </c>
      <c r="F12364" s="34" t="n">
        <f aca="false">IFERROR(VLOOKUP($A12364,'319'!$B:$H,7,0),0)</f>
        <v>0</v>
      </c>
      <c r="G12364" s="34" t="n">
        <f aca="false">SUMIFS('12.326ana'!$C:$C,'12.326ana'!$M:$M,redes!A12364)</f>
        <v>0</v>
      </c>
    </row>
    <row r="12365" customFormat="false" ht="14.4" hidden="true" customHeight="false" outlineLevel="0" collapsed="false">
      <c r="A12365" s="34" t="n">
        <v>12220098000171</v>
      </c>
      <c r="B12365" s="34" t="s">
        <v>10413</v>
      </c>
      <c r="C12365" s="34" t="s">
        <v>103</v>
      </c>
      <c r="E12365" s="30"/>
      <c r="F12365" s="34" t="n">
        <f aca="false">IFERROR(VLOOKUP($A12365,'319'!$B:$H,7,0),0)</f>
        <v>0</v>
      </c>
      <c r="G12365" s="34" t="n">
        <f aca="false">SUMIFS('12.326ana'!$C:$C,'12.326ana'!$M:$M,redes!A12365)</f>
        <v>0</v>
      </c>
    </row>
    <row r="12366" customFormat="false" ht="14.4" hidden="true" customHeight="false" outlineLevel="0" collapsed="false">
      <c r="A12366" s="34" t="n">
        <v>12221462000118</v>
      </c>
      <c r="B12366" s="34" t="s">
        <v>23848</v>
      </c>
      <c r="C12366" s="34" t="s">
        <v>77</v>
      </c>
      <c r="E12366" s="30" t="s">
        <v>23849</v>
      </c>
      <c r="F12366" s="34" t="n">
        <f aca="false">IFERROR(VLOOKUP($A12366,'319'!$B:$H,7,0),0)</f>
        <v>0</v>
      </c>
      <c r="G12366" s="34" t="n">
        <f aca="false">SUMIFS('12.326ana'!$C:$C,'12.326ana'!$M:$M,redes!A12366)</f>
        <v>0</v>
      </c>
    </row>
    <row r="12367" customFormat="false" ht="14.4" hidden="true" customHeight="false" outlineLevel="0" collapsed="false">
      <c r="A12367" s="34" t="n">
        <v>12222608000140</v>
      </c>
      <c r="B12367" s="34" t="s">
        <v>23850</v>
      </c>
      <c r="C12367" s="34" t="s">
        <v>117</v>
      </c>
      <c r="E12367" s="30" t="s">
        <v>3112</v>
      </c>
      <c r="F12367" s="34" t="n">
        <f aca="false">IFERROR(VLOOKUP($A12367,'319'!$B:$H,7,0),0)</f>
        <v>0</v>
      </c>
      <c r="G12367" s="34" t="n">
        <f aca="false">SUMIFS('12.326ana'!$C:$C,'12.326ana'!$M:$M,redes!A12367)</f>
        <v>0</v>
      </c>
    </row>
    <row r="12368" customFormat="false" ht="14.4" hidden="true" customHeight="false" outlineLevel="0" collapsed="false">
      <c r="A12368" s="34" t="n">
        <v>12228233000125</v>
      </c>
      <c r="B12368" s="34" t="s">
        <v>23851</v>
      </c>
      <c r="C12368" s="34" t="s">
        <v>77</v>
      </c>
      <c r="E12368" s="30" t="s">
        <v>23852</v>
      </c>
      <c r="F12368" s="34" t="n">
        <f aca="false">IFERROR(VLOOKUP($A12368,'319'!$B:$H,7,0),0)</f>
        <v>0</v>
      </c>
      <c r="G12368" s="34" t="n">
        <f aca="false">SUMIFS('12.326ana'!$C:$C,'12.326ana'!$M:$M,redes!A12368)</f>
        <v>0</v>
      </c>
    </row>
    <row r="12369" customFormat="false" ht="14.4" hidden="true" customHeight="false" outlineLevel="0" collapsed="false">
      <c r="A12369" s="34" t="n">
        <v>12232558000181</v>
      </c>
      <c r="B12369" s="34" t="s">
        <v>23853</v>
      </c>
      <c r="C12369" s="34" t="s">
        <v>581</v>
      </c>
      <c r="E12369" s="30" t="s">
        <v>23854</v>
      </c>
      <c r="F12369" s="34" t="n">
        <f aca="false">IFERROR(VLOOKUP($A12369,'319'!$B:$H,7,0),0)</f>
        <v>0</v>
      </c>
      <c r="G12369" s="34" t="n">
        <f aca="false">SUMIFS('12.326ana'!$C:$C,'12.326ana'!$M:$M,redes!A12369)</f>
        <v>0</v>
      </c>
    </row>
    <row r="12370" customFormat="false" ht="14.4" hidden="true" customHeight="false" outlineLevel="0" collapsed="false">
      <c r="A12370" s="34" t="n">
        <v>12237892000128</v>
      </c>
      <c r="B12370" s="34" t="s">
        <v>23855</v>
      </c>
      <c r="C12370" s="34" t="s">
        <v>213</v>
      </c>
      <c r="E12370" s="30" t="s">
        <v>23856</v>
      </c>
      <c r="F12370" s="34" t="n">
        <f aca="false">IFERROR(VLOOKUP($A12370,'319'!$B:$H,7,0),0)</f>
        <v>0</v>
      </c>
      <c r="G12370" s="34" t="n">
        <f aca="false">SUMIFS('12.326ana'!$C:$C,'12.326ana'!$M:$M,redes!A12370)</f>
        <v>0</v>
      </c>
    </row>
    <row r="12371" customFormat="false" ht="14.4" hidden="true" customHeight="false" outlineLevel="0" collapsed="false">
      <c r="A12371" s="34" t="n">
        <v>12238509000156</v>
      </c>
      <c r="B12371" s="34" t="s">
        <v>23857</v>
      </c>
      <c r="C12371" s="34" t="s">
        <v>565</v>
      </c>
      <c r="E12371" s="30" t="s">
        <v>23858</v>
      </c>
      <c r="F12371" s="34" t="n">
        <f aca="false">IFERROR(VLOOKUP($A12371,'319'!$B:$H,7,0),0)</f>
        <v>0</v>
      </c>
      <c r="G12371" s="34" t="n">
        <f aca="false">SUMIFS('12.326ana'!$C:$C,'12.326ana'!$M:$M,redes!A12371)</f>
        <v>0</v>
      </c>
    </row>
    <row r="12372" customFormat="false" ht="14.4" hidden="true" customHeight="false" outlineLevel="0" collapsed="false">
      <c r="A12372" s="34" t="n">
        <v>12241746000176</v>
      </c>
      <c r="B12372" s="34" t="s">
        <v>23859</v>
      </c>
      <c r="C12372" s="34" t="s">
        <v>357</v>
      </c>
      <c r="E12372" s="30" t="s">
        <v>23860</v>
      </c>
      <c r="F12372" s="34" t="n">
        <f aca="false">IFERROR(VLOOKUP($A12372,'319'!$B:$H,7,0),0)</f>
        <v>0</v>
      </c>
      <c r="G12372" s="34" t="n">
        <f aca="false">SUMIFS('12.326ana'!$C:$C,'12.326ana'!$M:$M,redes!A12372)</f>
        <v>0</v>
      </c>
    </row>
    <row r="12373" customFormat="false" ht="14.4" hidden="true" customHeight="false" outlineLevel="0" collapsed="false">
      <c r="A12373" s="34" t="n">
        <v>12242278000154</v>
      </c>
      <c r="B12373" s="34" t="s">
        <v>23861</v>
      </c>
      <c r="C12373" s="34" t="s">
        <v>77</v>
      </c>
      <c r="E12373" s="30" t="s">
        <v>23862</v>
      </c>
      <c r="F12373" s="34" t="n">
        <f aca="false">IFERROR(VLOOKUP($A12373,'319'!$B:$H,7,0),0)</f>
        <v>0</v>
      </c>
      <c r="G12373" s="34" t="n">
        <f aca="false">SUMIFS('12.326ana'!$C:$C,'12.326ana'!$M:$M,redes!A12373)</f>
        <v>0</v>
      </c>
    </row>
    <row r="12374" customFormat="false" ht="14.4" hidden="true" customHeight="false" outlineLevel="0" collapsed="false">
      <c r="A12374" s="34" t="n">
        <v>12243896000119</v>
      </c>
      <c r="B12374" s="34" t="s">
        <v>23863</v>
      </c>
      <c r="C12374" s="34" t="s">
        <v>77</v>
      </c>
      <c r="E12374" s="30" t="s">
        <v>23864</v>
      </c>
      <c r="F12374" s="34" t="n">
        <f aca="false">IFERROR(VLOOKUP($A12374,'319'!$B:$H,7,0),0)</f>
        <v>0</v>
      </c>
      <c r="G12374" s="34" t="n">
        <f aca="false">SUMIFS('12.326ana'!$C:$C,'12.326ana'!$M:$M,redes!A12374)</f>
        <v>0</v>
      </c>
    </row>
    <row r="12375" customFormat="false" ht="14.4" hidden="true" customHeight="false" outlineLevel="0" collapsed="false">
      <c r="A12375" s="34" t="n">
        <v>12244255000189</v>
      </c>
      <c r="B12375" s="34" t="s">
        <v>23865</v>
      </c>
      <c r="C12375" s="34" t="s">
        <v>604</v>
      </c>
      <c r="E12375" s="30" t="s">
        <v>23866</v>
      </c>
      <c r="F12375" s="34" t="n">
        <f aca="false">IFERROR(VLOOKUP($A12375,'319'!$B:$H,7,0),0)</f>
        <v>0</v>
      </c>
      <c r="G12375" s="34" t="n">
        <f aca="false">SUMIFS('12.326ana'!$C:$C,'12.326ana'!$M:$M,redes!A12375)</f>
        <v>0</v>
      </c>
    </row>
    <row r="12376" customFormat="false" ht="14.4" hidden="true" customHeight="false" outlineLevel="0" collapsed="false">
      <c r="A12376" s="34" t="n">
        <v>12251205000129</v>
      </c>
      <c r="B12376" s="34" t="s">
        <v>23867</v>
      </c>
      <c r="C12376" s="34" t="s">
        <v>213</v>
      </c>
      <c r="E12376" s="30" t="s">
        <v>23868</v>
      </c>
      <c r="F12376" s="34" t="n">
        <f aca="false">IFERROR(VLOOKUP($A12376,'319'!$B:$H,7,0),0)</f>
        <v>0</v>
      </c>
      <c r="G12376" s="34" t="n">
        <f aca="false">SUMIFS('12.326ana'!$C:$C,'12.326ana'!$M:$M,redes!A12376)</f>
        <v>0</v>
      </c>
    </row>
    <row r="12377" customFormat="false" ht="14.4" hidden="true" customHeight="false" outlineLevel="0" collapsed="false">
      <c r="A12377" s="34" t="n">
        <v>12251343000299</v>
      </c>
      <c r="B12377" s="34" t="s">
        <v>23869</v>
      </c>
      <c r="C12377" s="34" t="s">
        <v>342</v>
      </c>
      <c r="E12377" s="30" t="s">
        <v>23870</v>
      </c>
      <c r="F12377" s="34" t="n">
        <f aca="false">IFERROR(VLOOKUP($A12377,'319'!$B:$H,7,0),0)</f>
        <v>0</v>
      </c>
      <c r="G12377" s="34" t="n">
        <f aca="false">SUMIFS('12.326ana'!$C:$C,'12.326ana'!$M:$M,redes!A12377)</f>
        <v>0</v>
      </c>
    </row>
    <row r="12378" customFormat="false" ht="14.4" hidden="true" customHeight="false" outlineLevel="0" collapsed="false">
      <c r="A12378" s="34" t="n">
        <v>12252347000100</v>
      </c>
      <c r="B12378" s="34" t="s">
        <v>23871</v>
      </c>
      <c r="C12378" s="34" t="s">
        <v>77</v>
      </c>
      <c r="E12378" s="30" t="s">
        <v>23872</v>
      </c>
      <c r="F12378" s="34" t="n">
        <f aca="false">IFERROR(VLOOKUP($A12378,'319'!$B:$H,7,0),0)</f>
        <v>0</v>
      </c>
      <c r="G12378" s="34" t="n">
        <f aca="false">SUMIFS('12.326ana'!$C:$C,'12.326ana'!$M:$M,redes!A12378)</f>
        <v>0</v>
      </c>
    </row>
    <row r="12379" customFormat="false" ht="14.4" hidden="true" customHeight="false" outlineLevel="0" collapsed="false">
      <c r="A12379" s="34" t="n">
        <v>12257859000160</v>
      </c>
      <c r="B12379" s="34" t="s">
        <v>23873</v>
      </c>
      <c r="C12379" s="34" t="s">
        <v>1272</v>
      </c>
      <c r="E12379" s="30" t="s">
        <v>23874</v>
      </c>
      <c r="F12379" s="34" t="n">
        <f aca="false">IFERROR(VLOOKUP($A12379,'319'!$B:$H,7,0),0)</f>
        <v>0</v>
      </c>
      <c r="G12379" s="34" t="n">
        <f aca="false">SUMIFS('12.326ana'!$C:$C,'12.326ana'!$M:$M,redes!A12379)</f>
        <v>0</v>
      </c>
    </row>
    <row r="12380" customFormat="false" ht="14.4" hidden="true" customHeight="false" outlineLevel="0" collapsed="false">
      <c r="A12380" s="34" t="n">
        <v>12266521000174</v>
      </c>
      <c r="B12380" s="34" t="s">
        <v>23875</v>
      </c>
      <c r="C12380" s="34" t="s">
        <v>107</v>
      </c>
      <c r="E12380" s="30" t="s">
        <v>23876</v>
      </c>
      <c r="F12380" s="34" t="n">
        <f aca="false">IFERROR(VLOOKUP($A12380,'319'!$B:$H,7,0),0)</f>
        <v>0</v>
      </c>
      <c r="G12380" s="34" t="n">
        <f aca="false">SUMIFS('12.326ana'!$C:$C,'12.326ana'!$M:$M,redes!A12380)</f>
        <v>0</v>
      </c>
    </row>
    <row r="12381" customFormat="false" ht="14.4" hidden="true" customHeight="false" outlineLevel="0" collapsed="false">
      <c r="A12381" s="34" t="n">
        <v>12268871000170</v>
      </c>
      <c r="B12381" s="34" t="s">
        <v>23877</v>
      </c>
      <c r="C12381" s="34" t="s">
        <v>77</v>
      </c>
      <c r="E12381" s="30" t="s">
        <v>23878</v>
      </c>
      <c r="F12381" s="34" t="n">
        <f aca="false">IFERROR(VLOOKUP($A12381,'319'!$B:$H,7,0),0)</f>
        <v>0</v>
      </c>
      <c r="G12381" s="34" t="n">
        <f aca="false">SUMIFS('12.326ana'!$C:$C,'12.326ana'!$M:$M,redes!A12381)</f>
        <v>0</v>
      </c>
    </row>
    <row r="12382" customFormat="false" ht="14.4" hidden="true" customHeight="false" outlineLevel="0" collapsed="false">
      <c r="A12382" s="34" t="n">
        <v>12269925000111</v>
      </c>
      <c r="B12382" s="34" t="s">
        <v>23879</v>
      </c>
      <c r="C12382" s="34" t="s">
        <v>77</v>
      </c>
      <c r="E12382" s="30" t="s">
        <v>23880</v>
      </c>
      <c r="F12382" s="34" t="n">
        <f aca="false">IFERROR(VLOOKUP($A12382,'319'!$B:$H,7,0),0)</f>
        <v>0</v>
      </c>
      <c r="G12382" s="34" t="n">
        <f aca="false">SUMIFS('12.326ana'!$C:$C,'12.326ana'!$M:$M,redes!A12382)</f>
        <v>0</v>
      </c>
    </row>
    <row r="12383" customFormat="false" ht="14.4" hidden="true" customHeight="false" outlineLevel="0" collapsed="false">
      <c r="A12383" s="34" t="n">
        <v>12271408000187</v>
      </c>
      <c r="B12383" s="34" t="s">
        <v>1078</v>
      </c>
      <c r="C12383" s="34" t="s">
        <v>351</v>
      </c>
      <c r="E12383" s="30" t="s">
        <v>11474</v>
      </c>
      <c r="F12383" s="34" t="n">
        <f aca="false">IFERROR(VLOOKUP($A12383,'319'!$B:$H,7,0),0)</f>
        <v>633.86</v>
      </c>
      <c r="G12383" s="34" t="n">
        <f aca="false">SUMIFS('12.326ana'!$C:$C,'12.326ana'!$M:$M,redes!A12383)</f>
        <v>0</v>
      </c>
    </row>
    <row r="12384" customFormat="false" ht="14.4" hidden="true" customHeight="false" outlineLevel="0" collapsed="false">
      <c r="A12384" s="34" t="n">
        <v>12281900000133</v>
      </c>
      <c r="B12384" s="34" t="s">
        <v>23881</v>
      </c>
      <c r="C12384" s="34" t="s">
        <v>77</v>
      </c>
      <c r="E12384" s="30" t="s">
        <v>23882</v>
      </c>
      <c r="F12384" s="34" t="n">
        <f aca="false">IFERROR(VLOOKUP($A12384,'319'!$B:$H,7,0),0)</f>
        <v>0</v>
      </c>
      <c r="G12384" s="34" t="n">
        <f aca="false">SUMIFS('12.326ana'!$C:$C,'12.326ana'!$M:$M,redes!A12384)</f>
        <v>0</v>
      </c>
    </row>
    <row r="12385" customFormat="false" ht="14.4" hidden="true" customHeight="false" outlineLevel="0" collapsed="false">
      <c r="A12385" s="34" t="n">
        <v>12282045000185</v>
      </c>
      <c r="B12385" s="34" t="s">
        <v>23883</v>
      </c>
      <c r="C12385" s="34" t="s">
        <v>107</v>
      </c>
      <c r="E12385" s="30" t="s">
        <v>3337</v>
      </c>
      <c r="F12385" s="34" t="n">
        <f aca="false">IFERROR(VLOOKUP($A12385,'319'!$B:$H,7,0),0)</f>
        <v>0</v>
      </c>
      <c r="G12385" s="34" t="n">
        <f aca="false">SUMIFS('12.326ana'!$C:$C,'12.326ana'!$M:$M,redes!A12385)</f>
        <v>0</v>
      </c>
    </row>
    <row r="12386" customFormat="false" ht="14.4" hidden="true" customHeight="false" outlineLevel="0" collapsed="false">
      <c r="A12386" s="34" t="n">
        <v>12284989000191</v>
      </c>
      <c r="B12386" s="34" t="s">
        <v>23884</v>
      </c>
      <c r="C12386" s="34" t="s">
        <v>598</v>
      </c>
      <c r="E12386" s="30" t="s">
        <v>23885</v>
      </c>
      <c r="F12386" s="34" t="n">
        <f aca="false">IFERROR(VLOOKUP($A12386,'319'!$B:$H,7,0),0)</f>
        <v>0</v>
      </c>
      <c r="G12386" s="34" t="n">
        <f aca="false">SUMIFS('12.326ana'!$C:$C,'12.326ana'!$M:$M,redes!A12386)</f>
        <v>0</v>
      </c>
    </row>
    <row r="12387" customFormat="false" ht="14.4" hidden="true" customHeight="false" outlineLevel="0" collapsed="false">
      <c r="A12387" s="34" t="n">
        <v>12285327000136</v>
      </c>
      <c r="B12387" s="34" t="s">
        <v>23886</v>
      </c>
      <c r="C12387" s="34" t="s">
        <v>4261</v>
      </c>
      <c r="E12387" s="30" t="s">
        <v>22115</v>
      </c>
      <c r="F12387" s="34" t="n">
        <f aca="false">IFERROR(VLOOKUP($A12387,'319'!$B:$H,7,0),0)</f>
        <v>0</v>
      </c>
      <c r="G12387" s="34" t="n">
        <f aca="false">SUMIFS('12.326ana'!$C:$C,'12.326ana'!$M:$M,redes!A12387)</f>
        <v>0</v>
      </c>
    </row>
    <row r="12388" customFormat="false" ht="14.4" hidden="true" customHeight="false" outlineLevel="0" collapsed="false">
      <c r="A12388" s="34" t="n">
        <v>12285327000217</v>
      </c>
      <c r="B12388" s="34" t="s">
        <v>23887</v>
      </c>
      <c r="C12388" s="34" t="s">
        <v>4261</v>
      </c>
      <c r="E12388" s="30" t="s">
        <v>23888</v>
      </c>
      <c r="F12388" s="34" t="n">
        <f aca="false">IFERROR(VLOOKUP($A12388,'319'!$B:$H,7,0),0)</f>
        <v>0</v>
      </c>
      <c r="G12388" s="34" t="n">
        <f aca="false">SUMIFS('12.326ana'!$C:$C,'12.326ana'!$M:$M,redes!A12388)</f>
        <v>0</v>
      </c>
    </row>
    <row r="12389" customFormat="false" ht="14.4" hidden="true" customHeight="false" outlineLevel="0" collapsed="false">
      <c r="A12389" s="34" t="n">
        <v>12289318000113</v>
      </c>
      <c r="B12389" s="34" t="s">
        <v>23889</v>
      </c>
      <c r="C12389" s="34" t="s">
        <v>464</v>
      </c>
      <c r="E12389" s="30" t="s">
        <v>23890</v>
      </c>
      <c r="F12389" s="34" t="n">
        <f aca="false">IFERROR(VLOOKUP($A12389,'319'!$B:$H,7,0),0)</f>
        <v>0</v>
      </c>
      <c r="G12389" s="34" t="n">
        <f aca="false">SUMIFS('12.326ana'!$C:$C,'12.326ana'!$M:$M,redes!A12389)</f>
        <v>0</v>
      </c>
    </row>
    <row r="12390" customFormat="false" ht="14.4" hidden="true" customHeight="false" outlineLevel="0" collapsed="false">
      <c r="A12390" s="34" t="n">
        <v>12292431000158</v>
      </c>
      <c r="B12390" s="34" t="s">
        <v>23891</v>
      </c>
      <c r="C12390" s="34" t="s">
        <v>77</v>
      </c>
      <c r="E12390" s="30" t="s">
        <v>11877</v>
      </c>
      <c r="F12390" s="34" t="n">
        <f aca="false">IFERROR(VLOOKUP($A12390,'319'!$B:$H,7,0),0)</f>
        <v>0</v>
      </c>
      <c r="G12390" s="34" t="n">
        <f aca="false">SUMIFS('12.326ana'!$C:$C,'12.326ana'!$M:$M,redes!A12390)</f>
        <v>0</v>
      </c>
    </row>
    <row r="12391" customFormat="false" ht="14.4" hidden="true" customHeight="false" outlineLevel="0" collapsed="false">
      <c r="A12391" s="34" t="n">
        <v>12292852000189</v>
      </c>
      <c r="B12391" s="34" t="s">
        <v>23892</v>
      </c>
      <c r="C12391" s="34" t="s">
        <v>77</v>
      </c>
      <c r="E12391" s="30" t="s">
        <v>23893</v>
      </c>
      <c r="F12391" s="34" t="n">
        <f aca="false">IFERROR(VLOOKUP($A12391,'319'!$B:$H,7,0),0)</f>
        <v>0</v>
      </c>
      <c r="G12391" s="34" t="n">
        <f aca="false">SUMIFS('12.326ana'!$C:$C,'12.326ana'!$M:$M,redes!A12391)</f>
        <v>0</v>
      </c>
    </row>
    <row r="12392" customFormat="false" ht="14.4" hidden="true" customHeight="false" outlineLevel="0" collapsed="false">
      <c r="A12392" s="34" t="n">
        <v>12300803000140</v>
      </c>
      <c r="B12392" s="34" t="s">
        <v>23894</v>
      </c>
      <c r="C12392" s="34" t="s">
        <v>89</v>
      </c>
      <c r="E12392" s="30" t="s">
        <v>23895</v>
      </c>
      <c r="F12392" s="34" t="n">
        <f aca="false">IFERROR(VLOOKUP($A12392,'319'!$B:$H,7,0),0)</f>
        <v>0</v>
      </c>
      <c r="G12392" s="34" t="n">
        <f aca="false">SUMIFS('12.326ana'!$C:$C,'12.326ana'!$M:$M,redes!A12392)</f>
        <v>0</v>
      </c>
    </row>
    <row r="12393" customFormat="false" ht="14.4" hidden="true" customHeight="false" outlineLevel="0" collapsed="false">
      <c r="A12393" s="34" t="n">
        <v>12300912000168</v>
      </c>
      <c r="B12393" s="34" t="s">
        <v>23896</v>
      </c>
      <c r="C12393" s="34" t="s">
        <v>107</v>
      </c>
      <c r="E12393" s="30" t="s">
        <v>23897</v>
      </c>
      <c r="F12393" s="34" t="n">
        <f aca="false">IFERROR(VLOOKUP($A12393,'319'!$B:$H,7,0),0)</f>
        <v>0</v>
      </c>
      <c r="G12393" s="34" t="n">
        <f aca="false">SUMIFS('12.326ana'!$C:$C,'12.326ana'!$M:$M,redes!A12393)</f>
        <v>0</v>
      </c>
    </row>
    <row r="12394" customFormat="false" ht="14.4" hidden="true" customHeight="false" outlineLevel="0" collapsed="false">
      <c r="A12394" s="34" t="n">
        <v>12303488000105</v>
      </c>
      <c r="B12394" s="34" t="s">
        <v>23898</v>
      </c>
      <c r="C12394" s="34" t="s">
        <v>737</v>
      </c>
      <c r="E12394" s="30" t="s">
        <v>21394</v>
      </c>
      <c r="F12394" s="34" t="n">
        <f aca="false">IFERROR(VLOOKUP($A12394,'319'!$B:$H,7,0),0)</f>
        <v>0</v>
      </c>
      <c r="G12394" s="34" t="n">
        <f aca="false">SUMIFS('12.326ana'!$C:$C,'12.326ana'!$M:$M,redes!A12394)</f>
        <v>0</v>
      </c>
    </row>
    <row r="12395" customFormat="false" ht="14.4" hidden="true" customHeight="false" outlineLevel="0" collapsed="false">
      <c r="A12395" s="34" t="n">
        <v>12315372000196</v>
      </c>
      <c r="B12395" s="34" t="s">
        <v>23899</v>
      </c>
      <c r="C12395" s="34" t="s">
        <v>77</v>
      </c>
      <c r="E12395" s="30" t="s">
        <v>23900</v>
      </c>
      <c r="F12395" s="34" t="n">
        <f aca="false">IFERROR(VLOOKUP($A12395,'319'!$B:$H,7,0),0)</f>
        <v>0</v>
      </c>
      <c r="G12395" s="34" t="n">
        <f aca="false">SUMIFS('12.326ana'!$C:$C,'12.326ana'!$M:$M,redes!A12395)</f>
        <v>0</v>
      </c>
    </row>
    <row r="12396" customFormat="false" ht="14.4" hidden="true" customHeight="false" outlineLevel="0" collapsed="false">
      <c r="A12396" s="34" t="n">
        <v>12316926000170</v>
      </c>
      <c r="B12396" s="34" t="s">
        <v>23901</v>
      </c>
      <c r="C12396" s="34" t="s">
        <v>77</v>
      </c>
      <c r="E12396" s="30" t="s">
        <v>23901</v>
      </c>
      <c r="F12396" s="34" t="n">
        <f aca="false">IFERROR(VLOOKUP($A12396,'319'!$B:$H,7,0),0)</f>
        <v>0</v>
      </c>
      <c r="G12396" s="34" t="n">
        <f aca="false">SUMIFS('12.326ana'!$C:$C,'12.326ana'!$M:$M,redes!A12396)</f>
        <v>0</v>
      </c>
    </row>
    <row r="12397" customFormat="false" ht="14.4" hidden="true" customHeight="false" outlineLevel="0" collapsed="false">
      <c r="A12397" s="34" t="n">
        <v>12323158000181</v>
      </c>
      <c r="B12397" s="34" t="s">
        <v>23902</v>
      </c>
      <c r="C12397" s="34" t="s">
        <v>1680</v>
      </c>
      <c r="E12397" s="30" t="s">
        <v>21566</v>
      </c>
      <c r="F12397" s="34" t="n">
        <f aca="false">IFERROR(VLOOKUP($A12397,'319'!$B:$H,7,0),0)</f>
        <v>0</v>
      </c>
      <c r="G12397" s="34" t="n">
        <f aca="false">SUMIFS('12.326ana'!$C:$C,'12.326ana'!$M:$M,redes!A12397)</f>
        <v>0</v>
      </c>
    </row>
    <row r="12398" customFormat="false" ht="14.4" hidden="true" customHeight="false" outlineLevel="0" collapsed="false">
      <c r="A12398" s="34" t="n">
        <v>12323653000190</v>
      </c>
      <c r="B12398" s="34" t="s">
        <v>23903</v>
      </c>
      <c r="C12398" s="34" t="s">
        <v>77</v>
      </c>
      <c r="E12398" s="30" t="s">
        <v>23904</v>
      </c>
      <c r="F12398" s="34" t="n">
        <f aca="false">IFERROR(VLOOKUP($A12398,'319'!$B:$H,7,0),0)</f>
        <v>0</v>
      </c>
      <c r="G12398" s="34" t="n">
        <f aca="false">SUMIFS('12.326ana'!$C:$C,'12.326ana'!$M:$M,redes!A12398)</f>
        <v>0</v>
      </c>
    </row>
    <row r="12399" customFormat="false" ht="14.4" hidden="true" customHeight="false" outlineLevel="0" collapsed="false">
      <c r="A12399" s="34" t="n">
        <v>12328989000146</v>
      </c>
      <c r="B12399" s="34" t="s">
        <v>23905</v>
      </c>
      <c r="C12399" s="34" t="s">
        <v>77</v>
      </c>
      <c r="E12399" s="30" t="s">
        <v>8317</v>
      </c>
      <c r="F12399" s="34" t="n">
        <f aca="false">IFERROR(VLOOKUP($A12399,'319'!$B:$H,7,0),0)</f>
        <v>0</v>
      </c>
      <c r="G12399" s="34" t="n">
        <f aca="false">SUMIFS('12.326ana'!$C:$C,'12.326ana'!$M:$M,redes!A12399)</f>
        <v>0</v>
      </c>
    </row>
    <row r="12400" customFormat="false" ht="14.4" hidden="true" customHeight="false" outlineLevel="0" collapsed="false">
      <c r="A12400" s="34" t="n">
        <v>12338527000100</v>
      </c>
      <c r="B12400" s="34" t="s">
        <v>23906</v>
      </c>
      <c r="C12400" s="34" t="s">
        <v>89</v>
      </c>
      <c r="E12400" s="30" t="s">
        <v>23907</v>
      </c>
      <c r="F12400" s="34" t="n">
        <f aca="false">IFERROR(VLOOKUP($A12400,'319'!$B:$H,7,0),0)</f>
        <v>0</v>
      </c>
      <c r="G12400" s="34" t="n">
        <f aca="false">SUMIFS('12.326ana'!$C:$C,'12.326ana'!$M:$M,redes!A12400)</f>
        <v>0</v>
      </c>
    </row>
    <row r="12401" customFormat="false" ht="14.4" hidden="true" customHeight="false" outlineLevel="0" collapsed="false">
      <c r="A12401" s="34" t="n">
        <v>12341446000169</v>
      </c>
      <c r="B12401" s="34" t="s">
        <v>23908</v>
      </c>
      <c r="C12401" s="34" t="s">
        <v>77</v>
      </c>
      <c r="E12401" s="30" t="s">
        <v>23908</v>
      </c>
      <c r="F12401" s="34" t="n">
        <f aca="false">IFERROR(VLOOKUP($A12401,'319'!$B:$H,7,0),0)</f>
        <v>0</v>
      </c>
      <c r="G12401" s="34" t="n">
        <f aca="false">SUMIFS('12.326ana'!$C:$C,'12.326ana'!$M:$M,redes!A12401)</f>
        <v>0</v>
      </c>
    </row>
    <row r="12402" customFormat="false" ht="14.4" hidden="true" customHeight="false" outlineLevel="0" collapsed="false">
      <c r="A12402" s="34" t="n">
        <v>12342546000100</v>
      </c>
      <c r="B12402" s="34" t="s">
        <v>23909</v>
      </c>
      <c r="C12402" s="34" t="s">
        <v>77</v>
      </c>
      <c r="E12402" s="30" t="s">
        <v>23910</v>
      </c>
      <c r="F12402" s="34" t="n">
        <f aca="false">IFERROR(VLOOKUP($A12402,'319'!$B:$H,7,0),0)</f>
        <v>0</v>
      </c>
      <c r="G12402" s="34" t="n">
        <f aca="false">SUMIFS('12.326ana'!$C:$C,'12.326ana'!$M:$M,redes!A12402)</f>
        <v>0</v>
      </c>
    </row>
    <row r="12403" customFormat="false" ht="14.4" hidden="true" customHeight="false" outlineLevel="0" collapsed="false">
      <c r="A12403" s="34" t="n">
        <v>12342579000150</v>
      </c>
      <c r="B12403" s="34" t="s">
        <v>23911</v>
      </c>
      <c r="C12403" s="34" t="s">
        <v>107</v>
      </c>
      <c r="E12403" s="30" t="s">
        <v>23912</v>
      </c>
      <c r="F12403" s="34" t="n">
        <f aca="false">IFERROR(VLOOKUP($A12403,'319'!$B:$H,7,0),0)</f>
        <v>0</v>
      </c>
      <c r="G12403" s="34" t="n">
        <f aca="false">SUMIFS('12.326ana'!$C:$C,'12.326ana'!$M:$M,redes!A12403)</f>
        <v>0</v>
      </c>
    </row>
    <row r="12404" customFormat="false" ht="14.4" hidden="true" customHeight="false" outlineLevel="0" collapsed="false">
      <c r="A12404" s="34" t="n">
        <v>12351579000116</v>
      </c>
      <c r="B12404" s="34" t="s">
        <v>23913</v>
      </c>
      <c r="C12404" s="34" t="s">
        <v>377</v>
      </c>
      <c r="E12404" s="30" t="s">
        <v>23914</v>
      </c>
      <c r="F12404" s="34" t="n">
        <f aca="false">IFERROR(VLOOKUP($A12404,'319'!$B:$H,7,0),0)</f>
        <v>0</v>
      </c>
      <c r="G12404" s="34" t="n">
        <f aca="false">SUMIFS('12.326ana'!$C:$C,'12.326ana'!$M:$M,redes!A12404)</f>
        <v>0</v>
      </c>
    </row>
    <row r="12405" customFormat="false" ht="14.4" hidden="true" customHeight="false" outlineLevel="0" collapsed="false">
      <c r="A12405" s="34" t="n">
        <v>12354322000118</v>
      </c>
      <c r="B12405" s="34" t="s">
        <v>23915</v>
      </c>
      <c r="C12405" s="34" t="s">
        <v>357</v>
      </c>
      <c r="E12405" s="30" t="s">
        <v>23916</v>
      </c>
      <c r="F12405" s="34" t="n">
        <f aca="false">IFERROR(VLOOKUP($A12405,'319'!$B:$H,7,0),0)</f>
        <v>0</v>
      </c>
      <c r="G12405" s="34" t="n">
        <f aca="false">SUMIFS('12.326ana'!$C:$C,'12.326ana'!$M:$M,redes!A12405)</f>
        <v>0</v>
      </c>
    </row>
    <row r="12406" customFormat="false" ht="14.4" hidden="true" customHeight="false" outlineLevel="0" collapsed="false">
      <c r="A12406" s="34" t="n">
        <v>12361037000205</v>
      </c>
      <c r="B12406" s="34" t="s">
        <v>23917</v>
      </c>
      <c r="C12406" s="34" t="s">
        <v>77</v>
      </c>
      <c r="E12406" s="30" t="s">
        <v>23918</v>
      </c>
      <c r="F12406" s="34" t="n">
        <f aca="false">IFERROR(VLOOKUP($A12406,'319'!$B:$H,7,0),0)</f>
        <v>0</v>
      </c>
      <c r="G12406" s="34" t="n">
        <f aca="false">SUMIFS('12.326ana'!$C:$C,'12.326ana'!$M:$M,redes!A12406)</f>
        <v>0</v>
      </c>
    </row>
    <row r="12407" customFormat="false" ht="14.4" hidden="true" customHeight="false" outlineLevel="0" collapsed="false">
      <c r="A12407" s="34" t="n">
        <v>12361880000100</v>
      </c>
      <c r="B12407" s="34" t="s">
        <v>23919</v>
      </c>
      <c r="C12407" s="34" t="s">
        <v>848</v>
      </c>
      <c r="E12407" s="30" t="s">
        <v>23920</v>
      </c>
      <c r="F12407" s="34" t="n">
        <f aca="false">IFERROR(VLOOKUP($A12407,'319'!$B:$H,7,0),0)</f>
        <v>0</v>
      </c>
      <c r="G12407" s="34" t="n">
        <f aca="false">SUMIFS('12.326ana'!$C:$C,'12.326ana'!$M:$M,redes!A12407)</f>
        <v>0</v>
      </c>
    </row>
    <row r="12408" customFormat="false" ht="14.4" hidden="true" customHeight="false" outlineLevel="0" collapsed="false">
      <c r="A12408" s="34" t="n">
        <v>12369298000190</v>
      </c>
      <c r="B12408" s="34" t="s">
        <v>23921</v>
      </c>
      <c r="C12408" s="34" t="s">
        <v>77</v>
      </c>
      <c r="E12408" s="30" t="s">
        <v>23922</v>
      </c>
      <c r="F12408" s="34" t="n">
        <f aca="false">IFERROR(VLOOKUP($A12408,'319'!$B:$H,7,0),0)</f>
        <v>0</v>
      </c>
      <c r="G12408" s="34" t="n">
        <f aca="false">SUMIFS('12.326ana'!$C:$C,'12.326ana'!$M:$M,redes!A12408)</f>
        <v>0</v>
      </c>
    </row>
    <row r="12409" customFormat="false" ht="14.4" hidden="true" customHeight="false" outlineLevel="0" collapsed="false">
      <c r="A12409" s="34" t="n">
        <v>12370042000101</v>
      </c>
      <c r="B12409" s="34" t="s">
        <v>23923</v>
      </c>
      <c r="C12409" s="34" t="s">
        <v>342</v>
      </c>
      <c r="E12409" s="30" t="s">
        <v>3588</v>
      </c>
      <c r="F12409" s="34" t="n">
        <f aca="false">IFERROR(VLOOKUP($A12409,'319'!$B:$H,7,0),0)</f>
        <v>0</v>
      </c>
      <c r="G12409" s="34" t="n">
        <f aca="false">SUMIFS('12.326ana'!$C:$C,'12.326ana'!$M:$M,redes!A12409)</f>
        <v>0</v>
      </c>
    </row>
    <row r="12410" customFormat="false" ht="14.4" hidden="true" customHeight="false" outlineLevel="0" collapsed="false">
      <c r="A12410" s="34" t="n">
        <v>12373754000176</v>
      </c>
      <c r="B12410" s="34" t="s">
        <v>23924</v>
      </c>
      <c r="C12410" s="34" t="s">
        <v>77</v>
      </c>
      <c r="E12410" s="30" t="s">
        <v>23925</v>
      </c>
      <c r="F12410" s="34" t="n">
        <f aca="false">IFERROR(VLOOKUP($A12410,'319'!$B:$H,7,0),0)</f>
        <v>0</v>
      </c>
      <c r="G12410" s="34" t="n">
        <f aca="false">SUMIFS('12.326ana'!$C:$C,'12.326ana'!$M:$M,redes!A12410)</f>
        <v>0</v>
      </c>
    </row>
    <row r="12411" customFormat="false" ht="14.4" hidden="true" customHeight="false" outlineLevel="0" collapsed="false">
      <c r="A12411" s="34" t="n">
        <v>12373895000199</v>
      </c>
      <c r="B12411" s="34" t="s">
        <v>23926</v>
      </c>
      <c r="C12411" s="34" t="s">
        <v>448</v>
      </c>
      <c r="E12411" s="30" t="s">
        <v>23528</v>
      </c>
      <c r="F12411" s="34" t="n">
        <f aca="false">IFERROR(VLOOKUP($A12411,'319'!$B:$H,7,0),0)</f>
        <v>0</v>
      </c>
      <c r="G12411" s="34" t="n">
        <f aca="false">SUMIFS('12.326ana'!$C:$C,'12.326ana'!$M:$M,redes!A12411)</f>
        <v>0</v>
      </c>
    </row>
    <row r="12412" customFormat="false" ht="14.4" hidden="true" customHeight="false" outlineLevel="0" collapsed="false">
      <c r="A12412" s="34" t="n">
        <v>12376428000112</v>
      </c>
      <c r="B12412" s="34" t="s">
        <v>7706</v>
      </c>
      <c r="C12412" s="34" t="s">
        <v>994</v>
      </c>
      <c r="E12412" s="30" t="s">
        <v>23927</v>
      </c>
      <c r="F12412" s="34" t="n">
        <f aca="false">IFERROR(VLOOKUP($A12412,'319'!$B:$H,7,0),0)</f>
        <v>0</v>
      </c>
      <c r="G12412" s="34" t="n">
        <f aca="false">SUMIFS('12.326ana'!$C:$C,'12.326ana'!$M:$M,redes!A12412)</f>
        <v>0</v>
      </c>
    </row>
    <row r="12413" customFormat="false" ht="14.4" hidden="true" customHeight="false" outlineLevel="0" collapsed="false">
      <c r="A12413" s="34" t="n">
        <v>12377401000144</v>
      </c>
      <c r="B12413" s="34" t="s">
        <v>23928</v>
      </c>
      <c r="C12413" s="34" t="s">
        <v>737</v>
      </c>
      <c r="E12413" s="30" t="s">
        <v>23929</v>
      </c>
      <c r="F12413" s="34" t="n">
        <f aca="false">IFERROR(VLOOKUP($A12413,'319'!$B:$H,7,0),0)</f>
        <v>0</v>
      </c>
      <c r="G12413" s="34" t="n">
        <f aca="false">SUMIFS('12.326ana'!$C:$C,'12.326ana'!$M:$M,redes!A12413)</f>
        <v>0</v>
      </c>
    </row>
    <row r="12414" customFormat="false" ht="14.4" hidden="true" customHeight="false" outlineLevel="0" collapsed="false">
      <c r="A12414" s="34" t="n">
        <v>12380600000101</v>
      </c>
      <c r="B12414" s="34" t="s">
        <v>8530</v>
      </c>
      <c r="C12414" s="34" t="s">
        <v>737</v>
      </c>
      <c r="E12414" s="30" t="s">
        <v>8531</v>
      </c>
      <c r="F12414" s="34" t="n">
        <f aca="false">IFERROR(VLOOKUP($A12414,'319'!$B:$H,7,0),0)</f>
        <v>0</v>
      </c>
      <c r="G12414" s="34" t="n">
        <f aca="false">SUMIFS('12.326ana'!$C:$C,'12.326ana'!$M:$M,redes!A12414)</f>
        <v>0</v>
      </c>
    </row>
    <row r="12415" customFormat="false" ht="14.4" hidden="true" customHeight="false" outlineLevel="0" collapsed="false">
      <c r="A12415" s="34" t="n">
        <v>12381780000146</v>
      </c>
      <c r="B12415" s="34" t="s">
        <v>23930</v>
      </c>
      <c r="C12415" s="34" t="s">
        <v>77</v>
      </c>
      <c r="E12415" s="30" t="s">
        <v>3112</v>
      </c>
      <c r="F12415" s="34" t="n">
        <f aca="false">IFERROR(VLOOKUP($A12415,'319'!$B:$H,7,0),0)</f>
        <v>0</v>
      </c>
      <c r="G12415" s="34" t="n">
        <f aca="false">SUMIFS('12.326ana'!$C:$C,'12.326ana'!$M:$M,redes!A12415)</f>
        <v>0</v>
      </c>
    </row>
    <row r="12416" customFormat="false" ht="14.4" hidden="true" customHeight="false" outlineLevel="0" collapsed="false">
      <c r="A12416" s="34" t="n">
        <v>12399709000190</v>
      </c>
      <c r="B12416" s="34" t="s">
        <v>23931</v>
      </c>
      <c r="C12416" s="34" t="s">
        <v>77</v>
      </c>
      <c r="E12416" s="30" t="s">
        <v>23932</v>
      </c>
      <c r="F12416" s="34" t="n">
        <f aca="false">IFERROR(VLOOKUP($A12416,'319'!$B:$H,7,0),0)</f>
        <v>0</v>
      </c>
      <c r="G12416" s="34" t="n">
        <f aca="false">SUMIFS('12.326ana'!$C:$C,'12.326ana'!$M:$M,redes!A12416)</f>
        <v>0</v>
      </c>
    </row>
    <row r="12417" customFormat="false" ht="14.4" hidden="true" customHeight="false" outlineLevel="0" collapsed="false">
      <c r="A12417" s="34" t="n">
        <v>12401347000125</v>
      </c>
      <c r="B12417" s="34" t="s">
        <v>23933</v>
      </c>
      <c r="C12417" s="34" t="s">
        <v>77</v>
      </c>
      <c r="E12417" s="30" t="s">
        <v>23934</v>
      </c>
      <c r="F12417" s="34" t="n">
        <f aca="false">IFERROR(VLOOKUP($A12417,'319'!$B:$H,7,0),0)</f>
        <v>0</v>
      </c>
      <c r="G12417" s="34" t="n">
        <f aca="false">SUMIFS('12.326ana'!$C:$C,'12.326ana'!$M:$M,redes!A12417)</f>
        <v>0</v>
      </c>
    </row>
    <row r="12418" customFormat="false" ht="14.4" hidden="true" customHeight="false" outlineLevel="0" collapsed="false">
      <c r="A12418" s="34" t="n">
        <v>12409023000133</v>
      </c>
      <c r="B12418" s="34" t="s">
        <v>23935</v>
      </c>
      <c r="C12418" s="34" t="s">
        <v>77</v>
      </c>
      <c r="E12418" s="30" t="s">
        <v>23936</v>
      </c>
      <c r="F12418" s="34" t="n">
        <f aca="false">IFERROR(VLOOKUP($A12418,'319'!$B:$H,7,0),0)</f>
        <v>0</v>
      </c>
      <c r="G12418" s="34" t="n">
        <f aca="false">SUMIFS('12.326ana'!$C:$C,'12.326ana'!$M:$M,redes!A12418)</f>
        <v>0</v>
      </c>
    </row>
    <row r="12419" customFormat="false" ht="14.4" hidden="true" customHeight="false" outlineLevel="0" collapsed="false">
      <c r="A12419" s="34" t="n">
        <v>12409328000145</v>
      </c>
      <c r="B12419" s="34" t="s">
        <v>23937</v>
      </c>
      <c r="C12419" s="34" t="s">
        <v>107</v>
      </c>
      <c r="E12419" s="30" t="s">
        <v>23938</v>
      </c>
      <c r="F12419" s="34" t="n">
        <f aca="false">IFERROR(VLOOKUP($A12419,'319'!$B:$H,7,0),0)</f>
        <v>0</v>
      </c>
      <c r="G12419" s="34" t="n">
        <f aca="false">SUMIFS('12.326ana'!$C:$C,'12.326ana'!$M:$M,redes!A12419)</f>
        <v>0</v>
      </c>
    </row>
    <row r="12420" customFormat="false" ht="14.4" hidden="true" customHeight="false" outlineLevel="0" collapsed="false">
      <c r="A12420" s="34" t="n">
        <v>12417592000201</v>
      </c>
      <c r="B12420" s="34" t="s">
        <v>23939</v>
      </c>
      <c r="C12420" s="34" t="s">
        <v>77</v>
      </c>
      <c r="E12420" s="30" t="s">
        <v>23940</v>
      </c>
      <c r="F12420" s="34" t="n">
        <f aca="false">IFERROR(VLOOKUP($A12420,'319'!$B:$H,7,0),0)</f>
        <v>0</v>
      </c>
      <c r="G12420" s="34" t="n">
        <f aca="false">SUMIFS('12.326ana'!$C:$C,'12.326ana'!$M:$M,redes!A12420)</f>
        <v>0</v>
      </c>
    </row>
    <row r="12421" customFormat="false" ht="14.4" hidden="true" customHeight="false" outlineLevel="0" collapsed="false">
      <c r="A12421" s="34" t="n">
        <v>12417742000104</v>
      </c>
      <c r="B12421" s="34" t="s">
        <v>23941</v>
      </c>
      <c r="C12421" s="34" t="s">
        <v>77</v>
      </c>
      <c r="E12421" s="30" t="s">
        <v>3781</v>
      </c>
      <c r="F12421" s="34" t="n">
        <f aca="false">IFERROR(VLOOKUP($A12421,'319'!$B:$H,7,0),0)</f>
        <v>0</v>
      </c>
      <c r="G12421" s="34" t="n">
        <f aca="false">SUMIFS('12.326ana'!$C:$C,'12.326ana'!$M:$M,redes!A12421)</f>
        <v>0</v>
      </c>
    </row>
    <row r="12422" customFormat="false" ht="14.4" hidden="true" customHeight="false" outlineLevel="0" collapsed="false">
      <c r="A12422" s="34" t="n">
        <v>12418157000110</v>
      </c>
      <c r="B12422" s="34" t="s">
        <v>23942</v>
      </c>
      <c r="C12422" s="34" t="s">
        <v>594</v>
      </c>
      <c r="E12422" s="30" t="s">
        <v>23942</v>
      </c>
      <c r="F12422" s="34" t="n">
        <f aca="false">IFERROR(VLOOKUP($A12422,'319'!$B:$H,7,0),0)</f>
        <v>0</v>
      </c>
      <c r="G12422" s="34" t="n">
        <f aca="false">SUMIFS('12.326ana'!$C:$C,'12.326ana'!$M:$M,redes!A12422)</f>
        <v>0</v>
      </c>
    </row>
    <row r="12423" customFormat="false" ht="14.4" hidden="true" customHeight="false" outlineLevel="0" collapsed="false">
      <c r="A12423" s="34" t="n">
        <v>12418621000179</v>
      </c>
      <c r="B12423" s="34" t="s">
        <v>23943</v>
      </c>
      <c r="C12423" s="34" t="s">
        <v>77</v>
      </c>
      <c r="E12423" s="30" t="s">
        <v>23944</v>
      </c>
      <c r="F12423" s="34" t="n">
        <f aca="false">IFERROR(VLOOKUP($A12423,'319'!$B:$H,7,0),0)</f>
        <v>0</v>
      </c>
      <c r="G12423" s="34" t="n">
        <f aca="false">SUMIFS('12.326ana'!$C:$C,'12.326ana'!$M:$M,redes!A12423)</f>
        <v>0</v>
      </c>
    </row>
    <row r="12424" customFormat="false" ht="14.4" hidden="true" customHeight="false" outlineLevel="0" collapsed="false">
      <c r="A12424" s="34" t="n">
        <v>12420053000140</v>
      </c>
      <c r="B12424" s="34" t="s">
        <v>23945</v>
      </c>
      <c r="C12424" s="34" t="s">
        <v>565</v>
      </c>
      <c r="E12424" s="30" t="s">
        <v>8868</v>
      </c>
      <c r="F12424" s="34" t="n">
        <f aca="false">IFERROR(VLOOKUP($A12424,'319'!$B:$H,7,0),0)</f>
        <v>0</v>
      </c>
      <c r="G12424" s="34" t="n">
        <f aca="false">SUMIFS('12.326ana'!$C:$C,'12.326ana'!$M:$M,redes!A12424)</f>
        <v>0</v>
      </c>
    </row>
    <row r="12425" customFormat="false" ht="14.4" hidden="true" customHeight="false" outlineLevel="0" collapsed="false">
      <c r="A12425" s="34" t="n">
        <v>12422707000175</v>
      </c>
      <c r="B12425" s="34" t="s">
        <v>23946</v>
      </c>
      <c r="C12425" s="34" t="s">
        <v>77</v>
      </c>
      <c r="E12425" s="30" t="s">
        <v>23947</v>
      </c>
      <c r="F12425" s="34" t="n">
        <f aca="false">IFERROR(VLOOKUP($A12425,'319'!$B:$H,7,0),0)</f>
        <v>0</v>
      </c>
      <c r="G12425" s="34" t="n">
        <f aca="false">SUMIFS('12.326ana'!$C:$C,'12.326ana'!$M:$M,redes!A12425)</f>
        <v>0</v>
      </c>
    </row>
    <row r="12426" customFormat="false" ht="14.4" hidden="true" customHeight="false" outlineLevel="0" collapsed="false">
      <c r="A12426" s="34" t="n">
        <v>12427955000109</v>
      </c>
      <c r="B12426" s="34" t="s">
        <v>23948</v>
      </c>
      <c r="C12426" s="34" t="s">
        <v>117</v>
      </c>
      <c r="E12426" s="30" t="s">
        <v>23948</v>
      </c>
      <c r="F12426" s="34" t="n">
        <f aca="false">IFERROR(VLOOKUP($A12426,'319'!$B:$H,7,0),0)</f>
        <v>0</v>
      </c>
      <c r="G12426" s="34" t="n">
        <f aca="false">SUMIFS('12.326ana'!$C:$C,'12.326ana'!$M:$M,redes!A12426)</f>
        <v>0</v>
      </c>
    </row>
    <row r="12427" customFormat="false" ht="14.4" hidden="true" customHeight="false" outlineLevel="0" collapsed="false">
      <c r="A12427" s="34" t="n">
        <v>12428548000116</v>
      </c>
      <c r="B12427" s="34" t="s">
        <v>23949</v>
      </c>
      <c r="C12427" s="34" t="s">
        <v>631</v>
      </c>
      <c r="E12427" s="30" t="s">
        <v>14236</v>
      </c>
      <c r="F12427" s="34" t="n">
        <f aca="false">IFERROR(VLOOKUP($A12427,'319'!$B:$H,7,0),0)</f>
        <v>0</v>
      </c>
      <c r="G12427" s="34" t="n">
        <f aca="false">SUMIFS('12.326ana'!$C:$C,'12.326ana'!$M:$M,redes!A12427)</f>
        <v>0</v>
      </c>
    </row>
    <row r="12428" customFormat="false" ht="14.4" hidden="true" customHeight="false" outlineLevel="0" collapsed="false">
      <c r="A12428" s="34" t="n">
        <v>12429712000100</v>
      </c>
      <c r="B12428" s="34" t="s">
        <v>23950</v>
      </c>
      <c r="C12428" s="34" t="s">
        <v>604</v>
      </c>
      <c r="E12428" s="30" t="s">
        <v>23951</v>
      </c>
      <c r="F12428" s="34" t="n">
        <f aca="false">IFERROR(VLOOKUP($A12428,'319'!$B:$H,7,0),0)</f>
        <v>0</v>
      </c>
      <c r="G12428" s="34" t="n">
        <f aca="false">SUMIFS('12.326ana'!$C:$C,'12.326ana'!$M:$M,redes!A12428)</f>
        <v>0</v>
      </c>
    </row>
    <row r="12429" customFormat="false" ht="14.4" hidden="true" customHeight="false" outlineLevel="0" collapsed="false">
      <c r="A12429" s="34" t="n">
        <v>12430565000198</v>
      </c>
      <c r="B12429" s="34" t="s">
        <v>23952</v>
      </c>
      <c r="C12429" s="34" t="s">
        <v>77</v>
      </c>
      <c r="E12429" s="30" t="s">
        <v>17813</v>
      </c>
      <c r="F12429" s="34" t="n">
        <f aca="false">IFERROR(VLOOKUP($A12429,'319'!$B:$H,7,0),0)</f>
        <v>0</v>
      </c>
      <c r="G12429" s="34" t="n">
        <f aca="false">SUMIFS('12.326ana'!$C:$C,'12.326ana'!$M:$M,redes!A12429)</f>
        <v>0</v>
      </c>
    </row>
    <row r="12430" customFormat="false" ht="14.4" hidden="true" customHeight="false" outlineLevel="0" collapsed="false">
      <c r="A12430" s="34" t="n">
        <v>12431038000106</v>
      </c>
      <c r="B12430" s="34" t="s">
        <v>23953</v>
      </c>
      <c r="C12430" s="34" t="s">
        <v>77</v>
      </c>
      <c r="E12430" s="30" t="s">
        <v>23954</v>
      </c>
      <c r="F12430" s="34" t="n">
        <f aca="false">IFERROR(VLOOKUP($A12430,'319'!$B:$H,7,0),0)</f>
        <v>0</v>
      </c>
      <c r="G12430" s="34" t="n">
        <f aca="false">SUMIFS('12.326ana'!$C:$C,'12.326ana'!$M:$M,redes!A12430)</f>
        <v>0</v>
      </c>
    </row>
    <row r="12431" customFormat="false" ht="14.4" hidden="true" customHeight="false" outlineLevel="0" collapsed="false">
      <c r="A12431" s="34" t="n">
        <v>12454544000102</v>
      </c>
      <c r="B12431" s="34" t="s">
        <v>1128</v>
      </c>
      <c r="C12431" s="34" t="s">
        <v>139</v>
      </c>
      <c r="E12431" s="30" t="s">
        <v>23955</v>
      </c>
      <c r="F12431" s="34" t="n">
        <f aca="false">IFERROR(VLOOKUP($A12431,'319'!$B:$H,7,0),0)</f>
        <v>534.21</v>
      </c>
      <c r="G12431" s="34" t="n">
        <f aca="false">SUMIFS('12.326ana'!$C:$C,'12.326ana'!$M:$M,redes!A12431)</f>
        <v>0</v>
      </c>
    </row>
    <row r="12432" customFormat="false" ht="14.4" hidden="true" customHeight="false" outlineLevel="0" collapsed="false">
      <c r="A12432" s="34" t="n">
        <v>12455417000128</v>
      </c>
      <c r="B12432" s="34" t="s">
        <v>23956</v>
      </c>
      <c r="C12432" s="34" t="s">
        <v>77</v>
      </c>
      <c r="E12432" s="30" t="s">
        <v>5266</v>
      </c>
      <c r="F12432" s="34" t="n">
        <f aca="false">IFERROR(VLOOKUP($A12432,'319'!$B:$H,7,0),0)</f>
        <v>0</v>
      </c>
      <c r="G12432" s="34" t="n">
        <f aca="false">SUMIFS('12.326ana'!$C:$C,'12.326ana'!$M:$M,redes!A12432)</f>
        <v>0</v>
      </c>
    </row>
    <row r="12433" customFormat="false" ht="14.4" hidden="true" customHeight="false" outlineLevel="0" collapsed="false">
      <c r="A12433" s="34" t="n">
        <v>12457520000107</v>
      </c>
      <c r="B12433" s="34" t="s">
        <v>23957</v>
      </c>
      <c r="C12433" s="34" t="s">
        <v>139</v>
      </c>
      <c r="E12433" s="30" t="s">
        <v>23958</v>
      </c>
      <c r="F12433" s="34" t="n">
        <f aca="false">IFERROR(VLOOKUP($A12433,'319'!$B:$H,7,0),0)</f>
        <v>551.62</v>
      </c>
      <c r="G12433" s="34" t="n">
        <f aca="false">SUMIFS('12.326ana'!$C:$C,'12.326ana'!$M:$M,redes!A12433)</f>
        <v>0</v>
      </c>
    </row>
    <row r="12434" customFormat="false" ht="14.4" hidden="true" customHeight="false" outlineLevel="0" collapsed="false">
      <c r="A12434" s="34" t="n">
        <v>12463302000185</v>
      </c>
      <c r="B12434" s="34" t="s">
        <v>23959</v>
      </c>
      <c r="C12434" s="34" t="s">
        <v>77</v>
      </c>
      <c r="E12434" s="30" t="s">
        <v>23960</v>
      </c>
      <c r="F12434" s="34" t="n">
        <f aca="false">IFERROR(VLOOKUP($A12434,'319'!$B:$H,7,0),0)</f>
        <v>0</v>
      </c>
      <c r="G12434" s="34" t="n">
        <f aca="false">SUMIFS('12.326ana'!$C:$C,'12.326ana'!$M:$M,redes!A12434)</f>
        <v>0</v>
      </c>
    </row>
    <row r="12435" customFormat="false" ht="14.4" hidden="true" customHeight="false" outlineLevel="0" collapsed="false">
      <c r="A12435" s="34" t="n">
        <v>12467712000102</v>
      </c>
      <c r="B12435" s="34" t="s">
        <v>23961</v>
      </c>
      <c r="C12435" s="34" t="s">
        <v>127</v>
      </c>
      <c r="E12435" s="30" t="s">
        <v>23962</v>
      </c>
      <c r="F12435" s="34" t="n">
        <f aca="false">IFERROR(VLOOKUP($A12435,'319'!$B:$H,7,0),0)</f>
        <v>0</v>
      </c>
      <c r="G12435" s="34" t="n">
        <f aca="false">SUMIFS('12.326ana'!$C:$C,'12.326ana'!$M:$M,redes!A12435)</f>
        <v>0</v>
      </c>
    </row>
    <row r="12436" customFormat="false" ht="14.4" hidden="true" customHeight="false" outlineLevel="0" collapsed="false">
      <c r="A12436" s="34" t="n">
        <v>12467770000128</v>
      </c>
      <c r="B12436" s="34" t="s">
        <v>23963</v>
      </c>
      <c r="C12436" s="34" t="s">
        <v>117</v>
      </c>
      <c r="E12436" s="30" t="s">
        <v>23964</v>
      </c>
      <c r="F12436" s="34" t="n">
        <f aca="false">IFERROR(VLOOKUP($A12436,'319'!$B:$H,7,0),0)</f>
        <v>0</v>
      </c>
      <c r="G12436" s="34" t="n">
        <f aca="false">SUMIFS('12.326ana'!$C:$C,'12.326ana'!$M:$M,redes!A12436)</f>
        <v>0</v>
      </c>
    </row>
    <row r="12437" customFormat="false" ht="14.4" hidden="true" customHeight="false" outlineLevel="0" collapsed="false">
      <c r="A12437" s="34" t="n">
        <v>12469654000148</v>
      </c>
      <c r="B12437" s="34" t="s">
        <v>23965</v>
      </c>
      <c r="C12437" s="34" t="s">
        <v>107</v>
      </c>
      <c r="E12437" s="30" t="s">
        <v>3941</v>
      </c>
      <c r="F12437" s="34" t="n">
        <f aca="false">IFERROR(VLOOKUP($A12437,'319'!$B:$H,7,0),0)</f>
        <v>0</v>
      </c>
      <c r="G12437" s="34" t="n">
        <f aca="false">SUMIFS('12.326ana'!$C:$C,'12.326ana'!$M:$M,redes!A12437)</f>
        <v>0</v>
      </c>
    </row>
    <row r="12438" customFormat="false" ht="14.4" hidden="true" customHeight="false" outlineLevel="0" collapsed="false">
      <c r="A12438" s="34" t="n">
        <v>12469814000159</v>
      </c>
      <c r="B12438" s="34" t="s">
        <v>23966</v>
      </c>
      <c r="C12438" s="34" t="s">
        <v>139</v>
      </c>
      <c r="E12438" s="30" t="s">
        <v>23967</v>
      </c>
      <c r="F12438" s="34" t="n">
        <f aca="false">IFERROR(VLOOKUP($A12438,'319'!$B:$H,7,0),0)</f>
        <v>0</v>
      </c>
      <c r="G12438" s="34" t="n">
        <f aca="false">SUMIFS('12.326ana'!$C:$C,'12.326ana'!$M:$M,redes!A12438)</f>
        <v>0</v>
      </c>
    </row>
    <row r="12439" customFormat="false" ht="14.4" hidden="true" customHeight="false" outlineLevel="0" collapsed="false">
      <c r="A12439" s="34" t="n">
        <v>12469820000106</v>
      </c>
      <c r="B12439" s="34" t="s">
        <v>23968</v>
      </c>
      <c r="C12439" s="34" t="s">
        <v>77</v>
      </c>
      <c r="E12439" s="30" t="s">
        <v>4504</v>
      </c>
      <c r="F12439" s="34" t="n">
        <f aca="false">IFERROR(VLOOKUP($A12439,'319'!$B:$H,7,0),0)</f>
        <v>0</v>
      </c>
      <c r="G12439" s="34" t="n">
        <f aca="false">SUMIFS('12.326ana'!$C:$C,'12.326ana'!$M:$M,redes!A12439)</f>
        <v>0</v>
      </c>
    </row>
    <row r="12440" customFormat="false" ht="14.4" hidden="true" customHeight="false" outlineLevel="0" collapsed="false">
      <c r="A12440" s="34" t="n">
        <v>12474366000181</v>
      </c>
      <c r="B12440" s="34" t="s">
        <v>23969</v>
      </c>
      <c r="C12440" s="34" t="s">
        <v>139</v>
      </c>
      <c r="E12440" s="30" t="s">
        <v>23970</v>
      </c>
      <c r="F12440" s="34" t="n">
        <f aca="false">IFERROR(VLOOKUP($A12440,'319'!$B:$H,7,0),0)</f>
        <v>0</v>
      </c>
      <c r="G12440" s="34" t="n">
        <f aca="false">SUMIFS('12.326ana'!$C:$C,'12.326ana'!$M:$M,redes!A12440)</f>
        <v>0</v>
      </c>
    </row>
    <row r="12441" customFormat="false" ht="14.4" hidden="true" customHeight="false" outlineLevel="0" collapsed="false">
      <c r="A12441" s="34" t="n">
        <v>12476101000112</v>
      </c>
      <c r="B12441" s="34" t="s">
        <v>23971</v>
      </c>
      <c r="C12441" s="34" t="s">
        <v>77</v>
      </c>
      <c r="E12441" s="30" t="s">
        <v>23972</v>
      </c>
      <c r="F12441" s="34" t="n">
        <f aca="false">IFERROR(VLOOKUP($A12441,'319'!$B:$H,7,0),0)</f>
        <v>0</v>
      </c>
      <c r="G12441" s="34" t="n">
        <f aca="false">SUMIFS('12.326ana'!$C:$C,'12.326ana'!$M:$M,redes!A12441)</f>
        <v>0</v>
      </c>
    </row>
    <row r="12442" customFormat="false" ht="14.4" hidden="true" customHeight="false" outlineLevel="0" collapsed="false">
      <c r="A12442" s="34" t="n">
        <v>12476120000149</v>
      </c>
      <c r="B12442" s="34" t="s">
        <v>23973</v>
      </c>
      <c r="C12442" s="34" t="s">
        <v>77</v>
      </c>
      <c r="E12442" s="30" t="s">
        <v>18289</v>
      </c>
      <c r="F12442" s="34" t="n">
        <f aca="false">IFERROR(VLOOKUP($A12442,'319'!$B:$H,7,0),0)</f>
        <v>0</v>
      </c>
      <c r="G12442" s="34" t="n">
        <f aca="false">SUMIFS('12.326ana'!$C:$C,'12.326ana'!$M:$M,redes!A12442)</f>
        <v>0</v>
      </c>
    </row>
    <row r="12443" customFormat="false" ht="14.4" hidden="true" customHeight="false" outlineLevel="0" collapsed="false">
      <c r="A12443" s="34" t="n">
        <v>12476127000160</v>
      </c>
      <c r="B12443" s="34" t="s">
        <v>841</v>
      </c>
      <c r="C12443" s="34" t="s">
        <v>842</v>
      </c>
      <c r="E12443" s="30" t="s">
        <v>20032</v>
      </c>
      <c r="F12443" s="34" t="n">
        <f aca="false">IFERROR(VLOOKUP($A12443,'319'!$B:$H,7,0),0)</f>
        <v>2082.61</v>
      </c>
      <c r="G12443" s="34" t="n">
        <f aca="false">SUMIFS('12.326ana'!$C:$C,'12.326ana'!$M:$M,redes!A12443)</f>
        <v>0</v>
      </c>
    </row>
    <row r="12444" customFormat="false" ht="14.4" hidden="true" customHeight="false" outlineLevel="0" collapsed="false">
      <c r="A12444" s="34" t="n">
        <v>12476423000161</v>
      </c>
      <c r="B12444" s="34" t="s">
        <v>23974</v>
      </c>
      <c r="C12444" s="34" t="s">
        <v>107</v>
      </c>
      <c r="E12444" s="30" t="s">
        <v>23975</v>
      </c>
      <c r="F12444" s="34" t="n">
        <f aca="false">IFERROR(VLOOKUP($A12444,'319'!$B:$H,7,0),0)</f>
        <v>0</v>
      </c>
      <c r="G12444" s="34" t="n">
        <f aca="false">SUMIFS('12.326ana'!$C:$C,'12.326ana'!$M:$M,redes!A12444)</f>
        <v>0</v>
      </c>
    </row>
    <row r="12445" customFormat="false" ht="14.4" hidden="true" customHeight="false" outlineLevel="0" collapsed="false">
      <c r="A12445" s="34" t="n">
        <v>12477504000186</v>
      </c>
      <c r="B12445" s="34" t="s">
        <v>23976</v>
      </c>
      <c r="C12445" s="34" t="s">
        <v>77</v>
      </c>
      <c r="E12445" s="30" t="s">
        <v>7886</v>
      </c>
      <c r="F12445" s="34" t="n">
        <f aca="false">IFERROR(VLOOKUP($A12445,'319'!$B:$H,7,0),0)</f>
        <v>0</v>
      </c>
      <c r="G12445" s="34" t="n">
        <f aca="false">SUMIFS('12.326ana'!$C:$C,'12.326ana'!$M:$M,redes!A12445)</f>
        <v>0</v>
      </c>
    </row>
    <row r="12446" customFormat="false" ht="14.4" hidden="true" customHeight="false" outlineLevel="0" collapsed="false">
      <c r="A12446" s="34" t="n">
        <v>12481125000160</v>
      </c>
      <c r="B12446" s="34" t="s">
        <v>23977</v>
      </c>
      <c r="C12446" s="34" t="s">
        <v>139</v>
      </c>
      <c r="E12446" s="30" t="s">
        <v>23978</v>
      </c>
      <c r="F12446" s="34" t="n">
        <f aca="false">IFERROR(VLOOKUP($A12446,'319'!$B:$H,7,0),0)</f>
        <v>0</v>
      </c>
      <c r="G12446" s="34" t="n">
        <f aca="false">SUMIFS('12.326ana'!$C:$C,'12.326ana'!$M:$M,redes!A12446)</f>
        <v>0</v>
      </c>
    </row>
    <row r="12447" customFormat="false" ht="14.4" hidden="true" customHeight="false" outlineLevel="0" collapsed="false">
      <c r="A12447" s="34" t="n">
        <v>12483677000107</v>
      </c>
      <c r="B12447" s="34" t="s">
        <v>23979</v>
      </c>
      <c r="C12447" s="34" t="s">
        <v>342</v>
      </c>
      <c r="E12447" s="30" t="s">
        <v>23980</v>
      </c>
      <c r="F12447" s="34" t="n">
        <f aca="false">IFERROR(VLOOKUP($A12447,'319'!$B:$H,7,0),0)</f>
        <v>0</v>
      </c>
      <c r="G12447" s="34" t="n">
        <f aca="false">SUMIFS('12.326ana'!$C:$C,'12.326ana'!$M:$M,redes!A12447)</f>
        <v>0</v>
      </c>
    </row>
    <row r="12448" customFormat="false" ht="14.4" hidden="true" customHeight="false" outlineLevel="0" collapsed="false">
      <c r="A12448" s="34" t="n">
        <v>12485767000137</v>
      </c>
      <c r="B12448" s="34" t="s">
        <v>23981</v>
      </c>
      <c r="C12448" s="34" t="s">
        <v>463</v>
      </c>
      <c r="E12448" s="30" t="s">
        <v>23982</v>
      </c>
      <c r="F12448" s="34" t="n">
        <f aca="false">IFERROR(VLOOKUP($A12448,'319'!$B:$H,7,0),0)</f>
        <v>0</v>
      </c>
      <c r="G12448" s="34" t="n">
        <f aca="false">SUMIFS('12.326ana'!$C:$C,'12.326ana'!$M:$M,redes!A12448)</f>
        <v>0</v>
      </c>
    </row>
    <row r="12449" customFormat="false" ht="14.4" hidden="true" customHeight="false" outlineLevel="0" collapsed="false">
      <c r="A12449" s="34" t="n">
        <v>12493392000157</v>
      </c>
      <c r="B12449" s="34" t="s">
        <v>23983</v>
      </c>
      <c r="C12449" s="34" t="s">
        <v>744</v>
      </c>
      <c r="E12449" s="30" t="s">
        <v>23984</v>
      </c>
      <c r="F12449" s="34" t="n">
        <f aca="false">IFERROR(VLOOKUP($A12449,'319'!$B:$H,7,0),0)</f>
        <v>0</v>
      </c>
      <c r="G12449" s="34" t="n">
        <f aca="false">SUMIFS('12.326ana'!$C:$C,'12.326ana'!$M:$M,redes!A12449)</f>
        <v>0</v>
      </c>
    </row>
    <row r="12450" customFormat="false" ht="14.4" hidden="true" customHeight="false" outlineLevel="0" collapsed="false">
      <c r="A12450" s="34" t="n">
        <v>12497910000100</v>
      </c>
      <c r="B12450" s="34" t="s">
        <v>23985</v>
      </c>
      <c r="C12450" s="34" t="s">
        <v>77</v>
      </c>
      <c r="E12450" s="30" t="s">
        <v>23986</v>
      </c>
      <c r="F12450" s="34" t="n">
        <f aca="false">IFERROR(VLOOKUP($A12450,'319'!$B:$H,7,0),0)</f>
        <v>0</v>
      </c>
      <c r="G12450" s="34" t="n">
        <f aca="false">SUMIFS('12.326ana'!$C:$C,'12.326ana'!$M:$M,redes!A12450)</f>
        <v>0</v>
      </c>
    </row>
    <row r="12451" customFormat="false" ht="14.4" hidden="true" customHeight="false" outlineLevel="0" collapsed="false">
      <c r="A12451" s="34" t="n">
        <v>12500224000141</v>
      </c>
      <c r="B12451" s="34" t="s">
        <v>6354</v>
      </c>
      <c r="C12451" s="34" t="s">
        <v>77</v>
      </c>
      <c r="E12451" s="30" t="s">
        <v>5852</v>
      </c>
      <c r="F12451" s="34" t="n">
        <f aca="false">IFERROR(VLOOKUP($A12451,'319'!$B:$H,7,0),0)</f>
        <v>0</v>
      </c>
      <c r="G12451" s="34" t="n">
        <f aca="false">SUMIFS('12.326ana'!$C:$C,'12.326ana'!$M:$M,redes!A12451)</f>
        <v>0</v>
      </c>
    </row>
    <row r="12452" customFormat="false" ht="14.4" hidden="true" customHeight="false" outlineLevel="0" collapsed="false">
      <c r="A12452" s="34" t="n">
        <v>12503466000199</v>
      </c>
      <c r="B12452" s="34" t="s">
        <v>23987</v>
      </c>
      <c r="C12452" s="34" t="s">
        <v>77</v>
      </c>
      <c r="E12452" s="30" t="s">
        <v>23988</v>
      </c>
      <c r="F12452" s="34" t="n">
        <f aca="false">IFERROR(VLOOKUP($A12452,'319'!$B:$H,7,0),0)</f>
        <v>0</v>
      </c>
      <c r="G12452" s="34" t="n">
        <f aca="false">SUMIFS('12.326ana'!$C:$C,'12.326ana'!$M:$M,redes!A12452)</f>
        <v>0</v>
      </c>
    </row>
    <row r="12453" customFormat="false" ht="14.4" hidden="true" customHeight="false" outlineLevel="0" collapsed="false">
      <c r="A12453" s="34" t="n">
        <v>12504305000110</v>
      </c>
      <c r="B12453" s="34" t="s">
        <v>23989</v>
      </c>
      <c r="C12453" s="34" t="s">
        <v>1272</v>
      </c>
      <c r="E12453" s="30" t="s">
        <v>6196</v>
      </c>
      <c r="F12453" s="34" t="n">
        <f aca="false">IFERROR(VLOOKUP($A12453,'319'!$B:$H,7,0),0)</f>
        <v>0</v>
      </c>
      <c r="G12453" s="34" t="n">
        <f aca="false">SUMIFS('12.326ana'!$C:$C,'12.326ana'!$M:$M,redes!A12453)</f>
        <v>0</v>
      </c>
    </row>
    <row r="12454" customFormat="false" ht="14.4" hidden="true" customHeight="false" outlineLevel="0" collapsed="false">
      <c r="A12454" s="34" t="n">
        <v>12506744000161</v>
      </c>
      <c r="B12454" s="34" t="s">
        <v>23990</v>
      </c>
      <c r="C12454" s="34" t="s">
        <v>77</v>
      </c>
      <c r="E12454" s="30" t="s">
        <v>5725</v>
      </c>
      <c r="F12454" s="34" t="n">
        <f aca="false">IFERROR(VLOOKUP($A12454,'319'!$B:$H,7,0),0)</f>
        <v>0</v>
      </c>
      <c r="G12454" s="34" t="n">
        <f aca="false">SUMIFS('12.326ana'!$C:$C,'12.326ana'!$M:$M,redes!A12454)</f>
        <v>0</v>
      </c>
    </row>
    <row r="12455" customFormat="false" ht="14.4" hidden="true" customHeight="false" outlineLevel="0" collapsed="false">
      <c r="A12455" s="34" t="n">
        <v>12507622000190</v>
      </c>
      <c r="B12455" s="34" t="s">
        <v>23991</v>
      </c>
      <c r="C12455" s="34" t="s">
        <v>77</v>
      </c>
      <c r="E12455" s="30" t="s">
        <v>23992</v>
      </c>
      <c r="F12455" s="34" t="n">
        <f aca="false">IFERROR(VLOOKUP($A12455,'319'!$B:$H,7,0),0)</f>
        <v>0</v>
      </c>
      <c r="G12455" s="34" t="n">
        <f aca="false">SUMIFS('12.326ana'!$C:$C,'12.326ana'!$M:$M,redes!A12455)</f>
        <v>0</v>
      </c>
    </row>
    <row r="12456" customFormat="false" ht="14.4" hidden="true" customHeight="false" outlineLevel="0" collapsed="false">
      <c r="A12456" s="34" t="n">
        <v>12509749000148</v>
      </c>
      <c r="B12456" s="34" t="s">
        <v>23993</v>
      </c>
      <c r="C12456" s="34" t="s">
        <v>77</v>
      </c>
      <c r="E12456" s="30" t="s">
        <v>23993</v>
      </c>
      <c r="F12456" s="34" t="n">
        <f aca="false">IFERROR(VLOOKUP($A12456,'319'!$B:$H,7,0),0)</f>
        <v>0</v>
      </c>
      <c r="G12456" s="34" t="n">
        <f aca="false">SUMIFS('12.326ana'!$C:$C,'12.326ana'!$M:$M,redes!A12456)</f>
        <v>0</v>
      </c>
    </row>
    <row r="12457" customFormat="false" ht="14.4" hidden="true" customHeight="false" outlineLevel="0" collapsed="false">
      <c r="A12457" s="34" t="n">
        <v>12509749000229</v>
      </c>
      <c r="B12457" s="34" t="s">
        <v>23994</v>
      </c>
      <c r="C12457" s="34" t="s">
        <v>77</v>
      </c>
      <c r="E12457" s="30" t="s">
        <v>23994</v>
      </c>
      <c r="F12457" s="34" t="n">
        <f aca="false">IFERROR(VLOOKUP($A12457,'319'!$B:$H,7,0),0)</f>
        <v>0</v>
      </c>
      <c r="G12457" s="34" t="n">
        <f aca="false">SUMIFS('12.326ana'!$C:$C,'12.326ana'!$M:$M,redes!A12457)</f>
        <v>0</v>
      </c>
    </row>
    <row r="12458" customFormat="false" ht="14.4" hidden="true" customHeight="false" outlineLevel="0" collapsed="false">
      <c r="A12458" s="34" t="n">
        <v>12509749000300</v>
      </c>
      <c r="B12458" s="34" t="s">
        <v>23994</v>
      </c>
      <c r="C12458" s="34" t="s">
        <v>77</v>
      </c>
      <c r="E12458" s="30" t="s">
        <v>21230</v>
      </c>
      <c r="F12458" s="34" t="n">
        <f aca="false">IFERROR(VLOOKUP($A12458,'319'!$B:$H,7,0),0)</f>
        <v>0</v>
      </c>
      <c r="G12458" s="34" t="n">
        <f aca="false">SUMIFS('12.326ana'!$C:$C,'12.326ana'!$M:$M,redes!A12458)</f>
        <v>0</v>
      </c>
    </row>
    <row r="12459" customFormat="false" ht="14.4" hidden="true" customHeight="false" outlineLevel="0" collapsed="false">
      <c r="A12459" s="34" t="n">
        <v>12509749000490</v>
      </c>
      <c r="B12459" s="34" t="s">
        <v>23994</v>
      </c>
      <c r="C12459" s="34" t="s">
        <v>77</v>
      </c>
      <c r="E12459" s="30" t="s">
        <v>23995</v>
      </c>
      <c r="F12459" s="34" t="n">
        <f aca="false">IFERROR(VLOOKUP($A12459,'319'!$B:$H,7,0),0)</f>
        <v>0</v>
      </c>
      <c r="G12459" s="34" t="n">
        <f aca="false">SUMIFS('12.326ana'!$C:$C,'12.326ana'!$M:$M,redes!A12459)</f>
        <v>0</v>
      </c>
    </row>
    <row r="12460" customFormat="false" ht="14.4" hidden="true" customHeight="false" outlineLevel="0" collapsed="false">
      <c r="A12460" s="34" t="n">
        <v>12509749000571</v>
      </c>
      <c r="B12460" s="34" t="s">
        <v>23994</v>
      </c>
      <c r="C12460" s="34" t="s">
        <v>77</v>
      </c>
      <c r="E12460" s="30" t="s">
        <v>23994</v>
      </c>
      <c r="F12460" s="34" t="n">
        <f aca="false">IFERROR(VLOOKUP($A12460,'319'!$B:$H,7,0),0)</f>
        <v>0</v>
      </c>
      <c r="G12460" s="34" t="n">
        <f aca="false">SUMIFS('12.326ana'!$C:$C,'12.326ana'!$M:$M,redes!A12460)</f>
        <v>0</v>
      </c>
    </row>
    <row r="12461" customFormat="false" ht="14.4" hidden="true" customHeight="false" outlineLevel="0" collapsed="false">
      <c r="A12461" s="34" t="n">
        <v>12509749000652</v>
      </c>
      <c r="B12461" s="34" t="s">
        <v>23994</v>
      </c>
      <c r="C12461" s="34" t="s">
        <v>77</v>
      </c>
      <c r="E12461" s="30" t="s">
        <v>21230</v>
      </c>
      <c r="F12461" s="34" t="n">
        <f aca="false">IFERROR(VLOOKUP($A12461,'319'!$B:$H,7,0),0)</f>
        <v>0</v>
      </c>
      <c r="G12461" s="34" t="n">
        <f aca="false">SUMIFS('12.326ana'!$C:$C,'12.326ana'!$M:$M,redes!A12461)</f>
        <v>0</v>
      </c>
    </row>
    <row r="12462" customFormat="false" ht="14.4" hidden="true" customHeight="false" outlineLevel="0" collapsed="false">
      <c r="A12462" s="34" t="n">
        <v>12509749000733</v>
      </c>
      <c r="B12462" s="34" t="s">
        <v>23994</v>
      </c>
      <c r="C12462" s="34" t="s">
        <v>77</v>
      </c>
      <c r="E12462" s="30" t="s">
        <v>21230</v>
      </c>
      <c r="F12462" s="34" t="n">
        <f aca="false">IFERROR(VLOOKUP($A12462,'319'!$B:$H,7,0),0)</f>
        <v>0</v>
      </c>
      <c r="G12462" s="34" t="n">
        <f aca="false">SUMIFS('12.326ana'!$C:$C,'12.326ana'!$M:$M,redes!A12462)</f>
        <v>0</v>
      </c>
    </row>
    <row r="12463" customFormat="false" ht="14.4" hidden="true" customHeight="false" outlineLevel="0" collapsed="false">
      <c r="A12463" s="34" t="n">
        <v>12513903000155</v>
      </c>
      <c r="B12463" s="34" t="s">
        <v>23996</v>
      </c>
      <c r="C12463" s="34" t="s">
        <v>2998</v>
      </c>
      <c r="E12463" s="30" t="s">
        <v>23997</v>
      </c>
      <c r="F12463" s="34" t="n">
        <f aca="false">IFERROR(VLOOKUP($A12463,'319'!$B:$H,7,0),0)</f>
        <v>0</v>
      </c>
      <c r="G12463" s="34" t="n">
        <f aca="false">SUMIFS('12.326ana'!$C:$C,'12.326ana'!$M:$M,redes!A12463)</f>
        <v>0</v>
      </c>
    </row>
    <row r="12464" customFormat="false" ht="14.4" hidden="true" customHeight="false" outlineLevel="0" collapsed="false">
      <c r="A12464" s="34" t="n">
        <v>12515832000120</v>
      </c>
      <c r="B12464" s="34" t="s">
        <v>23998</v>
      </c>
      <c r="C12464" s="34" t="s">
        <v>77</v>
      </c>
      <c r="D12464" s="34" t="s">
        <v>12694</v>
      </c>
      <c r="E12464" s="30" t="s">
        <v>12692</v>
      </c>
      <c r="F12464" s="34" t="n">
        <f aca="false">IFERROR(VLOOKUP($A12464,'319'!$B:$H,7,0),0)</f>
        <v>0</v>
      </c>
      <c r="G12464" s="34" t="n">
        <f aca="false">SUMIFS('12.326ana'!$C:$C,'12.326ana'!$M:$M,redes!A12464)</f>
        <v>0</v>
      </c>
    </row>
    <row r="12465" customFormat="false" ht="14.4" hidden="true" customHeight="false" outlineLevel="0" collapsed="false">
      <c r="A12465" s="34" t="n">
        <v>12515832000200</v>
      </c>
      <c r="B12465" s="34" t="s">
        <v>23999</v>
      </c>
      <c r="C12465" s="34" t="s">
        <v>77</v>
      </c>
      <c r="E12465" s="30" t="s">
        <v>12695</v>
      </c>
      <c r="F12465" s="34" t="n">
        <f aca="false">IFERROR(VLOOKUP($A12465,'319'!$B:$H,7,0),0)</f>
        <v>0</v>
      </c>
      <c r="G12465" s="34" t="n">
        <f aca="false">SUMIFS('12.326ana'!$C:$C,'12.326ana'!$M:$M,redes!A12465)</f>
        <v>0</v>
      </c>
    </row>
    <row r="12466" customFormat="false" ht="14.4" hidden="true" customHeight="false" outlineLevel="0" collapsed="false">
      <c r="A12466" s="34" t="n">
        <v>12515832000391</v>
      </c>
      <c r="B12466" s="34" t="s">
        <v>23998</v>
      </c>
      <c r="C12466" s="34" t="s">
        <v>77</v>
      </c>
      <c r="E12466" s="30" t="s">
        <v>24000</v>
      </c>
      <c r="F12466" s="34" t="n">
        <f aca="false">IFERROR(VLOOKUP($A12466,'319'!$B:$H,7,0),0)</f>
        <v>0</v>
      </c>
      <c r="G12466" s="34" t="n">
        <f aca="false">SUMIFS('12.326ana'!$C:$C,'12.326ana'!$M:$M,redes!A12466)</f>
        <v>0</v>
      </c>
    </row>
    <row r="12467" customFormat="false" ht="14.4" hidden="true" customHeight="false" outlineLevel="0" collapsed="false">
      <c r="A12467" s="34" t="n">
        <v>12527265000121</v>
      </c>
      <c r="B12467" s="34" t="s">
        <v>24001</v>
      </c>
      <c r="C12467" s="34" t="s">
        <v>478</v>
      </c>
      <c r="E12467" s="30" t="s">
        <v>24002</v>
      </c>
      <c r="F12467" s="34" t="n">
        <f aca="false">IFERROR(VLOOKUP($A12467,'319'!$B:$H,7,0),0)</f>
        <v>0</v>
      </c>
      <c r="G12467" s="34" t="n">
        <f aca="false">SUMIFS('12.326ana'!$C:$C,'12.326ana'!$M:$M,redes!A12467)</f>
        <v>0</v>
      </c>
    </row>
    <row r="12468" customFormat="false" ht="14.4" hidden="true" customHeight="false" outlineLevel="0" collapsed="false">
      <c r="A12468" s="34" t="n">
        <v>12538059000117</v>
      </c>
      <c r="B12468" s="34" t="s">
        <v>24003</v>
      </c>
      <c r="C12468" s="34" t="s">
        <v>77</v>
      </c>
      <c r="E12468" s="30" t="s">
        <v>24004</v>
      </c>
      <c r="F12468" s="34" t="n">
        <f aca="false">IFERROR(VLOOKUP($A12468,'319'!$B:$H,7,0),0)</f>
        <v>0</v>
      </c>
      <c r="G12468" s="34" t="n">
        <f aca="false">SUMIFS('12.326ana'!$C:$C,'12.326ana'!$M:$M,redes!A12468)</f>
        <v>0</v>
      </c>
    </row>
    <row r="12469" customFormat="false" ht="14.4" hidden="true" customHeight="false" outlineLevel="0" collapsed="false">
      <c r="A12469" s="34" t="n">
        <v>12542222000115</v>
      </c>
      <c r="B12469" s="34" t="s">
        <v>7000</v>
      </c>
      <c r="C12469" s="34" t="s">
        <v>89</v>
      </c>
      <c r="E12469" s="30" t="s">
        <v>4223</v>
      </c>
      <c r="F12469" s="34" t="n">
        <f aca="false">IFERROR(VLOOKUP($A12469,'319'!$B:$H,7,0),0)</f>
        <v>0</v>
      </c>
      <c r="G12469" s="34" t="n">
        <f aca="false">SUMIFS('12.326ana'!$C:$C,'12.326ana'!$M:$M,redes!A12469)</f>
        <v>0</v>
      </c>
    </row>
    <row r="12470" customFormat="false" ht="14.4" hidden="true" customHeight="false" outlineLevel="0" collapsed="false">
      <c r="A12470" s="34" t="n">
        <v>12550675000193</v>
      </c>
      <c r="B12470" s="34" t="s">
        <v>24005</v>
      </c>
      <c r="C12470" s="34" t="s">
        <v>107</v>
      </c>
      <c r="E12470" s="30" t="s">
        <v>15277</v>
      </c>
      <c r="F12470" s="34" t="n">
        <f aca="false">IFERROR(VLOOKUP($A12470,'319'!$B:$H,7,0),0)</f>
        <v>0</v>
      </c>
      <c r="G12470" s="34" t="n">
        <f aca="false">SUMIFS('12.326ana'!$C:$C,'12.326ana'!$M:$M,redes!A12470)</f>
        <v>0</v>
      </c>
    </row>
    <row r="12471" customFormat="false" ht="14.4" hidden="true" customHeight="false" outlineLevel="0" collapsed="false">
      <c r="A12471" s="34" t="n">
        <v>12550675000274</v>
      </c>
      <c r="B12471" s="34" t="s">
        <v>24005</v>
      </c>
      <c r="C12471" s="34" t="s">
        <v>107</v>
      </c>
      <c r="E12471" s="30" t="s">
        <v>24005</v>
      </c>
      <c r="F12471" s="34" t="n">
        <f aca="false">IFERROR(VLOOKUP($A12471,'319'!$B:$H,7,0),0)</f>
        <v>0</v>
      </c>
      <c r="G12471" s="34" t="n">
        <f aca="false">SUMIFS('12.326ana'!$C:$C,'12.326ana'!$M:$M,redes!A12471)</f>
        <v>0</v>
      </c>
    </row>
    <row r="12472" customFormat="false" ht="14.4" hidden="true" customHeight="false" outlineLevel="0" collapsed="false">
      <c r="A12472" s="34" t="n">
        <v>12550675000355</v>
      </c>
      <c r="B12472" s="34" t="s">
        <v>24005</v>
      </c>
      <c r="C12472" s="34" t="s">
        <v>107</v>
      </c>
      <c r="E12472" s="30" t="s">
        <v>24005</v>
      </c>
      <c r="F12472" s="34" t="n">
        <f aca="false">IFERROR(VLOOKUP($A12472,'319'!$B:$H,7,0),0)</f>
        <v>0</v>
      </c>
      <c r="G12472" s="34" t="n">
        <f aca="false">SUMIFS('12.326ana'!$C:$C,'12.326ana'!$M:$M,redes!A12472)</f>
        <v>0</v>
      </c>
    </row>
    <row r="12473" customFormat="false" ht="14.4" hidden="true" customHeight="false" outlineLevel="0" collapsed="false">
      <c r="A12473" s="34" t="n">
        <v>12550675000436</v>
      </c>
      <c r="B12473" s="34" t="s">
        <v>24005</v>
      </c>
      <c r="C12473" s="34" t="s">
        <v>107</v>
      </c>
      <c r="E12473" s="30" t="s">
        <v>24005</v>
      </c>
      <c r="F12473" s="34" t="n">
        <f aca="false">IFERROR(VLOOKUP($A12473,'319'!$B:$H,7,0),0)</f>
        <v>0</v>
      </c>
      <c r="G12473" s="34" t="n">
        <f aca="false">SUMIFS('12.326ana'!$C:$C,'12.326ana'!$M:$M,redes!A12473)</f>
        <v>0</v>
      </c>
    </row>
    <row r="12474" customFormat="false" ht="14.4" hidden="true" customHeight="false" outlineLevel="0" collapsed="false">
      <c r="A12474" s="34" t="n">
        <v>12550675000517</v>
      </c>
      <c r="B12474" s="34" t="s">
        <v>24005</v>
      </c>
      <c r="C12474" s="34" t="s">
        <v>107</v>
      </c>
      <c r="E12474" s="30" t="s">
        <v>24005</v>
      </c>
      <c r="F12474" s="34" t="n">
        <f aca="false">IFERROR(VLOOKUP($A12474,'319'!$B:$H,7,0),0)</f>
        <v>0</v>
      </c>
      <c r="G12474" s="34" t="n">
        <f aca="false">SUMIFS('12.326ana'!$C:$C,'12.326ana'!$M:$M,redes!A12474)</f>
        <v>0</v>
      </c>
    </row>
    <row r="12475" customFormat="false" ht="14.4" hidden="true" customHeight="false" outlineLevel="0" collapsed="false">
      <c r="A12475" s="34" t="n">
        <v>12550675000606</v>
      </c>
      <c r="B12475" s="34" t="s">
        <v>24005</v>
      </c>
      <c r="C12475" s="34" t="s">
        <v>107</v>
      </c>
      <c r="E12475" s="30" t="s">
        <v>24005</v>
      </c>
      <c r="F12475" s="34" t="n">
        <f aca="false">IFERROR(VLOOKUP($A12475,'319'!$B:$H,7,0),0)</f>
        <v>0</v>
      </c>
      <c r="G12475" s="34" t="n">
        <f aca="false">SUMIFS('12.326ana'!$C:$C,'12.326ana'!$M:$M,redes!A12475)</f>
        <v>0</v>
      </c>
    </row>
    <row r="12476" customFormat="false" ht="14.4" hidden="true" customHeight="false" outlineLevel="0" collapsed="false">
      <c r="A12476" s="34" t="n">
        <v>12550675000789</v>
      </c>
      <c r="B12476" s="34" t="s">
        <v>24005</v>
      </c>
      <c r="C12476" s="34" t="s">
        <v>107</v>
      </c>
      <c r="E12476" s="30" t="s">
        <v>24005</v>
      </c>
      <c r="F12476" s="34" t="n">
        <f aca="false">IFERROR(VLOOKUP($A12476,'319'!$B:$H,7,0),0)</f>
        <v>0</v>
      </c>
      <c r="G12476" s="34" t="n">
        <f aca="false">SUMIFS('12.326ana'!$C:$C,'12.326ana'!$M:$M,redes!A12476)</f>
        <v>0</v>
      </c>
    </row>
    <row r="12477" customFormat="false" ht="14.4" hidden="true" customHeight="false" outlineLevel="0" collapsed="false">
      <c r="A12477" s="34" t="n">
        <v>12550675000860</v>
      </c>
      <c r="B12477" s="34" t="s">
        <v>24005</v>
      </c>
      <c r="C12477" s="34" t="s">
        <v>107</v>
      </c>
      <c r="E12477" s="30" t="s">
        <v>24005</v>
      </c>
      <c r="F12477" s="34" t="n">
        <f aca="false">IFERROR(VLOOKUP($A12477,'319'!$B:$H,7,0),0)</f>
        <v>0</v>
      </c>
      <c r="G12477" s="34" t="n">
        <f aca="false">SUMIFS('12.326ana'!$C:$C,'12.326ana'!$M:$M,redes!A12477)</f>
        <v>0</v>
      </c>
    </row>
    <row r="12478" customFormat="false" ht="14.4" hidden="true" customHeight="false" outlineLevel="0" collapsed="false">
      <c r="A12478" s="34" t="n">
        <v>12550675000940</v>
      </c>
      <c r="B12478" s="34" t="s">
        <v>24005</v>
      </c>
      <c r="C12478" s="34" t="s">
        <v>107</v>
      </c>
      <c r="E12478" s="30" t="s">
        <v>24005</v>
      </c>
      <c r="F12478" s="34" t="n">
        <f aca="false">IFERROR(VLOOKUP($A12478,'319'!$B:$H,7,0),0)</f>
        <v>0</v>
      </c>
      <c r="G12478" s="34" t="n">
        <f aca="false">SUMIFS('12.326ana'!$C:$C,'12.326ana'!$M:$M,redes!A12478)</f>
        <v>0</v>
      </c>
    </row>
    <row r="12479" customFormat="false" ht="14.4" hidden="true" customHeight="false" outlineLevel="0" collapsed="false">
      <c r="A12479" s="34" t="n">
        <v>12550675001165</v>
      </c>
      <c r="B12479" s="34" t="s">
        <v>24005</v>
      </c>
      <c r="C12479" s="34" t="s">
        <v>107</v>
      </c>
      <c r="E12479" s="30" t="s">
        <v>24005</v>
      </c>
      <c r="F12479" s="34" t="n">
        <f aca="false">IFERROR(VLOOKUP($A12479,'319'!$B:$H,7,0),0)</f>
        <v>0</v>
      </c>
      <c r="G12479" s="34" t="n">
        <f aca="false">SUMIFS('12.326ana'!$C:$C,'12.326ana'!$M:$M,redes!A12479)</f>
        <v>0</v>
      </c>
    </row>
    <row r="12480" customFormat="false" ht="14.4" hidden="true" customHeight="false" outlineLevel="0" collapsed="false">
      <c r="A12480" s="34" t="n">
        <v>12550675001246</v>
      </c>
      <c r="B12480" s="34" t="s">
        <v>24005</v>
      </c>
      <c r="C12480" s="34" t="s">
        <v>107</v>
      </c>
      <c r="E12480" s="30" t="s">
        <v>24005</v>
      </c>
      <c r="F12480" s="34" t="n">
        <f aca="false">IFERROR(VLOOKUP($A12480,'319'!$B:$H,7,0),0)</f>
        <v>0</v>
      </c>
      <c r="G12480" s="34" t="n">
        <f aca="false">SUMIFS('12.326ana'!$C:$C,'12.326ana'!$M:$M,redes!A12480)</f>
        <v>0</v>
      </c>
    </row>
    <row r="12481" customFormat="false" ht="14.4" hidden="true" customHeight="false" outlineLevel="0" collapsed="false">
      <c r="A12481" s="34" t="n">
        <v>12550675001327</v>
      </c>
      <c r="B12481" s="34" t="s">
        <v>24005</v>
      </c>
      <c r="C12481" s="34" t="s">
        <v>107</v>
      </c>
      <c r="E12481" s="30" t="s">
        <v>24005</v>
      </c>
      <c r="F12481" s="34" t="n">
        <f aca="false">IFERROR(VLOOKUP($A12481,'319'!$B:$H,7,0),0)</f>
        <v>0</v>
      </c>
      <c r="G12481" s="34" t="n">
        <f aca="false">SUMIFS('12.326ana'!$C:$C,'12.326ana'!$M:$M,redes!A12481)</f>
        <v>0</v>
      </c>
    </row>
    <row r="12482" customFormat="false" ht="14.4" hidden="true" customHeight="false" outlineLevel="0" collapsed="false">
      <c r="A12482" s="34" t="n">
        <v>12551380000131</v>
      </c>
      <c r="B12482" s="34" t="s">
        <v>24006</v>
      </c>
      <c r="C12482" s="34" t="s">
        <v>842</v>
      </c>
      <c r="E12482" s="30" t="s">
        <v>13544</v>
      </c>
      <c r="F12482" s="34" t="n">
        <f aca="false">IFERROR(VLOOKUP($A12482,'319'!$B:$H,7,0),0)</f>
        <v>0</v>
      </c>
      <c r="G12482" s="34" t="n">
        <f aca="false">SUMIFS('12.326ana'!$C:$C,'12.326ana'!$M:$M,redes!A12482)</f>
        <v>0</v>
      </c>
    </row>
    <row r="12483" customFormat="false" ht="14.4" hidden="true" customHeight="false" outlineLevel="0" collapsed="false">
      <c r="A12483" s="34" t="n">
        <v>12551418000176</v>
      </c>
      <c r="B12483" s="34" t="s">
        <v>24007</v>
      </c>
      <c r="C12483" s="34" t="s">
        <v>77</v>
      </c>
      <c r="E12483" s="30" t="s">
        <v>24008</v>
      </c>
      <c r="F12483" s="34" t="n">
        <f aca="false">IFERROR(VLOOKUP($A12483,'319'!$B:$H,7,0),0)</f>
        <v>0</v>
      </c>
      <c r="G12483" s="34" t="n">
        <f aca="false">SUMIFS('12.326ana'!$C:$C,'12.326ana'!$M:$M,redes!A12483)</f>
        <v>0</v>
      </c>
    </row>
    <row r="12484" customFormat="false" ht="14.4" hidden="true" customHeight="false" outlineLevel="0" collapsed="false">
      <c r="A12484" s="34" t="n">
        <v>12552918000122</v>
      </c>
      <c r="B12484" s="34" t="s">
        <v>24009</v>
      </c>
      <c r="C12484" s="34" t="s">
        <v>107</v>
      </c>
      <c r="E12484" s="30" t="s">
        <v>24010</v>
      </c>
      <c r="F12484" s="34" t="n">
        <f aca="false">IFERROR(VLOOKUP($A12484,'319'!$B:$H,7,0),0)</f>
        <v>0</v>
      </c>
      <c r="G12484" s="34" t="n">
        <f aca="false">SUMIFS('12.326ana'!$C:$C,'12.326ana'!$M:$M,redes!A12484)</f>
        <v>0</v>
      </c>
    </row>
    <row r="12485" customFormat="false" ht="14.4" hidden="true" customHeight="false" outlineLevel="0" collapsed="false">
      <c r="A12485" s="34" t="n">
        <v>12564855000124</v>
      </c>
      <c r="B12485" s="34" t="s">
        <v>24011</v>
      </c>
      <c r="C12485" s="34" t="s">
        <v>935</v>
      </c>
      <c r="E12485" s="30" t="s">
        <v>24012</v>
      </c>
      <c r="F12485" s="34" t="n">
        <f aca="false">IFERROR(VLOOKUP($A12485,'319'!$B:$H,7,0),0)</f>
        <v>0</v>
      </c>
      <c r="G12485" s="34" t="n">
        <f aca="false">SUMIFS('12.326ana'!$C:$C,'12.326ana'!$M:$M,redes!A12485)</f>
        <v>0</v>
      </c>
    </row>
    <row r="12486" customFormat="false" ht="14.4" hidden="true" customHeight="false" outlineLevel="0" collapsed="false">
      <c r="A12486" s="34" t="n">
        <v>12570077000186</v>
      </c>
      <c r="B12486" s="34" t="s">
        <v>24013</v>
      </c>
      <c r="C12486" s="34" t="s">
        <v>89</v>
      </c>
      <c r="E12486" s="30" t="s">
        <v>24014</v>
      </c>
      <c r="F12486" s="34" t="n">
        <f aca="false">IFERROR(VLOOKUP($A12486,'319'!$B:$H,7,0),0)</f>
        <v>0</v>
      </c>
      <c r="G12486" s="34" t="n">
        <f aca="false">SUMIFS('12.326ana'!$C:$C,'12.326ana'!$M:$M,redes!A12486)</f>
        <v>0</v>
      </c>
    </row>
    <row r="12487" customFormat="false" ht="14.4" hidden="true" customHeight="false" outlineLevel="0" collapsed="false">
      <c r="A12487" s="34" t="n">
        <v>12573132000191</v>
      </c>
      <c r="B12487" s="34" t="s">
        <v>24015</v>
      </c>
      <c r="C12487" s="34" t="s">
        <v>77</v>
      </c>
      <c r="E12487" s="30" t="s">
        <v>24016</v>
      </c>
      <c r="F12487" s="34" t="n">
        <f aca="false">IFERROR(VLOOKUP($A12487,'319'!$B:$H,7,0),0)</f>
        <v>0</v>
      </c>
      <c r="G12487" s="34" t="n">
        <f aca="false">SUMIFS('12.326ana'!$C:$C,'12.326ana'!$M:$M,redes!A12487)</f>
        <v>0</v>
      </c>
    </row>
    <row r="12488" customFormat="false" ht="14.4" hidden="true" customHeight="false" outlineLevel="0" collapsed="false">
      <c r="A12488" s="34" t="n">
        <v>12581075000192</v>
      </c>
      <c r="B12488" s="34" t="s">
        <v>24017</v>
      </c>
      <c r="C12488" s="34" t="s">
        <v>192</v>
      </c>
      <c r="E12488" s="30" t="s">
        <v>24018</v>
      </c>
      <c r="F12488" s="34" t="n">
        <f aca="false">IFERROR(VLOOKUP($A12488,'319'!$B:$H,7,0),0)</f>
        <v>0</v>
      </c>
      <c r="G12488" s="34" t="n">
        <f aca="false">SUMIFS('12.326ana'!$C:$C,'12.326ana'!$M:$M,redes!A12488)</f>
        <v>0</v>
      </c>
    </row>
    <row r="12489" customFormat="false" ht="14.4" hidden="true" customHeight="false" outlineLevel="0" collapsed="false">
      <c r="A12489" s="34" t="n">
        <v>12584945000187</v>
      </c>
      <c r="B12489" s="34" t="s">
        <v>24019</v>
      </c>
      <c r="C12489" s="34" t="s">
        <v>954</v>
      </c>
      <c r="E12489" s="30" t="s">
        <v>24020</v>
      </c>
      <c r="F12489" s="34" t="n">
        <f aca="false">IFERROR(VLOOKUP($A12489,'319'!$B:$H,7,0),0)</f>
        <v>0</v>
      </c>
      <c r="G12489" s="34" t="n">
        <f aca="false">SUMIFS('12.326ana'!$C:$C,'12.326ana'!$M:$M,redes!A12489)</f>
        <v>0</v>
      </c>
    </row>
    <row r="12490" customFormat="false" ht="14.4" hidden="true" customHeight="false" outlineLevel="0" collapsed="false">
      <c r="A12490" s="34" t="n">
        <v>12594400000151</v>
      </c>
      <c r="B12490" s="34" t="s">
        <v>24021</v>
      </c>
      <c r="C12490" s="34" t="s">
        <v>89</v>
      </c>
      <c r="E12490" s="30" t="s">
        <v>24022</v>
      </c>
      <c r="F12490" s="34" t="n">
        <f aca="false">IFERROR(VLOOKUP($A12490,'319'!$B:$H,7,0),0)</f>
        <v>0</v>
      </c>
      <c r="G12490" s="34" t="n">
        <f aca="false">SUMIFS('12.326ana'!$C:$C,'12.326ana'!$M:$M,redes!A12490)</f>
        <v>0</v>
      </c>
    </row>
    <row r="12491" customFormat="false" ht="14.4" hidden="true" customHeight="false" outlineLevel="0" collapsed="false">
      <c r="A12491" s="34" t="n">
        <v>12604057000189</v>
      </c>
      <c r="B12491" s="34" t="s">
        <v>3352</v>
      </c>
      <c r="C12491" s="34" t="s">
        <v>77</v>
      </c>
      <c r="E12491" s="30" t="s">
        <v>24023</v>
      </c>
      <c r="F12491" s="34" t="n">
        <f aca="false">IFERROR(VLOOKUP($A12491,'319'!$B:$H,7,0),0)</f>
        <v>0</v>
      </c>
      <c r="G12491" s="34" t="n">
        <f aca="false">SUMIFS('12.326ana'!$C:$C,'12.326ana'!$M:$M,redes!A12491)</f>
        <v>0</v>
      </c>
    </row>
    <row r="12492" customFormat="false" ht="14.4" hidden="true" customHeight="false" outlineLevel="0" collapsed="false">
      <c r="A12492" s="34" t="n">
        <v>12607676000127</v>
      </c>
      <c r="B12492" s="34" t="s">
        <v>24024</v>
      </c>
      <c r="C12492" s="34" t="s">
        <v>77</v>
      </c>
      <c r="E12492" s="30" t="s">
        <v>24025</v>
      </c>
      <c r="F12492" s="34" t="n">
        <f aca="false">IFERROR(VLOOKUP($A12492,'319'!$B:$H,7,0),0)</f>
        <v>0</v>
      </c>
      <c r="G12492" s="34" t="n">
        <f aca="false">SUMIFS('12.326ana'!$C:$C,'12.326ana'!$M:$M,redes!A12492)</f>
        <v>0</v>
      </c>
    </row>
    <row r="12493" customFormat="false" ht="14.4" hidden="true" customHeight="false" outlineLevel="0" collapsed="false">
      <c r="A12493" s="34" t="n">
        <v>12608149000137</v>
      </c>
      <c r="B12493" s="34" t="s">
        <v>24026</v>
      </c>
      <c r="C12493" s="34" t="s">
        <v>77</v>
      </c>
      <c r="E12493" s="30" t="s">
        <v>24027</v>
      </c>
      <c r="F12493" s="34" t="n">
        <f aca="false">IFERROR(VLOOKUP($A12493,'319'!$B:$H,7,0),0)</f>
        <v>0</v>
      </c>
      <c r="G12493" s="34" t="n">
        <f aca="false">SUMIFS('12.326ana'!$C:$C,'12.326ana'!$M:$M,redes!A12493)</f>
        <v>0</v>
      </c>
    </row>
    <row r="12494" customFormat="false" ht="14.4" hidden="true" customHeight="false" outlineLevel="0" collapsed="false">
      <c r="A12494" s="34" t="n">
        <v>12608218000102</v>
      </c>
      <c r="B12494" s="34" t="s">
        <v>24028</v>
      </c>
      <c r="C12494" s="34" t="s">
        <v>77</v>
      </c>
      <c r="E12494" s="30" t="s">
        <v>19801</v>
      </c>
      <c r="F12494" s="34" t="n">
        <f aca="false">IFERROR(VLOOKUP($A12494,'319'!$B:$H,7,0),0)</f>
        <v>0</v>
      </c>
      <c r="G12494" s="34" t="n">
        <f aca="false">SUMIFS('12.326ana'!$C:$C,'12.326ana'!$M:$M,redes!A12494)</f>
        <v>0</v>
      </c>
    </row>
    <row r="12495" customFormat="false" ht="14.4" hidden="true" customHeight="false" outlineLevel="0" collapsed="false">
      <c r="A12495" s="34" t="n">
        <v>12614415000134</v>
      </c>
      <c r="B12495" s="34" t="s">
        <v>24029</v>
      </c>
      <c r="C12495" s="34" t="s">
        <v>77</v>
      </c>
      <c r="E12495" s="30" t="s">
        <v>24030</v>
      </c>
      <c r="F12495" s="34" t="n">
        <f aca="false">IFERROR(VLOOKUP($A12495,'319'!$B:$H,7,0),0)</f>
        <v>0</v>
      </c>
      <c r="G12495" s="34" t="n">
        <f aca="false">SUMIFS('12.326ana'!$C:$C,'12.326ana'!$M:$M,redes!A12495)</f>
        <v>0</v>
      </c>
    </row>
    <row r="12496" customFormat="false" ht="14.4" hidden="true" customHeight="false" outlineLevel="0" collapsed="false">
      <c r="A12496" s="34" t="n">
        <v>12614757000154</v>
      </c>
      <c r="B12496" s="34" t="s">
        <v>24031</v>
      </c>
      <c r="C12496" s="34" t="s">
        <v>77</v>
      </c>
      <c r="E12496" s="30" t="s">
        <v>3238</v>
      </c>
      <c r="F12496" s="34" t="n">
        <f aca="false">IFERROR(VLOOKUP($A12496,'319'!$B:$H,7,0),0)</f>
        <v>0</v>
      </c>
      <c r="G12496" s="34" t="n">
        <f aca="false">SUMIFS('12.326ana'!$C:$C,'12.326ana'!$M:$M,redes!A12496)</f>
        <v>0</v>
      </c>
    </row>
    <row r="12497" customFormat="false" ht="14.4" hidden="true" customHeight="false" outlineLevel="0" collapsed="false">
      <c r="A12497" s="34" t="n">
        <v>12621221000166</v>
      </c>
      <c r="B12497" s="34" t="s">
        <v>24032</v>
      </c>
      <c r="C12497" s="34" t="s">
        <v>328</v>
      </c>
      <c r="E12497" s="30"/>
      <c r="F12497" s="34" t="n">
        <f aca="false">IFERROR(VLOOKUP($A12497,'319'!$B:$H,7,0),0)</f>
        <v>0</v>
      </c>
      <c r="G12497" s="34" t="n">
        <f aca="false">SUMIFS('12.326ana'!$C:$C,'12.326ana'!$M:$M,redes!A12497)</f>
        <v>0</v>
      </c>
    </row>
    <row r="12498" customFormat="false" ht="14.4" hidden="true" customHeight="false" outlineLevel="0" collapsed="false">
      <c r="A12498" s="34" t="n">
        <v>12621481000131</v>
      </c>
      <c r="B12498" s="34" t="s">
        <v>24033</v>
      </c>
      <c r="C12498" s="34" t="s">
        <v>77</v>
      </c>
      <c r="E12498" s="30" t="s">
        <v>5994</v>
      </c>
      <c r="F12498" s="34" t="n">
        <f aca="false">IFERROR(VLOOKUP($A12498,'319'!$B:$H,7,0),0)</f>
        <v>0</v>
      </c>
      <c r="G12498" s="34" t="n">
        <f aca="false">SUMIFS('12.326ana'!$C:$C,'12.326ana'!$M:$M,redes!A12498)</f>
        <v>0</v>
      </c>
    </row>
    <row r="12499" customFormat="false" ht="14.4" hidden="true" customHeight="false" outlineLevel="0" collapsed="false">
      <c r="A12499" s="34" t="n">
        <v>12625270000177</v>
      </c>
      <c r="B12499" s="34" t="s">
        <v>24034</v>
      </c>
      <c r="C12499" s="34" t="s">
        <v>77</v>
      </c>
      <c r="E12499" s="30" t="s">
        <v>24035</v>
      </c>
      <c r="F12499" s="34" t="n">
        <f aca="false">IFERROR(VLOOKUP($A12499,'319'!$B:$H,7,0),0)</f>
        <v>0</v>
      </c>
      <c r="G12499" s="34" t="n">
        <f aca="false">SUMIFS('12.326ana'!$C:$C,'12.326ana'!$M:$M,redes!A12499)</f>
        <v>0</v>
      </c>
    </row>
    <row r="12500" customFormat="false" ht="14.4" hidden="true" customHeight="false" outlineLevel="0" collapsed="false">
      <c r="A12500" s="35" t="n">
        <v>12625531000159</v>
      </c>
      <c r="B12500" s="34" t="s">
        <v>24036</v>
      </c>
      <c r="C12500" s="34" t="s">
        <v>139</v>
      </c>
      <c r="E12500" s="30" t="s">
        <v>24037</v>
      </c>
      <c r="F12500" s="34" t="n">
        <f aca="false">IFERROR(VLOOKUP($A12500,'319'!$B:$H,7,0),0)</f>
        <v>0</v>
      </c>
      <c r="G12500" s="34" t="n">
        <f aca="false">SUMIFS('12.326ana'!$C:$C,'12.326ana'!$M:$M,redes!A12500)</f>
        <v>0</v>
      </c>
    </row>
    <row r="12501" customFormat="false" ht="14.4" hidden="true" customHeight="false" outlineLevel="0" collapsed="false">
      <c r="A12501" s="35" t="n">
        <v>12632826000152</v>
      </c>
      <c r="B12501" s="34" t="s">
        <v>9467</v>
      </c>
      <c r="C12501" s="34" t="s">
        <v>77</v>
      </c>
      <c r="E12501" s="30" t="s">
        <v>9468</v>
      </c>
      <c r="F12501" s="34" t="n">
        <f aca="false">IFERROR(VLOOKUP($A12501,'319'!$B:$H,7,0),0)</f>
        <v>0</v>
      </c>
      <c r="G12501" s="34" t="n">
        <f aca="false">SUMIFS('12.326ana'!$C:$C,'12.326ana'!$M:$M,redes!A12501)</f>
        <v>0</v>
      </c>
    </row>
    <row r="12502" customFormat="false" ht="14.4" hidden="true" customHeight="false" outlineLevel="0" collapsed="false">
      <c r="A12502" s="35" t="n">
        <v>12635177000143</v>
      </c>
      <c r="B12502" s="34" t="s">
        <v>24038</v>
      </c>
      <c r="C12502" s="34" t="s">
        <v>89</v>
      </c>
      <c r="E12502" s="30" t="s">
        <v>24039</v>
      </c>
      <c r="F12502" s="34" t="n">
        <f aca="false">IFERROR(VLOOKUP($A12502,'319'!$B:$H,7,0),0)</f>
        <v>509.87</v>
      </c>
      <c r="G12502" s="34" t="n">
        <f aca="false">SUMIFS('12.326ana'!$C:$C,'12.326ana'!$M:$M,redes!A12502)</f>
        <v>0</v>
      </c>
    </row>
    <row r="12503" customFormat="false" ht="14.4" hidden="true" customHeight="false" outlineLevel="0" collapsed="false">
      <c r="A12503" s="35" t="n">
        <v>12636289000119</v>
      </c>
      <c r="B12503" s="34" t="s">
        <v>10110</v>
      </c>
      <c r="C12503" s="34" t="s">
        <v>77</v>
      </c>
      <c r="E12503" s="30" t="s">
        <v>24040</v>
      </c>
      <c r="F12503" s="34" t="n">
        <f aca="false">IFERROR(VLOOKUP($A12503,'319'!$B:$H,7,0),0)</f>
        <v>0</v>
      </c>
      <c r="G12503" s="34" t="n">
        <f aca="false">SUMIFS('12.326ana'!$C:$C,'12.326ana'!$M:$M,redes!A12503)</f>
        <v>0</v>
      </c>
    </row>
    <row r="12504" customFormat="false" ht="14.4" hidden="true" customHeight="false" outlineLevel="0" collapsed="false">
      <c r="A12504" s="35" t="n">
        <v>12636553000114</v>
      </c>
      <c r="B12504" s="34" t="s">
        <v>24041</v>
      </c>
      <c r="C12504" s="34" t="s">
        <v>77</v>
      </c>
      <c r="E12504" s="30"/>
      <c r="F12504" s="34" t="n">
        <f aca="false">IFERROR(VLOOKUP($A12504,'319'!$B:$H,7,0),0)</f>
        <v>0</v>
      </c>
      <c r="G12504" s="34" t="n">
        <f aca="false">SUMIFS('12.326ana'!$C:$C,'12.326ana'!$M:$M,redes!A12504)</f>
        <v>0</v>
      </c>
    </row>
    <row r="12505" customFormat="false" ht="14.4" hidden="true" customHeight="false" outlineLevel="0" collapsed="false">
      <c r="A12505" s="34" t="n">
        <v>12638228000190</v>
      </c>
      <c r="B12505" s="34" t="s">
        <v>24042</v>
      </c>
      <c r="C12505" s="34" t="s">
        <v>77</v>
      </c>
      <c r="E12505" s="30" t="s">
        <v>24043</v>
      </c>
      <c r="F12505" s="34" t="n">
        <f aca="false">IFERROR(VLOOKUP($A12505,'319'!$B:$H,7,0),0)</f>
        <v>0</v>
      </c>
      <c r="G12505" s="34" t="n">
        <f aca="false">SUMIFS('12.326ana'!$C:$C,'12.326ana'!$M:$M,redes!A12505)</f>
        <v>0</v>
      </c>
    </row>
    <row r="12506" customFormat="false" ht="14.4" hidden="true" customHeight="false" outlineLevel="0" collapsed="false">
      <c r="A12506" s="34" t="n">
        <v>12638459000102</v>
      </c>
      <c r="B12506" s="34" t="s">
        <v>24044</v>
      </c>
      <c r="C12506" s="34" t="s">
        <v>473</v>
      </c>
      <c r="E12506" s="30" t="s">
        <v>16055</v>
      </c>
      <c r="F12506" s="34" t="n">
        <f aca="false">IFERROR(VLOOKUP($A12506,'319'!$B:$H,7,0),0)</f>
        <v>0</v>
      </c>
      <c r="G12506" s="34" t="n">
        <f aca="false">SUMIFS('12.326ana'!$C:$C,'12.326ana'!$M:$M,redes!A12506)</f>
        <v>0</v>
      </c>
    </row>
    <row r="12507" customFormat="false" ht="14.4" hidden="true" customHeight="false" outlineLevel="0" collapsed="false">
      <c r="A12507" s="34" t="n">
        <v>12638875000100</v>
      </c>
      <c r="B12507" s="34" t="s">
        <v>24045</v>
      </c>
      <c r="C12507" s="34" t="s">
        <v>309</v>
      </c>
      <c r="E12507" s="30" t="s">
        <v>24046</v>
      </c>
      <c r="F12507" s="34" t="n">
        <f aca="false">IFERROR(VLOOKUP($A12507,'319'!$B:$H,7,0),0)</f>
        <v>0</v>
      </c>
      <c r="G12507" s="34" t="n">
        <f aca="false">SUMIFS('12.326ana'!$C:$C,'12.326ana'!$M:$M,redes!A12507)</f>
        <v>0</v>
      </c>
    </row>
    <row r="12508" customFormat="false" ht="14.4" hidden="true" customHeight="false" outlineLevel="0" collapsed="false">
      <c r="A12508" s="34" t="n">
        <v>12639940000104</v>
      </c>
      <c r="B12508" s="34" t="s">
        <v>24047</v>
      </c>
      <c r="C12508" s="34" t="s">
        <v>954</v>
      </c>
      <c r="E12508" s="30" t="s">
        <v>24048</v>
      </c>
      <c r="F12508" s="34" t="n">
        <f aca="false">IFERROR(VLOOKUP($A12508,'319'!$B:$H,7,0),0)</f>
        <v>0</v>
      </c>
      <c r="G12508" s="34" t="n">
        <f aca="false">SUMIFS('12.326ana'!$C:$C,'12.326ana'!$M:$M,redes!A12508)</f>
        <v>0</v>
      </c>
    </row>
    <row r="12509" customFormat="false" ht="14.4" hidden="true" customHeight="false" outlineLevel="0" collapsed="false">
      <c r="A12509" s="34" t="n">
        <v>12645105000187</v>
      </c>
      <c r="B12509" s="34" t="s">
        <v>24049</v>
      </c>
      <c r="C12509" s="34" t="s">
        <v>89</v>
      </c>
      <c r="E12509" s="30" t="s">
        <v>24050</v>
      </c>
      <c r="F12509" s="34" t="n">
        <f aca="false">IFERROR(VLOOKUP($A12509,'319'!$B:$H,7,0),0)</f>
        <v>0</v>
      </c>
      <c r="G12509" s="34" t="n">
        <f aca="false">SUMIFS('12.326ana'!$C:$C,'12.326ana'!$M:$M,redes!A12509)</f>
        <v>0</v>
      </c>
    </row>
    <row r="12510" customFormat="false" ht="14.4" hidden="true" customHeight="false" outlineLevel="0" collapsed="false">
      <c r="A12510" s="34" t="n">
        <v>12646156000123</v>
      </c>
      <c r="B12510" s="34" t="s">
        <v>24051</v>
      </c>
      <c r="C12510" s="34" t="s">
        <v>89</v>
      </c>
      <c r="E12510" s="30" t="s">
        <v>24052</v>
      </c>
      <c r="F12510" s="34" t="n">
        <f aca="false">IFERROR(VLOOKUP($A12510,'319'!$B:$H,7,0),0)</f>
        <v>0</v>
      </c>
      <c r="G12510" s="34" t="n">
        <f aca="false">SUMIFS('12.326ana'!$C:$C,'12.326ana'!$M:$M,redes!A12510)</f>
        <v>0</v>
      </c>
    </row>
    <row r="12511" customFormat="false" ht="14.4" hidden="true" customHeight="false" outlineLevel="0" collapsed="false">
      <c r="A12511" s="34" t="n">
        <v>12647047000120</v>
      </c>
      <c r="B12511" s="34" t="s">
        <v>24053</v>
      </c>
      <c r="C12511" s="34" t="s">
        <v>351</v>
      </c>
      <c r="E12511" s="30" t="s">
        <v>24054</v>
      </c>
      <c r="F12511" s="34" t="n">
        <f aca="false">IFERROR(VLOOKUP($A12511,'319'!$B:$H,7,0),0)</f>
        <v>0</v>
      </c>
      <c r="G12511" s="34" t="n">
        <f aca="false">SUMIFS('12.326ana'!$C:$C,'12.326ana'!$M:$M,redes!A12511)</f>
        <v>0</v>
      </c>
    </row>
    <row r="12512" customFormat="false" ht="14.4" hidden="true" customHeight="false" outlineLevel="0" collapsed="false">
      <c r="A12512" s="34" t="n">
        <v>12649013000175</v>
      </c>
      <c r="B12512" s="34" t="s">
        <v>24055</v>
      </c>
      <c r="C12512" s="34" t="s">
        <v>77</v>
      </c>
      <c r="E12512" s="30" t="s">
        <v>24056</v>
      </c>
      <c r="F12512" s="34" t="n">
        <f aca="false">IFERROR(VLOOKUP($A12512,'319'!$B:$H,7,0),0)</f>
        <v>0</v>
      </c>
      <c r="G12512" s="34" t="n">
        <f aca="false">SUMIFS('12.326ana'!$C:$C,'12.326ana'!$M:$M,redes!A12512)</f>
        <v>0</v>
      </c>
    </row>
    <row r="12513" customFormat="false" ht="14.4" hidden="true" customHeight="false" outlineLevel="0" collapsed="false">
      <c r="A12513" s="34" t="n">
        <v>12656220000157</v>
      </c>
      <c r="B12513" s="34" t="s">
        <v>24057</v>
      </c>
      <c r="C12513" s="34" t="s">
        <v>77</v>
      </c>
      <c r="E12513" s="30" t="s">
        <v>24058</v>
      </c>
      <c r="F12513" s="34" t="n">
        <f aca="false">IFERROR(VLOOKUP($A12513,'319'!$B:$H,7,0),0)</f>
        <v>0</v>
      </c>
      <c r="G12513" s="34" t="n">
        <f aca="false">SUMIFS('12.326ana'!$C:$C,'12.326ana'!$M:$M,redes!A12513)</f>
        <v>0</v>
      </c>
    </row>
    <row r="12514" customFormat="false" ht="14.4" hidden="true" customHeight="false" outlineLevel="0" collapsed="false">
      <c r="A12514" s="34" t="n">
        <v>12669126000132</v>
      </c>
      <c r="B12514" s="34" t="s">
        <v>24059</v>
      </c>
      <c r="C12514" s="34" t="s">
        <v>77</v>
      </c>
      <c r="E12514" s="30" t="s">
        <v>3588</v>
      </c>
      <c r="F12514" s="34" t="n">
        <f aca="false">IFERROR(VLOOKUP($A12514,'319'!$B:$H,7,0),0)</f>
        <v>0</v>
      </c>
      <c r="G12514" s="34" t="n">
        <f aca="false">SUMIFS('12.326ana'!$C:$C,'12.326ana'!$M:$M,redes!A12514)</f>
        <v>0</v>
      </c>
    </row>
    <row r="12515" customFormat="false" ht="14.4" hidden="true" customHeight="false" outlineLevel="0" collapsed="false">
      <c r="A12515" s="34" t="n">
        <v>12669940000157</v>
      </c>
      <c r="B12515" s="34" t="s">
        <v>24060</v>
      </c>
      <c r="C12515" s="34" t="s">
        <v>77</v>
      </c>
      <c r="E12515" s="30" t="s">
        <v>24061</v>
      </c>
      <c r="F12515" s="34" t="n">
        <f aca="false">IFERROR(VLOOKUP($A12515,'319'!$B:$H,7,0),0)</f>
        <v>0</v>
      </c>
      <c r="G12515" s="34" t="n">
        <f aca="false">SUMIFS('12.326ana'!$C:$C,'12.326ana'!$M:$M,redes!A12515)</f>
        <v>0</v>
      </c>
    </row>
    <row r="12516" customFormat="false" ht="14.4" hidden="true" customHeight="false" outlineLevel="0" collapsed="false">
      <c r="A12516" s="34" t="n">
        <v>12670072000125</v>
      </c>
      <c r="B12516" s="34" t="s">
        <v>24062</v>
      </c>
      <c r="C12516" s="34" t="s">
        <v>357</v>
      </c>
      <c r="E12516" s="30" t="s">
        <v>24063</v>
      </c>
      <c r="F12516" s="34" t="n">
        <f aca="false">IFERROR(VLOOKUP($A12516,'319'!$B:$H,7,0),0)</f>
        <v>0</v>
      </c>
      <c r="G12516" s="34" t="n">
        <f aca="false">SUMIFS('12.326ana'!$C:$C,'12.326ana'!$M:$M,redes!A12516)</f>
        <v>0</v>
      </c>
    </row>
    <row r="12517" customFormat="false" ht="14.4" hidden="true" customHeight="false" outlineLevel="0" collapsed="false">
      <c r="A12517" s="34" t="n">
        <v>12674541000184</v>
      </c>
      <c r="B12517" s="34" t="s">
        <v>24064</v>
      </c>
      <c r="C12517" s="34" t="s">
        <v>139</v>
      </c>
      <c r="E12517" s="30" t="s">
        <v>24065</v>
      </c>
      <c r="F12517" s="34" t="n">
        <f aca="false">IFERROR(VLOOKUP($A12517,'319'!$B:$H,7,0),0)</f>
        <v>0</v>
      </c>
      <c r="G12517" s="34" t="n">
        <f aca="false">SUMIFS('12.326ana'!$C:$C,'12.326ana'!$M:$M,redes!A12517)</f>
        <v>0</v>
      </c>
    </row>
    <row r="12518" customFormat="false" ht="14.4" hidden="true" customHeight="false" outlineLevel="0" collapsed="false">
      <c r="A12518" s="34" t="n">
        <v>12678187000166</v>
      </c>
      <c r="B12518" s="34" t="s">
        <v>24066</v>
      </c>
      <c r="C12518" s="34" t="s">
        <v>464</v>
      </c>
      <c r="E12518" s="30" t="s">
        <v>24067</v>
      </c>
      <c r="F12518" s="34" t="n">
        <f aca="false">IFERROR(VLOOKUP($A12518,'319'!$B:$H,7,0),0)</f>
        <v>0</v>
      </c>
      <c r="G12518" s="34" t="n">
        <f aca="false">SUMIFS('12.326ana'!$C:$C,'12.326ana'!$M:$M,redes!A12518)</f>
        <v>0</v>
      </c>
    </row>
    <row r="12519" customFormat="false" ht="14.4" hidden="true" customHeight="false" outlineLevel="0" collapsed="false">
      <c r="A12519" s="34" t="n">
        <v>12686513000187</v>
      </c>
      <c r="B12519" s="34" t="s">
        <v>24068</v>
      </c>
      <c r="C12519" s="34" t="s">
        <v>77</v>
      </c>
      <c r="E12519" s="30" t="s">
        <v>24069</v>
      </c>
      <c r="F12519" s="34" t="n">
        <f aca="false">IFERROR(VLOOKUP($A12519,'319'!$B:$H,7,0),0)</f>
        <v>0</v>
      </c>
      <c r="G12519" s="34" t="n">
        <f aca="false">SUMIFS('12.326ana'!$C:$C,'12.326ana'!$M:$M,redes!A12519)</f>
        <v>0</v>
      </c>
    </row>
    <row r="12520" customFormat="false" ht="14.4" hidden="true" customHeight="false" outlineLevel="0" collapsed="false">
      <c r="A12520" s="34" t="n">
        <v>12688646000192</v>
      </c>
      <c r="B12520" s="34" t="s">
        <v>24070</v>
      </c>
      <c r="C12520" s="34" t="s">
        <v>77</v>
      </c>
      <c r="E12520" s="30" t="s">
        <v>24071</v>
      </c>
      <c r="F12520" s="34" t="n">
        <f aca="false">IFERROR(VLOOKUP($A12520,'319'!$B:$H,7,0),0)</f>
        <v>0</v>
      </c>
      <c r="G12520" s="34" t="n">
        <f aca="false">SUMIFS('12.326ana'!$C:$C,'12.326ana'!$M:$M,redes!A12520)</f>
        <v>0</v>
      </c>
    </row>
    <row r="12521" customFormat="false" ht="14.4" hidden="true" customHeight="false" outlineLevel="0" collapsed="false">
      <c r="A12521" s="34" t="n">
        <v>12695092000150</v>
      </c>
      <c r="B12521" s="34" t="s">
        <v>9449</v>
      </c>
      <c r="C12521" s="34" t="s">
        <v>77</v>
      </c>
      <c r="E12521" s="30" t="s">
        <v>9450</v>
      </c>
      <c r="F12521" s="34" t="n">
        <f aca="false">IFERROR(VLOOKUP($A12521,'319'!$B:$H,7,0),0)</f>
        <v>0</v>
      </c>
      <c r="G12521" s="34" t="n">
        <f aca="false">SUMIFS('12.326ana'!$C:$C,'12.326ana'!$M:$M,redes!A12521)</f>
        <v>0</v>
      </c>
    </row>
    <row r="12522" customFormat="false" ht="14.4" hidden="true" customHeight="false" outlineLevel="0" collapsed="false">
      <c r="A12522" s="34" t="n">
        <v>12696743000127</v>
      </c>
      <c r="B12522" s="34" t="s">
        <v>1334</v>
      </c>
      <c r="C12522" s="34" t="s">
        <v>881</v>
      </c>
      <c r="E12522" s="30" t="s">
        <v>24072</v>
      </c>
      <c r="F12522" s="34" t="n">
        <f aca="false">IFERROR(VLOOKUP($A12522,'319'!$B:$H,7,0),0)</f>
        <v>250.33</v>
      </c>
      <c r="G12522" s="34" t="n">
        <f aca="false">SUMIFS('12.326ana'!$C:$C,'12.326ana'!$M:$M,redes!A12522)</f>
        <v>0</v>
      </c>
    </row>
    <row r="12523" customFormat="false" ht="14.4" hidden="true" customHeight="false" outlineLevel="0" collapsed="false">
      <c r="A12523" s="34" t="n">
        <v>12707449000173</v>
      </c>
      <c r="B12523" s="34" t="s">
        <v>24073</v>
      </c>
      <c r="C12523" s="34" t="s">
        <v>77</v>
      </c>
      <c r="E12523" s="30" t="s">
        <v>5818</v>
      </c>
      <c r="F12523" s="34" t="n">
        <f aca="false">IFERROR(VLOOKUP($A12523,'319'!$B:$H,7,0),0)</f>
        <v>0</v>
      </c>
      <c r="G12523" s="34" t="n">
        <f aca="false">SUMIFS('12.326ana'!$C:$C,'12.326ana'!$M:$M,redes!A12523)</f>
        <v>0</v>
      </c>
    </row>
    <row r="12524" customFormat="false" ht="14.4" hidden="true" customHeight="false" outlineLevel="0" collapsed="false">
      <c r="A12524" s="34" t="n">
        <v>12717527000110</v>
      </c>
      <c r="B12524" s="34" t="s">
        <v>24074</v>
      </c>
      <c r="C12524" s="34" t="s">
        <v>213</v>
      </c>
      <c r="E12524" s="30" t="s">
        <v>24075</v>
      </c>
      <c r="F12524" s="34" t="n">
        <f aca="false">IFERROR(VLOOKUP($A12524,'319'!$B:$H,7,0),0)</f>
        <v>0</v>
      </c>
      <c r="G12524" s="34" t="n">
        <f aca="false">SUMIFS('12.326ana'!$C:$C,'12.326ana'!$M:$M,redes!A12524)</f>
        <v>0</v>
      </c>
    </row>
    <row r="12525" customFormat="false" ht="14.4" hidden="true" customHeight="false" outlineLevel="0" collapsed="false">
      <c r="A12525" s="34" t="n">
        <v>12718137000165</v>
      </c>
      <c r="B12525" s="34" t="s">
        <v>24076</v>
      </c>
      <c r="C12525" s="34" t="s">
        <v>309</v>
      </c>
      <c r="E12525" s="30" t="s">
        <v>24077</v>
      </c>
      <c r="F12525" s="34" t="n">
        <f aca="false">IFERROR(VLOOKUP($A12525,'319'!$B:$H,7,0),0)</f>
        <v>0</v>
      </c>
      <c r="G12525" s="34" t="n">
        <f aca="false">SUMIFS('12.326ana'!$C:$C,'12.326ana'!$M:$M,redes!A12525)</f>
        <v>0</v>
      </c>
    </row>
    <row r="12526" customFormat="false" ht="14.4" hidden="true" customHeight="false" outlineLevel="0" collapsed="false">
      <c r="A12526" s="34" t="n">
        <v>12723924000103</v>
      </c>
      <c r="B12526" s="34" t="s">
        <v>24078</v>
      </c>
      <c r="C12526" s="34" t="s">
        <v>197</v>
      </c>
      <c r="E12526" s="30" t="s">
        <v>24079</v>
      </c>
      <c r="F12526" s="34" t="n">
        <f aca="false">IFERROR(VLOOKUP($A12526,'319'!$B:$H,7,0),0)</f>
        <v>0</v>
      </c>
      <c r="G12526" s="34" t="n">
        <f aca="false">SUMIFS('12.326ana'!$C:$C,'12.326ana'!$M:$M,redes!A12526)</f>
        <v>0</v>
      </c>
    </row>
    <row r="12527" customFormat="false" ht="14.4" hidden="true" customHeight="false" outlineLevel="0" collapsed="false">
      <c r="A12527" s="34" t="n">
        <v>12732017000112</v>
      </c>
      <c r="B12527" s="34" t="s">
        <v>24080</v>
      </c>
      <c r="C12527" s="34" t="s">
        <v>77</v>
      </c>
      <c r="E12527" s="30" t="s">
        <v>24081</v>
      </c>
      <c r="F12527" s="34" t="n">
        <f aca="false">IFERROR(VLOOKUP($A12527,'319'!$B:$H,7,0),0)</f>
        <v>0</v>
      </c>
      <c r="G12527" s="34" t="n">
        <f aca="false">SUMIFS('12.326ana'!$C:$C,'12.326ana'!$M:$M,redes!A12527)</f>
        <v>0</v>
      </c>
    </row>
    <row r="12528" customFormat="false" ht="14.4" hidden="true" customHeight="false" outlineLevel="0" collapsed="false">
      <c r="A12528" s="34" t="n">
        <v>12736964000181</v>
      </c>
      <c r="B12528" s="34" t="s">
        <v>24082</v>
      </c>
      <c r="C12528" s="34" t="s">
        <v>77</v>
      </c>
      <c r="E12528" s="30" t="s">
        <v>24083</v>
      </c>
      <c r="F12528" s="34" t="n">
        <f aca="false">IFERROR(VLOOKUP($A12528,'319'!$B:$H,7,0),0)</f>
        <v>0</v>
      </c>
      <c r="G12528" s="34" t="n">
        <f aca="false">SUMIFS('12.326ana'!$C:$C,'12.326ana'!$M:$M,redes!A12528)</f>
        <v>0</v>
      </c>
    </row>
    <row r="12529" customFormat="false" ht="14.4" hidden="true" customHeight="false" outlineLevel="0" collapsed="false">
      <c r="A12529" s="34" t="n">
        <v>12740998000140</v>
      </c>
      <c r="B12529" s="34" t="s">
        <v>24084</v>
      </c>
      <c r="C12529" s="34" t="s">
        <v>565</v>
      </c>
      <c r="E12529" s="30" t="s">
        <v>3790</v>
      </c>
      <c r="F12529" s="34" t="n">
        <f aca="false">IFERROR(VLOOKUP($A12529,'319'!$B:$H,7,0),0)</f>
        <v>0</v>
      </c>
      <c r="G12529" s="34" t="n">
        <f aca="false">SUMIFS('12.326ana'!$C:$C,'12.326ana'!$M:$M,redes!A12529)</f>
        <v>0</v>
      </c>
    </row>
    <row r="12530" customFormat="false" ht="14.4" hidden="true" customHeight="false" outlineLevel="0" collapsed="false">
      <c r="A12530" s="34" t="n">
        <v>12741726000164</v>
      </c>
      <c r="B12530" s="34" t="s">
        <v>24085</v>
      </c>
      <c r="C12530" s="34" t="s">
        <v>7250</v>
      </c>
      <c r="E12530" s="30" t="s">
        <v>24086</v>
      </c>
      <c r="F12530" s="34" t="n">
        <f aca="false">IFERROR(VLOOKUP($A12530,'319'!$B:$H,7,0),0)</f>
        <v>0</v>
      </c>
      <c r="G12530" s="34" t="n">
        <f aca="false">SUMIFS('12.326ana'!$C:$C,'12.326ana'!$M:$M,redes!A12530)</f>
        <v>0</v>
      </c>
    </row>
    <row r="12531" customFormat="false" ht="14.4" hidden="true" customHeight="false" outlineLevel="0" collapsed="false">
      <c r="A12531" s="34" t="n">
        <v>12745831000171</v>
      </c>
      <c r="B12531" s="34" t="s">
        <v>24087</v>
      </c>
      <c r="C12531" s="34" t="s">
        <v>77</v>
      </c>
      <c r="E12531" s="30" t="s">
        <v>24088</v>
      </c>
      <c r="F12531" s="34" t="n">
        <f aca="false">IFERROR(VLOOKUP($A12531,'319'!$B:$H,7,0),0)</f>
        <v>0</v>
      </c>
      <c r="G12531" s="34" t="n">
        <f aca="false">SUMIFS('12.326ana'!$C:$C,'12.326ana'!$M:$M,redes!A12531)</f>
        <v>0</v>
      </c>
    </row>
    <row r="12532" customFormat="false" ht="14.4" hidden="true" customHeight="false" outlineLevel="0" collapsed="false">
      <c r="A12532" s="34" t="n">
        <v>12750365000112</v>
      </c>
      <c r="B12532" s="34" t="s">
        <v>24089</v>
      </c>
      <c r="C12532" s="34" t="s">
        <v>464</v>
      </c>
      <c r="E12532" s="30" t="s">
        <v>24090</v>
      </c>
      <c r="F12532" s="34" t="n">
        <f aca="false">IFERROR(VLOOKUP($A12532,'319'!$B:$H,7,0),0)</f>
        <v>0</v>
      </c>
      <c r="G12532" s="34" t="n">
        <f aca="false">SUMIFS('12.326ana'!$C:$C,'12.326ana'!$M:$M,redes!A12532)</f>
        <v>0</v>
      </c>
    </row>
    <row r="12533" customFormat="false" ht="14.4" hidden="true" customHeight="false" outlineLevel="0" collapsed="false">
      <c r="A12533" s="34" t="n">
        <v>12752992000192</v>
      </c>
      <c r="B12533" s="34" t="s">
        <v>24091</v>
      </c>
      <c r="C12533" s="34" t="s">
        <v>979</v>
      </c>
      <c r="E12533" s="30" t="s">
        <v>24092</v>
      </c>
      <c r="F12533" s="34" t="n">
        <f aca="false">IFERROR(VLOOKUP($A12533,'319'!$B:$H,7,0),0)</f>
        <v>0</v>
      </c>
      <c r="G12533" s="34" t="n">
        <f aca="false">SUMIFS('12.326ana'!$C:$C,'12.326ana'!$M:$M,redes!A12533)</f>
        <v>0</v>
      </c>
    </row>
    <row r="12534" customFormat="false" ht="14.4" hidden="true" customHeight="false" outlineLevel="0" collapsed="false">
      <c r="A12534" s="34" t="n">
        <v>12753124000127</v>
      </c>
      <c r="B12534" s="34" t="s">
        <v>24093</v>
      </c>
      <c r="C12534" s="34" t="s">
        <v>107</v>
      </c>
      <c r="E12534" s="30" t="s">
        <v>21331</v>
      </c>
      <c r="F12534" s="34" t="n">
        <f aca="false">IFERROR(VLOOKUP($A12534,'319'!$B:$H,7,0),0)</f>
        <v>0</v>
      </c>
      <c r="G12534" s="34" t="n">
        <f aca="false">SUMIFS('12.326ana'!$C:$C,'12.326ana'!$M:$M,redes!A12534)</f>
        <v>0</v>
      </c>
    </row>
    <row r="12535" customFormat="false" ht="14.4" hidden="true" customHeight="false" outlineLevel="0" collapsed="false">
      <c r="A12535" s="34" t="n">
        <v>12759421000180</v>
      </c>
      <c r="B12535" s="34" t="s">
        <v>24094</v>
      </c>
      <c r="C12535" s="34" t="s">
        <v>1272</v>
      </c>
      <c r="E12535" s="30" t="s">
        <v>24095</v>
      </c>
      <c r="F12535" s="34" t="n">
        <f aca="false">IFERROR(VLOOKUP($A12535,'319'!$B:$H,7,0),0)</f>
        <v>0</v>
      </c>
      <c r="G12535" s="34" t="n">
        <f aca="false">SUMIFS('12.326ana'!$C:$C,'12.326ana'!$M:$M,redes!A12535)</f>
        <v>0</v>
      </c>
    </row>
    <row r="12536" customFormat="false" ht="14.4" hidden="true" customHeight="false" outlineLevel="0" collapsed="false">
      <c r="A12536" s="34" t="n">
        <v>12772446000113</v>
      </c>
      <c r="B12536" s="34" t="s">
        <v>24096</v>
      </c>
      <c r="C12536" s="34" t="s">
        <v>342</v>
      </c>
      <c r="E12536" s="30" t="s">
        <v>24097</v>
      </c>
      <c r="F12536" s="34" t="n">
        <f aca="false">IFERROR(VLOOKUP($A12536,'319'!$B:$H,7,0),0)</f>
        <v>0</v>
      </c>
      <c r="G12536" s="34" t="n">
        <f aca="false">SUMIFS('12.326ana'!$C:$C,'12.326ana'!$M:$M,redes!A12536)</f>
        <v>0</v>
      </c>
    </row>
    <row r="12537" customFormat="false" ht="14.4" hidden="true" customHeight="false" outlineLevel="0" collapsed="false">
      <c r="A12537" s="34" t="n">
        <v>12787512000129</v>
      </c>
      <c r="B12537" s="34" t="s">
        <v>24098</v>
      </c>
      <c r="C12537" s="34" t="s">
        <v>562</v>
      </c>
      <c r="E12537" s="30" t="s">
        <v>24099</v>
      </c>
      <c r="F12537" s="34" t="n">
        <f aca="false">IFERROR(VLOOKUP($A12537,'319'!$B:$H,7,0),0)</f>
        <v>0</v>
      </c>
      <c r="G12537" s="34" t="n">
        <f aca="false">SUMIFS('12.326ana'!$C:$C,'12.326ana'!$M:$M,redes!A12537)</f>
        <v>0</v>
      </c>
    </row>
    <row r="12538" customFormat="false" ht="14.4" hidden="true" customHeight="false" outlineLevel="0" collapsed="false">
      <c r="A12538" s="34" t="n">
        <v>12801838000163</v>
      </c>
      <c r="B12538" s="34" t="s">
        <v>24100</v>
      </c>
      <c r="C12538" s="34" t="s">
        <v>197</v>
      </c>
      <c r="E12538" s="30" t="s">
        <v>18484</v>
      </c>
      <c r="F12538" s="34" t="n">
        <f aca="false">IFERROR(VLOOKUP($A12538,'319'!$B:$H,7,0),0)</f>
        <v>0</v>
      </c>
      <c r="G12538" s="34" t="n">
        <f aca="false">SUMIFS('12.326ana'!$C:$C,'12.326ana'!$M:$M,redes!A12538)</f>
        <v>0</v>
      </c>
    </row>
    <row r="12539" customFormat="false" ht="14.4" hidden="true" customHeight="false" outlineLevel="0" collapsed="false">
      <c r="A12539" s="34" t="n">
        <v>12803143000110</v>
      </c>
      <c r="B12539" s="34" t="s">
        <v>24101</v>
      </c>
      <c r="C12539" s="34" t="s">
        <v>107</v>
      </c>
      <c r="E12539" s="30" t="s">
        <v>24102</v>
      </c>
      <c r="F12539" s="34" t="n">
        <f aca="false">IFERROR(VLOOKUP($A12539,'319'!$B:$H,7,0),0)</f>
        <v>0</v>
      </c>
      <c r="G12539" s="34" t="n">
        <f aca="false">SUMIFS('12.326ana'!$C:$C,'12.326ana'!$M:$M,redes!A12539)</f>
        <v>0</v>
      </c>
    </row>
    <row r="12540" customFormat="false" ht="14.4" hidden="true" customHeight="false" outlineLevel="0" collapsed="false">
      <c r="A12540" s="34" t="n">
        <v>12803259000150</v>
      </c>
      <c r="B12540" s="34" t="s">
        <v>24103</v>
      </c>
      <c r="C12540" s="34" t="s">
        <v>107</v>
      </c>
      <c r="E12540" s="30" t="s">
        <v>24104</v>
      </c>
      <c r="F12540" s="34" t="n">
        <f aca="false">IFERROR(VLOOKUP($A12540,'319'!$B:$H,7,0),0)</f>
        <v>0</v>
      </c>
      <c r="G12540" s="34" t="n">
        <f aca="false">SUMIFS('12.326ana'!$C:$C,'12.326ana'!$M:$M,redes!A12540)</f>
        <v>0</v>
      </c>
    </row>
    <row r="12541" customFormat="false" ht="14.4" hidden="true" customHeight="false" outlineLevel="0" collapsed="false">
      <c r="A12541" s="34" t="n">
        <v>12804073000115</v>
      </c>
      <c r="B12541" s="34" t="s">
        <v>5251</v>
      </c>
      <c r="C12541" s="34" t="s">
        <v>77</v>
      </c>
      <c r="E12541" s="30" t="s">
        <v>24105</v>
      </c>
      <c r="F12541" s="34" t="n">
        <f aca="false">IFERROR(VLOOKUP($A12541,'319'!$B:$H,7,0),0)</f>
        <v>0</v>
      </c>
      <c r="G12541" s="34" t="n">
        <f aca="false">SUMIFS('12.326ana'!$C:$C,'12.326ana'!$M:$M,redes!A12541)</f>
        <v>0</v>
      </c>
    </row>
    <row r="12542" customFormat="false" ht="14.4" hidden="true" customHeight="false" outlineLevel="0" collapsed="false">
      <c r="A12542" s="34" t="n">
        <v>12816792000156</v>
      </c>
      <c r="B12542" s="34" t="s">
        <v>24106</v>
      </c>
      <c r="C12542" s="34" t="s">
        <v>89</v>
      </c>
      <c r="E12542" s="30" t="s">
        <v>24107</v>
      </c>
      <c r="F12542" s="34" t="n">
        <f aca="false">IFERROR(VLOOKUP($A12542,'319'!$B:$H,7,0),0)</f>
        <v>0</v>
      </c>
      <c r="G12542" s="34" t="n">
        <f aca="false">SUMIFS('12.326ana'!$C:$C,'12.326ana'!$M:$M,redes!A12542)</f>
        <v>0</v>
      </c>
    </row>
    <row r="12543" customFormat="false" ht="14.4" hidden="true" customHeight="false" outlineLevel="0" collapsed="false">
      <c r="A12543" s="34" t="n">
        <v>12824305000105</v>
      </c>
      <c r="B12543" s="34" t="s">
        <v>24108</v>
      </c>
      <c r="C12543" s="34" t="s">
        <v>107</v>
      </c>
      <c r="E12543" s="30" t="s">
        <v>24109</v>
      </c>
      <c r="F12543" s="34" t="n">
        <f aca="false">IFERROR(VLOOKUP($A12543,'319'!$B:$H,7,0),0)</f>
        <v>0</v>
      </c>
      <c r="G12543" s="34" t="n">
        <f aca="false">SUMIFS('12.326ana'!$C:$C,'12.326ana'!$M:$M,redes!A12543)</f>
        <v>0</v>
      </c>
    </row>
    <row r="12544" customFormat="false" ht="14.4" hidden="true" customHeight="false" outlineLevel="0" collapsed="false">
      <c r="A12544" s="34" t="n">
        <v>12825680000161</v>
      </c>
      <c r="B12544" s="34" t="s">
        <v>24110</v>
      </c>
      <c r="C12544" s="34" t="s">
        <v>721</v>
      </c>
      <c r="E12544" s="30" t="s">
        <v>24111</v>
      </c>
      <c r="F12544" s="34" t="n">
        <f aca="false">IFERROR(VLOOKUP($A12544,'319'!$B:$H,7,0),0)</f>
        <v>0</v>
      </c>
      <c r="G12544" s="34" t="n">
        <f aca="false">SUMIFS('12.326ana'!$C:$C,'12.326ana'!$M:$M,redes!A12544)</f>
        <v>0</v>
      </c>
    </row>
    <row r="12545" customFormat="false" ht="14.4" hidden="true" customHeight="false" outlineLevel="0" collapsed="false">
      <c r="A12545" s="34" t="n">
        <v>12826837000173</v>
      </c>
      <c r="B12545" s="34" t="s">
        <v>1677</v>
      </c>
      <c r="C12545" s="34" t="s">
        <v>464</v>
      </c>
      <c r="E12545" s="30" t="s">
        <v>4207</v>
      </c>
      <c r="F12545" s="34" t="n">
        <f aca="false">IFERROR(VLOOKUP($A12545,'319'!$B:$H,7,0),0)</f>
        <v>63.74</v>
      </c>
      <c r="G12545" s="34" t="n">
        <f aca="false">SUMIFS('12.326ana'!$C:$C,'12.326ana'!$M:$M,redes!A12545)</f>
        <v>0</v>
      </c>
    </row>
    <row r="12546" customFormat="false" ht="14.4" hidden="true" customHeight="false" outlineLevel="0" collapsed="false">
      <c r="A12546" s="34" t="n">
        <v>12837395000160</v>
      </c>
      <c r="B12546" s="34" t="s">
        <v>24112</v>
      </c>
      <c r="C12546" s="34" t="s">
        <v>737</v>
      </c>
      <c r="E12546" s="30" t="s">
        <v>19444</v>
      </c>
      <c r="F12546" s="34" t="n">
        <f aca="false">IFERROR(VLOOKUP($A12546,'319'!$B:$H,7,0),0)</f>
        <v>0</v>
      </c>
      <c r="G12546" s="34" t="n">
        <f aca="false">SUMIFS('12.326ana'!$C:$C,'12.326ana'!$M:$M,redes!A12546)</f>
        <v>0</v>
      </c>
    </row>
    <row r="12547" customFormat="false" ht="14.4" hidden="true" customHeight="false" outlineLevel="0" collapsed="false">
      <c r="A12547" s="34" t="n">
        <v>12837408000100</v>
      </c>
      <c r="B12547" s="34" t="s">
        <v>24113</v>
      </c>
      <c r="C12547" s="34" t="s">
        <v>107</v>
      </c>
      <c r="E12547" s="30" t="s">
        <v>24114</v>
      </c>
      <c r="F12547" s="34" t="n">
        <f aca="false">IFERROR(VLOOKUP($A12547,'319'!$B:$H,7,0),0)</f>
        <v>0</v>
      </c>
      <c r="G12547" s="34" t="n">
        <f aca="false">SUMIFS('12.326ana'!$C:$C,'12.326ana'!$M:$M,redes!A12547)</f>
        <v>0</v>
      </c>
    </row>
    <row r="12548" customFormat="false" ht="14.4" hidden="true" customHeight="false" outlineLevel="0" collapsed="false">
      <c r="A12548" s="34" t="n">
        <v>12837745000199</v>
      </c>
      <c r="B12548" s="34" t="s">
        <v>24115</v>
      </c>
      <c r="C12548" s="34" t="s">
        <v>77</v>
      </c>
      <c r="E12548" s="30" t="s">
        <v>4051</v>
      </c>
      <c r="F12548" s="34" t="n">
        <f aca="false">IFERROR(VLOOKUP($A12548,'319'!$B:$H,7,0),0)</f>
        <v>0</v>
      </c>
      <c r="G12548" s="34" t="n">
        <f aca="false">SUMIFS('12.326ana'!$C:$C,'12.326ana'!$M:$M,redes!A12548)</f>
        <v>0</v>
      </c>
    </row>
    <row r="12549" customFormat="false" ht="14.4" hidden="true" customHeight="false" outlineLevel="0" collapsed="false">
      <c r="A12549" s="34" t="n">
        <v>12846293000101</v>
      </c>
      <c r="B12549" s="34" t="s">
        <v>24116</v>
      </c>
      <c r="C12549" s="34" t="s">
        <v>631</v>
      </c>
      <c r="D12549" s="34" t="s">
        <v>24117</v>
      </c>
      <c r="E12549" s="30" t="s">
        <v>13544</v>
      </c>
      <c r="F12549" s="34" t="n">
        <f aca="false">IFERROR(VLOOKUP($A12549,'319'!$B:$H,7,0),0)</f>
        <v>0</v>
      </c>
      <c r="G12549" s="34" t="n">
        <f aca="false">SUMIFS('12.326ana'!$C:$C,'12.326ana'!$M:$M,redes!A12549)</f>
        <v>0</v>
      </c>
    </row>
    <row r="12550" customFormat="false" ht="14.4" hidden="true" customHeight="false" outlineLevel="0" collapsed="false">
      <c r="A12550" s="34" t="n">
        <v>12850369000172</v>
      </c>
      <c r="B12550" s="34" t="s">
        <v>24118</v>
      </c>
      <c r="C12550" s="34" t="s">
        <v>139</v>
      </c>
      <c r="E12550" s="30" t="s">
        <v>24119</v>
      </c>
      <c r="F12550" s="34" t="n">
        <f aca="false">IFERROR(VLOOKUP($A12550,'319'!$B:$H,7,0),0)</f>
        <v>0</v>
      </c>
      <c r="G12550" s="34" t="n">
        <f aca="false">SUMIFS('12.326ana'!$C:$C,'12.326ana'!$M:$M,redes!A12550)</f>
        <v>0</v>
      </c>
    </row>
    <row r="12551" customFormat="false" ht="14.4" hidden="true" customHeight="false" outlineLevel="0" collapsed="false">
      <c r="A12551" s="34" t="n">
        <v>12869398000186</v>
      </c>
      <c r="B12551" s="34" t="s">
        <v>24120</v>
      </c>
      <c r="C12551" s="34" t="s">
        <v>139</v>
      </c>
      <c r="E12551" s="30" t="s">
        <v>24121</v>
      </c>
      <c r="F12551" s="34" t="n">
        <f aca="false">IFERROR(VLOOKUP($A12551,'319'!$B:$H,7,0),0)</f>
        <v>0</v>
      </c>
      <c r="G12551" s="34" t="n">
        <f aca="false">SUMIFS('12.326ana'!$C:$C,'12.326ana'!$M:$M,redes!A12551)</f>
        <v>0</v>
      </c>
    </row>
    <row r="12552" customFormat="false" ht="14.4" hidden="true" customHeight="false" outlineLevel="0" collapsed="false">
      <c r="A12552" s="34" t="n">
        <v>12870059000110</v>
      </c>
      <c r="B12552" s="34" t="s">
        <v>24122</v>
      </c>
      <c r="C12552" s="34" t="s">
        <v>4139</v>
      </c>
      <c r="E12552" s="30" t="s">
        <v>3831</v>
      </c>
      <c r="F12552" s="34" t="n">
        <f aca="false">IFERROR(VLOOKUP($A12552,'319'!$B:$H,7,0),0)</f>
        <v>0</v>
      </c>
      <c r="G12552" s="34" t="n">
        <f aca="false">SUMIFS('12.326ana'!$C:$C,'12.326ana'!$M:$M,redes!A12552)</f>
        <v>0</v>
      </c>
    </row>
    <row r="12553" customFormat="false" ht="14.4" hidden="true" customHeight="false" outlineLevel="0" collapsed="false">
      <c r="A12553" s="34" t="n">
        <v>12871518000180</v>
      </c>
      <c r="B12553" s="34" t="s">
        <v>24123</v>
      </c>
      <c r="C12553" s="34" t="s">
        <v>351</v>
      </c>
      <c r="E12553" s="30" t="s">
        <v>9607</v>
      </c>
      <c r="F12553" s="34" t="n">
        <f aca="false">IFERROR(VLOOKUP($A12553,'319'!$B:$H,7,0),0)</f>
        <v>0</v>
      </c>
      <c r="G12553" s="34" t="n">
        <f aca="false">SUMIFS('12.326ana'!$C:$C,'12.326ana'!$M:$M,redes!A12553)</f>
        <v>0</v>
      </c>
    </row>
    <row r="12554" customFormat="false" ht="14.4" hidden="true" customHeight="false" outlineLevel="0" collapsed="false">
      <c r="A12554" s="34" t="n">
        <v>12878970000173</v>
      </c>
      <c r="B12554" s="34" t="s">
        <v>24124</v>
      </c>
      <c r="C12554" s="34" t="s">
        <v>881</v>
      </c>
      <c r="E12554" s="30" t="s">
        <v>6310</v>
      </c>
      <c r="F12554" s="34" t="n">
        <f aca="false">IFERROR(VLOOKUP($A12554,'319'!$B:$H,7,0),0)</f>
        <v>0</v>
      </c>
      <c r="G12554" s="34" t="n">
        <f aca="false">SUMIFS('12.326ana'!$C:$C,'12.326ana'!$M:$M,redes!A12554)</f>
        <v>0</v>
      </c>
    </row>
    <row r="12555" customFormat="false" ht="14.4" hidden="true" customHeight="false" outlineLevel="0" collapsed="false">
      <c r="A12555" s="34" t="n">
        <v>12880584000116</v>
      </c>
      <c r="B12555" s="34" t="s">
        <v>24125</v>
      </c>
      <c r="C12555" s="34" t="s">
        <v>598</v>
      </c>
      <c r="E12555" s="30" t="s">
        <v>6631</v>
      </c>
      <c r="F12555" s="34" t="n">
        <f aca="false">IFERROR(VLOOKUP($A12555,'319'!$B:$H,7,0),0)</f>
        <v>0</v>
      </c>
      <c r="G12555" s="34" t="n">
        <f aca="false">SUMIFS('12.326ana'!$C:$C,'12.326ana'!$M:$M,redes!A12555)</f>
        <v>0</v>
      </c>
    </row>
    <row r="12556" customFormat="false" ht="14.4" hidden="true" customHeight="false" outlineLevel="0" collapsed="false">
      <c r="A12556" s="34" t="n">
        <v>12881662000105</v>
      </c>
      <c r="B12556" s="34" t="s">
        <v>24126</v>
      </c>
      <c r="C12556" s="34" t="s">
        <v>357</v>
      </c>
      <c r="E12556" s="30"/>
      <c r="F12556" s="34" t="n">
        <f aca="false">IFERROR(VLOOKUP($A12556,'319'!$B:$H,7,0),0)</f>
        <v>0</v>
      </c>
      <c r="G12556" s="34" t="n">
        <f aca="false">SUMIFS('12.326ana'!$C:$C,'12.326ana'!$M:$M,redes!A12556)</f>
        <v>0</v>
      </c>
    </row>
    <row r="12557" customFormat="false" ht="14.4" hidden="true" customHeight="false" outlineLevel="0" collapsed="false">
      <c r="A12557" s="34" t="n">
        <v>12885873000108</v>
      </c>
      <c r="B12557" s="34" t="s">
        <v>24127</v>
      </c>
      <c r="C12557" s="34" t="s">
        <v>342</v>
      </c>
      <c r="E12557" s="30" t="s">
        <v>24128</v>
      </c>
      <c r="F12557" s="34" t="n">
        <f aca="false">IFERROR(VLOOKUP($A12557,'319'!$B:$H,7,0),0)</f>
        <v>0</v>
      </c>
      <c r="G12557" s="34" t="n">
        <f aca="false">SUMIFS('12.326ana'!$C:$C,'12.326ana'!$M:$M,redes!A12557)</f>
        <v>0</v>
      </c>
    </row>
    <row r="12558" customFormat="false" ht="14.4" hidden="true" customHeight="false" outlineLevel="0" collapsed="false">
      <c r="A12558" s="34" t="n">
        <v>12887219000133</v>
      </c>
      <c r="B12558" s="34" t="s">
        <v>2936</v>
      </c>
      <c r="C12558" s="34" t="s">
        <v>89</v>
      </c>
      <c r="D12558" s="34" t="s">
        <v>22</v>
      </c>
      <c r="E12558" s="30" t="s">
        <v>2937</v>
      </c>
      <c r="F12558" s="34" t="n">
        <f aca="false">IFERROR(VLOOKUP($A12558,'319'!$B:$H,7,0),0)</f>
        <v>100366.21</v>
      </c>
      <c r="G12558" s="34" t="n">
        <f aca="false">SUMIFS('12.326ana'!$C:$C,'12.326ana'!$M:$M,redes!A12558)</f>
        <v>178.56</v>
      </c>
    </row>
    <row r="12559" customFormat="false" ht="14.4" hidden="true" customHeight="false" outlineLevel="0" collapsed="false">
      <c r="A12559" s="34" t="n">
        <v>12887219000214</v>
      </c>
      <c r="B12559" s="34" t="s">
        <v>2938</v>
      </c>
      <c r="C12559" s="34" t="s">
        <v>89</v>
      </c>
      <c r="D12559" s="34" t="s">
        <v>22</v>
      </c>
      <c r="E12559" s="30" t="s">
        <v>2939</v>
      </c>
      <c r="F12559" s="34" t="n">
        <f aca="false">IFERROR(VLOOKUP($A12559,'319'!$B:$H,7,0),0)</f>
        <v>66607.84</v>
      </c>
      <c r="G12559" s="34" t="n">
        <f aca="false">SUMIFS('12.326ana'!$C:$C,'12.326ana'!$M:$M,redes!A12559)</f>
        <v>178.56</v>
      </c>
    </row>
    <row r="12560" customFormat="false" ht="14.4" hidden="true" customHeight="false" outlineLevel="0" collapsed="false">
      <c r="A12560" s="34" t="n">
        <v>12887219000303</v>
      </c>
      <c r="B12560" s="34" t="s">
        <v>2940</v>
      </c>
      <c r="C12560" s="34" t="s">
        <v>89</v>
      </c>
      <c r="D12560" s="34" t="s">
        <v>22</v>
      </c>
      <c r="E12560" s="30" t="s">
        <v>2941</v>
      </c>
      <c r="F12560" s="34" t="n">
        <f aca="false">IFERROR(VLOOKUP($A12560,'319'!$B:$H,7,0),0)</f>
        <v>26590.59</v>
      </c>
      <c r="G12560" s="34" t="n">
        <f aca="false">SUMIFS('12.326ana'!$C:$C,'12.326ana'!$M:$M,redes!A12560)</f>
        <v>178.56</v>
      </c>
    </row>
    <row r="12561" customFormat="false" ht="14.4" hidden="true" customHeight="false" outlineLevel="0" collapsed="false">
      <c r="A12561" s="34" t="n">
        <v>12887219000486</v>
      </c>
      <c r="B12561" s="34" t="s">
        <v>24129</v>
      </c>
      <c r="C12561" s="34" t="s">
        <v>24130</v>
      </c>
      <c r="D12561" s="34" t="s">
        <v>22</v>
      </c>
      <c r="E12561" s="30" t="s">
        <v>2943</v>
      </c>
      <c r="F12561" s="34" t="n">
        <f aca="false">IFERROR(VLOOKUP($A12561,'319'!$B:$H,7,0),0)</f>
        <v>0</v>
      </c>
      <c r="G12561" s="34" t="n">
        <f aca="false">SUMIFS('12.326ana'!$C:$C,'12.326ana'!$M:$M,redes!A12561)</f>
        <v>0</v>
      </c>
    </row>
    <row r="12562" customFormat="false" ht="14.4" hidden="true" customHeight="false" outlineLevel="0" collapsed="false">
      <c r="A12562" s="34" t="n">
        <v>12887219000567</v>
      </c>
      <c r="B12562" s="34" t="s">
        <v>2942</v>
      </c>
      <c r="C12562" s="34" t="s">
        <v>89</v>
      </c>
      <c r="D12562" s="34" t="s">
        <v>22</v>
      </c>
      <c r="E12562" s="30" t="s">
        <v>2943</v>
      </c>
      <c r="F12562" s="34" t="n">
        <f aca="false">IFERROR(VLOOKUP($A12562,'319'!$B:$H,7,0),0)</f>
        <v>40894.29</v>
      </c>
      <c r="G12562" s="34" t="n">
        <f aca="false">SUMIFS('12.326ana'!$C:$C,'12.326ana'!$M:$M,redes!A12562)</f>
        <v>178.56</v>
      </c>
    </row>
    <row r="12563" customFormat="false" ht="14.4" hidden="true" customHeight="false" outlineLevel="0" collapsed="false">
      <c r="A12563" s="34" t="n">
        <v>12887575000157</v>
      </c>
      <c r="B12563" s="34" t="s">
        <v>24131</v>
      </c>
      <c r="C12563" s="34" t="s">
        <v>357</v>
      </c>
      <c r="E12563" s="30" t="s">
        <v>24132</v>
      </c>
      <c r="F12563" s="34" t="n">
        <f aca="false">IFERROR(VLOOKUP($A12563,'319'!$B:$H,7,0),0)</f>
        <v>0</v>
      </c>
      <c r="G12563" s="34" t="n">
        <f aca="false">SUMIFS('12.326ana'!$C:$C,'12.326ana'!$M:$M,redes!A12563)</f>
        <v>0</v>
      </c>
    </row>
    <row r="12564" customFormat="false" ht="14.4" hidden="true" customHeight="false" outlineLevel="0" collapsed="false">
      <c r="A12564" s="34" t="n">
        <v>12900455000142</v>
      </c>
      <c r="B12564" s="34" t="s">
        <v>24133</v>
      </c>
      <c r="C12564" s="34" t="s">
        <v>737</v>
      </c>
      <c r="E12564" s="30" t="s">
        <v>24134</v>
      </c>
      <c r="F12564" s="34" t="n">
        <f aca="false">IFERROR(VLOOKUP($A12564,'319'!$B:$H,7,0),0)</f>
        <v>0</v>
      </c>
      <c r="G12564" s="34" t="n">
        <f aca="false">SUMIFS('12.326ana'!$C:$C,'12.326ana'!$M:$M,redes!A12564)</f>
        <v>0</v>
      </c>
    </row>
    <row r="12565" customFormat="false" ht="14.4" hidden="true" customHeight="false" outlineLevel="0" collapsed="false">
      <c r="A12565" s="34" t="n">
        <v>12905213000141</v>
      </c>
      <c r="B12565" s="34" t="s">
        <v>24135</v>
      </c>
      <c r="C12565" s="34" t="s">
        <v>77</v>
      </c>
      <c r="E12565" s="30" t="s">
        <v>24136</v>
      </c>
      <c r="F12565" s="34" t="n">
        <f aca="false">IFERROR(VLOOKUP($A12565,'319'!$B:$H,7,0),0)</f>
        <v>0</v>
      </c>
      <c r="G12565" s="34" t="n">
        <f aca="false">SUMIFS('12.326ana'!$C:$C,'12.326ana'!$M:$M,redes!A12565)</f>
        <v>0</v>
      </c>
    </row>
    <row r="12566" customFormat="false" ht="14.4" hidden="true" customHeight="false" outlineLevel="0" collapsed="false">
      <c r="A12566" s="34" t="n">
        <v>12908951000142</v>
      </c>
      <c r="B12566" s="34" t="s">
        <v>24137</v>
      </c>
      <c r="C12566" s="34" t="s">
        <v>77</v>
      </c>
      <c r="E12566" s="30" t="s">
        <v>3959</v>
      </c>
      <c r="F12566" s="34" t="n">
        <f aca="false">IFERROR(VLOOKUP($A12566,'319'!$B:$H,7,0),0)</f>
        <v>0</v>
      </c>
      <c r="G12566" s="34" t="n">
        <f aca="false">SUMIFS('12.326ana'!$C:$C,'12.326ana'!$M:$M,redes!A12566)</f>
        <v>0</v>
      </c>
    </row>
    <row r="12567" customFormat="false" ht="14.4" hidden="true" customHeight="false" outlineLevel="0" collapsed="false">
      <c r="A12567" s="34" t="n">
        <v>12921886000195</v>
      </c>
      <c r="B12567" s="34" t="s">
        <v>24138</v>
      </c>
      <c r="C12567" s="34" t="s">
        <v>197</v>
      </c>
      <c r="E12567" s="30" t="s">
        <v>24139</v>
      </c>
      <c r="F12567" s="34" t="n">
        <f aca="false">IFERROR(VLOOKUP($A12567,'319'!$B:$H,7,0),0)</f>
        <v>0</v>
      </c>
      <c r="G12567" s="34" t="n">
        <f aca="false">SUMIFS('12.326ana'!$C:$C,'12.326ana'!$M:$M,redes!A12567)</f>
        <v>0</v>
      </c>
    </row>
    <row r="12568" customFormat="false" ht="14.4" hidden="true" customHeight="false" outlineLevel="0" collapsed="false">
      <c r="A12568" s="34" t="n">
        <v>12926152000107</v>
      </c>
      <c r="B12568" s="34" t="s">
        <v>24140</v>
      </c>
      <c r="C12568" s="34" t="s">
        <v>473</v>
      </c>
      <c r="E12568" s="30" t="s">
        <v>24141</v>
      </c>
      <c r="F12568" s="34" t="n">
        <f aca="false">IFERROR(VLOOKUP($A12568,'319'!$B:$H,7,0),0)</f>
        <v>0</v>
      </c>
      <c r="G12568" s="34" t="n">
        <f aca="false">SUMIFS('12.326ana'!$C:$C,'12.326ana'!$M:$M,redes!A12568)</f>
        <v>0</v>
      </c>
    </row>
    <row r="12569" customFormat="false" ht="14.4" hidden="true" customHeight="false" outlineLevel="0" collapsed="false">
      <c r="A12569" s="34" t="n">
        <v>12930711000144</v>
      </c>
      <c r="B12569" s="34" t="s">
        <v>24142</v>
      </c>
      <c r="C12569" s="34" t="s">
        <v>604</v>
      </c>
      <c r="E12569" s="30" t="s">
        <v>24143</v>
      </c>
      <c r="F12569" s="34" t="n">
        <f aca="false">IFERROR(VLOOKUP($A12569,'319'!$B:$H,7,0),0)</f>
        <v>0</v>
      </c>
      <c r="G12569" s="34" t="n">
        <f aca="false">SUMIFS('12.326ana'!$C:$C,'12.326ana'!$M:$M,redes!A12569)</f>
        <v>0</v>
      </c>
    </row>
    <row r="12570" customFormat="false" ht="14.4" hidden="true" customHeight="false" outlineLevel="0" collapsed="false">
      <c r="A12570" s="34" t="n">
        <v>12931448000108</v>
      </c>
      <c r="B12570" s="34" t="s">
        <v>24144</v>
      </c>
      <c r="C12570" s="34" t="s">
        <v>77</v>
      </c>
      <c r="E12570" s="30" t="s">
        <v>24144</v>
      </c>
      <c r="F12570" s="34" t="n">
        <f aca="false">IFERROR(VLOOKUP($A12570,'319'!$B:$H,7,0),0)</f>
        <v>0</v>
      </c>
      <c r="G12570" s="34" t="n">
        <f aca="false">SUMIFS('12.326ana'!$C:$C,'12.326ana'!$M:$M,redes!A12570)</f>
        <v>0</v>
      </c>
    </row>
    <row r="12571" customFormat="false" ht="14.4" hidden="true" customHeight="false" outlineLevel="0" collapsed="false">
      <c r="A12571" s="34" t="n">
        <v>12932673000169</v>
      </c>
      <c r="B12571" s="34" t="s">
        <v>24145</v>
      </c>
      <c r="C12571" s="34" t="s">
        <v>565</v>
      </c>
      <c r="E12571" s="30" t="s">
        <v>24146</v>
      </c>
      <c r="F12571" s="34" t="n">
        <f aca="false">IFERROR(VLOOKUP($A12571,'319'!$B:$H,7,0),0)</f>
        <v>0</v>
      </c>
      <c r="G12571" s="34" t="n">
        <f aca="false">SUMIFS('12.326ana'!$C:$C,'12.326ana'!$M:$M,redes!A12571)</f>
        <v>0</v>
      </c>
    </row>
    <row r="12572" customFormat="false" ht="14.4" hidden="true" customHeight="false" outlineLevel="0" collapsed="false">
      <c r="A12572" s="34" t="n">
        <v>12934513000159</v>
      </c>
      <c r="B12572" s="34" t="s">
        <v>24147</v>
      </c>
      <c r="C12572" s="34" t="s">
        <v>935</v>
      </c>
      <c r="E12572" s="30"/>
      <c r="F12572" s="34" t="n">
        <f aca="false">IFERROR(VLOOKUP($A12572,'319'!$B:$H,7,0),0)</f>
        <v>0</v>
      </c>
      <c r="G12572" s="34" t="n">
        <f aca="false">SUMIFS('12.326ana'!$C:$C,'12.326ana'!$M:$M,redes!A12572)</f>
        <v>0</v>
      </c>
    </row>
    <row r="12573" customFormat="false" ht="14.4" hidden="true" customHeight="false" outlineLevel="0" collapsed="false">
      <c r="A12573" s="34" t="n">
        <v>12934721000158</v>
      </c>
      <c r="B12573" s="34" t="s">
        <v>24148</v>
      </c>
      <c r="C12573" s="34" t="s">
        <v>336</v>
      </c>
      <c r="D12573" s="34" t="s">
        <v>5602</v>
      </c>
      <c r="E12573" s="30" t="s">
        <v>12707</v>
      </c>
      <c r="F12573" s="34" t="n">
        <f aca="false">IFERROR(VLOOKUP($A12573,'319'!$B:$H,7,0),0)</f>
        <v>182.83</v>
      </c>
      <c r="G12573" s="34" t="n">
        <f aca="false">SUMIFS('12.326ana'!$C:$C,'12.326ana'!$M:$M,redes!A12573)</f>
        <v>178.56</v>
      </c>
    </row>
    <row r="12574" customFormat="false" ht="14.4" hidden="true" customHeight="false" outlineLevel="0" collapsed="false">
      <c r="A12574" s="34" t="n">
        <v>12934721000239</v>
      </c>
      <c r="B12574" s="34" t="s">
        <v>24149</v>
      </c>
      <c r="C12574" s="34" t="s">
        <v>336</v>
      </c>
      <c r="E12574" s="30" t="s">
        <v>12707</v>
      </c>
      <c r="F12574" s="34" t="n">
        <f aca="false">IFERROR(VLOOKUP($A12574,'319'!$B:$H,7,0),0)</f>
        <v>0</v>
      </c>
      <c r="G12574" s="34" t="n">
        <f aca="false">SUMIFS('12.326ana'!$C:$C,'12.326ana'!$M:$M,redes!A12574)</f>
        <v>0</v>
      </c>
    </row>
    <row r="12575" customFormat="false" ht="14.4" hidden="true" customHeight="false" outlineLevel="0" collapsed="false">
      <c r="A12575" s="34" t="n">
        <v>12938449000184</v>
      </c>
      <c r="B12575" s="34" t="s">
        <v>24150</v>
      </c>
      <c r="C12575" s="34" t="s">
        <v>737</v>
      </c>
      <c r="E12575" s="30" t="s">
        <v>8577</v>
      </c>
      <c r="F12575" s="34" t="n">
        <f aca="false">IFERROR(VLOOKUP($A12575,'319'!$B:$H,7,0),0)</f>
        <v>0</v>
      </c>
      <c r="G12575" s="34" t="n">
        <f aca="false">SUMIFS('12.326ana'!$C:$C,'12.326ana'!$M:$M,redes!A12575)</f>
        <v>0</v>
      </c>
    </row>
    <row r="12576" customFormat="false" ht="14.4" hidden="true" customHeight="false" outlineLevel="0" collapsed="false">
      <c r="A12576" s="34" t="n">
        <v>12939588000122</v>
      </c>
      <c r="B12576" s="34" t="s">
        <v>24151</v>
      </c>
      <c r="C12576" s="34" t="s">
        <v>77</v>
      </c>
      <c r="D12576" s="34" t="s">
        <v>14249</v>
      </c>
      <c r="E12576" s="30" t="s">
        <v>24151</v>
      </c>
      <c r="F12576" s="34" t="n">
        <f aca="false">IFERROR(VLOOKUP($A12576,'319'!$B:$H,7,0),0)</f>
        <v>0</v>
      </c>
      <c r="G12576" s="34" t="n">
        <f aca="false">SUMIFS('12.326ana'!$C:$C,'12.326ana'!$M:$M,redes!A12576)</f>
        <v>0</v>
      </c>
    </row>
    <row r="12577" customFormat="false" ht="14.4" hidden="true" customHeight="false" outlineLevel="0" collapsed="false">
      <c r="A12577" s="34" t="n">
        <v>12939588000203</v>
      </c>
      <c r="B12577" s="34" t="s">
        <v>24151</v>
      </c>
      <c r="C12577" s="34" t="s">
        <v>77</v>
      </c>
      <c r="E12577" s="30" t="s">
        <v>12434</v>
      </c>
      <c r="F12577" s="34" t="n">
        <f aca="false">IFERROR(VLOOKUP($A12577,'319'!$B:$H,7,0),0)</f>
        <v>0</v>
      </c>
      <c r="G12577" s="34" t="n">
        <f aca="false">SUMIFS('12.326ana'!$C:$C,'12.326ana'!$M:$M,redes!A12577)</f>
        <v>0</v>
      </c>
    </row>
    <row r="12578" customFormat="false" ht="14.4" hidden="true" customHeight="false" outlineLevel="0" collapsed="false">
      <c r="A12578" s="34" t="n">
        <v>12939588000394</v>
      </c>
      <c r="B12578" s="34" t="s">
        <v>24152</v>
      </c>
      <c r="C12578" s="34" t="s">
        <v>77</v>
      </c>
      <c r="D12578" s="34" t="s">
        <v>14249</v>
      </c>
      <c r="E12578" s="30" t="s">
        <v>12434</v>
      </c>
      <c r="F12578" s="34" t="n">
        <f aca="false">IFERROR(VLOOKUP($A12578,'319'!$B:$H,7,0),0)</f>
        <v>0</v>
      </c>
      <c r="G12578" s="34" t="n">
        <f aca="false">SUMIFS('12.326ana'!$C:$C,'12.326ana'!$M:$M,redes!A12578)</f>
        <v>0</v>
      </c>
    </row>
    <row r="12579" customFormat="false" ht="14.4" hidden="true" customHeight="false" outlineLevel="0" collapsed="false">
      <c r="A12579" s="34" t="n">
        <v>12940362000141</v>
      </c>
      <c r="B12579" s="34" t="s">
        <v>24153</v>
      </c>
      <c r="C12579" s="34" t="s">
        <v>89</v>
      </c>
      <c r="E12579" s="30" t="s">
        <v>24154</v>
      </c>
      <c r="F12579" s="34" t="n">
        <f aca="false">IFERROR(VLOOKUP($A12579,'319'!$B:$H,7,0),0)</f>
        <v>0</v>
      </c>
      <c r="G12579" s="34" t="n">
        <f aca="false">SUMIFS('12.326ana'!$C:$C,'12.326ana'!$M:$M,redes!A12579)</f>
        <v>0</v>
      </c>
    </row>
    <row r="12580" customFormat="false" ht="14.4" hidden="true" customHeight="false" outlineLevel="0" collapsed="false">
      <c r="A12580" s="34" t="n">
        <v>12940791000119</v>
      </c>
      <c r="B12580" s="34" t="s">
        <v>24155</v>
      </c>
      <c r="C12580" s="34" t="s">
        <v>77</v>
      </c>
      <c r="E12580" s="30" t="s">
        <v>24156</v>
      </c>
      <c r="F12580" s="34" t="n">
        <f aca="false">IFERROR(VLOOKUP($A12580,'319'!$B:$H,7,0),0)</f>
        <v>0</v>
      </c>
      <c r="G12580" s="34" t="n">
        <f aca="false">SUMIFS('12.326ana'!$C:$C,'12.326ana'!$M:$M,redes!A12580)</f>
        <v>0</v>
      </c>
    </row>
    <row r="12581" customFormat="false" ht="14.4" hidden="true" customHeight="false" outlineLevel="0" collapsed="false">
      <c r="A12581" s="34" t="n">
        <v>12964621000174</v>
      </c>
      <c r="B12581" s="34" t="s">
        <v>24157</v>
      </c>
      <c r="C12581" s="34" t="s">
        <v>107</v>
      </c>
      <c r="E12581" s="30" t="s">
        <v>9719</v>
      </c>
      <c r="F12581" s="34" t="n">
        <f aca="false">IFERROR(VLOOKUP($A12581,'319'!$B:$H,7,0),0)</f>
        <v>0</v>
      </c>
      <c r="G12581" s="34" t="n">
        <f aca="false">SUMIFS('12.326ana'!$C:$C,'12.326ana'!$M:$M,redes!A12581)</f>
        <v>0</v>
      </c>
    </row>
    <row r="12582" customFormat="false" ht="14.4" hidden="true" customHeight="false" outlineLevel="0" collapsed="false">
      <c r="A12582" s="34" t="n">
        <v>12964908000102</v>
      </c>
      <c r="B12582" s="34" t="s">
        <v>24158</v>
      </c>
      <c r="C12582" s="34" t="s">
        <v>127</v>
      </c>
      <c r="E12582" s="30" t="s">
        <v>24159</v>
      </c>
      <c r="F12582" s="34" t="n">
        <f aca="false">IFERROR(VLOOKUP($A12582,'319'!$B:$H,7,0),0)</f>
        <v>0</v>
      </c>
      <c r="G12582" s="34" t="n">
        <f aca="false">SUMIFS('12.326ana'!$C:$C,'12.326ana'!$M:$M,redes!A12582)</f>
        <v>0</v>
      </c>
    </row>
    <row r="12583" customFormat="false" ht="14.4" hidden="true" customHeight="false" outlineLevel="0" collapsed="false">
      <c r="A12583" s="34" t="n">
        <v>12966100000156</v>
      </c>
      <c r="B12583" s="34" t="s">
        <v>24160</v>
      </c>
      <c r="C12583" s="34" t="s">
        <v>464</v>
      </c>
      <c r="E12583" s="30" t="s">
        <v>24161</v>
      </c>
      <c r="F12583" s="34" t="n">
        <f aca="false">IFERROR(VLOOKUP($A12583,'319'!$B:$H,7,0),0)</f>
        <v>0</v>
      </c>
      <c r="G12583" s="34" t="n">
        <f aca="false">SUMIFS('12.326ana'!$C:$C,'12.326ana'!$M:$M,redes!A12583)</f>
        <v>0</v>
      </c>
    </row>
    <row r="12584" customFormat="false" ht="14.4" hidden="true" customHeight="false" outlineLevel="0" collapsed="false">
      <c r="A12584" s="34" t="n">
        <v>12966665000133</v>
      </c>
      <c r="B12584" s="34" t="s">
        <v>24162</v>
      </c>
      <c r="C12584" s="34" t="s">
        <v>77</v>
      </c>
      <c r="E12584" s="30" t="s">
        <v>24163</v>
      </c>
      <c r="F12584" s="34" t="n">
        <f aca="false">IFERROR(VLOOKUP($A12584,'319'!$B:$H,7,0),0)</f>
        <v>0</v>
      </c>
      <c r="G12584" s="34" t="n">
        <f aca="false">SUMIFS('12.326ana'!$C:$C,'12.326ana'!$M:$M,redes!A12584)</f>
        <v>0</v>
      </c>
    </row>
    <row r="12585" customFormat="false" ht="14.4" hidden="true" customHeight="false" outlineLevel="0" collapsed="false">
      <c r="A12585" s="34" t="n">
        <v>12970924000108</v>
      </c>
      <c r="B12585" s="34" t="s">
        <v>24164</v>
      </c>
      <c r="C12585" s="34" t="s">
        <v>7250</v>
      </c>
      <c r="E12585" s="30" t="s">
        <v>24165</v>
      </c>
      <c r="F12585" s="34" t="n">
        <f aca="false">IFERROR(VLOOKUP($A12585,'319'!$B:$H,7,0),0)</f>
        <v>0</v>
      </c>
      <c r="G12585" s="34" t="n">
        <f aca="false">SUMIFS('12.326ana'!$C:$C,'12.326ana'!$M:$M,redes!A12585)</f>
        <v>0</v>
      </c>
    </row>
    <row r="12586" customFormat="false" ht="14.4" hidden="true" customHeight="false" outlineLevel="0" collapsed="false">
      <c r="A12586" s="34" t="n">
        <v>12972884000125</v>
      </c>
      <c r="B12586" s="34" t="s">
        <v>24166</v>
      </c>
      <c r="C12586" s="34" t="s">
        <v>139</v>
      </c>
      <c r="E12586" s="30" t="s">
        <v>4614</v>
      </c>
      <c r="F12586" s="34" t="n">
        <f aca="false">IFERROR(VLOOKUP($A12586,'319'!$B:$H,7,0),0)</f>
        <v>0</v>
      </c>
      <c r="G12586" s="34" t="n">
        <f aca="false">SUMIFS('12.326ana'!$C:$C,'12.326ana'!$M:$M,redes!A12586)</f>
        <v>0</v>
      </c>
    </row>
    <row r="12587" customFormat="false" ht="14.4" hidden="true" customHeight="false" outlineLevel="0" collapsed="false">
      <c r="A12587" s="34" t="n">
        <v>12978390000158</v>
      </c>
      <c r="B12587" s="34" t="s">
        <v>24167</v>
      </c>
      <c r="C12587" s="34" t="s">
        <v>1272</v>
      </c>
      <c r="E12587" s="30" t="s">
        <v>24168</v>
      </c>
      <c r="F12587" s="34" t="n">
        <f aca="false">IFERROR(VLOOKUP($A12587,'319'!$B:$H,7,0),0)</f>
        <v>0</v>
      </c>
      <c r="G12587" s="34" t="n">
        <f aca="false">SUMIFS('12.326ana'!$C:$C,'12.326ana'!$M:$M,redes!A12587)</f>
        <v>0</v>
      </c>
    </row>
    <row r="12588" customFormat="false" ht="14.4" hidden="true" customHeight="false" outlineLevel="0" collapsed="false">
      <c r="A12588" s="34" t="n">
        <v>12978700000134</v>
      </c>
      <c r="B12588" s="34" t="s">
        <v>24169</v>
      </c>
      <c r="C12588" s="34" t="s">
        <v>89</v>
      </c>
      <c r="E12588" s="30" t="s">
        <v>24170</v>
      </c>
      <c r="F12588" s="34" t="n">
        <f aca="false">IFERROR(VLOOKUP($A12588,'319'!$B:$H,7,0),0)</f>
        <v>0</v>
      </c>
      <c r="G12588" s="34" t="n">
        <f aca="false">SUMIFS('12.326ana'!$C:$C,'12.326ana'!$M:$M,redes!A12588)</f>
        <v>0</v>
      </c>
    </row>
    <row r="12589" customFormat="false" ht="14.4" hidden="true" customHeight="false" outlineLevel="0" collapsed="false">
      <c r="A12589" s="34" t="n">
        <v>12981471000107</v>
      </c>
      <c r="B12589" s="34" t="s">
        <v>24171</v>
      </c>
      <c r="C12589" s="34" t="s">
        <v>4261</v>
      </c>
      <c r="E12589" s="30" t="s">
        <v>24172</v>
      </c>
      <c r="F12589" s="34" t="n">
        <f aca="false">IFERROR(VLOOKUP($A12589,'319'!$B:$H,7,0),0)</f>
        <v>0</v>
      </c>
      <c r="G12589" s="34" t="n">
        <f aca="false">SUMIFS('12.326ana'!$C:$C,'12.326ana'!$M:$M,redes!A12589)</f>
        <v>0</v>
      </c>
    </row>
    <row r="12590" customFormat="false" ht="14.4" hidden="true" customHeight="false" outlineLevel="0" collapsed="false">
      <c r="A12590" s="34" t="n">
        <v>12984038000125</v>
      </c>
      <c r="B12590" s="34" t="s">
        <v>24173</v>
      </c>
      <c r="C12590" s="34" t="s">
        <v>680</v>
      </c>
      <c r="E12590" s="30" t="s">
        <v>10751</v>
      </c>
      <c r="F12590" s="34" t="n">
        <f aca="false">IFERROR(VLOOKUP($A12590,'319'!$B:$H,7,0),0)</f>
        <v>0</v>
      </c>
      <c r="G12590" s="34" t="n">
        <f aca="false">SUMIFS('12.326ana'!$C:$C,'12.326ana'!$M:$M,redes!A12590)</f>
        <v>0</v>
      </c>
    </row>
    <row r="12591" customFormat="false" ht="14.4" hidden="true" customHeight="false" outlineLevel="0" collapsed="false">
      <c r="A12591" s="34" t="n">
        <v>12995706000110</v>
      </c>
      <c r="B12591" s="34" t="s">
        <v>24174</v>
      </c>
      <c r="C12591" s="34" t="s">
        <v>604</v>
      </c>
      <c r="E12591" s="30" t="s">
        <v>20759</v>
      </c>
      <c r="F12591" s="34" t="n">
        <f aca="false">IFERROR(VLOOKUP($A12591,'319'!$B:$H,7,0),0)</f>
        <v>0</v>
      </c>
      <c r="G12591" s="34" t="n">
        <f aca="false">SUMIFS('12.326ana'!$C:$C,'12.326ana'!$M:$M,redes!A12591)</f>
        <v>0</v>
      </c>
    </row>
    <row r="12592" customFormat="false" ht="14.4" hidden="true" customHeight="false" outlineLevel="0" collapsed="false">
      <c r="A12592" s="34" t="n">
        <v>13003840000150</v>
      </c>
      <c r="B12592" s="34" t="s">
        <v>24175</v>
      </c>
      <c r="C12592" s="34" t="s">
        <v>139</v>
      </c>
      <c r="E12592" s="30" t="s">
        <v>24175</v>
      </c>
      <c r="F12592" s="34" t="n">
        <f aca="false">IFERROR(VLOOKUP($A12592,'319'!$B:$H,7,0),0)</f>
        <v>0</v>
      </c>
      <c r="G12592" s="34" t="n">
        <f aca="false">SUMIFS('12.326ana'!$C:$C,'12.326ana'!$M:$M,redes!A12592)</f>
        <v>0</v>
      </c>
    </row>
    <row r="12593" customFormat="false" ht="14.4" hidden="true" customHeight="false" outlineLevel="0" collapsed="false">
      <c r="A12593" s="34" t="n">
        <v>13004236000148</v>
      </c>
      <c r="B12593" s="34" t="s">
        <v>24176</v>
      </c>
      <c r="C12593" s="34" t="s">
        <v>89</v>
      </c>
      <c r="E12593" s="30" t="s">
        <v>24177</v>
      </c>
      <c r="F12593" s="34" t="n">
        <f aca="false">IFERROR(VLOOKUP($A12593,'319'!$B:$H,7,0),0)</f>
        <v>0</v>
      </c>
      <c r="G12593" s="34" t="n">
        <f aca="false">SUMIFS('12.326ana'!$C:$C,'12.326ana'!$M:$M,redes!A12593)</f>
        <v>0</v>
      </c>
    </row>
    <row r="12594" customFormat="false" ht="14.4" hidden="true" customHeight="false" outlineLevel="0" collapsed="false">
      <c r="A12594" s="34" t="n">
        <v>13010326000141</v>
      </c>
      <c r="B12594" s="34" t="s">
        <v>24178</v>
      </c>
      <c r="C12594" s="34" t="s">
        <v>77</v>
      </c>
      <c r="E12594" s="30" t="s">
        <v>16584</v>
      </c>
      <c r="F12594" s="34" t="n">
        <f aca="false">IFERROR(VLOOKUP($A12594,'319'!$B:$H,7,0),0)</f>
        <v>0</v>
      </c>
      <c r="G12594" s="34" t="n">
        <f aca="false">SUMIFS('12.326ana'!$C:$C,'12.326ana'!$M:$M,redes!A12594)</f>
        <v>0</v>
      </c>
    </row>
    <row r="12595" customFormat="false" ht="14.4" hidden="true" customHeight="false" outlineLevel="0" collapsed="false">
      <c r="A12595" s="34" t="n">
        <v>13017597000129</v>
      </c>
      <c r="B12595" s="34" t="s">
        <v>24179</v>
      </c>
      <c r="C12595" s="34" t="s">
        <v>89</v>
      </c>
      <c r="E12595" s="30" t="s">
        <v>24180</v>
      </c>
      <c r="F12595" s="34" t="n">
        <f aca="false">IFERROR(VLOOKUP($A12595,'319'!$B:$H,7,0),0)</f>
        <v>0</v>
      </c>
      <c r="G12595" s="34" t="n">
        <f aca="false">SUMIFS('12.326ana'!$C:$C,'12.326ana'!$M:$M,redes!A12595)</f>
        <v>0</v>
      </c>
    </row>
    <row r="12596" customFormat="false" ht="14.4" hidden="true" customHeight="false" outlineLevel="0" collapsed="false">
      <c r="A12596" s="34" t="n">
        <v>13019232000133</v>
      </c>
      <c r="B12596" s="34" t="s">
        <v>24181</v>
      </c>
      <c r="C12596" s="34" t="s">
        <v>89</v>
      </c>
      <c r="E12596" s="30" t="s">
        <v>24182</v>
      </c>
      <c r="F12596" s="34" t="n">
        <f aca="false">IFERROR(VLOOKUP($A12596,'319'!$B:$H,7,0),0)</f>
        <v>0</v>
      </c>
      <c r="G12596" s="34" t="n">
        <f aca="false">SUMIFS('12.326ana'!$C:$C,'12.326ana'!$M:$M,redes!A12596)</f>
        <v>0</v>
      </c>
    </row>
    <row r="12597" customFormat="false" ht="14.4" hidden="true" customHeight="false" outlineLevel="0" collapsed="false">
      <c r="A12597" s="34" t="n">
        <v>13026017000160</v>
      </c>
      <c r="B12597" s="34" t="s">
        <v>24183</v>
      </c>
      <c r="C12597" s="34" t="s">
        <v>336</v>
      </c>
      <c r="E12597" s="30" t="s">
        <v>24184</v>
      </c>
      <c r="F12597" s="34" t="n">
        <f aca="false">IFERROR(VLOOKUP($A12597,'319'!$B:$H,7,0),0)</f>
        <v>0</v>
      </c>
      <c r="G12597" s="34" t="n">
        <f aca="false">SUMIFS('12.326ana'!$C:$C,'12.326ana'!$M:$M,redes!A12597)</f>
        <v>0</v>
      </c>
    </row>
    <row r="12598" customFormat="false" ht="14.4" hidden="true" customHeight="false" outlineLevel="0" collapsed="false">
      <c r="A12598" s="34" t="n">
        <v>13028598000179</v>
      </c>
      <c r="B12598" s="34" t="s">
        <v>24185</v>
      </c>
      <c r="C12598" s="34" t="s">
        <v>77</v>
      </c>
      <c r="E12598" s="30" t="s">
        <v>5682</v>
      </c>
      <c r="F12598" s="34" t="n">
        <f aca="false">IFERROR(VLOOKUP($A12598,'319'!$B:$H,7,0),0)</f>
        <v>0</v>
      </c>
      <c r="G12598" s="34" t="n">
        <f aca="false">SUMIFS('12.326ana'!$C:$C,'12.326ana'!$M:$M,redes!A12598)</f>
        <v>0</v>
      </c>
    </row>
    <row r="12599" customFormat="false" ht="14.4" hidden="true" customHeight="false" outlineLevel="0" collapsed="false">
      <c r="A12599" s="34" t="n">
        <v>13029758000102</v>
      </c>
      <c r="B12599" s="34" t="s">
        <v>24186</v>
      </c>
      <c r="C12599" s="34" t="s">
        <v>77</v>
      </c>
      <c r="E12599" s="30" t="s">
        <v>24187</v>
      </c>
      <c r="F12599" s="34" t="n">
        <f aca="false">IFERROR(VLOOKUP($A12599,'319'!$B:$H,7,0),0)</f>
        <v>0</v>
      </c>
      <c r="G12599" s="34" t="n">
        <f aca="false">SUMIFS('12.326ana'!$C:$C,'12.326ana'!$M:$M,redes!A12599)</f>
        <v>0</v>
      </c>
    </row>
    <row r="12600" customFormat="false" ht="14.4" hidden="true" customHeight="false" outlineLevel="0" collapsed="false">
      <c r="A12600" s="34" t="n">
        <v>13054172000190</v>
      </c>
      <c r="B12600" s="34" t="s">
        <v>24188</v>
      </c>
      <c r="C12600" s="34" t="s">
        <v>377</v>
      </c>
      <c r="E12600" s="30" t="s">
        <v>24189</v>
      </c>
      <c r="F12600" s="34" t="n">
        <f aca="false">IFERROR(VLOOKUP($A12600,'319'!$B:$H,7,0),0)</f>
        <v>0</v>
      </c>
      <c r="G12600" s="34" t="n">
        <f aca="false">SUMIFS('12.326ana'!$C:$C,'12.326ana'!$M:$M,redes!A12600)</f>
        <v>0</v>
      </c>
    </row>
    <row r="12601" customFormat="false" ht="14.4" hidden="true" customHeight="false" outlineLevel="0" collapsed="false">
      <c r="A12601" s="34" t="n">
        <v>13054559000146</v>
      </c>
      <c r="B12601" s="34" t="s">
        <v>24190</v>
      </c>
      <c r="C12601" s="34" t="s">
        <v>192</v>
      </c>
      <c r="E12601" s="30" t="s">
        <v>7010</v>
      </c>
      <c r="F12601" s="34" t="n">
        <f aca="false">IFERROR(VLOOKUP($A12601,'319'!$B:$H,7,0),0)</f>
        <v>0</v>
      </c>
      <c r="G12601" s="34" t="n">
        <f aca="false">SUMIFS('12.326ana'!$C:$C,'12.326ana'!$M:$M,redes!A12601)</f>
        <v>0</v>
      </c>
    </row>
    <row r="12602" customFormat="false" ht="14.4" hidden="true" customHeight="false" outlineLevel="0" collapsed="false">
      <c r="A12602" s="34" t="n">
        <v>13063093000145</v>
      </c>
      <c r="B12602" s="34" t="s">
        <v>24191</v>
      </c>
      <c r="C12602" s="34" t="s">
        <v>77</v>
      </c>
      <c r="E12602" s="30" t="s">
        <v>24192</v>
      </c>
      <c r="F12602" s="34" t="n">
        <f aca="false">IFERROR(VLOOKUP($A12602,'319'!$B:$H,7,0),0)</f>
        <v>271.19</v>
      </c>
      <c r="G12602" s="34" t="n">
        <f aca="false">SUMIFS('12.326ana'!$C:$C,'12.326ana'!$M:$M,redes!A12602)</f>
        <v>0</v>
      </c>
    </row>
    <row r="12603" customFormat="false" ht="14.4" hidden="true" customHeight="false" outlineLevel="0" collapsed="false">
      <c r="A12603" s="34" t="n">
        <v>13063093000226</v>
      </c>
      <c r="B12603" s="34" t="s">
        <v>24191</v>
      </c>
      <c r="C12603" s="34" t="s">
        <v>77</v>
      </c>
      <c r="E12603" s="30" t="s">
        <v>24193</v>
      </c>
      <c r="F12603" s="34" t="n">
        <f aca="false">IFERROR(VLOOKUP($A12603,'319'!$B:$H,7,0),0)</f>
        <v>628.72</v>
      </c>
      <c r="G12603" s="34" t="n">
        <f aca="false">SUMIFS('12.326ana'!$C:$C,'12.326ana'!$M:$M,redes!A12603)</f>
        <v>0</v>
      </c>
    </row>
    <row r="12604" customFormat="false" ht="14.4" hidden="true" customHeight="false" outlineLevel="0" collapsed="false">
      <c r="A12604" s="34" t="n">
        <v>13071718000110</v>
      </c>
      <c r="B12604" s="34" t="s">
        <v>24194</v>
      </c>
      <c r="C12604" s="34" t="s">
        <v>309</v>
      </c>
      <c r="E12604" s="30" t="s">
        <v>24195</v>
      </c>
      <c r="F12604" s="34" t="n">
        <f aca="false">IFERROR(VLOOKUP($A12604,'319'!$B:$H,7,0),0)</f>
        <v>0</v>
      </c>
      <c r="G12604" s="34" t="n">
        <f aca="false">SUMIFS('12.326ana'!$C:$C,'12.326ana'!$M:$M,redes!A12604)</f>
        <v>0</v>
      </c>
    </row>
    <row r="12605" customFormat="false" ht="14.4" hidden="true" customHeight="false" outlineLevel="0" collapsed="false">
      <c r="A12605" s="34" t="n">
        <v>13073049000116</v>
      </c>
      <c r="B12605" s="34" t="s">
        <v>6086</v>
      </c>
      <c r="C12605" s="34" t="s">
        <v>77</v>
      </c>
      <c r="E12605" s="30" t="s">
        <v>24196</v>
      </c>
      <c r="F12605" s="34" t="n">
        <f aca="false">IFERROR(VLOOKUP($A12605,'319'!$B:$H,7,0),0)</f>
        <v>0</v>
      </c>
      <c r="G12605" s="34" t="n">
        <f aca="false">SUMIFS('12.326ana'!$C:$C,'12.326ana'!$M:$M,redes!A12605)</f>
        <v>0</v>
      </c>
    </row>
    <row r="12606" customFormat="false" ht="14.4" hidden="true" customHeight="false" outlineLevel="0" collapsed="false">
      <c r="A12606" s="34" t="n">
        <v>13073819000120</v>
      </c>
      <c r="B12606" s="34" t="s">
        <v>24197</v>
      </c>
      <c r="C12606" s="34" t="s">
        <v>77</v>
      </c>
      <c r="E12606" s="30" t="s">
        <v>24198</v>
      </c>
      <c r="F12606" s="34" t="n">
        <f aca="false">IFERROR(VLOOKUP($A12606,'319'!$B:$H,7,0),0)</f>
        <v>0</v>
      </c>
      <c r="G12606" s="34" t="n">
        <f aca="false">SUMIFS('12.326ana'!$C:$C,'12.326ana'!$M:$M,redes!A12606)</f>
        <v>0</v>
      </c>
    </row>
    <row r="12607" customFormat="false" ht="14.4" hidden="true" customHeight="false" outlineLevel="0" collapsed="false">
      <c r="A12607" s="34" t="n">
        <v>13081256000112</v>
      </c>
      <c r="B12607" s="34" t="s">
        <v>24199</v>
      </c>
      <c r="C12607" s="34" t="s">
        <v>89</v>
      </c>
      <c r="E12607" s="30" t="s">
        <v>3001</v>
      </c>
      <c r="F12607" s="34" t="n">
        <f aca="false">IFERROR(VLOOKUP($A12607,'319'!$B:$H,7,0),0)</f>
        <v>0</v>
      </c>
      <c r="G12607" s="34" t="n">
        <f aca="false">SUMIFS('12.326ana'!$C:$C,'12.326ana'!$M:$M,redes!A12607)</f>
        <v>0</v>
      </c>
    </row>
    <row r="12608" customFormat="false" ht="14.4" hidden="true" customHeight="false" outlineLevel="0" collapsed="false">
      <c r="A12608" s="34" t="n">
        <v>13090730000172</v>
      </c>
      <c r="B12608" s="34" t="s">
        <v>24200</v>
      </c>
      <c r="C12608" s="34" t="s">
        <v>680</v>
      </c>
      <c r="E12608" s="30" t="s">
        <v>24201</v>
      </c>
      <c r="F12608" s="34" t="n">
        <f aca="false">IFERROR(VLOOKUP($A12608,'319'!$B:$H,7,0),0)</f>
        <v>0</v>
      </c>
      <c r="G12608" s="34" t="n">
        <f aca="false">SUMIFS('12.326ana'!$C:$C,'12.326ana'!$M:$M,redes!A12608)</f>
        <v>0</v>
      </c>
    </row>
    <row r="12609" customFormat="false" ht="14.4" hidden="true" customHeight="false" outlineLevel="0" collapsed="false">
      <c r="A12609" s="34" t="n">
        <v>13091805000130</v>
      </c>
      <c r="B12609" s="34" t="s">
        <v>24202</v>
      </c>
      <c r="C12609" s="34" t="s">
        <v>107</v>
      </c>
      <c r="E12609" s="30" t="s">
        <v>23441</v>
      </c>
      <c r="F12609" s="34" t="n">
        <f aca="false">IFERROR(VLOOKUP($A12609,'319'!$B:$H,7,0),0)</f>
        <v>0</v>
      </c>
      <c r="G12609" s="34" t="n">
        <f aca="false">SUMIFS('12.326ana'!$C:$C,'12.326ana'!$M:$M,redes!A12609)</f>
        <v>0</v>
      </c>
    </row>
    <row r="12610" customFormat="false" ht="14.4" hidden="true" customHeight="false" outlineLevel="0" collapsed="false">
      <c r="A12610" s="34" t="n">
        <v>13097859000102</v>
      </c>
      <c r="B12610" s="34" t="s">
        <v>24203</v>
      </c>
      <c r="C12610" s="34" t="s">
        <v>107</v>
      </c>
      <c r="E12610" s="30" t="s">
        <v>24204</v>
      </c>
      <c r="F12610" s="34" t="n">
        <f aca="false">IFERROR(VLOOKUP($A12610,'319'!$B:$H,7,0),0)</f>
        <v>0</v>
      </c>
      <c r="G12610" s="34" t="n">
        <f aca="false">SUMIFS('12.326ana'!$C:$C,'12.326ana'!$M:$M,redes!A12610)</f>
        <v>0</v>
      </c>
    </row>
    <row r="12611" customFormat="false" ht="14.4" hidden="true" customHeight="false" outlineLevel="0" collapsed="false">
      <c r="A12611" s="34" t="n">
        <v>13100733000140</v>
      </c>
      <c r="B12611" s="34" t="s">
        <v>24205</v>
      </c>
      <c r="C12611" s="34" t="s">
        <v>77</v>
      </c>
      <c r="E12611" s="30" t="s">
        <v>12434</v>
      </c>
      <c r="F12611" s="34" t="n">
        <f aca="false">IFERROR(VLOOKUP($A12611,'319'!$B:$H,7,0),0)</f>
        <v>0</v>
      </c>
      <c r="G12611" s="34" t="n">
        <f aca="false">SUMIFS('12.326ana'!$C:$C,'12.326ana'!$M:$M,redes!A12611)</f>
        <v>0</v>
      </c>
    </row>
    <row r="12612" customFormat="false" ht="14.4" hidden="true" customHeight="false" outlineLevel="0" collapsed="false">
      <c r="A12612" s="34" t="n">
        <v>13107733000171</v>
      </c>
      <c r="B12612" s="34" t="s">
        <v>24206</v>
      </c>
      <c r="C12612" s="34" t="s">
        <v>77</v>
      </c>
      <c r="E12612" s="30" t="s">
        <v>24207</v>
      </c>
      <c r="F12612" s="34" t="n">
        <f aca="false">IFERROR(VLOOKUP($A12612,'319'!$B:$H,7,0),0)</f>
        <v>0</v>
      </c>
      <c r="G12612" s="34" t="n">
        <f aca="false">SUMIFS('12.326ana'!$C:$C,'12.326ana'!$M:$M,redes!A12612)</f>
        <v>0</v>
      </c>
    </row>
    <row r="12613" customFormat="false" ht="14.4" hidden="true" customHeight="false" outlineLevel="0" collapsed="false">
      <c r="A12613" s="34" t="n">
        <v>13108746000165</v>
      </c>
      <c r="B12613" s="34" t="s">
        <v>24208</v>
      </c>
      <c r="C12613" s="34" t="s">
        <v>77</v>
      </c>
      <c r="E12613" s="30" t="s">
        <v>24209</v>
      </c>
      <c r="F12613" s="34" t="n">
        <f aca="false">IFERROR(VLOOKUP($A12613,'319'!$B:$H,7,0),0)</f>
        <v>0</v>
      </c>
      <c r="G12613" s="34" t="n">
        <f aca="false">SUMIFS('12.326ana'!$C:$C,'12.326ana'!$M:$M,redes!A12613)</f>
        <v>0</v>
      </c>
    </row>
    <row r="12614" customFormat="false" ht="14.4" hidden="true" customHeight="false" outlineLevel="0" collapsed="false">
      <c r="A12614" s="34" t="n">
        <v>13109192000110</v>
      </c>
      <c r="B12614" s="34" t="s">
        <v>24210</v>
      </c>
      <c r="C12614" s="34" t="s">
        <v>478</v>
      </c>
      <c r="E12614" s="30" t="s">
        <v>24211</v>
      </c>
      <c r="F12614" s="34" t="n">
        <f aca="false">IFERROR(VLOOKUP($A12614,'319'!$B:$H,7,0),0)</f>
        <v>0</v>
      </c>
      <c r="G12614" s="34" t="n">
        <f aca="false">SUMIFS('12.326ana'!$C:$C,'12.326ana'!$M:$M,redes!A12614)</f>
        <v>0</v>
      </c>
    </row>
    <row r="12615" customFormat="false" ht="14.4" hidden="true" customHeight="false" outlineLevel="0" collapsed="false">
      <c r="A12615" s="34" t="n">
        <v>13111178000151</v>
      </c>
      <c r="B12615" s="34" t="s">
        <v>24212</v>
      </c>
      <c r="C12615" s="34" t="s">
        <v>89</v>
      </c>
      <c r="E12615" s="30" t="s">
        <v>4183</v>
      </c>
      <c r="F12615" s="34" t="n">
        <f aca="false">IFERROR(VLOOKUP($A12615,'319'!$B:$H,7,0),0)</f>
        <v>0</v>
      </c>
      <c r="G12615" s="34" t="n">
        <f aca="false">SUMIFS('12.326ana'!$C:$C,'12.326ana'!$M:$M,redes!A12615)</f>
        <v>0</v>
      </c>
    </row>
    <row r="12616" customFormat="false" ht="14.4" hidden="true" customHeight="false" outlineLevel="0" collapsed="false">
      <c r="A12616" s="34" t="n">
        <v>13114306000110</v>
      </c>
      <c r="B12616" s="34" t="s">
        <v>24213</v>
      </c>
      <c r="C12616" s="34" t="s">
        <v>680</v>
      </c>
      <c r="E12616" s="30" t="s">
        <v>7227</v>
      </c>
      <c r="F12616" s="34" t="n">
        <f aca="false">IFERROR(VLOOKUP($A12616,'319'!$B:$H,7,0),0)</f>
        <v>0</v>
      </c>
      <c r="G12616" s="34" t="n">
        <f aca="false">SUMIFS('12.326ana'!$C:$C,'12.326ana'!$M:$M,redes!A12616)</f>
        <v>0</v>
      </c>
    </row>
    <row r="12617" customFormat="false" ht="14.4" hidden="true" customHeight="false" outlineLevel="0" collapsed="false">
      <c r="A12617" s="34" t="n">
        <v>13114892000101</v>
      </c>
      <c r="B12617" s="34" t="s">
        <v>24214</v>
      </c>
      <c r="C12617" s="34" t="s">
        <v>77</v>
      </c>
      <c r="E12617" s="30" t="s">
        <v>24214</v>
      </c>
      <c r="F12617" s="34" t="n">
        <f aca="false">IFERROR(VLOOKUP($A12617,'319'!$B:$H,7,0),0)</f>
        <v>0</v>
      </c>
      <c r="G12617" s="34" t="n">
        <f aca="false">SUMIFS('12.326ana'!$C:$C,'12.326ana'!$M:$M,redes!A12617)</f>
        <v>0</v>
      </c>
    </row>
    <row r="12618" customFormat="false" ht="14.4" hidden="true" customHeight="false" outlineLevel="0" collapsed="false">
      <c r="A12618" s="34" t="n">
        <v>13116075000184</v>
      </c>
      <c r="B12618" s="34" t="s">
        <v>24215</v>
      </c>
      <c r="C12618" s="34" t="s">
        <v>129</v>
      </c>
      <c r="E12618" s="30" t="s">
        <v>24216</v>
      </c>
      <c r="F12618" s="34" t="n">
        <f aca="false">IFERROR(VLOOKUP($A12618,'319'!$B:$H,7,0),0)</f>
        <v>0</v>
      </c>
      <c r="G12618" s="34" t="n">
        <f aca="false">SUMIFS('12.326ana'!$C:$C,'12.326ana'!$M:$M,redes!A12618)</f>
        <v>0</v>
      </c>
    </row>
    <row r="12619" customFormat="false" ht="14.4" hidden="true" customHeight="false" outlineLevel="0" collapsed="false">
      <c r="A12619" s="34" t="n">
        <v>13116115000198</v>
      </c>
      <c r="B12619" s="34" t="s">
        <v>24217</v>
      </c>
      <c r="C12619" s="34" t="s">
        <v>129</v>
      </c>
      <c r="E12619" s="30" t="s">
        <v>24218</v>
      </c>
      <c r="F12619" s="34" t="n">
        <f aca="false">IFERROR(VLOOKUP($A12619,'319'!$B:$H,7,0),0)</f>
        <v>0</v>
      </c>
      <c r="G12619" s="34" t="n">
        <f aca="false">SUMIFS('12.326ana'!$C:$C,'12.326ana'!$M:$M,redes!A12619)</f>
        <v>0</v>
      </c>
    </row>
    <row r="12620" customFormat="false" ht="14.4" hidden="true" customHeight="false" outlineLevel="0" collapsed="false">
      <c r="A12620" s="34" t="n">
        <v>13118060000155</v>
      </c>
      <c r="B12620" s="34" t="s">
        <v>24219</v>
      </c>
      <c r="C12620" s="34" t="s">
        <v>737</v>
      </c>
      <c r="E12620" s="30" t="s">
        <v>24220</v>
      </c>
      <c r="F12620" s="34" t="n">
        <f aca="false">IFERROR(VLOOKUP($A12620,'319'!$B:$H,7,0),0)</f>
        <v>0</v>
      </c>
      <c r="G12620" s="34" t="n">
        <f aca="false">SUMIFS('12.326ana'!$C:$C,'12.326ana'!$M:$M,redes!A12620)</f>
        <v>0</v>
      </c>
    </row>
    <row r="12621" customFormat="false" ht="14.4" hidden="true" customHeight="false" outlineLevel="0" collapsed="false">
      <c r="A12621" s="34" t="n">
        <v>13120941000100</v>
      </c>
      <c r="B12621" s="34" t="s">
        <v>24221</v>
      </c>
      <c r="C12621" s="34" t="s">
        <v>77</v>
      </c>
      <c r="E12621" s="30" t="s">
        <v>24222</v>
      </c>
      <c r="F12621" s="34" t="n">
        <f aca="false">IFERROR(VLOOKUP($A12621,'319'!$B:$H,7,0),0)</f>
        <v>0</v>
      </c>
      <c r="G12621" s="34" t="n">
        <f aca="false">SUMIFS('12.326ana'!$C:$C,'12.326ana'!$M:$M,redes!A12621)</f>
        <v>0</v>
      </c>
    </row>
    <row r="12622" customFormat="false" ht="14.4" hidden="true" customHeight="false" outlineLevel="0" collapsed="false">
      <c r="A12622" s="34" t="n">
        <v>13121866000100</v>
      </c>
      <c r="B12622" s="34" t="s">
        <v>24223</v>
      </c>
      <c r="C12622" s="34" t="s">
        <v>107</v>
      </c>
      <c r="E12622" s="30" t="s">
        <v>24224</v>
      </c>
      <c r="F12622" s="34" t="n">
        <f aca="false">IFERROR(VLOOKUP($A12622,'319'!$B:$H,7,0),0)</f>
        <v>0</v>
      </c>
      <c r="G12622" s="34" t="n">
        <f aca="false">SUMIFS('12.326ana'!$C:$C,'12.326ana'!$M:$M,redes!A12622)</f>
        <v>0</v>
      </c>
    </row>
    <row r="12623" customFormat="false" ht="14.4" hidden="true" customHeight="false" outlineLevel="0" collapsed="false">
      <c r="A12623" s="34" t="n">
        <v>13131549000167</v>
      </c>
      <c r="B12623" s="34" t="s">
        <v>24225</v>
      </c>
      <c r="C12623" s="34" t="s">
        <v>107</v>
      </c>
      <c r="E12623" s="30" t="s">
        <v>24226</v>
      </c>
      <c r="F12623" s="34" t="n">
        <f aca="false">IFERROR(VLOOKUP($A12623,'319'!$B:$H,7,0),0)</f>
        <v>0</v>
      </c>
      <c r="G12623" s="34" t="n">
        <f aca="false">SUMIFS('12.326ana'!$C:$C,'12.326ana'!$M:$M,redes!A12623)</f>
        <v>0</v>
      </c>
    </row>
    <row r="12624" customFormat="false" ht="14.4" hidden="true" customHeight="false" outlineLevel="0" collapsed="false">
      <c r="A12624" s="34" t="n">
        <v>13135866000151</v>
      </c>
      <c r="B12624" s="34" t="s">
        <v>24227</v>
      </c>
      <c r="C12624" s="34" t="s">
        <v>77</v>
      </c>
      <c r="E12624" s="30" t="s">
        <v>24228</v>
      </c>
      <c r="F12624" s="34" t="n">
        <f aca="false">IFERROR(VLOOKUP($A12624,'319'!$B:$H,7,0),0)</f>
        <v>0</v>
      </c>
      <c r="G12624" s="34" t="n">
        <f aca="false">SUMIFS('12.326ana'!$C:$C,'12.326ana'!$M:$M,redes!A12624)</f>
        <v>0</v>
      </c>
    </row>
    <row r="12625" customFormat="false" ht="14.4" hidden="true" customHeight="false" outlineLevel="0" collapsed="false">
      <c r="A12625" s="34" t="n">
        <v>13138002000193</v>
      </c>
      <c r="B12625" s="34" t="s">
        <v>24229</v>
      </c>
      <c r="C12625" s="34" t="s">
        <v>139</v>
      </c>
      <c r="E12625" s="30" t="s">
        <v>24230</v>
      </c>
      <c r="F12625" s="34" t="n">
        <f aca="false">IFERROR(VLOOKUP($A12625,'319'!$B:$H,7,0),0)</f>
        <v>0</v>
      </c>
      <c r="G12625" s="34" t="n">
        <f aca="false">SUMIFS('12.326ana'!$C:$C,'12.326ana'!$M:$M,redes!A12625)</f>
        <v>0</v>
      </c>
    </row>
    <row r="12626" customFormat="false" ht="14.4" hidden="true" customHeight="false" outlineLevel="0" collapsed="false">
      <c r="A12626" s="34" t="n">
        <v>13139064000110</v>
      </c>
      <c r="B12626" s="34" t="s">
        <v>24231</v>
      </c>
      <c r="C12626" s="34" t="s">
        <v>192</v>
      </c>
      <c r="E12626" s="30" t="s">
        <v>24232</v>
      </c>
      <c r="F12626" s="34" t="n">
        <f aca="false">IFERROR(VLOOKUP($A12626,'319'!$B:$H,7,0),0)</f>
        <v>0</v>
      </c>
      <c r="G12626" s="34" t="n">
        <f aca="false">SUMIFS('12.326ana'!$C:$C,'12.326ana'!$M:$M,redes!A12626)</f>
        <v>0</v>
      </c>
    </row>
    <row r="12627" customFormat="false" ht="14.4" hidden="true" customHeight="false" outlineLevel="0" collapsed="false">
      <c r="A12627" s="34" t="n">
        <v>13140992000102</v>
      </c>
      <c r="B12627" s="34" t="s">
        <v>24233</v>
      </c>
      <c r="C12627" s="34" t="s">
        <v>77</v>
      </c>
      <c r="E12627" s="30" t="s">
        <v>14502</v>
      </c>
      <c r="F12627" s="34" t="n">
        <f aca="false">IFERROR(VLOOKUP($A12627,'319'!$B:$H,7,0),0)</f>
        <v>0</v>
      </c>
      <c r="G12627" s="34" t="n">
        <f aca="false">SUMIFS('12.326ana'!$C:$C,'12.326ana'!$M:$M,redes!A12627)</f>
        <v>0</v>
      </c>
    </row>
    <row r="12628" customFormat="false" ht="14.4" hidden="true" customHeight="false" outlineLevel="0" collapsed="false">
      <c r="A12628" s="34" t="n">
        <v>13143965000185</v>
      </c>
      <c r="B12628" s="34" t="s">
        <v>24234</v>
      </c>
      <c r="C12628" s="34" t="s">
        <v>336</v>
      </c>
      <c r="E12628" s="30" t="s">
        <v>24235</v>
      </c>
      <c r="F12628" s="34" t="n">
        <f aca="false">IFERROR(VLOOKUP($A12628,'319'!$B:$H,7,0),0)</f>
        <v>4228.01</v>
      </c>
      <c r="G12628" s="34" t="n">
        <f aca="false">SUMIFS('12.326ana'!$C:$C,'12.326ana'!$M:$M,redes!A12628)</f>
        <v>0</v>
      </c>
    </row>
    <row r="12629" customFormat="false" ht="14.4" hidden="true" customHeight="false" outlineLevel="0" collapsed="false">
      <c r="A12629" s="34" t="n">
        <v>13145331000161</v>
      </c>
      <c r="B12629" s="34" t="s">
        <v>24236</v>
      </c>
      <c r="C12629" s="34" t="s">
        <v>1272</v>
      </c>
      <c r="E12629" s="30" t="s">
        <v>24236</v>
      </c>
      <c r="F12629" s="34" t="n">
        <f aca="false">IFERROR(VLOOKUP($A12629,'319'!$B:$H,7,0),0)</f>
        <v>0</v>
      </c>
      <c r="G12629" s="34" t="n">
        <f aca="false">SUMIFS('12.326ana'!$C:$C,'12.326ana'!$M:$M,redes!A12629)</f>
        <v>0</v>
      </c>
    </row>
    <row r="12630" customFormat="false" ht="14.4" hidden="true" customHeight="false" outlineLevel="0" collapsed="false">
      <c r="A12630" s="34" t="n">
        <v>13148263000194</v>
      </c>
      <c r="B12630" s="34" t="s">
        <v>24237</v>
      </c>
      <c r="C12630" s="34" t="s">
        <v>139</v>
      </c>
      <c r="E12630" s="30" t="s">
        <v>24237</v>
      </c>
      <c r="F12630" s="34" t="n">
        <f aca="false">IFERROR(VLOOKUP($A12630,'319'!$B:$H,7,0),0)</f>
        <v>0</v>
      </c>
      <c r="G12630" s="34" t="n">
        <f aca="false">SUMIFS('12.326ana'!$C:$C,'12.326ana'!$M:$M,redes!A12630)</f>
        <v>0</v>
      </c>
    </row>
    <row r="12631" customFormat="false" ht="14.4" hidden="true" customHeight="false" outlineLevel="0" collapsed="false">
      <c r="A12631" s="34" t="n">
        <v>13149758000138</v>
      </c>
      <c r="B12631" s="34" t="s">
        <v>24238</v>
      </c>
      <c r="C12631" s="34" t="s">
        <v>89</v>
      </c>
      <c r="E12631" s="30" t="s">
        <v>24239</v>
      </c>
      <c r="F12631" s="34" t="n">
        <f aca="false">IFERROR(VLOOKUP($A12631,'319'!$B:$H,7,0),0)</f>
        <v>0</v>
      </c>
      <c r="G12631" s="34" t="n">
        <f aca="false">SUMIFS('12.326ana'!$C:$C,'12.326ana'!$M:$M,redes!A12631)</f>
        <v>0</v>
      </c>
    </row>
    <row r="12632" customFormat="false" ht="14.4" hidden="true" customHeight="false" outlineLevel="0" collapsed="false">
      <c r="A12632" s="34" t="n">
        <v>13151351000145</v>
      </c>
      <c r="B12632" s="34" t="s">
        <v>24240</v>
      </c>
      <c r="C12632" s="34" t="s">
        <v>139</v>
      </c>
      <c r="E12632" s="30" t="s">
        <v>24241</v>
      </c>
      <c r="F12632" s="34" t="n">
        <f aca="false">IFERROR(VLOOKUP($A12632,'319'!$B:$H,7,0),0)</f>
        <v>0</v>
      </c>
      <c r="G12632" s="34" t="n">
        <f aca="false">SUMIFS('12.326ana'!$C:$C,'12.326ana'!$M:$M,redes!A12632)</f>
        <v>0</v>
      </c>
    </row>
    <row r="12633" customFormat="false" ht="14.4" hidden="true" customHeight="false" outlineLevel="0" collapsed="false">
      <c r="A12633" s="34" t="n">
        <v>13152245000186</v>
      </c>
      <c r="B12633" s="34" t="s">
        <v>24242</v>
      </c>
      <c r="C12633" s="34" t="s">
        <v>107</v>
      </c>
      <c r="E12633" s="30" t="s">
        <v>24243</v>
      </c>
      <c r="F12633" s="34" t="n">
        <f aca="false">IFERROR(VLOOKUP($A12633,'319'!$B:$H,7,0),0)</f>
        <v>0</v>
      </c>
      <c r="G12633" s="34" t="n">
        <f aca="false">SUMIFS('12.326ana'!$C:$C,'12.326ana'!$M:$M,redes!A12633)</f>
        <v>0</v>
      </c>
    </row>
    <row r="12634" customFormat="false" ht="14.4" hidden="true" customHeight="false" outlineLevel="0" collapsed="false">
      <c r="A12634" s="34" t="n">
        <v>13157918000190</v>
      </c>
      <c r="B12634" s="34" t="s">
        <v>24244</v>
      </c>
      <c r="C12634" s="34" t="s">
        <v>1272</v>
      </c>
      <c r="E12634" s="30" t="s">
        <v>24245</v>
      </c>
      <c r="F12634" s="34" t="n">
        <f aca="false">IFERROR(VLOOKUP($A12634,'319'!$B:$H,7,0),0)</f>
        <v>0</v>
      </c>
      <c r="G12634" s="34" t="n">
        <f aca="false">SUMIFS('12.326ana'!$C:$C,'12.326ana'!$M:$M,redes!A12634)</f>
        <v>0</v>
      </c>
    </row>
    <row r="12635" customFormat="false" ht="14.4" hidden="true" customHeight="false" outlineLevel="0" collapsed="false">
      <c r="A12635" s="34" t="n">
        <v>13159261000109</v>
      </c>
      <c r="B12635" s="34" t="s">
        <v>24246</v>
      </c>
      <c r="C12635" s="34" t="s">
        <v>3594</v>
      </c>
      <c r="E12635" s="30" t="s">
        <v>21255</v>
      </c>
      <c r="F12635" s="34" t="n">
        <f aca="false">IFERROR(VLOOKUP($A12635,'319'!$B:$H,7,0),0)</f>
        <v>0</v>
      </c>
      <c r="G12635" s="34" t="n">
        <f aca="false">SUMIFS('12.326ana'!$C:$C,'12.326ana'!$M:$M,redes!A12635)</f>
        <v>0</v>
      </c>
    </row>
    <row r="12636" customFormat="false" ht="14.4" hidden="true" customHeight="false" outlineLevel="0" collapsed="false">
      <c r="A12636" s="34" t="n">
        <v>13178649000149</v>
      </c>
      <c r="B12636" s="34" t="s">
        <v>24247</v>
      </c>
      <c r="C12636" s="34" t="s">
        <v>117</v>
      </c>
      <c r="E12636" s="30" t="s">
        <v>24248</v>
      </c>
      <c r="F12636" s="34" t="n">
        <f aca="false">IFERROR(VLOOKUP($A12636,'319'!$B:$H,7,0),0)</f>
        <v>0</v>
      </c>
      <c r="G12636" s="34" t="n">
        <f aca="false">SUMIFS('12.326ana'!$C:$C,'12.326ana'!$M:$M,redes!A12636)</f>
        <v>0</v>
      </c>
    </row>
    <row r="12637" customFormat="false" ht="14.4" hidden="true" customHeight="false" outlineLevel="0" collapsed="false">
      <c r="A12637" s="34" t="n">
        <v>13183107000164</v>
      </c>
      <c r="B12637" s="34" t="s">
        <v>24249</v>
      </c>
      <c r="C12637" s="34" t="s">
        <v>4139</v>
      </c>
      <c r="E12637" s="30" t="s">
        <v>21172</v>
      </c>
      <c r="F12637" s="34" t="n">
        <f aca="false">IFERROR(VLOOKUP($A12637,'319'!$B:$H,7,0),0)</f>
        <v>0</v>
      </c>
      <c r="G12637" s="34" t="n">
        <f aca="false">SUMIFS('12.326ana'!$C:$C,'12.326ana'!$M:$M,redes!A12637)</f>
        <v>0</v>
      </c>
    </row>
    <row r="12638" customFormat="false" ht="14.4" hidden="true" customHeight="false" outlineLevel="0" collapsed="false">
      <c r="A12638" s="34" t="n">
        <v>13183518000150</v>
      </c>
      <c r="B12638" s="34" t="s">
        <v>24250</v>
      </c>
      <c r="C12638" s="34" t="s">
        <v>309</v>
      </c>
      <c r="E12638" s="30" t="s">
        <v>24251</v>
      </c>
      <c r="F12638" s="34" t="n">
        <f aca="false">IFERROR(VLOOKUP($A12638,'319'!$B:$H,7,0),0)</f>
        <v>0</v>
      </c>
      <c r="G12638" s="34" t="n">
        <f aca="false">SUMIFS('12.326ana'!$C:$C,'12.326ana'!$M:$M,redes!A12638)</f>
        <v>0</v>
      </c>
    </row>
    <row r="12639" customFormat="false" ht="14.4" hidden="true" customHeight="false" outlineLevel="0" collapsed="false">
      <c r="A12639" s="34" t="n">
        <v>13183518000230</v>
      </c>
      <c r="B12639" s="34" t="s">
        <v>24250</v>
      </c>
      <c r="C12639" s="34" t="s">
        <v>309</v>
      </c>
      <c r="E12639" s="30" t="s">
        <v>24252</v>
      </c>
      <c r="F12639" s="34" t="n">
        <f aca="false">IFERROR(VLOOKUP($A12639,'319'!$B:$H,7,0),0)</f>
        <v>0</v>
      </c>
      <c r="G12639" s="34" t="n">
        <f aca="false">SUMIFS('12.326ana'!$C:$C,'12.326ana'!$M:$M,redes!A12639)</f>
        <v>0</v>
      </c>
    </row>
    <row r="12640" customFormat="false" ht="14.4" hidden="true" customHeight="false" outlineLevel="0" collapsed="false">
      <c r="A12640" s="34" t="n">
        <v>13186829000172</v>
      </c>
      <c r="B12640" s="34" t="s">
        <v>24253</v>
      </c>
      <c r="C12640" s="34" t="s">
        <v>117</v>
      </c>
      <c r="E12640" s="30" t="s">
        <v>24254</v>
      </c>
      <c r="F12640" s="34" t="n">
        <f aca="false">IFERROR(VLOOKUP($A12640,'319'!$B:$H,7,0),0)</f>
        <v>0</v>
      </c>
      <c r="G12640" s="34" t="n">
        <f aca="false">SUMIFS('12.326ana'!$C:$C,'12.326ana'!$M:$M,redes!A12640)</f>
        <v>0</v>
      </c>
    </row>
    <row r="12641" customFormat="false" ht="14.4" hidden="true" customHeight="false" outlineLevel="0" collapsed="false">
      <c r="A12641" s="34" t="n">
        <v>13189341000107</v>
      </c>
      <c r="B12641" s="34" t="s">
        <v>24255</v>
      </c>
      <c r="C12641" s="34" t="s">
        <v>77</v>
      </c>
      <c r="E12641" s="30" t="s">
        <v>24256</v>
      </c>
      <c r="F12641" s="34" t="n">
        <f aca="false">IFERROR(VLOOKUP($A12641,'319'!$B:$H,7,0),0)</f>
        <v>0</v>
      </c>
      <c r="G12641" s="34" t="n">
        <f aca="false">SUMIFS('12.326ana'!$C:$C,'12.326ana'!$M:$M,redes!A12641)</f>
        <v>0</v>
      </c>
    </row>
    <row r="12642" customFormat="false" ht="14.4" hidden="true" customHeight="false" outlineLevel="0" collapsed="false">
      <c r="A12642" s="34" t="n">
        <v>13190101000114</v>
      </c>
      <c r="B12642" s="34" t="s">
        <v>24257</v>
      </c>
      <c r="C12642" s="34" t="s">
        <v>562</v>
      </c>
      <c r="E12642" s="30" t="s">
        <v>24258</v>
      </c>
      <c r="F12642" s="34" t="n">
        <f aca="false">IFERROR(VLOOKUP($A12642,'319'!$B:$H,7,0),0)</f>
        <v>0</v>
      </c>
      <c r="G12642" s="34" t="n">
        <f aca="false">SUMIFS('12.326ana'!$C:$C,'12.326ana'!$M:$M,redes!A12642)</f>
        <v>0</v>
      </c>
    </row>
    <row r="12643" customFormat="false" ht="14.4" hidden="true" customHeight="false" outlineLevel="0" collapsed="false">
      <c r="A12643" s="34" t="n">
        <v>13211006000150</v>
      </c>
      <c r="B12643" s="34" t="s">
        <v>24259</v>
      </c>
      <c r="C12643" s="34" t="s">
        <v>77</v>
      </c>
      <c r="E12643" s="30" t="s">
        <v>24260</v>
      </c>
      <c r="F12643" s="34" t="n">
        <f aca="false">IFERROR(VLOOKUP($A12643,'319'!$B:$H,7,0),0)</f>
        <v>0</v>
      </c>
      <c r="G12643" s="34" t="n">
        <f aca="false">SUMIFS('12.326ana'!$C:$C,'12.326ana'!$M:$M,redes!A12643)</f>
        <v>0</v>
      </c>
    </row>
    <row r="12644" customFormat="false" ht="14.4" hidden="true" customHeight="false" outlineLevel="0" collapsed="false">
      <c r="A12644" s="34" t="n">
        <v>13211223000140</v>
      </c>
      <c r="B12644" s="34" t="s">
        <v>1734</v>
      </c>
      <c r="C12644" s="34" t="s">
        <v>77</v>
      </c>
      <c r="E12644" s="30" t="s">
        <v>24261</v>
      </c>
      <c r="F12644" s="34" t="n">
        <f aca="false">IFERROR(VLOOKUP($A12644,'319'!$B:$H,7,0),0)</f>
        <v>19.94</v>
      </c>
      <c r="G12644" s="34" t="n">
        <f aca="false">SUMIFS('12.326ana'!$C:$C,'12.326ana'!$M:$M,redes!A12644)</f>
        <v>0</v>
      </c>
    </row>
    <row r="12645" customFormat="false" ht="14.4" hidden="true" customHeight="false" outlineLevel="0" collapsed="false">
      <c r="A12645" s="34" t="n">
        <v>13214456000104</v>
      </c>
      <c r="B12645" s="34" t="s">
        <v>24262</v>
      </c>
      <c r="C12645" s="34" t="s">
        <v>207</v>
      </c>
      <c r="E12645" s="30" t="s">
        <v>24263</v>
      </c>
      <c r="F12645" s="34" t="n">
        <f aca="false">IFERROR(VLOOKUP($A12645,'319'!$B:$H,7,0),0)</f>
        <v>0</v>
      </c>
      <c r="G12645" s="34" t="n">
        <f aca="false">SUMIFS('12.326ana'!$C:$C,'12.326ana'!$M:$M,redes!A12645)</f>
        <v>0</v>
      </c>
    </row>
    <row r="12646" customFormat="false" ht="14.4" hidden="true" customHeight="false" outlineLevel="0" collapsed="false">
      <c r="A12646" s="34" t="n">
        <v>13224189000148</v>
      </c>
      <c r="B12646" s="34" t="s">
        <v>24264</v>
      </c>
      <c r="C12646" s="34" t="s">
        <v>117</v>
      </c>
      <c r="E12646" s="30" t="s">
        <v>24265</v>
      </c>
      <c r="F12646" s="34" t="n">
        <f aca="false">IFERROR(VLOOKUP($A12646,'319'!$B:$H,7,0),0)</f>
        <v>0</v>
      </c>
      <c r="G12646" s="34" t="n">
        <f aca="false">SUMIFS('12.326ana'!$C:$C,'12.326ana'!$M:$M,redes!A12646)</f>
        <v>0</v>
      </c>
    </row>
    <row r="12647" customFormat="false" ht="14.4" hidden="true" customHeight="false" outlineLevel="0" collapsed="false">
      <c r="A12647" s="34" t="n">
        <v>13228239000165</v>
      </c>
      <c r="B12647" s="34" t="s">
        <v>24266</v>
      </c>
      <c r="C12647" s="34" t="s">
        <v>77</v>
      </c>
      <c r="E12647" s="30" t="s">
        <v>24266</v>
      </c>
      <c r="F12647" s="34" t="n">
        <f aca="false">IFERROR(VLOOKUP($A12647,'319'!$B:$H,7,0),0)</f>
        <v>0</v>
      </c>
      <c r="G12647" s="34" t="n">
        <f aca="false">SUMIFS('12.326ana'!$C:$C,'12.326ana'!$M:$M,redes!A12647)</f>
        <v>0</v>
      </c>
    </row>
    <row r="12648" customFormat="false" ht="14.4" hidden="true" customHeight="false" outlineLevel="0" collapsed="false">
      <c r="A12648" s="34" t="n">
        <v>13233157000109</v>
      </c>
      <c r="B12648" s="34" t="s">
        <v>24267</v>
      </c>
      <c r="C12648" s="34" t="s">
        <v>809</v>
      </c>
      <c r="E12648" s="30" t="s">
        <v>24268</v>
      </c>
      <c r="F12648" s="34" t="n">
        <f aca="false">IFERROR(VLOOKUP($A12648,'319'!$B:$H,7,0),0)</f>
        <v>0</v>
      </c>
      <c r="G12648" s="34" t="n">
        <f aca="false">SUMIFS('12.326ana'!$C:$C,'12.326ana'!$M:$M,redes!A12648)</f>
        <v>0</v>
      </c>
    </row>
    <row r="12649" customFormat="false" ht="14.4" hidden="true" customHeight="false" outlineLevel="0" collapsed="false">
      <c r="A12649" s="34" t="n">
        <v>13243219000163</v>
      </c>
      <c r="B12649" s="34" t="s">
        <v>1308</v>
      </c>
      <c r="C12649" s="34" t="s">
        <v>107</v>
      </c>
      <c r="E12649" s="30" t="s">
        <v>24269</v>
      </c>
      <c r="F12649" s="34" t="n">
        <f aca="false">IFERROR(VLOOKUP($A12649,'319'!$B:$H,7,0),0)</f>
        <v>253.51</v>
      </c>
      <c r="G12649" s="34" t="n">
        <f aca="false">SUMIFS('12.326ana'!$C:$C,'12.326ana'!$M:$M,redes!A12649)</f>
        <v>0</v>
      </c>
    </row>
    <row r="12650" customFormat="false" ht="14.4" hidden="true" customHeight="false" outlineLevel="0" collapsed="false">
      <c r="A12650" s="34" t="n">
        <v>13245734000182</v>
      </c>
      <c r="B12650" s="34" t="s">
        <v>24270</v>
      </c>
      <c r="C12650" s="34" t="s">
        <v>594</v>
      </c>
      <c r="E12650" s="30" t="s">
        <v>24271</v>
      </c>
      <c r="F12650" s="34" t="n">
        <f aca="false">IFERROR(VLOOKUP($A12650,'319'!$B:$H,7,0),0)</f>
        <v>0</v>
      </c>
      <c r="G12650" s="34" t="n">
        <f aca="false">SUMIFS('12.326ana'!$C:$C,'12.326ana'!$M:$M,redes!A12650)</f>
        <v>0</v>
      </c>
    </row>
    <row r="12651" customFormat="false" ht="14.4" hidden="true" customHeight="false" outlineLevel="0" collapsed="false">
      <c r="A12651" s="34" t="n">
        <v>13251190000161</v>
      </c>
      <c r="B12651" s="34" t="s">
        <v>24272</v>
      </c>
      <c r="C12651" s="34" t="s">
        <v>7250</v>
      </c>
      <c r="E12651" s="30" t="s">
        <v>24273</v>
      </c>
      <c r="F12651" s="34" t="n">
        <f aca="false">IFERROR(VLOOKUP($A12651,'319'!$B:$H,7,0),0)</f>
        <v>0</v>
      </c>
      <c r="G12651" s="34" t="n">
        <f aca="false">SUMIFS('12.326ana'!$C:$C,'12.326ana'!$M:$M,redes!A12651)</f>
        <v>0</v>
      </c>
    </row>
    <row r="12652" customFormat="false" ht="14.4" hidden="true" customHeight="false" outlineLevel="0" collapsed="false">
      <c r="A12652" s="34" t="n">
        <v>13251359000183</v>
      </c>
      <c r="B12652" s="34" t="s">
        <v>24274</v>
      </c>
      <c r="C12652" s="34" t="s">
        <v>77</v>
      </c>
      <c r="E12652" s="30" t="s">
        <v>22049</v>
      </c>
      <c r="F12652" s="34" t="n">
        <f aca="false">IFERROR(VLOOKUP($A12652,'319'!$B:$H,7,0),0)</f>
        <v>0</v>
      </c>
      <c r="G12652" s="34" t="n">
        <f aca="false">SUMIFS('12.326ana'!$C:$C,'12.326ana'!$M:$M,redes!A12652)</f>
        <v>0</v>
      </c>
    </row>
    <row r="12653" customFormat="false" ht="14.4" hidden="true" customHeight="false" outlineLevel="0" collapsed="false">
      <c r="A12653" s="34" t="n">
        <v>13258149000117</v>
      </c>
      <c r="B12653" s="34" t="s">
        <v>24275</v>
      </c>
      <c r="C12653" s="34" t="s">
        <v>77</v>
      </c>
      <c r="E12653" s="30" t="s">
        <v>24276</v>
      </c>
      <c r="F12653" s="34" t="n">
        <f aca="false">IFERROR(VLOOKUP($A12653,'319'!$B:$H,7,0),0)</f>
        <v>0</v>
      </c>
      <c r="G12653" s="34" t="n">
        <f aca="false">SUMIFS('12.326ana'!$C:$C,'12.326ana'!$M:$M,redes!A12653)</f>
        <v>0</v>
      </c>
    </row>
    <row r="12654" customFormat="false" ht="14.4" hidden="true" customHeight="false" outlineLevel="0" collapsed="false">
      <c r="A12654" s="34" t="n">
        <v>13258661000163</v>
      </c>
      <c r="B12654" s="34" t="s">
        <v>24277</v>
      </c>
      <c r="C12654" s="34" t="s">
        <v>77</v>
      </c>
      <c r="E12654" s="30" t="s">
        <v>24278</v>
      </c>
      <c r="F12654" s="34" t="n">
        <f aca="false">IFERROR(VLOOKUP($A12654,'319'!$B:$H,7,0),0)</f>
        <v>0</v>
      </c>
      <c r="G12654" s="34" t="n">
        <f aca="false">SUMIFS('12.326ana'!$C:$C,'12.326ana'!$M:$M,redes!A12654)</f>
        <v>0</v>
      </c>
    </row>
    <row r="12655" customFormat="false" ht="14.4" hidden="true" customHeight="false" outlineLevel="0" collapsed="false">
      <c r="A12655" s="34" t="n">
        <v>13261244000170</v>
      </c>
      <c r="B12655" s="34" t="s">
        <v>24279</v>
      </c>
      <c r="C12655" s="34" t="s">
        <v>77</v>
      </c>
      <c r="E12655" s="30" t="s">
        <v>24280</v>
      </c>
      <c r="F12655" s="34" t="n">
        <f aca="false">IFERROR(VLOOKUP($A12655,'319'!$B:$H,7,0),0)</f>
        <v>0</v>
      </c>
      <c r="G12655" s="34" t="n">
        <f aca="false">SUMIFS('12.326ana'!$C:$C,'12.326ana'!$M:$M,redes!A12655)</f>
        <v>0</v>
      </c>
    </row>
    <row r="12656" customFormat="false" ht="14.4" hidden="true" customHeight="false" outlineLevel="0" collapsed="false">
      <c r="A12656" s="34" t="n">
        <v>13262279000123</v>
      </c>
      <c r="B12656" s="34" t="s">
        <v>24281</v>
      </c>
      <c r="C12656" s="34" t="s">
        <v>4139</v>
      </c>
      <c r="E12656" s="30" t="s">
        <v>24282</v>
      </c>
      <c r="F12656" s="34" t="n">
        <f aca="false">IFERROR(VLOOKUP($A12656,'319'!$B:$H,7,0),0)</f>
        <v>0</v>
      </c>
      <c r="G12656" s="34" t="n">
        <f aca="false">SUMIFS('12.326ana'!$C:$C,'12.326ana'!$M:$M,redes!A12656)</f>
        <v>0</v>
      </c>
    </row>
    <row r="12657" customFormat="false" ht="14.4" hidden="true" customHeight="false" outlineLevel="0" collapsed="false">
      <c r="A12657" s="34" t="n">
        <v>13264914000101</v>
      </c>
      <c r="B12657" s="34" t="s">
        <v>24283</v>
      </c>
      <c r="C12657" s="34" t="s">
        <v>77</v>
      </c>
      <c r="E12657" s="30" t="s">
        <v>24284</v>
      </c>
      <c r="F12657" s="34" t="n">
        <f aca="false">IFERROR(VLOOKUP($A12657,'319'!$B:$H,7,0),0)</f>
        <v>0</v>
      </c>
      <c r="G12657" s="34" t="n">
        <f aca="false">SUMIFS('12.326ana'!$C:$C,'12.326ana'!$M:$M,redes!A12657)</f>
        <v>0</v>
      </c>
    </row>
    <row r="12658" customFormat="false" ht="14.4" hidden="true" customHeight="false" outlineLevel="0" collapsed="false">
      <c r="A12658" s="34" t="n">
        <v>13266442000126</v>
      </c>
      <c r="B12658" s="34" t="s">
        <v>24285</v>
      </c>
      <c r="C12658" s="34" t="s">
        <v>127</v>
      </c>
      <c r="E12658" s="30" t="s">
        <v>24286</v>
      </c>
      <c r="F12658" s="34" t="n">
        <f aca="false">IFERROR(VLOOKUP($A12658,'319'!$B:$H,7,0),0)</f>
        <v>0</v>
      </c>
      <c r="G12658" s="34" t="n">
        <f aca="false">SUMIFS('12.326ana'!$C:$C,'12.326ana'!$M:$M,redes!A12658)</f>
        <v>0</v>
      </c>
    </row>
    <row r="12659" customFormat="false" ht="14.4" hidden="true" customHeight="false" outlineLevel="0" collapsed="false">
      <c r="A12659" s="34" t="n">
        <v>13272198000104</v>
      </c>
      <c r="B12659" s="34" t="s">
        <v>24287</v>
      </c>
      <c r="C12659" s="34" t="s">
        <v>77</v>
      </c>
      <c r="E12659" s="30" t="s">
        <v>24288</v>
      </c>
      <c r="F12659" s="34" t="n">
        <f aca="false">IFERROR(VLOOKUP($A12659,'319'!$B:$H,7,0),0)</f>
        <v>0</v>
      </c>
      <c r="G12659" s="34" t="n">
        <f aca="false">SUMIFS('12.326ana'!$C:$C,'12.326ana'!$M:$M,redes!A12659)</f>
        <v>0</v>
      </c>
    </row>
    <row r="12660" customFormat="false" ht="14.4" hidden="true" customHeight="false" outlineLevel="0" collapsed="false">
      <c r="A12660" s="34" t="n">
        <v>13274340000152</v>
      </c>
      <c r="B12660" s="34" t="s">
        <v>24289</v>
      </c>
      <c r="C12660" s="34" t="s">
        <v>139</v>
      </c>
      <c r="E12660" s="30" t="s">
        <v>24289</v>
      </c>
      <c r="F12660" s="34" t="n">
        <f aca="false">IFERROR(VLOOKUP($A12660,'319'!$B:$H,7,0),0)</f>
        <v>0</v>
      </c>
      <c r="G12660" s="34" t="n">
        <f aca="false">SUMIFS('12.326ana'!$C:$C,'12.326ana'!$M:$M,redes!A12660)</f>
        <v>0</v>
      </c>
    </row>
    <row r="12661" customFormat="false" ht="14.4" hidden="true" customHeight="false" outlineLevel="0" collapsed="false">
      <c r="A12661" s="34" t="n">
        <v>13274398000104</v>
      </c>
      <c r="B12661" s="34" t="s">
        <v>24290</v>
      </c>
      <c r="C12661" s="34" t="s">
        <v>464</v>
      </c>
      <c r="E12661" s="30" t="s">
        <v>24020</v>
      </c>
      <c r="F12661" s="34" t="n">
        <f aca="false">IFERROR(VLOOKUP($A12661,'319'!$B:$H,7,0),0)</f>
        <v>0</v>
      </c>
      <c r="G12661" s="34" t="n">
        <f aca="false">SUMIFS('12.326ana'!$C:$C,'12.326ana'!$M:$M,redes!A12661)</f>
        <v>0</v>
      </c>
    </row>
    <row r="12662" customFormat="false" ht="14.4" hidden="true" customHeight="false" outlineLevel="0" collapsed="false">
      <c r="A12662" s="34" t="n">
        <v>13275146000191</v>
      </c>
      <c r="B12662" s="34" t="s">
        <v>24291</v>
      </c>
      <c r="C12662" s="34" t="s">
        <v>77</v>
      </c>
      <c r="E12662" s="30" t="s">
        <v>24292</v>
      </c>
      <c r="F12662" s="34" t="n">
        <f aca="false">IFERROR(VLOOKUP($A12662,'319'!$B:$H,7,0),0)</f>
        <v>0</v>
      </c>
      <c r="G12662" s="34" t="n">
        <f aca="false">SUMIFS('12.326ana'!$C:$C,'12.326ana'!$M:$M,redes!A12662)</f>
        <v>0</v>
      </c>
    </row>
    <row r="12663" customFormat="false" ht="14.4" hidden="true" customHeight="false" outlineLevel="0" collapsed="false">
      <c r="A12663" s="34" t="n">
        <v>13279711000199</v>
      </c>
      <c r="B12663" s="34" t="s">
        <v>24293</v>
      </c>
      <c r="C12663" s="34" t="s">
        <v>565</v>
      </c>
      <c r="E12663" s="30" t="s">
        <v>24294</v>
      </c>
      <c r="F12663" s="34" t="n">
        <f aca="false">IFERROR(VLOOKUP($A12663,'319'!$B:$H,7,0),0)</f>
        <v>0</v>
      </c>
      <c r="G12663" s="34" t="n">
        <f aca="false">SUMIFS('12.326ana'!$C:$C,'12.326ana'!$M:$M,redes!A12663)</f>
        <v>0</v>
      </c>
    </row>
    <row r="12664" customFormat="false" ht="14.4" hidden="true" customHeight="false" outlineLevel="0" collapsed="false">
      <c r="A12664" s="34" t="n">
        <v>13279940000103</v>
      </c>
      <c r="B12664" s="34" t="s">
        <v>24295</v>
      </c>
      <c r="C12664" s="34" t="s">
        <v>213</v>
      </c>
      <c r="E12664" s="30" t="s">
        <v>24296</v>
      </c>
      <c r="F12664" s="34" t="n">
        <f aca="false">IFERROR(VLOOKUP($A12664,'319'!$B:$H,7,0),0)</f>
        <v>0</v>
      </c>
      <c r="G12664" s="34" t="n">
        <f aca="false">SUMIFS('12.326ana'!$C:$C,'12.326ana'!$M:$M,redes!A12664)</f>
        <v>0</v>
      </c>
    </row>
    <row r="12665" customFormat="false" ht="14.4" hidden="true" customHeight="false" outlineLevel="0" collapsed="false">
      <c r="A12665" s="34" t="n">
        <v>13285616000106</v>
      </c>
      <c r="B12665" s="34" t="s">
        <v>24297</v>
      </c>
      <c r="C12665" s="34" t="s">
        <v>139</v>
      </c>
      <c r="E12665" s="30" t="s">
        <v>24298</v>
      </c>
      <c r="F12665" s="34" t="n">
        <f aca="false">IFERROR(VLOOKUP($A12665,'319'!$B:$H,7,0),0)</f>
        <v>0</v>
      </c>
      <c r="G12665" s="34" t="n">
        <f aca="false">SUMIFS('12.326ana'!$C:$C,'12.326ana'!$M:$M,redes!A12665)</f>
        <v>0</v>
      </c>
    </row>
    <row r="12666" customFormat="false" ht="14.4" hidden="true" customHeight="false" outlineLevel="0" collapsed="false">
      <c r="A12666" s="34" t="n">
        <v>13285808000104</v>
      </c>
      <c r="B12666" s="34" t="s">
        <v>5073</v>
      </c>
      <c r="C12666" s="34" t="s">
        <v>77</v>
      </c>
      <c r="E12666" s="30" t="s">
        <v>11606</v>
      </c>
      <c r="F12666" s="34" t="n">
        <f aca="false">IFERROR(VLOOKUP($A12666,'319'!$B:$H,7,0),0)</f>
        <v>0</v>
      </c>
      <c r="G12666" s="34" t="n">
        <f aca="false">SUMIFS('12.326ana'!$C:$C,'12.326ana'!$M:$M,redes!A12666)</f>
        <v>0</v>
      </c>
    </row>
    <row r="12667" customFormat="false" ht="14.4" hidden="true" customHeight="false" outlineLevel="0" collapsed="false">
      <c r="A12667" s="34" t="n">
        <v>13287333000195</v>
      </c>
      <c r="B12667" s="34" t="s">
        <v>3136</v>
      </c>
      <c r="C12667" s="34" t="s">
        <v>77</v>
      </c>
      <c r="E12667" s="30" t="s">
        <v>3137</v>
      </c>
      <c r="F12667" s="34" t="n">
        <f aca="false">IFERROR(VLOOKUP($A12667,'319'!$B:$H,7,0),0)</f>
        <v>0</v>
      </c>
      <c r="G12667" s="34" t="n">
        <f aca="false">SUMIFS('12.326ana'!$C:$C,'12.326ana'!$M:$M,redes!A12667)</f>
        <v>0</v>
      </c>
    </row>
    <row r="12668" customFormat="false" ht="14.4" hidden="true" customHeight="false" outlineLevel="0" collapsed="false">
      <c r="A12668" s="34" t="n">
        <v>13297014000160</v>
      </c>
      <c r="B12668" s="34" t="s">
        <v>24299</v>
      </c>
      <c r="C12668" s="34" t="s">
        <v>77</v>
      </c>
      <c r="E12668" s="30" t="s">
        <v>24300</v>
      </c>
      <c r="F12668" s="34" t="n">
        <f aca="false">IFERROR(VLOOKUP($A12668,'319'!$B:$H,7,0),0)</f>
        <v>0</v>
      </c>
      <c r="G12668" s="34" t="n">
        <f aca="false">SUMIFS('12.326ana'!$C:$C,'12.326ana'!$M:$M,redes!A12668)</f>
        <v>0</v>
      </c>
    </row>
    <row r="12669" customFormat="false" ht="14.4" hidden="true" customHeight="false" outlineLevel="0" collapsed="false">
      <c r="A12669" s="34" t="n">
        <v>13297014000241</v>
      </c>
      <c r="B12669" s="34" t="s">
        <v>24301</v>
      </c>
      <c r="C12669" s="34" t="s">
        <v>77</v>
      </c>
      <c r="D12669" s="34" t="s">
        <v>24302</v>
      </c>
      <c r="E12669" s="30" t="s">
        <v>24303</v>
      </c>
      <c r="F12669" s="34" t="n">
        <f aca="false">IFERROR(VLOOKUP($A12669,'319'!$B:$H,7,0),0)</f>
        <v>0</v>
      </c>
      <c r="G12669" s="34" t="n">
        <f aca="false">SUMIFS('12.326ana'!$C:$C,'12.326ana'!$M:$M,redes!A12669)</f>
        <v>0</v>
      </c>
    </row>
    <row r="12670" customFormat="false" ht="14.4" hidden="true" customHeight="false" outlineLevel="0" collapsed="false">
      <c r="A12670" s="34" t="n">
        <v>13297014000322</v>
      </c>
      <c r="B12670" s="34" t="s">
        <v>24299</v>
      </c>
      <c r="C12670" s="34" t="s">
        <v>478</v>
      </c>
      <c r="D12670" s="34" t="s">
        <v>24302</v>
      </c>
      <c r="E12670" s="30" t="s">
        <v>24300</v>
      </c>
      <c r="F12670" s="34" t="n">
        <f aca="false">IFERROR(VLOOKUP($A12670,'319'!$B:$H,7,0),0)</f>
        <v>0</v>
      </c>
      <c r="G12670" s="34" t="n">
        <f aca="false">SUMIFS('12.326ana'!$C:$C,'12.326ana'!$M:$M,redes!A12670)</f>
        <v>0</v>
      </c>
    </row>
    <row r="12671" customFormat="false" ht="14.4" hidden="true" customHeight="false" outlineLevel="0" collapsed="false">
      <c r="A12671" s="34" t="n">
        <v>13297014000403</v>
      </c>
      <c r="B12671" s="34" t="s">
        <v>24299</v>
      </c>
      <c r="C12671" s="34" t="s">
        <v>77</v>
      </c>
      <c r="E12671" s="30" t="s">
        <v>24300</v>
      </c>
      <c r="F12671" s="34" t="n">
        <f aca="false">IFERROR(VLOOKUP($A12671,'319'!$B:$H,7,0),0)</f>
        <v>0</v>
      </c>
      <c r="G12671" s="34" t="n">
        <f aca="false">SUMIFS('12.326ana'!$C:$C,'12.326ana'!$M:$M,redes!A12671)</f>
        <v>0</v>
      </c>
    </row>
    <row r="12672" customFormat="false" ht="14.4" hidden="true" customHeight="false" outlineLevel="0" collapsed="false">
      <c r="A12672" s="34" t="n">
        <v>13302548000138</v>
      </c>
      <c r="B12672" s="34" t="s">
        <v>24304</v>
      </c>
      <c r="C12672" s="34" t="s">
        <v>207</v>
      </c>
      <c r="E12672" s="30" t="s">
        <v>24305</v>
      </c>
      <c r="F12672" s="34" t="n">
        <f aca="false">IFERROR(VLOOKUP($A12672,'319'!$B:$H,7,0),0)</f>
        <v>0</v>
      </c>
      <c r="G12672" s="34" t="n">
        <f aca="false">SUMIFS('12.326ana'!$C:$C,'12.326ana'!$M:$M,redes!A12672)</f>
        <v>0</v>
      </c>
    </row>
    <row r="12673" customFormat="false" ht="14.4" hidden="true" customHeight="false" outlineLevel="0" collapsed="false">
      <c r="A12673" s="34" t="n">
        <v>13304190000182</v>
      </c>
      <c r="B12673" s="34" t="s">
        <v>24306</v>
      </c>
      <c r="C12673" s="34" t="s">
        <v>192</v>
      </c>
      <c r="E12673" s="30" t="s">
        <v>24307</v>
      </c>
      <c r="F12673" s="34" t="n">
        <f aca="false">IFERROR(VLOOKUP($A12673,'319'!$B:$H,7,0),0)</f>
        <v>0</v>
      </c>
      <c r="G12673" s="34" t="n">
        <f aca="false">SUMIFS('12.326ana'!$C:$C,'12.326ana'!$M:$M,redes!A12673)</f>
        <v>0</v>
      </c>
    </row>
    <row r="12674" customFormat="false" ht="14.4" hidden="true" customHeight="false" outlineLevel="0" collapsed="false">
      <c r="A12674" s="34" t="n">
        <v>13304788000171</v>
      </c>
      <c r="B12674" s="34" t="s">
        <v>24308</v>
      </c>
      <c r="C12674" s="34" t="s">
        <v>107</v>
      </c>
      <c r="E12674" s="30" t="s">
        <v>24309</v>
      </c>
      <c r="F12674" s="34" t="n">
        <f aca="false">IFERROR(VLOOKUP($A12674,'319'!$B:$H,7,0),0)</f>
        <v>0</v>
      </c>
      <c r="G12674" s="34" t="n">
        <f aca="false">SUMIFS('12.326ana'!$C:$C,'12.326ana'!$M:$M,redes!A12674)</f>
        <v>0</v>
      </c>
    </row>
    <row r="12675" customFormat="false" ht="14.4" hidden="true" customHeight="false" outlineLevel="0" collapsed="false">
      <c r="A12675" s="34" t="n">
        <v>13312218000123</v>
      </c>
      <c r="B12675" s="34" t="s">
        <v>24310</v>
      </c>
      <c r="C12675" s="34" t="s">
        <v>77</v>
      </c>
      <c r="E12675" s="30"/>
      <c r="F12675" s="34" t="n">
        <f aca="false">IFERROR(VLOOKUP($A12675,'319'!$B:$H,7,0),0)</f>
        <v>0</v>
      </c>
      <c r="G12675" s="34" t="n">
        <f aca="false">SUMIFS('12.326ana'!$C:$C,'12.326ana'!$M:$M,redes!A12675)</f>
        <v>0</v>
      </c>
    </row>
    <row r="12676" customFormat="false" ht="14.4" hidden="true" customHeight="false" outlineLevel="0" collapsed="false">
      <c r="A12676" s="34" t="n">
        <v>13328329000128</v>
      </c>
      <c r="B12676" s="34" t="s">
        <v>24311</v>
      </c>
      <c r="C12676" s="34" t="s">
        <v>4829</v>
      </c>
      <c r="E12676" s="30" t="s">
        <v>24312</v>
      </c>
      <c r="F12676" s="34" t="n">
        <f aca="false">IFERROR(VLOOKUP($A12676,'319'!$B:$H,7,0),0)</f>
        <v>0</v>
      </c>
      <c r="G12676" s="34" t="n">
        <f aca="false">SUMIFS('12.326ana'!$C:$C,'12.326ana'!$M:$M,redes!A12676)</f>
        <v>0</v>
      </c>
    </row>
    <row r="12677" customFormat="false" ht="14.4" hidden="true" customHeight="false" outlineLevel="0" collapsed="false">
      <c r="A12677" s="34" t="n">
        <v>13336481000152</v>
      </c>
      <c r="B12677" s="34" t="s">
        <v>24313</v>
      </c>
      <c r="C12677" s="34" t="s">
        <v>103</v>
      </c>
      <c r="E12677" s="30" t="s">
        <v>7943</v>
      </c>
      <c r="F12677" s="34" t="n">
        <f aca="false">IFERROR(VLOOKUP($A12677,'319'!$B:$H,7,0),0)</f>
        <v>0</v>
      </c>
      <c r="G12677" s="34" t="n">
        <f aca="false">SUMIFS('12.326ana'!$C:$C,'12.326ana'!$M:$M,redes!A12677)</f>
        <v>0</v>
      </c>
    </row>
    <row r="12678" customFormat="false" ht="14.4" hidden="true" customHeight="false" outlineLevel="0" collapsed="false">
      <c r="A12678" s="34" t="n">
        <v>13345225000121</v>
      </c>
      <c r="B12678" s="34" t="s">
        <v>11974</v>
      </c>
      <c r="C12678" s="34" t="s">
        <v>463</v>
      </c>
      <c r="E12678" s="30" t="s">
        <v>24314</v>
      </c>
      <c r="F12678" s="34" t="n">
        <f aca="false">IFERROR(VLOOKUP($A12678,'319'!$B:$H,7,0),0)</f>
        <v>0</v>
      </c>
      <c r="G12678" s="34" t="n">
        <f aca="false">SUMIFS('12.326ana'!$C:$C,'12.326ana'!$M:$M,redes!A12678)</f>
        <v>0</v>
      </c>
    </row>
    <row r="12679" customFormat="false" ht="14.4" hidden="true" customHeight="false" outlineLevel="0" collapsed="false">
      <c r="A12679" s="34" t="n">
        <v>13345474000117</v>
      </c>
      <c r="B12679" s="34" t="s">
        <v>24315</v>
      </c>
      <c r="C12679" s="34" t="s">
        <v>405</v>
      </c>
      <c r="E12679" s="30" t="s">
        <v>24316</v>
      </c>
      <c r="F12679" s="34" t="n">
        <f aca="false">IFERROR(VLOOKUP($A12679,'319'!$B:$H,7,0),0)</f>
        <v>0</v>
      </c>
      <c r="G12679" s="34" t="n">
        <f aca="false">SUMIFS('12.326ana'!$C:$C,'12.326ana'!$M:$M,redes!A12679)</f>
        <v>0</v>
      </c>
    </row>
    <row r="12680" customFormat="false" ht="14.4" hidden="true" customHeight="false" outlineLevel="0" collapsed="false">
      <c r="A12680" s="34" t="n">
        <v>13348916000189</v>
      </c>
      <c r="B12680" s="34" t="s">
        <v>24317</v>
      </c>
      <c r="C12680" s="34" t="s">
        <v>77</v>
      </c>
      <c r="E12680" s="30" t="s">
        <v>24318</v>
      </c>
      <c r="F12680" s="34" t="n">
        <f aca="false">IFERROR(VLOOKUP($A12680,'319'!$B:$H,7,0),0)</f>
        <v>0</v>
      </c>
      <c r="G12680" s="34" t="n">
        <f aca="false">SUMIFS('12.326ana'!$C:$C,'12.326ana'!$M:$M,redes!A12680)</f>
        <v>0</v>
      </c>
    </row>
    <row r="12681" customFormat="false" ht="14.4" hidden="true" customHeight="false" outlineLevel="0" collapsed="false">
      <c r="A12681" s="34" t="n">
        <v>13348953000197</v>
      </c>
      <c r="B12681" s="34" t="s">
        <v>24319</v>
      </c>
      <c r="C12681" s="34" t="s">
        <v>107</v>
      </c>
      <c r="E12681" s="30" t="s">
        <v>24319</v>
      </c>
      <c r="F12681" s="34" t="n">
        <f aca="false">IFERROR(VLOOKUP($A12681,'319'!$B:$H,7,0),0)</f>
        <v>0</v>
      </c>
      <c r="G12681" s="34" t="n">
        <f aca="false">SUMIFS('12.326ana'!$C:$C,'12.326ana'!$M:$M,redes!A12681)</f>
        <v>0</v>
      </c>
    </row>
    <row r="12682" customFormat="false" ht="14.4" hidden="true" customHeight="false" outlineLevel="0" collapsed="false">
      <c r="A12682" s="34" t="n">
        <v>13349514000107</v>
      </c>
      <c r="B12682" s="34" t="s">
        <v>24320</v>
      </c>
      <c r="C12682" s="34" t="s">
        <v>107</v>
      </c>
      <c r="E12682" s="30" t="s">
        <v>24321</v>
      </c>
      <c r="F12682" s="34" t="n">
        <f aca="false">IFERROR(VLOOKUP($A12682,'319'!$B:$H,7,0),0)</f>
        <v>0</v>
      </c>
      <c r="G12682" s="34" t="n">
        <f aca="false">SUMIFS('12.326ana'!$C:$C,'12.326ana'!$M:$M,redes!A12682)</f>
        <v>0</v>
      </c>
    </row>
    <row r="12683" customFormat="false" ht="14.4" hidden="true" customHeight="false" outlineLevel="0" collapsed="false">
      <c r="A12683" s="34" t="n">
        <v>13355274000145</v>
      </c>
      <c r="B12683" s="34" t="s">
        <v>24322</v>
      </c>
      <c r="C12683" s="34" t="s">
        <v>7250</v>
      </c>
      <c r="E12683" s="30" t="s">
        <v>24323</v>
      </c>
      <c r="F12683" s="34" t="n">
        <f aca="false">IFERROR(VLOOKUP($A12683,'319'!$B:$H,7,0),0)</f>
        <v>0</v>
      </c>
      <c r="G12683" s="34" t="n">
        <f aca="false">SUMIFS('12.326ana'!$C:$C,'12.326ana'!$M:$M,redes!A12683)</f>
        <v>0</v>
      </c>
    </row>
    <row r="12684" customFormat="false" ht="14.4" hidden="true" customHeight="false" outlineLevel="0" collapsed="false">
      <c r="A12684" s="34" t="n">
        <v>13356774000100</v>
      </c>
      <c r="B12684" s="34" t="s">
        <v>24324</v>
      </c>
      <c r="C12684" s="34" t="s">
        <v>154</v>
      </c>
      <c r="E12684" s="30" t="s">
        <v>24324</v>
      </c>
      <c r="F12684" s="34" t="n">
        <f aca="false">IFERROR(VLOOKUP($A12684,'319'!$B:$H,7,0),0)</f>
        <v>0</v>
      </c>
      <c r="G12684" s="34" t="n">
        <f aca="false">SUMIFS('12.326ana'!$C:$C,'12.326ana'!$M:$M,redes!A12684)</f>
        <v>0</v>
      </c>
    </row>
    <row r="12685" customFormat="false" ht="14.4" hidden="true" customHeight="false" outlineLevel="0" collapsed="false">
      <c r="A12685" s="34" t="n">
        <v>13357569000150</v>
      </c>
      <c r="B12685" s="34" t="s">
        <v>24325</v>
      </c>
      <c r="C12685" s="34" t="s">
        <v>77</v>
      </c>
      <c r="E12685" s="30" t="s">
        <v>20206</v>
      </c>
      <c r="F12685" s="34" t="n">
        <f aca="false">IFERROR(VLOOKUP($A12685,'319'!$B:$H,7,0),0)</f>
        <v>0</v>
      </c>
      <c r="G12685" s="34" t="n">
        <f aca="false">SUMIFS('12.326ana'!$C:$C,'12.326ana'!$M:$M,redes!A12685)</f>
        <v>0</v>
      </c>
    </row>
    <row r="12686" customFormat="false" ht="14.4" hidden="true" customHeight="false" outlineLevel="0" collapsed="false">
      <c r="A12686" s="34" t="n">
        <v>13359498000125</v>
      </c>
      <c r="B12686" s="34" t="s">
        <v>24326</v>
      </c>
      <c r="C12686" s="34" t="s">
        <v>139</v>
      </c>
      <c r="E12686" s="30" t="s">
        <v>24327</v>
      </c>
      <c r="F12686" s="34" t="n">
        <f aca="false">IFERROR(VLOOKUP($A12686,'319'!$B:$H,7,0),0)</f>
        <v>0</v>
      </c>
      <c r="G12686" s="34" t="n">
        <f aca="false">SUMIFS('12.326ana'!$C:$C,'12.326ana'!$M:$M,redes!A12686)</f>
        <v>0</v>
      </c>
    </row>
    <row r="12687" customFormat="false" ht="14.4" hidden="true" customHeight="false" outlineLevel="0" collapsed="false">
      <c r="A12687" s="34" t="n">
        <v>13364415000196</v>
      </c>
      <c r="B12687" s="34" t="s">
        <v>24328</v>
      </c>
      <c r="C12687" s="34" t="s">
        <v>77</v>
      </c>
      <c r="E12687" s="30" t="s">
        <v>24329</v>
      </c>
      <c r="F12687" s="34" t="n">
        <f aca="false">IFERROR(VLOOKUP($A12687,'319'!$B:$H,7,0),0)</f>
        <v>0</v>
      </c>
      <c r="G12687" s="34" t="n">
        <f aca="false">SUMIFS('12.326ana'!$C:$C,'12.326ana'!$M:$M,redes!A12687)</f>
        <v>0</v>
      </c>
    </row>
    <row r="12688" customFormat="false" ht="14.4" hidden="true" customHeight="false" outlineLevel="0" collapsed="false">
      <c r="A12688" s="34" t="n">
        <v>13371363000185</v>
      </c>
      <c r="B12688" s="34" t="s">
        <v>24330</v>
      </c>
      <c r="C12688" s="34" t="s">
        <v>77</v>
      </c>
      <c r="E12688" s="30" t="s">
        <v>24330</v>
      </c>
      <c r="F12688" s="34" t="n">
        <f aca="false">IFERROR(VLOOKUP($A12688,'319'!$B:$H,7,0),0)</f>
        <v>0</v>
      </c>
      <c r="G12688" s="34" t="n">
        <f aca="false">SUMIFS('12.326ana'!$C:$C,'12.326ana'!$M:$M,redes!A12688)</f>
        <v>0</v>
      </c>
    </row>
    <row r="12689" customFormat="false" ht="14.4" hidden="true" customHeight="false" outlineLevel="0" collapsed="false">
      <c r="A12689" s="34" t="n">
        <v>13371859000159</v>
      </c>
      <c r="B12689" s="34" t="s">
        <v>24331</v>
      </c>
      <c r="C12689" s="34" t="s">
        <v>464</v>
      </c>
      <c r="E12689" s="30" t="s">
        <v>17697</v>
      </c>
      <c r="F12689" s="34" t="n">
        <f aca="false">IFERROR(VLOOKUP($A12689,'319'!$B:$H,7,0),0)</f>
        <v>0</v>
      </c>
      <c r="G12689" s="34" t="n">
        <f aca="false">SUMIFS('12.326ana'!$C:$C,'12.326ana'!$M:$M,redes!A12689)</f>
        <v>0</v>
      </c>
    </row>
    <row r="12690" customFormat="false" ht="14.4" hidden="true" customHeight="false" outlineLevel="0" collapsed="false">
      <c r="A12690" s="34" t="n">
        <v>13377152000150</v>
      </c>
      <c r="B12690" s="34" t="s">
        <v>24332</v>
      </c>
      <c r="C12690" s="34" t="s">
        <v>706</v>
      </c>
      <c r="E12690" s="30" t="s">
        <v>24333</v>
      </c>
      <c r="F12690" s="34" t="n">
        <f aca="false">IFERROR(VLOOKUP($A12690,'319'!$B:$H,7,0),0)</f>
        <v>0</v>
      </c>
      <c r="G12690" s="34" t="n">
        <f aca="false">SUMIFS('12.326ana'!$C:$C,'12.326ana'!$M:$M,redes!A12690)</f>
        <v>0</v>
      </c>
    </row>
    <row r="12691" customFormat="false" ht="14.4" hidden="true" customHeight="false" outlineLevel="0" collapsed="false">
      <c r="A12691" s="34" t="n">
        <v>13378884000164</v>
      </c>
      <c r="B12691" s="34" t="s">
        <v>24334</v>
      </c>
      <c r="C12691" s="34" t="s">
        <v>89</v>
      </c>
      <c r="E12691" s="30" t="s">
        <v>24335</v>
      </c>
      <c r="F12691" s="34" t="n">
        <f aca="false">IFERROR(VLOOKUP($A12691,'319'!$B:$H,7,0),0)</f>
        <v>0</v>
      </c>
      <c r="G12691" s="34" t="n">
        <f aca="false">SUMIFS('12.326ana'!$C:$C,'12.326ana'!$M:$M,redes!A12691)</f>
        <v>0</v>
      </c>
    </row>
    <row r="12692" customFormat="false" ht="14.4" hidden="true" customHeight="false" outlineLevel="0" collapsed="false">
      <c r="A12692" s="34" t="n">
        <v>13381282000166</v>
      </c>
      <c r="B12692" s="34" t="s">
        <v>24336</v>
      </c>
      <c r="C12692" s="34" t="s">
        <v>77</v>
      </c>
      <c r="E12692" s="30" t="s">
        <v>24337</v>
      </c>
      <c r="F12692" s="34" t="n">
        <f aca="false">IFERROR(VLOOKUP($A12692,'319'!$B:$H,7,0),0)</f>
        <v>616.11</v>
      </c>
      <c r="G12692" s="34" t="n">
        <f aca="false">SUMIFS('12.326ana'!$C:$C,'12.326ana'!$M:$M,redes!A12692)</f>
        <v>0</v>
      </c>
    </row>
    <row r="12693" customFormat="false" ht="14.4" hidden="true" customHeight="false" outlineLevel="0" collapsed="false">
      <c r="A12693" s="34" t="n">
        <v>13390264000140</v>
      </c>
      <c r="B12693" s="34" t="s">
        <v>24338</v>
      </c>
      <c r="C12693" s="34" t="s">
        <v>377</v>
      </c>
      <c r="E12693" s="30" t="s">
        <v>24339</v>
      </c>
      <c r="F12693" s="34" t="n">
        <f aca="false">IFERROR(VLOOKUP($A12693,'319'!$B:$H,7,0),0)</f>
        <v>0</v>
      </c>
      <c r="G12693" s="34" t="n">
        <f aca="false">SUMIFS('12.326ana'!$C:$C,'12.326ana'!$M:$M,redes!A12693)</f>
        <v>0</v>
      </c>
    </row>
    <row r="12694" customFormat="false" ht="14.4" hidden="true" customHeight="false" outlineLevel="0" collapsed="false">
      <c r="A12694" s="34" t="n">
        <v>13393521000106</v>
      </c>
      <c r="B12694" s="34" t="s">
        <v>24340</v>
      </c>
      <c r="C12694" s="34" t="s">
        <v>77</v>
      </c>
      <c r="E12694" s="30" t="s">
        <v>3066</v>
      </c>
      <c r="F12694" s="34" t="n">
        <f aca="false">IFERROR(VLOOKUP($A12694,'319'!$B:$H,7,0),0)</f>
        <v>0</v>
      </c>
      <c r="G12694" s="34" t="n">
        <f aca="false">SUMIFS('12.326ana'!$C:$C,'12.326ana'!$M:$M,redes!A12694)</f>
        <v>0</v>
      </c>
    </row>
    <row r="12695" customFormat="false" ht="14.4" hidden="true" customHeight="false" outlineLevel="0" collapsed="false">
      <c r="A12695" s="34" t="n">
        <v>13396869000149</v>
      </c>
      <c r="B12695" s="34" t="s">
        <v>24341</v>
      </c>
      <c r="C12695" s="34" t="s">
        <v>103</v>
      </c>
      <c r="E12695" s="30" t="s">
        <v>24342</v>
      </c>
      <c r="F12695" s="34" t="n">
        <f aca="false">IFERROR(VLOOKUP($A12695,'319'!$B:$H,7,0),0)</f>
        <v>0</v>
      </c>
      <c r="G12695" s="34" t="n">
        <f aca="false">SUMIFS('12.326ana'!$C:$C,'12.326ana'!$M:$M,redes!A12695)</f>
        <v>0</v>
      </c>
    </row>
    <row r="12696" customFormat="false" ht="14.4" hidden="true" customHeight="false" outlineLevel="0" collapsed="false">
      <c r="A12696" s="34" t="n">
        <v>13399058000100</v>
      </c>
      <c r="B12696" s="34" t="s">
        <v>24343</v>
      </c>
      <c r="C12696" s="34" t="s">
        <v>77</v>
      </c>
      <c r="E12696" s="30" t="s">
        <v>24344</v>
      </c>
      <c r="F12696" s="34" t="n">
        <f aca="false">IFERROR(VLOOKUP($A12696,'319'!$B:$H,7,0),0)</f>
        <v>0</v>
      </c>
      <c r="G12696" s="34" t="n">
        <f aca="false">SUMIFS('12.326ana'!$C:$C,'12.326ana'!$M:$M,redes!A12696)</f>
        <v>0</v>
      </c>
    </row>
    <row r="12697" customFormat="false" ht="14.4" hidden="true" customHeight="false" outlineLevel="0" collapsed="false">
      <c r="A12697" s="34" t="n">
        <v>13399347000109</v>
      </c>
      <c r="B12697" s="34" t="s">
        <v>24345</v>
      </c>
      <c r="C12697" s="34" t="s">
        <v>881</v>
      </c>
      <c r="E12697" s="30" t="s">
        <v>24346</v>
      </c>
      <c r="F12697" s="34" t="n">
        <f aca="false">IFERROR(VLOOKUP($A12697,'319'!$B:$H,7,0),0)</f>
        <v>0</v>
      </c>
      <c r="G12697" s="34" t="n">
        <f aca="false">SUMIFS('12.326ana'!$C:$C,'12.326ana'!$M:$M,redes!A12697)</f>
        <v>0</v>
      </c>
    </row>
    <row r="12698" customFormat="false" ht="14.4" hidden="true" customHeight="false" outlineLevel="0" collapsed="false">
      <c r="A12698" s="34" t="n">
        <v>13400694000104</v>
      </c>
      <c r="B12698" s="34" t="s">
        <v>24347</v>
      </c>
      <c r="C12698" s="34" t="s">
        <v>77</v>
      </c>
      <c r="E12698" s="30" t="s">
        <v>24348</v>
      </c>
      <c r="F12698" s="34" t="n">
        <f aca="false">IFERROR(VLOOKUP($A12698,'319'!$B:$H,7,0),0)</f>
        <v>0</v>
      </c>
      <c r="G12698" s="34" t="n">
        <f aca="false">SUMIFS('12.326ana'!$C:$C,'12.326ana'!$M:$M,redes!A12698)</f>
        <v>0</v>
      </c>
    </row>
    <row r="12699" customFormat="false" ht="14.4" hidden="true" customHeight="false" outlineLevel="0" collapsed="false">
      <c r="A12699" s="34" t="n">
        <v>13404311000168</v>
      </c>
      <c r="B12699" s="34" t="s">
        <v>17517</v>
      </c>
      <c r="C12699" s="34" t="s">
        <v>77</v>
      </c>
      <c r="E12699" s="30" t="s">
        <v>17518</v>
      </c>
      <c r="F12699" s="34" t="n">
        <f aca="false">IFERROR(VLOOKUP($A12699,'319'!$B:$H,7,0),0)</f>
        <v>0</v>
      </c>
      <c r="G12699" s="34" t="n">
        <f aca="false">SUMIFS('12.326ana'!$C:$C,'12.326ana'!$M:$M,redes!A12699)</f>
        <v>0</v>
      </c>
    </row>
    <row r="12700" customFormat="false" ht="14.4" hidden="true" customHeight="false" outlineLevel="0" collapsed="false">
      <c r="A12700" s="34" t="n">
        <v>13405052000190</v>
      </c>
      <c r="B12700" s="34" t="s">
        <v>24349</v>
      </c>
      <c r="C12700" s="34" t="s">
        <v>448</v>
      </c>
      <c r="E12700" s="30" t="s">
        <v>24350</v>
      </c>
      <c r="F12700" s="34" t="n">
        <f aca="false">IFERROR(VLOOKUP($A12700,'319'!$B:$H,7,0),0)</f>
        <v>0</v>
      </c>
      <c r="G12700" s="34" t="n">
        <f aca="false">SUMIFS('12.326ana'!$C:$C,'12.326ana'!$M:$M,redes!A12700)</f>
        <v>0</v>
      </c>
    </row>
    <row r="12701" customFormat="false" ht="14.4" hidden="true" customHeight="false" outlineLevel="0" collapsed="false">
      <c r="A12701" s="34" t="n">
        <v>13405925000164</v>
      </c>
      <c r="B12701" s="34" t="s">
        <v>24351</v>
      </c>
      <c r="C12701" s="34" t="s">
        <v>107</v>
      </c>
      <c r="E12701" s="30" t="s">
        <v>24352</v>
      </c>
      <c r="F12701" s="34" t="n">
        <f aca="false">IFERROR(VLOOKUP($A12701,'319'!$B:$H,7,0),0)</f>
        <v>0</v>
      </c>
      <c r="G12701" s="34" t="n">
        <f aca="false">SUMIFS('12.326ana'!$C:$C,'12.326ana'!$M:$M,redes!A12701)</f>
        <v>0</v>
      </c>
    </row>
    <row r="12702" customFormat="false" ht="14.4" hidden="true" customHeight="false" outlineLevel="0" collapsed="false">
      <c r="A12702" s="34" t="n">
        <v>13410913000128</v>
      </c>
      <c r="B12702" s="34" t="s">
        <v>24353</v>
      </c>
      <c r="C12702" s="34" t="s">
        <v>737</v>
      </c>
      <c r="E12702" s="30" t="s">
        <v>24354</v>
      </c>
      <c r="F12702" s="34" t="n">
        <f aca="false">IFERROR(VLOOKUP($A12702,'319'!$B:$H,7,0),0)</f>
        <v>0</v>
      </c>
      <c r="G12702" s="34" t="n">
        <f aca="false">SUMIFS('12.326ana'!$C:$C,'12.326ana'!$M:$M,redes!A12702)</f>
        <v>0</v>
      </c>
    </row>
    <row r="12703" customFormat="false" ht="14.4" hidden="true" customHeight="false" outlineLevel="0" collapsed="false">
      <c r="A12703" s="34" t="n">
        <v>13416598000146</v>
      </c>
      <c r="B12703" s="34" t="s">
        <v>24355</v>
      </c>
      <c r="C12703" s="34" t="s">
        <v>139</v>
      </c>
      <c r="E12703" s="30" t="s">
        <v>6009</v>
      </c>
      <c r="F12703" s="34" t="n">
        <f aca="false">IFERROR(VLOOKUP($A12703,'319'!$B:$H,7,0),0)</f>
        <v>0</v>
      </c>
      <c r="G12703" s="34" t="n">
        <f aca="false">SUMIFS('12.326ana'!$C:$C,'12.326ana'!$M:$M,redes!A12703)</f>
        <v>0</v>
      </c>
    </row>
    <row r="12704" customFormat="false" ht="14.4" hidden="true" customHeight="false" outlineLevel="0" collapsed="false">
      <c r="A12704" s="34" t="n">
        <v>13419187000104</v>
      </c>
      <c r="B12704" s="34" t="s">
        <v>24356</v>
      </c>
      <c r="C12704" s="34" t="s">
        <v>139</v>
      </c>
      <c r="E12704" s="30" t="s">
        <v>19860</v>
      </c>
      <c r="F12704" s="34" t="n">
        <f aca="false">IFERROR(VLOOKUP($A12704,'319'!$B:$H,7,0),0)</f>
        <v>0</v>
      </c>
      <c r="G12704" s="34" t="n">
        <f aca="false">SUMIFS('12.326ana'!$C:$C,'12.326ana'!$M:$M,redes!A12704)</f>
        <v>0</v>
      </c>
    </row>
    <row r="12705" customFormat="false" ht="14.4" hidden="true" customHeight="false" outlineLevel="0" collapsed="false">
      <c r="A12705" s="34" t="n">
        <v>13425704000158</v>
      </c>
      <c r="B12705" s="34" t="s">
        <v>24357</v>
      </c>
      <c r="C12705" s="34" t="s">
        <v>478</v>
      </c>
      <c r="D12705" s="34" t="s">
        <v>24358</v>
      </c>
      <c r="E12705" s="30" t="s">
        <v>24359</v>
      </c>
      <c r="F12705" s="34" t="n">
        <f aca="false">IFERROR(VLOOKUP($A12705,'319'!$B:$H,7,0),0)</f>
        <v>0</v>
      </c>
      <c r="G12705" s="34" t="n">
        <f aca="false">SUMIFS('12.326ana'!$C:$C,'12.326ana'!$M:$M,redes!A12705)</f>
        <v>0</v>
      </c>
    </row>
    <row r="12706" customFormat="false" ht="14.4" hidden="true" customHeight="false" outlineLevel="0" collapsed="false">
      <c r="A12706" s="34" t="n">
        <v>13425704000239</v>
      </c>
      <c r="B12706" s="34" t="s">
        <v>24357</v>
      </c>
      <c r="C12706" s="34" t="s">
        <v>478</v>
      </c>
      <c r="E12706" s="30" t="s">
        <v>24359</v>
      </c>
      <c r="F12706" s="34" t="n">
        <f aca="false">IFERROR(VLOOKUP($A12706,'319'!$B:$H,7,0),0)</f>
        <v>0</v>
      </c>
      <c r="G12706" s="34" t="n">
        <f aca="false">SUMIFS('12.326ana'!$C:$C,'12.326ana'!$M:$M,redes!A12706)</f>
        <v>0</v>
      </c>
    </row>
    <row r="12707" customFormat="false" ht="14.4" hidden="true" customHeight="false" outlineLevel="0" collapsed="false">
      <c r="A12707" s="34" t="n">
        <v>13425704000310</v>
      </c>
      <c r="B12707" s="34" t="s">
        <v>24357</v>
      </c>
      <c r="C12707" s="34" t="s">
        <v>478</v>
      </c>
      <c r="E12707" s="30" t="s">
        <v>24360</v>
      </c>
      <c r="F12707" s="34" t="n">
        <f aca="false">IFERROR(VLOOKUP($A12707,'319'!$B:$H,7,0),0)</f>
        <v>0</v>
      </c>
      <c r="G12707" s="34" t="n">
        <f aca="false">SUMIFS('12.326ana'!$C:$C,'12.326ana'!$M:$M,redes!A12707)</f>
        <v>0</v>
      </c>
    </row>
    <row r="12708" customFormat="false" ht="14.4" hidden="true" customHeight="false" outlineLevel="0" collapsed="false">
      <c r="A12708" s="34" t="n">
        <v>13431662000168</v>
      </c>
      <c r="B12708" s="34" t="s">
        <v>24361</v>
      </c>
      <c r="C12708" s="34" t="s">
        <v>357</v>
      </c>
      <c r="E12708" s="30" t="s">
        <v>24362</v>
      </c>
      <c r="F12708" s="34" t="n">
        <f aca="false">IFERROR(VLOOKUP($A12708,'319'!$B:$H,7,0),0)</f>
        <v>0</v>
      </c>
      <c r="G12708" s="34" t="n">
        <f aca="false">SUMIFS('12.326ana'!$C:$C,'12.326ana'!$M:$M,redes!A12708)</f>
        <v>0</v>
      </c>
    </row>
    <row r="12709" customFormat="false" ht="14.4" hidden="true" customHeight="false" outlineLevel="0" collapsed="false">
      <c r="A12709" s="34" t="n">
        <v>13433868000127</v>
      </c>
      <c r="B12709" s="34" t="s">
        <v>24363</v>
      </c>
      <c r="C12709" s="34" t="s">
        <v>2998</v>
      </c>
      <c r="E12709" s="30" t="s">
        <v>24364</v>
      </c>
      <c r="F12709" s="34" t="n">
        <f aca="false">IFERROR(VLOOKUP($A12709,'319'!$B:$H,7,0),0)</f>
        <v>0</v>
      </c>
      <c r="G12709" s="34" t="n">
        <f aca="false">SUMIFS('12.326ana'!$C:$C,'12.326ana'!$M:$M,redes!A12709)</f>
        <v>0</v>
      </c>
    </row>
    <row r="12710" customFormat="false" ht="14.4" hidden="true" customHeight="false" outlineLevel="0" collapsed="false">
      <c r="A12710" s="34" t="n">
        <v>13439097000185</v>
      </c>
      <c r="B12710" s="34" t="s">
        <v>24365</v>
      </c>
      <c r="C12710" s="34" t="s">
        <v>77</v>
      </c>
      <c r="E12710" s="30" t="s">
        <v>24366</v>
      </c>
      <c r="F12710" s="34" t="n">
        <f aca="false">IFERROR(VLOOKUP($A12710,'319'!$B:$H,7,0),0)</f>
        <v>0</v>
      </c>
      <c r="G12710" s="34" t="n">
        <f aca="false">SUMIFS('12.326ana'!$C:$C,'12.326ana'!$M:$M,redes!A12710)</f>
        <v>0</v>
      </c>
    </row>
    <row r="12711" customFormat="false" ht="14.4" hidden="true" customHeight="false" outlineLevel="0" collapsed="false">
      <c r="A12711" s="34" t="n">
        <v>13454361000150</v>
      </c>
      <c r="B12711" s="34" t="s">
        <v>24367</v>
      </c>
      <c r="C12711" s="34" t="s">
        <v>77</v>
      </c>
      <c r="E12711" s="30" t="s">
        <v>24368</v>
      </c>
      <c r="F12711" s="34" t="n">
        <f aca="false">IFERROR(VLOOKUP($A12711,'319'!$B:$H,7,0),0)</f>
        <v>0</v>
      </c>
      <c r="G12711" s="34" t="n">
        <f aca="false">SUMIFS('12.326ana'!$C:$C,'12.326ana'!$M:$M,redes!A12711)</f>
        <v>0</v>
      </c>
    </row>
    <row r="12712" customFormat="false" ht="14.4" hidden="true" customHeight="false" outlineLevel="0" collapsed="false">
      <c r="A12712" s="34" t="n">
        <v>13465247000125</v>
      </c>
      <c r="B12712" s="34" t="s">
        <v>24369</v>
      </c>
      <c r="C12712" s="34" t="s">
        <v>77</v>
      </c>
      <c r="E12712" s="30" t="s">
        <v>24370</v>
      </c>
      <c r="F12712" s="34" t="n">
        <f aca="false">IFERROR(VLOOKUP($A12712,'319'!$B:$H,7,0),0)</f>
        <v>0</v>
      </c>
      <c r="G12712" s="34" t="n">
        <f aca="false">SUMIFS('12.326ana'!$C:$C,'12.326ana'!$M:$M,redes!A12712)</f>
        <v>0</v>
      </c>
    </row>
    <row r="12713" customFormat="false" ht="14.4" hidden="true" customHeight="false" outlineLevel="0" collapsed="false">
      <c r="A12713" s="34" t="n">
        <v>13471748000114</v>
      </c>
      <c r="B12713" s="34" t="s">
        <v>24371</v>
      </c>
      <c r="C12713" s="34" t="s">
        <v>139</v>
      </c>
      <c r="E12713" s="30" t="s">
        <v>24372</v>
      </c>
      <c r="F12713" s="34" t="n">
        <f aca="false">IFERROR(VLOOKUP($A12713,'319'!$B:$H,7,0),0)</f>
        <v>0</v>
      </c>
      <c r="G12713" s="34" t="n">
        <f aca="false">SUMIFS('12.326ana'!$C:$C,'12.326ana'!$M:$M,redes!A12713)</f>
        <v>0</v>
      </c>
    </row>
    <row r="12714" customFormat="false" ht="14.4" hidden="true" customHeight="false" outlineLevel="0" collapsed="false">
      <c r="A12714" s="34" t="n">
        <v>13479638000107</v>
      </c>
      <c r="B12714" s="34" t="s">
        <v>24373</v>
      </c>
      <c r="C12714" s="34" t="s">
        <v>107</v>
      </c>
      <c r="E12714" s="30" t="s">
        <v>24373</v>
      </c>
      <c r="F12714" s="34" t="n">
        <f aca="false">IFERROR(VLOOKUP($A12714,'319'!$B:$H,7,0),0)</f>
        <v>0</v>
      </c>
      <c r="G12714" s="34" t="n">
        <f aca="false">SUMIFS('12.326ana'!$C:$C,'12.326ana'!$M:$M,redes!A12714)</f>
        <v>0</v>
      </c>
    </row>
    <row r="12715" customFormat="false" ht="14.4" hidden="true" customHeight="false" outlineLevel="0" collapsed="false">
      <c r="A12715" s="34" t="n">
        <v>13479697000177</v>
      </c>
      <c r="B12715" s="34" t="s">
        <v>24374</v>
      </c>
      <c r="C12715" s="34" t="s">
        <v>77</v>
      </c>
      <c r="E12715" s="30" t="s">
        <v>24375</v>
      </c>
      <c r="F12715" s="34" t="n">
        <f aca="false">IFERROR(VLOOKUP($A12715,'319'!$B:$H,7,0),0)</f>
        <v>0</v>
      </c>
      <c r="G12715" s="34" t="n">
        <f aca="false">SUMIFS('12.326ana'!$C:$C,'12.326ana'!$M:$M,redes!A12715)</f>
        <v>0</v>
      </c>
    </row>
    <row r="12716" customFormat="false" ht="14.4" hidden="true" customHeight="false" outlineLevel="0" collapsed="false">
      <c r="A12716" s="34" t="n">
        <v>13481777000167</v>
      </c>
      <c r="B12716" s="34" t="s">
        <v>24376</v>
      </c>
      <c r="C12716" s="34" t="s">
        <v>103</v>
      </c>
      <c r="E12716" s="30" t="s">
        <v>7502</v>
      </c>
      <c r="F12716" s="34" t="n">
        <f aca="false">IFERROR(VLOOKUP($A12716,'319'!$B:$H,7,0),0)</f>
        <v>0</v>
      </c>
      <c r="G12716" s="34" t="n">
        <f aca="false">SUMIFS('12.326ana'!$C:$C,'12.326ana'!$M:$M,redes!A12716)</f>
        <v>0</v>
      </c>
    </row>
    <row r="12717" customFormat="false" ht="14.4" hidden="true" customHeight="false" outlineLevel="0" collapsed="false">
      <c r="A12717" s="34" t="n">
        <v>13483843000138</v>
      </c>
      <c r="B12717" s="34" t="s">
        <v>24377</v>
      </c>
      <c r="C12717" s="34" t="s">
        <v>77</v>
      </c>
      <c r="E12717" s="30" t="s">
        <v>24377</v>
      </c>
      <c r="F12717" s="34" t="n">
        <f aca="false">IFERROR(VLOOKUP($A12717,'319'!$B:$H,7,0),0)</f>
        <v>0</v>
      </c>
      <c r="G12717" s="34" t="n">
        <f aca="false">SUMIFS('12.326ana'!$C:$C,'12.326ana'!$M:$M,redes!A12717)</f>
        <v>0</v>
      </c>
    </row>
    <row r="12718" customFormat="false" ht="14.4" hidden="true" customHeight="false" outlineLevel="0" collapsed="false">
      <c r="A12718" s="34" t="n">
        <v>13484614000138</v>
      </c>
      <c r="B12718" s="34" t="s">
        <v>24378</v>
      </c>
      <c r="C12718" s="34" t="s">
        <v>357</v>
      </c>
      <c r="E12718" s="30" t="s">
        <v>24379</v>
      </c>
      <c r="F12718" s="34" t="n">
        <f aca="false">IFERROR(VLOOKUP($A12718,'319'!$B:$H,7,0),0)</f>
        <v>0</v>
      </c>
      <c r="G12718" s="34" t="n">
        <f aca="false">SUMIFS('12.326ana'!$C:$C,'12.326ana'!$M:$M,redes!A12718)</f>
        <v>0</v>
      </c>
    </row>
    <row r="12719" customFormat="false" ht="14.4" hidden="true" customHeight="false" outlineLevel="0" collapsed="false">
      <c r="A12719" s="34" t="n">
        <v>13489756000198</v>
      </c>
      <c r="B12719" s="34" t="s">
        <v>24380</v>
      </c>
      <c r="C12719" s="34" t="s">
        <v>77</v>
      </c>
      <c r="E12719" s="30"/>
      <c r="F12719" s="34" t="n">
        <f aca="false">IFERROR(VLOOKUP($A12719,'319'!$B:$H,7,0),0)</f>
        <v>0</v>
      </c>
      <c r="G12719" s="34" t="n">
        <f aca="false">SUMIFS('12.326ana'!$C:$C,'12.326ana'!$M:$M,redes!A12719)</f>
        <v>0</v>
      </c>
    </row>
    <row r="12720" customFormat="false" ht="14.4" hidden="true" customHeight="false" outlineLevel="0" collapsed="false">
      <c r="A12720" s="34" t="n">
        <v>13491786000139</v>
      </c>
      <c r="B12720" s="34" t="s">
        <v>24381</v>
      </c>
      <c r="C12720" s="34" t="s">
        <v>478</v>
      </c>
      <c r="E12720" s="30" t="s">
        <v>24382</v>
      </c>
      <c r="F12720" s="34" t="n">
        <f aca="false">IFERROR(VLOOKUP($A12720,'319'!$B:$H,7,0),0)</f>
        <v>0</v>
      </c>
      <c r="G12720" s="34" t="n">
        <f aca="false">SUMIFS('12.326ana'!$C:$C,'12.326ana'!$M:$M,redes!A12720)</f>
        <v>0</v>
      </c>
    </row>
    <row r="12721" customFormat="false" ht="14.4" hidden="true" customHeight="false" outlineLevel="0" collapsed="false">
      <c r="A12721" s="34" t="n">
        <v>13491796000174</v>
      </c>
      <c r="B12721" s="34" t="s">
        <v>24383</v>
      </c>
      <c r="C12721" s="34" t="s">
        <v>604</v>
      </c>
      <c r="E12721" s="30" t="s">
        <v>24384</v>
      </c>
      <c r="F12721" s="34" t="n">
        <f aca="false">IFERROR(VLOOKUP($A12721,'319'!$B:$H,7,0),0)</f>
        <v>0</v>
      </c>
      <c r="G12721" s="34" t="n">
        <f aca="false">SUMIFS('12.326ana'!$C:$C,'12.326ana'!$M:$M,redes!A12721)</f>
        <v>0</v>
      </c>
    </row>
    <row r="12722" customFormat="false" ht="14.4" hidden="true" customHeight="false" outlineLevel="0" collapsed="false">
      <c r="A12722" s="34" t="n">
        <v>13509558000149</v>
      </c>
      <c r="B12722" s="34" t="s">
        <v>18141</v>
      </c>
      <c r="C12722" s="34" t="s">
        <v>957</v>
      </c>
      <c r="E12722" s="30" t="s">
        <v>24385</v>
      </c>
      <c r="F12722" s="34" t="n">
        <f aca="false">IFERROR(VLOOKUP($A12722,'319'!$B:$H,7,0),0)</f>
        <v>0</v>
      </c>
      <c r="G12722" s="34" t="n">
        <f aca="false">SUMIFS('12.326ana'!$C:$C,'12.326ana'!$M:$M,redes!A12722)</f>
        <v>0</v>
      </c>
    </row>
    <row r="12723" customFormat="false" ht="14.4" hidden="true" customHeight="false" outlineLevel="0" collapsed="false">
      <c r="A12723" s="34" t="n">
        <v>13510007000103</v>
      </c>
      <c r="B12723" s="34" t="s">
        <v>24386</v>
      </c>
      <c r="C12723" s="34" t="s">
        <v>139</v>
      </c>
      <c r="E12723" s="30" t="s">
        <v>14170</v>
      </c>
      <c r="F12723" s="34" t="n">
        <f aca="false">IFERROR(VLOOKUP($A12723,'319'!$B:$H,7,0),0)</f>
        <v>0</v>
      </c>
      <c r="G12723" s="34" t="n">
        <f aca="false">SUMIFS('12.326ana'!$C:$C,'12.326ana'!$M:$M,redes!A12723)</f>
        <v>0</v>
      </c>
    </row>
    <row r="12724" customFormat="false" ht="14.4" hidden="true" customHeight="false" outlineLevel="0" collapsed="false">
      <c r="A12724" s="34" t="n">
        <v>13512218000177</v>
      </c>
      <c r="B12724" s="34" t="s">
        <v>24387</v>
      </c>
      <c r="C12724" s="34" t="s">
        <v>4139</v>
      </c>
      <c r="E12724" s="30" t="s">
        <v>6896</v>
      </c>
      <c r="F12724" s="34" t="n">
        <f aca="false">IFERROR(VLOOKUP($A12724,'319'!$B:$H,7,0),0)</f>
        <v>0</v>
      </c>
      <c r="G12724" s="34" t="n">
        <f aca="false">SUMIFS('12.326ana'!$C:$C,'12.326ana'!$M:$M,redes!A12724)</f>
        <v>0</v>
      </c>
    </row>
    <row r="12725" customFormat="false" ht="14.4" hidden="true" customHeight="false" outlineLevel="0" collapsed="false">
      <c r="A12725" s="34" t="n">
        <v>13514576000119</v>
      </c>
      <c r="B12725" s="34" t="s">
        <v>24388</v>
      </c>
      <c r="C12725" s="34" t="s">
        <v>464</v>
      </c>
      <c r="E12725" s="30" t="s">
        <v>24389</v>
      </c>
      <c r="F12725" s="34" t="n">
        <f aca="false">IFERROR(VLOOKUP($A12725,'319'!$B:$H,7,0),0)</f>
        <v>0</v>
      </c>
      <c r="G12725" s="34" t="n">
        <f aca="false">SUMIFS('12.326ana'!$C:$C,'12.326ana'!$M:$M,redes!A12725)</f>
        <v>0</v>
      </c>
    </row>
    <row r="12726" customFormat="false" ht="14.4" hidden="true" customHeight="false" outlineLevel="0" collapsed="false">
      <c r="A12726" s="34" t="n">
        <v>13519092000162</v>
      </c>
      <c r="B12726" s="34" t="s">
        <v>24390</v>
      </c>
      <c r="C12726" s="34" t="s">
        <v>77</v>
      </c>
      <c r="E12726" s="30" t="s">
        <v>15506</v>
      </c>
      <c r="F12726" s="34" t="n">
        <f aca="false">IFERROR(VLOOKUP($A12726,'319'!$B:$H,7,0),0)</f>
        <v>0</v>
      </c>
      <c r="G12726" s="34" t="n">
        <f aca="false">SUMIFS('12.326ana'!$C:$C,'12.326ana'!$M:$M,redes!A12726)</f>
        <v>0</v>
      </c>
    </row>
    <row r="12727" customFormat="false" ht="14.4" hidden="true" customHeight="false" outlineLevel="0" collapsed="false">
      <c r="A12727" s="34" t="n">
        <v>13524464000149</v>
      </c>
      <c r="B12727" s="34" t="s">
        <v>24391</v>
      </c>
      <c r="C12727" s="34" t="s">
        <v>631</v>
      </c>
      <c r="E12727" s="30" t="s">
        <v>24392</v>
      </c>
      <c r="F12727" s="34" t="n">
        <f aca="false">IFERROR(VLOOKUP($A12727,'319'!$B:$H,7,0),0)</f>
        <v>0</v>
      </c>
      <c r="G12727" s="34" t="n">
        <f aca="false">SUMIFS('12.326ana'!$C:$C,'12.326ana'!$M:$M,redes!A12727)</f>
        <v>0</v>
      </c>
    </row>
    <row r="12728" customFormat="false" ht="14.4" hidden="true" customHeight="false" outlineLevel="0" collapsed="false">
      <c r="A12728" s="34" t="n">
        <v>13526779000125</v>
      </c>
      <c r="B12728" s="34" t="s">
        <v>24393</v>
      </c>
      <c r="C12728" s="34" t="s">
        <v>192</v>
      </c>
      <c r="E12728" s="30" t="s">
        <v>24394</v>
      </c>
      <c r="F12728" s="34" t="n">
        <f aca="false">IFERROR(VLOOKUP($A12728,'319'!$B:$H,7,0),0)</f>
        <v>0</v>
      </c>
      <c r="G12728" s="34" t="n">
        <f aca="false">SUMIFS('12.326ana'!$C:$C,'12.326ana'!$M:$M,redes!A12728)</f>
        <v>0</v>
      </c>
    </row>
    <row r="12729" customFormat="false" ht="14.4" hidden="true" customHeight="false" outlineLevel="0" collapsed="false">
      <c r="A12729" s="34" t="n">
        <v>13526804000170</v>
      </c>
      <c r="B12729" s="34" t="s">
        <v>24395</v>
      </c>
      <c r="C12729" s="34" t="s">
        <v>197</v>
      </c>
      <c r="E12729" s="30" t="s">
        <v>24396</v>
      </c>
      <c r="F12729" s="34" t="n">
        <f aca="false">IFERROR(VLOOKUP($A12729,'319'!$B:$H,7,0),0)</f>
        <v>0</v>
      </c>
      <c r="G12729" s="34" t="n">
        <f aca="false">SUMIFS('12.326ana'!$C:$C,'12.326ana'!$M:$M,redes!A12729)</f>
        <v>0</v>
      </c>
    </row>
    <row r="12730" customFormat="false" ht="14.4" hidden="true" customHeight="false" outlineLevel="0" collapsed="false">
      <c r="A12730" s="34" t="n">
        <v>13529155000161</v>
      </c>
      <c r="B12730" s="34" t="s">
        <v>24397</v>
      </c>
      <c r="C12730" s="34" t="s">
        <v>77</v>
      </c>
      <c r="E12730" s="30" t="s">
        <v>24398</v>
      </c>
      <c r="F12730" s="34" t="n">
        <f aca="false">IFERROR(VLOOKUP($A12730,'319'!$B:$H,7,0),0)</f>
        <v>0</v>
      </c>
      <c r="G12730" s="34" t="n">
        <f aca="false">SUMIFS('12.326ana'!$C:$C,'12.326ana'!$M:$M,redes!A12730)</f>
        <v>0</v>
      </c>
    </row>
    <row r="12731" customFormat="false" ht="14.4" hidden="true" customHeight="false" outlineLevel="0" collapsed="false">
      <c r="A12731" s="34" t="n">
        <v>13532383000190</v>
      </c>
      <c r="B12731" s="34" t="s">
        <v>24399</v>
      </c>
      <c r="C12731" s="34" t="s">
        <v>77</v>
      </c>
      <c r="E12731" s="30" t="s">
        <v>13492</v>
      </c>
      <c r="F12731" s="34" t="n">
        <f aca="false">IFERROR(VLOOKUP($A12731,'319'!$B:$H,7,0),0)</f>
        <v>0</v>
      </c>
      <c r="G12731" s="34" t="n">
        <f aca="false">SUMIFS('12.326ana'!$C:$C,'12.326ana'!$M:$M,redes!A12731)</f>
        <v>0</v>
      </c>
    </row>
    <row r="12732" customFormat="false" ht="14.4" hidden="true" customHeight="false" outlineLevel="0" collapsed="false">
      <c r="A12732" s="34" t="n">
        <v>13533734000188</v>
      </c>
      <c r="B12732" s="34" t="s">
        <v>3358</v>
      </c>
      <c r="C12732" s="34" t="s">
        <v>129</v>
      </c>
      <c r="E12732" s="30" t="s">
        <v>3358</v>
      </c>
      <c r="F12732" s="34" t="n">
        <f aca="false">IFERROR(VLOOKUP($A12732,'319'!$B:$H,7,0),0)</f>
        <v>0</v>
      </c>
      <c r="G12732" s="34" t="n">
        <f aca="false">SUMIFS('12.326ana'!$C:$C,'12.326ana'!$M:$M,redes!A12732)</f>
        <v>0</v>
      </c>
    </row>
    <row r="12733" customFormat="false" ht="14.4" hidden="true" customHeight="false" outlineLevel="0" collapsed="false">
      <c r="A12733" s="34" t="n">
        <v>13536672000168</v>
      </c>
      <c r="B12733" s="34" t="s">
        <v>24400</v>
      </c>
      <c r="C12733" s="34" t="s">
        <v>77</v>
      </c>
      <c r="E12733" s="30" t="s">
        <v>24401</v>
      </c>
      <c r="F12733" s="34" t="n">
        <f aca="false">IFERROR(VLOOKUP($A12733,'319'!$B:$H,7,0),0)</f>
        <v>0</v>
      </c>
      <c r="G12733" s="34" t="n">
        <f aca="false">SUMIFS('12.326ana'!$C:$C,'12.326ana'!$M:$M,redes!A12733)</f>
        <v>0</v>
      </c>
    </row>
    <row r="12734" customFormat="false" ht="14.4" hidden="true" customHeight="false" outlineLevel="0" collapsed="false">
      <c r="A12734" s="34" t="n">
        <v>13536853000194</v>
      </c>
      <c r="B12734" s="34" t="s">
        <v>24402</v>
      </c>
      <c r="C12734" s="34" t="s">
        <v>77</v>
      </c>
      <c r="E12734" s="30" t="s">
        <v>24403</v>
      </c>
      <c r="F12734" s="34" t="n">
        <f aca="false">IFERROR(VLOOKUP($A12734,'319'!$B:$H,7,0),0)</f>
        <v>0</v>
      </c>
      <c r="G12734" s="34" t="n">
        <f aca="false">SUMIFS('12.326ana'!$C:$C,'12.326ana'!$M:$M,redes!A12734)</f>
        <v>0</v>
      </c>
    </row>
    <row r="12735" customFormat="false" ht="14.4" hidden="true" customHeight="false" outlineLevel="0" collapsed="false">
      <c r="A12735" s="34" t="n">
        <v>13537677000105</v>
      </c>
      <c r="B12735" s="34" t="s">
        <v>24404</v>
      </c>
      <c r="C12735" s="34" t="s">
        <v>1272</v>
      </c>
      <c r="E12735" s="30" t="s">
        <v>24405</v>
      </c>
      <c r="F12735" s="34" t="n">
        <f aca="false">IFERROR(VLOOKUP($A12735,'319'!$B:$H,7,0),0)</f>
        <v>0</v>
      </c>
      <c r="G12735" s="34" t="n">
        <f aca="false">SUMIFS('12.326ana'!$C:$C,'12.326ana'!$M:$M,redes!A12735)</f>
        <v>0</v>
      </c>
    </row>
    <row r="12736" customFormat="false" ht="14.4" hidden="true" customHeight="false" outlineLevel="0" collapsed="false">
      <c r="A12736" s="34" t="n">
        <v>13537905000147</v>
      </c>
      <c r="B12736" s="34" t="s">
        <v>24406</v>
      </c>
      <c r="C12736" s="34" t="s">
        <v>77</v>
      </c>
      <c r="E12736" s="30" t="s">
        <v>24407</v>
      </c>
      <c r="F12736" s="34" t="n">
        <f aca="false">IFERROR(VLOOKUP($A12736,'319'!$B:$H,7,0),0)</f>
        <v>0</v>
      </c>
      <c r="G12736" s="34" t="n">
        <f aca="false">SUMIFS('12.326ana'!$C:$C,'12.326ana'!$M:$M,redes!A12736)</f>
        <v>0</v>
      </c>
    </row>
    <row r="12737" customFormat="false" ht="14.4" hidden="true" customHeight="false" outlineLevel="0" collapsed="false">
      <c r="A12737" s="34" t="n">
        <v>13552236000182</v>
      </c>
      <c r="B12737" s="34" t="s">
        <v>24408</v>
      </c>
      <c r="C12737" s="34" t="s">
        <v>154</v>
      </c>
      <c r="E12737" s="30" t="s">
        <v>24409</v>
      </c>
      <c r="F12737" s="34" t="n">
        <f aca="false">IFERROR(VLOOKUP($A12737,'319'!$B:$H,7,0),0)</f>
        <v>0</v>
      </c>
      <c r="G12737" s="34" t="n">
        <f aca="false">SUMIFS('12.326ana'!$C:$C,'12.326ana'!$M:$M,redes!A12737)</f>
        <v>0</v>
      </c>
    </row>
    <row r="12738" customFormat="false" ht="14.4" hidden="true" customHeight="false" outlineLevel="0" collapsed="false">
      <c r="A12738" s="34" t="n">
        <v>13557705000156</v>
      </c>
      <c r="B12738" s="34" t="s">
        <v>24410</v>
      </c>
      <c r="C12738" s="34" t="s">
        <v>77</v>
      </c>
      <c r="E12738" s="30" t="s">
        <v>24411</v>
      </c>
      <c r="F12738" s="34" t="n">
        <f aca="false">IFERROR(VLOOKUP($A12738,'319'!$B:$H,7,0),0)</f>
        <v>0</v>
      </c>
      <c r="G12738" s="34" t="n">
        <f aca="false">SUMIFS('12.326ana'!$C:$C,'12.326ana'!$M:$M,redes!A12738)</f>
        <v>0</v>
      </c>
    </row>
    <row r="12739" customFormat="false" ht="14.4" hidden="true" customHeight="false" outlineLevel="0" collapsed="false">
      <c r="A12739" s="34" t="n">
        <v>13557851000181</v>
      </c>
      <c r="B12739" s="34" t="s">
        <v>24412</v>
      </c>
      <c r="C12739" s="34" t="s">
        <v>475</v>
      </c>
      <c r="E12739" s="30" t="s">
        <v>11474</v>
      </c>
      <c r="F12739" s="34" t="n">
        <f aca="false">IFERROR(VLOOKUP($A12739,'319'!$B:$H,7,0),0)</f>
        <v>0</v>
      </c>
      <c r="G12739" s="34" t="n">
        <f aca="false">SUMIFS('12.326ana'!$C:$C,'12.326ana'!$M:$M,redes!A12739)</f>
        <v>0</v>
      </c>
    </row>
    <row r="12740" customFormat="false" ht="14.4" hidden="true" customHeight="false" outlineLevel="0" collapsed="false">
      <c r="A12740" s="34" t="n">
        <v>13570506000188</v>
      </c>
      <c r="B12740" s="34" t="s">
        <v>24413</v>
      </c>
      <c r="C12740" s="34" t="s">
        <v>77</v>
      </c>
      <c r="E12740" s="30" t="s">
        <v>24414</v>
      </c>
      <c r="F12740" s="34" t="n">
        <f aca="false">IFERROR(VLOOKUP($A12740,'319'!$B:$H,7,0),0)</f>
        <v>0</v>
      </c>
      <c r="G12740" s="34" t="n">
        <f aca="false">SUMIFS('12.326ana'!$C:$C,'12.326ana'!$M:$M,redes!A12740)</f>
        <v>0</v>
      </c>
    </row>
    <row r="12741" customFormat="false" ht="14.4" hidden="true" customHeight="false" outlineLevel="0" collapsed="false">
      <c r="A12741" s="34" t="n">
        <v>13577814000135</v>
      </c>
      <c r="B12741" s="34" t="s">
        <v>24415</v>
      </c>
      <c r="C12741" s="34" t="s">
        <v>77</v>
      </c>
      <c r="E12741" s="30" t="s">
        <v>24416</v>
      </c>
      <c r="F12741" s="34" t="n">
        <f aca="false">IFERROR(VLOOKUP($A12741,'319'!$B:$H,7,0),0)</f>
        <v>0</v>
      </c>
      <c r="G12741" s="34" t="n">
        <f aca="false">SUMIFS('12.326ana'!$C:$C,'12.326ana'!$M:$M,redes!A12741)</f>
        <v>0</v>
      </c>
    </row>
    <row r="12742" customFormat="false" ht="14.4" hidden="true" customHeight="false" outlineLevel="0" collapsed="false">
      <c r="A12742" s="34" t="n">
        <v>13584346000126</v>
      </c>
      <c r="B12742" s="34" t="s">
        <v>24417</v>
      </c>
      <c r="C12742" s="34" t="s">
        <v>979</v>
      </c>
      <c r="E12742" s="30" t="s">
        <v>24418</v>
      </c>
      <c r="F12742" s="34" t="n">
        <f aca="false">IFERROR(VLOOKUP($A12742,'319'!$B:$H,7,0),0)</f>
        <v>0</v>
      </c>
      <c r="G12742" s="34" t="n">
        <f aca="false">SUMIFS('12.326ana'!$C:$C,'12.326ana'!$M:$M,redes!A12742)</f>
        <v>0</v>
      </c>
    </row>
    <row r="12743" customFormat="false" ht="14.4" hidden="true" customHeight="false" outlineLevel="0" collapsed="false">
      <c r="A12743" s="34" t="n">
        <v>13587384000132</v>
      </c>
      <c r="B12743" s="34" t="s">
        <v>24419</v>
      </c>
      <c r="C12743" s="34" t="s">
        <v>127</v>
      </c>
      <c r="E12743" s="30" t="s">
        <v>24420</v>
      </c>
      <c r="F12743" s="34" t="n">
        <f aca="false">IFERROR(VLOOKUP($A12743,'319'!$B:$H,7,0),0)</f>
        <v>0</v>
      </c>
      <c r="G12743" s="34" t="n">
        <f aca="false">SUMIFS('12.326ana'!$C:$C,'12.326ana'!$M:$M,redes!A12743)</f>
        <v>0</v>
      </c>
    </row>
    <row r="12744" customFormat="false" ht="14.4" hidden="true" customHeight="false" outlineLevel="0" collapsed="false">
      <c r="A12744" s="34" t="n">
        <v>13591077000125</v>
      </c>
      <c r="B12744" s="34" t="s">
        <v>3237</v>
      </c>
      <c r="C12744" s="34" t="s">
        <v>77</v>
      </c>
      <c r="E12744" s="30" t="s">
        <v>7125</v>
      </c>
      <c r="F12744" s="34" t="n">
        <f aca="false">IFERROR(VLOOKUP($A12744,'319'!$B:$H,7,0),0)</f>
        <v>0</v>
      </c>
      <c r="G12744" s="34" t="n">
        <f aca="false">SUMIFS('12.326ana'!$C:$C,'12.326ana'!$M:$M,redes!A12744)</f>
        <v>0</v>
      </c>
    </row>
    <row r="12745" customFormat="false" ht="14.4" hidden="true" customHeight="false" outlineLevel="0" collapsed="false">
      <c r="A12745" s="34" t="n">
        <v>13591550000174</v>
      </c>
      <c r="B12745" s="34" t="s">
        <v>24421</v>
      </c>
      <c r="C12745" s="34" t="s">
        <v>139</v>
      </c>
      <c r="E12745" s="30" t="s">
        <v>24422</v>
      </c>
      <c r="F12745" s="34" t="n">
        <f aca="false">IFERROR(VLOOKUP($A12745,'319'!$B:$H,7,0),0)</f>
        <v>0</v>
      </c>
      <c r="G12745" s="34" t="n">
        <f aca="false">SUMIFS('12.326ana'!$C:$C,'12.326ana'!$M:$M,redes!A12745)</f>
        <v>0</v>
      </c>
    </row>
    <row r="12746" customFormat="false" ht="14.4" hidden="true" customHeight="false" outlineLevel="0" collapsed="false">
      <c r="A12746" s="34" t="n">
        <v>13592576000137</v>
      </c>
      <c r="B12746" s="34" t="s">
        <v>24423</v>
      </c>
      <c r="C12746" s="34" t="s">
        <v>77</v>
      </c>
      <c r="E12746" s="30" t="s">
        <v>24424</v>
      </c>
      <c r="F12746" s="34" t="n">
        <f aca="false">IFERROR(VLOOKUP($A12746,'319'!$B:$H,7,0),0)</f>
        <v>0</v>
      </c>
      <c r="G12746" s="34" t="n">
        <f aca="false">SUMIFS('12.326ana'!$C:$C,'12.326ana'!$M:$M,redes!A12746)</f>
        <v>0</v>
      </c>
    </row>
    <row r="12747" customFormat="false" ht="14.4" hidden="true" customHeight="false" outlineLevel="0" collapsed="false">
      <c r="A12747" s="34" t="n">
        <v>13593024000143</v>
      </c>
      <c r="B12747" s="34" t="s">
        <v>24425</v>
      </c>
      <c r="C12747" s="34" t="s">
        <v>737</v>
      </c>
      <c r="E12747" s="30" t="s">
        <v>24426</v>
      </c>
      <c r="F12747" s="34" t="n">
        <f aca="false">IFERROR(VLOOKUP($A12747,'319'!$B:$H,7,0),0)</f>
        <v>0</v>
      </c>
      <c r="G12747" s="34" t="n">
        <f aca="false">SUMIFS('12.326ana'!$C:$C,'12.326ana'!$M:$M,redes!A12747)</f>
        <v>0</v>
      </c>
    </row>
    <row r="12748" customFormat="false" ht="14.4" hidden="true" customHeight="false" outlineLevel="0" collapsed="false">
      <c r="A12748" s="34" t="n">
        <v>13595540000107</v>
      </c>
      <c r="B12748" s="34" t="s">
        <v>24427</v>
      </c>
      <c r="C12748" s="34" t="s">
        <v>77</v>
      </c>
      <c r="E12748" s="30" t="s">
        <v>24428</v>
      </c>
      <c r="F12748" s="34" t="n">
        <f aca="false">IFERROR(VLOOKUP($A12748,'319'!$B:$H,7,0),0)</f>
        <v>0</v>
      </c>
      <c r="G12748" s="34" t="n">
        <f aca="false">SUMIFS('12.326ana'!$C:$C,'12.326ana'!$M:$M,redes!A12748)</f>
        <v>0</v>
      </c>
    </row>
    <row r="12749" customFormat="false" ht="14.4" hidden="true" customHeight="false" outlineLevel="0" collapsed="false">
      <c r="A12749" s="34" t="n">
        <v>13596949000148</v>
      </c>
      <c r="B12749" s="34" t="s">
        <v>24429</v>
      </c>
      <c r="C12749" s="34" t="s">
        <v>713</v>
      </c>
      <c r="E12749" s="30" t="s">
        <v>23370</v>
      </c>
      <c r="F12749" s="34" t="n">
        <f aca="false">IFERROR(VLOOKUP($A12749,'319'!$B:$H,7,0),0)</f>
        <v>0</v>
      </c>
      <c r="G12749" s="34" t="n">
        <f aca="false">SUMIFS('12.326ana'!$C:$C,'12.326ana'!$M:$M,redes!A12749)</f>
        <v>0</v>
      </c>
    </row>
    <row r="12750" customFormat="false" ht="14.4" hidden="true" customHeight="false" outlineLevel="0" collapsed="false">
      <c r="A12750" s="34" t="n">
        <v>13601986000105</v>
      </c>
      <c r="B12750" s="34" t="s">
        <v>24430</v>
      </c>
      <c r="C12750" s="34" t="s">
        <v>309</v>
      </c>
      <c r="E12750" s="30" t="s">
        <v>24431</v>
      </c>
      <c r="F12750" s="34" t="n">
        <f aca="false">IFERROR(VLOOKUP($A12750,'319'!$B:$H,7,0),0)</f>
        <v>0</v>
      </c>
      <c r="G12750" s="34" t="n">
        <f aca="false">SUMIFS('12.326ana'!$C:$C,'12.326ana'!$M:$M,redes!A12750)</f>
        <v>0</v>
      </c>
    </row>
    <row r="12751" customFormat="false" ht="14.4" hidden="true" customHeight="false" outlineLevel="0" collapsed="false">
      <c r="A12751" s="34" t="n">
        <v>13602177000100</v>
      </c>
      <c r="B12751" s="34" t="s">
        <v>24432</v>
      </c>
      <c r="C12751" s="34" t="s">
        <v>448</v>
      </c>
      <c r="E12751" s="30" t="s">
        <v>24433</v>
      </c>
      <c r="F12751" s="34" t="n">
        <f aca="false">IFERROR(VLOOKUP($A12751,'319'!$B:$H,7,0),0)</f>
        <v>0</v>
      </c>
      <c r="G12751" s="34" t="n">
        <f aca="false">SUMIFS('12.326ana'!$C:$C,'12.326ana'!$M:$M,redes!A12751)</f>
        <v>0</v>
      </c>
    </row>
    <row r="12752" customFormat="false" ht="14.4" hidden="true" customHeight="false" outlineLevel="0" collapsed="false">
      <c r="A12752" s="34" t="n">
        <v>13603208000147</v>
      </c>
      <c r="B12752" s="34" t="s">
        <v>24434</v>
      </c>
      <c r="C12752" s="34" t="s">
        <v>107</v>
      </c>
      <c r="E12752" s="30" t="s">
        <v>24435</v>
      </c>
      <c r="F12752" s="34" t="n">
        <f aca="false">IFERROR(VLOOKUP($A12752,'319'!$B:$H,7,0),0)</f>
        <v>0</v>
      </c>
      <c r="G12752" s="34" t="n">
        <f aca="false">SUMIFS('12.326ana'!$C:$C,'12.326ana'!$M:$M,redes!A12752)</f>
        <v>0</v>
      </c>
    </row>
    <row r="12753" customFormat="false" ht="14.4" hidden="true" customHeight="false" outlineLevel="0" collapsed="false">
      <c r="A12753" s="34" t="n">
        <v>13603674000122</v>
      </c>
      <c r="B12753" s="34" t="s">
        <v>24436</v>
      </c>
      <c r="C12753" s="34" t="s">
        <v>809</v>
      </c>
      <c r="E12753" s="30" t="s">
        <v>24437</v>
      </c>
      <c r="F12753" s="34" t="n">
        <f aca="false">IFERROR(VLOOKUP($A12753,'319'!$B:$H,7,0),0)</f>
        <v>0</v>
      </c>
      <c r="G12753" s="34" t="n">
        <f aca="false">SUMIFS('12.326ana'!$C:$C,'12.326ana'!$M:$M,redes!A12753)</f>
        <v>0</v>
      </c>
    </row>
    <row r="12754" customFormat="false" ht="14.4" hidden="true" customHeight="false" outlineLevel="0" collapsed="false">
      <c r="A12754" s="34" t="n">
        <v>13615997000136</v>
      </c>
      <c r="B12754" s="34" t="s">
        <v>24438</v>
      </c>
      <c r="C12754" s="34" t="s">
        <v>604</v>
      </c>
      <c r="E12754" s="30" t="s">
        <v>23310</v>
      </c>
      <c r="F12754" s="34" t="n">
        <f aca="false">IFERROR(VLOOKUP($A12754,'319'!$B:$H,7,0),0)</f>
        <v>0</v>
      </c>
      <c r="G12754" s="34" t="n">
        <f aca="false">SUMIFS('12.326ana'!$C:$C,'12.326ana'!$M:$M,redes!A12754)</f>
        <v>0</v>
      </c>
    </row>
    <row r="12755" customFormat="false" ht="14.4" hidden="true" customHeight="false" outlineLevel="0" collapsed="false">
      <c r="A12755" s="34" t="n">
        <v>13626283000123</v>
      </c>
      <c r="B12755" s="34" t="s">
        <v>24439</v>
      </c>
      <c r="C12755" s="34" t="s">
        <v>77</v>
      </c>
      <c r="E12755" s="30" t="s">
        <v>3721</v>
      </c>
      <c r="F12755" s="34" t="n">
        <f aca="false">IFERROR(VLOOKUP($A12755,'319'!$B:$H,7,0),0)</f>
        <v>0</v>
      </c>
      <c r="G12755" s="34" t="n">
        <f aca="false">SUMIFS('12.326ana'!$C:$C,'12.326ana'!$M:$M,redes!A12755)</f>
        <v>0</v>
      </c>
    </row>
    <row r="12756" customFormat="false" ht="14.4" hidden="true" customHeight="false" outlineLevel="0" collapsed="false">
      <c r="A12756" s="34" t="n">
        <v>13632343000110</v>
      </c>
      <c r="B12756" s="34" t="s">
        <v>24440</v>
      </c>
      <c r="C12756" s="34" t="s">
        <v>77</v>
      </c>
      <c r="E12756" s="30" t="s">
        <v>24441</v>
      </c>
      <c r="F12756" s="34" t="n">
        <f aca="false">IFERROR(VLOOKUP($A12756,'319'!$B:$H,7,0),0)</f>
        <v>0</v>
      </c>
      <c r="G12756" s="34" t="n">
        <f aca="false">SUMIFS('12.326ana'!$C:$C,'12.326ana'!$M:$M,redes!A12756)</f>
        <v>0</v>
      </c>
    </row>
    <row r="12757" customFormat="false" ht="14.4" hidden="true" customHeight="false" outlineLevel="0" collapsed="false">
      <c r="A12757" s="34" t="n">
        <v>13639781000100</v>
      </c>
      <c r="B12757" s="34" t="s">
        <v>24442</v>
      </c>
      <c r="C12757" s="34" t="s">
        <v>89</v>
      </c>
      <c r="E12757" s="30" t="s">
        <v>24443</v>
      </c>
      <c r="F12757" s="34" t="n">
        <f aca="false">IFERROR(VLOOKUP($A12757,'319'!$B:$H,7,0),0)</f>
        <v>0</v>
      </c>
      <c r="G12757" s="34" t="n">
        <f aca="false">SUMIFS('12.326ana'!$C:$C,'12.326ana'!$M:$M,redes!A12757)</f>
        <v>0</v>
      </c>
    </row>
    <row r="12758" customFormat="false" ht="14.4" hidden="true" customHeight="false" outlineLevel="0" collapsed="false">
      <c r="A12758" s="34" t="n">
        <v>13650915000194</v>
      </c>
      <c r="B12758" s="34" t="s">
        <v>1429</v>
      </c>
      <c r="C12758" s="34" t="s">
        <v>357</v>
      </c>
      <c r="E12758" s="30" t="s">
        <v>24444</v>
      </c>
      <c r="F12758" s="34" t="n">
        <f aca="false">IFERROR(VLOOKUP($A12758,'319'!$B:$H,7,0),0)</f>
        <v>194.59</v>
      </c>
      <c r="G12758" s="34" t="n">
        <f aca="false">SUMIFS('12.326ana'!$C:$C,'12.326ana'!$M:$M,redes!A12758)</f>
        <v>0</v>
      </c>
    </row>
    <row r="12759" customFormat="false" ht="14.4" hidden="true" customHeight="false" outlineLevel="0" collapsed="false">
      <c r="A12759" s="34" t="n">
        <v>13654963000150</v>
      </c>
      <c r="B12759" s="34" t="s">
        <v>24445</v>
      </c>
      <c r="C12759" s="34" t="s">
        <v>848</v>
      </c>
      <c r="E12759" s="30" t="s">
        <v>4575</v>
      </c>
      <c r="F12759" s="34" t="n">
        <f aca="false">IFERROR(VLOOKUP($A12759,'319'!$B:$H,7,0),0)</f>
        <v>0</v>
      </c>
      <c r="G12759" s="34" t="n">
        <f aca="false">SUMIFS('12.326ana'!$C:$C,'12.326ana'!$M:$M,redes!A12759)</f>
        <v>0</v>
      </c>
    </row>
    <row r="12760" customFormat="false" ht="14.4" hidden="true" customHeight="false" outlineLevel="0" collapsed="false">
      <c r="A12760" s="34" t="n">
        <v>13655202000385</v>
      </c>
      <c r="B12760" s="34" t="s">
        <v>24446</v>
      </c>
      <c r="C12760" s="34" t="s">
        <v>12327</v>
      </c>
      <c r="E12760" s="30" t="s">
        <v>24447</v>
      </c>
      <c r="F12760" s="34" t="n">
        <f aca="false">IFERROR(VLOOKUP($A12760,'319'!$B:$H,7,0),0)</f>
        <v>0</v>
      </c>
      <c r="G12760" s="34" t="n">
        <f aca="false">SUMIFS('12.326ana'!$C:$C,'12.326ana'!$M:$M,redes!A12760)</f>
        <v>0</v>
      </c>
    </row>
    <row r="12761" customFormat="false" ht="14.4" hidden="true" customHeight="false" outlineLevel="0" collapsed="false">
      <c r="A12761" s="34" t="n">
        <v>13658319000150</v>
      </c>
      <c r="B12761" s="34" t="s">
        <v>24448</v>
      </c>
      <c r="C12761" s="34" t="s">
        <v>77</v>
      </c>
      <c r="E12761" s="30" t="s">
        <v>10469</v>
      </c>
      <c r="F12761" s="34" t="n">
        <f aca="false">IFERROR(VLOOKUP($A12761,'319'!$B:$H,7,0),0)</f>
        <v>0</v>
      </c>
      <c r="G12761" s="34" t="n">
        <f aca="false">SUMIFS('12.326ana'!$C:$C,'12.326ana'!$M:$M,redes!A12761)</f>
        <v>0</v>
      </c>
    </row>
    <row r="12762" customFormat="false" ht="14.4" hidden="true" customHeight="false" outlineLevel="0" collapsed="false">
      <c r="A12762" s="34" t="n">
        <v>13658592000185</v>
      </c>
      <c r="B12762" s="34" t="s">
        <v>24449</v>
      </c>
      <c r="C12762" s="34" t="s">
        <v>103</v>
      </c>
      <c r="E12762" s="30" t="s">
        <v>24450</v>
      </c>
      <c r="F12762" s="34" t="n">
        <f aca="false">IFERROR(VLOOKUP($A12762,'319'!$B:$H,7,0),0)</f>
        <v>0</v>
      </c>
      <c r="G12762" s="34" t="n">
        <f aca="false">SUMIFS('12.326ana'!$C:$C,'12.326ana'!$M:$M,redes!A12762)</f>
        <v>0</v>
      </c>
    </row>
    <row r="12763" customFormat="false" ht="14.4" hidden="true" customHeight="false" outlineLevel="0" collapsed="false">
      <c r="A12763" s="34" t="n">
        <v>13660845000155</v>
      </c>
      <c r="B12763" s="34" t="s">
        <v>24451</v>
      </c>
      <c r="C12763" s="34" t="s">
        <v>737</v>
      </c>
      <c r="E12763" s="30" t="s">
        <v>13483</v>
      </c>
      <c r="F12763" s="34" t="n">
        <f aca="false">IFERROR(VLOOKUP($A12763,'319'!$B:$H,7,0),0)</f>
        <v>142.36</v>
      </c>
      <c r="G12763" s="34" t="n">
        <f aca="false">SUMIFS('12.326ana'!$C:$C,'12.326ana'!$M:$M,redes!A12763)</f>
        <v>0</v>
      </c>
    </row>
    <row r="12764" customFormat="false" ht="14.4" hidden="true" customHeight="false" outlineLevel="0" collapsed="false">
      <c r="A12764" s="34" t="n">
        <v>13667138000190</v>
      </c>
      <c r="B12764" s="34" t="s">
        <v>24452</v>
      </c>
      <c r="C12764" s="34" t="s">
        <v>77</v>
      </c>
      <c r="E12764" s="30" t="s">
        <v>24453</v>
      </c>
      <c r="F12764" s="34" t="n">
        <f aca="false">IFERROR(VLOOKUP($A12764,'319'!$B:$H,7,0),0)</f>
        <v>0</v>
      </c>
      <c r="G12764" s="34" t="n">
        <f aca="false">SUMIFS('12.326ana'!$C:$C,'12.326ana'!$M:$M,redes!A12764)</f>
        <v>0</v>
      </c>
    </row>
    <row r="12765" customFormat="false" ht="14.4" hidden="true" customHeight="false" outlineLevel="0" collapsed="false">
      <c r="A12765" s="34" t="n">
        <v>13670205000126</v>
      </c>
      <c r="B12765" s="34" t="s">
        <v>24454</v>
      </c>
      <c r="C12765" s="34" t="s">
        <v>139</v>
      </c>
      <c r="E12765" s="30" t="s">
        <v>24455</v>
      </c>
      <c r="F12765" s="34" t="n">
        <f aca="false">IFERROR(VLOOKUP($A12765,'319'!$B:$H,7,0),0)</f>
        <v>0</v>
      </c>
      <c r="G12765" s="34" t="n">
        <f aca="false">SUMIFS('12.326ana'!$C:$C,'12.326ana'!$M:$M,redes!A12765)</f>
        <v>0</v>
      </c>
    </row>
    <row r="12766" customFormat="false" ht="14.4" hidden="true" customHeight="false" outlineLevel="0" collapsed="false">
      <c r="A12766" s="34" t="n">
        <v>13672021000103</v>
      </c>
      <c r="B12766" s="34" t="s">
        <v>5690</v>
      </c>
      <c r="C12766" s="34" t="s">
        <v>77</v>
      </c>
      <c r="E12766" s="30" t="s">
        <v>5691</v>
      </c>
      <c r="F12766" s="34" t="n">
        <f aca="false">IFERROR(VLOOKUP($A12766,'319'!$B:$H,7,0),0)</f>
        <v>0</v>
      </c>
      <c r="G12766" s="34" t="n">
        <f aca="false">SUMIFS('12.326ana'!$C:$C,'12.326ana'!$M:$M,redes!A12766)</f>
        <v>0</v>
      </c>
    </row>
    <row r="12767" customFormat="false" ht="14.4" hidden="true" customHeight="false" outlineLevel="0" collapsed="false">
      <c r="A12767" s="34" t="n">
        <v>13673080000198</v>
      </c>
      <c r="B12767" s="34" t="s">
        <v>24456</v>
      </c>
      <c r="C12767" s="34" t="s">
        <v>89</v>
      </c>
      <c r="E12767" s="30" t="s">
        <v>24456</v>
      </c>
      <c r="F12767" s="34" t="n">
        <f aca="false">IFERROR(VLOOKUP($A12767,'319'!$B:$H,7,0),0)</f>
        <v>0</v>
      </c>
      <c r="G12767" s="34" t="n">
        <f aca="false">SUMIFS('12.326ana'!$C:$C,'12.326ana'!$M:$M,redes!A12767)</f>
        <v>0</v>
      </c>
    </row>
    <row r="12768" customFormat="false" ht="14.4" hidden="true" customHeight="false" outlineLevel="0" collapsed="false">
      <c r="A12768" s="34" t="n">
        <v>13676427000156</v>
      </c>
      <c r="B12768" s="34" t="s">
        <v>24457</v>
      </c>
      <c r="C12768" s="34" t="s">
        <v>546</v>
      </c>
      <c r="E12768" s="30" t="s">
        <v>24458</v>
      </c>
      <c r="F12768" s="34" t="n">
        <f aca="false">IFERROR(VLOOKUP($A12768,'319'!$B:$H,7,0),0)</f>
        <v>0</v>
      </c>
      <c r="G12768" s="34" t="n">
        <f aca="false">SUMIFS('12.326ana'!$C:$C,'12.326ana'!$M:$M,redes!A12768)</f>
        <v>0</v>
      </c>
    </row>
    <row r="12769" customFormat="false" ht="14.4" hidden="true" customHeight="false" outlineLevel="0" collapsed="false">
      <c r="A12769" s="34" t="n">
        <v>13678241000136</v>
      </c>
      <c r="B12769" s="34" t="s">
        <v>24459</v>
      </c>
      <c r="C12769" s="34" t="s">
        <v>103</v>
      </c>
      <c r="E12769" s="30" t="s">
        <v>24460</v>
      </c>
      <c r="F12769" s="34" t="n">
        <f aca="false">IFERROR(VLOOKUP($A12769,'319'!$B:$H,7,0),0)</f>
        <v>0</v>
      </c>
      <c r="G12769" s="34" t="n">
        <f aca="false">SUMIFS('12.326ana'!$C:$C,'12.326ana'!$M:$M,redes!A12769)</f>
        <v>0</v>
      </c>
    </row>
    <row r="12770" customFormat="false" ht="14.4" hidden="true" customHeight="false" outlineLevel="0" collapsed="false">
      <c r="A12770" s="34" t="n">
        <v>13686840000100</v>
      </c>
      <c r="B12770" s="34" t="s">
        <v>24461</v>
      </c>
      <c r="C12770" s="34" t="s">
        <v>1618</v>
      </c>
      <c r="E12770" s="30" t="s">
        <v>24461</v>
      </c>
      <c r="F12770" s="34" t="n">
        <f aca="false">IFERROR(VLOOKUP($A12770,'319'!$B:$H,7,0),0)</f>
        <v>0</v>
      </c>
      <c r="G12770" s="34" t="n">
        <f aca="false">SUMIFS('12.326ana'!$C:$C,'12.326ana'!$M:$M,redes!A12770)</f>
        <v>0</v>
      </c>
    </row>
    <row r="12771" customFormat="false" ht="14.4" hidden="true" customHeight="false" outlineLevel="0" collapsed="false">
      <c r="A12771" s="34" t="n">
        <v>13691827000130</v>
      </c>
      <c r="B12771" s="34" t="s">
        <v>24462</v>
      </c>
      <c r="C12771" s="34" t="s">
        <v>77</v>
      </c>
      <c r="E12771" s="30"/>
      <c r="F12771" s="34" t="n">
        <f aca="false">IFERROR(VLOOKUP($A12771,'319'!$B:$H,7,0),0)</f>
        <v>0</v>
      </c>
      <c r="G12771" s="34" t="n">
        <f aca="false">SUMIFS('12.326ana'!$C:$C,'12.326ana'!$M:$M,redes!A12771)</f>
        <v>0</v>
      </c>
    </row>
    <row r="12772" customFormat="false" ht="14.4" hidden="true" customHeight="false" outlineLevel="0" collapsed="false">
      <c r="A12772" s="34" t="n">
        <v>13697758000172</v>
      </c>
      <c r="B12772" s="34" t="s">
        <v>24463</v>
      </c>
      <c r="C12772" s="34" t="s">
        <v>881</v>
      </c>
      <c r="E12772" s="30" t="s">
        <v>9391</v>
      </c>
      <c r="F12772" s="34" t="n">
        <f aca="false">IFERROR(VLOOKUP($A12772,'319'!$B:$H,7,0),0)</f>
        <v>0</v>
      </c>
      <c r="G12772" s="34" t="n">
        <f aca="false">SUMIFS('12.326ana'!$C:$C,'12.326ana'!$M:$M,redes!A12772)</f>
        <v>0</v>
      </c>
    </row>
    <row r="12773" customFormat="false" ht="14.4" hidden="true" customHeight="false" outlineLevel="0" collapsed="false">
      <c r="A12773" s="34" t="n">
        <v>13705139000182</v>
      </c>
      <c r="B12773" s="34" t="s">
        <v>24464</v>
      </c>
      <c r="C12773" s="34" t="s">
        <v>598</v>
      </c>
      <c r="E12773" s="30" t="s">
        <v>5725</v>
      </c>
      <c r="F12773" s="34" t="n">
        <f aca="false">IFERROR(VLOOKUP($A12773,'319'!$B:$H,7,0),0)</f>
        <v>0</v>
      </c>
      <c r="G12773" s="34" t="n">
        <f aca="false">SUMIFS('12.326ana'!$C:$C,'12.326ana'!$M:$M,redes!A12773)</f>
        <v>0</v>
      </c>
    </row>
    <row r="12774" customFormat="false" ht="14.4" hidden="true" customHeight="false" outlineLevel="0" collapsed="false">
      <c r="A12774" s="34" t="n">
        <v>13709905000187</v>
      </c>
      <c r="B12774" s="34" t="s">
        <v>8523</v>
      </c>
      <c r="C12774" s="34" t="s">
        <v>77</v>
      </c>
      <c r="E12774" s="30" t="s">
        <v>4276</v>
      </c>
      <c r="F12774" s="34" t="n">
        <f aca="false">IFERROR(VLOOKUP($A12774,'319'!$B:$H,7,0),0)</f>
        <v>0</v>
      </c>
      <c r="G12774" s="34" t="n">
        <f aca="false">SUMIFS('12.326ana'!$C:$C,'12.326ana'!$M:$M,redes!A12774)</f>
        <v>0</v>
      </c>
    </row>
    <row r="12775" customFormat="false" ht="14.4" hidden="true" customHeight="false" outlineLevel="0" collapsed="false">
      <c r="A12775" s="34" t="n">
        <v>13711297000145</v>
      </c>
      <c r="B12775" s="34" t="s">
        <v>24465</v>
      </c>
      <c r="C12775" s="34" t="s">
        <v>1272</v>
      </c>
      <c r="E12775" s="30" t="s">
        <v>24466</v>
      </c>
      <c r="F12775" s="34" t="n">
        <f aca="false">IFERROR(VLOOKUP($A12775,'319'!$B:$H,7,0),0)</f>
        <v>0</v>
      </c>
      <c r="G12775" s="34" t="n">
        <f aca="false">SUMIFS('12.326ana'!$C:$C,'12.326ana'!$M:$M,redes!A12775)</f>
        <v>0</v>
      </c>
    </row>
    <row r="12776" customFormat="false" ht="14.4" hidden="true" customHeight="false" outlineLevel="0" collapsed="false">
      <c r="A12776" s="34" t="n">
        <v>13713890000120</v>
      </c>
      <c r="B12776" s="34" t="s">
        <v>24467</v>
      </c>
      <c r="C12776" s="34" t="s">
        <v>77</v>
      </c>
      <c r="E12776" s="30" t="s">
        <v>24468</v>
      </c>
      <c r="F12776" s="34" t="n">
        <f aca="false">IFERROR(VLOOKUP($A12776,'319'!$B:$H,7,0),0)</f>
        <v>0</v>
      </c>
      <c r="G12776" s="34" t="n">
        <f aca="false">SUMIFS('12.326ana'!$C:$C,'12.326ana'!$M:$M,redes!A12776)</f>
        <v>0</v>
      </c>
    </row>
    <row r="12777" customFormat="false" ht="14.4" hidden="true" customHeight="false" outlineLevel="0" collapsed="false">
      <c r="A12777" s="34" t="n">
        <v>13714212000182</v>
      </c>
      <c r="B12777" s="34" t="s">
        <v>24469</v>
      </c>
      <c r="C12777" s="34" t="s">
        <v>405</v>
      </c>
      <c r="E12777" s="30" t="s">
        <v>24470</v>
      </c>
      <c r="F12777" s="34" t="n">
        <f aca="false">IFERROR(VLOOKUP($A12777,'319'!$B:$H,7,0),0)</f>
        <v>0</v>
      </c>
      <c r="G12777" s="34" t="n">
        <f aca="false">SUMIFS('12.326ana'!$C:$C,'12.326ana'!$M:$M,redes!A12777)</f>
        <v>0</v>
      </c>
    </row>
    <row r="12778" customFormat="false" ht="14.4" hidden="true" customHeight="false" outlineLevel="0" collapsed="false">
      <c r="A12778" s="34" t="n">
        <v>13716369000147</v>
      </c>
      <c r="B12778" s="34" t="s">
        <v>3489</v>
      </c>
      <c r="C12778" s="34" t="s">
        <v>103</v>
      </c>
      <c r="E12778" s="30" t="s">
        <v>19657</v>
      </c>
      <c r="F12778" s="34" t="n">
        <f aca="false">IFERROR(VLOOKUP($A12778,'319'!$B:$H,7,0),0)</f>
        <v>0</v>
      </c>
      <c r="G12778" s="34" t="n">
        <f aca="false">SUMIFS('12.326ana'!$C:$C,'12.326ana'!$M:$M,redes!A12778)</f>
        <v>0</v>
      </c>
    </row>
    <row r="12779" customFormat="false" ht="14.4" hidden="true" customHeight="false" outlineLevel="0" collapsed="false">
      <c r="A12779" s="34" t="n">
        <v>13721601000135</v>
      </c>
      <c r="B12779" s="34" t="s">
        <v>24471</v>
      </c>
      <c r="C12779" s="34" t="s">
        <v>139</v>
      </c>
      <c r="E12779" s="30" t="s">
        <v>24472</v>
      </c>
      <c r="F12779" s="34" t="n">
        <f aca="false">IFERROR(VLOOKUP($A12779,'319'!$B:$H,7,0),0)</f>
        <v>0</v>
      </c>
      <c r="G12779" s="34" t="n">
        <f aca="false">SUMIFS('12.326ana'!$C:$C,'12.326ana'!$M:$M,redes!A12779)</f>
        <v>0</v>
      </c>
    </row>
    <row r="12780" customFormat="false" ht="14.4" hidden="true" customHeight="false" outlineLevel="0" collapsed="false">
      <c r="A12780" s="34" t="n">
        <v>13724589000112</v>
      </c>
      <c r="B12780" s="34" t="s">
        <v>24473</v>
      </c>
      <c r="C12780" s="34" t="s">
        <v>565</v>
      </c>
      <c r="E12780" s="30" t="s">
        <v>24474</v>
      </c>
      <c r="F12780" s="34" t="n">
        <f aca="false">IFERROR(VLOOKUP($A12780,'319'!$B:$H,7,0),0)</f>
        <v>0</v>
      </c>
      <c r="G12780" s="34" t="n">
        <f aca="false">SUMIFS('12.326ana'!$C:$C,'12.326ana'!$M:$M,redes!A12780)</f>
        <v>0</v>
      </c>
    </row>
    <row r="12781" customFormat="false" ht="14.4" hidden="true" customHeight="false" outlineLevel="0" collapsed="false">
      <c r="A12781" s="34" t="n">
        <v>13726359000192</v>
      </c>
      <c r="B12781" s="34" t="s">
        <v>24475</v>
      </c>
      <c r="C12781" s="34" t="s">
        <v>357</v>
      </c>
      <c r="E12781" s="30" t="s">
        <v>24476</v>
      </c>
      <c r="F12781" s="34" t="n">
        <f aca="false">IFERROR(VLOOKUP($A12781,'319'!$B:$H,7,0),0)</f>
        <v>0</v>
      </c>
      <c r="G12781" s="34" t="n">
        <f aca="false">SUMIFS('12.326ana'!$C:$C,'12.326ana'!$M:$M,redes!A12781)</f>
        <v>0</v>
      </c>
    </row>
    <row r="12782" customFormat="false" ht="14.4" hidden="true" customHeight="false" outlineLevel="0" collapsed="false">
      <c r="A12782" s="34" t="n">
        <v>13726817000193</v>
      </c>
      <c r="B12782" s="34" t="s">
        <v>24477</v>
      </c>
      <c r="C12782" s="34" t="s">
        <v>4139</v>
      </c>
      <c r="D12782" s="34" t="s">
        <v>9598</v>
      </c>
      <c r="E12782" s="30" t="s">
        <v>21172</v>
      </c>
      <c r="F12782" s="34" t="n">
        <f aca="false">IFERROR(VLOOKUP($A12782,'319'!$B:$H,7,0),0)</f>
        <v>0</v>
      </c>
      <c r="G12782" s="34" t="n">
        <f aca="false">SUMIFS('12.326ana'!$C:$C,'12.326ana'!$M:$M,redes!A12782)</f>
        <v>0</v>
      </c>
    </row>
    <row r="12783" customFormat="false" ht="14.4" hidden="true" customHeight="false" outlineLevel="0" collapsed="false">
      <c r="A12783" s="34" t="n">
        <v>13728231000168</v>
      </c>
      <c r="B12783" s="34" t="s">
        <v>24478</v>
      </c>
      <c r="C12783" s="34" t="s">
        <v>706</v>
      </c>
      <c r="E12783" s="30" t="s">
        <v>24479</v>
      </c>
      <c r="F12783" s="34" t="n">
        <f aca="false">IFERROR(VLOOKUP($A12783,'319'!$B:$H,7,0),0)</f>
        <v>0</v>
      </c>
      <c r="G12783" s="34" t="n">
        <f aca="false">SUMIFS('12.326ana'!$C:$C,'12.326ana'!$M:$M,redes!A12783)</f>
        <v>0</v>
      </c>
    </row>
    <row r="12784" customFormat="false" ht="14.4" hidden="true" customHeight="false" outlineLevel="0" collapsed="false">
      <c r="A12784" s="34" t="n">
        <v>13728591000160</v>
      </c>
      <c r="B12784" s="34" t="s">
        <v>24480</v>
      </c>
      <c r="C12784" s="34" t="s">
        <v>296</v>
      </c>
      <c r="D12784" s="34" t="s">
        <v>24481</v>
      </c>
      <c r="E12784" s="30" t="s">
        <v>24482</v>
      </c>
      <c r="F12784" s="34" t="n">
        <f aca="false">IFERROR(VLOOKUP($A12784,'319'!$B:$H,7,0),0)</f>
        <v>0</v>
      </c>
      <c r="G12784" s="34" t="n">
        <f aca="false">SUMIFS('12.326ana'!$C:$C,'12.326ana'!$M:$M,redes!A12784)</f>
        <v>0</v>
      </c>
    </row>
    <row r="12785" customFormat="false" ht="14.4" hidden="true" customHeight="false" outlineLevel="0" collapsed="false">
      <c r="A12785" s="34" t="n">
        <v>13728591000240</v>
      </c>
      <c r="B12785" s="34" t="s">
        <v>24480</v>
      </c>
      <c r="C12785" s="34" t="s">
        <v>296</v>
      </c>
      <c r="D12785" s="34" t="s">
        <v>24481</v>
      </c>
      <c r="E12785" s="30" t="s">
        <v>16842</v>
      </c>
      <c r="F12785" s="34" t="n">
        <f aca="false">IFERROR(VLOOKUP($A12785,'319'!$B:$H,7,0),0)</f>
        <v>0</v>
      </c>
      <c r="G12785" s="34" t="n">
        <f aca="false">SUMIFS('12.326ana'!$C:$C,'12.326ana'!$M:$M,redes!A12785)</f>
        <v>0</v>
      </c>
    </row>
    <row r="12786" customFormat="false" ht="14.4" hidden="true" customHeight="false" outlineLevel="0" collapsed="false">
      <c r="A12786" s="34" t="n">
        <v>13733681000149</v>
      </c>
      <c r="B12786" s="34" t="s">
        <v>24483</v>
      </c>
      <c r="C12786" s="34" t="s">
        <v>197</v>
      </c>
      <c r="E12786" s="30" t="s">
        <v>24484</v>
      </c>
      <c r="F12786" s="34" t="n">
        <f aca="false">IFERROR(VLOOKUP($A12786,'319'!$B:$H,7,0),0)</f>
        <v>0</v>
      </c>
      <c r="G12786" s="34" t="n">
        <f aca="false">SUMIFS('12.326ana'!$C:$C,'12.326ana'!$M:$M,redes!A12786)</f>
        <v>0</v>
      </c>
    </row>
    <row r="12787" customFormat="false" ht="14.4" hidden="true" customHeight="false" outlineLevel="0" collapsed="false">
      <c r="A12787" s="34" t="n">
        <v>13735977000107</v>
      </c>
      <c r="B12787" s="34" t="s">
        <v>24485</v>
      </c>
      <c r="C12787" s="34" t="s">
        <v>1272</v>
      </c>
      <c r="E12787" s="30" t="s">
        <v>24486</v>
      </c>
      <c r="F12787" s="34" t="n">
        <f aca="false">IFERROR(VLOOKUP($A12787,'319'!$B:$H,7,0),0)</f>
        <v>0</v>
      </c>
      <c r="G12787" s="34" t="n">
        <f aca="false">SUMIFS('12.326ana'!$C:$C,'12.326ana'!$M:$M,redes!A12787)</f>
        <v>0</v>
      </c>
    </row>
    <row r="12788" customFormat="false" ht="14.4" hidden="true" customHeight="false" outlineLevel="0" collapsed="false">
      <c r="A12788" s="34" t="n">
        <v>13746568000106</v>
      </c>
      <c r="B12788" s="34" t="s">
        <v>24487</v>
      </c>
      <c r="C12788" s="34" t="s">
        <v>107</v>
      </c>
      <c r="E12788" s="30" t="s">
        <v>12055</v>
      </c>
      <c r="F12788" s="34" t="n">
        <f aca="false">IFERROR(VLOOKUP($A12788,'319'!$B:$H,7,0),0)</f>
        <v>0</v>
      </c>
      <c r="G12788" s="34" t="n">
        <f aca="false">SUMIFS('12.326ana'!$C:$C,'12.326ana'!$M:$M,redes!A12788)</f>
        <v>0</v>
      </c>
    </row>
    <row r="12789" customFormat="false" ht="14.4" hidden="true" customHeight="false" outlineLevel="0" collapsed="false">
      <c r="A12789" s="34" t="n">
        <v>13760176000193</v>
      </c>
      <c r="B12789" s="34" t="s">
        <v>24488</v>
      </c>
      <c r="C12789" s="34" t="s">
        <v>89</v>
      </c>
      <c r="E12789" s="30" t="s">
        <v>24489</v>
      </c>
      <c r="F12789" s="34" t="n">
        <f aca="false">IFERROR(VLOOKUP($A12789,'319'!$B:$H,7,0),0)</f>
        <v>0</v>
      </c>
      <c r="G12789" s="34" t="n">
        <f aca="false">SUMIFS('12.326ana'!$C:$C,'12.326ana'!$M:$M,redes!A12789)</f>
        <v>0</v>
      </c>
    </row>
    <row r="12790" customFormat="false" ht="14.4" hidden="true" customHeight="false" outlineLevel="0" collapsed="false">
      <c r="A12790" s="34" t="n">
        <v>13762908000184</v>
      </c>
      <c r="B12790" s="34" t="s">
        <v>24490</v>
      </c>
      <c r="C12790" s="34" t="s">
        <v>77</v>
      </c>
      <c r="E12790" s="30" t="s">
        <v>24491</v>
      </c>
      <c r="F12790" s="34" t="n">
        <f aca="false">IFERROR(VLOOKUP($A12790,'319'!$B:$H,7,0),0)</f>
        <v>0</v>
      </c>
      <c r="G12790" s="34" t="n">
        <f aca="false">SUMIFS('12.326ana'!$C:$C,'12.326ana'!$M:$M,redes!A12790)</f>
        <v>0</v>
      </c>
    </row>
    <row r="12791" customFormat="false" ht="14.4" hidden="true" customHeight="false" outlineLevel="0" collapsed="false">
      <c r="A12791" s="34" t="n">
        <v>13764286000123</v>
      </c>
      <c r="B12791" s="34" t="s">
        <v>24492</v>
      </c>
      <c r="C12791" s="34" t="s">
        <v>139</v>
      </c>
      <c r="E12791" s="30" t="s">
        <v>24493</v>
      </c>
      <c r="F12791" s="34" t="n">
        <f aca="false">IFERROR(VLOOKUP($A12791,'319'!$B:$H,7,0),0)</f>
        <v>0</v>
      </c>
      <c r="G12791" s="34" t="n">
        <f aca="false">SUMIFS('12.326ana'!$C:$C,'12.326ana'!$M:$M,redes!A12791)</f>
        <v>0</v>
      </c>
    </row>
    <row r="12792" customFormat="false" ht="14.4" hidden="true" customHeight="false" outlineLevel="0" collapsed="false">
      <c r="A12792" s="34" t="n">
        <v>13766417000101</v>
      </c>
      <c r="B12792" s="34" t="s">
        <v>24494</v>
      </c>
      <c r="C12792" s="34" t="s">
        <v>77</v>
      </c>
      <c r="E12792" s="30" t="s">
        <v>3540</v>
      </c>
      <c r="F12792" s="34" t="n">
        <f aca="false">IFERROR(VLOOKUP($A12792,'319'!$B:$H,7,0),0)</f>
        <v>0</v>
      </c>
      <c r="G12792" s="34" t="n">
        <f aca="false">SUMIFS('12.326ana'!$C:$C,'12.326ana'!$M:$M,redes!A12792)</f>
        <v>0</v>
      </c>
    </row>
    <row r="12793" customFormat="false" ht="14.4" hidden="true" customHeight="false" outlineLevel="0" collapsed="false">
      <c r="A12793" s="34" t="n">
        <v>13769274000191</v>
      </c>
      <c r="B12793" s="34" t="s">
        <v>24495</v>
      </c>
      <c r="C12793" s="34" t="s">
        <v>89</v>
      </c>
      <c r="E12793" s="30" t="s">
        <v>24496</v>
      </c>
      <c r="F12793" s="34" t="n">
        <f aca="false">IFERROR(VLOOKUP($A12793,'319'!$B:$H,7,0),0)</f>
        <v>0</v>
      </c>
      <c r="G12793" s="34" t="n">
        <f aca="false">SUMIFS('12.326ana'!$C:$C,'12.326ana'!$M:$M,redes!A12793)</f>
        <v>0</v>
      </c>
    </row>
    <row r="12794" customFormat="false" ht="14.4" hidden="true" customHeight="false" outlineLevel="0" collapsed="false">
      <c r="A12794" s="34" t="n">
        <v>13771888000108</v>
      </c>
      <c r="B12794" s="34" t="s">
        <v>24497</v>
      </c>
      <c r="C12794" s="34" t="s">
        <v>197</v>
      </c>
      <c r="E12794" s="30" t="s">
        <v>24498</v>
      </c>
      <c r="F12794" s="34" t="n">
        <f aca="false">IFERROR(VLOOKUP($A12794,'319'!$B:$H,7,0),0)</f>
        <v>0</v>
      </c>
      <c r="G12794" s="34" t="n">
        <f aca="false">SUMIFS('12.326ana'!$C:$C,'12.326ana'!$M:$M,redes!A12794)</f>
        <v>0</v>
      </c>
    </row>
    <row r="12795" customFormat="false" ht="14.4" hidden="true" customHeight="false" outlineLevel="0" collapsed="false">
      <c r="A12795" s="34" t="n">
        <v>13774550000100</v>
      </c>
      <c r="B12795" s="34" t="s">
        <v>24499</v>
      </c>
      <c r="C12795" s="34" t="s">
        <v>377</v>
      </c>
      <c r="E12795" s="30" t="s">
        <v>24500</v>
      </c>
      <c r="F12795" s="34" t="n">
        <f aca="false">IFERROR(VLOOKUP($A12795,'319'!$B:$H,7,0),0)</f>
        <v>0</v>
      </c>
      <c r="G12795" s="34" t="n">
        <f aca="false">SUMIFS('12.326ana'!$C:$C,'12.326ana'!$M:$M,redes!A12795)</f>
        <v>0</v>
      </c>
    </row>
    <row r="12796" customFormat="false" ht="14.4" hidden="true" customHeight="false" outlineLevel="0" collapsed="false">
      <c r="A12796" s="34" t="n">
        <v>13779237000164</v>
      </c>
      <c r="B12796" s="34" t="s">
        <v>24501</v>
      </c>
      <c r="C12796" s="34" t="s">
        <v>77</v>
      </c>
      <c r="E12796" s="30" t="s">
        <v>24502</v>
      </c>
      <c r="F12796" s="34" t="n">
        <f aca="false">IFERROR(VLOOKUP($A12796,'319'!$B:$H,7,0),0)</f>
        <v>0</v>
      </c>
      <c r="G12796" s="34" t="n">
        <f aca="false">SUMIFS('12.326ana'!$C:$C,'12.326ana'!$M:$M,redes!A12796)</f>
        <v>0</v>
      </c>
    </row>
    <row r="12797" customFormat="false" ht="14.4" hidden="true" customHeight="false" outlineLevel="0" collapsed="false">
      <c r="A12797" s="34" t="n">
        <v>13786092000129</v>
      </c>
      <c r="B12797" s="34" t="s">
        <v>24503</v>
      </c>
      <c r="C12797" s="34" t="s">
        <v>848</v>
      </c>
      <c r="E12797" s="30" t="s">
        <v>24504</v>
      </c>
      <c r="F12797" s="34" t="n">
        <f aca="false">IFERROR(VLOOKUP($A12797,'319'!$B:$H,7,0),0)</f>
        <v>0</v>
      </c>
      <c r="G12797" s="34" t="n">
        <f aca="false">SUMIFS('12.326ana'!$C:$C,'12.326ana'!$M:$M,redes!A12797)</f>
        <v>0</v>
      </c>
    </row>
    <row r="12798" customFormat="false" ht="14.4" hidden="true" customHeight="false" outlineLevel="0" collapsed="false">
      <c r="A12798" s="34" t="n">
        <v>13789299000157</v>
      </c>
      <c r="B12798" s="34" t="s">
        <v>7198</v>
      </c>
      <c r="C12798" s="34" t="s">
        <v>77</v>
      </c>
      <c r="E12798" s="30" t="s">
        <v>7198</v>
      </c>
      <c r="F12798" s="34" t="n">
        <f aca="false">IFERROR(VLOOKUP($A12798,'319'!$B:$H,7,0),0)</f>
        <v>0</v>
      </c>
      <c r="G12798" s="34" t="n">
        <f aca="false">SUMIFS('12.326ana'!$C:$C,'12.326ana'!$M:$M,redes!A12798)</f>
        <v>0</v>
      </c>
    </row>
    <row r="12799" customFormat="false" ht="14.4" hidden="true" customHeight="false" outlineLevel="0" collapsed="false">
      <c r="A12799" s="34" t="n">
        <v>13790094000191</v>
      </c>
      <c r="B12799" s="34" t="s">
        <v>24505</v>
      </c>
      <c r="C12799" s="34" t="s">
        <v>107</v>
      </c>
      <c r="E12799" s="30" t="s">
        <v>16723</v>
      </c>
      <c r="F12799" s="34" t="n">
        <f aca="false">IFERROR(VLOOKUP($A12799,'319'!$B:$H,7,0),0)</f>
        <v>0</v>
      </c>
      <c r="G12799" s="34" t="n">
        <f aca="false">SUMIFS('12.326ana'!$C:$C,'12.326ana'!$M:$M,redes!A12799)</f>
        <v>0</v>
      </c>
    </row>
    <row r="12800" customFormat="false" ht="14.4" hidden="true" customHeight="false" outlineLevel="0" collapsed="false">
      <c r="A12800" s="34" t="n">
        <v>13811068000100</v>
      </c>
      <c r="B12800" s="34" t="s">
        <v>24506</v>
      </c>
      <c r="C12800" s="34" t="s">
        <v>77</v>
      </c>
      <c r="E12800" s="30" t="s">
        <v>24507</v>
      </c>
      <c r="F12800" s="34" t="n">
        <f aca="false">IFERROR(VLOOKUP($A12800,'319'!$B:$H,7,0),0)</f>
        <v>0</v>
      </c>
      <c r="G12800" s="34" t="n">
        <f aca="false">SUMIFS('12.326ana'!$C:$C,'12.326ana'!$M:$M,redes!A12800)</f>
        <v>0</v>
      </c>
    </row>
    <row r="12801" customFormat="false" ht="14.4" hidden="true" customHeight="false" outlineLevel="0" collapsed="false">
      <c r="A12801" s="34" t="n">
        <v>13820979000196</v>
      </c>
      <c r="B12801" s="34" t="s">
        <v>24508</v>
      </c>
      <c r="C12801" s="34" t="s">
        <v>309</v>
      </c>
      <c r="E12801" s="30" t="s">
        <v>24509</v>
      </c>
      <c r="F12801" s="34" t="n">
        <f aca="false">IFERROR(VLOOKUP($A12801,'319'!$B:$H,7,0),0)</f>
        <v>0</v>
      </c>
      <c r="G12801" s="34" t="n">
        <f aca="false">SUMIFS('12.326ana'!$C:$C,'12.326ana'!$M:$M,redes!A12801)</f>
        <v>0</v>
      </c>
    </row>
    <row r="12802" customFormat="false" ht="14.4" hidden="true" customHeight="false" outlineLevel="0" collapsed="false">
      <c r="A12802" s="34" t="n">
        <v>13822789000108</v>
      </c>
      <c r="B12802" s="34" t="s">
        <v>24510</v>
      </c>
      <c r="C12802" s="34" t="s">
        <v>77</v>
      </c>
      <c r="D12802" s="34" t="s">
        <v>24511</v>
      </c>
      <c r="E12802" s="30" t="s">
        <v>24512</v>
      </c>
      <c r="F12802" s="34" t="n">
        <f aca="false">IFERROR(VLOOKUP($A12802,'319'!$B:$H,7,0),0)</f>
        <v>0</v>
      </c>
      <c r="G12802" s="34" t="n">
        <f aca="false">SUMIFS('12.326ana'!$C:$C,'12.326ana'!$M:$M,redes!A12802)</f>
        <v>0</v>
      </c>
    </row>
    <row r="12803" customFormat="false" ht="14.4" hidden="true" customHeight="false" outlineLevel="0" collapsed="false">
      <c r="A12803" s="34" t="n">
        <v>13822789000370</v>
      </c>
      <c r="B12803" s="34" t="s">
        <v>24513</v>
      </c>
      <c r="C12803" s="34" t="s">
        <v>77</v>
      </c>
      <c r="D12803" s="34" t="s">
        <v>24511</v>
      </c>
      <c r="E12803" s="30" t="s">
        <v>24514</v>
      </c>
      <c r="F12803" s="34" t="n">
        <f aca="false">IFERROR(VLOOKUP($A12803,'319'!$B:$H,7,0),0)</f>
        <v>0</v>
      </c>
      <c r="G12803" s="34" t="n">
        <f aca="false">SUMIFS('12.326ana'!$C:$C,'12.326ana'!$M:$M,redes!A12803)</f>
        <v>0</v>
      </c>
    </row>
    <row r="12804" customFormat="false" ht="14.4" hidden="true" customHeight="false" outlineLevel="0" collapsed="false">
      <c r="A12804" s="34" t="n">
        <v>13833552000122</v>
      </c>
      <c r="B12804" s="34" t="s">
        <v>24515</v>
      </c>
      <c r="C12804" s="34" t="s">
        <v>77</v>
      </c>
      <c r="E12804" s="30" t="s">
        <v>24516</v>
      </c>
      <c r="F12804" s="34" t="n">
        <f aca="false">IFERROR(VLOOKUP($A12804,'319'!$B:$H,7,0),0)</f>
        <v>0</v>
      </c>
      <c r="G12804" s="34" t="n">
        <f aca="false">SUMIFS('12.326ana'!$C:$C,'12.326ana'!$M:$M,redes!A12804)</f>
        <v>0</v>
      </c>
    </row>
    <row r="12805" customFormat="false" ht="14.4" hidden="true" customHeight="false" outlineLevel="0" collapsed="false">
      <c r="A12805" s="34" t="n">
        <v>13838764000100</v>
      </c>
      <c r="B12805" s="34" t="s">
        <v>16302</v>
      </c>
      <c r="C12805" s="34" t="s">
        <v>139</v>
      </c>
      <c r="E12805" s="30" t="s">
        <v>16303</v>
      </c>
      <c r="F12805" s="34" t="n">
        <f aca="false">IFERROR(VLOOKUP($A12805,'319'!$B:$H,7,0),0)</f>
        <v>0</v>
      </c>
      <c r="G12805" s="34" t="n">
        <f aca="false">SUMIFS('12.326ana'!$C:$C,'12.326ana'!$M:$M,redes!A12805)</f>
        <v>0</v>
      </c>
    </row>
    <row r="12806" customFormat="false" ht="14.4" hidden="true" customHeight="false" outlineLevel="0" collapsed="false">
      <c r="A12806" s="34" t="n">
        <v>13846069000182</v>
      </c>
      <c r="B12806" s="34" t="s">
        <v>24517</v>
      </c>
      <c r="C12806" s="34" t="s">
        <v>213</v>
      </c>
      <c r="E12806" s="30" t="s">
        <v>20587</v>
      </c>
      <c r="F12806" s="34" t="n">
        <f aca="false">IFERROR(VLOOKUP($A12806,'319'!$B:$H,7,0),0)</f>
        <v>0</v>
      </c>
      <c r="G12806" s="34" t="n">
        <f aca="false">SUMIFS('12.326ana'!$C:$C,'12.326ana'!$M:$M,redes!A12806)</f>
        <v>0</v>
      </c>
    </row>
    <row r="12807" customFormat="false" ht="14.4" hidden="true" customHeight="false" outlineLevel="0" collapsed="false">
      <c r="A12807" s="34" t="n">
        <v>13847493000141</v>
      </c>
      <c r="B12807" s="34" t="s">
        <v>24518</v>
      </c>
      <c r="C12807" s="34" t="s">
        <v>7250</v>
      </c>
      <c r="E12807" s="30" t="s">
        <v>24519</v>
      </c>
      <c r="F12807" s="34" t="n">
        <f aca="false">IFERROR(VLOOKUP($A12807,'319'!$B:$H,7,0),0)</f>
        <v>0</v>
      </c>
      <c r="G12807" s="34" t="n">
        <f aca="false">SUMIFS('12.326ana'!$C:$C,'12.326ana'!$M:$M,redes!A12807)</f>
        <v>0</v>
      </c>
    </row>
    <row r="12808" customFormat="false" ht="14.4" hidden="true" customHeight="false" outlineLevel="0" collapsed="false">
      <c r="A12808" s="34" t="n">
        <v>13847909000121</v>
      </c>
      <c r="B12808" s="34" t="s">
        <v>24520</v>
      </c>
      <c r="C12808" s="34" t="s">
        <v>77</v>
      </c>
      <c r="E12808" s="30" t="s">
        <v>24521</v>
      </c>
      <c r="F12808" s="34" t="n">
        <f aca="false">IFERROR(VLOOKUP($A12808,'319'!$B:$H,7,0),0)</f>
        <v>0</v>
      </c>
      <c r="G12808" s="34" t="n">
        <f aca="false">SUMIFS('12.326ana'!$C:$C,'12.326ana'!$M:$M,redes!A12808)</f>
        <v>0</v>
      </c>
    </row>
    <row r="12809" customFormat="false" ht="14.4" hidden="true" customHeight="false" outlineLevel="0" collapsed="false">
      <c r="A12809" s="34" t="n">
        <v>13867559000165</v>
      </c>
      <c r="B12809" s="34" t="s">
        <v>24522</v>
      </c>
      <c r="C12809" s="34" t="s">
        <v>77</v>
      </c>
      <c r="E12809" s="30" t="s">
        <v>6944</v>
      </c>
      <c r="F12809" s="34" t="n">
        <f aca="false">IFERROR(VLOOKUP($A12809,'319'!$B:$H,7,0),0)</f>
        <v>0</v>
      </c>
      <c r="G12809" s="34" t="n">
        <f aca="false">SUMIFS('12.326ana'!$C:$C,'12.326ana'!$M:$M,redes!A12809)</f>
        <v>0</v>
      </c>
    </row>
    <row r="12810" customFormat="false" ht="14.4" hidden="true" customHeight="false" outlineLevel="0" collapsed="false">
      <c r="A12810" s="34" t="n">
        <v>13878949000130</v>
      </c>
      <c r="B12810" s="34" t="s">
        <v>1183</v>
      </c>
      <c r="C12810" s="34" t="s">
        <v>77</v>
      </c>
      <c r="E12810" s="30" t="s">
        <v>24523</v>
      </c>
      <c r="F12810" s="34" t="n">
        <f aca="false">IFERROR(VLOOKUP($A12810,'319'!$B:$H,7,0),0)</f>
        <v>0</v>
      </c>
      <c r="G12810" s="34" t="n">
        <f aca="false">SUMIFS('12.326ana'!$C:$C,'12.326ana'!$M:$M,redes!A12810)</f>
        <v>0</v>
      </c>
    </row>
    <row r="12811" customFormat="false" ht="14.4" hidden="true" customHeight="false" outlineLevel="0" collapsed="false">
      <c r="A12811" s="34" t="n">
        <v>13878949000211</v>
      </c>
      <c r="B12811" s="34" t="s">
        <v>24524</v>
      </c>
      <c r="C12811" s="34" t="s">
        <v>77</v>
      </c>
      <c r="E12811" s="30" t="s">
        <v>24523</v>
      </c>
      <c r="F12811" s="34" t="n">
        <f aca="false">IFERROR(VLOOKUP($A12811,'319'!$B:$H,7,0),0)</f>
        <v>354.32</v>
      </c>
      <c r="G12811" s="34" t="n">
        <f aca="false">SUMIFS('12.326ana'!$C:$C,'12.326ana'!$M:$M,redes!A12811)</f>
        <v>0</v>
      </c>
    </row>
    <row r="12812" customFormat="false" ht="14.4" hidden="true" customHeight="false" outlineLevel="0" collapsed="false">
      <c r="A12812" s="34" t="n">
        <v>13885240000162</v>
      </c>
      <c r="B12812" s="34" t="s">
        <v>24525</v>
      </c>
      <c r="C12812" s="34" t="s">
        <v>77</v>
      </c>
      <c r="E12812" s="30" t="s">
        <v>24526</v>
      </c>
      <c r="F12812" s="34" t="n">
        <f aca="false">IFERROR(VLOOKUP($A12812,'319'!$B:$H,7,0),0)</f>
        <v>0</v>
      </c>
      <c r="G12812" s="34" t="n">
        <f aca="false">SUMIFS('12.326ana'!$C:$C,'12.326ana'!$M:$M,redes!A12812)</f>
        <v>0</v>
      </c>
    </row>
    <row r="12813" customFormat="false" ht="14.4" hidden="true" customHeight="false" outlineLevel="0" collapsed="false">
      <c r="A12813" s="34" t="n">
        <v>13889055000146</v>
      </c>
      <c r="B12813" s="34" t="s">
        <v>24527</v>
      </c>
      <c r="C12813" s="34" t="s">
        <v>107</v>
      </c>
      <c r="E12813" s="30" t="s">
        <v>4445</v>
      </c>
      <c r="F12813" s="34" t="n">
        <f aca="false">IFERROR(VLOOKUP($A12813,'319'!$B:$H,7,0),0)</f>
        <v>0</v>
      </c>
      <c r="G12813" s="34" t="n">
        <f aca="false">SUMIFS('12.326ana'!$C:$C,'12.326ana'!$M:$M,redes!A12813)</f>
        <v>0</v>
      </c>
    </row>
    <row r="12814" customFormat="false" ht="14.4" hidden="true" customHeight="false" outlineLevel="0" collapsed="false">
      <c r="A12814" s="34" t="n">
        <v>13889171000165</v>
      </c>
      <c r="B12814" s="34" t="s">
        <v>24528</v>
      </c>
      <c r="C12814" s="34" t="s">
        <v>328</v>
      </c>
      <c r="E12814" s="30" t="s">
        <v>24529</v>
      </c>
      <c r="F12814" s="34" t="n">
        <f aca="false">IFERROR(VLOOKUP($A12814,'319'!$B:$H,7,0),0)</f>
        <v>0</v>
      </c>
      <c r="G12814" s="34" t="n">
        <f aca="false">SUMIFS('12.326ana'!$C:$C,'12.326ana'!$M:$M,redes!A12814)</f>
        <v>0</v>
      </c>
    </row>
    <row r="12815" customFormat="false" ht="14.4" hidden="true" customHeight="false" outlineLevel="0" collapsed="false">
      <c r="A12815" s="34" t="n">
        <v>13899030000123</v>
      </c>
      <c r="B12815" s="34" t="s">
        <v>24530</v>
      </c>
      <c r="C12815" s="34" t="s">
        <v>342</v>
      </c>
      <c r="E12815" s="30" t="s">
        <v>3391</v>
      </c>
      <c r="F12815" s="34" t="n">
        <f aca="false">IFERROR(VLOOKUP($A12815,'319'!$B:$H,7,0),0)</f>
        <v>255.96</v>
      </c>
      <c r="G12815" s="34" t="n">
        <f aca="false">SUMIFS('12.326ana'!$C:$C,'12.326ana'!$M:$M,redes!A12815)</f>
        <v>0</v>
      </c>
    </row>
    <row r="12816" customFormat="false" ht="14.4" hidden="true" customHeight="false" outlineLevel="0" collapsed="false">
      <c r="A12816" s="34" t="n">
        <v>13899339000113</v>
      </c>
      <c r="B12816" s="34" t="s">
        <v>24531</v>
      </c>
      <c r="C12816" s="34" t="s">
        <v>1272</v>
      </c>
      <c r="E12816" s="30" t="s">
        <v>24532</v>
      </c>
      <c r="F12816" s="34" t="n">
        <f aca="false">IFERROR(VLOOKUP($A12816,'319'!$B:$H,7,0),0)</f>
        <v>0</v>
      </c>
      <c r="G12816" s="34" t="n">
        <f aca="false">SUMIFS('12.326ana'!$C:$C,'12.326ana'!$M:$M,redes!A12816)</f>
        <v>0</v>
      </c>
    </row>
    <row r="12817" customFormat="false" ht="14.4" hidden="true" customHeight="false" outlineLevel="0" collapsed="false">
      <c r="A12817" s="34" t="n">
        <v>13907896000139</v>
      </c>
      <c r="B12817" s="34" t="s">
        <v>8366</v>
      </c>
      <c r="C12817" s="34" t="s">
        <v>103</v>
      </c>
      <c r="E12817" s="30" t="s">
        <v>5750</v>
      </c>
      <c r="F12817" s="34" t="n">
        <f aca="false">IFERROR(VLOOKUP($A12817,'319'!$B:$H,7,0),0)</f>
        <v>0</v>
      </c>
      <c r="G12817" s="34" t="n">
        <f aca="false">SUMIFS('12.326ana'!$C:$C,'12.326ana'!$M:$M,redes!A12817)</f>
        <v>0</v>
      </c>
    </row>
    <row r="12818" customFormat="false" ht="14.4" hidden="true" customHeight="false" outlineLevel="0" collapsed="false">
      <c r="A12818" s="34" t="n">
        <v>13913233000127</v>
      </c>
      <c r="B12818" s="34" t="s">
        <v>24533</v>
      </c>
      <c r="C12818" s="34" t="s">
        <v>77</v>
      </c>
      <c r="E12818" s="30" t="s">
        <v>24534</v>
      </c>
      <c r="F12818" s="34" t="n">
        <f aca="false">IFERROR(VLOOKUP($A12818,'319'!$B:$H,7,0),0)</f>
        <v>0</v>
      </c>
      <c r="G12818" s="34" t="n">
        <f aca="false">SUMIFS('12.326ana'!$C:$C,'12.326ana'!$M:$M,redes!A12818)</f>
        <v>0</v>
      </c>
    </row>
    <row r="12819" customFormat="false" ht="14.4" hidden="true" customHeight="false" outlineLevel="0" collapsed="false">
      <c r="A12819" s="34" t="n">
        <v>13923514000160</v>
      </c>
      <c r="B12819" s="34" t="s">
        <v>24535</v>
      </c>
      <c r="C12819" s="34" t="s">
        <v>77</v>
      </c>
      <c r="E12819" s="30" t="s">
        <v>6896</v>
      </c>
      <c r="F12819" s="34" t="n">
        <f aca="false">IFERROR(VLOOKUP($A12819,'319'!$B:$H,7,0),0)</f>
        <v>0</v>
      </c>
      <c r="G12819" s="34" t="n">
        <f aca="false">SUMIFS('12.326ana'!$C:$C,'12.326ana'!$M:$M,redes!A12819)</f>
        <v>0</v>
      </c>
    </row>
    <row r="12820" customFormat="false" ht="14.4" hidden="true" customHeight="false" outlineLevel="0" collapsed="false">
      <c r="A12820" s="34" t="n">
        <v>13930975000160</v>
      </c>
      <c r="B12820" s="34" t="s">
        <v>24536</v>
      </c>
      <c r="C12820" s="34" t="s">
        <v>192</v>
      </c>
      <c r="E12820" s="30" t="s">
        <v>18648</v>
      </c>
      <c r="F12820" s="34" t="n">
        <f aca="false">IFERROR(VLOOKUP($A12820,'319'!$B:$H,7,0),0)</f>
        <v>0</v>
      </c>
      <c r="G12820" s="34" t="n">
        <f aca="false">SUMIFS('12.326ana'!$C:$C,'12.326ana'!$M:$M,redes!A12820)</f>
        <v>0</v>
      </c>
    </row>
    <row r="12821" customFormat="false" ht="14.4" hidden="true" customHeight="false" outlineLevel="0" collapsed="false">
      <c r="A12821" s="34" t="n">
        <v>13935487000146</v>
      </c>
      <c r="B12821" s="34" t="s">
        <v>24537</v>
      </c>
      <c r="C12821" s="34" t="s">
        <v>77</v>
      </c>
      <c r="E12821" s="30" t="s">
        <v>24538</v>
      </c>
      <c r="F12821" s="34" t="n">
        <f aca="false">IFERROR(VLOOKUP($A12821,'319'!$B:$H,7,0),0)</f>
        <v>0</v>
      </c>
      <c r="G12821" s="34" t="n">
        <f aca="false">SUMIFS('12.326ana'!$C:$C,'12.326ana'!$M:$M,redes!A12821)</f>
        <v>0</v>
      </c>
    </row>
    <row r="12822" customFormat="false" ht="14.4" hidden="true" customHeight="false" outlineLevel="0" collapsed="false">
      <c r="A12822" s="34" t="n">
        <v>13938314000181</v>
      </c>
      <c r="B12822" s="34" t="s">
        <v>24539</v>
      </c>
      <c r="C12822" s="34" t="s">
        <v>77</v>
      </c>
      <c r="E12822" s="30" t="s">
        <v>24540</v>
      </c>
      <c r="F12822" s="34" t="n">
        <f aca="false">IFERROR(VLOOKUP($A12822,'319'!$B:$H,7,0),0)</f>
        <v>0</v>
      </c>
      <c r="G12822" s="34" t="n">
        <f aca="false">SUMIFS('12.326ana'!$C:$C,'12.326ana'!$M:$M,redes!A12822)</f>
        <v>0</v>
      </c>
    </row>
    <row r="12823" customFormat="false" ht="14.4" hidden="true" customHeight="false" outlineLevel="0" collapsed="false">
      <c r="A12823" s="34" t="n">
        <v>13938314000262</v>
      </c>
      <c r="B12823" s="34" t="s">
        <v>24541</v>
      </c>
      <c r="C12823" s="34" t="s">
        <v>77</v>
      </c>
      <c r="E12823" s="30" t="s">
        <v>12434</v>
      </c>
      <c r="F12823" s="34" t="n">
        <f aca="false">IFERROR(VLOOKUP($A12823,'319'!$B:$H,7,0),0)</f>
        <v>0</v>
      </c>
      <c r="G12823" s="34" t="n">
        <f aca="false">SUMIFS('12.326ana'!$C:$C,'12.326ana'!$M:$M,redes!A12823)</f>
        <v>0</v>
      </c>
    </row>
    <row r="12824" customFormat="false" ht="14.4" hidden="true" customHeight="false" outlineLevel="0" collapsed="false">
      <c r="A12824" s="34" t="n">
        <v>13952054000107</v>
      </c>
      <c r="B12824" s="34" t="s">
        <v>24542</v>
      </c>
      <c r="C12824" s="34" t="s">
        <v>207</v>
      </c>
      <c r="E12824" s="30" t="s">
        <v>24543</v>
      </c>
      <c r="F12824" s="34" t="n">
        <f aca="false">IFERROR(VLOOKUP($A12824,'319'!$B:$H,7,0),0)</f>
        <v>0</v>
      </c>
      <c r="G12824" s="34" t="n">
        <f aca="false">SUMIFS('12.326ana'!$C:$C,'12.326ana'!$M:$M,redes!A12824)</f>
        <v>0</v>
      </c>
    </row>
    <row r="12825" customFormat="false" ht="14.4" hidden="true" customHeight="false" outlineLevel="0" collapsed="false">
      <c r="A12825" s="34" t="n">
        <v>13958820000132</v>
      </c>
      <c r="B12825" s="34" t="s">
        <v>24544</v>
      </c>
      <c r="C12825" s="34" t="s">
        <v>20260</v>
      </c>
      <c r="E12825" s="30" t="s">
        <v>24545</v>
      </c>
      <c r="F12825" s="34" t="n">
        <f aca="false">IFERROR(VLOOKUP($A12825,'319'!$B:$H,7,0),0)</f>
        <v>0</v>
      </c>
      <c r="G12825" s="34" t="n">
        <f aca="false">SUMIFS('12.326ana'!$C:$C,'12.326ana'!$M:$M,redes!A12825)</f>
        <v>0</v>
      </c>
    </row>
    <row r="12826" customFormat="false" ht="14.4" hidden="true" customHeight="false" outlineLevel="0" collapsed="false">
      <c r="A12826" s="34" t="n">
        <v>13965481000111</v>
      </c>
      <c r="B12826" s="34" t="s">
        <v>24546</v>
      </c>
      <c r="C12826" s="34" t="s">
        <v>139</v>
      </c>
      <c r="E12826" s="30" t="s">
        <v>24547</v>
      </c>
      <c r="F12826" s="34" t="n">
        <f aca="false">IFERROR(VLOOKUP($A12826,'319'!$B:$H,7,0),0)</f>
        <v>0</v>
      </c>
      <c r="G12826" s="34" t="n">
        <f aca="false">SUMIFS('12.326ana'!$C:$C,'12.326ana'!$M:$M,redes!A12826)</f>
        <v>0</v>
      </c>
    </row>
    <row r="12827" customFormat="false" ht="14.4" hidden="true" customHeight="false" outlineLevel="0" collapsed="false">
      <c r="A12827" s="34" t="n">
        <v>13967200000160</v>
      </c>
      <c r="B12827" s="34" t="s">
        <v>24548</v>
      </c>
      <c r="C12827" s="34" t="s">
        <v>77</v>
      </c>
      <c r="E12827" s="30" t="s">
        <v>3632</v>
      </c>
      <c r="F12827" s="34" t="n">
        <f aca="false">IFERROR(VLOOKUP($A12827,'319'!$B:$H,7,0),0)</f>
        <v>0</v>
      </c>
      <c r="G12827" s="34" t="n">
        <f aca="false">SUMIFS('12.326ana'!$C:$C,'12.326ana'!$M:$M,redes!A12827)</f>
        <v>0</v>
      </c>
    </row>
    <row r="12828" customFormat="false" ht="14.4" hidden="true" customHeight="false" outlineLevel="0" collapsed="false">
      <c r="A12828" s="34" t="n">
        <v>13975769000177</v>
      </c>
      <c r="B12828" s="34" t="s">
        <v>24549</v>
      </c>
      <c r="C12828" s="34" t="s">
        <v>77</v>
      </c>
      <c r="E12828" s="30" t="s">
        <v>24550</v>
      </c>
      <c r="F12828" s="34" t="n">
        <f aca="false">IFERROR(VLOOKUP($A12828,'319'!$B:$H,7,0),0)</f>
        <v>0</v>
      </c>
      <c r="G12828" s="34" t="n">
        <f aca="false">SUMIFS('12.326ana'!$C:$C,'12.326ana'!$M:$M,redes!A12828)</f>
        <v>0</v>
      </c>
    </row>
    <row r="12829" customFormat="false" ht="14.4" hidden="true" customHeight="false" outlineLevel="0" collapsed="false">
      <c r="A12829" s="34" t="n">
        <v>13984218000170</v>
      </c>
      <c r="B12829" s="34" t="s">
        <v>24551</v>
      </c>
      <c r="C12829" s="34" t="s">
        <v>77</v>
      </c>
      <c r="E12829" s="30" t="s">
        <v>24552</v>
      </c>
      <c r="F12829" s="34" t="n">
        <f aca="false">IFERROR(VLOOKUP($A12829,'319'!$B:$H,7,0),0)</f>
        <v>0</v>
      </c>
      <c r="G12829" s="34" t="n">
        <f aca="false">SUMIFS('12.326ana'!$C:$C,'12.326ana'!$M:$M,redes!A12829)</f>
        <v>0</v>
      </c>
    </row>
    <row r="12830" customFormat="false" ht="14.4" hidden="true" customHeight="false" outlineLevel="0" collapsed="false">
      <c r="A12830" s="34" t="n">
        <v>13985644000128</v>
      </c>
      <c r="B12830" s="34" t="s">
        <v>24553</v>
      </c>
      <c r="C12830" s="34" t="s">
        <v>77</v>
      </c>
      <c r="E12830" s="30" t="s">
        <v>14504</v>
      </c>
      <c r="F12830" s="34" t="n">
        <f aca="false">IFERROR(VLOOKUP($A12830,'319'!$B:$H,7,0),0)</f>
        <v>0</v>
      </c>
      <c r="G12830" s="34" t="n">
        <f aca="false">SUMIFS('12.326ana'!$C:$C,'12.326ana'!$M:$M,redes!A12830)</f>
        <v>0</v>
      </c>
    </row>
    <row r="12831" customFormat="false" ht="14.4" hidden="true" customHeight="false" outlineLevel="0" collapsed="false">
      <c r="A12831" s="34" t="n">
        <v>13988801000159</v>
      </c>
      <c r="B12831" s="34" t="s">
        <v>24554</v>
      </c>
      <c r="C12831" s="34" t="s">
        <v>77</v>
      </c>
      <c r="E12831" s="30" t="s">
        <v>24555</v>
      </c>
      <c r="F12831" s="34" t="n">
        <f aca="false">IFERROR(VLOOKUP($A12831,'319'!$B:$H,7,0),0)</f>
        <v>0</v>
      </c>
      <c r="G12831" s="34" t="n">
        <f aca="false">SUMIFS('12.326ana'!$C:$C,'12.326ana'!$M:$M,redes!A12831)</f>
        <v>0</v>
      </c>
    </row>
    <row r="12832" customFormat="false" ht="14.4" hidden="true" customHeight="false" outlineLevel="0" collapsed="false">
      <c r="A12832" s="34" t="n">
        <v>13993174000144</v>
      </c>
      <c r="B12832" s="34" t="s">
        <v>24556</v>
      </c>
      <c r="C12832" s="34" t="s">
        <v>328</v>
      </c>
      <c r="E12832" s="30" t="s">
        <v>24557</v>
      </c>
      <c r="F12832" s="34" t="n">
        <f aca="false">IFERROR(VLOOKUP($A12832,'319'!$B:$H,7,0),0)</f>
        <v>0</v>
      </c>
      <c r="G12832" s="34" t="n">
        <f aca="false">SUMIFS('12.326ana'!$C:$C,'12.326ana'!$M:$M,redes!A12832)</f>
        <v>0</v>
      </c>
    </row>
    <row r="12833" customFormat="false" ht="14.4" hidden="true" customHeight="false" outlineLevel="0" collapsed="false">
      <c r="A12833" s="34" t="n">
        <v>14007575000140</v>
      </c>
      <c r="B12833" s="34" t="s">
        <v>24558</v>
      </c>
      <c r="C12833" s="34" t="s">
        <v>197</v>
      </c>
      <c r="E12833" s="30" t="s">
        <v>24559</v>
      </c>
      <c r="F12833" s="34" t="n">
        <f aca="false">IFERROR(VLOOKUP($A12833,'319'!$B:$H,7,0),0)</f>
        <v>0</v>
      </c>
      <c r="G12833" s="34" t="n">
        <f aca="false">SUMIFS('12.326ana'!$C:$C,'12.326ana'!$M:$M,redes!A12833)</f>
        <v>0</v>
      </c>
    </row>
    <row r="12834" customFormat="false" ht="14.4" hidden="true" customHeight="false" outlineLevel="0" collapsed="false">
      <c r="A12834" s="34" t="n">
        <v>14024878000171</v>
      </c>
      <c r="B12834" s="34" t="s">
        <v>24560</v>
      </c>
      <c r="C12834" s="34" t="s">
        <v>77</v>
      </c>
      <c r="E12834" s="30" t="s">
        <v>24561</v>
      </c>
      <c r="F12834" s="34" t="n">
        <f aca="false">IFERROR(VLOOKUP($A12834,'319'!$B:$H,7,0),0)</f>
        <v>0</v>
      </c>
      <c r="G12834" s="34" t="n">
        <f aca="false">SUMIFS('12.326ana'!$C:$C,'12.326ana'!$M:$M,redes!A12834)</f>
        <v>0</v>
      </c>
    </row>
    <row r="12835" customFormat="false" ht="14.4" hidden="true" customHeight="false" outlineLevel="0" collapsed="false">
      <c r="A12835" s="34" t="n">
        <v>14029767000158</v>
      </c>
      <c r="B12835" s="34" t="s">
        <v>24562</v>
      </c>
      <c r="C12835" s="34" t="s">
        <v>77</v>
      </c>
      <c r="E12835" s="30" t="s">
        <v>24563</v>
      </c>
      <c r="F12835" s="34" t="n">
        <f aca="false">IFERROR(VLOOKUP($A12835,'319'!$B:$H,7,0),0)</f>
        <v>0</v>
      </c>
      <c r="G12835" s="34" t="n">
        <f aca="false">SUMIFS('12.326ana'!$C:$C,'12.326ana'!$M:$M,redes!A12835)</f>
        <v>0</v>
      </c>
    </row>
    <row r="12836" customFormat="false" ht="14.4" hidden="true" customHeight="false" outlineLevel="0" collapsed="false">
      <c r="A12836" s="34" t="n">
        <v>14035072000189</v>
      </c>
      <c r="B12836" s="34" t="s">
        <v>24564</v>
      </c>
      <c r="C12836" s="34" t="s">
        <v>935</v>
      </c>
      <c r="E12836" s="30" t="s">
        <v>24564</v>
      </c>
      <c r="F12836" s="34" t="n">
        <f aca="false">IFERROR(VLOOKUP($A12836,'319'!$B:$H,7,0),0)</f>
        <v>0</v>
      </c>
      <c r="G12836" s="34" t="n">
        <f aca="false">SUMIFS('12.326ana'!$C:$C,'12.326ana'!$M:$M,redes!A12836)</f>
        <v>0</v>
      </c>
    </row>
    <row r="12837" customFormat="false" ht="14.4" hidden="true" customHeight="false" outlineLevel="0" collapsed="false">
      <c r="A12837" s="34" t="n">
        <v>14037377000120</v>
      </c>
      <c r="B12837" s="34" t="s">
        <v>24565</v>
      </c>
      <c r="C12837" s="34" t="s">
        <v>77</v>
      </c>
      <c r="E12837" s="30" t="s">
        <v>24566</v>
      </c>
      <c r="F12837" s="34" t="n">
        <f aca="false">IFERROR(VLOOKUP($A12837,'319'!$B:$H,7,0),0)</f>
        <v>0</v>
      </c>
      <c r="G12837" s="34" t="n">
        <f aca="false">SUMIFS('12.326ana'!$C:$C,'12.326ana'!$M:$M,redes!A12837)</f>
        <v>0</v>
      </c>
    </row>
    <row r="12838" customFormat="false" ht="14.4" hidden="true" customHeight="false" outlineLevel="0" collapsed="false">
      <c r="A12838" s="34" t="n">
        <v>14055264000157</v>
      </c>
      <c r="B12838" s="34" t="s">
        <v>24567</v>
      </c>
      <c r="C12838" s="34" t="s">
        <v>103</v>
      </c>
      <c r="E12838" s="30" t="s">
        <v>24568</v>
      </c>
      <c r="F12838" s="34" t="n">
        <f aca="false">IFERROR(VLOOKUP($A12838,'319'!$B:$H,7,0),0)</f>
        <v>0</v>
      </c>
      <c r="G12838" s="34" t="n">
        <f aca="false">SUMIFS('12.326ana'!$C:$C,'12.326ana'!$M:$M,redes!A12838)</f>
        <v>0</v>
      </c>
    </row>
    <row r="12839" customFormat="false" ht="14.4" hidden="true" customHeight="false" outlineLevel="0" collapsed="false">
      <c r="A12839" s="34" t="n">
        <v>14067112000174</v>
      </c>
      <c r="B12839" s="34" t="s">
        <v>24569</v>
      </c>
      <c r="C12839" s="34" t="s">
        <v>737</v>
      </c>
      <c r="E12839" s="30" t="s">
        <v>3733</v>
      </c>
      <c r="F12839" s="34" t="n">
        <f aca="false">IFERROR(VLOOKUP($A12839,'319'!$B:$H,7,0),0)</f>
        <v>0</v>
      </c>
      <c r="G12839" s="34" t="n">
        <f aca="false">SUMIFS('12.326ana'!$C:$C,'12.326ana'!$M:$M,redes!A12839)</f>
        <v>0</v>
      </c>
    </row>
    <row r="12840" customFormat="false" ht="14.4" hidden="true" customHeight="false" outlineLevel="0" collapsed="false">
      <c r="A12840" s="34" t="n">
        <v>14068940000127</v>
      </c>
      <c r="B12840" s="34" t="s">
        <v>24570</v>
      </c>
      <c r="C12840" s="34" t="s">
        <v>604</v>
      </c>
      <c r="E12840" s="30" t="s">
        <v>24570</v>
      </c>
      <c r="F12840" s="34" t="n">
        <f aca="false">IFERROR(VLOOKUP($A12840,'319'!$B:$H,7,0),0)</f>
        <v>0</v>
      </c>
      <c r="G12840" s="34" t="n">
        <f aca="false">SUMIFS('12.326ana'!$C:$C,'12.326ana'!$M:$M,redes!A12840)</f>
        <v>0</v>
      </c>
    </row>
    <row r="12841" customFormat="false" ht="14.4" hidden="true" customHeight="false" outlineLevel="0" collapsed="false">
      <c r="A12841" s="34" t="n">
        <v>14069300000131</v>
      </c>
      <c r="B12841" s="34" t="s">
        <v>24571</v>
      </c>
      <c r="C12841" s="34" t="s">
        <v>129</v>
      </c>
      <c r="E12841" s="30" t="s">
        <v>24571</v>
      </c>
      <c r="F12841" s="34" t="n">
        <f aca="false">IFERROR(VLOOKUP($A12841,'319'!$B:$H,7,0),0)</f>
        <v>0</v>
      </c>
      <c r="G12841" s="34" t="n">
        <f aca="false">SUMIFS('12.326ana'!$C:$C,'12.326ana'!$M:$M,redes!A12841)</f>
        <v>0</v>
      </c>
    </row>
    <row r="12842" customFormat="false" ht="14.4" hidden="true" customHeight="false" outlineLevel="0" collapsed="false">
      <c r="A12842" s="34" t="n">
        <v>14071909000145</v>
      </c>
      <c r="B12842" s="34" t="s">
        <v>558</v>
      </c>
      <c r="C12842" s="34" t="s">
        <v>197</v>
      </c>
      <c r="E12842" s="30" t="s">
        <v>24572</v>
      </c>
      <c r="F12842" s="34" t="n">
        <f aca="false">IFERROR(VLOOKUP($A12842,'319'!$B:$H,7,0),0)</f>
        <v>23562.84</v>
      </c>
      <c r="G12842" s="34" t="n">
        <f aca="false">SUMIFS('12.326ana'!$C:$C,'12.326ana'!$M:$M,redes!A12842)</f>
        <v>23391.74</v>
      </c>
    </row>
    <row r="12843" customFormat="false" ht="14.4" hidden="true" customHeight="false" outlineLevel="0" collapsed="false">
      <c r="A12843" s="34" t="n">
        <v>14075324000101</v>
      </c>
      <c r="B12843" s="34" t="s">
        <v>24573</v>
      </c>
      <c r="C12843" s="34" t="s">
        <v>103</v>
      </c>
      <c r="E12843" s="30" t="s">
        <v>12960</v>
      </c>
      <c r="F12843" s="34" t="n">
        <f aca="false">IFERROR(VLOOKUP($A12843,'319'!$B:$H,7,0),0)</f>
        <v>0</v>
      </c>
      <c r="G12843" s="34" t="n">
        <f aca="false">SUMIFS('12.326ana'!$C:$C,'12.326ana'!$M:$M,redes!A12843)</f>
        <v>0</v>
      </c>
    </row>
    <row r="12844" customFormat="false" ht="14.4" hidden="true" customHeight="false" outlineLevel="0" collapsed="false">
      <c r="A12844" s="34" t="n">
        <v>14079528000102</v>
      </c>
      <c r="B12844" s="34" t="s">
        <v>24574</v>
      </c>
      <c r="C12844" s="34" t="s">
        <v>107</v>
      </c>
      <c r="E12844" s="30" t="s">
        <v>3927</v>
      </c>
      <c r="F12844" s="34" t="n">
        <f aca="false">IFERROR(VLOOKUP($A12844,'319'!$B:$H,7,0),0)</f>
        <v>0</v>
      </c>
      <c r="G12844" s="34" t="n">
        <f aca="false">SUMIFS('12.326ana'!$C:$C,'12.326ana'!$M:$M,redes!A12844)</f>
        <v>0</v>
      </c>
    </row>
    <row r="12845" customFormat="false" ht="14.4" hidden="true" customHeight="false" outlineLevel="0" collapsed="false">
      <c r="A12845" s="34" t="n">
        <v>14084890000171</v>
      </c>
      <c r="B12845" s="34" t="s">
        <v>24575</v>
      </c>
      <c r="C12845" s="34" t="s">
        <v>89</v>
      </c>
      <c r="E12845" s="30" t="s">
        <v>24576</v>
      </c>
      <c r="F12845" s="34" t="n">
        <f aca="false">IFERROR(VLOOKUP($A12845,'319'!$B:$H,7,0),0)</f>
        <v>0</v>
      </c>
      <c r="G12845" s="34" t="n">
        <f aca="false">SUMIFS('12.326ana'!$C:$C,'12.326ana'!$M:$M,redes!A12845)</f>
        <v>0</v>
      </c>
    </row>
    <row r="12846" customFormat="false" ht="14.4" hidden="true" customHeight="false" outlineLevel="0" collapsed="false">
      <c r="A12846" s="34" t="n">
        <v>14099611000143</v>
      </c>
      <c r="B12846" s="34" t="s">
        <v>24577</v>
      </c>
      <c r="C12846" s="34" t="s">
        <v>744</v>
      </c>
      <c r="E12846" s="30" t="s">
        <v>20050</v>
      </c>
      <c r="F12846" s="34" t="n">
        <f aca="false">IFERROR(VLOOKUP($A12846,'319'!$B:$H,7,0),0)</f>
        <v>0</v>
      </c>
      <c r="G12846" s="34" t="n">
        <f aca="false">SUMIFS('12.326ana'!$C:$C,'12.326ana'!$M:$M,redes!A12846)</f>
        <v>0</v>
      </c>
    </row>
    <row r="12847" customFormat="false" ht="14.4" hidden="true" customHeight="false" outlineLevel="0" collapsed="false">
      <c r="A12847" s="34" t="n">
        <v>14100086000139</v>
      </c>
      <c r="B12847" s="34" t="s">
        <v>24578</v>
      </c>
      <c r="C12847" s="34" t="s">
        <v>764</v>
      </c>
      <c r="E12847" s="30" t="s">
        <v>24579</v>
      </c>
      <c r="F12847" s="34" t="n">
        <f aca="false">IFERROR(VLOOKUP($A12847,'319'!$B:$H,7,0),0)</f>
        <v>0</v>
      </c>
      <c r="G12847" s="34" t="n">
        <f aca="false">SUMIFS('12.326ana'!$C:$C,'12.326ana'!$M:$M,redes!A12847)</f>
        <v>0</v>
      </c>
    </row>
    <row r="12848" customFormat="false" ht="14.4" hidden="true" customHeight="false" outlineLevel="0" collapsed="false">
      <c r="A12848" s="34" t="n">
        <v>14110529000172</v>
      </c>
      <c r="B12848" s="34" t="s">
        <v>24580</v>
      </c>
      <c r="C12848" s="34" t="s">
        <v>139</v>
      </c>
      <c r="E12848" s="30" t="s">
        <v>24580</v>
      </c>
      <c r="F12848" s="34" t="n">
        <f aca="false">IFERROR(VLOOKUP($A12848,'319'!$B:$H,7,0),0)</f>
        <v>0</v>
      </c>
      <c r="G12848" s="34" t="n">
        <f aca="false">SUMIFS('12.326ana'!$C:$C,'12.326ana'!$M:$M,redes!A12848)</f>
        <v>0</v>
      </c>
    </row>
    <row r="12849" customFormat="false" ht="14.4" hidden="true" customHeight="false" outlineLevel="0" collapsed="false">
      <c r="A12849" s="34" t="n">
        <v>14111712000192</v>
      </c>
      <c r="B12849" s="34" t="s">
        <v>24581</v>
      </c>
      <c r="C12849" s="34" t="s">
        <v>737</v>
      </c>
      <c r="E12849" s="30" t="s">
        <v>24582</v>
      </c>
      <c r="F12849" s="34" t="n">
        <f aca="false">IFERROR(VLOOKUP($A12849,'319'!$B:$H,7,0),0)</f>
        <v>0</v>
      </c>
      <c r="G12849" s="34" t="n">
        <f aca="false">SUMIFS('12.326ana'!$C:$C,'12.326ana'!$M:$M,redes!A12849)</f>
        <v>0</v>
      </c>
    </row>
    <row r="12850" customFormat="false" ht="14.4" hidden="true" customHeight="false" outlineLevel="0" collapsed="false">
      <c r="A12850" s="34" t="n">
        <v>14113026000150</v>
      </c>
      <c r="B12850" s="34" t="s">
        <v>24583</v>
      </c>
      <c r="C12850" s="34" t="s">
        <v>309</v>
      </c>
      <c r="E12850" s="30" t="s">
        <v>24584</v>
      </c>
      <c r="F12850" s="34" t="n">
        <f aca="false">IFERROR(VLOOKUP($A12850,'319'!$B:$H,7,0),0)</f>
        <v>0</v>
      </c>
      <c r="G12850" s="34" t="n">
        <f aca="false">SUMIFS('12.326ana'!$C:$C,'12.326ana'!$M:$M,redes!A12850)</f>
        <v>0</v>
      </c>
    </row>
    <row r="12851" customFormat="false" ht="14.4" hidden="true" customHeight="false" outlineLevel="0" collapsed="false">
      <c r="A12851" s="34" t="n">
        <v>14117465000131</v>
      </c>
      <c r="B12851" s="34" t="s">
        <v>24585</v>
      </c>
      <c r="C12851" s="34" t="s">
        <v>342</v>
      </c>
      <c r="E12851" s="30" t="s">
        <v>24586</v>
      </c>
      <c r="F12851" s="34" t="n">
        <f aca="false">IFERROR(VLOOKUP($A12851,'319'!$B:$H,7,0),0)</f>
        <v>0</v>
      </c>
      <c r="G12851" s="34" t="n">
        <f aca="false">SUMIFS('12.326ana'!$C:$C,'12.326ana'!$M:$M,redes!A12851)</f>
        <v>0</v>
      </c>
    </row>
    <row r="12852" customFormat="false" ht="14.4" hidden="true" customHeight="false" outlineLevel="0" collapsed="false">
      <c r="A12852" s="34" t="n">
        <v>14123781000116</v>
      </c>
      <c r="B12852" s="34" t="s">
        <v>24587</v>
      </c>
      <c r="C12852" s="34" t="s">
        <v>377</v>
      </c>
      <c r="E12852" s="30" t="s">
        <v>24588</v>
      </c>
      <c r="F12852" s="34" t="n">
        <f aca="false">IFERROR(VLOOKUP($A12852,'319'!$B:$H,7,0),0)</f>
        <v>0</v>
      </c>
      <c r="G12852" s="34" t="n">
        <f aca="false">SUMIFS('12.326ana'!$C:$C,'12.326ana'!$M:$M,redes!A12852)</f>
        <v>0</v>
      </c>
    </row>
    <row r="12853" customFormat="false" ht="14.4" hidden="true" customHeight="false" outlineLevel="0" collapsed="false">
      <c r="A12853" s="34" t="n">
        <v>14134409000105</v>
      </c>
      <c r="B12853" s="34" t="s">
        <v>24589</v>
      </c>
      <c r="C12853" s="34" t="s">
        <v>139</v>
      </c>
      <c r="E12853" s="30" t="s">
        <v>24590</v>
      </c>
      <c r="F12853" s="34" t="n">
        <f aca="false">IFERROR(VLOOKUP($A12853,'319'!$B:$H,7,0),0)</f>
        <v>0</v>
      </c>
      <c r="G12853" s="34" t="n">
        <f aca="false">SUMIFS('12.326ana'!$C:$C,'12.326ana'!$M:$M,redes!A12853)</f>
        <v>0</v>
      </c>
    </row>
    <row r="12854" customFormat="false" ht="14.4" hidden="true" customHeight="false" outlineLevel="0" collapsed="false">
      <c r="A12854" s="34" t="n">
        <v>14136347000170</v>
      </c>
      <c r="B12854" s="34" t="s">
        <v>10880</v>
      </c>
      <c r="C12854" s="34" t="s">
        <v>737</v>
      </c>
      <c r="E12854" s="30" t="s">
        <v>10881</v>
      </c>
      <c r="F12854" s="34" t="n">
        <f aca="false">IFERROR(VLOOKUP($A12854,'319'!$B:$H,7,0),0)</f>
        <v>0</v>
      </c>
      <c r="G12854" s="34" t="n">
        <f aca="false">SUMIFS('12.326ana'!$C:$C,'12.326ana'!$M:$M,redes!A12854)</f>
        <v>0</v>
      </c>
    </row>
    <row r="12855" customFormat="false" ht="14.4" hidden="true" customHeight="false" outlineLevel="0" collapsed="false">
      <c r="A12855" s="34" t="n">
        <v>14144366000149</v>
      </c>
      <c r="B12855" s="34" t="s">
        <v>24591</v>
      </c>
      <c r="C12855" s="34" t="s">
        <v>737</v>
      </c>
      <c r="E12855" s="30" t="s">
        <v>24592</v>
      </c>
      <c r="F12855" s="34" t="n">
        <f aca="false">IFERROR(VLOOKUP($A12855,'319'!$B:$H,7,0),0)</f>
        <v>0</v>
      </c>
      <c r="G12855" s="34" t="n">
        <f aca="false">SUMIFS('12.326ana'!$C:$C,'12.326ana'!$M:$M,redes!A12855)</f>
        <v>0</v>
      </c>
    </row>
    <row r="12856" customFormat="false" ht="14.4" hidden="true" customHeight="false" outlineLevel="0" collapsed="false">
      <c r="A12856" s="34" t="n">
        <v>14147218000188</v>
      </c>
      <c r="B12856" s="34" t="s">
        <v>24593</v>
      </c>
      <c r="C12856" s="34" t="s">
        <v>631</v>
      </c>
      <c r="E12856" s="30" t="s">
        <v>24594</v>
      </c>
      <c r="F12856" s="34" t="n">
        <f aca="false">IFERROR(VLOOKUP($A12856,'319'!$B:$H,7,0),0)</f>
        <v>0</v>
      </c>
      <c r="G12856" s="34" t="n">
        <f aca="false">SUMIFS('12.326ana'!$C:$C,'12.326ana'!$M:$M,redes!A12856)</f>
        <v>0</v>
      </c>
    </row>
    <row r="12857" customFormat="false" ht="14.4" hidden="true" customHeight="false" outlineLevel="0" collapsed="false">
      <c r="A12857" s="34" t="n">
        <v>14149502000193</v>
      </c>
      <c r="B12857" s="34" t="s">
        <v>24595</v>
      </c>
      <c r="C12857" s="34" t="s">
        <v>103</v>
      </c>
      <c r="E12857" s="30" t="s">
        <v>24596</v>
      </c>
      <c r="F12857" s="34" t="n">
        <f aca="false">IFERROR(VLOOKUP($A12857,'319'!$B:$H,7,0),0)</f>
        <v>0</v>
      </c>
      <c r="G12857" s="34" t="n">
        <f aca="false">SUMIFS('12.326ana'!$C:$C,'12.326ana'!$M:$M,redes!A12857)</f>
        <v>0</v>
      </c>
    </row>
    <row r="12858" customFormat="false" ht="14.4" hidden="true" customHeight="false" outlineLevel="0" collapsed="false">
      <c r="A12858" s="34" t="n">
        <v>14153143000148</v>
      </c>
      <c r="B12858" s="34" t="s">
        <v>24597</v>
      </c>
      <c r="C12858" s="34" t="s">
        <v>1602</v>
      </c>
      <c r="E12858" s="30"/>
      <c r="F12858" s="34" t="n">
        <f aca="false">IFERROR(VLOOKUP($A12858,'319'!$B:$H,7,0),0)</f>
        <v>0</v>
      </c>
      <c r="G12858" s="34" t="n">
        <f aca="false">SUMIFS('12.326ana'!$C:$C,'12.326ana'!$M:$M,redes!A12858)</f>
        <v>0</v>
      </c>
    </row>
    <row r="12859" customFormat="false" ht="14.4" hidden="true" customHeight="false" outlineLevel="0" collapsed="false">
      <c r="A12859" s="34" t="n">
        <v>14156850000198</v>
      </c>
      <c r="B12859" s="34" t="s">
        <v>24598</v>
      </c>
      <c r="C12859" s="34" t="s">
        <v>2998</v>
      </c>
      <c r="E12859" s="30" t="s">
        <v>21125</v>
      </c>
      <c r="F12859" s="34" t="n">
        <f aca="false">IFERROR(VLOOKUP($A12859,'319'!$B:$H,7,0),0)</f>
        <v>0</v>
      </c>
      <c r="G12859" s="34" t="n">
        <f aca="false">SUMIFS('12.326ana'!$C:$C,'12.326ana'!$M:$M,redes!A12859)</f>
        <v>0</v>
      </c>
    </row>
    <row r="12860" customFormat="false" ht="14.4" hidden="true" customHeight="false" outlineLevel="0" collapsed="false">
      <c r="A12860" s="34" t="n">
        <v>14164067000176</v>
      </c>
      <c r="B12860" s="34" t="s">
        <v>24599</v>
      </c>
      <c r="C12860" s="34" t="s">
        <v>10103</v>
      </c>
      <c r="E12860" s="30" t="s">
        <v>6838</v>
      </c>
      <c r="F12860" s="34" t="n">
        <f aca="false">IFERROR(VLOOKUP($A12860,'319'!$B:$H,7,0),0)</f>
        <v>0</v>
      </c>
      <c r="G12860" s="34" t="n">
        <f aca="false">SUMIFS('12.326ana'!$C:$C,'12.326ana'!$M:$M,redes!A12860)</f>
        <v>0</v>
      </c>
    </row>
    <row r="12861" customFormat="false" ht="14.4" hidden="true" customHeight="false" outlineLevel="0" collapsed="false">
      <c r="A12861" s="34" t="n">
        <v>14180725000113</v>
      </c>
      <c r="B12861" s="34" t="s">
        <v>24600</v>
      </c>
      <c r="C12861" s="34" t="s">
        <v>764</v>
      </c>
      <c r="E12861" s="30" t="s">
        <v>24601</v>
      </c>
      <c r="F12861" s="34" t="n">
        <f aca="false">IFERROR(VLOOKUP($A12861,'319'!$B:$H,7,0),0)</f>
        <v>0</v>
      </c>
      <c r="G12861" s="34" t="n">
        <f aca="false">SUMIFS('12.326ana'!$C:$C,'12.326ana'!$M:$M,redes!A12861)</f>
        <v>0</v>
      </c>
    </row>
    <row r="12862" customFormat="false" ht="14.4" hidden="true" customHeight="false" outlineLevel="0" collapsed="false">
      <c r="A12862" s="34" t="n">
        <v>14182011000144</v>
      </c>
      <c r="B12862" s="34" t="s">
        <v>24602</v>
      </c>
      <c r="C12862" s="34" t="s">
        <v>77</v>
      </c>
      <c r="E12862" s="30" t="s">
        <v>24603</v>
      </c>
      <c r="F12862" s="34" t="n">
        <f aca="false">IFERROR(VLOOKUP($A12862,'319'!$B:$H,7,0),0)</f>
        <v>0</v>
      </c>
      <c r="G12862" s="34" t="n">
        <f aca="false">SUMIFS('12.326ana'!$C:$C,'12.326ana'!$M:$M,redes!A12862)</f>
        <v>0</v>
      </c>
    </row>
    <row r="12863" customFormat="false" ht="14.4" hidden="true" customHeight="false" outlineLevel="0" collapsed="false">
      <c r="A12863" s="34" t="n">
        <v>14183417000141</v>
      </c>
      <c r="B12863" s="34" t="s">
        <v>24604</v>
      </c>
      <c r="C12863" s="34" t="s">
        <v>107</v>
      </c>
      <c r="E12863" s="30" t="s">
        <v>24605</v>
      </c>
      <c r="F12863" s="34" t="n">
        <f aca="false">IFERROR(VLOOKUP($A12863,'319'!$B:$H,7,0),0)</f>
        <v>0</v>
      </c>
      <c r="G12863" s="34" t="n">
        <f aca="false">SUMIFS('12.326ana'!$C:$C,'12.326ana'!$M:$M,redes!A12863)</f>
        <v>0</v>
      </c>
    </row>
    <row r="12864" customFormat="false" ht="14.4" hidden="true" customHeight="false" outlineLevel="0" collapsed="false">
      <c r="A12864" s="34" t="n">
        <v>14191634000183</v>
      </c>
      <c r="B12864" s="34" t="s">
        <v>24606</v>
      </c>
      <c r="C12864" s="34" t="s">
        <v>565</v>
      </c>
      <c r="E12864" s="30" t="s">
        <v>24607</v>
      </c>
      <c r="F12864" s="34" t="n">
        <f aca="false">IFERROR(VLOOKUP($A12864,'319'!$B:$H,7,0),0)</f>
        <v>0</v>
      </c>
      <c r="G12864" s="34" t="n">
        <f aca="false">SUMIFS('12.326ana'!$C:$C,'12.326ana'!$M:$M,redes!A12864)</f>
        <v>0</v>
      </c>
    </row>
    <row r="12865" customFormat="false" ht="14.4" hidden="true" customHeight="false" outlineLevel="0" collapsed="false">
      <c r="A12865" s="34" t="n">
        <v>14198045000127</v>
      </c>
      <c r="B12865" s="34" t="s">
        <v>24608</v>
      </c>
      <c r="C12865" s="34" t="s">
        <v>594</v>
      </c>
      <c r="E12865" s="30" t="s">
        <v>11228</v>
      </c>
      <c r="F12865" s="34" t="n">
        <f aca="false">IFERROR(VLOOKUP($A12865,'319'!$B:$H,7,0),0)</f>
        <v>0</v>
      </c>
      <c r="G12865" s="34" t="n">
        <f aca="false">SUMIFS('12.326ana'!$C:$C,'12.326ana'!$M:$M,redes!A12865)</f>
        <v>0</v>
      </c>
    </row>
    <row r="12866" customFormat="false" ht="14.4" hidden="true" customHeight="false" outlineLevel="0" collapsed="false">
      <c r="A12866" s="34" t="n">
        <v>14205327000104</v>
      </c>
      <c r="B12866" s="34" t="s">
        <v>24609</v>
      </c>
      <c r="C12866" s="34" t="s">
        <v>336</v>
      </c>
      <c r="E12866" s="30" t="s">
        <v>24610</v>
      </c>
      <c r="F12866" s="34" t="n">
        <f aca="false">IFERROR(VLOOKUP($A12866,'319'!$B:$H,7,0),0)</f>
        <v>0</v>
      </c>
      <c r="G12866" s="34" t="n">
        <f aca="false">SUMIFS('12.326ana'!$C:$C,'12.326ana'!$M:$M,redes!A12866)</f>
        <v>0</v>
      </c>
    </row>
    <row r="12867" customFormat="false" ht="14.4" hidden="true" customHeight="false" outlineLevel="0" collapsed="false">
      <c r="A12867" s="34" t="n">
        <v>14206142000114</v>
      </c>
      <c r="B12867" s="34" t="s">
        <v>24611</v>
      </c>
      <c r="C12867" s="34" t="s">
        <v>389</v>
      </c>
      <c r="E12867" s="30" t="s">
        <v>24611</v>
      </c>
      <c r="F12867" s="34" t="n">
        <f aca="false">IFERROR(VLOOKUP($A12867,'319'!$B:$H,7,0),0)</f>
        <v>0</v>
      </c>
      <c r="G12867" s="34" t="n">
        <f aca="false">SUMIFS('12.326ana'!$C:$C,'12.326ana'!$M:$M,redes!A12867)</f>
        <v>0</v>
      </c>
    </row>
    <row r="12868" customFormat="false" ht="14.4" hidden="true" customHeight="false" outlineLevel="0" collapsed="false">
      <c r="A12868" s="34" t="n">
        <v>14207290000153</v>
      </c>
      <c r="B12868" s="34" t="s">
        <v>24612</v>
      </c>
      <c r="C12868" s="34" t="s">
        <v>107</v>
      </c>
      <c r="E12868" s="30" t="s">
        <v>24613</v>
      </c>
      <c r="F12868" s="34" t="n">
        <f aca="false">IFERROR(VLOOKUP($A12868,'319'!$B:$H,7,0),0)</f>
        <v>0</v>
      </c>
      <c r="G12868" s="34" t="n">
        <f aca="false">SUMIFS('12.326ana'!$C:$C,'12.326ana'!$M:$M,redes!A12868)</f>
        <v>0</v>
      </c>
    </row>
    <row r="12869" customFormat="false" ht="14.4" hidden="true" customHeight="false" outlineLevel="0" collapsed="false">
      <c r="A12869" s="34" t="n">
        <v>14207841000189</v>
      </c>
      <c r="B12869" s="34" t="s">
        <v>24614</v>
      </c>
      <c r="C12869" s="34" t="s">
        <v>475</v>
      </c>
      <c r="E12869" s="30" t="s">
        <v>5725</v>
      </c>
      <c r="F12869" s="34" t="n">
        <f aca="false">IFERROR(VLOOKUP($A12869,'319'!$B:$H,7,0),0)</f>
        <v>0</v>
      </c>
      <c r="G12869" s="34" t="n">
        <f aca="false">SUMIFS('12.326ana'!$C:$C,'12.326ana'!$M:$M,redes!A12869)</f>
        <v>0</v>
      </c>
    </row>
    <row r="12870" customFormat="false" ht="14.4" hidden="true" customHeight="false" outlineLevel="0" collapsed="false">
      <c r="A12870" s="34" t="n">
        <v>14222635000148</v>
      </c>
      <c r="B12870" s="34" t="s">
        <v>24615</v>
      </c>
      <c r="C12870" s="34" t="s">
        <v>706</v>
      </c>
      <c r="E12870" s="30" t="s">
        <v>24616</v>
      </c>
      <c r="F12870" s="34" t="n">
        <f aca="false">IFERROR(VLOOKUP($A12870,'319'!$B:$H,7,0),0)</f>
        <v>0</v>
      </c>
      <c r="G12870" s="34" t="n">
        <f aca="false">SUMIFS('12.326ana'!$C:$C,'12.326ana'!$M:$M,redes!A12870)</f>
        <v>0</v>
      </c>
    </row>
    <row r="12871" customFormat="false" ht="14.4" hidden="true" customHeight="false" outlineLevel="0" collapsed="false">
      <c r="A12871" s="34" t="n">
        <v>14230330000188</v>
      </c>
      <c r="B12871" s="34" t="s">
        <v>24617</v>
      </c>
      <c r="C12871" s="34" t="s">
        <v>89</v>
      </c>
      <c r="E12871" s="30" t="s">
        <v>24618</v>
      </c>
      <c r="F12871" s="34" t="n">
        <f aca="false">IFERROR(VLOOKUP($A12871,'319'!$B:$H,7,0),0)</f>
        <v>0</v>
      </c>
      <c r="G12871" s="34" t="n">
        <f aca="false">SUMIFS('12.326ana'!$C:$C,'12.326ana'!$M:$M,redes!A12871)</f>
        <v>0</v>
      </c>
    </row>
    <row r="12872" customFormat="false" ht="14.4" hidden="true" customHeight="false" outlineLevel="0" collapsed="false">
      <c r="A12872" s="34" t="n">
        <v>14240619000188</v>
      </c>
      <c r="B12872" s="34" t="s">
        <v>24619</v>
      </c>
      <c r="C12872" s="34" t="s">
        <v>737</v>
      </c>
      <c r="E12872" s="30" t="s">
        <v>24620</v>
      </c>
      <c r="F12872" s="34" t="n">
        <f aca="false">IFERROR(VLOOKUP($A12872,'319'!$B:$H,7,0),0)</f>
        <v>0</v>
      </c>
      <c r="G12872" s="34" t="n">
        <f aca="false">SUMIFS('12.326ana'!$C:$C,'12.326ana'!$M:$M,redes!A12872)</f>
        <v>0</v>
      </c>
    </row>
    <row r="12873" customFormat="false" ht="14.4" hidden="true" customHeight="false" outlineLevel="0" collapsed="false">
      <c r="A12873" s="34" t="n">
        <v>14240619000269</v>
      </c>
      <c r="B12873" s="34" t="s">
        <v>24621</v>
      </c>
      <c r="C12873" s="34" t="s">
        <v>737</v>
      </c>
      <c r="E12873" s="30" t="s">
        <v>24620</v>
      </c>
      <c r="F12873" s="34" t="n">
        <f aca="false">IFERROR(VLOOKUP($A12873,'319'!$B:$H,7,0),0)</f>
        <v>0</v>
      </c>
      <c r="G12873" s="34" t="n">
        <f aca="false">SUMIFS('12.326ana'!$C:$C,'12.326ana'!$M:$M,redes!A12873)</f>
        <v>0</v>
      </c>
    </row>
    <row r="12874" customFormat="false" ht="14.4" hidden="true" customHeight="false" outlineLevel="0" collapsed="false">
      <c r="A12874" s="34" t="n">
        <v>14248536000135</v>
      </c>
      <c r="B12874" s="34" t="s">
        <v>24622</v>
      </c>
      <c r="C12874" s="34" t="s">
        <v>77</v>
      </c>
      <c r="E12874" s="30" t="s">
        <v>24623</v>
      </c>
      <c r="F12874" s="34" t="n">
        <f aca="false">IFERROR(VLOOKUP($A12874,'319'!$B:$H,7,0),0)</f>
        <v>0</v>
      </c>
      <c r="G12874" s="34" t="n">
        <f aca="false">SUMIFS('12.326ana'!$C:$C,'12.326ana'!$M:$M,redes!A12874)</f>
        <v>0</v>
      </c>
    </row>
    <row r="12875" customFormat="false" ht="14.4" hidden="true" customHeight="false" outlineLevel="0" collapsed="false">
      <c r="A12875" s="34" t="n">
        <v>14258146000146</v>
      </c>
      <c r="B12875" s="34" t="s">
        <v>24624</v>
      </c>
      <c r="C12875" s="34" t="s">
        <v>351</v>
      </c>
      <c r="E12875" s="30" t="s">
        <v>24625</v>
      </c>
      <c r="F12875" s="34" t="n">
        <f aca="false">IFERROR(VLOOKUP($A12875,'319'!$B:$H,7,0),0)</f>
        <v>0</v>
      </c>
      <c r="G12875" s="34" t="n">
        <f aca="false">SUMIFS('12.326ana'!$C:$C,'12.326ana'!$M:$M,redes!A12875)</f>
        <v>0</v>
      </c>
    </row>
    <row r="12876" customFormat="false" ht="14.4" hidden="true" customHeight="false" outlineLevel="0" collapsed="false">
      <c r="A12876" s="34" t="n">
        <v>14261716000157</v>
      </c>
      <c r="B12876" s="34" t="s">
        <v>24626</v>
      </c>
      <c r="C12876" s="34" t="s">
        <v>117</v>
      </c>
      <c r="E12876" s="30" t="s">
        <v>24627</v>
      </c>
      <c r="F12876" s="34" t="n">
        <f aca="false">IFERROR(VLOOKUP($A12876,'319'!$B:$H,7,0),0)</f>
        <v>0</v>
      </c>
      <c r="G12876" s="34" t="n">
        <f aca="false">SUMIFS('12.326ana'!$C:$C,'12.326ana'!$M:$M,redes!A12876)</f>
        <v>0</v>
      </c>
    </row>
    <row r="12877" customFormat="false" ht="14.4" hidden="true" customHeight="false" outlineLevel="0" collapsed="false">
      <c r="A12877" s="34" t="n">
        <v>14262021000190</v>
      </c>
      <c r="B12877" s="34" t="s">
        <v>24628</v>
      </c>
      <c r="C12877" s="34" t="s">
        <v>77</v>
      </c>
      <c r="E12877" s="30" t="s">
        <v>23907</v>
      </c>
      <c r="F12877" s="34" t="n">
        <f aca="false">IFERROR(VLOOKUP($A12877,'319'!$B:$H,7,0),0)</f>
        <v>0</v>
      </c>
      <c r="G12877" s="34" t="n">
        <f aca="false">SUMIFS('12.326ana'!$C:$C,'12.326ana'!$M:$M,redes!A12877)</f>
        <v>0</v>
      </c>
    </row>
    <row r="12878" customFormat="false" ht="14.4" hidden="true" customHeight="false" outlineLevel="0" collapsed="false">
      <c r="A12878" s="34" t="n">
        <v>14262645000107</v>
      </c>
      <c r="B12878" s="34" t="s">
        <v>24629</v>
      </c>
      <c r="C12878" s="34" t="s">
        <v>129</v>
      </c>
      <c r="E12878" s="30" t="s">
        <v>24630</v>
      </c>
      <c r="F12878" s="34" t="n">
        <f aca="false">IFERROR(VLOOKUP($A12878,'319'!$B:$H,7,0),0)</f>
        <v>0</v>
      </c>
      <c r="G12878" s="34" t="n">
        <f aca="false">SUMIFS('12.326ana'!$C:$C,'12.326ana'!$M:$M,redes!A12878)</f>
        <v>0</v>
      </c>
    </row>
    <row r="12879" customFormat="false" ht="14.4" hidden="true" customHeight="false" outlineLevel="0" collapsed="false">
      <c r="A12879" s="34" t="n">
        <v>14268584000195</v>
      </c>
      <c r="B12879" s="34" t="s">
        <v>24631</v>
      </c>
      <c r="C12879" s="34" t="s">
        <v>77</v>
      </c>
      <c r="E12879" s="30" t="s">
        <v>24632</v>
      </c>
      <c r="F12879" s="34" t="n">
        <f aca="false">IFERROR(VLOOKUP($A12879,'319'!$B:$H,7,0),0)</f>
        <v>0</v>
      </c>
      <c r="G12879" s="34" t="n">
        <f aca="false">SUMIFS('12.326ana'!$C:$C,'12.326ana'!$M:$M,redes!A12879)</f>
        <v>0</v>
      </c>
    </row>
    <row r="12880" customFormat="false" ht="14.4" hidden="true" customHeight="false" outlineLevel="0" collapsed="false">
      <c r="A12880" s="34" t="n">
        <v>14269834000101</v>
      </c>
      <c r="B12880" s="34" t="s">
        <v>24633</v>
      </c>
      <c r="C12880" s="34" t="s">
        <v>77</v>
      </c>
      <c r="E12880" s="30" t="s">
        <v>24634</v>
      </c>
      <c r="F12880" s="34" t="n">
        <f aca="false">IFERROR(VLOOKUP($A12880,'319'!$B:$H,7,0),0)</f>
        <v>0</v>
      </c>
      <c r="G12880" s="34" t="n">
        <f aca="false">SUMIFS('12.326ana'!$C:$C,'12.326ana'!$M:$M,redes!A12880)</f>
        <v>0</v>
      </c>
    </row>
    <row r="12881" customFormat="false" ht="14.4" hidden="true" customHeight="false" outlineLevel="0" collapsed="false">
      <c r="A12881" s="34" t="n">
        <v>14270073000108</v>
      </c>
      <c r="B12881" s="34" t="s">
        <v>24635</v>
      </c>
      <c r="C12881" s="34" t="s">
        <v>594</v>
      </c>
      <c r="E12881" s="30" t="s">
        <v>24636</v>
      </c>
      <c r="F12881" s="34" t="n">
        <f aca="false">IFERROR(VLOOKUP($A12881,'319'!$B:$H,7,0),0)</f>
        <v>0</v>
      </c>
      <c r="G12881" s="34" t="n">
        <f aca="false">SUMIFS('12.326ana'!$C:$C,'12.326ana'!$M:$M,redes!A12881)</f>
        <v>0</v>
      </c>
    </row>
    <row r="12882" customFormat="false" ht="14.4" hidden="true" customHeight="false" outlineLevel="0" collapsed="false">
      <c r="A12882" s="34" t="n">
        <v>14276882000127</v>
      </c>
      <c r="B12882" s="34" t="s">
        <v>24637</v>
      </c>
      <c r="C12882" s="34" t="s">
        <v>117</v>
      </c>
      <c r="E12882" s="30" t="s">
        <v>24638</v>
      </c>
      <c r="F12882" s="34" t="n">
        <f aca="false">IFERROR(VLOOKUP($A12882,'319'!$B:$H,7,0),0)</f>
        <v>0</v>
      </c>
      <c r="G12882" s="34" t="n">
        <f aca="false">SUMIFS('12.326ana'!$C:$C,'12.326ana'!$M:$M,redes!A12882)</f>
        <v>0</v>
      </c>
    </row>
    <row r="12883" customFormat="false" ht="14.4" hidden="true" customHeight="false" outlineLevel="0" collapsed="false">
      <c r="A12883" s="34" t="n">
        <v>14284225000121</v>
      </c>
      <c r="B12883" s="34" t="s">
        <v>720</v>
      </c>
      <c r="C12883" s="34" t="s">
        <v>721</v>
      </c>
      <c r="E12883" s="30" t="s">
        <v>10574</v>
      </c>
      <c r="F12883" s="34" t="n">
        <f aca="false">IFERROR(VLOOKUP($A12883,'319'!$B:$H,7,0),0)</f>
        <v>5730.44</v>
      </c>
      <c r="G12883" s="34" t="n">
        <f aca="false">SUMIFS('12.326ana'!$C:$C,'12.326ana'!$M:$M,redes!A12883)</f>
        <v>0</v>
      </c>
    </row>
    <row r="12884" customFormat="false" ht="14.4" hidden="true" customHeight="false" outlineLevel="0" collapsed="false">
      <c r="A12884" s="34" t="n">
        <v>14285021000105</v>
      </c>
      <c r="B12884" s="34" t="s">
        <v>24639</v>
      </c>
      <c r="C12884" s="34" t="s">
        <v>77</v>
      </c>
      <c r="E12884" s="30" t="s">
        <v>24640</v>
      </c>
      <c r="F12884" s="34" t="n">
        <f aca="false">IFERROR(VLOOKUP($A12884,'319'!$B:$H,7,0),0)</f>
        <v>0</v>
      </c>
      <c r="G12884" s="34" t="n">
        <f aca="false">SUMIFS('12.326ana'!$C:$C,'12.326ana'!$M:$M,redes!A12884)</f>
        <v>0</v>
      </c>
    </row>
    <row r="12885" customFormat="false" ht="14.4" hidden="true" customHeight="false" outlineLevel="0" collapsed="false">
      <c r="A12885" s="34" t="n">
        <v>14287333000158</v>
      </c>
      <c r="B12885" s="34" t="s">
        <v>24641</v>
      </c>
      <c r="C12885" s="34" t="s">
        <v>107</v>
      </c>
      <c r="E12885" s="30" t="s">
        <v>13784</v>
      </c>
      <c r="F12885" s="34" t="n">
        <f aca="false">IFERROR(VLOOKUP($A12885,'319'!$B:$H,7,0),0)</f>
        <v>0</v>
      </c>
      <c r="G12885" s="34" t="n">
        <f aca="false">SUMIFS('12.326ana'!$C:$C,'12.326ana'!$M:$M,redes!A12885)</f>
        <v>0</v>
      </c>
    </row>
    <row r="12886" customFormat="false" ht="14.4" hidden="true" customHeight="false" outlineLevel="0" collapsed="false">
      <c r="A12886" s="34" t="n">
        <v>14288142000100</v>
      </c>
      <c r="B12886" s="34" t="s">
        <v>24642</v>
      </c>
      <c r="C12886" s="34" t="s">
        <v>604</v>
      </c>
      <c r="E12886" s="30" t="s">
        <v>24643</v>
      </c>
      <c r="F12886" s="34" t="n">
        <f aca="false">IFERROR(VLOOKUP($A12886,'319'!$B:$H,7,0),0)</f>
        <v>0</v>
      </c>
      <c r="G12886" s="34" t="n">
        <f aca="false">SUMIFS('12.326ana'!$C:$C,'12.326ana'!$M:$M,redes!A12886)</f>
        <v>0</v>
      </c>
    </row>
    <row r="12887" customFormat="false" ht="14.4" hidden="true" customHeight="false" outlineLevel="0" collapsed="false">
      <c r="A12887" s="34" t="n">
        <v>14293517000120</v>
      </c>
      <c r="B12887" s="34" t="s">
        <v>24644</v>
      </c>
      <c r="C12887" s="34" t="s">
        <v>357</v>
      </c>
      <c r="E12887" s="30" t="s">
        <v>24645</v>
      </c>
      <c r="F12887" s="34" t="n">
        <f aca="false">IFERROR(VLOOKUP($A12887,'319'!$B:$H,7,0),0)</f>
        <v>0</v>
      </c>
      <c r="G12887" s="34" t="n">
        <f aca="false">SUMIFS('12.326ana'!$C:$C,'12.326ana'!$M:$M,redes!A12887)</f>
        <v>0</v>
      </c>
    </row>
    <row r="12888" customFormat="false" ht="14.4" hidden="true" customHeight="false" outlineLevel="0" collapsed="false">
      <c r="A12888" s="34" t="n">
        <v>14293714000140</v>
      </c>
      <c r="B12888" s="34" t="s">
        <v>24646</v>
      </c>
      <c r="C12888" s="34" t="s">
        <v>721</v>
      </c>
      <c r="E12888" s="30" t="s">
        <v>3066</v>
      </c>
      <c r="F12888" s="34" t="n">
        <f aca="false">IFERROR(VLOOKUP($A12888,'319'!$B:$H,7,0),0)</f>
        <v>0</v>
      </c>
      <c r="G12888" s="34" t="n">
        <f aca="false">SUMIFS('12.326ana'!$C:$C,'12.326ana'!$M:$M,redes!A12888)</f>
        <v>0</v>
      </c>
    </row>
    <row r="12889" customFormat="false" ht="14.4" hidden="true" customHeight="false" outlineLevel="0" collapsed="false">
      <c r="A12889" s="34" t="n">
        <v>14301068000115</v>
      </c>
      <c r="B12889" s="34" t="s">
        <v>24647</v>
      </c>
      <c r="C12889" s="34" t="s">
        <v>77</v>
      </c>
      <c r="E12889" s="30" t="s">
        <v>24648</v>
      </c>
      <c r="F12889" s="34" t="n">
        <f aca="false">IFERROR(VLOOKUP($A12889,'319'!$B:$H,7,0),0)</f>
        <v>0</v>
      </c>
      <c r="G12889" s="34" t="n">
        <f aca="false">SUMIFS('12.326ana'!$C:$C,'12.326ana'!$M:$M,redes!A12889)</f>
        <v>0</v>
      </c>
    </row>
    <row r="12890" customFormat="false" ht="14.4" hidden="true" customHeight="false" outlineLevel="0" collapsed="false">
      <c r="A12890" s="34" t="n">
        <v>14305093000177</v>
      </c>
      <c r="B12890" s="34" t="s">
        <v>24649</v>
      </c>
      <c r="C12890" s="34" t="s">
        <v>77</v>
      </c>
      <c r="E12890" s="30" t="s">
        <v>4131</v>
      </c>
      <c r="F12890" s="34" t="n">
        <f aca="false">IFERROR(VLOOKUP($A12890,'319'!$B:$H,7,0),0)</f>
        <v>0</v>
      </c>
      <c r="G12890" s="34" t="n">
        <f aca="false">SUMIFS('12.326ana'!$C:$C,'12.326ana'!$M:$M,redes!A12890)</f>
        <v>0</v>
      </c>
    </row>
    <row r="12891" customFormat="false" ht="14.4" hidden="true" customHeight="false" outlineLevel="0" collapsed="false">
      <c r="A12891" s="34" t="n">
        <v>14309316000174</v>
      </c>
      <c r="B12891" s="34" t="s">
        <v>24650</v>
      </c>
      <c r="C12891" s="34" t="s">
        <v>89</v>
      </c>
      <c r="E12891" s="30" t="s">
        <v>24651</v>
      </c>
      <c r="F12891" s="34" t="n">
        <f aca="false">IFERROR(VLOOKUP($A12891,'319'!$B:$H,7,0),0)</f>
        <v>0</v>
      </c>
      <c r="G12891" s="34" t="n">
        <f aca="false">SUMIFS('12.326ana'!$C:$C,'12.326ana'!$M:$M,redes!A12891)</f>
        <v>0</v>
      </c>
    </row>
    <row r="12892" customFormat="false" ht="14.4" hidden="true" customHeight="false" outlineLevel="0" collapsed="false">
      <c r="A12892" s="34" t="n">
        <v>14314754000120</v>
      </c>
      <c r="B12892" s="34" t="s">
        <v>24652</v>
      </c>
      <c r="C12892" s="34" t="s">
        <v>77</v>
      </c>
      <c r="E12892" s="30" t="s">
        <v>6967</v>
      </c>
      <c r="F12892" s="34" t="n">
        <f aca="false">IFERROR(VLOOKUP($A12892,'319'!$B:$H,7,0),0)</f>
        <v>1272.27</v>
      </c>
      <c r="G12892" s="34" t="n">
        <f aca="false">SUMIFS('12.326ana'!$C:$C,'12.326ana'!$M:$M,redes!A12892)</f>
        <v>0</v>
      </c>
    </row>
    <row r="12893" customFormat="false" ht="14.4" hidden="true" customHeight="false" outlineLevel="0" collapsed="false">
      <c r="A12893" s="34" t="n">
        <v>14320860000117</v>
      </c>
      <c r="B12893" s="34" t="s">
        <v>24653</v>
      </c>
      <c r="C12893" s="34" t="s">
        <v>342</v>
      </c>
      <c r="E12893" s="30" t="s">
        <v>24654</v>
      </c>
      <c r="F12893" s="34" t="n">
        <f aca="false">IFERROR(VLOOKUP($A12893,'319'!$B:$H,7,0),0)</f>
        <v>0</v>
      </c>
      <c r="G12893" s="34" t="n">
        <f aca="false">SUMIFS('12.326ana'!$C:$C,'12.326ana'!$M:$M,redes!A12893)</f>
        <v>0</v>
      </c>
    </row>
    <row r="12894" customFormat="false" ht="14.4" hidden="true" customHeight="false" outlineLevel="0" collapsed="false">
      <c r="A12894" s="34" t="n">
        <v>14324344000160</v>
      </c>
      <c r="B12894" s="34" t="s">
        <v>14089</v>
      </c>
      <c r="C12894" s="34" t="s">
        <v>309</v>
      </c>
      <c r="E12894" s="30" t="s">
        <v>24655</v>
      </c>
      <c r="F12894" s="34" t="n">
        <f aca="false">IFERROR(VLOOKUP($A12894,'319'!$B:$H,7,0),0)</f>
        <v>0</v>
      </c>
      <c r="G12894" s="34" t="n">
        <f aca="false">SUMIFS('12.326ana'!$C:$C,'12.326ana'!$M:$M,redes!A12894)</f>
        <v>0</v>
      </c>
    </row>
    <row r="12895" customFormat="false" ht="14.4" hidden="true" customHeight="false" outlineLevel="0" collapsed="false">
      <c r="A12895" s="34" t="n">
        <v>14326943000113</v>
      </c>
      <c r="B12895" s="34" t="s">
        <v>24656</v>
      </c>
      <c r="C12895" s="34" t="s">
        <v>192</v>
      </c>
      <c r="D12895" s="34" t="s">
        <v>24657</v>
      </c>
      <c r="E12895" s="30" t="s">
        <v>24658</v>
      </c>
      <c r="F12895" s="34" t="n">
        <f aca="false">IFERROR(VLOOKUP($A12895,'319'!$B:$H,7,0),0)</f>
        <v>0</v>
      </c>
      <c r="G12895" s="34" t="n">
        <f aca="false">SUMIFS('12.326ana'!$C:$C,'12.326ana'!$M:$M,redes!A12895)</f>
        <v>0</v>
      </c>
    </row>
    <row r="12896" customFormat="false" ht="14.4" hidden="true" customHeight="false" outlineLevel="0" collapsed="false">
      <c r="A12896" s="34" t="n">
        <v>14326943000202</v>
      </c>
      <c r="B12896" s="34" t="s">
        <v>24656</v>
      </c>
      <c r="C12896" s="34" t="s">
        <v>192</v>
      </c>
      <c r="D12896" s="34" t="s">
        <v>24657</v>
      </c>
      <c r="E12896" s="30" t="s">
        <v>24658</v>
      </c>
      <c r="F12896" s="34" t="n">
        <f aca="false">IFERROR(VLOOKUP($A12896,'319'!$B:$H,7,0),0)</f>
        <v>0</v>
      </c>
      <c r="G12896" s="34" t="n">
        <f aca="false">SUMIFS('12.326ana'!$C:$C,'12.326ana'!$M:$M,redes!A12896)</f>
        <v>0</v>
      </c>
    </row>
    <row r="12897" customFormat="false" ht="14.4" hidden="true" customHeight="false" outlineLevel="0" collapsed="false">
      <c r="A12897" s="34" t="n">
        <v>14326943000385</v>
      </c>
      <c r="B12897" s="34" t="s">
        <v>24656</v>
      </c>
      <c r="C12897" s="34" t="s">
        <v>197</v>
      </c>
      <c r="D12897" s="34" t="s">
        <v>24657</v>
      </c>
      <c r="E12897" s="30" t="s">
        <v>24658</v>
      </c>
      <c r="F12897" s="34" t="n">
        <f aca="false">IFERROR(VLOOKUP($A12897,'319'!$B:$H,7,0),0)</f>
        <v>0</v>
      </c>
      <c r="G12897" s="34" t="n">
        <f aca="false">SUMIFS('12.326ana'!$C:$C,'12.326ana'!$M:$M,redes!A12897)</f>
        <v>0</v>
      </c>
    </row>
    <row r="12898" customFormat="false" ht="14.4" hidden="true" customHeight="false" outlineLevel="0" collapsed="false">
      <c r="A12898" s="34" t="n">
        <v>14328342000140</v>
      </c>
      <c r="B12898" s="34" t="s">
        <v>24659</v>
      </c>
      <c r="C12898" s="34" t="s">
        <v>77</v>
      </c>
      <c r="E12898" s="30" t="s">
        <v>4154</v>
      </c>
      <c r="F12898" s="34" t="n">
        <f aca="false">IFERROR(VLOOKUP($A12898,'319'!$B:$H,7,0),0)</f>
        <v>0</v>
      </c>
      <c r="G12898" s="34" t="n">
        <f aca="false">SUMIFS('12.326ana'!$C:$C,'12.326ana'!$M:$M,redes!A12898)</f>
        <v>0</v>
      </c>
    </row>
    <row r="12899" customFormat="false" ht="14.4" hidden="true" customHeight="false" outlineLevel="0" collapsed="false">
      <c r="A12899" s="34" t="n">
        <v>14342819000141</v>
      </c>
      <c r="B12899" s="34" t="s">
        <v>24660</v>
      </c>
      <c r="C12899" s="34" t="s">
        <v>89</v>
      </c>
      <c r="E12899" s="30" t="s">
        <v>3683</v>
      </c>
      <c r="F12899" s="34" t="n">
        <f aca="false">IFERROR(VLOOKUP($A12899,'319'!$B:$H,7,0),0)</f>
        <v>0</v>
      </c>
      <c r="G12899" s="34" t="n">
        <f aca="false">SUMIFS('12.326ana'!$C:$C,'12.326ana'!$M:$M,redes!A12899)</f>
        <v>0</v>
      </c>
    </row>
    <row r="12900" customFormat="false" ht="14.4" hidden="true" customHeight="false" outlineLevel="0" collapsed="false">
      <c r="A12900" s="34" t="n">
        <v>14354216000160</v>
      </c>
      <c r="B12900" s="34" t="s">
        <v>24661</v>
      </c>
      <c r="C12900" s="34" t="s">
        <v>448</v>
      </c>
      <c r="E12900" s="30" t="s">
        <v>24662</v>
      </c>
      <c r="F12900" s="34" t="n">
        <f aca="false">IFERROR(VLOOKUP($A12900,'319'!$B:$H,7,0),0)</f>
        <v>0</v>
      </c>
      <c r="G12900" s="34" t="n">
        <f aca="false">SUMIFS('12.326ana'!$C:$C,'12.326ana'!$M:$M,redes!A12900)</f>
        <v>0</v>
      </c>
    </row>
    <row r="12901" customFormat="false" ht="14.4" hidden="true" customHeight="false" outlineLevel="0" collapsed="false">
      <c r="A12901" s="34" t="n">
        <v>14362338000106</v>
      </c>
      <c r="B12901" s="34" t="s">
        <v>24663</v>
      </c>
      <c r="C12901" s="34" t="s">
        <v>77</v>
      </c>
      <c r="E12901" s="30" t="s">
        <v>24664</v>
      </c>
      <c r="F12901" s="34" t="n">
        <f aca="false">IFERROR(VLOOKUP($A12901,'319'!$B:$H,7,0),0)</f>
        <v>0</v>
      </c>
      <c r="G12901" s="34" t="n">
        <f aca="false">SUMIFS('12.326ana'!$C:$C,'12.326ana'!$M:$M,redes!A12901)</f>
        <v>0</v>
      </c>
    </row>
    <row r="12902" customFormat="false" ht="14.4" hidden="true" customHeight="false" outlineLevel="0" collapsed="false">
      <c r="A12902" s="34" t="n">
        <v>14362652000180</v>
      </c>
      <c r="B12902" s="34" t="s">
        <v>24665</v>
      </c>
      <c r="C12902" s="34" t="s">
        <v>594</v>
      </c>
      <c r="E12902" s="30" t="s">
        <v>24666</v>
      </c>
      <c r="F12902" s="34" t="n">
        <f aca="false">IFERROR(VLOOKUP($A12902,'319'!$B:$H,7,0),0)</f>
        <v>0</v>
      </c>
      <c r="G12902" s="34" t="n">
        <f aca="false">SUMIFS('12.326ana'!$C:$C,'12.326ana'!$M:$M,redes!A12902)</f>
        <v>0</v>
      </c>
    </row>
    <row r="12903" customFormat="false" ht="14.4" hidden="true" customHeight="false" outlineLevel="0" collapsed="false">
      <c r="A12903" s="34" t="n">
        <v>14366201000111</v>
      </c>
      <c r="B12903" s="34" t="s">
        <v>24667</v>
      </c>
      <c r="C12903" s="34" t="s">
        <v>77</v>
      </c>
      <c r="E12903" s="30" t="s">
        <v>24668</v>
      </c>
      <c r="F12903" s="34" t="n">
        <f aca="false">IFERROR(VLOOKUP($A12903,'319'!$B:$H,7,0),0)</f>
        <v>0</v>
      </c>
      <c r="G12903" s="34" t="n">
        <f aca="false">SUMIFS('12.326ana'!$C:$C,'12.326ana'!$M:$M,redes!A12903)</f>
        <v>0</v>
      </c>
    </row>
    <row r="12904" customFormat="false" ht="14.4" hidden="true" customHeight="false" outlineLevel="0" collapsed="false">
      <c r="A12904" s="34" t="n">
        <v>14369830000103</v>
      </c>
      <c r="B12904" s="34" t="s">
        <v>24669</v>
      </c>
      <c r="C12904" s="34" t="s">
        <v>77</v>
      </c>
      <c r="E12904" s="30" t="s">
        <v>24670</v>
      </c>
      <c r="F12904" s="34" t="n">
        <f aca="false">IFERROR(VLOOKUP($A12904,'319'!$B:$H,7,0),0)</f>
        <v>0</v>
      </c>
      <c r="G12904" s="34" t="n">
        <f aca="false">SUMIFS('12.326ana'!$C:$C,'12.326ana'!$M:$M,redes!A12904)</f>
        <v>0</v>
      </c>
    </row>
    <row r="12905" customFormat="false" ht="14.4" hidden="true" customHeight="false" outlineLevel="0" collapsed="false">
      <c r="A12905" s="34" t="n">
        <v>14371398000187</v>
      </c>
      <c r="B12905" s="34" t="s">
        <v>24671</v>
      </c>
      <c r="C12905" s="34" t="s">
        <v>77</v>
      </c>
      <c r="E12905" s="30" t="s">
        <v>24672</v>
      </c>
      <c r="F12905" s="34" t="n">
        <f aca="false">IFERROR(VLOOKUP($A12905,'319'!$B:$H,7,0),0)</f>
        <v>0</v>
      </c>
      <c r="G12905" s="34" t="n">
        <f aca="false">SUMIFS('12.326ana'!$C:$C,'12.326ana'!$M:$M,redes!A12905)</f>
        <v>0</v>
      </c>
    </row>
    <row r="12906" customFormat="false" ht="14.4" hidden="true" customHeight="false" outlineLevel="0" collapsed="false">
      <c r="A12906" s="34" t="n">
        <v>14371412000142</v>
      </c>
      <c r="B12906" s="34" t="s">
        <v>24673</v>
      </c>
      <c r="C12906" s="34" t="s">
        <v>77</v>
      </c>
      <c r="E12906" s="30" t="s">
        <v>24674</v>
      </c>
      <c r="F12906" s="34" t="n">
        <f aca="false">IFERROR(VLOOKUP($A12906,'319'!$B:$H,7,0),0)</f>
        <v>0</v>
      </c>
      <c r="G12906" s="34" t="n">
        <f aca="false">SUMIFS('12.326ana'!$C:$C,'12.326ana'!$M:$M,redes!A12906)</f>
        <v>0</v>
      </c>
    </row>
    <row r="12907" customFormat="false" ht="14.4" hidden="true" customHeight="false" outlineLevel="0" collapsed="false">
      <c r="A12907" s="34" t="n">
        <v>14374873000179</v>
      </c>
      <c r="B12907" s="34" t="s">
        <v>24675</v>
      </c>
      <c r="C12907" s="34" t="s">
        <v>713</v>
      </c>
      <c r="E12907" s="30" t="s">
        <v>24676</v>
      </c>
      <c r="F12907" s="34" t="n">
        <f aca="false">IFERROR(VLOOKUP($A12907,'319'!$B:$H,7,0),0)</f>
        <v>0</v>
      </c>
      <c r="G12907" s="34" t="n">
        <f aca="false">SUMIFS('12.326ana'!$C:$C,'12.326ana'!$M:$M,redes!A12907)</f>
        <v>0</v>
      </c>
    </row>
    <row r="12908" customFormat="false" ht="14.4" hidden="true" customHeight="false" outlineLevel="0" collapsed="false">
      <c r="A12908" s="34" t="n">
        <v>14381401000143</v>
      </c>
      <c r="B12908" s="34" t="s">
        <v>24677</v>
      </c>
      <c r="C12908" s="34" t="s">
        <v>342</v>
      </c>
      <c r="E12908" s="30" t="s">
        <v>24678</v>
      </c>
      <c r="F12908" s="34" t="n">
        <f aca="false">IFERROR(VLOOKUP($A12908,'319'!$B:$H,7,0),0)</f>
        <v>0</v>
      </c>
      <c r="G12908" s="34" t="n">
        <f aca="false">SUMIFS('12.326ana'!$C:$C,'12.326ana'!$M:$M,redes!A12908)</f>
        <v>0</v>
      </c>
    </row>
    <row r="12909" customFormat="false" ht="14.4" hidden="true" customHeight="false" outlineLevel="0" collapsed="false">
      <c r="A12909" s="34" t="n">
        <v>14384155000183</v>
      </c>
      <c r="B12909" s="34" t="s">
        <v>24679</v>
      </c>
      <c r="C12909" s="34" t="s">
        <v>213</v>
      </c>
      <c r="E12909" s="30" t="s">
        <v>24680</v>
      </c>
      <c r="F12909" s="34" t="n">
        <f aca="false">IFERROR(VLOOKUP($A12909,'319'!$B:$H,7,0),0)</f>
        <v>0</v>
      </c>
      <c r="G12909" s="34" t="n">
        <f aca="false">SUMIFS('12.326ana'!$C:$C,'12.326ana'!$M:$M,redes!A12909)</f>
        <v>0</v>
      </c>
    </row>
    <row r="12910" customFormat="false" ht="14.4" hidden="true" customHeight="false" outlineLevel="0" collapsed="false">
      <c r="A12910" s="34" t="n">
        <v>14411826000158</v>
      </c>
      <c r="B12910" s="34" t="s">
        <v>24681</v>
      </c>
      <c r="C12910" s="34" t="s">
        <v>77</v>
      </c>
      <c r="E12910" s="30" t="s">
        <v>3335</v>
      </c>
      <c r="F12910" s="34" t="n">
        <f aca="false">IFERROR(VLOOKUP($A12910,'319'!$B:$H,7,0),0)</f>
        <v>0</v>
      </c>
      <c r="G12910" s="34" t="n">
        <f aca="false">SUMIFS('12.326ana'!$C:$C,'12.326ana'!$M:$M,redes!A12910)</f>
        <v>0</v>
      </c>
    </row>
    <row r="12911" customFormat="false" ht="14.4" hidden="true" customHeight="false" outlineLevel="0" collapsed="false">
      <c r="A12911" s="34" t="n">
        <v>14412683000107</v>
      </c>
      <c r="B12911" s="34" t="s">
        <v>24682</v>
      </c>
      <c r="C12911" s="34" t="s">
        <v>7250</v>
      </c>
      <c r="E12911" s="30" t="s">
        <v>24683</v>
      </c>
      <c r="F12911" s="34" t="n">
        <f aca="false">IFERROR(VLOOKUP($A12911,'319'!$B:$H,7,0),0)</f>
        <v>250.33</v>
      </c>
      <c r="G12911" s="34" t="n">
        <f aca="false">SUMIFS('12.326ana'!$C:$C,'12.326ana'!$M:$M,redes!A12911)</f>
        <v>0</v>
      </c>
    </row>
    <row r="12912" customFormat="false" ht="14.4" hidden="true" customHeight="false" outlineLevel="0" collapsed="false">
      <c r="A12912" s="34" t="n">
        <v>14421677000108</v>
      </c>
      <c r="B12912" s="34" t="s">
        <v>24684</v>
      </c>
      <c r="C12912" s="34" t="s">
        <v>107</v>
      </c>
      <c r="E12912" s="30" t="s">
        <v>24685</v>
      </c>
      <c r="F12912" s="34" t="n">
        <f aca="false">IFERROR(VLOOKUP($A12912,'319'!$B:$H,7,0),0)</f>
        <v>0</v>
      </c>
      <c r="G12912" s="34" t="n">
        <f aca="false">SUMIFS('12.326ana'!$C:$C,'12.326ana'!$M:$M,redes!A12912)</f>
        <v>0</v>
      </c>
    </row>
    <row r="12913" customFormat="false" ht="14.4" hidden="true" customHeight="false" outlineLevel="0" collapsed="false">
      <c r="A12913" s="34" t="n">
        <v>14461286000117</v>
      </c>
      <c r="B12913" s="34" t="s">
        <v>24686</v>
      </c>
      <c r="C12913" s="34" t="s">
        <v>77</v>
      </c>
      <c r="E12913" s="30" t="s">
        <v>24687</v>
      </c>
      <c r="F12913" s="34" t="n">
        <f aca="false">IFERROR(VLOOKUP($A12913,'319'!$B:$H,7,0),0)</f>
        <v>0</v>
      </c>
      <c r="G12913" s="34" t="n">
        <f aca="false">SUMIFS('12.326ana'!$C:$C,'12.326ana'!$M:$M,redes!A12913)</f>
        <v>0</v>
      </c>
    </row>
    <row r="12914" customFormat="false" ht="14.4" hidden="true" customHeight="false" outlineLevel="0" collapsed="false">
      <c r="A12914" s="34" t="n">
        <v>14467502000131</v>
      </c>
      <c r="B12914" s="34" t="s">
        <v>24688</v>
      </c>
      <c r="C12914" s="34" t="s">
        <v>117</v>
      </c>
      <c r="E12914" s="30" t="s">
        <v>24689</v>
      </c>
      <c r="F12914" s="34" t="n">
        <f aca="false">IFERROR(VLOOKUP($A12914,'319'!$B:$H,7,0),0)</f>
        <v>0</v>
      </c>
      <c r="G12914" s="34" t="n">
        <f aca="false">SUMIFS('12.326ana'!$C:$C,'12.326ana'!$M:$M,redes!A12914)</f>
        <v>0</v>
      </c>
    </row>
    <row r="12915" customFormat="false" ht="14.4" hidden="true" customHeight="false" outlineLevel="0" collapsed="false">
      <c r="A12915" s="34" t="n">
        <v>14469271000103</v>
      </c>
      <c r="B12915" s="34" t="s">
        <v>24690</v>
      </c>
      <c r="C12915" s="34" t="s">
        <v>139</v>
      </c>
      <c r="E12915" s="30" t="s">
        <v>11474</v>
      </c>
      <c r="F12915" s="34" t="n">
        <f aca="false">IFERROR(VLOOKUP($A12915,'319'!$B:$H,7,0),0)</f>
        <v>0</v>
      </c>
      <c r="G12915" s="34" t="n">
        <f aca="false">SUMIFS('12.326ana'!$C:$C,'12.326ana'!$M:$M,redes!A12915)</f>
        <v>0</v>
      </c>
    </row>
    <row r="12916" customFormat="false" ht="14.4" hidden="true" customHeight="false" outlineLevel="0" collapsed="false">
      <c r="A12916" s="34" t="n">
        <v>14470771000157</v>
      </c>
      <c r="B12916" s="34" t="s">
        <v>24691</v>
      </c>
      <c r="C12916" s="34" t="s">
        <v>139</v>
      </c>
      <c r="E12916" s="30" t="s">
        <v>24692</v>
      </c>
      <c r="F12916" s="34" t="n">
        <f aca="false">IFERROR(VLOOKUP($A12916,'319'!$B:$H,7,0),0)</f>
        <v>0</v>
      </c>
      <c r="G12916" s="34" t="n">
        <f aca="false">SUMIFS('12.326ana'!$C:$C,'12.326ana'!$M:$M,redes!A12916)</f>
        <v>0</v>
      </c>
    </row>
    <row r="12917" customFormat="false" ht="14.4" hidden="true" customHeight="false" outlineLevel="0" collapsed="false">
      <c r="A12917" s="34" t="n">
        <v>14474031000199</v>
      </c>
      <c r="B12917" s="34" t="s">
        <v>1180</v>
      </c>
      <c r="C12917" s="34" t="s">
        <v>721</v>
      </c>
      <c r="E12917" s="30" t="s">
        <v>24693</v>
      </c>
      <c r="F12917" s="34" t="n">
        <f aca="false">IFERROR(VLOOKUP($A12917,'319'!$B:$H,7,0),0)</f>
        <v>360.46</v>
      </c>
      <c r="G12917" s="34" t="n">
        <f aca="false">SUMIFS('12.326ana'!$C:$C,'12.326ana'!$M:$M,redes!A12917)</f>
        <v>0</v>
      </c>
    </row>
    <row r="12918" customFormat="false" ht="14.4" hidden="true" customHeight="false" outlineLevel="0" collapsed="false">
      <c r="A12918" s="34" t="n">
        <v>14478833000177</v>
      </c>
      <c r="B12918" s="34" t="s">
        <v>24694</v>
      </c>
      <c r="C12918" s="34" t="s">
        <v>77</v>
      </c>
      <c r="E12918" s="30" t="s">
        <v>24695</v>
      </c>
      <c r="F12918" s="34" t="n">
        <f aca="false">IFERROR(VLOOKUP($A12918,'319'!$B:$H,7,0),0)</f>
        <v>0</v>
      </c>
      <c r="G12918" s="34" t="n">
        <f aca="false">SUMIFS('12.326ana'!$C:$C,'12.326ana'!$M:$M,redes!A12918)</f>
        <v>0</v>
      </c>
    </row>
    <row r="12919" customFormat="false" ht="14.4" hidden="true" customHeight="false" outlineLevel="0" collapsed="false">
      <c r="A12919" s="34" t="n">
        <v>14481418000172</v>
      </c>
      <c r="B12919" s="34" t="s">
        <v>24696</v>
      </c>
      <c r="C12919" s="34" t="s">
        <v>77</v>
      </c>
      <c r="E12919" s="30" t="s">
        <v>24697</v>
      </c>
      <c r="F12919" s="34" t="n">
        <f aca="false">IFERROR(VLOOKUP($A12919,'319'!$B:$H,7,0),0)</f>
        <v>0</v>
      </c>
      <c r="G12919" s="34" t="n">
        <f aca="false">SUMIFS('12.326ana'!$C:$C,'12.326ana'!$M:$M,redes!A12919)</f>
        <v>0</v>
      </c>
    </row>
    <row r="12920" customFormat="false" ht="14.4" hidden="true" customHeight="false" outlineLevel="0" collapsed="false">
      <c r="A12920" s="34" t="n">
        <v>14485527000168</v>
      </c>
      <c r="B12920" s="34" t="s">
        <v>24698</v>
      </c>
      <c r="C12920" s="34" t="s">
        <v>781</v>
      </c>
      <c r="E12920" s="30" t="s">
        <v>24699</v>
      </c>
      <c r="F12920" s="34" t="n">
        <f aca="false">IFERROR(VLOOKUP($A12920,'319'!$B:$H,7,0),0)</f>
        <v>0</v>
      </c>
      <c r="G12920" s="34" t="n">
        <f aca="false">SUMIFS('12.326ana'!$C:$C,'12.326ana'!$M:$M,redes!A12920)</f>
        <v>0</v>
      </c>
    </row>
    <row r="12921" customFormat="false" ht="14.4" hidden="true" customHeight="false" outlineLevel="0" collapsed="false">
      <c r="A12921" s="34" t="n">
        <v>14498529000191</v>
      </c>
      <c r="B12921" s="34" t="s">
        <v>24700</v>
      </c>
      <c r="C12921" s="34" t="s">
        <v>594</v>
      </c>
      <c r="E12921" s="30" t="s">
        <v>24701</v>
      </c>
      <c r="F12921" s="34" t="n">
        <f aca="false">IFERROR(VLOOKUP($A12921,'319'!$B:$H,7,0),0)</f>
        <v>0</v>
      </c>
      <c r="G12921" s="34" t="n">
        <f aca="false">SUMIFS('12.326ana'!$C:$C,'12.326ana'!$M:$M,redes!A12921)</f>
        <v>0</v>
      </c>
    </row>
    <row r="12922" customFormat="false" ht="14.4" hidden="true" customHeight="false" outlineLevel="0" collapsed="false">
      <c r="A12922" s="34" t="n">
        <v>14511974000144</v>
      </c>
      <c r="B12922" s="34" t="s">
        <v>24702</v>
      </c>
      <c r="C12922" s="34" t="s">
        <v>77</v>
      </c>
      <c r="E12922" s="30" t="s">
        <v>24703</v>
      </c>
      <c r="F12922" s="34" t="n">
        <f aca="false">IFERROR(VLOOKUP($A12922,'319'!$B:$H,7,0),0)</f>
        <v>0</v>
      </c>
      <c r="G12922" s="34" t="n">
        <f aca="false">SUMIFS('12.326ana'!$C:$C,'12.326ana'!$M:$M,redes!A12922)</f>
        <v>0</v>
      </c>
    </row>
    <row r="12923" customFormat="false" ht="14.4" hidden="true" customHeight="false" outlineLevel="0" collapsed="false">
      <c r="A12923" s="34" t="n">
        <v>14521019000198</v>
      </c>
      <c r="B12923" s="34" t="s">
        <v>24704</v>
      </c>
      <c r="C12923" s="34" t="s">
        <v>565</v>
      </c>
      <c r="E12923" s="30" t="s">
        <v>24705</v>
      </c>
      <c r="F12923" s="34" t="n">
        <f aca="false">IFERROR(VLOOKUP($A12923,'319'!$B:$H,7,0),0)</f>
        <v>0</v>
      </c>
      <c r="G12923" s="34" t="n">
        <f aca="false">SUMIFS('12.326ana'!$C:$C,'12.326ana'!$M:$M,redes!A12923)</f>
        <v>0</v>
      </c>
    </row>
    <row r="12924" customFormat="false" ht="14.4" hidden="true" customHeight="false" outlineLevel="0" collapsed="false">
      <c r="A12924" s="34" t="n">
        <v>14522849000130</v>
      </c>
      <c r="B12924" s="34" t="s">
        <v>24706</v>
      </c>
      <c r="C12924" s="34" t="s">
        <v>737</v>
      </c>
      <c r="E12924" s="30" t="s">
        <v>18289</v>
      </c>
      <c r="F12924" s="34" t="n">
        <f aca="false">IFERROR(VLOOKUP($A12924,'319'!$B:$H,7,0),0)</f>
        <v>0</v>
      </c>
      <c r="G12924" s="34" t="n">
        <f aca="false">SUMIFS('12.326ana'!$C:$C,'12.326ana'!$M:$M,redes!A12924)</f>
        <v>0</v>
      </c>
    </row>
    <row r="12925" customFormat="false" ht="14.4" hidden="true" customHeight="false" outlineLevel="0" collapsed="false">
      <c r="A12925" s="34" t="n">
        <v>14523148000115</v>
      </c>
      <c r="B12925" s="34" t="s">
        <v>24707</v>
      </c>
      <c r="C12925" s="34" t="s">
        <v>764</v>
      </c>
      <c r="E12925" s="30" t="s">
        <v>24708</v>
      </c>
      <c r="F12925" s="34" t="n">
        <f aca="false">IFERROR(VLOOKUP($A12925,'319'!$B:$H,7,0),0)</f>
        <v>0</v>
      </c>
      <c r="G12925" s="34" t="n">
        <f aca="false">SUMIFS('12.326ana'!$C:$C,'12.326ana'!$M:$M,redes!A12925)</f>
        <v>0</v>
      </c>
    </row>
    <row r="12926" customFormat="false" ht="14.4" hidden="true" customHeight="false" outlineLevel="0" collapsed="false">
      <c r="A12926" s="34" t="n">
        <v>14523308000126</v>
      </c>
      <c r="B12926" s="34" t="s">
        <v>24709</v>
      </c>
      <c r="C12926" s="34" t="s">
        <v>77</v>
      </c>
      <c r="E12926" s="30" t="s">
        <v>20672</v>
      </c>
      <c r="F12926" s="34" t="n">
        <f aca="false">IFERROR(VLOOKUP($A12926,'319'!$B:$H,7,0),0)</f>
        <v>0</v>
      </c>
      <c r="G12926" s="34" t="n">
        <f aca="false">SUMIFS('12.326ana'!$C:$C,'12.326ana'!$M:$M,redes!A12926)</f>
        <v>0</v>
      </c>
    </row>
    <row r="12927" customFormat="false" ht="14.4" hidden="true" customHeight="false" outlineLevel="0" collapsed="false">
      <c r="A12927" s="34" t="n">
        <v>14524380000178</v>
      </c>
      <c r="B12927" s="34" t="s">
        <v>24710</v>
      </c>
      <c r="C12927" s="34" t="s">
        <v>89</v>
      </c>
      <c r="E12927" s="30" t="s">
        <v>24711</v>
      </c>
      <c r="F12927" s="34" t="n">
        <f aca="false">IFERROR(VLOOKUP($A12927,'319'!$B:$H,7,0),0)</f>
        <v>0</v>
      </c>
      <c r="G12927" s="34" t="n">
        <f aca="false">SUMIFS('12.326ana'!$C:$C,'12.326ana'!$M:$M,redes!A12927)</f>
        <v>0</v>
      </c>
    </row>
    <row r="12928" customFormat="false" ht="14.4" hidden="true" customHeight="false" outlineLevel="0" collapsed="false">
      <c r="A12928" s="34" t="n">
        <v>14534037000104</v>
      </c>
      <c r="B12928" s="34" t="s">
        <v>24712</v>
      </c>
      <c r="C12928" s="34" t="s">
        <v>405</v>
      </c>
      <c r="E12928" s="30" t="s">
        <v>24713</v>
      </c>
      <c r="F12928" s="34" t="n">
        <f aca="false">IFERROR(VLOOKUP($A12928,'319'!$B:$H,7,0),0)</f>
        <v>0</v>
      </c>
      <c r="G12928" s="34" t="n">
        <f aca="false">SUMIFS('12.326ana'!$C:$C,'12.326ana'!$M:$M,redes!A12928)</f>
        <v>0</v>
      </c>
    </row>
    <row r="12929" customFormat="false" ht="14.4" hidden="true" customHeight="false" outlineLevel="0" collapsed="false">
      <c r="A12929" s="34" t="n">
        <v>14538450000147</v>
      </c>
      <c r="B12929" s="34" t="s">
        <v>24714</v>
      </c>
      <c r="C12929" s="34" t="s">
        <v>89</v>
      </c>
      <c r="E12929" s="30" t="s">
        <v>24715</v>
      </c>
      <c r="F12929" s="34" t="n">
        <f aca="false">IFERROR(VLOOKUP($A12929,'319'!$B:$H,7,0),0)</f>
        <v>0</v>
      </c>
      <c r="G12929" s="34" t="n">
        <f aca="false">SUMIFS('12.326ana'!$C:$C,'12.326ana'!$M:$M,redes!A12929)</f>
        <v>0</v>
      </c>
    </row>
    <row r="12930" customFormat="false" ht="14.4" hidden="true" customHeight="false" outlineLevel="0" collapsed="false">
      <c r="A12930" s="34" t="n">
        <v>14559517000120</v>
      </c>
      <c r="B12930" s="34" t="s">
        <v>18656</v>
      </c>
      <c r="C12930" s="34" t="s">
        <v>463</v>
      </c>
      <c r="E12930" s="30" t="s">
        <v>18656</v>
      </c>
      <c r="F12930" s="34" t="n">
        <f aca="false">IFERROR(VLOOKUP($A12930,'319'!$B:$H,7,0),0)</f>
        <v>0</v>
      </c>
      <c r="G12930" s="34" t="n">
        <f aca="false">SUMIFS('12.326ana'!$C:$C,'12.326ana'!$M:$M,redes!A12930)</f>
        <v>0</v>
      </c>
    </row>
    <row r="12931" customFormat="false" ht="14.4" hidden="true" customHeight="false" outlineLevel="0" collapsed="false">
      <c r="A12931" s="34" t="n">
        <v>14568549000191</v>
      </c>
      <c r="B12931" s="34" t="s">
        <v>24716</v>
      </c>
      <c r="C12931" s="34" t="s">
        <v>89</v>
      </c>
      <c r="E12931" s="30" t="s">
        <v>24717</v>
      </c>
      <c r="F12931" s="34" t="n">
        <f aca="false">IFERROR(VLOOKUP($A12931,'319'!$B:$H,7,0),0)</f>
        <v>0</v>
      </c>
      <c r="G12931" s="34" t="n">
        <f aca="false">SUMIFS('12.326ana'!$C:$C,'12.326ana'!$M:$M,redes!A12931)</f>
        <v>0</v>
      </c>
    </row>
    <row r="12932" customFormat="false" ht="14.4" hidden="true" customHeight="false" outlineLevel="0" collapsed="false">
      <c r="A12932" s="34" t="n">
        <v>14568755000100</v>
      </c>
      <c r="B12932" s="34" t="s">
        <v>24718</v>
      </c>
      <c r="C12932" s="34" t="s">
        <v>77</v>
      </c>
      <c r="E12932" s="30" t="s">
        <v>15043</v>
      </c>
      <c r="F12932" s="34" t="n">
        <f aca="false">IFERROR(VLOOKUP($A12932,'319'!$B:$H,7,0),0)</f>
        <v>0</v>
      </c>
      <c r="G12932" s="34" t="n">
        <f aca="false">SUMIFS('12.326ana'!$C:$C,'12.326ana'!$M:$M,redes!A12932)</f>
        <v>0</v>
      </c>
    </row>
    <row r="12933" customFormat="false" ht="14.4" hidden="true" customHeight="false" outlineLevel="0" collapsed="false">
      <c r="A12933" s="34" t="n">
        <v>14571495000113</v>
      </c>
      <c r="B12933" s="34" t="s">
        <v>24719</v>
      </c>
      <c r="C12933" s="34" t="s">
        <v>631</v>
      </c>
      <c r="E12933" s="30" t="s">
        <v>24719</v>
      </c>
      <c r="F12933" s="34" t="n">
        <f aca="false">IFERROR(VLOOKUP($A12933,'319'!$B:$H,7,0),0)</f>
        <v>0</v>
      </c>
      <c r="G12933" s="34" t="n">
        <f aca="false">SUMIFS('12.326ana'!$C:$C,'12.326ana'!$M:$M,redes!A12933)</f>
        <v>0</v>
      </c>
    </row>
    <row r="12934" customFormat="false" ht="14.4" hidden="true" customHeight="false" outlineLevel="0" collapsed="false">
      <c r="A12934" s="34" t="n">
        <v>14576422000114</v>
      </c>
      <c r="B12934" s="34" t="s">
        <v>10468</v>
      </c>
      <c r="C12934" s="34" t="s">
        <v>89</v>
      </c>
      <c r="E12934" s="30" t="s">
        <v>24720</v>
      </c>
      <c r="F12934" s="34" t="n">
        <f aca="false">IFERROR(VLOOKUP($A12934,'319'!$B:$H,7,0),0)</f>
        <v>0</v>
      </c>
      <c r="G12934" s="34" t="n">
        <f aca="false">SUMIFS('12.326ana'!$C:$C,'12.326ana'!$M:$M,redes!A12934)</f>
        <v>0</v>
      </c>
    </row>
    <row r="12935" customFormat="false" ht="14.4" hidden="true" customHeight="false" outlineLevel="0" collapsed="false">
      <c r="A12935" s="34" t="n">
        <v>14578213000100</v>
      </c>
      <c r="B12935" s="34" t="s">
        <v>24721</v>
      </c>
      <c r="C12935" s="34" t="s">
        <v>107</v>
      </c>
      <c r="E12935" s="30" t="s">
        <v>24722</v>
      </c>
      <c r="F12935" s="34" t="n">
        <f aca="false">IFERROR(VLOOKUP($A12935,'319'!$B:$H,7,0),0)</f>
        <v>0</v>
      </c>
      <c r="G12935" s="34" t="n">
        <f aca="false">SUMIFS('12.326ana'!$C:$C,'12.326ana'!$M:$M,redes!A12935)</f>
        <v>0</v>
      </c>
    </row>
    <row r="12936" customFormat="false" ht="14.4" hidden="true" customHeight="false" outlineLevel="0" collapsed="false">
      <c r="A12936" s="34" t="n">
        <v>14585936000136</v>
      </c>
      <c r="B12936" s="34" t="s">
        <v>24723</v>
      </c>
      <c r="C12936" s="34" t="s">
        <v>77</v>
      </c>
      <c r="E12936" s="30" t="s">
        <v>4010</v>
      </c>
      <c r="F12936" s="34" t="n">
        <f aca="false">IFERROR(VLOOKUP($A12936,'319'!$B:$H,7,0),0)</f>
        <v>0</v>
      </c>
      <c r="G12936" s="34" t="n">
        <f aca="false">SUMIFS('12.326ana'!$C:$C,'12.326ana'!$M:$M,redes!A12936)</f>
        <v>0</v>
      </c>
    </row>
    <row r="12937" customFormat="false" ht="14.4" hidden="true" customHeight="false" outlineLevel="0" collapsed="false">
      <c r="A12937" s="34" t="n">
        <v>14585936000217</v>
      </c>
      <c r="B12937" s="34" t="s">
        <v>24723</v>
      </c>
      <c r="C12937" s="34" t="s">
        <v>117</v>
      </c>
      <c r="E12937" s="30" t="s">
        <v>4010</v>
      </c>
      <c r="F12937" s="34" t="n">
        <f aca="false">IFERROR(VLOOKUP($A12937,'319'!$B:$H,7,0),0)</f>
        <v>0</v>
      </c>
      <c r="G12937" s="34" t="n">
        <f aca="false">SUMIFS('12.326ana'!$C:$C,'12.326ana'!$M:$M,redes!A12937)</f>
        <v>0</v>
      </c>
    </row>
    <row r="12938" customFormat="false" ht="14.4" hidden="true" customHeight="false" outlineLevel="0" collapsed="false">
      <c r="A12938" s="34" t="n">
        <v>14591238000143</v>
      </c>
      <c r="B12938" s="34" t="s">
        <v>24724</v>
      </c>
      <c r="C12938" s="34" t="s">
        <v>89</v>
      </c>
      <c r="E12938" s="30" t="s">
        <v>24725</v>
      </c>
      <c r="F12938" s="34" t="n">
        <f aca="false">IFERROR(VLOOKUP($A12938,'319'!$B:$H,7,0),0)</f>
        <v>0</v>
      </c>
      <c r="G12938" s="34" t="n">
        <f aca="false">SUMIFS('12.326ana'!$C:$C,'12.326ana'!$M:$M,redes!A12938)</f>
        <v>0</v>
      </c>
    </row>
    <row r="12939" customFormat="false" ht="14.4" hidden="true" customHeight="false" outlineLevel="0" collapsed="false">
      <c r="A12939" s="34" t="n">
        <v>14592633000140</v>
      </c>
      <c r="B12939" s="34" t="s">
        <v>24726</v>
      </c>
      <c r="C12939" s="34" t="s">
        <v>127</v>
      </c>
      <c r="E12939" s="30" t="s">
        <v>24726</v>
      </c>
      <c r="F12939" s="34" t="n">
        <f aca="false">IFERROR(VLOOKUP($A12939,'319'!$B:$H,7,0),0)</f>
        <v>0</v>
      </c>
      <c r="G12939" s="34" t="n">
        <f aca="false">SUMIFS('12.326ana'!$C:$C,'12.326ana'!$M:$M,redes!A12939)</f>
        <v>0</v>
      </c>
    </row>
    <row r="12940" customFormat="false" ht="14.4" hidden="true" customHeight="false" outlineLevel="0" collapsed="false">
      <c r="A12940" s="34" t="n">
        <v>14604237000196</v>
      </c>
      <c r="B12940" s="34" t="s">
        <v>24727</v>
      </c>
      <c r="C12940" s="34" t="s">
        <v>77</v>
      </c>
      <c r="E12940" s="30" t="s">
        <v>24728</v>
      </c>
      <c r="F12940" s="34" t="n">
        <f aca="false">IFERROR(VLOOKUP($A12940,'319'!$B:$H,7,0),0)</f>
        <v>0</v>
      </c>
      <c r="G12940" s="34" t="n">
        <f aca="false">SUMIFS('12.326ana'!$C:$C,'12.326ana'!$M:$M,redes!A12940)</f>
        <v>0</v>
      </c>
    </row>
    <row r="12941" customFormat="false" ht="14.4" hidden="true" customHeight="false" outlineLevel="0" collapsed="false">
      <c r="A12941" s="34" t="n">
        <v>14607467000109</v>
      </c>
      <c r="B12941" s="34" t="s">
        <v>24729</v>
      </c>
      <c r="C12941" s="34" t="s">
        <v>737</v>
      </c>
      <c r="E12941" s="30" t="s">
        <v>12639</v>
      </c>
      <c r="F12941" s="34" t="n">
        <f aca="false">IFERROR(VLOOKUP($A12941,'319'!$B:$H,7,0),0)</f>
        <v>0</v>
      </c>
      <c r="G12941" s="34" t="n">
        <f aca="false">SUMIFS('12.326ana'!$C:$C,'12.326ana'!$M:$M,redes!A12941)</f>
        <v>0</v>
      </c>
    </row>
    <row r="12942" customFormat="false" ht="14.4" hidden="true" customHeight="false" outlineLevel="0" collapsed="false">
      <c r="A12942" s="34" t="n">
        <v>14631842000156</v>
      </c>
      <c r="B12942" s="34" t="s">
        <v>24730</v>
      </c>
      <c r="C12942" s="34" t="s">
        <v>328</v>
      </c>
      <c r="E12942" s="30" t="s">
        <v>7523</v>
      </c>
      <c r="F12942" s="34" t="n">
        <f aca="false">IFERROR(VLOOKUP($A12942,'319'!$B:$H,7,0),0)</f>
        <v>0</v>
      </c>
      <c r="G12942" s="34" t="n">
        <f aca="false">SUMIFS('12.326ana'!$C:$C,'12.326ana'!$M:$M,redes!A12942)</f>
        <v>0</v>
      </c>
    </row>
    <row r="12943" customFormat="false" ht="14.4" hidden="true" customHeight="false" outlineLevel="0" collapsed="false">
      <c r="A12943" s="34" t="n">
        <v>14645150000167</v>
      </c>
      <c r="B12943" s="34" t="s">
        <v>24731</v>
      </c>
      <c r="C12943" s="34" t="s">
        <v>463</v>
      </c>
      <c r="E12943" s="30" t="s">
        <v>24732</v>
      </c>
      <c r="F12943" s="34" t="n">
        <f aca="false">IFERROR(VLOOKUP($A12943,'319'!$B:$H,7,0),0)</f>
        <v>0</v>
      </c>
      <c r="G12943" s="34" t="n">
        <f aca="false">SUMIFS('12.326ana'!$C:$C,'12.326ana'!$M:$M,redes!A12943)</f>
        <v>0</v>
      </c>
    </row>
    <row r="12944" customFormat="false" ht="14.4" hidden="true" customHeight="false" outlineLevel="0" collapsed="false">
      <c r="A12944" s="34" t="n">
        <v>14648090000136</v>
      </c>
      <c r="B12944" s="34" t="s">
        <v>24733</v>
      </c>
      <c r="C12944" s="34" t="s">
        <v>139</v>
      </c>
      <c r="E12944" s="30" t="s">
        <v>24734</v>
      </c>
      <c r="F12944" s="34" t="n">
        <f aca="false">IFERROR(VLOOKUP($A12944,'319'!$B:$H,7,0),0)</f>
        <v>0</v>
      </c>
      <c r="G12944" s="34" t="n">
        <f aca="false">SUMIFS('12.326ana'!$C:$C,'12.326ana'!$M:$M,redes!A12944)</f>
        <v>0</v>
      </c>
    </row>
    <row r="12945" customFormat="false" ht="14.4" hidden="true" customHeight="false" outlineLevel="0" collapsed="false">
      <c r="A12945" s="34" t="n">
        <v>14650484000129</v>
      </c>
      <c r="B12945" s="34" t="s">
        <v>24735</v>
      </c>
      <c r="C12945" s="34" t="s">
        <v>336</v>
      </c>
      <c r="E12945" s="30" t="s">
        <v>24736</v>
      </c>
      <c r="F12945" s="34" t="n">
        <f aca="false">IFERROR(VLOOKUP($A12945,'319'!$B:$H,7,0),0)</f>
        <v>0</v>
      </c>
      <c r="G12945" s="34" t="n">
        <f aca="false">SUMIFS('12.326ana'!$C:$C,'12.326ana'!$M:$M,redes!A12945)</f>
        <v>0</v>
      </c>
    </row>
    <row r="12946" customFormat="false" ht="14.4" hidden="true" customHeight="false" outlineLevel="0" collapsed="false">
      <c r="A12946" s="34" t="n">
        <v>14651516000100</v>
      </c>
      <c r="B12946" s="34" t="s">
        <v>24737</v>
      </c>
      <c r="C12946" s="34" t="s">
        <v>4139</v>
      </c>
      <c r="E12946" s="30" t="s">
        <v>24738</v>
      </c>
      <c r="F12946" s="34" t="n">
        <f aca="false">IFERROR(VLOOKUP($A12946,'319'!$B:$H,7,0),0)</f>
        <v>0</v>
      </c>
      <c r="G12946" s="34" t="n">
        <f aca="false">SUMIFS('12.326ana'!$C:$C,'12.326ana'!$M:$M,redes!A12946)</f>
        <v>0</v>
      </c>
    </row>
    <row r="12947" customFormat="false" ht="14.4" hidden="true" customHeight="false" outlineLevel="0" collapsed="false">
      <c r="A12947" s="34" t="n">
        <v>14655598000161</v>
      </c>
      <c r="B12947" s="34" t="s">
        <v>24739</v>
      </c>
      <c r="C12947" s="34" t="s">
        <v>77</v>
      </c>
      <c r="E12947" s="30" t="s">
        <v>10465</v>
      </c>
      <c r="F12947" s="34" t="n">
        <f aca="false">IFERROR(VLOOKUP($A12947,'319'!$B:$H,7,0),0)</f>
        <v>0</v>
      </c>
      <c r="G12947" s="34" t="n">
        <f aca="false">SUMIFS('12.326ana'!$C:$C,'12.326ana'!$M:$M,redes!A12947)</f>
        <v>0</v>
      </c>
    </row>
    <row r="12948" customFormat="false" ht="14.4" hidden="true" customHeight="false" outlineLevel="0" collapsed="false">
      <c r="A12948" s="34" t="n">
        <v>14658304000155</v>
      </c>
      <c r="B12948" s="34" t="s">
        <v>24740</v>
      </c>
      <c r="C12948" s="34" t="s">
        <v>464</v>
      </c>
      <c r="E12948" s="30" t="s">
        <v>24741</v>
      </c>
      <c r="F12948" s="34" t="n">
        <f aca="false">IFERROR(VLOOKUP($A12948,'319'!$B:$H,7,0),0)</f>
        <v>0</v>
      </c>
      <c r="G12948" s="34" t="n">
        <f aca="false">SUMIFS('12.326ana'!$C:$C,'12.326ana'!$M:$M,redes!A12948)</f>
        <v>0</v>
      </c>
    </row>
    <row r="12949" customFormat="false" ht="14.4" hidden="true" customHeight="false" outlineLevel="0" collapsed="false">
      <c r="A12949" s="34" t="n">
        <v>14664696000165</v>
      </c>
      <c r="B12949" s="34" t="s">
        <v>1039</v>
      </c>
      <c r="C12949" s="34" t="s">
        <v>309</v>
      </c>
      <c r="E12949" s="30" t="s">
        <v>24742</v>
      </c>
      <c r="F12949" s="34" t="n">
        <f aca="false">IFERROR(VLOOKUP($A12949,'319'!$B:$H,7,0),0)</f>
        <v>773.84</v>
      </c>
      <c r="G12949" s="34" t="n">
        <f aca="false">SUMIFS('12.326ana'!$C:$C,'12.326ana'!$M:$M,redes!A12949)</f>
        <v>0</v>
      </c>
    </row>
    <row r="12950" customFormat="false" ht="14.4" hidden="true" customHeight="false" outlineLevel="0" collapsed="false">
      <c r="A12950" s="34" t="n">
        <v>14672317000189</v>
      </c>
      <c r="B12950" s="34" t="s">
        <v>24743</v>
      </c>
      <c r="C12950" s="34" t="s">
        <v>107</v>
      </c>
      <c r="E12950" s="30" t="s">
        <v>2956</v>
      </c>
      <c r="F12950" s="34" t="n">
        <f aca="false">IFERROR(VLOOKUP($A12950,'319'!$B:$H,7,0),0)</f>
        <v>0</v>
      </c>
      <c r="G12950" s="34" t="n">
        <f aca="false">SUMIFS('12.326ana'!$C:$C,'12.326ana'!$M:$M,redes!A12950)</f>
        <v>0</v>
      </c>
    </row>
    <row r="12951" customFormat="false" ht="14.4" hidden="true" customHeight="false" outlineLevel="0" collapsed="false">
      <c r="A12951" s="34" t="n">
        <v>14675879000186</v>
      </c>
      <c r="B12951" s="34" t="s">
        <v>10148</v>
      </c>
      <c r="C12951" s="34" t="s">
        <v>89</v>
      </c>
      <c r="E12951" s="30" t="s">
        <v>10148</v>
      </c>
      <c r="F12951" s="34" t="n">
        <f aca="false">IFERROR(VLOOKUP($A12951,'319'!$B:$H,7,0),0)</f>
        <v>0</v>
      </c>
      <c r="G12951" s="34" t="n">
        <f aca="false">SUMIFS('12.326ana'!$C:$C,'12.326ana'!$M:$M,redes!A12951)</f>
        <v>0</v>
      </c>
    </row>
    <row r="12952" customFormat="false" ht="14.4" hidden="true" customHeight="false" outlineLevel="0" collapsed="false">
      <c r="A12952" s="34" t="n">
        <v>14697537000167</v>
      </c>
      <c r="B12952" s="34" t="s">
        <v>24744</v>
      </c>
      <c r="C12952" s="34" t="s">
        <v>77</v>
      </c>
      <c r="E12952" s="30" t="s">
        <v>24745</v>
      </c>
      <c r="F12952" s="34" t="n">
        <f aca="false">IFERROR(VLOOKUP($A12952,'319'!$B:$H,7,0),0)</f>
        <v>0</v>
      </c>
      <c r="G12952" s="34" t="n">
        <f aca="false">SUMIFS('12.326ana'!$C:$C,'12.326ana'!$M:$M,redes!A12952)</f>
        <v>0</v>
      </c>
    </row>
    <row r="12953" customFormat="false" ht="14.4" hidden="true" customHeight="false" outlineLevel="0" collapsed="false">
      <c r="A12953" s="34" t="n">
        <v>14699346000134</v>
      </c>
      <c r="B12953" s="34" t="s">
        <v>24746</v>
      </c>
      <c r="C12953" s="34" t="s">
        <v>107</v>
      </c>
      <c r="E12953" s="30" t="s">
        <v>24747</v>
      </c>
      <c r="F12953" s="34" t="n">
        <f aca="false">IFERROR(VLOOKUP($A12953,'319'!$B:$H,7,0),0)</f>
        <v>0</v>
      </c>
      <c r="G12953" s="34" t="n">
        <f aca="false">SUMIFS('12.326ana'!$C:$C,'12.326ana'!$M:$M,redes!A12953)</f>
        <v>0</v>
      </c>
    </row>
    <row r="12954" customFormat="false" ht="14.4" hidden="true" customHeight="false" outlineLevel="0" collapsed="false">
      <c r="A12954" s="34" t="n">
        <v>14700945000120</v>
      </c>
      <c r="B12954" s="34" t="s">
        <v>24748</v>
      </c>
      <c r="C12954" s="34" t="s">
        <v>680</v>
      </c>
      <c r="E12954" s="30" t="s">
        <v>24749</v>
      </c>
      <c r="F12954" s="34" t="n">
        <f aca="false">IFERROR(VLOOKUP($A12954,'319'!$B:$H,7,0),0)</f>
        <v>0</v>
      </c>
      <c r="G12954" s="34" t="n">
        <f aca="false">SUMIFS('12.326ana'!$C:$C,'12.326ana'!$M:$M,redes!A12954)</f>
        <v>0</v>
      </c>
    </row>
    <row r="12955" customFormat="false" ht="14.4" hidden="true" customHeight="false" outlineLevel="0" collapsed="false">
      <c r="A12955" s="34" t="n">
        <v>14704170000161</v>
      </c>
      <c r="B12955" s="34" t="s">
        <v>24750</v>
      </c>
      <c r="C12955" s="34" t="s">
        <v>342</v>
      </c>
      <c r="E12955" s="30" t="s">
        <v>24750</v>
      </c>
      <c r="F12955" s="34" t="n">
        <f aca="false">IFERROR(VLOOKUP($A12955,'319'!$B:$H,7,0),0)</f>
        <v>0</v>
      </c>
      <c r="G12955" s="34" t="n">
        <f aca="false">SUMIFS('12.326ana'!$C:$C,'12.326ana'!$M:$M,redes!A12955)</f>
        <v>0</v>
      </c>
    </row>
    <row r="12956" customFormat="false" ht="14.4" hidden="true" customHeight="false" outlineLevel="0" collapsed="false">
      <c r="A12956" s="34" t="n">
        <v>14704550000104</v>
      </c>
      <c r="B12956" s="34" t="s">
        <v>24751</v>
      </c>
      <c r="C12956" s="34" t="s">
        <v>77</v>
      </c>
      <c r="E12956" s="30" t="s">
        <v>24752</v>
      </c>
      <c r="F12956" s="34" t="n">
        <f aca="false">IFERROR(VLOOKUP($A12956,'319'!$B:$H,7,0),0)</f>
        <v>0</v>
      </c>
      <c r="G12956" s="34" t="n">
        <f aca="false">SUMIFS('12.326ana'!$C:$C,'12.326ana'!$M:$M,redes!A12956)</f>
        <v>0</v>
      </c>
    </row>
    <row r="12957" customFormat="false" ht="14.4" hidden="true" customHeight="false" outlineLevel="0" collapsed="false">
      <c r="A12957" s="34" t="n">
        <v>14705143000103</v>
      </c>
      <c r="B12957" s="34" t="s">
        <v>24753</v>
      </c>
      <c r="C12957" s="34" t="s">
        <v>107</v>
      </c>
      <c r="E12957" s="30" t="s">
        <v>3807</v>
      </c>
      <c r="F12957" s="34" t="n">
        <f aca="false">IFERROR(VLOOKUP($A12957,'319'!$B:$H,7,0),0)</f>
        <v>0</v>
      </c>
      <c r="G12957" s="34" t="n">
        <f aca="false">SUMIFS('12.326ana'!$C:$C,'12.326ana'!$M:$M,redes!A12957)</f>
        <v>0</v>
      </c>
    </row>
    <row r="12958" customFormat="false" ht="14.4" hidden="true" customHeight="false" outlineLevel="0" collapsed="false">
      <c r="A12958" s="34" t="n">
        <v>14707389000114</v>
      </c>
      <c r="B12958" s="34" t="s">
        <v>24754</v>
      </c>
      <c r="C12958" s="34" t="s">
        <v>77</v>
      </c>
      <c r="E12958" s="30" t="s">
        <v>4807</v>
      </c>
      <c r="F12958" s="34" t="n">
        <f aca="false">IFERROR(VLOOKUP($A12958,'319'!$B:$H,7,0),0)</f>
        <v>0</v>
      </c>
      <c r="G12958" s="34" t="n">
        <f aca="false">SUMIFS('12.326ana'!$C:$C,'12.326ana'!$M:$M,redes!A12958)</f>
        <v>0</v>
      </c>
    </row>
    <row r="12959" customFormat="false" ht="14.4" hidden="true" customHeight="false" outlineLevel="0" collapsed="false">
      <c r="A12959" s="34" t="n">
        <v>14737630000158</v>
      </c>
      <c r="B12959" s="34" t="s">
        <v>24755</v>
      </c>
      <c r="C12959" s="34" t="s">
        <v>213</v>
      </c>
      <c r="E12959" s="30" t="s">
        <v>24755</v>
      </c>
      <c r="F12959" s="34" t="n">
        <f aca="false">IFERROR(VLOOKUP($A12959,'319'!$B:$H,7,0),0)</f>
        <v>0</v>
      </c>
      <c r="G12959" s="34" t="n">
        <f aca="false">SUMIFS('12.326ana'!$C:$C,'12.326ana'!$M:$M,redes!A12959)</f>
        <v>0</v>
      </c>
    </row>
    <row r="12960" customFormat="false" ht="14.4" hidden="true" customHeight="false" outlineLevel="0" collapsed="false">
      <c r="A12960" s="34" t="n">
        <v>14743414000115</v>
      </c>
      <c r="B12960" s="34" t="s">
        <v>24756</v>
      </c>
      <c r="C12960" s="34" t="s">
        <v>107</v>
      </c>
      <c r="E12960" s="30" t="s">
        <v>24757</v>
      </c>
      <c r="F12960" s="34" t="n">
        <f aca="false">IFERROR(VLOOKUP($A12960,'319'!$B:$H,7,0),0)</f>
        <v>0</v>
      </c>
      <c r="G12960" s="34" t="n">
        <f aca="false">SUMIFS('12.326ana'!$C:$C,'12.326ana'!$M:$M,redes!A12960)</f>
        <v>0</v>
      </c>
    </row>
    <row r="12961" customFormat="false" ht="14.4" hidden="true" customHeight="false" outlineLevel="0" collapsed="false">
      <c r="A12961" s="34" t="n">
        <v>14747900000101</v>
      </c>
      <c r="B12961" s="34" t="s">
        <v>9520</v>
      </c>
      <c r="C12961" s="34" t="s">
        <v>463</v>
      </c>
      <c r="E12961" s="30" t="s">
        <v>24758</v>
      </c>
      <c r="F12961" s="34" t="n">
        <f aca="false">IFERROR(VLOOKUP($A12961,'319'!$B:$H,7,0),0)</f>
        <v>0</v>
      </c>
      <c r="G12961" s="34" t="n">
        <f aca="false">SUMIFS('12.326ana'!$C:$C,'12.326ana'!$M:$M,redes!A12961)</f>
        <v>0</v>
      </c>
    </row>
    <row r="12962" customFormat="false" ht="14.4" hidden="true" customHeight="false" outlineLevel="0" collapsed="false">
      <c r="A12962" s="34" t="n">
        <v>14749448000117</v>
      </c>
      <c r="B12962" s="34" t="s">
        <v>24759</v>
      </c>
      <c r="C12962" s="34" t="s">
        <v>389</v>
      </c>
      <c r="E12962" s="30" t="s">
        <v>24760</v>
      </c>
      <c r="F12962" s="34" t="n">
        <f aca="false">IFERROR(VLOOKUP($A12962,'319'!$B:$H,7,0),0)</f>
        <v>88.6</v>
      </c>
      <c r="G12962" s="34" t="n">
        <f aca="false">SUMIFS('12.326ana'!$C:$C,'12.326ana'!$M:$M,redes!A12962)</f>
        <v>0</v>
      </c>
    </row>
    <row r="12963" customFormat="false" ht="14.4" hidden="true" customHeight="false" outlineLevel="0" collapsed="false">
      <c r="A12963" s="34" t="n">
        <v>14754510000169</v>
      </c>
      <c r="B12963" s="34" t="s">
        <v>24761</v>
      </c>
      <c r="C12963" s="34" t="s">
        <v>139</v>
      </c>
      <c r="E12963" s="30" t="s">
        <v>24761</v>
      </c>
      <c r="F12963" s="34" t="n">
        <f aca="false">IFERROR(VLOOKUP($A12963,'319'!$B:$H,7,0),0)</f>
        <v>0</v>
      </c>
      <c r="G12963" s="34" t="n">
        <f aca="false">SUMIFS('12.326ana'!$C:$C,'12.326ana'!$M:$M,redes!A12963)</f>
        <v>0</v>
      </c>
    </row>
    <row r="12964" customFormat="false" ht="14.4" hidden="true" customHeight="false" outlineLevel="0" collapsed="false">
      <c r="A12964" s="34" t="n">
        <v>14759752000145</v>
      </c>
      <c r="B12964" s="34" t="s">
        <v>24762</v>
      </c>
      <c r="C12964" s="34" t="s">
        <v>713</v>
      </c>
      <c r="E12964" s="30" t="s">
        <v>5206</v>
      </c>
      <c r="F12964" s="34" t="n">
        <f aca="false">IFERROR(VLOOKUP($A12964,'319'!$B:$H,7,0),0)</f>
        <v>0</v>
      </c>
      <c r="G12964" s="34" t="n">
        <f aca="false">SUMIFS('12.326ana'!$C:$C,'12.326ana'!$M:$M,redes!A12964)</f>
        <v>0</v>
      </c>
    </row>
    <row r="12965" customFormat="false" ht="14.4" hidden="true" customHeight="false" outlineLevel="0" collapsed="false">
      <c r="A12965" s="34" t="n">
        <v>14762481000187</v>
      </c>
      <c r="B12965" s="34" t="s">
        <v>24763</v>
      </c>
      <c r="C12965" s="34" t="s">
        <v>107</v>
      </c>
      <c r="E12965" s="30" t="s">
        <v>24764</v>
      </c>
      <c r="F12965" s="34" t="n">
        <f aca="false">IFERROR(VLOOKUP($A12965,'319'!$B:$H,7,0),0)</f>
        <v>0</v>
      </c>
      <c r="G12965" s="34" t="n">
        <f aca="false">SUMIFS('12.326ana'!$C:$C,'12.326ana'!$M:$M,redes!A12965)</f>
        <v>0</v>
      </c>
    </row>
    <row r="12966" customFormat="false" ht="14.4" hidden="true" customHeight="false" outlineLevel="0" collapsed="false">
      <c r="A12966" s="34" t="n">
        <v>14763922000165</v>
      </c>
      <c r="B12966" s="34" t="s">
        <v>24765</v>
      </c>
      <c r="C12966" s="34" t="s">
        <v>994</v>
      </c>
      <c r="E12966" s="30" t="s">
        <v>24766</v>
      </c>
      <c r="F12966" s="34" t="n">
        <f aca="false">IFERROR(VLOOKUP($A12966,'319'!$B:$H,7,0),0)</f>
        <v>11.33</v>
      </c>
      <c r="G12966" s="34" t="n">
        <f aca="false">SUMIFS('12.326ana'!$C:$C,'12.326ana'!$M:$M,redes!A12966)</f>
        <v>0</v>
      </c>
    </row>
    <row r="12967" customFormat="false" ht="14.4" hidden="true" customHeight="false" outlineLevel="0" collapsed="false">
      <c r="A12967" s="34" t="n">
        <v>14766301000135</v>
      </c>
      <c r="B12967" s="34" t="s">
        <v>11114</v>
      </c>
      <c r="C12967" s="34" t="s">
        <v>103</v>
      </c>
      <c r="E12967" s="30" t="s">
        <v>24767</v>
      </c>
      <c r="F12967" s="34" t="n">
        <f aca="false">IFERROR(VLOOKUP($A12967,'319'!$B:$H,7,0),0)</f>
        <v>0</v>
      </c>
      <c r="G12967" s="34" t="n">
        <f aca="false">SUMIFS('12.326ana'!$C:$C,'12.326ana'!$M:$M,redes!A12967)</f>
        <v>0</v>
      </c>
    </row>
    <row r="12968" customFormat="false" ht="14.4" hidden="true" customHeight="false" outlineLevel="0" collapsed="false">
      <c r="A12968" s="34" t="n">
        <v>14773767000168</v>
      </c>
      <c r="B12968" s="34" t="s">
        <v>24768</v>
      </c>
      <c r="C12968" s="34" t="s">
        <v>129</v>
      </c>
      <c r="E12968" s="30" t="s">
        <v>24769</v>
      </c>
      <c r="F12968" s="34" t="n">
        <f aca="false">IFERROR(VLOOKUP($A12968,'319'!$B:$H,7,0),0)</f>
        <v>0</v>
      </c>
      <c r="G12968" s="34" t="n">
        <f aca="false">SUMIFS('12.326ana'!$C:$C,'12.326ana'!$M:$M,redes!A12968)</f>
        <v>0</v>
      </c>
    </row>
    <row r="12969" customFormat="false" ht="14.4" hidden="true" customHeight="false" outlineLevel="0" collapsed="false">
      <c r="A12969" s="34" t="n">
        <v>14778227000177</v>
      </c>
      <c r="B12969" s="34" t="s">
        <v>24770</v>
      </c>
      <c r="C12969" s="34" t="s">
        <v>565</v>
      </c>
      <c r="E12969" s="30" t="s">
        <v>24771</v>
      </c>
      <c r="F12969" s="34" t="n">
        <f aca="false">IFERROR(VLOOKUP($A12969,'319'!$B:$H,7,0),0)</f>
        <v>0</v>
      </c>
      <c r="G12969" s="34" t="n">
        <f aca="false">SUMIFS('12.326ana'!$C:$C,'12.326ana'!$M:$M,redes!A12969)</f>
        <v>0</v>
      </c>
    </row>
    <row r="12970" customFormat="false" ht="14.4" hidden="true" customHeight="false" outlineLevel="0" collapsed="false">
      <c r="A12970" s="34" t="n">
        <v>14778466000127</v>
      </c>
      <c r="B12970" s="34" t="s">
        <v>24772</v>
      </c>
      <c r="C12970" s="34" t="s">
        <v>139</v>
      </c>
      <c r="E12970" s="30" t="s">
        <v>24773</v>
      </c>
      <c r="F12970" s="34" t="n">
        <f aca="false">IFERROR(VLOOKUP($A12970,'319'!$B:$H,7,0),0)</f>
        <v>0</v>
      </c>
      <c r="G12970" s="34" t="n">
        <f aca="false">SUMIFS('12.326ana'!$C:$C,'12.326ana'!$M:$M,redes!A12970)</f>
        <v>0</v>
      </c>
    </row>
    <row r="12971" customFormat="false" ht="14.4" hidden="true" customHeight="false" outlineLevel="0" collapsed="false">
      <c r="A12971" s="34" t="n">
        <v>14780361000102</v>
      </c>
      <c r="B12971" s="34" t="s">
        <v>24774</v>
      </c>
      <c r="C12971" s="34" t="s">
        <v>77</v>
      </c>
      <c r="E12971" s="30" t="s">
        <v>24775</v>
      </c>
      <c r="F12971" s="34" t="n">
        <f aca="false">IFERROR(VLOOKUP($A12971,'319'!$B:$H,7,0),0)</f>
        <v>0</v>
      </c>
      <c r="G12971" s="34" t="n">
        <f aca="false">SUMIFS('12.326ana'!$C:$C,'12.326ana'!$M:$M,redes!A12971)</f>
        <v>0</v>
      </c>
    </row>
    <row r="12972" customFormat="false" ht="14.4" hidden="true" customHeight="false" outlineLevel="0" collapsed="false">
      <c r="A12972" s="34" t="n">
        <v>14782397000125</v>
      </c>
      <c r="B12972" s="34" t="s">
        <v>24776</v>
      </c>
      <c r="C12972" s="34" t="s">
        <v>77</v>
      </c>
      <c r="E12972" s="30" t="s">
        <v>24777</v>
      </c>
      <c r="F12972" s="34" t="n">
        <f aca="false">IFERROR(VLOOKUP($A12972,'319'!$B:$H,7,0),0)</f>
        <v>0</v>
      </c>
      <c r="G12972" s="34" t="n">
        <f aca="false">SUMIFS('12.326ana'!$C:$C,'12.326ana'!$M:$M,redes!A12972)</f>
        <v>0</v>
      </c>
    </row>
    <row r="12973" customFormat="false" ht="14.4" hidden="true" customHeight="false" outlineLevel="0" collapsed="false">
      <c r="A12973" s="34" t="n">
        <v>14783349000151</v>
      </c>
      <c r="B12973" s="34" t="s">
        <v>24778</v>
      </c>
      <c r="C12973" s="34" t="s">
        <v>680</v>
      </c>
      <c r="E12973" s="30" t="s">
        <v>7510</v>
      </c>
      <c r="F12973" s="34" t="n">
        <f aca="false">IFERROR(VLOOKUP($A12973,'319'!$B:$H,7,0),0)</f>
        <v>0</v>
      </c>
      <c r="G12973" s="34" t="n">
        <f aca="false">SUMIFS('12.326ana'!$C:$C,'12.326ana'!$M:$M,redes!A12973)</f>
        <v>0</v>
      </c>
    </row>
    <row r="12974" customFormat="false" ht="14.4" hidden="true" customHeight="false" outlineLevel="0" collapsed="false">
      <c r="A12974" s="34" t="n">
        <v>14789448000140</v>
      </c>
      <c r="B12974" s="34" t="s">
        <v>24779</v>
      </c>
      <c r="C12974" s="34" t="s">
        <v>842</v>
      </c>
      <c r="E12974" s="30" t="s">
        <v>24780</v>
      </c>
      <c r="F12974" s="34" t="n">
        <f aca="false">IFERROR(VLOOKUP($A12974,'319'!$B:$H,7,0),0)</f>
        <v>0</v>
      </c>
      <c r="G12974" s="34" t="n">
        <f aca="false">SUMIFS('12.326ana'!$C:$C,'12.326ana'!$M:$M,redes!A12974)</f>
        <v>0</v>
      </c>
    </row>
    <row r="12975" customFormat="false" ht="14.4" hidden="true" customHeight="false" outlineLevel="0" collapsed="false">
      <c r="A12975" s="34" t="n">
        <v>14789521000184</v>
      </c>
      <c r="B12975" s="34" t="s">
        <v>24781</v>
      </c>
      <c r="C12975" s="34" t="s">
        <v>77</v>
      </c>
      <c r="E12975" s="30"/>
      <c r="F12975" s="34" t="n">
        <f aca="false">IFERROR(VLOOKUP($A12975,'319'!$B:$H,7,0),0)</f>
        <v>0</v>
      </c>
      <c r="G12975" s="34" t="n">
        <f aca="false">SUMIFS('12.326ana'!$C:$C,'12.326ana'!$M:$M,redes!A12975)</f>
        <v>0</v>
      </c>
    </row>
    <row r="12976" customFormat="false" ht="14.4" hidden="true" customHeight="false" outlineLevel="0" collapsed="false">
      <c r="A12976" s="34" t="n">
        <v>14798930000147</v>
      </c>
      <c r="B12976" s="34" t="s">
        <v>1338</v>
      </c>
      <c r="C12976" s="34" t="s">
        <v>103</v>
      </c>
      <c r="E12976" s="30" t="s">
        <v>24782</v>
      </c>
      <c r="F12976" s="34" t="n">
        <f aca="false">IFERROR(VLOOKUP($A12976,'319'!$B:$H,7,0),0)</f>
        <v>250.33</v>
      </c>
      <c r="G12976" s="34" t="n">
        <f aca="false">SUMIFS('12.326ana'!$C:$C,'12.326ana'!$M:$M,redes!A12976)</f>
        <v>0</v>
      </c>
    </row>
    <row r="12977" customFormat="false" ht="14.4" hidden="true" customHeight="false" outlineLevel="0" collapsed="false">
      <c r="A12977" s="34" t="n">
        <v>14800968000107</v>
      </c>
      <c r="B12977" s="34" t="s">
        <v>24783</v>
      </c>
      <c r="C12977" s="34" t="s">
        <v>478</v>
      </c>
      <c r="E12977" s="30" t="s">
        <v>24784</v>
      </c>
      <c r="F12977" s="34" t="n">
        <f aca="false">IFERROR(VLOOKUP($A12977,'319'!$B:$H,7,0),0)</f>
        <v>0</v>
      </c>
      <c r="G12977" s="34" t="n">
        <f aca="false">SUMIFS('12.326ana'!$C:$C,'12.326ana'!$M:$M,redes!A12977)</f>
        <v>0</v>
      </c>
    </row>
    <row r="12978" customFormat="false" ht="14.4" hidden="true" customHeight="false" outlineLevel="0" collapsed="false">
      <c r="A12978" s="34" t="n">
        <v>14808226000128</v>
      </c>
      <c r="B12978" s="34" t="s">
        <v>24785</v>
      </c>
      <c r="C12978" s="34" t="s">
        <v>107</v>
      </c>
      <c r="E12978" s="30" t="s">
        <v>24786</v>
      </c>
      <c r="F12978" s="34" t="n">
        <f aca="false">IFERROR(VLOOKUP($A12978,'319'!$B:$H,7,0),0)</f>
        <v>0</v>
      </c>
      <c r="G12978" s="34" t="n">
        <f aca="false">SUMIFS('12.326ana'!$C:$C,'12.326ana'!$M:$M,redes!A12978)</f>
        <v>0</v>
      </c>
    </row>
    <row r="12979" customFormat="false" ht="14.4" hidden="true" customHeight="false" outlineLevel="0" collapsed="false">
      <c r="A12979" s="34" t="n">
        <v>14817106000197</v>
      </c>
      <c r="B12979" s="34" t="s">
        <v>24787</v>
      </c>
      <c r="C12979" s="34" t="s">
        <v>77</v>
      </c>
      <c r="E12979" s="30" t="s">
        <v>7521</v>
      </c>
      <c r="F12979" s="34" t="n">
        <f aca="false">IFERROR(VLOOKUP($A12979,'319'!$B:$H,7,0),0)</f>
        <v>0</v>
      </c>
      <c r="G12979" s="34" t="n">
        <f aca="false">SUMIFS('12.326ana'!$C:$C,'12.326ana'!$M:$M,redes!A12979)</f>
        <v>0</v>
      </c>
    </row>
    <row r="12980" customFormat="false" ht="14.4" hidden="true" customHeight="false" outlineLevel="0" collapsed="false">
      <c r="A12980" s="34" t="n">
        <v>14820897000104</v>
      </c>
      <c r="B12980" s="34" t="s">
        <v>24788</v>
      </c>
      <c r="C12980" s="34" t="s">
        <v>77</v>
      </c>
      <c r="E12980" s="30" t="s">
        <v>24789</v>
      </c>
      <c r="F12980" s="34" t="n">
        <f aca="false">IFERROR(VLOOKUP($A12980,'319'!$B:$H,7,0),0)</f>
        <v>0</v>
      </c>
      <c r="G12980" s="34" t="n">
        <f aca="false">SUMIFS('12.326ana'!$C:$C,'12.326ana'!$M:$M,redes!A12980)</f>
        <v>0</v>
      </c>
    </row>
    <row r="12981" customFormat="false" ht="14.4" hidden="true" customHeight="false" outlineLevel="0" collapsed="false">
      <c r="A12981" s="34" t="n">
        <v>14823568000117</v>
      </c>
      <c r="B12981" s="34" t="s">
        <v>24790</v>
      </c>
      <c r="C12981" s="34" t="s">
        <v>77</v>
      </c>
      <c r="E12981" s="30" t="s">
        <v>24791</v>
      </c>
      <c r="F12981" s="34" t="n">
        <f aca="false">IFERROR(VLOOKUP($A12981,'319'!$B:$H,7,0),0)</f>
        <v>0</v>
      </c>
      <c r="G12981" s="34" t="n">
        <f aca="false">SUMIFS('12.326ana'!$C:$C,'12.326ana'!$M:$M,redes!A12981)</f>
        <v>0</v>
      </c>
    </row>
    <row r="12982" customFormat="false" ht="14.4" hidden="true" customHeight="false" outlineLevel="0" collapsed="false">
      <c r="A12982" s="34" t="n">
        <v>14834927000131</v>
      </c>
      <c r="B12982" s="34" t="s">
        <v>24792</v>
      </c>
      <c r="C12982" s="34" t="s">
        <v>107</v>
      </c>
      <c r="E12982" s="30" t="s">
        <v>24793</v>
      </c>
      <c r="F12982" s="34" t="n">
        <f aca="false">IFERROR(VLOOKUP($A12982,'319'!$B:$H,7,0),0)</f>
        <v>0</v>
      </c>
      <c r="G12982" s="34" t="n">
        <f aca="false">SUMIFS('12.326ana'!$C:$C,'12.326ana'!$M:$M,redes!A12982)</f>
        <v>0</v>
      </c>
    </row>
    <row r="12983" customFormat="false" ht="14.4" hidden="true" customHeight="false" outlineLevel="0" collapsed="false">
      <c r="A12983" s="34" t="n">
        <v>14835226000117</v>
      </c>
      <c r="B12983" s="34" t="s">
        <v>24794</v>
      </c>
      <c r="C12983" s="34" t="s">
        <v>139</v>
      </c>
      <c r="E12983" s="30" t="s">
        <v>24794</v>
      </c>
      <c r="F12983" s="34" t="n">
        <f aca="false">IFERROR(VLOOKUP($A12983,'319'!$B:$H,7,0),0)</f>
        <v>0</v>
      </c>
      <c r="G12983" s="34" t="n">
        <f aca="false">SUMIFS('12.326ana'!$C:$C,'12.326ana'!$M:$M,redes!A12983)</f>
        <v>0</v>
      </c>
    </row>
    <row r="12984" customFormat="false" ht="14.4" hidden="true" customHeight="false" outlineLevel="0" collapsed="false">
      <c r="A12984" s="34" t="n">
        <v>14838887000104</v>
      </c>
      <c r="B12984" s="34" t="s">
        <v>24795</v>
      </c>
      <c r="C12984" s="34" t="s">
        <v>139</v>
      </c>
      <c r="E12984" s="30" t="s">
        <v>24796</v>
      </c>
      <c r="F12984" s="34" t="n">
        <f aca="false">IFERROR(VLOOKUP($A12984,'319'!$B:$H,7,0),0)</f>
        <v>0</v>
      </c>
      <c r="G12984" s="34" t="n">
        <f aca="false">SUMIFS('12.326ana'!$C:$C,'12.326ana'!$M:$M,redes!A12984)</f>
        <v>0</v>
      </c>
    </row>
    <row r="12985" customFormat="false" ht="14.4" hidden="true" customHeight="false" outlineLevel="0" collapsed="false">
      <c r="A12985" s="34" t="n">
        <v>14841873000131</v>
      </c>
      <c r="B12985" s="34" t="s">
        <v>24797</v>
      </c>
      <c r="C12985" s="34" t="s">
        <v>357</v>
      </c>
      <c r="E12985" s="30" t="s">
        <v>3644</v>
      </c>
      <c r="F12985" s="34" t="n">
        <f aca="false">IFERROR(VLOOKUP($A12985,'319'!$B:$H,7,0),0)</f>
        <v>0</v>
      </c>
      <c r="G12985" s="34" t="n">
        <f aca="false">SUMIFS('12.326ana'!$C:$C,'12.326ana'!$M:$M,redes!A12985)</f>
        <v>0</v>
      </c>
    </row>
    <row r="12986" customFormat="false" ht="14.4" hidden="true" customHeight="false" outlineLevel="0" collapsed="false">
      <c r="A12986" s="34" t="n">
        <v>14849206000103</v>
      </c>
      <c r="B12986" s="34" t="s">
        <v>24798</v>
      </c>
      <c r="C12986" s="34" t="s">
        <v>77</v>
      </c>
      <c r="E12986" s="30" t="s">
        <v>24799</v>
      </c>
      <c r="F12986" s="34" t="n">
        <f aca="false">IFERROR(VLOOKUP($A12986,'319'!$B:$H,7,0),0)</f>
        <v>0</v>
      </c>
      <c r="G12986" s="34" t="n">
        <f aca="false">SUMIFS('12.326ana'!$C:$C,'12.326ana'!$M:$M,redes!A12986)</f>
        <v>0</v>
      </c>
    </row>
    <row r="12987" customFormat="false" ht="14.4" hidden="true" customHeight="false" outlineLevel="0" collapsed="false">
      <c r="A12987" s="34" t="n">
        <v>14850599000167</v>
      </c>
      <c r="B12987" s="34" t="s">
        <v>24800</v>
      </c>
      <c r="C12987" s="34" t="s">
        <v>89</v>
      </c>
      <c r="E12987" s="30" t="s">
        <v>24801</v>
      </c>
      <c r="F12987" s="34" t="n">
        <f aca="false">IFERROR(VLOOKUP($A12987,'319'!$B:$H,7,0),0)</f>
        <v>0</v>
      </c>
      <c r="G12987" s="34" t="n">
        <f aca="false">SUMIFS('12.326ana'!$C:$C,'12.326ana'!$M:$M,redes!A12987)</f>
        <v>0</v>
      </c>
    </row>
    <row r="12988" customFormat="false" ht="14.4" hidden="true" customHeight="false" outlineLevel="0" collapsed="false">
      <c r="A12988" s="34" t="n">
        <v>14853764000215</v>
      </c>
      <c r="B12988" s="34" t="s">
        <v>24802</v>
      </c>
      <c r="C12988" s="34" t="s">
        <v>77</v>
      </c>
      <c r="E12988" s="30" t="s">
        <v>24803</v>
      </c>
      <c r="F12988" s="34" t="n">
        <f aca="false">IFERROR(VLOOKUP($A12988,'319'!$B:$H,7,0),0)</f>
        <v>0</v>
      </c>
      <c r="G12988" s="34" t="n">
        <f aca="false">SUMIFS('12.326ana'!$C:$C,'12.326ana'!$M:$M,redes!A12988)</f>
        <v>0</v>
      </c>
    </row>
    <row r="12989" customFormat="false" ht="14.4" hidden="true" customHeight="false" outlineLevel="0" collapsed="false">
      <c r="A12989" s="34" t="n">
        <v>14854755000168</v>
      </c>
      <c r="B12989" s="34" t="s">
        <v>24804</v>
      </c>
      <c r="C12989" s="34" t="s">
        <v>342</v>
      </c>
      <c r="E12989" s="30" t="s">
        <v>24805</v>
      </c>
      <c r="F12989" s="34" t="n">
        <f aca="false">IFERROR(VLOOKUP($A12989,'319'!$B:$H,7,0),0)</f>
        <v>0</v>
      </c>
      <c r="G12989" s="34" t="n">
        <f aca="false">SUMIFS('12.326ana'!$C:$C,'12.326ana'!$M:$M,redes!A12989)</f>
        <v>0</v>
      </c>
    </row>
    <row r="12990" customFormat="false" ht="14.4" hidden="true" customHeight="false" outlineLevel="0" collapsed="false">
      <c r="A12990" s="34" t="n">
        <v>14855549000172</v>
      </c>
      <c r="B12990" s="34" t="s">
        <v>24806</v>
      </c>
      <c r="C12990" s="34" t="s">
        <v>4139</v>
      </c>
      <c r="E12990" s="30" t="s">
        <v>12164</v>
      </c>
      <c r="F12990" s="34" t="n">
        <f aca="false">IFERROR(VLOOKUP($A12990,'319'!$B:$H,7,0),0)</f>
        <v>0</v>
      </c>
      <c r="G12990" s="34" t="n">
        <f aca="false">SUMIFS('12.326ana'!$C:$C,'12.326ana'!$M:$M,redes!A12990)</f>
        <v>0</v>
      </c>
    </row>
    <row r="12991" customFormat="false" ht="14.4" hidden="true" customHeight="false" outlineLevel="0" collapsed="false">
      <c r="A12991" s="34" t="n">
        <v>14863751000146</v>
      </c>
      <c r="B12991" s="34" t="s">
        <v>24807</v>
      </c>
      <c r="C12991" s="34" t="s">
        <v>77</v>
      </c>
      <c r="E12991" s="30" t="s">
        <v>3674</v>
      </c>
      <c r="F12991" s="34" t="n">
        <f aca="false">IFERROR(VLOOKUP($A12991,'319'!$B:$H,7,0),0)</f>
        <v>0</v>
      </c>
      <c r="G12991" s="34" t="n">
        <f aca="false">SUMIFS('12.326ana'!$C:$C,'12.326ana'!$M:$M,redes!A12991)</f>
        <v>0</v>
      </c>
    </row>
    <row r="12992" customFormat="false" ht="14.4" hidden="true" customHeight="false" outlineLevel="0" collapsed="false">
      <c r="A12992" s="34" t="n">
        <v>14870472000100</v>
      </c>
      <c r="B12992" s="34" t="s">
        <v>24808</v>
      </c>
      <c r="C12992" s="34" t="s">
        <v>77</v>
      </c>
      <c r="D12992" s="34" t="s">
        <v>24809</v>
      </c>
      <c r="E12992" s="30" t="s">
        <v>13627</v>
      </c>
      <c r="F12992" s="34" t="n">
        <f aca="false">IFERROR(VLOOKUP($A12992,'319'!$B:$H,7,0),0)</f>
        <v>0</v>
      </c>
      <c r="G12992" s="34" t="n">
        <f aca="false">SUMIFS('12.326ana'!$C:$C,'12.326ana'!$M:$M,redes!A12992)</f>
        <v>0</v>
      </c>
    </row>
    <row r="12993" customFormat="false" ht="14.4" hidden="true" customHeight="false" outlineLevel="0" collapsed="false">
      <c r="A12993" s="34" t="n">
        <v>14877386000129</v>
      </c>
      <c r="B12993" s="34" t="s">
        <v>24810</v>
      </c>
      <c r="C12993" s="34" t="s">
        <v>77</v>
      </c>
      <c r="E12993" s="30" t="s">
        <v>24810</v>
      </c>
      <c r="F12993" s="34" t="n">
        <f aca="false">IFERROR(VLOOKUP($A12993,'319'!$B:$H,7,0),0)</f>
        <v>0</v>
      </c>
      <c r="G12993" s="34" t="n">
        <f aca="false">SUMIFS('12.326ana'!$C:$C,'12.326ana'!$M:$M,redes!A12993)</f>
        <v>0</v>
      </c>
    </row>
    <row r="12994" customFormat="false" ht="14.4" hidden="true" customHeight="false" outlineLevel="0" collapsed="false">
      <c r="A12994" s="34" t="n">
        <v>14883983000166</v>
      </c>
      <c r="B12994" s="34" t="s">
        <v>14033</v>
      </c>
      <c r="C12994" s="34" t="s">
        <v>77</v>
      </c>
      <c r="E12994" s="30" t="s">
        <v>14033</v>
      </c>
      <c r="F12994" s="34" t="n">
        <f aca="false">IFERROR(VLOOKUP($A12994,'319'!$B:$H,7,0),0)</f>
        <v>0</v>
      </c>
      <c r="G12994" s="34" t="n">
        <f aca="false">SUMIFS('12.326ana'!$C:$C,'12.326ana'!$M:$M,redes!A12994)</f>
        <v>0</v>
      </c>
    </row>
    <row r="12995" customFormat="false" ht="14.4" hidden="true" customHeight="false" outlineLevel="0" collapsed="false">
      <c r="A12995" s="34" t="n">
        <v>14885699000129</v>
      </c>
      <c r="B12995" s="34" t="s">
        <v>24811</v>
      </c>
      <c r="C12995" s="34" t="s">
        <v>77</v>
      </c>
      <c r="E12995" s="30" t="s">
        <v>24812</v>
      </c>
      <c r="F12995" s="34" t="n">
        <f aca="false">IFERROR(VLOOKUP($A12995,'319'!$B:$H,7,0),0)</f>
        <v>0</v>
      </c>
      <c r="G12995" s="34" t="n">
        <f aca="false">SUMIFS('12.326ana'!$C:$C,'12.326ana'!$M:$M,redes!A12995)</f>
        <v>0</v>
      </c>
    </row>
    <row r="12996" customFormat="false" ht="14.4" hidden="true" customHeight="false" outlineLevel="0" collapsed="false">
      <c r="A12996" s="34" t="n">
        <v>14886193000215</v>
      </c>
      <c r="B12996" s="34" t="s">
        <v>24813</v>
      </c>
      <c r="C12996" s="34" t="s">
        <v>89</v>
      </c>
      <c r="E12996" s="30" t="s">
        <v>24814</v>
      </c>
      <c r="F12996" s="34" t="n">
        <f aca="false">IFERROR(VLOOKUP($A12996,'319'!$B:$H,7,0),0)</f>
        <v>0</v>
      </c>
      <c r="G12996" s="34" t="n">
        <f aca="false">SUMIFS('12.326ana'!$C:$C,'12.326ana'!$M:$M,redes!A12996)</f>
        <v>0</v>
      </c>
    </row>
    <row r="12997" customFormat="false" ht="14.4" hidden="true" customHeight="false" outlineLevel="0" collapsed="false">
      <c r="A12997" s="34" t="n">
        <v>14892062000160</v>
      </c>
      <c r="B12997" s="34" t="s">
        <v>24815</v>
      </c>
      <c r="C12997" s="34" t="s">
        <v>139</v>
      </c>
      <c r="E12997" s="30" t="s">
        <v>24816</v>
      </c>
      <c r="F12997" s="34" t="n">
        <f aca="false">IFERROR(VLOOKUP($A12997,'319'!$B:$H,7,0),0)</f>
        <v>0</v>
      </c>
      <c r="G12997" s="34" t="n">
        <f aca="false">SUMIFS('12.326ana'!$C:$C,'12.326ana'!$M:$M,redes!A12997)</f>
        <v>0</v>
      </c>
    </row>
    <row r="12998" customFormat="false" ht="14.4" hidden="true" customHeight="false" outlineLevel="0" collapsed="false">
      <c r="A12998" s="34" t="n">
        <v>14892072000103</v>
      </c>
      <c r="B12998" s="34" t="s">
        <v>1197</v>
      </c>
      <c r="C12998" s="34" t="s">
        <v>77</v>
      </c>
      <c r="E12998" s="30" t="s">
        <v>10041</v>
      </c>
      <c r="F12998" s="34" t="n">
        <f aca="false">IFERROR(VLOOKUP($A12998,'319'!$B:$H,7,0),0)</f>
        <v>339.92</v>
      </c>
      <c r="G12998" s="34" t="n">
        <f aca="false">SUMIFS('12.326ana'!$C:$C,'12.326ana'!$M:$M,redes!A12998)</f>
        <v>0</v>
      </c>
    </row>
    <row r="12999" customFormat="false" ht="14.4" hidden="true" customHeight="false" outlineLevel="0" collapsed="false">
      <c r="A12999" s="34" t="n">
        <v>14893175000180</v>
      </c>
      <c r="B12999" s="34" t="s">
        <v>24817</v>
      </c>
      <c r="C12999" s="34" t="s">
        <v>328</v>
      </c>
      <c r="E12999" s="30" t="s">
        <v>24818</v>
      </c>
      <c r="F12999" s="34" t="n">
        <f aca="false">IFERROR(VLOOKUP($A12999,'319'!$B:$H,7,0),0)</f>
        <v>0</v>
      </c>
      <c r="G12999" s="34" t="n">
        <f aca="false">SUMIFS('12.326ana'!$C:$C,'12.326ana'!$M:$M,redes!A12999)</f>
        <v>0</v>
      </c>
    </row>
    <row r="13000" customFormat="false" ht="14.4" hidden="true" customHeight="false" outlineLevel="0" collapsed="false">
      <c r="A13000" s="34" t="n">
        <v>14898232000113</v>
      </c>
      <c r="B13000" s="34" t="s">
        <v>24819</v>
      </c>
      <c r="C13000" s="34" t="s">
        <v>77</v>
      </c>
      <c r="E13000" s="30" t="s">
        <v>24820</v>
      </c>
      <c r="F13000" s="34" t="n">
        <f aca="false">IFERROR(VLOOKUP($A13000,'319'!$B:$H,7,0),0)</f>
        <v>0</v>
      </c>
      <c r="G13000" s="34" t="n">
        <f aca="false">SUMIFS('12.326ana'!$C:$C,'12.326ana'!$M:$M,redes!A13000)</f>
        <v>0</v>
      </c>
    </row>
    <row r="13001" customFormat="false" ht="14.4" hidden="true" customHeight="false" outlineLevel="0" collapsed="false">
      <c r="A13001" s="34" t="n">
        <v>14900662000122</v>
      </c>
      <c r="B13001" s="34" t="s">
        <v>24821</v>
      </c>
      <c r="C13001" s="34" t="s">
        <v>77</v>
      </c>
      <c r="E13001" s="30" t="s">
        <v>3664</v>
      </c>
      <c r="F13001" s="34" t="n">
        <f aca="false">IFERROR(VLOOKUP($A13001,'319'!$B:$H,7,0),0)</f>
        <v>0</v>
      </c>
      <c r="G13001" s="34" t="n">
        <f aca="false">SUMIFS('12.326ana'!$C:$C,'12.326ana'!$M:$M,redes!A13001)</f>
        <v>0</v>
      </c>
    </row>
    <row r="13002" customFormat="false" ht="14.4" hidden="true" customHeight="false" outlineLevel="0" collapsed="false">
      <c r="A13002" s="34" t="n">
        <v>14900903000133</v>
      </c>
      <c r="B13002" s="34" t="s">
        <v>24822</v>
      </c>
      <c r="C13002" s="34" t="s">
        <v>77</v>
      </c>
      <c r="E13002" s="30"/>
      <c r="F13002" s="34" t="n">
        <f aca="false">IFERROR(VLOOKUP($A13002,'319'!$B:$H,7,0),0)</f>
        <v>0</v>
      </c>
      <c r="G13002" s="34" t="n">
        <f aca="false">SUMIFS('12.326ana'!$C:$C,'12.326ana'!$M:$M,redes!A13002)</f>
        <v>0</v>
      </c>
    </row>
    <row r="13003" customFormat="false" ht="14.4" hidden="true" customHeight="false" outlineLevel="0" collapsed="false">
      <c r="A13003" s="34" t="n">
        <v>14902869000136</v>
      </c>
      <c r="B13003" s="34" t="s">
        <v>24823</v>
      </c>
      <c r="C13003" s="34" t="s">
        <v>77</v>
      </c>
      <c r="E13003" s="30" t="s">
        <v>20932</v>
      </c>
      <c r="F13003" s="34" t="n">
        <f aca="false">IFERROR(VLOOKUP($A13003,'319'!$B:$H,7,0),0)</f>
        <v>0</v>
      </c>
      <c r="G13003" s="34" t="n">
        <f aca="false">SUMIFS('12.326ana'!$C:$C,'12.326ana'!$M:$M,redes!A13003)</f>
        <v>0</v>
      </c>
    </row>
    <row r="13004" customFormat="false" ht="14.4" hidden="true" customHeight="false" outlineLevel="0" collapsed="false">
      <c r="A13004" s="34" t="n">
        <v>14905706000107</v>
      </c>
      <c r="B13004" s="34" t="s">
        <v>24824</v>
      </c>
      <c r="C13004" s="34" t="s">
        <v>139</v>
      </c>
      <c r="E13004" s="30" t="s">
        <v>24825</v>
      </c>
      <c r="F13004" s="34" t="n">
        <f aca="false">IFERROR(VLOOKUP($A13004,'319'!$B:$H,7,0),0)</f>
        <v>0</v>
      </c>
      <c r="G13004" s="34" t="n">
        <f aca="false">SUMIFS('12.326ana'!$C:$C,'12.326ana'!$M:$M,redes!A13004)</f>
        <v>0</v>
      </c>
    </row>
    <row r="13005" customFormat="false" ht="14.4" hidden="true" customHeight="false" outlineLevel="0" collapsed="false">
      <c r="A13005" s="34" t="n">
        <v>14906737000182</v>
      </c>
      <c r="B13005" s="34" t="s">
        <v>24826</v>
      </c>
      <c r="C13005" s="34" t="s">
        <v>77</v>
      </c>
      <c r="E13005" s="30" t="s">
        <v>24827</v>
      </c>
      <c r="F13005" s="34" t="n">
        <f aca="false">IFERROR(VLOOKUP($A13005,'319'!$B:$H,7,0),0)</f>
        <v>0</v>
      </c>
      <c r="G13005" s="34" t="n">
        <f aca="false">SUMIFS('12.326ana'!$C:$C,'12.326ana'!$M:$M,redes!A13005)</f>
        <v>0</v>
      </c>
    </row>
    <row r="13006" customFormat="false" ht="14.4" hidden="true" customHeight="false" outlineLevel="0" collapsed="false">
      <c r="A13006" s="34" t="n">
        <v>14912339000179</v>
      </c>
      <c r="B13006" s="34" t="s">
        <v>24828</v>
      </c>
      <c r="C13006" s="34" t="s">
        <v>107</v>
      </c>
      <c r="E13006" s="30" t="s">
        <v>24829</v>
      </c>
      <c r="F13006" s="34" t="n">
        <f aca="false">IFERROR(VLOOKUP($A13006,'319'!$B:$H,7,0),0)</f>
        <v>0</v>
      </c>
      <c r="G13006" s="34" t="n">
        <f aca="false">SUMIFS('12.326ana'!$C:$C,'12.326ana'!$M:$M,redes!A13006)</f>
        <v>0</v>
      </c>
    </row>
    <row r="13007" customFormat="false" ht="14.4" hidden="true" customHeight="false" outlineLevel="0" collapsed="false">
      <c r="A13007" s="34" t="n">
        <v>14916526000120</v>
      </c>
      <c r="B13007" s="34" t="s">
        <v>24830</v>
      </c>
      <c r="C13007" s="34" t="s">
        <v>77</v>
      </c>
      <c r="E13007" s="30" t="s">
        <v>3927</v>
      </c>
      <c r="F13007" s="34" t="n">
        <f aca="false">IFERROR(VLOOKUP($A13007,'319'!$B:$H,7,0),0)</f>
        <v>0</v>
      </c>
      <c r="G13007" s="34" t="n">
        <f aca="false">SUMIFS('12.326ana'!$C:$C,'12.326ana'!$M:$M,redes!A13007)</f>
        <v>0</v>
      </c>
    </row>
    <row r="13008" customFormat="false" ht="14.4" hidden="true" customHeight="false" outlineLevel="0" collapsed="false">
      <c r="A13008" s="34" t="n">
        <v>14922834000169</v>
      </c>
      <c r="B13008" s="34" t="s">
        <v>24831</v>
      </c>
      <c r="C13008" s="34" t="s">
        <v>77</v>
      </c>
      <c r="E13008" s="30" t="s">
        <v>3112</v>
      </c>
      <c r="F13008" s="34" t="n">
        <f aca="false">IFERROR(VLOOKUP($A13008,'319'!$B:$H,7,0),0)</f>
        <v>0</v>
      </c>
      <c r="G13008" s="34" t="n">
        <f aca="false">SUMIFS('12.326ana'!$C:$C,'12.326ana'!$M:$M,redes!A13008)</f>
        <v>0</v>
      </c>
    </row>
    <row r="13009" customFormat="false" ht="14.4" hidden="true" customHeight="false" outlineLevel="0" collapsed="false">
      <c r="A13009" s="34" t="n">
        <v>14925114000157</v>
      </c>
      <c r="B13009" s="34" t="s">
        <v>24832</v>
      </c>
      <c r="C13009" s="34" t="s">
        <v>197</v>
      </c>
      <c r="E13009" s="30" t="s">
        <v>24833</v>
      </c>
      <c r="F13009" s="34" t="n">
        <f aca="false">IFERROR(VLOOKUP($A13009,'319'!$B:$H,7,0),0)</f>
        <v>0</v>
      </c>
      <c r="G13009" s="34" t="n">
        <f aca="false">SUMIFS('12.326ana'!$C:$C,'12.326ana'!$M:$M,redes!A13009)</f>
        <v>0</v>
      </c>
    </row>
    <row r="13010" customFormat="false" ht="14.4" hidden="true" customHeight="false" outlineLevel="0" collapsed="false">
      <c r="A13010" s="34" t="n">
        <v>14925393000159</v>
      </c>
      <c r="B13010" s="34" t="s">
        <v>24834</v>
      </c>
      <c r="C13010" s="34" t="s">
        <v>463</v>
      </c>
      <c r="E13010" s="30" t="s">
        <v>22299</v>
      </c>
      <c r="F13010" s="34" t="n">
        <f aca="false">IFERROR(VLOOKUP($A13010,'319'!$B:$H,7,0),0)</f>
        <v>0</v>
      </c>
      <c r="G13010" s="34" t="n">
        <f aca="false">SUMIFS('12.326ana'!$C:$C,'12.326ana'!$M:$M,redes!A13010)</f>
        <v>0</v>
      </c>
    </row>
    <row r="13011" customFormat="false" ht="14.4" hidden="true" customHeight="false" outlineLevel="0" collapsed="false">
      <c r="A13011" s="34" t="n">
        <v>14927815000125</v>
      </c>
      <c r="B13011" s="34" t="s">
        <v>24835</v>
      </c>
      <c r="C13011" s="34" t="s">
        <v>77</v>
      </c>
      <c r="E13011" s="30" t="s">
        <v>24836</v>
      </c>
      <c r="F13011" s="34" t="n">
        <f aca="false">IFERROR(VLOOKUP($A13011,'319'!$B:$H,7,0),0)</f>
        <v>0</v>
      </c>
      <c r="G13011" s="34" t="n">
        <f aca="false">SUMIFS('12.326ana'!$C:$C,'12.326ana'!$M:$M,redes!A13011)</f>
        <v>0</v>
      </c>
    </row>
    <row r="13012" customFormat="false" ht="14.4" hidden="true" customHeight="false" outlineLevel="0" collapsed="false">
      <c r="A13012" s="34" t="n">
        <v>14927866000157</v>
      </c>
      <c r="B13012" s="34" t="s">
        <v>24837</v>
      </c>
      <c r="C13012" s="34" t="s">
        <v>764</v>
      </c>
      <c r="E13012" s="30" t="s">
        <v>24838</v>
      </c>
      <c r="F13012" s="34" t="n">
        <f aca="false">IFERROR(VLOOKUP($A13012,'319'!$B:$H,7,0),0)</f>
        <v>0</v>
      </c>
      <c r="G13012" s="34" t="n">
        <f aca="false">SUMIFS('12.326ana'!$C:$C,'12.326ana'!$M:$M,redes!A13012)</f>
        <v>0</v>
      </c>
    </row>
    <row r="13013" customFormat="false" ht="14.4" hidden="true" customHeight="false" outlineLevel="0" collapsed="false">
      <c r="A13013" s="34" t="n">
        <v>14929817000153</v>
      </c>
      <c r="B13013" s="34" t="s">
        <v>24839</v>
      </c>
      <c r="C13013" s="34" t="s">
        <v>77</v>
      </c>
      <c r="E13013" s="30" t="s">
        <v>9424</v>
      </c>
      <c r="F13013" s="34" t="n">
        <f aca="false">IFERROR(VLOOKUP($A13013,'319'!$B:$H,7,0),0)</f>
        <v>0</v>
      </c>
      <c r="G13013" s="34" t="n">
        <f aca="false">SUMIFS('12.326ana'!$C:$C,'12.326ana'!$M:$M,redes!A13013)</f>
        <v>0</v>
      </c>
    </row>
    <row r="13014" customFormat="false" ht="14.4" hidden="true" customHeight="false" outlineLevel="0" collapsed="false">
      <c r="A13014" s="34" t="n">
        <v>14936299000103</v>
      </c>
      <c r="B13014" s="34" t="s">
        <v>24840</v>
      </c>
      <c r="C13014" s="34" t="s">
        <v>77</v>
      </c>
      <c r="E13014" s="30" t="s">
        <v>24841</v>
      </c>
      <c r="F13014" s="34" t="n">
        <f aca="false">IFERROR(VLOOKUP($A13014,'319'!$B:$H,7,0),0)</f>
        <v>0</v>
      </c>
      <c r="G13014" s="34" t="n">
        <f aca="false">SUMIFS('12.326ana'!$C:$C,'12.326ana'!$M:$M,redes!A13014)</f>
        <v>0</v>
      </c>
    </row>
    <row r="13015" customFormat="false" ht="14.4" hidden="true" customHeight="false" outlineLevel="0" collapsed="false">
      <c r="A13015" s="34" t="n">
        <v>14946663000108</v>
      </c>
      <c r="B13015" s="34" t="s">
        <v>24842</v>
      </c>
      <c r="C13015" s="34" t="s">
        <v>77</v>
      </c>
      <c r="E13015" s="30" t="s">
        <v>3293</v>
      </c>
      <c r="F13015" s="34" t="n">
        <f aca="false">IFERROR(VLOOKUP($A13015,'319'!$B:$H,7,0),0)</f>
        <v>0</v>
      </c>
      <c r="G13015" s="34" t="n">
        <f aca="false">SUMIFS('12.326ana'!$C:$C,'12.326ana'!$M:$M,redes!A13015)</f>
        <v>0</v>
      </c>
    </row>
    <row r="13016" customFormat="false" ht="14.4" hidden="true" customHeight="false" outlineLevel="0" collapsed="false">
      <c r="A13016" s="34" t="n">
        <v>14947164000135</v>
      </c>
      <c r="B13016" s="34" t="s">
        <v>24843</v>
      </c>
      <c r="C13016" s="34" t="s">
        <v>89</v>
      </c>
      <c r="E13016" s="30" t="s">
        <v>24844</v>
      </c>
      <c r="F13016" s="34" t="n">
        <f aca="false">IFERROR(VLOOKUP($A13016,'319'!$B:$H,7,0),0)</f>
        <v>0</v>
      </c>
      <c r="G13016" s="34" t="n">
        <f aca="false">SUMIFS('12.326ana'!$C:$C,'12.326ana'!$M:$M,redes!A13016)</f>
        <v>0</v>
      </c>
    </row>
    <row r="13017" customFormat="false" ht="14.4" hidden="true" customHeight="false" outlineLevel="0" collapsed="false">
      <c r="A13017" s="34" t="n">
        <v>14952362000197</v>
      </c>
      <c r="B13017" s="34" t="s">
        <v>24845</v>
      </c>
      <c r="C13017" s="34" t="s">
        <v>197</v>
      </c>
      <c r="E13017" s="30" t="s">
        <v>24846</v>
      </c>
      <c r="F13017" s="34" t="n">
        <f aca="false">IFERROR(VLOOKUP($A13017,'319'!$B:$H,7,0),0)</f>
        <v>0</v>
      </c>
      <c r="G13017" s="34" t="n">
        <f aca="false">SUMIFS('12.326ana'!$C:$C,'12.326ana'!$M:$M,redes!A13017)</f>
        <v>0</v>
      </c>
    </row>
    <row r="13018" customFormat="false" ht="14.4" hidden="true" customHeight="false" outlineLevel="0" collapsed="false">
      <c r="A13018" s="34" t="n">
        <v>14957789000188</v>
      </c>
      <c r="B13018" s="34" t="s">
        <v>24847</v>
      </c>
      <c r="C13018" s="34" t="s">
        <v>4261</v>
      </c>
      <c r="E13018" s="30" t="s">
        <v>24848</v>
      </c>
      <c r="F13018" s="34" t="n">
        <f aca="false">IFERROR(VLOOKUP($A13018,'319'!$B:$H,7,0),0)</f>
        <v>0</v>
      </c>
      <c r="G13018" s="34" t="n">
        <f aca="false">SUMIFS('12.326ana'!$C:$C,'12.326ana'!$M:$M,redes!A13018)</f>
        <v>0</v>
      </c>
    </row>
    <row r="13019" customFormat="false" ht="14.4" hidden="true" customHeight="false" outlineLevel="0" collapsed="false">
      <c r="A13019" s="34" t="n">
        <v>14958695000123</v>
      </c>
      <c r="B13019" s="34" t="s">
        <v>24849</v>
      </c>
      <c r="C13019" s="34" t="s">
        <v>781</v>
      </c>
      <c r="E13019" s="30" t="s">
        <v>24850</v>
      </c>
      <c r="F13019" s="34" t="n">
        <f aca="false">IFERROR(VLOOKUP($A13019,'319'!$B:$H,7,0),0)</f>
        <v>0</v>
      </c>
      <c r="G13019" s="34" t="n">
        <f aca="false">SUMIFS('12.326ana'!$C:$C,'12.326ana'!$M:$M,redes!A13019)</f>
        <v>0</v>
      </c>
    </row>
    <row r="13020" customFormat="false" ht="14.4" hidden="true" customHeight="false" outlineLevel="0" collapsed="false">
      <c r="A13020" s="34" t="n">
        <v>14960841000155</v>
      </c>
      <c r="B13020" s="34" t="s">
        <v>24851</v>
      </c>
      <c r="C13020" s="34" t="s">
        <v>77</v>
      </c>
      <c r="E13020" s="30" t="s">
        <v>20112</v>
      </c>
      <c r="F13020" s="34" t="n">
        <f aca="false">IFERROR(VLOOKUP($A13020,'319'!$B:$H,7,0),0)</f>
        <v>0</v>
      </c>
      <c r="G13020" s="34" t="n">
        <f aca="false">SUMIFS('12.326ana'!$C:$C,'12.326ana'!$M:$M,redes!A13020)</f>
        <v>0</v>
      </c>
    </row>
    <row r="13021" customFormat="false" ht="14.4" hidden="true" customHeight="false" outlineLevel="0" collapsed="false">
      <c r="A13021" s="34" t="n">
        <v>14960971000198</v>
      </c>
      <c r="B13021" s="34" t="s">
        <v>24852</v>
      </c>
      <c r="C13021" s="34" t="s">
        <v>77</v>
      </c>
      <c r="E13021" s="30" t="s">
        <v>2846</v>
      </c>
      <c r="F13021" s="34" t="n">
        <f aca="false">IFERROR(VLOOKUP($A13021,'319'!$B:$H,7,0),0)</f>
        <v>0</v>
      </c>
      <c r="G13021" s="34" t="n">
        <f aca="false">SUMIFS('12.326ana'!$C:$C,'12.326ana'!$M:$M,redes!A13021)</f>
        <v>0</v>
      </c>
    </row>
    <row r="13022" customFormat="false" ht="14.4" hidden="true" customHeight="false" outlineLevel="0" collapsed="false">
      <c r="A13022" s="34" t="n">
        <v>14977182000160</v>
      </c>
      <c r="B13022" s="34" t="s">
        <v>24853</v>
      </c>
      <c r="C13022" s="34" t="s">
        <v>107</v>
      </c>
      <c r="E13022" s="30" t="s">
        <v>24854</v>
      </c>
      <c r="F13022" s="34" t="n">
        <f aca="false">IFERROR(VLOOKUP($A13022,'319'!$B:$H,7,0),0)</f>
        <v>0</v>
      </c>
      <c r="G13022" s="34" t="n">
        <f aca="false">SUMIFS('12.326ana'!$C:$C,'12.326ana'!$M:$M,redes!A13022)</f>
        <v>0</v>
      </c>
    </row>
    <row r="13023" customFormat="false" ht="14.4" hidden="true" customHeight="false" outlineLevel="0" collapsed="false">
      <c r="A13023" s="34" t="n">
        <v>14977487000171</v>
      </c>
      <c r="B13023" s="34" t="s">
        <v>24855</v>
      </c>
      <c r="C13023" s="34" t="s">
        <v>77</v>
      </c>
      <c r="E13023" s="30" t="s">
        <v>24856</v>
      </c>
      <c r="F13023" s="34" t="n">
        <f aca="false">IFERROR(VLOOKUP($A13023,'319'!$B:$H,7,0),0)</f>
        <v>0</v>
      </c>
      <c r="G13023" s="34" t="n">
        <f aca="false">SUMIFS('12.326ana'!$C:$C,'12.326ana'!$M:$M,redes!A13023)</f>
        <v>0</v>
      </c>
    </row>
    <row r="13024" customFormat="false" ht="14.4" hidden="true" customHeight="false" outlineLevel="0" collapsed="false">
      <c r="A13024" s="34" t="n">
        <v>14979276000178</v>
      </c>
      <c r="B13024" s="34" t="s">
        <v>24857</v>
      </c>
      <c r="C13024" s="34" t="s">
        <v>475</v>
      </c>
      <c r="E13024" s="30" t="s">
        <v>24858</v>
      </c>
      <c r="F13024" s="34" t="n">
        <f aca="false">IFERROR(VLOOKUP($A13024,'319'!$B:$H,7,0),0)</f>
        <v>0</v>
      </c>
      <c r="G13024" s="34" t="n">
        <f aca="false">SUMIFS('12.326ana'!$C:$C,'12.326ana'!$M:$M,redes!A13024)</f>
        <v>0</v>
      </c>
    </row>
    <row r="13025" customFormat="false" ht="14.4" hidden="true" customHeight="false" outlineLevel="0" collapsed="false">
      <c r="A13025" s="34" t="n">
        <v>14983570000153</v>
      </c>
      <c r="B13025" s="34" t="s">
        <v>24859</v>
      </c>
      <c r="C13025" s="34" t="s">
        <v>463</v>
      </c>
      <c r="E13025" s="30" t="s">
        <v>24860</v>
      </c>
      <c r="F13025" s="34" t="n">
        <f aca="false">IFERROR(VLOOKUP($A13025,'319'!$B:$H,7,0),0)</f>
        <v>0</v>
      </c>
      <c r="G13025" s="34" t="n">
        <f aca="false">SUMIFS('12.326ana'!$C:$C,'12.326ana'!$M:$M,redes!A13025)</f>
        <v>0</v>
      </c>
    </row>
    <row r="13026" customFormat="false" ht="14.4" hidden="true" customHeight="false" outlineLevel="0" collapsed="false">
      <c r="A13026" s="34" t="n">
        <v>14984916000138</v>
      </c>
      <c r="B13026" s="34" t="s">
        <v>24861</v>
      </c>
      <c r="C13026" s="34" t="s">
        <v>107</v>
      </c>
      <c r="E13026" s="30" t="s">
        <v>24862</v>
      </c>
      <c r="F13026" s="34" t="n">
        <f aca="false">IFERROR(VLOOKUP($A13026,'319'!$B:$H,7,0),0)</f>
        <v>0</v>
      </c>
      <c r="G13026" s="34" t="n">
        <f aca="false">SUMIFS('12.326ana'!$C:$C,'12.326ana'!$M:$M,redes!A13026)</f>
        <v>0</v>
      </c>
    </row>
    <row r="13027" customFormat="false" ht="14.4" hidden="true" customHeight="false" outlineLevel="0" collapsed="false">
      <c r="A13027" s="34" t="n">
        <v>14985829000103</v>
      </c>
      <c r="B13027" s="34" t="s">
        <v>24863</v>
      </c>
      <c r="C13027" s="34" t="s">
        <v>473</v>
      </c>
      <c r="E13027" s="30" t="s">
        <v>3297</v>
      </c>
      <c r="F13027" s="34" t="n">
        <f aca="false">IFERROR(VLOOKUP($A13027,'319'!$B:$H,7,0),0)</f>
        <v>0</v>
      </c>
      <c r="G13027" s="34" t="n">
        <f aca="false">SUMIFS('12.326ana'!$C:$C,'12.326ana'!$M:$M,redes!A13027)</f>
        <v>0</v>
      </c>
    </row>
    <row r="13028" customFormat="false" ht="14.4" hidden="true" customHeight="false" outlineLevel="0" collapsed="false">
      <c r="A13028" s="34" t="n">
        <v>14989147000160</v>
      </c>
      <c r="B13028" s="34" t="s">
        <v>24864</v>
      </c>
      <c r="C13028" s="34" t="s">
        <v>77</v>
      </c>
      <c r="E13028" s="30" t="s">
        <v>24865</v>
      </c>
      <c r="F13028" s="34" t="n">
        <f aca="false">IFERROR(VLOOKUP($A13028,'319'!$B:$H,7,0),0)</f>
        <v>0</v>
      </c>
      <c r="G13028" s="34" t="n">
        <f aca="false">SUMIFS('12.326ana'!$C:$C,'12.326ana'!$M:$M,redes!A13028)</f>
        <v>0</v>
      </c>
    </row>
    <row r="13029" customFormat="false" ht="14.4" hidden="true" customHeight="false" outlineLevel="0" collapsed="false">
      <c r="A13029" s="34" t="n">
        <v>15000097000100</v>
      </c>
      <c r="B13029" s="34" t="s">
        <v>725</v>
      </c>
      <c r="C13029" s="34" t="s">
        <v>631</v>
      </c>
      <c r="D13029" s="34" t="s">
        <v>35</v>
      </c>
      <c r="E13029" s="30" t="s">
        <v>3831</v>
      </c>
      <c r="F13029" s="34" t="n">
        <f aca="false">IFERROR(VLOOKUP($A13029,'319'!$B:$H,7,0),0)</f>
        <v>5581.28</v>
      </c>
      <c r="G13029" s="34" t="n">
        <f aca="false">SUMIFS('12.326ana'!$C:$C,'12.326ana'!$M:$M,redes!A13029)</f>
        <v>0</v>
      </c>
    </row>
    <row r="13030" customFormat="false" ht="14.4" hidden="true" customHeight="false" outlineLevel="0" collapsed="false">
      <c r="A13030" s="34" t="n">
        <v>15000097000290</v>
      </c>
      <c r="B13030" s="34" t="s">
        <v>725</v>
      </c>
      <c r="C13030" s="34" t="s">
        <v>631</v>
      </c>
      <c r="D13030" s="34" t="s">
        <v>4797</v>
      </c>
      <c r="E13030" s="30" t="s">
        <v>725</v>
      </c>
      <c r="F13030" s="34" t="n">
        <f aca="false">IFERROR(VLOOKUP($A13030,'319'!$B:$H,7,0),0)</f>
        <v>4921.77</v>
      </c>
      <c r="G13030" s="34" t="n">
        <f aca="false">SUMIFS('12.326ana'!$C:$C,'12.326ana'!$M:$M,redes!A13030)</f>
        <v>0</v>
      </c>
    </row>
    <row r="13031" customFormat="false" ht="14.4" hidden="true" customHeight="false" outlineLevel="0" collapsed="false">
      <c r="A13031" s="34" t="n">
        <v>15000097000371</v>
      </c>
      <c r="B13031" s="34" t="s">
        <v>24866</v>
      </c>
      <c r="C13031" s="34" t="s">
        <v>213</v>
      </c>
      <c r="D13031" s="34" t="s">
        <v>4797</v>
      </c>
      <c r="E13031" s="30" t="s">
        <v>24867</v>
      </c>
      <c r="F13031" s="34" t="n">
        <f aca="false">IFERROR(VLOOKUP($A13031,'319'!$B:$H,7,0),0)</f>
        <v>262.08</v>
      </c>
      <c r="G13031" s="34" t="n">
        <f aca="false">SUMIFS('12.326ana'!$C:$C,'12.326ana'!$M:$M,redes!A13031)</f>
        <v>0</v>
      </c>
    </row>
    <row r="13032" customFormat="false" ht="14.4" hidden="true" customHeight="false" outlineLevel="0" collapsed="false">
      <c r="A13032" s="34" t="n">
        <v>15000097000452</v>
      </c>
      <c r="B13032" s="34" t="s">
        <v>24868</v>
      </c>
      <c r="C13032" s="34" t="s">
        <v>213</v>
      </c>
      <c r="E13032" s="30" t="s">
        <v>24869</v>
      </c>
      <c r="F13032" s="34" t="n">
        <f aca="false">IFERROR(VLOOKUP($A13032,'319'!$B:$H,7,0),0)</f>
        <v>11138.34</v>
      </c>
      <c r="G13032" s="34" t="n">
        <f aca="false">SUMIFS('12.326ana'!$C:$C,'12.326ana'!$M:$M,redes!A13032)</f>
        <v>0</v>
      </c>
    </row>
    <row r="13033" customFormat="false" ht="14.4" hidden="true" customHeight="false" outlineLevel="0" collapsed="false">
      <c r="A13033" s="34" t="n">
        <v>15000097000533</v>
      </c>
      <c r="B13033" s="34" t="s">
        <v>24870</v>
      </c>
      <c r="C13033" s="34" t="s">
        <v>631</v>
      </c>
      <c r="E13033" s="30" t="s">
        <v>24869</v>
      </c>
      <c r="F13033" s="34" t="n">
        <f aca="false">IFERROR(VLOOKUP($A13033,'319'!$B:$H,7,0),0)</f>
        <v>707.33</v>
      </c>
      <c r="G13033" s="34" t="n">
        <f aca="false">SUMIFS('12.326ana'!$C:$C,'12.326ana'!$M:$M,redes!A13033)</f>
        <v>0</v>
      </c>
    </row>
    <row r="13034" customFormat="false" ht="14.4" hidden="true" customHeight="false" outlineLevel="0" collapsed="false">
      <c r="A13034" s="34" t="n">
        <v>15008703000133</v>
      </c>
      <c r="B13034" s="34" t="s">
        <v>24871</v>
      </c>
      <c r="C13034" s="34" t="s">
        <v>139</v>
      </c>
      <c r="E13034" s="30" t="s">
        <v>24872</v>
      </c>
      <c r="F13034" s="34" t="n">
        <f aca="false">IFERROR(VLOOKUP($A13034,'319'!$B:$H,7,0),0)</f>
        <v>0</v>
      </c>
      <c r="G13034" s="34" t="n">
        <f aca="false">SUMIFS('12.326ana'!$C:$C,'12.326ana'!$M:$M,redes!A13034)</f>
        <v>0</v>
      </c>
    </row>
    <row r="13035" customFormat="false" ht="14.4" hidden="true" customHeight="false" outlineLevel="0" collapsed="false">
      <c r="A13035" s="34" t="n">
        <v>15008888000186</v>
      </c>
      <c r="B13035" s="34" t="s">
        <v>1384</v>
      </c>
      <c r="C13035" s="34" t="s">
        <v>129</v>
      </c>
      <c r="E13035" s="30" t="s">
        <v>1384</v>
      </c>
      <c r="F13035" s="34" t="n">
        <f aca="false">IFERROR(VLOOKUP($A13035,'319'!$B:$H,7,0),0)</f>
        <v>246.63</v>
      </c>
      <c r="G13035" s="34" t="n">
        <f aca="false">SUMIFS('12.326ana'!$C:$C,'12.326ana'!$M:$M,redes!A13035)</f>
        <v>0</v>
      </c>
    </row>
    <row r="13036" customFormat="false" ht="14.4" hidden="true" customHeight="false" outlineLevel="0" collapsed="false">
      <c r="A13036" s="34" t="n">
        <v>15009178000170</v>
      </c>
      <c r="B13036" s="34" t="s">
        <v>24873</v>
      </c>
      <c r="C13036" s="34" t="s">
        <v>1795</v>
      </c>
      <c r="E13036" s="30" t="s">
        <v>24874</v>
      </c>
      <c r="F13036" s="34" t="n">
        <f aca="false">IFERROR(VLOOKUP($A13036,'319'!$B:$H,7,0),0)</f>
        <v>0</v>
      </c>
      <c r="G13036" s="34" t="n">
        <f aca="false">SUMIFS('12.326ana'!$C:$C,'12.326ana'!$M:$M,redes!A13036)</f>
        <v>0</v>
      </c>
    </row>
    <row r="13037" customFormat="false" ht="14.4" hidden="true" customHeight="false" outlineLevel="0" collapsed="false">
      <c r="A13037" s="34" t="n">
        <v>15011198000186</v>
      </c>
      <c r="B13037" s="34" t="s">
        <v>24875</v>
      </c>
      <c r="C13037" s="34" t="s">
        <v>139</v>
      </c>
      <c r="E13037" s="30" t="s">
        <v>24875</v>
      </c>
      <c r="F13037" s="34" t="n">
        <f aca="false">IFERROR(VLOOKUP($A13037,'319'!$B:$H,7,0),0)</f>
        <v>0</v>
      </c>
      <c r="G13037" s="34" t="n">
        <f aca="false">SUMIFS('12.326ana'!$C:$C,'12.326ana'!$M:$M,redes!A13037)</f>
        <v>0</v>
      </c>
    </row>
    <row r="13038" customFormat="false" ht="14.4" hidden="true" customHeight="false" outlineLevel="0" collapsed="false">
      <c r="A13038" s="34" t="n">
        <v>15014222000130</v>
      </c>
      <c r="B13038" s="34" t="s">
        <v>24876</v>
      </c>
      <c r="C13038" s="34" t="s">
        <v>77</v>
      </c>
      <c r="E13038" s="30" t="s">
        <v>23300</v>
      </c>
      <c r="F13038" s="34" t="n">
        <f aca="false">IFERROR(VLOOKUP($A13038,'319'!$B:$H,7,0),0)</f>
        <v>0</v>
      </c>
      <c r="G13038" s="34" t="n">
        <f aca="false">SUMIFS('12.326ana'!$C:$C,'12.326ana'!$M:$M,redes!A13038)</f>
        <v>0</v>
      </c>
    </row>
    <row r="13039" customFormat="false" ht="14.4" hidden="true" customHeight="false" outlineLevel="0" collapsed="false">
      <c r="A13039" s="34" t="n">
        <v>15018352000141</v>
      </c>
      <c r="B13039" s="34" t="s">
        <v>24877</v>
      </c>
      <c r="C13039" s="34" t="s">
        <v>77</v>
      </c>
      <c r="E13039" s="30" t="s">
        <v>18087</v>
      </c>
      <c r="F13039" s="34" t="n">
        <f aca="false">IFERROR(VLOOKUP($A13039,'319'!$B:$H,7,0),0)</f>
        <v>0</v>
      </c>
      <c r="G13039" s="34" t="n">
        <f aca="false">SUMIFS('12.326ana'!$C:$C,'12.326ana'!$M:$M,redes!A13039)</f>
        <v>0</v>
      </c>
    </row>
    <row r="13040" customFormat="false" ht="14.4" hidden="true" customHeight="false" outlineLevel="0" collapsed="false">
      <c r="A13040" s="34" t="n">
        <v>15022523000106</v>
      </c>
      <c r="B13040" s="34" t="s">
        <v>24878</v>
      </c>
      <c r="C13040" s="34" t="s">
        <v>7250</v>
      </c>
      <c r="E13040" s="30" t="s">
        <v>9251</v>
      </c>
      <c r="F13040" s="34" t="n">
        <f aca="false">IFERROR(VLOOKUP($A13040,'319'!$B:$H,7,0),0)</f>
        <v>0</v>
      </c>
      <c r="G13040" s="34" t="n">
        <f aca="false">SUMIFS('12.326ana'!$C:$C,'12.326ana'!$M:$M,redes!A13040)</f>
        <v>0</v>
      </c>
    </row>
    <row r="13041" customFormat="false" ht="14.4" hidden="true" customHeight="false" outlineLevel="0" collapsed="false">
      <c r="A13041" s="34" t="n">
        <v>15022804000169</v>
      </c>
      <c r="B13041" s="34" t="s">
        <v>24879</v>
      </c>
      <c r="C13041" s="34" t="s">
        <v>77</v>
      </c>
      <c r="E13041" s="30" t="s">
        <v>24880</v>
      </c>
      <c r="F13041" s="34" t="n">
        <f aca="false">IFERROR(VLOOKUP($A13041,'319'!$B:$H,7,0),0)</f>
        <v>0</v>
      </c>
      <c r="G13041" s="34" t="n">
        <f aca="false">SUMIFS('12.326ana'!$C:$C,'12.326ana'!$M:$M,redes!A13041)</f>
        <v>0</v>
      </c>
    </row>
    <row r="13042" customFormat="false" ht="14.4" hidden="true" customHeight="false" outlineLevel="0" collapsed="false">
      <c r="A13042" s="34" t="n">
        <v>15025553000176</v>
      </c>
      <c r="B13042" s="34" t="s">
        <v>24881</v>
      </c>
      <c r="C13042" s="34" t="s">
        <v>89</v>
      </c>
      <c r="E13042" s="30" t="s">
        <v>24882</v>
      </c>
      <c r="F13042" s="34" t="n">
        <f aca="false">IFERROR(VLOOKUP($A13042,'319'!$B:$H,7,0),0)</f>
        <v>0</v>
      </c>
      <c r="G13042" s="34" t="n">
        <f aca="false">SUMIFS('12.326ana'!$C:$C,'12.326ana'!$M:$M,redes!A13042)</f>
        <v>0</v>
      </c>
    </row>
    <row r="13043" customFormat="false" ht="14.4" hidden="true" customHeight="false" outlineLevel="0" collapsed="false">
      <c r="A13043" s="34" t="n">
        <v>15031350000192</v>
      </c>
      <c r="B13043" s="34" t="s">
        <v>24883</v>
      </c>
      <c r="C13043" s="34" t="s">
        <v>77</v>
      </c>
      <c r="E13043" s="30" t="s">
        <v>20587</v>
      </c>
      <c r="F13043" s="34" t="n">
        <f aca="false">IFERROR(VLOOKUP($A13043,'319'!$B:$H,7,0),0)</f>
        <v>0</v>
      </c>
      <c r="G13043" s="34" t="n">
        <f aca="false">SUMIFS('12.326ana'!$C:$C,'12.326ana'!$M:$M,redes!A13043)</f>
        <v>0</v>
      </c>
    </row>
    <row r="13044" customFormat="false" ht="14.4" hidden="true" customHeight="false" outlineLevel="0" collapsed="false">
      <c r="A13044" s="34" t="n">
        <v>15032310000165</v>
      </c>
      <c r="B13044" s="34" t="s">
        <v>24884</v>
      </c>
      <c r="C13044" s="34" t="s">
        <v>139</v>
      </c>
      <c r="E13044" s="30" t="s">
        <v>5226</v>
      </c>
      <c r="F13044" s="34" t="n">
        <f aca="false">IFERROR(VLOOKUP($A13044,'319'!$B:$H,7,0),0)</f>
        <v>0</v>
      </c>
      <c r="G13044" s="34" t="n">
        <f aca="false">SUMIFS('12.326ana'!$C:$C,'12.326ana'!$M:$M,redes!A13044)</f>
        <v>0</v>
      </c>
    </row>
    <row r="13045" customFormat="false" ht="14.4" hidden="true" customHeight="false" outlineLevel="0" collapsed="false">
      <c r="A13045" s="34" t="n">
        <v>15036739000120</v>
      </c>
      <c r="B13045" s="34" t="s">
        <v>24885</v>
      </c>
      <c r="C13045" s="34" t="s">
        <v>77</v>
      </c>
      <c r="E13045" s="30" t="s">
        <v>24885</v>
      </c>
      <c r="F13045" s="34" t="n">
        <f aca="false">IFERROR(VLOOKUP($A13045,'319'!$B:$H,7,0),0)</f>
        <v>0</v>
      </c>
      <c r="G13045" s="34" t="n">
        <f aca="false">SUMIFS('12.326ana'!$C:$C,'12.326ana'!$M:$M,redes!A13045)</f>
        <v>0</v>
      </c>
    </row>
    <row r="13046" customFormat="false" ht="14.4" hidden="true" customHeight="false" outlineLevel="0" collapsed="false">
      <c r="A13046" s="34" t="n">
        <v>15053695000147</v>
      </c>
      <c r="B13046" s="34" t="s">
        <v>24886</v>
      </c>
      <c r="C13046" s="34" t="s">
        <v>12327</v>
      </c>
      <c r="E13046" s="30" t="s">
        <v>24887</v>
      </c>
      <c r="F13046" s="34" t="n">
        <f aca="false">IFERROR(VLOOKUP($A13046,'319'!$B:$H,7,0),0)</f>
        <v>0</v>
      </c>
      <c r="G13046" s="34" t="n">
        <f aca="false">SUMIFS('12.326ana'!$C:$C,'12.326ana'!$M:$M,redes!A13046)</f>
        <v>0</v>
      </c>
    </row>
    <row r="13047" customFormat="false" ht="14.4" hidden="true" customHeight="false" outlineLevel="0" collapsed="false">
      <c r="A13047" s="34" t="n">
        <v>15054435000196</v>
      </c>
      <c r="B13047" s="34" t="s">
        <v>24888</v>
      </c>
      <c r="C13047" s="34" t="s">
        <v>197</v>
      </c>
      <c r="E13047" s="30" t="s">
        <v>4220</v>
      </c>
      <c r="F13047" s="34" t="n">
        <f aca="false">IFERROR(VLOOKUP($A13047,'319'!$B:$H,7,0),0)</f>
        <v>0</v>
      </c>
      <c r="G13047" s="34" t="n">
        <f aca="false">SUMIFS('12.326ana'!$C:$C,'12.326ana'!$M:$M,redes!A13047)</f>
        <v>0</v>
      </c>
    </row>
    <row r="13048" customFormat="false" ht="14.4" hidden="true" customHeight="false" outlineLevel="0" collapsed="false">
      <c r="A13048" s="34" t="n">
        <v>15054698000103</v>
      </c>
      <c r="B13048" s="34" t="s">
        <v>24889</v>
      </c>
      <c r="C13048" s="34" t="s">
        <v>351</v>
      </c>
      <c r="E13048" s="30" t="s">
        <v>7730</v>
      </c>
      <c r="F13048" s="34" t="n">
        <f aca="false">IFERROR(VLOOKUP($A13048,'319'!$B:$H,7,0),0)</f>
        <v>295.29</v>
      </c>
      <c r="G13048" s="34" t="n">
        <f aca="false">SUMIFS('12.326ana'!$C:$C,'12.326ana'!$M:$M,redes!A13048)</f>
        <v>0</v>
      </c>
    </row>
    <row r="13049" customFormat="false" ht="14.4" hidden="true" customHeight="false" outlineLevel="0" collapsed="false">
      <c r="A13049" s="34" t="n">
        <v>15056319000106</v>
      </c>
      <c r="B13049" s="34" t="s">
        <v>24890</v>
      </c>
      <c r="C13049" s="34" t="s">
        <v>342</v>
      </c>
      <c r="E13049" s="30" t="s">
        <v>24891</v>
      </c>
      <c r="F13049" s="34" t="n">
        <f aca="false">IFERROR(VLOOKUP($A13049,'319'!$B:$H,7,0),0)</f>
        <v>0</v>
      </c>
      <c r="G13049" s="34" t="n">
        <f aca="false">SUMIFS('12.326ana'!$C:$C,'12.326ana'!$M:$M,redes!A13049)</f>
        <v>0</v>
      </c>
    </row>
    <row r="13050" customFormat="false" ht="14.4" hidden="true" customHeight="false" outlineLevel="0" collapsed="false">
      <c r="A13050" s="34" t="n">
        <v>15060492000188</v>
      </c>
      <c r="B13050" s="34" t="s">
        <v>24892</v>
      </c>
      <c r="C13050" s="34" t="s">
        <v>107</v>
      </c>
      <c r="E13050" s="30" t="s">
        <v>3583</v>
      </c>
      <c r="F13050" s="34" t="n">
        <f aca="false">IFERROR(VLOOKUP($A13050,'319'!$B:$H,7,0),0)</f>
        <v>0</v>
      </c>
      <c r="G13050" s="34" t="n">
        <f aca="false">SUMIFS('12.326ana'!$C:$C,'12.326ana'!$M:$M,redes!A13050)</f>
        <v>0</v>
      </c>
    </row>
    <row r="13051" customFormat="false" ht="14.4" hidden="true" customHeight="false" outlineLevel="0" collapsed="false">
      <c r="A13051" s="34" t="n">
        <v>15060685000139</v>
      </c>
      <c r="B13051" s="34" t="s">
        <v>24893</v>
      </c>
      <c r="C13051" s="34" t="s">
        <v>328</v>
      </c>
      <c r="E13051" s="30" t="s">
        <v>24894</v>
      </c>
      <c r="F13051" s="34" t="n">
        <f aca="false">IFERROR(VLOOKUP($A13051,'319'!$B:$H,7,0),0)</f>
        <v>0</v>
      </c>
      <c r="G13051" s="34" t="n">
        <f aca="false">SUMIFS('12.326ana'!$C:$C,'12.326ana'!$M:$M,redes!A13051)</f>
        <v>0</v>
      </c>
    </row>
    <row r="13052" customFormat="false" ht="14.4" hidden="true" customHeight="false" outlineLevel="0" collapsed="false">
      <c r="A13052" s="34" t="n">
        <v>15062566000115</v>
      </c>
      <c r="B13052" s="34" t="s">
        <v>24895</v>
      </c>
      <c r="C13052" s="34" t="s">
        <v>463</v>
      </c>
      <c r="E13052" s="30" t="s">
        <v>24896</v>
      </c>
      <c r="F13052" s="34" t="n">
        <f aca="false">IFERROR(VLOOKUP($A13052,'319'!$B:$H,7,0),0)</f>
        <v>0</v>
      </c>
      <c r="G13052" s="34" t="n">
        <f aca="false">SUMIFS('12.326ana'!$C:$C,'12.326ana'!$M:$M,redes!A13052)</f>
        <v>0</v>
      </c>
    </row>
    <row r="13053" customFormat="false" ht="14.4" hidden="true" customHeight="false" outlineLevel="0" collapsed="false">
      <c r="A13053" s="34" t="n">
        <v>15066431000128</v>
      </c>
      <c r="B13053" s="34" t="s">
        <v>24897</v>
      </c>
      <c r="C13053" s="34" t="s">
        <v>478</v>
      </c>
      <c r="E13053" s="30" t="s">
        <v>24898</v>
      </c>
      <c r="F13053" s="34" t="n">
        <f aca="false">IFERROR(VLOOKUP($A13053,'319'!$B:$H,7,0),0)</f>
        <v>0</v>
      </c>
      <c r="G13053" s="34" t="n">
        <f aca="false">SUMIFS('12.326ana'!$C:$C,'12.326ana'!$M:$M,redes!A13053)</f>
        <v>0</v>
      </c>
    </row>
    <row r="13054" customFormat="false" ht="14.4" hidden="true" customHeight="false" outlineLevel="0" collapsed="false">
      <c r="A13054" s="34" t="n">
        <v>15085743000189</v>
      </c>
      <c r="B13054" s="34" t="s">
        <v>24899</v>
      </c>
      <c r="C13054" s="34" t="s">
        <v>77</v>
      </c>
      <c r="E13054" s="30" t="s">
        <v>24900</v>
      </c>
      <c r="F13054" s="34" t="n">
        <f aca="false">IFERROR(VLOOKUP($A13054,'319'!$B:$H,7,0),0)</f>
        <v>0</v>
      </c>
      <c r="G13054" s="34" t="n">
        <f aca="false">SUMIFS('12.326ana'!$C:$C,'12.326ana'!$M:$M,redes!A13054)</f>
        <v>0</v>
      </c>
    </row>
    <row r="13055" customFormat="false" ht="14.4" hidden="true" customHeight="false" outlineLevel="0" collapsed="false">
      <c r="A13055" s="34" t="n">
        <v>15097138000128</v>
      </c>
      <c r="B13055" s="34" t="s">
        <v>24901</v>
      </c>
      <c r="C13055" s="34" t="s">
        <v>1602</v>
      </c>
      <c r="E13055" s="30" t="s">
        <v>24902</v>
      </c>
      <c r="F13055" s="34" t="n">
        <f aca="false">IFERROR(VLOOKUP($A13055,'319'!$B:$H,7,0),0)</f>
        <v>0</v>
      </c>
      <c r="G13055" s="34" t="n">
        <f aca="false">SUMIFS('12.326ana'!$C:$C,'12.326ana'!$M:$M,redes!A13055)</f>
        <v>0</v>
      </c>
    </row>
    <row r="13056" customFormat="false" ht="14.4" hidden="true" customHeight="false" outlineLevel="0" collapsed="false">
      <c r="A13056" s="34" t="n">
        <v>15097663000143</v>
      </c>
      <c r="B13056" s="34" t="s">
        <v>24903</v>
      </c>
      <c r="C13056" s="34" t="s">
        <v>103</v>
      </c>
      <c r="E13056" s="30" t="s">
        <v>24904</v>
      </c>
      <c r="F13056" s="34" t="n">
        <f aca="false">IFERROR(VLOOKUP($A13056,'319'!$B:$H,7,0),0)</f>
        <v>0</v>
      </c>
      <c r="G13056" s="34" t="n">
        <f aca="false">SUMIFS('12.326ana'!$C:$C,'12.326ana'!$M:$M,redes!A13056)</f>
        <v>0</v>
      </c>
    </row>
    <row r="13057" customFormat="false" ht="14.4" hidden="true" customHeight="false" outlineLevel="0" collapsed="false">
      <c r="A13057" s="34" t="n">
        <v>15102213001920</v>
      </c>
      <c r="B13057" s="34" t="s">
        <v>24905</v>
      </c>
      <c r="C13057" s="34" t="s">
        <v>20260</v>
      </c>
      <c r="E13057" s="30" t="s">
        <v>16309</v>
      </c>
      <c r="F13057" s="34" t="n">
        <f aca="false">IFERROR(VLOOKUP($A13057,'319'!$B:$H,7,0),0)</f>
        <v>0</v>
      </c>
      <c r="G13057" s="34" t="n">
        <f aca="false">SUMIFS('12.326ana'!$C:$C,'12.326ana'!$M:$M,redes!A13057)</f>
        <v>0</v>
      </c>
    </row>
    <row r="13058" customFormat="false" ht="14.4" hidden="true" customHeight="false" outlineLevel="0" collapsed="false">
      <c r="A13058" s="34" t="n">
        <v>15102213002307</v>
      </c>
      <c r="B13058" s="34" t="s">
        <v>24906</v>
      </c>
      <c r="C13058" s="34" t="s">
        <v>20260</v>
      </c>
      <c r="E13058" s="30"/>
      <c r="F13058" s="34" t="n">
        <f aca="false">IFERROR(VLOOKUP($A13058,'319'!$B:$H,7,0),0)</f>
        <v>0</v>
      </c>
      <c r="G13058" s="34" t="n">
        <f aca="false">SUMIFS('12.326ana'!$C:$C,'12.326ana'!$M:$M,redes!A13058)</f>
        <v>0</v>
      </c>
    </row>
    <row r="13059" customFormat="false" ht="14.4" hidden="true" customHeight="false" outlineLevel="0" collapsed="false">
      <c r="A13059" s="34" t="n">
        <v>15113865000131</v>
      </c>
      <c r="B13059" s="34" t="s">
        <v>24907</v>
      </c>
      <c r="C13059" s="34" t="s">
        <v>77</v>
      </c>
      <c r="E13059" s="30" t="s">
        <v>4100</v>
      </c>
      <c r="F13059" s="34" t="n">
        <f aca="false">IFERROR(VLOOKUP($A13059,'319'!$B:$H,7,0),0)</f>
        <v>0</v>
      </c>
      <c r="G13059" s="34" t="n">
        <f aca="false">SUMIFS('12.326ana'!$C:$C,'12.326ana'!$M:$M,redes!A13059)</f>
        <v>0</v>
      </c>
    </row>
    <row r="13060" customFormat="false" ht="14.4" hidden="true" customHeight="false" outlineLevel="0" collapsed="false">
      <c r="A13060" s="34" t="n">
        <v>15116855000150</v>
      </c>
      <c r="B13060" s="34" t="s">
        <v>24908</v>
      </c>
      <c r="C13060" s="34" t="s">
        <v>737</v>
      </c>
      <c r="E13060" s="30" t="s">
        <v>24909</v>
      </c>
      <c r="F13060" s="34" t="n">
        <f aca="false">IFERROR(VLOOKUP($A13060,'319'!$B:$H,7,0),0)</f>
        <v>88.6</v>
      </c>
      <c r="G13060" s="34" t="n">
        <f aca="false">SUMIFS('12.326ana'!$C:$C,'12.326ana'!$M:$M,redes!A13060)</f>
        <v>0</v>
      </c>
    </row>
    <row r="13061" customFormat="false" ht="14.4" hidden="true" customHeight="false" outlineLevel="0" collapsed="false">
      <c r="A13061" s="34" t="n">
        <v>15118895000130</v>
      </c>
      <c r="B13061" s="34" t="s">
        <v>24910</v>
      </c>
      <c r="C13061" s="34" t="s">
        <v>781</v>
      </c>
      <c r="E13061" s="30" t="s">
        <v>3440</v>
      </c>
      <c r="F13061" s="34" t="n">
        <f aca="false">IFERROR(VLOOKUP($A13061,'319'!$B:$H,7,0),0)</f>
        <v>0</v>
      </c>
      <c r="G13061" s="34" t="n">
        <f aca="false">SUMIFS('12.326ana'!$C:$C,'12.326ana'!$M:$M,redes!A13061)</f>
        <v>0</v>
      </c>
    </row>
    <row r="13062" customFormat="false" ht="14.4" hidden="true" customHeight="false" outlineLevel="0" collapsed="false">
      <c r="A13062" s="34" t="n">
        <v>15130010000119</v>
      </c>
      <c r="B13062" s="34" t="s">
        <v>24911</v>
      </c>
      <c r="C13062" s="34" t="s">
        <v>464</v>
      </c>
      <c r="E13062" s="30" t="s">
        <v>24912</v>
      </c>
      <c r="F13062" s="34" t="n">
        <f aca="false">IFERROR(VLOOKUP($A13062,'319'!$B:$H,7,0),0)</f>
        <v>0</v>
      </c>
      <c r="G13062" s="34" t="n">
        <f aca="false">SUMIFS('12.326ana'!$C:$C,'12.326ana'!$M:$M,redes!A13062)</f>
        <v>0</v>
      </c>
    </row>
    <row r="13063" customFormat="false" ht="14.4" hidden="true" customHeight="false" outlineLevel="0" collapsed="false">
      <c r="A13063" s="34" t="n">
        <v>15135313000124</v>
      </c>
      <c r="B13063" s="34" t="s">
        <v>24913</v>
      </c>
      <c r="C13063" s="34" t="s">
        <v>962</v>
      </c>
      <c r="E13063" s="30" t="s">
        <v>24913</v>
      </c>
      <c r="F13063" s="34" t="n">
        <f aca="false">IFERROR(VLOOKUP($A13063,'319'!$B:$H,7,0),0)</f>
        <v>0</v>
      </c>
      <c r="G13063" s="34" t="n">
        <f aca="false">SUMIFS('12.326ana'!$C:$C,'12.326ana'!$M:$M,redes!A13063)</f>
        <v>0</v>
      </c>
    </row>
    <row r="13064" customFormat="false" ht="14.4" hidden="true" customHeight="false" outlineLevel="0" collapsed="false">
      <c r="A13064" s="34" t="n">
        <v>15139035000183</v>
      </c>
      <c r="B13064" s="34" t="s">
        <v>24914</v>
      </c>
      <c r="C13064" s="34" t="s">
        <v>737</v>
      </c>
      <c r="E13064" s="30" t="s">
        <v>24915</v>
      </c>
      <c r="F13064" s="34" t="n">
        <f aca="false">IFERROR(VLOOKUP($A13064,'319'!$B:$H,7,0),0)</f>
        <v>0</v>
      </c>
      <c r="G13064" s="34" t="n">
        <f aca="false">SUMIFS('12.326ana'!$C:$C,'12.326ana'!$M:$M,redes!A13064)</f>
        <v>0</v>
      </c>
    </row>
    <row r="13065" customFormat="false" ht="14.4" hidden="true" customHeight="false" outlineLevel="0" collapsed="false">
      <c r="A13065" s="34" t="n">
        <v>15145189000188</v>
      </c>
      <c r="B13065" s="34" t="s">
        <v>24916</v>
      </c>
      <c r="C13065" s="34" t="s">
        <v>737</v>
      </c>
      <c r="E13065" s="30" t="s">
        <v>24917</v>
      </c>
      <c r="F13065" s="34" t="n">
        <f aca="false">IFERROR(VLOOKUP($A13065,'319'!$B:$H,7,0),0)</f>
        <v>0</v>
      </c>
      <c r="G13065" s="34" t="n">
        <f aca="false">SUMIFS('12.326ana'!$C:$C,'12.326ana'!$M:$M,redes!A13065)</f>
        <v>0</v>
      </c>
    </row>
    <row r="13066" customFormat="false" ht="14.4" hidden="true" customHeight="false" outlineLevel="0" collapsed="false">
      <c r="A13066" s="34" t="n">
        <v>15146204000102</v>
      </c>
      <c r="B13066" s="34" t="s">
        <v>24918</v>
      </c>
      <c r="C13066" s="34" t="s">
        <v>107</v>
      </c>
      <c r="E13066" s="30" t="s">
        <v>18574</v>
      </c>
      <c r="F13066" s="34" t="n">
        <f aca="false">IFERROR(VLOOKUP($A13066,'319'!$B:$H,7,0),0)</f>
        <v>0</v>
      </c>
      <c r="G13066" s="34" t="n">
        <f aca="false">SUMIFS('12.326ana'!$C:$C,'12.326ana'!$M:$M,redes!A13066)</f>
        <v>0</v>
      </c>
    </row>
    <row r="13067" customFormat="false" ht="14.4" hidden="true" customHeight="false" outlineLevel="0" collapsed="false">
      <c r="A13067" s="34" t="n">
        <v>15146774000100</v>
      </c>
      <c r="B13067" s="34" t="s">
        <v>24919</v>
      </c>
      <c r="C13067" s="34" t="s">
        <v>77</v>
      </c>
      <c r="E13067" s="30" t="s">
        <v>24920</v>
      </c>
      <c r="F13067" s="34" t="n">
        <f aca="false">IFERROR(VLOOKUP($A13067,'319'!$B:$H,7,0),0)</f>
        <v>0</v>
      </c>
      <c r="G13067" s="34" t="n">
        <f aca="false">SUMIFS('12.326ana'!$C:$C,'12.326ana'!$M:$M,redes!A13067)</f>
        <v>0</v>
      </c>
    </row>
    <row r="13068" customFormat="false" ht="14.4" hidden="true" customHeight="false" outlineLevel="0" collapsed="false">
      <c r="A13068" s="34" t="n">
        <v>15168695000192</v>
      </c>
      <c r="B13068" s="34" t="s">
        <v>24921</v>
      </c>
      <c r="C13068" s="34" t="s">
        <v>129</v>
      </c>
      <c r="E13068" s="30" t="s">
        <v>5064</v>
      </c>
      <c r="F13068" s="34" t="n">
        <f aca="false">IFERROR(VLOOKUP($A13068,'319'!$B:$H,7,0),0)</f>
        <v>0</v>
      </c>
      <c r="G13068" s="34" t="n">
        <f aca="false">SUMIFS('12.326ana'!$C:$C,'12.326ana'!$M:$M,redes!A13068)</f>
        <v>0</v>
      </c>
    </row>
    <row r="13069" customFormat="false" ht="14.4" hidden="true" customHeight="false" outlineLevel="0" collapsed="false">
      <c r="A13069" s="34" t="n">
        <v>15175247000116</v>
      </c>
      <c r="B13069" s="34" t="s">
        <v>24922</v>
      </c>
      <c r="C13069" s="34" t="s">
        <v>77</v>
      </c>
      <c r="E13069" s="30" t="s">
        <v>24923</v>
      </c>
      <c r="F13069" s="34" t="n">
        <f aca="false">IFERROR(VLOOKUP($A13069,'319'!$B:$H,7,0),0)</f>
        <v>0</v>
      </c>
      <c r="G13069" s="34" t="n">
        <f aca="false">SUMIFS('12.326ana'!$C:$C,'12.326ana'!$M:$M,redes!A13069)</f>
        <v>0</v>
      </c>
    </row>
    <row r="13070" customFormat="false" ht="14.4" hidden="true" customHeight="false" outlineLevel="0" collapsed="false">
      <c r="A13070" s="34" t="n">
        <v>15175519000188</v>
      </c>
      <c r="B13070" s="34" t="s">
        <v>24924</v>
      </c>
      <c r="C13070" s="34" t="s">
        <v>478</v>
      </c>
      <c r="E13070" s="30" t="s">
        <v>24925</v>
      </c>
      <c r="F13070" s="34" t="n">
        <f aca="false">IFERROR(VLOOKUP($A13070,'319'!$B:$H,7,0),0)</f>
        <v>0</v>
      </c>
      <c r="G13070" s="34" t="n">
        <f aca="false">SUMIFS('12.326ana'!$C:$C,'12.326ana'!$M:$M,redes!A13070)</f>
        <v>0</v>
      </c>
    </row>
    <row r="13071" customFormat="false" ht="14.4" hidden="true" customHeight="false" outlineLevel="0" collapsed="false">
      <c r="A13071" s="34" t="n">
        <v>15187796000100</v>
      </c>
      <c r="B13071" s="34" t="s">
        <v>24926</v>
      </c>
      <c r="C13071" s="34" t="s">
        <v>139</v>
      </c>
      <c r="E13071" s="30" t="s">
        <v>24927</v>
      </c>
      <c r="F13071" s="34" t="n">
        <f aca="false">IFERROR(VLOOKUP($A13071,'319'!$B:$H,7,0),0)</f>
        <v>0</v>
      </c>
      <c r="G13071" s="34" t="n">
        <f aca="false">SUMIFS('12.326ana'!$C:$C,'12.326ana'!$M:$M,redes!A13071)</f>
        <v>0</v>
      </c>
    </row>
    <row r="13072" customFormat="false" ht="14.4" hidden="true" customHeight="false" outlineLevel="0" collapsed="false">
      <c r="A13072" s="34" t="n">
        <v>15188282000170</v>
      </c>
      <c r="B13072" s="34" t="s">
        <v>24928</v>
      </c>
      <c r="C13072" s="34" t="s">
        <v>103</v>
      </c>
      <c r="E13072" s="30" t="s">
        <v>24928</v>
      </c>
      <c r="F13072" s="34" t="n">
        <f aca="false">IFERROR(VLOOKUP($A13072,'319'!$B:$H,7,0),0)</f>
        <v>0</v>
      </c>
      <c r="G13072" s="34" t="n">
        <f aca="false">SUMIFS('12.326ana'!$C:$C,'12.326ana'!$M:$M,redes!A13072)</f>
        <v>0</v>
      </c>
    </row>
    <row r="13073" customFormat="false" ht="14.4" hidden="true" customHeight="false" outlineLevel="0" collapsed="false">
      <c r="A13073" s="34" t="n">
        <v>15189977000176</v>
      </c>
      <c r="B13073" s="34" t="s">
        <v>10134</v>
      </c>
      <c r="C13073" s="34" t="s">
        <v>77</v>
      </c>
      <c r="E13073" s="30" t="s">
        <v>6648</v>
      </c>
      <c r="F13073" s="34" t="n">
        <f aca="false">IFERROR(VLOOKUP($A13073,'319'!$B:$H,7,0),0)</f>
        <v>0</v>
      </c>
      <c r="G13073" s="34" t="n">
        <f aca="false">SUMIFS('12.326ana'!$C:$C,'12.326ana'!$M:$M,redes!A13073)</f>
        <v>0</v>
      </c>
    </row>
    <row r="13074" customFormat="false" ht="14.4" hidden="true" customHeight="false" outlineLevel="0" collapsed="false">
      <c r="A13074" s="34" t="n">
        <v>15191312000105</v>
      </c>
      <c r="B13074" s="34" t="s">
        <v>24929</v>
      </c>
      <c r="C13074" s="34" t="s">
        <v>89</v>
      </c>
      <c r="E13074" s="30" t="s">
        <v>24930</v>
      </c>
      <c r="F13074" s="34" t="n">
        <f aca="false">IFERROR(VLOOKUP($A13074,'319'!$B:$H,7,0),0)</f>
        <v>0</v>
      </c>
      <c r="G13074" s="34" t="n">
        <f aca="false">SUMIFS('12.326ana'!$C:$C,'12.326ana'!$M:$M,redes!A13074)</f>
        <v>0</v>
      </c>
    </row>
    <row r="13075" customFormat="false" ht="14.4" hidden="true" customHeight="false" outlineLevel="0" collapsed="false">
      <c r="A13075" s="34" t="n">
        <v>15192921000170</v>
      </c>
      <c r="B13075" s="34" t="s">
        <v>24931</v>
      </c>
      <c r="C13075" s="34" t="s">
        <v>309</v>
      </c>
      <c r="E13075" s="30" t="s">
        <v>9692</v>
      </c>
      <c r="F13075" s="34" t="n">
        <f aca="false">IFERROR(VLOOKUP($A13075,'319'!$B:$H,7,0),0)</f>
        <v>0</v>
      </c>
      <c r="G13075" s="34" t="n">
        <f aca="false">SUMIFS('12.326ana'!$C:$C,'12.326ana'!$M:$M,redes!A13075)</f>
        <v>0</v>
      </c>
    </row>
    <row r="13076" customFormat="false" ht="14.4" hidden="true" customHeight="false" outlineLevel="0" collapsed="false">
      <c r="A13076" s="34" t="n">
        <v>15200994000248</v>
      </c>
      <c r="B13076" s="34" t="s">
        <v>24932</v>
      </c>
      <c r="C13076" s="34" t="s">
        <v>89</v>
      </c>
      <c r="E13076" s="30" t="s">
        <v>24933</v>
      </c>
      <c r="F13076" s="34" t="n">
        <f aca="false">IFERROR(VLOOKUP($A13076,'319'!$B:$H,7,0),0)</f>
        <v>0</v>
      </c>
      <c r="G13076" s="34" t="n">
        <f aca="false">SUMIFS('12.326ana'!$C:$C,'12.326ana'!$M:$M,redes!A13076)</f>
        <v>0</v>
      </c>
    </row>
    <row r="13077" customFormat="false" ht="14.4" hidden="true" customHeight="false" outlineLevel="0" collapsed="false">
      <c r="A13077" s="34" t="n">
        <v>15203622000194</v>
      </c>
      <c r="B13077" s="34" t="s">
        <v>24934</v>
      </c>
      <c r="C13077" s="34" t="s">
        <v>154</v>
      </c>
      <c r="E13077" s="30" t="s">
        <v>17473</v>
      </c>
      <c r="F13077" s="34" t="n">
        <f aca="false">IFERROR(VLOOKUP($A13077,'319'!$B:$H,7,0),0)</f>
        <v>0</v>
      </c>
      <c r="G13077" s="34" t="n">
        <f aca="false">SUMIFS('12.326ana'!$C:$C,'12.326ana'!$M:$M,redes!A13077)</f>
        <v>0</v>
      </c>
    </row>
    <row r="13078" customFormat="false" ht="14.4" hidden="true" customHeight="false" outlineLevel="0" collapsed="false">
      <c r="A13078" s="34" t="n">
        <v>15207518000178</v>
      </c>
      <c r="B13078" s="34" t="s">
        <v>24935</v>
      </c>
      <c r="C13078" s="34" t="s">
        <v>77</v>
      </c>
      <c r="E13078" s="30" t="s">
        <v>24935</v>
      </c>
      <c r="F13078" s="34" t="n">
        <f aca="false">IFERROR(VLOOKUP($A13078,'319'!$B:$H,7,0),0)</f>
        <v>0</v>
      </c>
      <c r="G13078" s="34" t="n">
        <f aca="false">SUMIFS('12.326ana'!$C:$C,'12.326ana'!$M:$M,redes!A13078)</f>
        <v>0</v>
      </c>
    </row>
    <row r="13079" customFormat="false" ht="14.4" hidden="true" customHeight="false" outlineLevel="0" collapsed="false">
      <c r="A13079" s="34" t="n">
        <v>15208813000149</v>
      </c>
      <c r="B13079" s="34" t="s">
        <v>1858</v>
      </c>
      <c r="C13079" s="34" t="s">
        <v>881</v>
      </c>
      <c r="E13079" s="30" t="s">
        <v>24936</v>
      </c>
      <c r="F13079" s="34" t="n">
        <f aca="false">IFERROR(VLOOKUP($A13079,'319'!$B:$H,7,0),0)</f>
        <v>-4278.25</v>
      </c>
      <c r="G13079" s="34" t="n">
        <f aca="false">SUMIFS('12.326ana'!$C:$C,'12.326ana'!$M:$M,redes!A13079)</f>
        <v>0</v>
      </c>
    </row>
    <row r="13080" customFormat="false" ht="14.4" hidden="true" customHeight="false" outlineLevel="0" collapsed="false">
      <c r="A13080" s="34" t="n">
        <v>15209642000172</v>
      </c>
      <c r="B13080" s="34" t="s">
        <v>24937</v>
      </c>
      <c r="C13080" s="34" t="s">
        <v>89</v>
      </c>
      <c r="E13080" s="30" t="s">
        <v>24938</v>
      </c>
      <c r="F13080" s="34" t="n">
        <f aca="false">IFERROR(VLOOKUP($A13080,'319'!$B:$H,7,0),0)</f>
        <v>0</v>
      </c>
      <c r="G13080" s="34" t="n">
        <f aca="false">SUMIFS('12.326ana'!$C:$C,'12.326ana'!$M:$M,redes!A13080)</f>
        <v>0</v>
      </c>
    </row>
    <row r="13081" customFormat="false" ht="14.4" hidden="true" customHeight="false" outlineLevel="0" collapsed="false">
      <c r="A13081" s="34" t="n">
        <v>15210486000160</v>
      </c>
      <c r="B13081" s="34" t="s">
        <v>7514</v>
      </c>
      <c r="C13081" s="34" t="s">
        <v>77</v>
      </c>
      <c r="E13081" s="30" t="s">
        <v>7565</v>
      </c>
      <c r="F13081" s="34" t="n">
        <f aca="false">IFERROR(VLOOKUP($A13081,'319'!$B:$H,7,0),0)</f>
        <v>0</v>
      </c>
      <c r="G13081" s="34" t="n">
        <f aca="false">SUMIFS('12.326ana'!$C:$C,'12.326ana'!$M:$M,redes!A13081)</f>
        <v>0</v>
      </c>
    </row>
    <row r="13082" customFormat="false" ht="14.4" hidden="true" customHeight="false" outlineLevel="0" collapsed="false">
      <c r="A13082" s="34" t="n">
        <v>15219091000128</v>
      </c>
      <c r="B13082" s="34" t="s">
        <v>24939</v>
      </c>
      <c r="C13082" s="34" t="s">
        <v>77</v>
      </c>
      <c r="E13082" s="30" t="s">
        <v>24940</v>
      </c>
      <c r="F13082" s="34" t="n">
        <f aca="false">IFERROR(VLOOKUP($A13082,'319'!$B:$H,7,0),0)</f>
        <v>0</v>
      </c>
      <c r="G13082" s="34" t="n">
        <f aca="false">SUMIFS('12.326ana'!$C:$C,'12.326ana'!$M:$M,redes!A13082)</f>
        <v>0</v>
      </c>
    </row>
    <row r="13083" customFormat="false" ht="14.4" hidden="true" customHeight="false" outlineLevel="0" collapsed="false">
      <c r="A13083" s="34" t="n">
        <v>15219482000142</v>
      </c>
      <c r="B13083" s="34" t="s">
        <v>24941</v>
      </c>
      <c r="C13083" s="34" t="s">
        <v>207</v>
      </c>
      <c r="E13083" s="30" t="s">
        <v>24942</v>
      </c>
      <c r="F13083" s="34" t="n">
        <f aca="false">IFERROR(VLOOKUP($A13083,'319'!$B:$H,7,0),0)</f>
        <v>0</v>
      </c>
      <c r="G13083" s="34" t="n">
        <f aca="false">SUMIFS('12.326ana'!$C:$C,'12.326ana'!$M:$M,redes!A13083)</f>
        <v>0</v>
      </c>
    </row>
    <row r="13084" customFormat="false" ht="14.4" hidden="true" customHeight="false" outlineLevel="0" collapsed="false">
      <c r="A13084" s="34" t="n">
        <v>15225860000109</v>
      </c>
      <c r="B13084" s="34" t="s">
        <v>24943</v>
      </c>
      <c r="C13084" s="34" t="s">
        <v>213</v>
      </c>
      <c r="E13084" s="30" t="s">
        <v>24944</v>
      </c>
      <c r="F13084" s="34" t="n">
        <f aca="false">IFERROR(VLOOKUP($A13084,'319'!$B:$H,7,0),0)</f>
        <v>0</v>
      </c>
      <c r="G13084" s="34" t="n">
        <f aca="false">SUMIFS('12.326ana'!$C:$C,'12.326ana'!$M:$M,redes!A13084)</f>
        <v>0</v>
      </c>
    </row>
    <row r="13085" customFormat="false" ht="14.4" hidden="true" customHeight="false" outlineLevel="0" collapsed="false">
      <c r="A13085" s="34" t="n">
        <v>15227557000137</v>
      </c>
      <c r="B13085" s="34" t="s">
        <v>13797</v>
      </c>
      <c r="C13085" s="34" t="s">
        <v>77</v>
      </c>
      <c r="E13085" s="30" t="s">
        <v>3540</v>
      </c>
      <c r="F13085" s="34" t="n">
        <f aca="false">IFERROR(VLOOKUP($A13085,'319'!$B:$H,7,0),0)</f>
        <v>0</v>
      </c>
      <c r="G13085" s="34" t="n">
        <f aca="false">SUMIFS('12.326ana'!$C:$C,'12.326ana'!$M:$M,redes!A13085)</f>
        <v>0</v>
      </c>
    </row>
    <row r="13086" customFormat="false" ht="14.4" hidden="true" customHeight="false" outlineLevel="0" collapsed="false">
      <c r="A13086" s="34" t="n">
        <v>15235903000129</v>
      </c>
      <c r="B13086" s="34" t="s">
        <v>24945</v>
      </c>
      <c r="C13086" s="34" t="s">
        <v>77</v>
      </c>
      <c r="E13086" s="30" t="s">
        <v>24946</v>
      </c>
      <c r="F13086" s="34" t="n">
        <f aca="false">IFERROR(VLOOKUP($A13086,'319'!$B:$H,7,0),0)</f>
        <v>0</v>
      </c>
      <c r="G13086" s="34" t="n">
        <f aca="false">SUMIFS('12.326ana'!$C:$C,'12.326ana'!$M:$M,redes!A13086)</f>
        <v>0</v>
      </c>
    </row>
    <row r="13087" customFormat="false" ht="14.4" hidden="true" customHeight="false" outlineLevel="0" collapsed="false">
      <c r="A13087" s="34" t="n">
        <v>15236351000173</v>
      </c>
      <c r="B13087" s="34" t="s">
        <v>24947</v>
      </c>
      <c r="C13087" s="34" t="s">
        <v>77</v>
      </c>
      <c r="E13087" s="30" t="s">
        <v>24948</v>
      </c>
      <c r="F13087" s="34" t="n">
        <f aca="false">IFERROR(VLOOKUP($A13087,'319'!$B:$H,7,0),0)</f>
        <v>0</v>
      </c>
      <c r="G13087" s="34" t="n">
        <f aca="false">SUMIFS('12.326ana'!$C:$C,'12.326ana'!$M:$M,redes!A13087)</f>
        <v>0</v>
      </c>
    </row>
    <row r="13088" customFormat="false" ht="14.4" hidden="true" customHeight="false" outlineLevel="0" collapsed="false">
      <c r="A13088" s="34" t="n">
        <v>15239241000165</v>
      </c>
      <c r="B13088" s="34" t="s">
        <v>1418</v>
      </c>
      <c r="C13088" s="34" t="s">
        <v>351</v>
      </c>
      <c r="E13088" s="30" t="s">
        <v>7625</v>
      </c>
      <c r="F13088" s="34" t="n">
        <f aca="false">IFERROR(VLOOKUP($A13088,'319'!$B:$H,7,0),0)</f>
        <v>209.14</v>
      </c>
      <c r="G13088" s="34" t="n">
        <f aca="false">SUMIFS('12.326ana'!$C:$C,'12.326ana'!$M:$M,redes!A13088)</f>
        <v>0</v>
      </c>
    </row>
    <row r="13089" customFormat="false" ht="14.4" hidden="true" customHeight="false" outlineLevel="0" collapsed="false">
      <c r="A13089" s="34" t="n">
        <v>15241777000115</v>
      </c>
      <c r="B13089" s="34" t="s">
        <v>24949</v>
      </c>
      <c r="C13089" s="34" t="s">
        <v>848</v>
      </c>
      <c r="E13089" s="30" t="s">
        <v>24950</v>
      </c>
      <c r="F13089" s="34" t="n">
        <f aca="false">IFERROR(VLOOKUP($A13089,'319'!$B:$H,7,0),0)</f>
        <v>0</v>
      </c>
      <c r="G13089" s="34" t="n">
        <f aca="false">SUMIFS('12.326ana'!$C:$C,'12.326ana'!$M:$M,redes!A13089)</f>
        <v>0</v>
      </c>
    </row>
    <row r="13090" customFormat="false" ht="14.4" hidden="true" customHeight="false" outlineLevel="0" collapsed="false">
      <c r="A13090" s="34" t="n">
        <v>15242698000129</v>
      </c>
      <c r="B13090" s="34" t="s">
        <v>24951</v>
      </c>
      <c r="C13090" s="34" t="s">
        <v>848</v>
      </c>
      <c r="E13090" s="30" t="s">
        <v>7565</v>
      </c>
      <c r="F13090" s="34" t="n">
        <f aca="false">IFERROR(VLOOKUP($A13090,'319'!$B:$H,7,0),0)</f>
        <v>0</v>
      </c>
      <c r="G13090" s="34" t="n">
        <f aca="false">SUMIFS('12.326ana'!$C:$C,'12.326ana'!$M:$M,redes!A13090)</f>
        <v>0</v>
      </c>
    </row>
    <row r="13091" customFormat="false" ht="14.4" hidden="true" customHeight="false" outlineLevel="0" collapsed="false">
      <c r="A13091" s="34" t="n">
        <v>15244127000123</v>
      </c>
      <c r="B13091" s="34" t="s">
        <v>24952</v>
      </c>
      <c r="C13091" s="34" t="s">
        <v>77</v>
      </c>
      <c r="E13091" s="30" t="s">
        <v>24953</v>
      </c>
      <c r="F13091" s="34" t="n">
        <f aca="false">IFERROR(VLOOKUP($A13091,'319'!$B:$H,7,0),0)</f>
        <v>0</v>
      </c>
      <c r="G13091" s="34" t="n">
        <f aca="false">SUMIFS('12.326ana'!$C:$C,'12.326ana'!$M:$M,redes!A13091)</f>
        <v>0</v>
      </c>
    </row>
    <row r="13092" customFormat="false" ht="14.4" hidden="true" customHeight="false" outlineLevel="0" collapsed="false">
      <c r="A13092" s="34" t="n">
        <v>15247037000196</v>
      </c>
      <c r="B13092" s="34" t="s">
        <v>24954</v>
      </c>
      <c r="C13092" s="34" t="s">
        <v>89</v>
      </c>
      <c r="E13092" s="30" t="s">
        <v>24955</v>
      </c>
      <c r="F13092" s="34" t="n">
        <f aca="false">IFERROR(VLOOKUP($A13092,'319'!$B:$H,7,0),0)</f>
        <v>0</v>
      </c>
      <c r="G13092" s="34" t="n">
        <f aca="false">SUMIFS('12.326ana'!$C:$C,'12.326ana'!$M:$M,redes!A13092)</f>
        <v>0</v>
      </c>
    </row>
    <row r="13093" customFormat="false" ht="14.4" hidden="true" customHeight="false" outlineLevel="0" collapsed="false">
      <c r="A13093" s="34" t="n">
        <v>15250903000106</v>
      </c>
      <c r="B13093" s="34" t="s">
        <v>24956</v>
      </c>
      <c r="C13093" s="34" t="s">
        <v>77</v>
      </c>
      <c r="E13093" s="30" t="s">
        <v>5540</v>
      </c>
      <c r="F13093" s="34" t="n">
        <f aca="false">IFERROR(VLOOKUP($A13093,'319'!$B:$H,7,0),0)</f>
        <v>0</v>
      </c>
      <c r="G13093" s="34" t="n">
        <f aca="false">SUMIFS('12.326ana'!$C:$C,'12.326ana'!$M:$M,redes!A13093)</f>
        <v>0</v>
      </c>
    </row>
    <row r="13094" customFormat="false" ht="14.4" hidden="true" customHeight="false" outlineLevel="0" collapsed="false">
      <c r="A13094" s="34" t="n">
        <v>15252565000133</v>
      </c>
      <c r="B13094" s="34" t="s">
        <v>24957</v>
      </c>
      <c r="C13094" s="34" t="s">
        <v>77</v>
      </c>
      <c r="E13094" s="30" t="s">
        <v>24958</v>
      </c>
      <c r="F13094" s="34" t="n">
        <f aca="false">IFERROR(VLOOKUP($A13094,'319'!$B:$H,7,0),0)</f>
        <v>0</v>
      </c>
      <c r="G13094" s="34" t="n">
        <f aca="false">SUMIFS('12.326ana'!$C:$C,'12.326ana'!$M:$M,redes!A13094)</f>
        <v>0</v>
      </c>
    </row>
    <row r="13095" customFormat="false" ht="14.4" hidden="true" customHeight="false" outlineLevel="0" collapsed="false">
      <c r="A13095" s="34" t="n">
        <v>15269086000120</v>
      </c>
      <c r="B13095" s="34" t="s">
        <v>24959</v>
      </c>
      <c r="C13095" s="34" t="s">
        <v>77</v>
      </c>
      <c r="E13095" s="30" t="s">
        <v>12450</v>
      </c>
      <c r="F13095" s="34" t="n">
        <f aca="false">IFERROR(VLOOKUP($A13095,'319'!$B:$H,7,0),0)</f>
        <v>0</v>
      </c>
      <c r="G13095" s="34" t="n">
        <f aca="false">SUMIFS('12.326ana'!$C:$C,'12.326ana'!$M:$M,redes!A13095)</f>
        <v>0</v>
      </c>
    </row>
    <row r="13096" customFormat="false" ht="14.4" hidden="true" customHeight="false" outlineLevel="0" collapsed="false">
      <c r="A13096" s="34" t="n">
        <v>15270347000121</v>
      </c>
      <c r="B13096" s="34" t="s">
        <v>24960</v>
      </c>
      <c r="C13096" s="34" t="s">
        <v>107</v>
      </c>
      <c r="E13096" s="30" t="s">
        <v>24961</v>
      </c>
      <c r="F13096" s="34" t="n">
        <f aca="false">IFERROR(VLOOKUP($A13096,'319'!$B:$H,7,0),0)</f>
        <v>0</v>
      </c>
      <c r="G13096" s="34" t="n">
        <f aca="false">SUMIFS('12.326ana'!$C:$C,'12.326ana'!$M:$M,redes!A13096)</f>
        <v>0</v>
      </c>
    </row>
    <row r="13097" customFormat="false" ht="14.4" hidden="true" customHeight="false" outlineLevel="0" collapsed="false">
      <c r="A13097" s="34" t="n">
        <v>15272673000178</v>
      </c>
      <c r="B13097" s="34" t="s">
        <v>24962</v>
      </c>
      <c r="C13097" s="34" t="s">
        <v>77</v>
      </c>
      <c r="E13097" s="30" t="s">
        <v>24963</v>
      </c>
      <c r="F13097" s="34" t="n">
        <f aca="false">IFERROR(VLOOKUP($A13097,'319'!$B:$H,7,0),0)</f>
        <v>0</v>
      </c>
      <c r="G13097" s="34" t="n">
        <f aca="false">SUMIFS('12.326ana'!$C:$C,'12.326ana'!$M:$M,redes!A13097)</f>
        <v>0</v>
      </c>
    </row>
    <row r="13098" customFormat="false" ht="14.4" hidden="true" customHeight="false" outlineLevel="0" collapsed="false">
      <c r="A13098" s="34" t="n">
        <v>15274692000133</v>
      </c>
      <c r="B13098" s="34" t="s">
        <v>24964</v>
      </c>
      <c r="C13098" s="34" t="s">
        <v>77</v>
      </c>
      <c r="E13098" s="30" t="s">
        <v>3943</v>
      </c>
      <c r="F13098" s="34" t="n">
        <f aca="false">IFERROR(VLOOKUP($A13098,'319'!$B:$H,7,0),0)</f>
        <v>0</v>
      </c>
      <c r="G13098" s="34" t="n">
        <f aca="false">SUMIFS('12.326ana'!$C:$C,'12.326ana'!$M:$M,redes!A13098)</f>
        <v>0</v>
      </c>
    </row>
    <row r="13099" customFormat="false" ht="14.4" hidden="true" customHeight="false" outlineLevel="0" collapsed="false">
      <c r="A13099" s="34" t="n">
        <v>15279890000190</v>
      </c>
      <c r="B13099" s="34" t="s">
        <v>24965</v>
      </c>
      <c r="C13099" s="34" t="s">
        <v>357</v>
      </c>
      <c r="E13099" s="30" t="s">
        <v>24966</v>
      </c>
      <c r="F13099" s="34" t="n">
        <f aca="false">IFERROR(VLOOKUP($A13099,'319'!$B:$H,7,0),0)</f>
        <v>0</v>
      </c>
      <c r="G13099" s="34" t="n">
        <f aca="false">SUMIFS('12.326ana'!$C:$C,'12.326ana'!$M:$M,redes!A13099)</f>
        <v>0</v>
      </c>
    </row>
    <row r="13100" customFormat="false" ht="14.4" hidden="true" customHeight="false" outlineLevel="0" collapsed="false">
      <c r="A13100" s="34" t="n">
        <v>15282587000146</v>
      </c>
      <c r="B13100" s="34" t="s">
        <v>24967</v>
      </c>
      <c r="C13100" s="34" t="s">
        <v>139</v>
      </c>
      <c r="E13100" s="30" t="s">
        <v>24968</v>
      </c>
      <c r="F13100" s="34" t="n">
        <f aca="false">IFERROR(VLOOKUP($A13100,'319'!$B:$H,7,0),0)</f>
        <v>0</v>
      </c>
      <c r="G13100" s="34" t="n">
        <f aca="false">SUMIFS('12.326ana'!$C:$C,'12.326ana'!$M:$M,redes!A13100)</f>
        <v>0</v>
      </c>
    </row>
    <row r="13101" customFormat="false" ht="14.4" hidden="true" customHeight="false" outlineLevel="0" collapsed="false">
      <c r="A13101" s="34" t="n">
        <v>15285996000104</v>
      </c>
      <c r="B13101" s="34" t="s">
        <v>24969</v>
      </c>
      <c r="C13101" s="34" t="s">
        <v>77</v>
      </c>
      <c r="E13101" s="30" t="s">
        <v>24970</v>
      </c>
      <c r="F13101" s="34" t="n">
        <f aca="false">IFERROR(VLOOKUP($A13101,'319'!$B:$H,7,0),0)</f>
        <v>0</v>
      </c>
      <c r="G13101" s="34" t="n">
        <f aca="false">SUMIFS('12.326ana'!$C:$C,'12.326ana'!$M:$M,redes!A13101)</f>
        <v>0</v>
      </c>
    </row>
    <row r="13102" customFormat="false" ht="14.4" hidden="true" customHeight="false" outlineLevel="0" collapsed="false">
      <c r="A13102" s="34" t="n">
        <v>15293944000171</v>
      </c>
      <c r="B13102" s="34" t="s">
        <v>24971</v>
      </c>
      <c r="C13102" s="34" t="s">
        <v>89</v>
      </c>
      <c r="E13102" s="30" t="s">
        <v>24972</v>
      </c>
      <c r="F13102" s="34" t="n">
        <f aca="false">IFERROR(VLOOKUP($A13102,'319'!$B:$H,7,0),0)</f>
        <v>0</v>
      </c>
      <c r="G13102" s="34" t="n">
        <f aca="false">SUMIFS('12.326ana'!$C:$C,'12.326ana'!$M:$M,redes!A13102)</f>
        <v>0</v>
      </c>
    </row>
    <row r="13103" customFormat="false" ht="14.4" hidden="true" customHeight="false" outlineLevel="0" collapsed="false">
      <c r="A13103" s="34" t="n">
        <v>15302745000182</v>
      </c>
      <c r="B13103" s="34" t="s">
        <v>24973</v>
      </c>
      <c r="C13103" s="34" t="s">
        <v>979</v>
      </c>
      <c r="E13103" s="30" t="s">
        <v>23626</v>
      </c>
      <c r="F13103" s="34" t="n">
        <f aca="false">IFERROR(VLOOKUP($A13103,'319'!$B:$H,7,0),0)</f>
        <v>0</v>
      </c>
      <c r="G13103" s="34" t="n">
        <f aca="false">SUMIFS('12.326ana'!$C:$C,'12.326ana'!$M:$M,redes!A13103)</f>
        <v>0</v>
      </c>
    </row>
    <row r="13104" customFormat="false" ht="14.4" hidden="true" customHeight="false" outlineLevel="0" collapsed="false">
      <c r="A13104" s="34" t="n">
        <v>15307503000181</v>
      </c>
      <c r="B13104" s="34" t="s">
        <v>24974</v>
      </c>
      <c r="C13104" s="34" t="s">
        <v>478</v>
      </c>
      <c r="E13104" s="30" t="s">
        <v>24975</v>
      </c>
      <c r="F13104" s="34" t="n">
        <f aca="false">IFERROR(VLOOKUP($A13104,'319'!$B:$H,7,0),0)</f>
        <v>0</v>
      </c>
      <c r="G13104" s="34" t="n">
        <f aca="false">SUMIFS('12.326ana'!$C:$C,'12.326ana'!$M:$M,redes!A13104)</f>
        <v>0</v>
      </c>
    </row>
    <row r="13105" customFormat="false" ht="14.4" hidden="true" customHeight="false" outlineLevel="0" collapsed="false">
      <c r="A13105" s="34" t="n">
        <v>15308206000150</v>
      </c>
      <c r="B13105" s="34" t="s">
        <v>24976</v>
      </c>
      <c r="C13105" s="34" t="s">
        <v>103</v>
      </c>
      <c r="E13105" s="30" t="s">
        <v>24977</v>
      </c>
      <c r="F13105" s="34" t="n">
        <f aca="false">IFERROR(VLOOKUP($A13105,'319'!$B:$H,7,0),0)</f>
        <v>0</v>
      </c>
      <c r="G13105" s="34" t="n">
        <f aca="false">SUMIFS('12.326ana'!$C:$C,'12.326ana'!$M:$M,redes!A13105)</f>
        <v>0</v>
      </c>
    </row>
    <row r="13106" customFormat="false" ht="14.4" hidden="true" customHeight="false" outlineLevel="0" collapsed="false">
      <c r="A13106" s="34" t="n">
        <v>15309998000188</v>
      </c>
      <c r="B13106" s="34" t="s">
        <v>24978</v>
      </c>
      <c r="C13106" s="34" t="s">
        <v>77</v>
      </c>
      <c r="E13106" s="30" t="s">
        <v>24979</v>
      </c>
      <c r="F13106" s="34" t="n">
        <f aca="false">IFERROR(VLOOKUP($A13106,'319'!$B:$H,7,0),0)</f>
        <v>0</v>
      </c>
      <c r="G13106" s="34" t="n">
        <f aca="false">SUMIFS('12.326ana'!$C:$C,'12.326ana'!$M:$M,redes!A13106)</f>
        <v>0</v>
      </c>
    </row>
    <row r="13107" customFormat="false" ht="14.4" hidden="true" customHeight="false" outlineLevel="0" collapsed="false">
      <c r="A13107" s="34" t="n">
        <v>15310191000165</v>
      </c>
      <c r="B13107" s="34" t="s">
        <v>24980</v>
      </c>
      <c r="C13107" s="34" t="s">
        <v>77</v>
      </c>
      <c r="E13107" s="30" t="s">
        <v>15636</v>
      </c>
      <c r="F13107" s="34" t="n">
        <f aca="false">IFERROR(VLOOKUP($A13107,'319'!$B:$H,7,0),0)</f>
        <v>0</v>
      </c>
      <c r="G13107" s="34" t="n">
        <f aca="false">SUMIFS('12.326ana'!$C:$C,'12.326ana'!$M:$M,redes!A13107)</f>
        <v>0</v>
      </c>
    </row>
    <row r="13108" customFormat="false" ht="14.4" hidden="true" customHeight="false" outlineLevel="0" collapsed="false">
      <c r="A13108" s="34" t="n">
        <v>15310191000246</v>
      </c>
      <c r="B13108" s="34" t="s">
        <v>24980</v>
      </c>
      <c r="C13108" s="34" t="s">
        <v>77</v>
      </c>
      <c r="E13108" s="30" t="s">
        <v>17125</v>
      </c>
      <c r="F13108" s="34" t="n">
        <f aca="false">IFERROR(VLOOKUP($A13108,'319'!$B:$H,7,0),0)</f>
        <v>0</v>
      </c>
      <c r="G13108" s="34" t="n">
        <f aca="false">SUMIFS('12.326ana'!$C:$C,'12.326ana'!$M:$M,redes!A13108)</f>
        <v>0</v>
      </c>
    </row>
    <row r="13109" customFormat="false" ht="14.4" hidden="true" customHeight="false" outlineLevel="0" collapsed="false">
      <c r="A13109" s="34" t="n">
        <v>15310799000190</v>
      </c>
      <c r="B13109" s="34" t="s">
        <v>24981</v>
      </c>
      <c r="C13109" s="34" t="s">
        <v>336</v>
      </c>
      <c r="E13109" s="30" t="s">
        <v>24982</v>
      </c>
      <c r="F13109" s="34" t="n">
        <f aca="false">IFERROR(VLOOKUP($A13109,'319'!$B:$H,7,0),0)</f>
        <v>0</v>
      </c>
      <c r="G13109" s="34" t="n">
        <f aca="false">SUMIFS('12.326ana'!$C:$C,'12.326ana'!$M:$M,redes!A13109)</f>
        <v>0</v>
      </c>
    </row>
    <row r="13110" customFormat="false" ht="14.4" hidden="true" customHeight="false" outlineLevel="0" collapsed="false">
      <c r="A13110" s="34" t="n">
        <v>15311013000159</v>
      </c>
      <c r="B13110" s="34" t="s">
        <v>24983</v>
      </c>
      <c r="C13110" s="34" t="s">
        <v>357</v>
      </c>
      <c r="E13110" s="30" t="s">
        <v>8829</v>
      </c>
      <c r="F13110" s="34" t="n">
        <f aca="false">IFERROR(VLOOKUP($A13110,'319'!$B:$H,7,0),0)</f>
        <v>0</v>
      </c>
      <c r="G13110" s="34" t="n">
        <f aca="false">SUMIFS('12.326ana'!$C:$C,'12.326ana'!$M:$M,redes!A13110)</f>
        <v>0</v>
      </c>
    </row>
    <row r="13111" customFormat="false" ht="14.4" hidden="true" customHeight="false" outlineLevel="0" collapsed="false">
      <c r="A13111" s="34" t="n">
        <v>15315043000133</v>
      </c>
      <c r="B13111" s="34" t="s">
        <v>24984</v>
      </c>
      <c r="C13111" s="34" t="s">
        <v>77</v>
      </c>
      <c r="E13111" s="30" t="s">
        <v>24985</v>
      </c>
      <c r="F13111" s="34" t="n">
        <f aca="false">IFERROR(VLOOKUP($A13111,'319'!$B:$H,7,0),0)</f>
        <v>0</v>
      </c>
      <c r="G13111" s="34" t="n">
        <f aca="false">SUMIFS('12.326ana'!$C:$C,'12.326ana'!$M:$M,redes!A13111)</f>
        <v>0</v>
      </c>
    </row>
    <row r="13112" customFormat="false" ht="14.4" hidden="true" customHeight="false" outlineLevel="0" collapsed="false">
      <c r="A13112" s="34" t="n">
        <v>15316408000144</v>
      </c>
      <c r="B13112" s="34" t="s">
        <v>24986</v>
      </c>
      <c r="C13112" s="34" t="s">
        <v>478</v>
      </c>
      <c r="E13112" s="30" t="s">
        <v>24987</v>
      </c>
      <c r="F13112" s="34" t="n">
        <f aca="false">IFERROR(VLOOKUP($A13112,'319'!$B:$H,7,0),0)</f>
        <v>0</v>
      </c>
      <c r="G13112" s="34" t="n">
        <f aca="false">SUMIFS('12.326ana'!$C:$C,'12.326ana'!$M:$M,redes!A13112)</f>
        <v>0</v>
      </c>
    </row>
    <row r="13113" customFormat="false" ht="14.4" hidden="true" customHeight="false" outlineLevel="0" collapsed="false">
      <c r="A13113" s="34" t="n">
        <v>15317247000103</v>
      </c>
      <c r="B13113" s="34" t="s">
        <v>24988</v>
      </c>
      <c r="C13113" s="34" t="s">
        <v>2998</v>
      </c>
      <c r="E13113" s="30" t="s">
        <v>24989</v>
      </c>
      <c r="F13113" s="34" t="n">
        <f aca="false">IFERROR(VLOOKUP($A13113,'319'!$B:$H,7,0),0)</f>
        <v>0</v>
      </c>
      <c r="G13113" s="34" t="n">
        <f aca="false">SUMIFS('12.326ana'!$C:$C,'12.326ana'!$M:$M,redes!A13113)</f>
        <v>0</v>
      </c>
    </row>
    <row r="13114" customFormat="false" ht="14.4" hidden="true" customHeight="false" outlineLevel="0" collapsed="false">
      <c r="A13114" s="34" t="n">
        <v>15317875000199</v>
      </c>
      <c r="B13114" s="34" t="s">
        <v>24990</v>
      </c>
      <c r="C13114" s="34" t="s">
        <v>299</v>
      </c>
      <c r="E13114" s="30" t="s">
        <v>21255</v>
      </c>
      <c r="F13114" s="34" t="n">
        <f aca="false">IFERROR(VLOOKUP($A13114,'319'!$B:$H,7,0),0)</f>
        <v>0</v>
      </c>
      <c r="G13114" s="34" t="n">
        <f aca="false">SUMIFS('12.326ana'!$C:$C,'12.326ana'!$M:$M,redes!A13114)</f>
        <v>0</v>
      </c>
    </row>
    <row r="13115" customFormat="false" ht="14.4" hidden="true" customHeight="false" outlineLevel="0" collapsed="false">
      <c r="A13115" s="34" t="n">
        <v>15320207000110</v>
      </c>
      <c r="B13115" s="34" t="s">
        <v>24991</v>
      </c>
      <c r="C13115" s="34" t="s">
        <v>581</v>
      </c>
      <c r="E13115" s="30" t="s">
        <v>24991</v>
      </c>
      <c r="F13115" s="34" t="n">
        <f aca="false">IFERROR(VLOOKUP($A13115,'319'!$B:$H,7,0),0)</f>
        <v>0</v>
      </c>
      <c r="G13115" s="34" t="n">
        <f aca="false">SUMIFS('12.326ana'!$C:$C,'12.326ana'!$M:$M,redes!A13115)</f>
        <v>0</v>
      </c>
    </row>
    <row r="13116" customFormat="false" ht="14.4" hidden="true" customHeight="false" outlineLevel="0" collapsed="false">
      <c r="A13116" s="34" t="n">
        <v>15324727000100</v>
      </c>
      <c r="B13116" s="34" t="s">
        <v>24992</v>
      </c>
      <c r="C13116" s="34" t="s">
        <v>77</v>
      </c>
      <c r="E13116" s="30" t="s">
        <v>24993</v>
      </c>
      <c r="F13116" s="34" t="n">
        <f aca="false">IFERROR(VLOOKUP($A13116,'319'!$B:$H,7,0),0)</f>
        <v>0</v>
      </c>
      <c r="G13116" s="34" t="n">
        <f aca="false">SUMIFS('12.326ana'!$C:$C,'12.326ana'!$M:$M,redes!A13116)</f>
        <v>0</v>
      </c>
    </row>
    <row r="13117" customFormat="false" ht="14.4" hidden="true" customHeight="false" outlineLevel="0" collapsed="false">
      <c r="A13117" s="34" t="n">
        <v>15328664000151</v>
      </c>
      <c r="B13117" s="34" t="s">
        <v>24994</v>
      </c>
      <c r="C13117" s="34" t="s">
        <v>127</v>
      </c>
      <c r="E13117" s="30" t="s">
        <v>5725</v>
      </c>
      <c r="F13117" s="34" t="n">
        <f aca="false">IFERROR(VLOOKUP($A13117,'319'!$B:$H,7,0),0)</f>
        <v>0</v>
      </c>
      <c r="G13117" s="34" t="n">
        <f aca="false">SUMIFS('12.326ana'!$C:$C,'12.326ana'!$M:$M,redes!A13117)</f>
        <v>0</v>
      </c>
    </row>
    <row r="13118" customFormat="false" ht="14.4" hidden="true" customHeight="false" outlineLevel="0" collapsed="false">
      <c r="A13118" s="34" t="n">
        <v>15333334000154</v>
      </c>
      <c r="B13118" s="34" t="s">
        <v>24995</v>
      </c>
      <c r="C13118" s="34" t="s">
        <v>77</v>
      </c>
      <c r="E13118" s="30" t="s">
        <v>24996</v>
      </c>
      <c r="F13118" s="34" t="n">
        <f aca="false">IFERROR(VLOOKUP($A13118,'319'!$B:$H,7,0),0)</f>
        <v>0</v>
      </c>
      <c r="G13118" s="34" t="n">
        <f aca="false">SUMIFS('12.326ana'!$C:$C,'12.326ana'!$M:$M,redes!A13118)</f>
        <v>0</v>
      </c>
    </row>
    <row r="13119" customFormat="false" ht="14.4" hidden="true" customHeight="false" outlineLevel="0" collapsed="false">
      <c r="A13119" s="34" t="n">
        <v>15334388000134</v>
      </c>
      <c r="B13119" s="34" t="s">
        <v>24997</v>
      </c>
      <c r="C13119" s="34" t="s">
        <v>604</v>
      </c>
      <c r="E13119" s="30" t="s">
        <v>24998</v>
      </c>
      <c r="F13119" s="34" t="n">
        <f aca="false">IFERROR(VLOOKUP($A13119,'319'!$B:$H,7,0),0)</f>
        <v>0</v>
      </c>
      <c r="G13119" s="34" t="n">
        <f aca="false">SUMIFS('12.326ana'!$C:$C,'12.326ana'!$M:$M,redes!A13119)</f>
        <v>0</v>
      </c>
    </row>
    <row r="13120" customFormat="false" ht="14.4" hidden="true" customHeight="false" outlineLevel="0" collapsed="false">
      <c r="A13120" s="34" t="n">
        <v>15335275000153</v>
      </c>
      <c r="B13120" s="34" t="s">
        <v>24999</v>
      </c>
      <c r="C13120" s="34" t="s">
        <v>77</v>
      </c>
      <c r="E13120" s="30" t="s">
        <v>18404</v>
      </c>
      <c r="F13120" s="34" t="n">
        <f aca="false">IFERROR(VLOOKUP($A13120,'319'!$B:$H,7,0),0)</f>
        <v>0</v>
      </c>
      <c r="G13120" s="34" t="n">
        <f aca="false">SUMIFS('12.326ana'!$C:$C,'12.326ana'!$M:$M,redes!A13120)</f>
        <v>0</v>
      </c>
    </row>
    <row r="13121" customFormat="false" ht="14.4" hidden="true" customHeight="false" outlineLevel="0" collapsed="false">
      <c r="A13121" s="34" t="n">
        <v>15338611000111</v>
      </c>
      <c r="B13121" s="34" t="s">
        <v>25000</v>
      </c>
      <c r="C13121" s="34" t="s">
        <v>77</v>
      </c>
      <c r="E13121" s="30" t="s">
        <v>20932</v>
      </c>
      <c r="F13121" s="34" t="n">
        <f aca="false">IFERROR(VLOOKUP($A13121,'319'!$B:$H,7,0),0)</f>
        <v>0</v>
      </c>
      <c r="G13121" s="34" t="n">
        <f aca="false">SUMIFS('12.326ana'!$C:$C,'12.326ana'!$M:$M,redes!A13121)</f>
        <v>0</v>
      </c>
    </row>
    <row r="13122" customFormat="false" ht="14.4" hidden="true" customHeight="false" outlineLevel="0" collapsed="false">
      <c r="A13122" s="34" t="n">
        <v>15340046000127</v>
      </c>
      <c r="B13122" s="34" t="s">
        <v>25001</v>
      </c>
      <c r="C13122" s="34" t="s">
        <v>77</v>
      </c>
      <c r="E13122" s="30" t="s">
        <v>25002</v>
      </c>
      <c r="F13122" s="34" t="n">
        <f aca="false">IFERROR(VLOOKUP($A13122,'319'!$B:$H,7,0),0)</f>
        <v>0</v>
      </c>
      <c r="G13122" s="34" t="n">
        <f aca="false">SUMIFS('12.326ana'!$C:$C,'12.326ana'!$M:$M,redes!A13122)</f>
        <v>0</v>
      </c>
    </row>
    <row r="13123" customFormat="false" ht="14.4" hidden="true" customHeight="false" outlineLevel="0" collapsed="false">
      <c r="A13123" s="34" t="n">
        <v>15340338000160</v>
      </c>
      <c r="B13123" s="34" t="s">
        <v>25003</v>
      </c>
      <c r="C13123" s="34" t="s">
        <v>299</v>
      </c>
      <c r="E13123" s="30" t="s">
        <v>25004</v>
      </c>
      <c r="F13123" s="34" t="n">
        <f aca="false">IFERROR(VLOOKUP($A13123,'319'!$B:$H,7,0),0)</f>
        <v>0</v>
      </c>
      <c r="G13123" s="34" t="n">
        <f aca="false">SUMIFS('12.326ana'!$C:$C,'12.326ana'!$M:$M,redes!A13123)</f>
        <v>0</v>
      </c>
    </row>
    <row r="13124" customFormat="false" ht="14.4" hidden="true" customHeight="false" outlineLevel="0" collapsed="false">
      <c r="A13124" s="34" t="n">
        <v>15343345000115</v>
      </c>
      <c r="B13124" s="34" t="s">
        <v>25005</v>
      </c>
      <c r="C13124" s="34" t="s">
        <v>77</v>
      </c>
      <c r="E13124" s="30" t="s">
        <v>25006</v>
      </c>
      <c r="F13124" s="34" t="n">
        <f aca="false">IFERROR(VLOOKUP($A13124,'319'!$B:$H,7,0),0)</f>
        <v>0</v>
      </c>
      <c r="G13124" s="34" t="n">
        <f aca="false">SUMIFS('12.326ana'!$C:$C,'12.326ana'!$M:$M,redes!A13124)</f>
        <v>0</v>
      </c>
    </row>
    <row r="13125" customFormat="false" ht="14.4" hidden="true" customHeight="false" outlineLevel="0" collapsed="false">
      <c r="A13125" s="34" t="n">
        <v>15345009000101</v>
      </c>
      <c r="B13125" s="34" t="s">
        <v>25007</v>
      </c>
      <c r="C13125" s="34" t="s">
        <v>737</v>
      </c>
      <c r="E13125" s="30" t="s">
        <v>16055</v>
      </c>
      <c r="F13125" s="34" t="n">
        <f aca="false">IFERROR(VLOOKUP($A13125,'319'!$B:$H,7,0),0)</f>
        <v>0</v>
      </c>
      <c r="G13125" s="34" t="n">
        <f aca="false">SUMIFS('12.326ana'!$C:$C,'12.326ana'!$M:$M,redes!A13125)</f>
        <v>0</v>
      </c>
    </row>
    <row r="13126" customFormat="false" ht="14.4" hidden="true" customHeight="false" outlineLevel="0" collapsed="false">
      <c r="A13126" s="34" t="n">
        <v>15349567000145</v>
      </c>
      <c r="B13126" s="34" t="s">
        <v>25008</v>
      </c>
      <c r="C13126" s="34" t="s">
        <v>89</v>
      </c>
      <c r="E13126" s="30" t="s">
        <v>12096</v>
      </c>
      <c r="F13126" s="34" t="n">
        <f aca="false">IFERROR(VLOOKUP($A13126,'319'!$B:$H,7,0),0)</f>
        <v>0</v>
      </c>
      <c r="G13126" s="34" t="n">
        <f aca="false">SUMIFS('12.326ana'!$C:$C,'12.326ana'!$M:$M,redes!A13126)</f>
        <v>0</v>
      </c>
    </row>
    <row r="13127" customFormat="false" ht="14.4" hidden="true" customHeight="false" outlineLevel="0" collapsed="false">
      <c r="A13127" s="34" t="n">
        <v>15351798000193</v>
      </c>
      <c r="B13127" s="34" t="s">
        <v>25009</v>
      </c>
      <c r="C13127" s="34" t="s">
        <v>475</v>
      </c>
      <c r="E13127" s="30" t="s">
        <v>25009</v>
      </c>
      <c r="F13127" s="34" t="n">
        <f aca="false">IFERROR(VLOOKUP($A13127,'319'!$B:$H,7,0),0)</f>
        <v>0</v>
      </c>
      <c r="G13127" s="34" t="n">
        <f aca="false">SUMIFS('12.326ana'!$C:$C,'12.326ana'!$M:$M,redes!A13127)</f>
        <v>0</v>
      </c>
    </row>
    <row r="13128" customFormat="false" ht="14.4" hidden="true" customHeight="false" outlineLevel="0" collapsed="false">
      <c r="A13128" s="34" t="n">
        <v>15352184000126</v>
      </c>
      <c r="B13128" s="34" t="s">
        <v>25010</v>
      </c>
      <c r="C13128" s="34" t="s">
        <v>598</v>
      </c>
      <c r="E13128" s="30" t="s">
        <v>8059</v>
      </c>
      <c r="F13128" s="34" t="n">
        <f aca="false">IFERROR(VLOOKUP($A13128,'319'!$B:$H,7,0),0)</f>
        <v>352.68</v>
      </c>
      <c r="G13128" s="34" t="n">
        <f aca="false">SUMIFS('12.326ana'!$C:$C,'12.326ana'!$M:$M,redes!A13128)</f>
        <v>0</v>
      </c>
    </row>
    <row r="13129" customFormat="false" ht="14.4" hidden="true" customHeight="false" outlineLevel="0" collapsed="false">
      <c r="A13129" s="34" t="n">
        <v>15353155000189</v>
      </c>
      <c r="B13129" s="34" t="s">
        <v>25011</v>
      </c>
      <c r="C13129" s="34" t="s">
        <v>77</v>
      </c>
      <c r="E13129" s="30" t="s">
        <v>25012</v>
      </c>
      <c r="F13129" s="34" t="n">
        <f aca="false">IFERROR(VLOOKUP($A13129,'319'!$B:$H,7,0),0)</f>
        <v>0</v>
      </c>
      <c r="G13129" s="34" t="n">
        <f aca="false">SUMIFS('12.326ana'!$C:$C,'12.326ana'!$M:$M,redes!A13129)</f>
        <v>0</v>
      </c>
    </row>
    <row r="13130" customFormat="false" ht="14.4" hidden="true" customHeight="false" outlineLevel="0" collapsed="false">
      <c r="A13130" s="34" t="n">
        <v>15353389000126</v>
      </c>
      <c r="B13130" s="34" t="s">
        <v>25013</v>
      </c>
      <c r="C13130" s="34" t="s">
        <v>77</v>
      </c>
      <c r="E13130" s="30" t="s">
        <v>3922</v>
      </c>
      <c r="F13130" s="34" t="n">
        <f aca="false">IFERROR(VLOOKUP($A13130,'319'!$B:$H,7,0),0)</f>
        <v>0</v>
      </c>
      <c r="G13130" s="34" t="n">
        <f aca="false">SUMIFS('12.326ana'!$C:$C,'12.326ana'!$M:$M,redes!A13130)</f>
        <v>0</v>
      </c>
    </row>
    <row r="13131" customFormat="false" ht="14.4" hidden="true" customHeight="false" outlineLevel="0" collapsed="false">
      <c r="A13131" s="34" t="n">
        <v>15357009000121</v>
      </c>
      <c r="B13131" s="34" t="s">
        <v>25014</v>
      </c>
      <c r="C13131" s="34" t="s">
        <v>77</v>
      </c>
      <c r="E13131" s="30" t="s">
        <v>3632</v>
      </c>
      <c r="F13131" s="34" t="n">
        <f aca="false">IFERROR(VLOOKUP($A13131,'319'!$B:$H,7,0),0)</f>
        <v>0</v>
      </c>
      <c r="G13131" s="34" t="n">
        <f aca="false">SUMIFS('12.326ana'!$C:$C,'12.326ana'!$M:$M,redes!A13131)</f>
        <v>0</v>
      </c>
    </row>
    <row r="13132" customFormat="false" ht="14.4" hidden="true" customHeight="false" outlineLevel="0" collapsed="false">
      <c r="A13132" s="34" t="n">
        <v>15360244000152</v>
      </c>
      <c r="B13132" s="34" t="s">
        <v>25015</v>
      </c>
      <c r="C13132" s="34" t="s">
        <v>77</v>
      </c>
      <c r="E13132" s="30" t="s">
        <v>25016</v>
      </c>
      <c r="F13132" s="34" t="n">
        <f aca="false">IFERROR(VLOOKUP($A13132,'319'!$B:$H,7,0),0)</f>
        <v>0</v>
      </c>
      <c r="G13132" s="34" t="n">
        <f aca="false">SUMIFS('12.326ana'!$C:$C,'12.326ana'!$M:$M,redes!A13132)</f>
        <v>0</v>
      </c>
    </row>
    <row r="13133" customFormat="false" ht="14.4" hidden="true" customHeight="false" outlineLevel="0" collapsed="false">
      <c r="A13133" s="34" t="n">
        <v>15365429000150</v>
      </c>
      <c r="B13133" s="34" t="s">
        <v>25017</v>
      </c>
      <c r="C13133" s="34" t="s">
        <v>77</v>
      </c>
      <c r="E13133" s="30" t="s">
        <v>5240</v>
      </c>
      <c r="F13133" s="34" t="n">
        <f aca="false">IFERROR(VLOOKUP($A13133,'319'!$B:$H,7,0),0)</f>
        <v>0</v>
      </c>
      <c r="G13133" s="34" t="n">
        <f aca="false">SUMIFS('12.326ana'!$C:$C,'12.326ana'!$M:$M,redes!A13133)</f>
        <v>0</v>
      </c>
    </row>
    <row r="13134" customFormat="false" ht="14.4" hidden="true" customHeight="false" outlineLevel="0" collapsed="false">
      <c r="A13134" s="34" t="n">
        <v>15367587000149</v>
      </c>
      <c r="B13134" s="34" t="s">
        <v>25018</v>
      </c>
      <c r="C13134" s="34" t="s">
        <v>77</v>
      </c>
      <c r="E13134" s="30" t="s">
        <v>25019</v>
      </c>
      <c r="F13134" s="34" t="n">
        <f aca="false">IFERROR(VLOOKUP($A13134,'319'!$B:$H,7,0),0)</f>
        <v>0</v>
      </c>
      <c r="G13134" s="34" t="n">
        <f aca="false">SUMIFS('12.326ana'!$C:$C,'12.326ana'!$M:$M,redes!A13134)</f>
        <v>0</v>
      </c>
    </row>
    <row r="13135" customFormat="false" ht="14.4" hidden="true" customHeight="false" outlineLevel="0" collapsed="false">
      <c r="A13135" s="34" t="n">
        <v>15370582000175</v>
      </c>
      <c r="B13135" s="34" t="s">
        <v>25020</v>
      </c>
      <c r="C13135" s="34" t="s">
        <v>77</v>
      </c>
      <c r="E13135" s="30" t="s">
        <v>3452</v>
      </c>
      <c r="F13135" s="34" t="n">
        <f aca="false">IFERROR(VLOOKUP($A13135,'319'!$B:$H,7,0),0)</f>
        <v>0</v>
      </c>
      <c r="G13135" s="34" t="n">
        <f aca="false">SUMIFS('12.326ana'!$C:$C,'12.326ana'!$M:$M,redes!A13135)</f>
        <v>0</v>
      </c>
    </row>
    <row r="13136" customFormat="false" ht="14.4" hidden="true" customHeight="false" outlineLevel="0" collapsed="false">
      <c r="A13136" s="34" t="n">
        <v>15380413000116</v>
      </c>
      <c r="B13136" s="34" t="s">
        <v>25021</v>
      </c>
      <c r="C13136" s="34" t="s">
        <v>737</v>
      </c>
      <c r="E13136" s="30" t="s">
        <v>25022</v>
      </c>
      <c r="F13136" s="34" t="n">
        <f aca="false">IFERROR(VLOOKUP($A13136,'319'!$B:$H,7,0),0)</f>
        <v>0</v>
      </c>
      <c r="G13136" s="34" t="n">
        <f aca="false">SUMIFS('12.326ana'!$C:$C,'12.326ana'!$M:$M,redes!A13136)</f>
        <v>0</v>
      </c>
    </row>
    <row r="13137" customFormat="false" ht="14.4" hidden="true" customHeight="false" outlineLevel="0" collapsed="false">
      <c r="A13137" s="34" t="n">
        <v>15380587000189</v>
      </c>
      <c r="B13137" s="34" t="s">
        <v>25023</v>
      </c>
      <c r="C13137" s="34" t="s">
        <v>89</v>
      </c>
      <c r="E13137" s="30" t="s">
        <v>25024</v>
      </c>
      <c r="F13137" s="34" t="n">
        <f aca="false">IFERROR(VLOOKUP($A13137,'319'!$B:$H,7,0),0)</f>
        <v>0</v>
      </c>
      <c r="G13137" s="34" t="n">
        <f aca="false">SUMIFS('12.326ana'!$C:$C,'12.326ana'!$M:$M,redes!A13137)</f>
        <v>0</v>
      </c>
    </row>
    <row r="13138" customFormat="false" ht="14.4" hidden="true" customHeight="false" outlineLevel="0" collapsed="false">
      <c r="A13138" s="34" t="n">
        <v>15380827000145</v>
      </c>
      <c r="B13138" s="34" t="s">
        <v>25025</v>
      </c>
      <c r="C13138" s="34" t="s">
        <v>377</v>
      </c>
      <c r="E13138" s="30" t="s">
        <v>25026</v>
      </c>
      <c r="F13138" s="34" t="n">
        <f aca="false">IFERROR(VLOOKUP($A13138,'319'!$B:$H,7,0),0)</f>
        <v>0</v>
      </c>
      <c r="G13138" s="34" t="n">
        <f aca="false">SUMIFS('12.326ana'!$C:$C,'12.326ana'!$M:$M,redes!A13138)</f>
        <v>0</v>
      </c>
    </row>
    <row r="13139" customFormat="false" ht="14.4" hidden="true" customHeight="false" outlineLevel="0" collapsed="false">
      <c r="A13139" s="34" t="n">
        <v>15382377000120</v>
      </c>
      <c r="B13139" s="34" t="s">
        <v>25027</v>
      </c>
      <c r="C13139" s="34" t="s">
        <v>935</v>
      </c>
      <c r="E13139" s="30" t="s">
        <v>25028</v>
      </c>
      <c r="F13139" s="34" t="n">
        <f aca="false">IFERROR(VLOOKUP($A13139,'319'!$B:$H,7,0),0)</f>
        <v>0</v>
      </c>
      <c r="G13139" s="34" t="n">
        <f aca="false">SUMIFS('12.326ana'!$C:$C,'12.326ana'!$M:$M,redes!A13139)</f>
        <v>0</v>
      </c>
    </row>
    <row r="13140" customFormat="false" ht="14.4" hidden="true" customHeight="false" outlineLevel="0" collapsed="false">
      <c r="A13140" s="34" t="n">
        <v>15383607000175</v>
      </c>
      <c r="B13140" s="34" t="s">
        <v>25029</v>
      </c>
      <c r="C13140" s="34" t="s">
        <v>77</v>
      </c>
      <c r="E13140" s="30" t="s">
        <v>8201</v>
      </c>
      <c r="F13140" s="34" t="n">
        <f aca="false">IFERROR(VLOOKUP($A13140,'319'!$B:$H,7,0),0)</f>
        <v>0</v>
      </c>
      <c r="G13140" s="34" t="n">
        <f aca="false">SUMIFS('12.326ana'!$C:$C,'12.326ana'!$M:$M,redes!A13140)</f>
        <v>0</v>
      </c>
    </row>
    <row r="13141" customFormat="false" ht="14.4" hidden="true" customHeight="false" outlineLevel="0" collapsed="false">
      <c r="A13141" s="34" t="n">
        <v>15383870000164</v>
      </c>
      <c r="B13141" s="34" t="s">
        <v>25030</v>
      </c>
      <c r="C13141" s="34" t="s">
        <v>89</v>
      </c>
      <c r="E13141" s="30" t="s">
        <v>25031</v>
      </c>
      <c r="F13141" s="34" t="n">
        <f aca="false">IFERROR(VLOOKUP($A13141,'319'!$B:$H,7,0),0)</f>
        <v>683.86</v>
      </c>
      <c r="G13141" s="34" t="n">
        <f aca="false">SUMIFS('12.326ana'!$C:$C,'12.326ana'!$M:$M,redes!A13141)</f>
        <v>0</v>
      </c>
    </row>
    <row r="13142" customFormat="false" ht="14.4" hidden="true" customHeight="false" outlineLevel="0" collapsed="false">
      <c r="A13142" s="34" t="n">
        <v>15383953000153</v>
      </c>
      <c r="B13142" s="34" t="s">
        <v>25032</v>
      </c>
      <c r="C13142" s="34" t="s">
        <v>357</v>
      </c>
      <c r="E13142" s="30" t="s">
        <v>25033</v>
      </c>
      <c r="F13142" s="34" t="n">
        <f aca="false">IFERROR(VLOOKUP($A13142,'319'!$B:$H,7,0),0)</f>
        <v>0</v>
      </c>
      <c r="G13142" s="34" t="n">
        <f aca="false">SUMIFS('12.326ana'!$C:$C,'12.326ana'!$M:$M,redes!A13142)</f>
        <v>0</v>
      </c>
    </row>
    <row r="13143" customFormat="false" ht="14.4" hidden="true" customHeight="false" outlineLevel="0" collapsed="false">
      <c r="A13143" s="34" t="n">
        <v>15384480000109</v>
      </c>
      <c r="B13143" s="34" t="s">
        <v>25034</v>
      </c>
      <c r="C13143" s="34" t="s">
        <v>328</v>
      </c>
      <c r="E13143" s="30" t="s">
        <v>25035</v>
      </c>
      <c r="F13143" s="34" t="n">
        <f aca="false">IFERROR(VLOOKUP($A13143,'319'!$B:$H,7,0),0)</f>
        <v>0</v>
      </c>
      <c r="G13143" s="34" t="n">
        <f aca="false">SUMIFS('12.326ana'!$C:$C,'12.326ana'!$M:$M,redes!A13143)</f>
        <v>0</v>
      </c>
    </row>
    <row r="13144" customFormat="false" ht="14.4" hidden="true" customHeight="false" outlineLevel="0" collapsed="false">
      <c r="A13144" s="34" t="n">
        <v>15384788000154</v>
      </c>
      <c r="B13144" s="34" t="s">
        <v>25036</v>
      </c>
      <c r="C13144" s="34" t="s">
        <v>405</v>
      </c>
      <c r="E13144" s="30" t="s">
        <v>25037</v>
      </c>
      <c r="F13144" s="34" t="n">
        <f aca="false">IFERROR(VLOOKUP($A13144,'319'!$B:$H,7,0),0)</f>
        <v>0</v>
      </c>
      <c r="G13144" s="34" t="n">
        <f aca="false">SUMIFS('12.326ana'!$C:$C,'12.326ana'!$M:$M,redes!A13144)</f>
        <v>0</v>
      </c>
    </row>
    <row r="13145" customFormat="false" ht="14.4" hidden="true" customHeight="false" outlineLevel="0" collapsed="false">
      <c r="A13145" s="34" t="n">
        <v>15385851000177</v>
      </c>
      <c r="B13145" s="34" t="s">
        <v>25038</v>
      </c>
      <c r="C13145" s="34" t="s">
        <v>77</v>
      </c>
      <c r="E13145" s="30" t="s">
        <v>25039</v>
      </c>
      <c r="F13145" s="34" t="n">
        <f aca="false">IFERROR(VLOOKUP($A13145,'319'!$B:$H,7,0),0)</f>
        <v>0</v>
      </c>
      <c r="G13145" s="34" t="n">
        <f aca="false">SUMIFS('12.326ana'!$C:$C,'12.326ana'!$M:$M,redes!A13145)</f>
        <v>0</v>
      </c>
    </row>
    <row r="13146" customFormat="false" ht="14.4" hidden="true" customHeight="false" outlineLevel="0" collapsed="false">
      <c r="A13146" s="34" t="n">
        <v>15388267000175</v>
      </c>
      <c r="B13146" s="34" t="s">
        <v>25040</v>
      </c>
      <c r="C13146" s="34" t="s">
        <v>207</v>
      </c>
      <c r="E13146" s="30" t="s">
        <v>7193</v>
      </c>
      <c r="F13146" s="34" t="n">
        <f aca="false">IFERROR(VLOOKUP($A13146,'319'!$B:$H,7,0),0)</f>
        <v>0</v>
      </c>
      <c r="G13146" s="34" t="n">
        <f aca="false">SUMIFS('12.326ana'!$C:$C,'12.326ana'!$M:$M,redes!A13146)</f>
        <v>0</v>
      </c>
    </row>
    <row r="13147" customFormat="false" ht="14.4" hidden="true" customHeight="false" outlineLevel="0" collapsed="false">
      <c r="A13147" s="34" t="n">
        <v>15388267000337</v>
      </c>
      <c r="B13147" s="34" t="s">
        <v>25041</v>
      </c>
      <c r="C13147" s="34" t="s">
        <v>207</v>
      </c>
      <c r="E13147" s="30" t="s">
        <v>19190</v>
      </c>
      <c r="F13147" s="34" t="n">
        <f aca="false">IFERROR(VLOOKUP($A13147,'319'!$B:$H,7,0),0)</f>
        <v>0</v>
      </c>
      <c r="G13147" s="34" t="n">
        <f aca="false">SUMIFS('12.326ana'!$C:$C,'12.326ana'!$M:$M,redes!A13147)</f>
        <v>0</v>
      </c>
    </row>
    <row r="13148" customFormat="false" ht="14.4" hidden="true" customHeight="false" outlineLevel="0" collapsed="false">
      <c r="A13148" s="34" t="n">
        <v>15392038000124</v>
      </c>
      <c r="B13148" s="34" t="s">
        <v>25042</v>
      </c>
      <c r="C13148" s="34" t="s">
        <v>377</v>
      </c>
      <c r="E13148" s="30" t="s">
        <v>25043</v>
      </c>
      <c r="F13148" s="34" t="n">
        <f aca="false">IFERROR(VLOOKUP($A13148,'319'!$B:$H,7,0),0)</f>
        <v>0</v>
      </c>
      <c r="G13148" s="34" t="n">
        <f aca="false">SUMIFS('12.326ana'!$C:$C,'12.326ana'!$M:$M,redes!A13148)</f>
        <v>0</v>
      </c>
    </row>
    <row r="13149" customFormat="false" ht="14.4" hidden="true" customHeight="false" outlineLevel="0" collapsed="false">
      <c r="A13149" s="34" t="n">
        <v>15393531000169</v>
      </c>
      <c r="B13149" s="34" t="s">
        <v>25044</v>
      </c>
      <c r="C13149" s="34" t="s">
        <v>107</v>
      </c>
      <c r="D13149" s="34" t="s">
        <v>4797</v>
      </c>
      <c r="E13149" s="30"/>
      <c r="F13149" s="34" t="n">
        <f aca="false">IFERROR(VLOOKUP($A13149,'319'!$B:$H,7,0),0)</f>
        <v>0</v>
      </c>
      <c r="G13149" s="34" t="n">
        <f aca="false">SUMIFS('12.326ana'!$C:$C,'12.326ana'!$M:$M,redes!A13149)</f>
        <v>0</v>
      </c>
    </row>
    <row r="13150" customFormat="false" ht="14.4" hidden="true" customHeight="false" outlineLevel="0" collapsed="false">
      <c r="A13150" s="34" t="n">
        <v>15393705000193</v>
      </c>
      <c r="B13150" s="34" t="s">
        <v>25045</v>
      </c>
      <c r="C13150" s="34" t="s">
        <v>979</v>
      </c>
      <c r="E13150" s="30" t="s">
        <v>25046</v>
      </c>
      <c r="F13150" s="34" t="n">
        <f aca="false">IFERROR(VLOOKUP($A13150,'319'!$B:$H,7,0),0)</f>
        <v>0</v>
      </c>
      <c r="G13150" s="34" t="n">
        <f aca="false">SUMIFS('12.326ana'!$C:$C,'12.326ana'!$M:$M,redes!A13150)</f>
        <v>0</v>
      </c>
    </row>
    <row r="13151" customFormat="false" ht="14.4" hidden="true" customHeight="false" outlineLevel="0" collapsed="false">
      <c r="A13151" s="34" t="n">
        <v>15393721000186</v>
      </c>
      <c r="B13151" s="34" t="s">
        <v>25047</v>
      </c>
      <c r="C13151" s="34" t="s">
        <v>107</v>
      </c>
      <c r="E13151" s="30" t="s">
        <v>25048</v>
      </c>
      <c r="F13151" s="34" t="n">
        <f aca="false">IFERROR(VLOOKUP($A13151,'319'!$B:$H,7,0),0)</f>
        <v>0</v>
      </c>
      <c r="G13151" s="34" t="n">
        <f aca="false">SUMIFS('12.326ana'!$C:$C,'12.326ana'!$M:$M,redes!A13151)</f>
        <v>0</v>
      </c>
    </row>
    <row r="13152" customFormat="false" ht="14.4" hidden="true" customHeight="false" outlineLevel="0" collapsed="false">
      <c r="A13152" s="34" t="n">
        <v>15393999000153</v>
      </c>
      <c r="B13152" s="34" t="s">
        <v>25049</v>
      </c>
      <c r="C13152" s="34" t="s">
        <v>139</v>
      </c>
      <c r="E13152" s="30" t="s">
        <v>16634</v>
      </c>
      <c r="F13152" s="34" t="n">
        <f aca="false">IFERROR(VLOOKUP($A13152,'319'!$B:$H,7,0),0)</f>
        <v>0</v>
      </c>
      <c r="G13152" s="34" t="n">
        <f aca="false">SUMIFS('12.326ana'!$C:$C,'12.326ana'!$M:$M,redes!A13152)</f>
        <v>0</v>
      </c>
    </row>
    <row r="13153" customFormat="false" ht="14.4" hidden="true" customHeight="false" outlineLevel="0" collapsed="false">
      <c r="A13153" s="34" t="n">
        <v>15395312000119</v>
      </c>
      <c r="B13153" s="34" t="s">
        <v>25050</v>
      </c>
      <c r="C13153" s="34" t="s">
        <v>107</v>
      </c>
      <c r="E13153" s="30" t="s">
        <v>25051</v>
      </c>
      <c r="F13153" s="34" t="n">
        <f aca="false">IFERROR(VLOOKUP($A13153,'319'!$B:$H,7,0),0)</f>
        <v>0</v>
      </c>
      <c r="G13153" s="34" t="n">
        <f aca="false">SUMIFS('12.326ana'!$C:$C,'12.326ana'!$M:$M,redes!A13153)</f>
        <v>0</v>
      </c>
    </row>
    <row r="13154" customFormat="false" ht="14.4" hidden="true" customHeight="false" outlineLevel="0" collapsed="false">
      <c r="A13154" s="34" t="n">
        <v>15397649000165</v>
      </c>
      <c r="B13154" s="34" t="s">
        <v>25052</v>
      </c>
      <c r="C13154" s="34" t="s">
        <v>77</v>
      </c>
      <c r="E13154" s="30" t="s">
        <v>25053</v>
      </c>
      <c r="F13154" s="34" t="n">
        <f aca="false">IFERROR(VLOOKUP($A13154,'319'!$B:$H,7,0),0)</f>
        <v>0</v>
      </c>
      <c r="G13154" s="34" t="n">
        <f aca="false">SUMIFS('12.326ana'!$C:$C,'12.326ana'!$M:$M,redes!A13154)</f>
        <v>0</v>
      </c>
    </row>
    <row r="13155" customFormat="false" ht="14.4" hidden="true" customHeight="false" outlineLevel="0" collapsed="false">
      <c r="A13155" s="34" t="n">
        <v>15400518000190</v>
      </c>
      <c r="B13155" s="34" t="s">
        <v>25054</v>
      </c>
      <c r="C13155" s="34" t="s">
        <v>107</v>
      </c>
      <c r="E13155" s="30" t="s">
        <v>3765</v>
      </c>
      <c r="F13155" s="34" t="n">
        <f aca="false">IFERROR(VLOOKUP($A13155,'319'!$B:$H,7,0),0)</f>
        <v>0</v>
      </c>
      <c r="G13155" s="34" t="n">
        <f aca="false">SUMIFS('12.326ana'!$C:$C,'12.326ana'!$M:$M,redes!A13155)</f>
        <v>0</v>
      </c>
    </row>
    <row r="13156" customFormat="false" ht="14.4" hidden="true" customHeight="false" outlineLevel="0" collapsed="false">
      <c r="A13156" s="34" t="n">
        <v>15400955000103</v>
      </c>
      <c r="B13156" s="34" t="s">
        <v>25055</v>
      </c>
      <c r="C13156" s="34" t="s">
        <v>881</v>
      </c>
      <c r="E13156" s="30" t="s">
        <v>25056</v>
      </c>
      <c r="F13156" s="34" t="n">
        <f aca="false">IFERROR(VLOOKUP($A13156,'319'!$B:$H,7,0),0)</f>
        <v>0</v>
      </c>
      <c r="G13156" s="34" t="n">
        <f aca="false">SUMIFS('12.326ana'!$C:$C,'12.326ana'!$M:$M,redes!A13156)</f>
        <v>0</v>
      </c>
    </row>
    <row r="13157" customFormat="false" ht="14.4" hidden="true" customHeight="false" outlineLevel="0" collapsed="false">
      <c r="A13157" s="34" t="n">
        <v>15401839000109</v>
      </c>
      <c r="B13157" s="34" t="s">
        <v>25057</v>
      </c>
      <c r="C13157" s="34" t="s">
        <v>357</v>
      </c>
      <c r="E13157" s="30" t="s">
        <v>4626</v>
      </c>
      <c r="F13157" s="34" t="n">
        <f aca="false">IFERROR(VLOOKUP($A13157,'319'!$B:$H,7,0),0)</f>
        <v>0</v>
      </c>
      <c r="G13157" s="34" t="n">
        <f aca="false">SUMIFS('12.326ana'!$C:$C,'12.326ana'!$M:$M,redes!A13157)</f>
        <v>0</v>
      </c>
    </row>
    <row r="13158" customFormat="false" ht="14.4" hidden="true" customHeight="false" outlineLevel="0" collapsed="false">
      <c r="A13158" s="34" t="n">
        <v>15402787000195</v>
      </c>
      <c r="B13158" s="34" t="s">
        <v>25058</v>
      </c>
      <c r="C13158" s="34" t="s">
        <v>1272</v>
      </c>
      <c r="E13158" s="30" t="s">
        <v>25059</v>
      </c>
      <c r="F13158" s="34" t="n">
        <f aca="false">IFERROR(VLOOKUP($A13158,'319'!$B:$H,7,0),0)</f>
        <v>0</v>
      </c>
      <c r="G13158" s="34" t="n">
        <f aca="false">SUMIFS('12.326ana'!$C:$C,'12.326ana'!$M:$M,redes!A13158)</f>
        <v>0</v>
      </c>
    </row>
    <row r="13159" customFormat="false" ht="14.4" hidden="true" customHeight="false" outlineLevel="0" collapsed="false">
      <c r="A13159" s="34" t="n">
        <v>15403272000100</v>
      </c>
      <c r="B13159" s="34" t="s">
        <v>25060</v>
      </c>
      <c r="C13159" s="34" t="s">
        <v>464</v>
      </c>
      <c r="E13159" s="30" t="s">
        <v>25061</v>
      </c>
      <c r="F13159" s="34" t="n">
        <f aca="false">IFERROR(VLOOKUP($A13159,'319'!$B:$H,7,0),0)</f>
        <v>0</v>
      </c>
      <c r="G13159" s="34" t="n">
        <f aca="false">SUMIFS('12.326ana'!$C:$C,'12.326ana'!$M:$M,redes!A13159)</f>
        <v>0</v>
      </c>
    </row>
    <row r="13160" customFormat="false" ht="14.4" hidden="true" customHeight="false" outlineLevel="0" collapsed="false">
      <c r="A13160" s="34" t="n">
        <v>15404413000109</v>
      </c>
      <c r="B13160" s="34" t="s">
        <v>25062</v>
      </c>
      <c r="C13160" s="34" t="s">
        <v>197</v>
      </c>
      <c r="E13160" s="30" t="s">
        <v>25063</v>
      </c>
      <c r="F13160" s="34" t="n">
        <f aca="false">IFERROR(VLOOKUP($A13160,'319'!$B:$H,7,0),0)</f>
        <v>0</v>
      </c>
      <c r="G13160" s="34" t="n">
        <f aca="false">SUMIFS('12.326ana'!$C:$C,'12.326ana'!$M:$M,redes!A13160)</f>
        <v>0</v>
      </c>
    </row>
    <row r="13161" customFormat="false" ht="14.4" hidden="true" customHeight="false" outlineLevel="0" collapsed="false">
      <c r="A13161" s="34" t="n">
        <v>15405141000161</v>
      </c>
      <c r="B13161" s="34" t="s">
        <v>25064</v>
      </c>
      <c r="C13161" s="34" t="s">
        <v>737</v>
      </c>
      <c r="E13161" s="30" t="s">
        <v>25065</v>
      </c>
      <c r="F13161" s="34" t="n">
        <f aca="false">IFERROR(VLOOKUP($A13161,'319'!$B:$H,7,0),0)</f>
        <v>282.69</v>
      </c>
      <c r="G13161" s="34" t="n">
        <f aca="false">SUMIFS('12.326ana'!$C:$C,'12.326ana'!$M:$M,redes!A13161)</f>
        <v>0</v>
      </c>
    </row>
    <row r="13162" customFormat="false" ht="14.4" hidden="true" customHeight="false" outlineLevel="0" collapsed="false">
      <c r="A13162" s="34" t="n">
        <v>15405970000144</v>
      </c>
      <c r="B13162" s="34" t="s">
        <v>25066</v>
      </c>
      <c r="C13162" s="34" t="s">
        <v>117</v>
      </c>
      <c r="E13162" s="30" t="s">
        <v>25067</v>
      </c>
      <c r="F13162" s="34" t="n">
        <f aca="false">IFERROR(VLOOKUP($A13162,'319'!$B:$H,7,0),0)</f>
        <v>0</v>
      </c>
      <c r="G13162" s="34" t="n">
        <f aca="false">SUMIFS('12.326ana'!$C:$C,'12.326ana'!$M:$M,redes!A13162)</f>
        <v>0</v>
      </c>
    </row>
    <row r="13163" customFormat="false" ht="14.4" hidden="true" customHeight="false" outlineLevel="0" collapsed="false">
      <c r="A13163" s="34" t="n">
        <v>15407117000161</v>
      </c>
      <c r="B13163" s="34" t="s">
        <v>25068</v>
      </c>
      <c r="C13163" s="34" t="s">
        <v>107</v>
      </c>
      <c r="E13163" s="30" t="s">
        <v>25069</v>
      </c>
      <c r="F13163" s="34" t="n">
        <f aca="false">IFERROR(VLOOKUP($A13163,'319'!$B:$H,7,0),0)</f>
        <v>0</v>
      </c>
      <c r="G13163" s="34" t="n">
        <f aca="false">SUMIFS('12.326ana'!$C:$C,'12.326ana'!$M:$M,redes!A13163)</f>
        <v>0</v>
      </c>
    </row>
    <row r="13164" customFormat="false" ht="14.4" hidden="true" customHeight="false" outlineLevel="0" collapsed="false">
      <c r="A13164" s="34" t="n">
        <v>15408665000106</v>
      </c>
      <c r="B13164" s="34" t="s">
        <v>25070</v>
      </c>
      <c r="C13164" s="34" t="s">
        <v>77</v>
      </c>
      <c r="E13164" s="30" t="s">
        <v>25071</v>
      </c>
      <c r="F13164" s="34" t="n">
        <f aca="false">IFERROR(VLOOKUP($A13164,'319'!$B:$H,7,0),0)</f>
        <v>0</v>
      </c>
      <c r="G13164" s="34" t="n">
        <f aca="false">SUMIFS('12.326ana'!$C:$C,'12.326ana'!$M:$M,redes!A13164)</f>
        <v>0</v>
      </c>
    </row>
    <row r="13165" customFormat="false" ht="14.4" hidden="true" customHeight="false" outlineLevel="0" collapsed="false">
      <c r="A13165" s="34" t="n">
        <v>15408750000174</v>
      </c>
      <c r="B13165" s="34" t="s">
        <v>25072</v>
      </c>
      <c r="C13165" s="34" t="s">
        <v>103</v>
      </c>
      <c r="E13165" s="30" t="s">
        <v>25073</v>
      </c>
      <c r="F13165" s="34" t="n">
        <f aca="false">IFERROR(VLOOKUP($A13165,'319'!$B:$H,7,0),0)</f>
        <v>0</v>
      </c>
      <c r="G13165" s="34" t="n">
        <f aca="false">SUMIFS('12.326ana'!$C:$C,'12.326ana'!$M:$M,redes!A13165)</f>
        <v>0</v>
      </c>
    </row>
    <row r="13166" customFormat="false" ht="14.4" hidden="true" customHeight="false" outlineLevel="0" collapsed="false">
      <c r="A13166" s="34" t="n">
        <v>15408800000113</v>
      </c>
      <c r="B13166" s="34" t="s">
        <v>25074</v>
      </c>
      <c r="C13166" s="34" t="s">
        <v>1591</v>
      </c>
      <c r="E13166" s="30" t="s">
        <v>25075</v>
      </c>
      <c r="F13166" s="34" t="n">
        <f aca="false">IFERROR(VLOOKUP($A13166,'319'!$B:$H,7,0),0)</f>
        <v>0</v>
      </c>
      <c r="G13166" s="34" t="n">
        <f aca="false">SUMIFS('12.326ana'!$C:$C,'12.326ana'!$M:$M,redes!A13166)</f>
        <v>0</v>
      </c>
    </row>
    <row r="13167" customFormat="false" ht="14.4" hidden="true" customHeight="false" outlineLevel="0" collapsed="false">
      <c r="A13167" s="34" t="n">
        <v>15409166000133</v>
      </c>
      <c r="B13167" s="34" t="s">
        <v>25076</v>
      </c>
      <c r="C13167" s="34" t="s">
        <v>127</v>
      </c>
      <c r="E13167" s="30" t="s">
        <v>25076</v>
      </c>
      <c r="F13167" s="34" t="n">
        <f aca="false">IFERROR(VLOOKUP($A13167,'319'!$B:$H,7,0),0)</f>
        <v>0</v>
      </c>
      <c r="G13167" s="34" t="n">
        <f aca="false">SUMIFS('12.326ana'!$C:$C,'12.326ana'!$M:$M,redes!A13167)</f>
        <v>0</v>
      </c>
    </row>
    <row r="13168" customFormat="false" ht="14.4" hidden="true" customHeight="false" outlineLevel="0" collapsed="false">
      <c r="A13168" s="34" t="n">
        <v>15409881000176</v>
      </c>
      <c r="B13168" s="34" t="s">
        <v>25077</v>
      </c>
      <c r="C13168" s="34" t="s">
        <v>3060</v>
      </c>
      <c r="E13168" s="30" t="s">
        <v>8995</v>
      </c>
      <c r="F13168" s="34" t="n">
        <f aca="false">IFERROR(VLOOKUP($A13168,'319'!$B:$H,7,0),0)</f>
        <v>0</v>
      </c>
      <c r="G13168" s="34" t="n">
        <f aca="false">SUMIFS('12.326ana'!$C:$C,'12.326ana'!$M:$M,redes!A13168)</f>
        <v>0</v>
      </c>
    </row>
    <row r="13169" customFormat="false" ht="14.4" hidden="true" customHeight="false" outlineLevel="0" collapsed="false">
      <c r="A13169" s="34" t="n">
        <v>15410954000140</v>
      </c>
      <c r="B13169" s="34" t="s">
        <v>25078</v>
      </c>
      <c r="C13169" s="34" t="s">
        <v>77</v>
      </c>
      <c r="E13169" s="30" t="s">
        <v>25079</v>
      </c>
      <c r="F13169" s="34" t="n">
        <f aca="false">IFERROR(VLOOKUP($A13169,'319'!$B:$H,7,0),0)</f>
        <v>0</v>
      </c>
      <c r="G13169" s="34" t="n">
        <f aca="false">SUMIFS('12.326ana'!$C:$C,'12.326ana'!$M:$M,redes!A13169)</f>
        <v>0</v>
      </c>
    </row>
    <row r="13170" customFormat="false" ht="14.4" hidden="true" customHeight="false" outlineLevel="0" collapsed="false">
      <c r="A13170" s="34" t="n">
        <v>15414910000198</v>
      </c>
      <c r="B13170" s="34" t="s">
        <v>25080</v>
      </c>
      <c r="C13170" s="34" t="s">
        <v>737</v>
      </c>
      <c r="E13170" s="30" t="s">
        <v>25081</v>
      </c>
      <c r="F13170" s="34" t="n">
        <f aca="false">IFERROR(VLOOKUP($A13170,'319'!$B:$H,7,0),0)</f>
        <v>0</v>
      </c>
      <c r="G13170" s="34" t="n">
        <f aca="false">SUMIFS('12.326ana'!$C:$C,'12.326ana'!$M:$M,redes!A13170)</f>
        <v>0</v>
      </c>
    </row>
    <row r="13171" customFormat="false" ht="14.4" hidden="true" customHeight="false" outlineLevel="0" collapsed="false">
      <c r="A13171" s="34" t="n">
        <v>15415615000156</v>
      </c>
      <c r="B13171" s="34" t="s">
        <v>25082</v>
      </c>
      <c r="C13171" s="34" t="s">
        <v>77</v>
      </c>
      <c r="E13171" s="30" t="s">
        <v>25083</v>
      </c>
      <c r="F13171" s="34" t="n">
        <f aca="false">IFERROR(VLOOKUP($A13171,'319'!$B:$H,7,0),0)</f>
        <v>0</v>
      </c>
      <c r="G13171" s="34" t="n">
        <f aca="false">SUMIFS('12.326ana'!$C:$C,'12.326ana'!$M:$M,redes!A13171)</f>
        <v>0</v>
      </c>
    </row>
    <row r="13172" customFormat="false" ht="14.4" hidden="true" customHeight="false" outlineLevel="0" collapsed="false">
      <c r="A13172" s="34" t="n">
        <v>15416209000108</v>
      </c>
      <c r="B13172" s="34" t="s">
        <v>25084</v>
      </c>
      <c r="C13172" s="34" t="s">
        <v>77</v>
      </c>
      <c r="E13172" s="30"/>
      <c r="F13172" s="34" t="n">
        <f aca="false">IFERROR(VLOOKUP($A13172,'319'!$B:$H,7,0),0)</f>
        <v>0</v>
      </c>
      <c r="G13172" s="34" t="n">
        <f aca="false">SUMIFS('12.326ana'!$C:$C,'12.326ana'!$M:$M,redes!A13172)</f>
        <v>0</v>
      </c>
    </row>
    <row r="13173" customFormat="false" ht="14.4" hidden="true" customHeight="false" outlineLevel="0" collapsed="false">
      <c r="A13173" s="34" t="n">
        <v>15416787000144</v>
      </c>
      <c r="B13173" s="34" t="s">
        <v>25085</v>
      </c>
      <c r="C13173" s="34" t="s">
        <v>77</v>
      </c>
      <c r="E13173" s="30" t="s">
        <v>25086</v>
      </c>
      <c r="F13173" s="34" t="n">
        <f aca="false">IFERROR(VLOOKUP($A13173,'319'!$B:$H,7,0),0)</f>
        <v>0</v>
      </c>
      <c r="G13173" s="34" t="n">
        <f aca="false">SUMIFS('12.326ana'!$C:$C,'12.326ana'!$M:$M,redes!A13173)</f>
        <v>0</v>
      </c>
    </row>
    <row r="13174" customFormat="false" ht="14.4" hidden="true" customHeight="false" outlineLevel="0" collapsed="false">
      <c r="A13174" s="34" t="n">
        <v>15417928000143</v>
      </c>
      <c r="B13174" s="34" t="s">
        <v>25087</v>
      </c>
      <c r="C13174" s="34" t="s">
        <v>77</v>
      </c>
      <c r="E13174" s="30" t="s">
        <v>25088</v>
      </c>
      <c r="F13174" s="34" t="n">
        <f aca="false">IFERROR(VLOOKUP($A13174,'319'!$B:$H,7,0),0)</f>
        <v>0</v>
      </c>
      <c r="G13174" s="34" t="n">
        <f aca="false">SUMIFS('12.326ana'!$C:$C,'12.326ana'!$M:$M,redes!A13174)</f>
        <v>0</v>
      </c>
    </row>
    <row r="13175" customFormat="false" ht="14.4" hidden="true" customHeight="false" outlineLevel="0" collapsed="false">
      <c r="A13175" s="34" t="n">
        <v>15418205000169</v>
      </c>
      <c r="B13175" s="34" t="s">
        <v>25089</v>
      </c>
      <c r="C13175" s="34" t="s">
        <v>77</v>
      </c>
      <c r="D13175" s="34" t="s">
        <v>25090</v>
      </c>
      <c r="E13175" s="30" t="s">
        <v>25091</v>
      </c>
      <c r="F13175" s="34" t="n">
        <f aca="false">IFERROR(VLOOKUP($A13175,'319'!$B:$H,7,0),0)</f>
        <v>0</v>
      </c>
      <c r="G13175" s="34" t="n">
        <f aca="false">SUMIFS('12.326ana'!$C:$C,'12.326ana'!$M:$M,redes!A13175)</f>
        <v>0</v>
      </c>
    </row>
    <row r="13176" customFormat="false" ht="14.4" hidden="true" customHeight="false" outlineLevel="0" collapsed="false">
      <c r="A13176" s="34" t="n">
        <v>15418205000240</v>
      </c>
      <c r="B13176" s="34" t="s">
        <v>25089</v>
      </c>
      <c r="C13176" s="34" t="s">
        <v>77</v>
      </c>
      <c r="D13176" s="34" t="s">
        <v>17415</v>
      </c>
      <c r="E13176" s="30" t="s">
        <v>25091</v>
      </c>
      <c r="F13176" s="34" t="n">
        <f aca="false">IFERROR(VLOOKUP($A13176,'319'!$B:$H,7,0),0)</f>
        <v>0</v>
      </c>
      <c r="G13176" s="34" t="n">
        <f aca="false">SUMIFS('12.326ana'!$C:$C,'12.326ana'!$M:$M,redes!A13176)</f>
        <v>0</v>
      </c>
    </row>
    <row r="13177" customFormat="false" ht="14.4" hidden="true" customHeight="false" outlineLevel="0" collapsed="false">
      <c r="A13177" s="34" t="n">
        <v>15418205000320</v>
      </c>
      <c r="B13177" s="34" t="s">
        <v>25089</v>
      </c>
      <c r="C13177" s="34" t="s">
        <v>77</v>
      </c>
      <c r="D13177" s="34" t="s">
        <v>25090</v>
      </c>
      <c r="E13177" s="30" t="s">
        <v>25092</v>
      </c>
      <c r="F13177" s="34" t="n">
        <f aca="false">IFERROR(VLOOKUP($A13177,'319'!$B:$H,7,0),0)</f>
        <v>0</v>
      </c>
      <c r="G13177" s="34" t="n">
        <f aca="false">SUMIFS('12.326ana'!$C:$C,'12.326ana'!$M:$M,redes!A13177)</f>
        <v>0</v>
      </c>
    </row>
    <row r="13178" customFormat="false" ht="14.4" hidden="true" customHeight="false" outlineLevel="0" collapsed="false">
      <c r="A13178" s="34" t="n">
        <v>15418205000401</v>
      </c>
      <c r="B13178" s="34" t="s">
        <v>25089</v>
      </c>
      <c r="C13178" s="34" t="s">
        <v>77</v>
      </c>
      <c r="D13178" s="34" t="s">
        <v>25090</v>
      </c>
      <c r="E13178" s="30" t="s">
        <v>25093</v>
      </c>
      <c r="F13178" s="34" t="n">
        <f aca="false">IFERROR(VLOOKUP($A13178,'319'!$B:$H,7,0),0)</f>
        <v>0</v>
      </c>
      <c r="G13178" s="34" t="n">
        <f aca="false">SUMIFS('12.326ana'!$C:$C,'12.326ana'!$M:$M,redes!A13178)</f>
        <v>0</v>
      </c>
    </row>
    <row r="13179" customFormat="false" ht="14.4" hidden="true" customHeight="false" outlineLevel="0" collapsed="false">
      <c r="A13179" s="34" t="n">
        <v>15418205000592</v>
      </c>
      <c r="B13179" s="34" t="s">
        <v>25089</v>
      </c>
      <c r="C13179" s="34" t="s">
        <v>77</v>
      </c>
      <c r="D13179" s="34" t="s">
        <v>17415</v>
      </c>
      <c r="E13179" s="30" t="s">
        <v>25091</v>
      </c>
      <c r="F13179" s="34" t="n">
        <f aca="false">IFERROR(VLOOKUP($A13179,'319'!$B:$H,7,0),0)</f>
        <v>0</v>
      </c>
      <c r="G13179" s="34" t="n">
        <f aca="false">SUMIFS('12.326ana'!$C:$C,'12.326ana'!$M:$M,redes!A13179)</f>
        <v>0</v>
      </c>
    </row>
    <row r="13180" customFormat="false" ht="14.4" hidden="true" customHeight="false" outlineLevel="0" collapsed="false">
      <c r="A13180" s="34" t="n">
        <v>15418205000673</v>
      </c>
      <c r="B13180" s="34" t="s">
        <v>25089</v>
      </c>
      <c r="C13180" s="34" t="s">
        <v>77</v>
      </c>
      <c r="D13180" s="34" t="s">
        <v>25090</v>
      </c>
      <c r="E13180" s="30" t="s">
        <v>25094</v>
      </c>
      <c r="F13180" s="34" t="n">
        <f aca="false">IFERROR(VLOOKUP($A13180,'319'!$B:$H,7,0),0)</f>
        <v>0</v>
      </c>
      <c r="G13180" s="34" t="n">
        <f aca="false">SUMIFS('12.326ana'!$C:$C,'12.326ana'!$M:$M,redes!A13180)</f>
        <v>0</v>
      </c>
    </row>
    <row r="13181" customFormat="false" ht="14.4" hidden="true" customHeight="false" outlineLevel="0" collapsed="false">
      <c r="A13181" s="34" t="n">
        <v>15418205000754</v>
      </c>
      <c r="B13181" s="34" t="s">
        <v>25089</v>
      </c>
      <c r="C13181" s="34" t="s">
        <v>77</v>
      </c>
      <c r="D13181" s="34" t="s">
        <v>17415</v>
      </c>
      <c r="E13181" s="30" t="s">
        <v>25091</v>
      </c>
      <c r="F13181" s="34" t="n">
        <f aca="false">IFERROR(VLOOKUP($A13181,'319'!$B:$H,7,0),0)</f>
        <v>0</v>
      </c>
      <c r="G13181" s="34" t="n">
        <f aca="false">SUMIFS('12.326ana'!$C:$C,'12.326ana'!$M:$M,redes!A13181)</f>
        <v>0</v>
      </c>
    </row>
    <row r="13182" customFormat="false" ht="14.4" hidden="true" customHeight="false" outlineLevel="0" collapsed="false">
      <c r="A13182" s="34" t="n">
        <v>15418205000916</v>
      </c>
      <c r="B13182" s="34" t="s">
        <v>25089</v>
      </c>
      <c r="C13182" s="34" t="s">
        <v>77</v>
      </c>
      <c r="D13182" s="34" t="s">
        <v>17415</v>
      </c>
      <c r="E13182" s="30" t="s">
        <v>25091</v>
      </c>
      <c r="F13182" s="34" t="n">
        <f aca="false">IFERROR(VLOOKUP($A13182,'319'!$B:$H,7,0),0)</f>
        <v>0</v>
      </c>
      <c r="G13182" s="34" t="n">
        <f aca="false">SUMIFS('12.326ana'!$C:$C,'12.326ana'!$M:$M,redes!A13182)</f>
        <v>0</v>
      </c>
    </row>
    <row r="13183" customFormat="false" ht="14.4" hidden="true" customHeight="false" outlineLevel="0" collapsed="false">
      <c r="A13183" s="34" t="n">
        <v>15418205001050</v>
      </c>
      <c r="B13183" s="34" t="s">
        <v>25089</v>
      </c>
      <c r="C13183" s="34" t="s">
        <v>77</v>
      </c>
      <c r="D13183" s="34" t="s">
        <v>25090</v>
      </c>
      <c r="E13183" s="30" t="s">
        <v>25095</v>
      </c>
      <c r="F13183" s="34" t="n">
        <f aca="false">IFERROR(VLOOKUP($A13183,'319'!$B:$H,7,0),0)</f>
        <v>0</v>
      </c>
      <c r="G13183" s="34" t="n">
        <f aca="false">SUMIFS('12.326ana'!$C:$C,'12.326ana'!$M:$M,redes!A13183)</f>
        <v>0</v>
      </c>
    </row>
    <row r="13184" customFormat="false" ht="14.4" hidden="true" customHeight="false" outlineLevel="0" collapsed="false">
      <c r="A13184" s="34" t="n">
        <v>15418205001130</v>
      </c>
      <c r="B13184" s="34" t="s">
        <v>25089</v>
      </c>
      <c r="C13184" s="34" t="s">
        <v>77</v>
      </c>
      <c r="D13184" s="34" t="s">
        <v>17415</v>
      </c>
      <c r="E13184" s="30" t="s">
        <v>25091</v>
      </c>
      <c r="F13184" s="34" t="n">
        <f aca="false">IFERROR(VLOOKUP($A13184,'319'!$B:$H,7,0),0)</f>
        <v>0</v>
      </c>
      <c r="G13184" s="34" t="n">
        <f aca="false">SUMIFS('12.326ana'!$C:$C,'12.326ana'!$M:$M,redes!A13184)</f>
        <v>0</v>
      </c>
    </row>
    <row r="13185" customFormat="false" ht="14.4" hidden="true" customHeight="false" outlineLevel="0" collapsed="false">
      <c r="A13185" s="34" t="n">
        <v>15418205001211</v>
      </c>
      <c r="B13185" s="34" t="s">
        <v>25089</v>
      </c>
      <c r="C13185" s="34" t="s">
        <v>77</v>
      </c>
      <c r="D13185" s="34" t="s">
        <v>25090</v>
      </c>
      <c r="E13185" s="30" t="s">
        <v>25096</v>
      </c>
      <c r="F13185" s="34" t="n">
        <f aca="false">IFERROR(VLOOKUP($A13185,'319'!$B:$H,7,0),0)</f>
        <v>0</v>
      </c>
      <c r="G13185" s="34" t="n">
        <f aca="false">SUMIFS('12.326ana'!$C:$C,'12.326ana'!$M:$M,redes!A13185)</f>
        <v>0</v>
      </c>
    </row>
    <row r="13186" customFormat="false" ht="14.4" hidden="true" customHeight="false" outlineLevel="0" collapsed="false">
      <c r="A13186" s="34" t="n">
        <v>15418205001300</v>
      </c>
      <c r="B13186" s="34" t="s">
        <v>25089</v>
      </c>
      <c r="C13186" s="34" t="s">
        <v>77</v>
      </c>
      <c r="D13186" s="34" t="s">
        <v>25090</v>
      </c>
      <c r="E13186" s="30" t="s">
        <v>25097</v>
      </c>
      <c r="F13186" s="34" t="n">
        <f aca="false">IFERROR(VLOOKUP($A13186,'319'!$B:$H,7,0),0)</f>
        <v>0</v>
      </c>
      <c r="G13186" s="34" t="n">
        <f aca="false">SUMIFS('12.326ana'!$C:$C,'12.326ana'!$M:$M,redes!A13186)</f>
        <v>0</v>
      </c>
    </row>
    <row r="13187" customFormat="false" ht="14.4" hidden="true" customHeight="false" outlineLevel="0" collapsed="false">
      <c r="A13187" s="34" t="n">
        <v>15418205001483</v>
      </c>
      <c r="B13187" s="34" t="s">
        <v>25089</v>
      </c>
      <c r="C13187" s="34" t="s">
        <v>77</v>
      </c>
      <c r="D13187" s="34" t="s">
        <v>25090</v>
      </c>
      <c r="E13187" s="30" t="s">
        <v>25098</v>
      </c>
      <c r="F13187" s="34" t="n">
        <f aca="false">IFERROR(VLOOKUP($A13187,'319'!$B:$H,7,0),0)</f>
        <v>0</v>
      </c>
      <c r="G13187" s="34" t="n">
        <f aca="false">SUMIFS('12.326ana'!$C:$C,'12.326ana'!$M:$M,redes!A13187)</f>
        <v>0</v>
      </c>
    </row>
    <row r="13188" customFormat="false" ht="14.4" hidden="true" customHeight="false" outlineLevel="0" collapsed="false">
      <c r="A13188" s="34" t="n">
        <v>15418205001564</v>
      </c>
      <c r="B13188" s="34" t="s">
        <v>25089</v>
      </c>
      <c r="C13188" s="34" t="s">
        <v>77</v>
      </c>
      <c r="D13188" s="34" t="s">
        <v>17415</v>
      </c>
      <c r="E13188" s="30" t="s">
        <v>25091</v>
      </c>
      <c r="F13188" s="34" t="n">
        <f aca="false">IFERROR(VLOOKUP($A13188,'319'!$B:$H,7,0),0)</f>
        <v>0</v>
      </c>
      <c r="G13188" s="34" t="n">
        <f aca="false">SUMIFS('12.326ana'!$C:$C,'12.326ana'!$M:$M,redes!A13188)</f>
        <v>0</v>
      </c>
    </row>
    <row r="13189" customFormat="false" ht="14.4" hidden="true" customHeight="false" outlineLevel="0" collapsed="false">
      <c r="A13189" s="34" t="n">
        <v>15418205001645</v>
      </c>
      <c r="B13189" s="34" t="s">
        <v>25089</v>
      </c>
      <c r="C13189" s="34" t="s">
        <v>77</v>
      </c>
      <c r="D13189" s="34" t="s">
        <v>25090</v>
      </c>
      <c r="E13189" s="30" t="s">
        <v>25099</v>
      </c>
      <c r="F13189" s="34" t="n">
        <f aca="false">IFERROR(VLOOKUP($A13189,'319'!$B:$H,7,0),0)</f>
        <v>0</v>
      </c>
      <c r="G13189" s="34" t="n">
        <f aca="false">SUMIFS('12.326ana'!$C:$C,'12.326ana'!$M:$M,redes!A13189)</f>
        <v>0</v>
      </c>
    </row>
    <row r="13190" customFormat="false" ht="14.4" hidden="true" customHeight="false" outlineLevel="0" collapsed="false">
      <c r="A13190" s="34" t="n">
        <v>15418205001726</v>
      </c>
      <c r="B13190" s="34" t="s">
        <v>25089</v>
      </c>
      <c r="C13190" s="34" t="s">
        <v>77</v>
      </c>
      <c r="D13190" s="34" t="s">
        <v>25090</v>
      </c>
      <c r="E13190" s="30" t="s">
        <v>25100</v>
      </c>
      <c r="F13190" s="34" t="n">
        <f aca="false">IFERROR(VLOOKUP($A13190,'319'!$B:$H,7,0),0)</f>
        <v>0</v>
      </c>
      <c r="G13190" s="34" t="n">
        <f aca="false">SUMIFS('12.326ana'!$C:$C,'12.326ana'!$M:$M,redes!A13190)</f>
        <v>0</v>
      </c>
    </row>
    <row r="13191" customFormat="false" ht="14.4" hidden="true" customHeight="false" outlineLevel="0" collapsed="false">
      <c r="A13191" s="34" t="n">
        <v>15418205001807</v>
      </c>
      <c r="B13191" s="34" t="s">
        <v>25089</v>
      </c>
      <c r="C13191" s="34" t="s">
        <v>107</v>
      </c>
      <c r="D13191" s="34" t="s">
        <v>17415</v>
      </c>
      <c r="E13191" s="30" t="s">
        <v>25091</v>
      </c>
      <c r="F13191" s="34" t="n">
        <f aca="false">IFERROR(VLOOKUP($A13191,'319'!$B:$H,7,0),0)</f>
        <v>0</v>
      </c>
      <c r="G13191" s="34" t="n">
        <f aca="false">SUMIFS('12.326ana'!$C:$C,'12.326ana'!$M:$M,redes!A13191)</f>
        <v>0</v>
      </c>
    </row>
    <row r="13192" customFormat="false" ht="14.4" hidden="true" customHeight="false" outlineLevel="0" collapsed="false">
      <c r="A13192" s="34" t="n">
        <v>15418205001998</v>
      </c>
      <c r="B13192" s="34" t="s">
        <v>25101</v>
      </c>
      <c r="C13192" s="34" t="s">
        <v>77</v>
      </c>
      <c r="D13192" s="34" t="s">
        <v>25090</v>
      </c>
      <c r="E13192" s="30" t="s">
        <v>25102</v>
      </c>
      <c r="F13192" s="34" t="n">
        <f aca="false">IFERROR(VLOOKUP($A13192,'319'!$B:$H,7,0),0)</f>
        <v>0</v>
      </c>
      <c r="G13192" s="34" t="n">
        <f aca="false">SUMIFS('12.326ana'!$C:$C,'12.326ana'!$M:$M,redes!A13192)</f>
        <v>0</v>
      </c>
    </row>
    <row r="13193" customFormat="false" ht="14.4" hidden="true" customHeight="false" outlineLevel="0" collapsed="false">
      <c r="A13193" s="34" t="n">
        <v>15418205002021</v>
      </c>
      <c r="B13193" s="34" t="s">
        <v>25089</v>
      </c>
      <c r="C13193" s="34" t="s">
        <v>77</v>
      </c>
      <c r="D13193" s="34" t="s">
        <v>25090</v>
      </c>
      <c r="E13193" s="30" t="s">
        <v>25103</v>
      </c>
      <c r="F13193" s="34" t="n">
        <f aca="false">IFERROR(VLOOKUP($A13193,'319'!$B:$H,7,0),0)</f>
        <v>0</v>
      </c>
      <c r="G13193" s="34" t="n">
        <f aca="false">SUMIFS('12.326ana'!$C:$C,'12.326ana'!$M:$M,redes!A13193)</f>
        <v>0</v>
      </c>
    </row>
    <row r="13194" customFormat="false" ht="14.4" hidden="true" customHeight="false" outlineLevel="0" collapsed="false">
      <c r="A13194" s="34" t="n">
        <v>15418205002102</v>
      </c>
      <c r="B13194" s="34" t="s">
        <v>25089</v>
      </c>
      <c r="C13194" s="34" t="s">
        <v>77</v>
      </c>
      <c r="D13194" s="34" t="s">
        <v>25090</v>
      </c>
      <c r="E13194" s="30" t="s">
        <v>25104</v>
      </c>
      <c r="F13194" s="34" t="n">
        <f aca="false">IFERROR(VLOOKUP($A13194,'319'!$B:$H,7,0),0)</f>
        <v>0</v>
      </c>
      <c r="G13194" s="34" t="n">
        <f aca="false">SUMIFS('12.326ana'!$C:$C,'12.326ana'!$M:$M,redes!A13194)</f>
        <v>0</v>
      </c>
    </row>
    <row r="13195" customFormat="false" ht="14.4" hidden="true" customHeight="false" outlineLevel="0" collapsed="false">
      <c r="A13195" s="34" t="n">
        <v>15418205002293</v>
      </c>
      <c r="B13195" s="34" t="s">
        <v>25089</v>
      </c>
      <c r="C13195" s="34" t="s">
        <v>77</v>
      </c>
      <c r="D13195" s="34" t="s">
        <v>17415</v>
      </c>
      <c r="E13195" s="30" t="s">
        <v>25091</v>
      </c>
      <c r="F13195" s="34" t="n">
        <f aca="false">IFERROR(VLOOKUP($A13195,'319'!$B:$H,7,0),0)</f>
        <v>0</v>
      </c>
      <c r="G13195" s="34" t="n">
        <f aca="false">SUMIFS('12.326ana'!$C:$C,'12.326ana'!$M:$M,redes!A13195)</f>
        <v>0</v>
      </c>
    </row>
    <row r="13196" customFormat="false" ht="14.4" hidden="true" customHeight="false" outlineLevel="0" collapsed="false">
      <c r="A13196" s="34" t="n">
        <v>15418205002374</v>
      </c>
      <c r="B13196" s="34" t="s">
        <v>25089</v>
      </c>
      <c r="C13196" s="34" t="s">
        <v>77</v>
      </c>
      <c r="D13196" s="34" t="s">
        <v>17415</v>
      </c>
      <c r="E13196" s="30" t="s">
        <v>25091</v>
      </c>
      <c r="F13196" s="34" t="n">
        <f aca="false">IFERROR(VLOOKUP($A13196,'319'!$B:$H,7,0),0)</f>
        <v>0</v>
      </c>
      <c r="G13196" s="34" t="n">
        <f aca="false">SUMIFS('12.326ana'!$C:$C,'12.326ana'!$M:$M,redes!A13196)</f>
        <v>0</v>
      </c>
    </row>
    <row r="13197" customFormat="false" ht="14.4" hidden="true" customHeight="false" outlineLevel="0" collapsed="false">
      <c r="A13197" s="34" t="n">
        <v>15418205002455</v>
      </c>
      <c r="B13197" s="34" t="s">
        <v>25089</v>
      </c>
      <c r="C13197" s="34" t="s">
        <v>77</v>
      </c>
      <c r="D13197" s="34" t="s">
        <v>17415</v>
      </c>
      <c r="E13197" s="30" t="s">
        <v>25091</v>
      </c>
      <c r="F13197" s="34" t="n">
        <f aca="false">IFERROR(VLOOKUP($A13197,'319'!$B:$H,7,0),0)</f>
        <v>0</v>
      </c>
      <c r="G13197" s="34" t="n">
        <f aca="false">SUMIFS('12.326ana'!$C:$C,'12.326ana'!$M:$M,redes!A13197)</f>
        <v>0</v>
      </c>
    </row>
    <row r="13198" customFormat="false" ht="14.4" hidden="true" customHeight="false" outlineLevel="0" collapsed="false">
      <c r="A13198" s="34" t="n">
        <v>15418205002536</v>
      </c>
      <c r="B13198" s="34" t="s">
        <v>25089</v>
      </c>
      <c r="C13198" s="34" t="s">
        <v>77</v>
      </c>
      <c r="D13198" s="34" t="s">
        <v>17415</v>
      </c>
      <c r="E13198" s="30" t="s">
        <v>25091</v>
      </c>
      <c r="F13198" s="34" t="n">
        <f aca="false">IFERROR(VLOOKUP($A13198,'319'!$B:$H,7,0),0)</f>
        <v>0</v>
      </c>
      <c r="G13198" s="34" t="n">
        <f aca="false">SUMIFS('12.326ana'!$C:$C,'12.326ana'!$M:$M,redes!A13198)</f>
        <v>0</v>
      </c>
    </row>
    <row r="13199" customFormat="false" ht="14.4" hidden="true" customHeight="false" outlineLevel="0" collapsed="false">
      <c r="A13199" s="34" t="n">
        <v>15418205002617</v>
      </c>
      <c r="B13199" s="34" t="s">
        <v>25089</v>
      </c>
      <c r="C13199" s="34" t="s">
        <v>77</v>
      </c>
      <c r="D13199" s="34" t="s">
        <v>25090</v>
      </c>
      <c r="E13199" s="30" t="s">
        <v>25105</v>
      </c>
      <c r="F13199" s="34" t="n">
        <f aca="false">IFERROR(VLOOKUP($A13199,'319'!$B:$H,7,0),0)</f>
        <v>0</v>
      </c>
      <c r="G13199" s="34" t="n">
        <f aca="false">SUMIFS('12.326ana'!$C:$C,'12.326ana'!$M:$M,redes!A13199)</f>
        <v>0</v>
      </c>
    </row>
    <row r="13200" customFormat="false" ht="14.4" hidden="true" customHeight="false" outlineLevel="0" collapsed="false">
      <c r="A13200" s="34" t="n">
        <v>15418205002889</v>
      </c>
      <c r="B13200" s="34" t="s">
        <v>25089</v>
      </c>
      <c r="C13200" s="34" t="s">
        <v>139</v>
      </c>
      <c r="D13200" s="34" t="s">
        <v>25090</v>
      </c>
      <c r="E13200" s="30" t="s">
        <v>25106</v>
      </c>
      <c r="F13200" s="34" t="n">
        <f aca="false">IFERROR(VLOOKUP($A13200,'319'!$B:$H,7,0),0)</f>
        <v>0</v>
      </c>
      <c r="G13200" s="34" t="n">
        <f aca="false">SUMIFS('12.326ana'!$C:$C,'12.326ana'!$M:$M,redes!A13200)</f>
        <v>0</v>
      </c>
    </row>
    <row r="13201" customFormat="false" ht="14.4" hidden="true" customHeight="false" outlineLevel="0" collapsed="false">
      <c r="A13201" s="34" t="n">
        <v>15418205002960</v>
      </c>
      <c r="B13201" s="34" t="s">
        <v>25089</v>
      </c>
      <c r="C13201" s="34" t="s">
        <v>77</v>
      </c>
      <c r="D13201" s="34" t="s">
        <v>25090</v>
      </c>
      <c r="E13201" s="30" t="s">
        <v>25107</v>
      </c>
      <c r="F13201" s="34" t="n">
        <f aca="false">IFERROR(VLOOKUP($A13201,'319'!$B:$H,7,0),0)</f>
        <v>0</v>
      </c>
      <c r="G13201" s="34" t="n">
        <f aca="false">SUMIFS('12.326ana'!$C:$C,'12.326ana'!$M:$M,redes!A13201)</f>
        <v>0</v>
      </c>
    </row>
    <row r="13202" customFormat="false" ht="14.4" hidden="true" customHeight="false" outlineLevel="0" collapsed="false">
      <c r="A13202" s="34" t="n">
        <v>15418205003001</v>
      </c>
      <c r="B13202" s="34" t="s">
        <v>25089</v>
      </c>
      <c r="C13202" s="34" t="s">
        <v>77</v>
      </c>
      <c r="D13202" s="34" t="s">
        <v>25090</v>
      </c>
      <c r="E13202" s="30" t="s">
        <v>25108</v>
      </c>
      <c r="F13202" s="34" t="n">
        <f aca="false">IFERROR(VLOOKUP($A13202,'319'!$B:$H,7,0),0)</f>
        <v>0</v>
      </c>
      <c r="G13202" s="34" t="n">
        <f aca="false">SUMIFS('12.326ana'!$C:$C,'12.326ana'!$M:$M,redes!A13202)</f>
        <v>0</v>
      </c>
    </row>
    <row r="13203" customFormat="false" ht="14.4" hidden="true" customHeight="false" outlineLevel="0" collapsed="false">
      <c r="A13203" s="34" t="n">
        <v>15418205003184</v>
      </c>
      <c r="B13203" s="34" t="s">
        <v>25089</v>
      </c>
      <c r="C13203" s="34" t="s">
        <v>77</v>
      </c>
      <c r="D13203" s="34" t="s">
        <v>25090</v>
      </c>
      <c r="E13203" s="30" t="s">
        <v>25109</v>
      </c>
      <c r="F13203" s="34" t="n">
        <f aca="false">IFERROR(VLOOKUP($A13203,'319'!$B:$H,7,0),0)</f>
        <v>0</v>
      </c>
      <c r="G13203" s="34" t="n">
        <f aca="false">SUMIFS('12.326ana'!$C:$C,'12.326ana'!$M:$M,redes!A13203)</f>
        <v>0</v>
      </c>
    </row>
    <row r="13204" customFormat="false" ht="14.4" hidden="true" customHeight="false" outlineLevel="0" collapsed="false">
      <c r="A13204" s="34" t="n">
        <v>15418205003931</v>
      </c>
      <c r="B13204" s="34" t="s">
        <v>25089</v>
      </c>
      <c r="C13204" s="34" t="s">
        <v>594</v>
      </c>
      <c r="D13204" s="34" t="s">
        <v>25090</v>
      </c>
      <c r="E13204" s="30" t="s">
        <v>25110</v>
      </c>
      <c r="F13204" s="34" t="n">
        <f aca="false">IFERROR(VLOOKUP($A13204,'319'!$B:$H,7,0),0)</f>
        <v>0</v>
      </c>
      <c r="G13204" s="34" t="n">
        <f aca="false">SUMIFS('12.326ana'!$C:$C,'12.326ana'!$M:$M,redes!A13204)</f>
        <v>0</v>
      </c>
    </row>
    <row r="13205" customFormat="false" ht="14.4" hidden="true" customHeight="false" outlineLevel="0" collapsed="false">
      <c r="A13205" s="34" t="n">
        <v>15418205004237</v>
      </c>
      <c r="B13205" s="34" t="s">
        <v>25089</v>
      </c>
      <c r="C13205" s="34" t="s">
        <v>89</v>
      </c>
      <c r="D13205" s="34" t="s">
        <v>17415</v>
      </c>
      <c r="E13205" s="30" t="s">
        <v>25091</v>
      </c>
      <c r="F13205" s="34" t="n">
        <f aca="false">IFERROR(VLOOKUP($A13205,'319'!$B:$H,7,0),0)</f>
        <v>0</v>
      </c>
      <c r="G13205" s="34" t="n">
        <f aca="false">SUMIFS('12.326ana'!$C:$C,'12.326ana'!$M:$M,redes!A13205)</f>
        <v>0</v>
      </c>
    </row>
    <row r="13206" customFormat="false" ht="14.4" hidden="true" customHeight="false" outlineLevel="0" collapsed="false">
      <c r="A13206" s="34" t="n">
        <v>15418205004318</v>
      </c>
      <c r="B13206" s="34" t="s">
        <v>25089</v>
      </c>
      <c r="C13206" s="34" t="s">
        <v>77</v>
      </c>
      <c r="D13206" s="34" t="s">
        <v>25090</v>
      </c>
      <c r="E13206" s="30" t="s">
        <v>25091</v>
      </c>
      <c r="F13206" s="34" t="n">
        <f aca="false">IFERROR(VLOOKUP($A13206,'319'!$B:$H,7,0),0)</f>
        <v>0</v>
      </c>
      <c r="G13206" s="34" t="n">
        <f aca="false">SUMIFS('12.326ana'!$C:$C,'12.326ana'!$M:$M,redes!A13206)</f>
        <v>0</v>
      </c>
    </row>
    <row r="13207" customFormat="false" ht="14.4" hidden="true" customHeight="false" outlineLevel="0" collapsed="false">
      <c r="A13207" s="34" t="n">
        <v>15418205004580</v>
      </c>
      <c r="B13207" s="34" t="s">
        <v>25089</v>
      </c>
      <c r="C13207" s="34" t="s">
        <v>107</v>
      </c>
      <c r="D13207" s="34" t="s">
        <v>25090</v>
      </c>
      <c r="E13207" s="30" t="s">
        <v>25111</v>
      </c>
      <c r="F13207" s="34" t="n">
        <f aca="false">IFERROR(VLOOKUP($A13207,'319'!$B:$H,7,0),0)</f>
        <v>0</v>
      </c>
      <c r="G13207" s="34" t="n">
        <f aca="false">SUMIFS('12.326ana'!$C:$C,'12.326ana'!$M:$M,redes!A13207)</f>
        <v>0</v>
      </c>
    </row>
    <row r="13208" customFormat="false" ht="14.4" hidden="true" customHeight="false" outlineLevel="0" collapsed="false">
      <c r="A13208" s="34" t="n">
        <v>15418205004660</v>
      </c>
      <c r="B13208" s="34" t="s">
        <v>25089</v>
      </c>
      <c r="C13208" s="34" t="s">
        <v>107</v>
      </c>
      <c r="D13208" s="34" t="s">
        <v>17415</v>
      </c>
      <c r="E13208" s="30" t="s">
        <v>25091</v>
      </c>
      <c r="F13208" s="34" t="n">
        <f aca="false">IFERROR(VLOOKUP($A13208,'319'!$B:$H,7,0),0)</f>
        <v>0</v>
      </c>
      <c r="G13208" s="34" t="n">
        <f aca="false">SUMIFS('12.326ana'!$C:$C,'12.326ana'!$M:$M,redes!A13208)</f>
        <v>0</v>
      </c>
    </row>
    <row r="13209" customFormat="false" ht="14.4" hidden="true" customHeight="false" outlineLevel="0" collapsed="false">
      <c r="A13209" s="34" t="n">
        <v>15418205004741</v>
      </c>
      <c r="B13209" s="34" t="s">
        <v>25089</v>
      </c>
      <c r="C13209" s="34" t="s">
        <v>77</v>
      </c>
      <c r="D13209" s="34" t="s">
        <v>17415</v>
      </c>
      <c r="E13209" s="30" t="s">
        <v>25091</v>
      </c>
      <c r="F13209" s="34" t="n">
        <f aca="false">IFERROR(VLOOKUP($A13209,'319'!$B:$H,7,0),0)</f>
        <v>0</v>
      </c>
      <c r="G13209" s="34" t="n">
        <f aca="false">SUMIFS('12.326ana'!$C:$C,'12.326ana'!$M:$M,redes!A13209)</f>
        <v>0</v>
      </c>
    </row>
    <row r="13210" customFormat="false" ht="14.4" hidden="true" customHeight="false" outlineLevel="0" collapsed="false">
      <c r="A13210" s="34" t="n">
        <v>15418205004822</v>
      </c>
      <c r="B13210" s="34" t="s">
        <v>25112</v>
      </c>
      <c r="C13210" s="34" t="s">
        <v>342</v>
      </c>
      <c r="D13210" s="34" t="s">
        <v>25090</v>
      </c>
      <c r="E13210" s="30" t="s">
        <v>25113</v>
      </c>
      <c r="F13210" s="34" t="n">
        <f aca="false">IFERROR(VLOOKUP($A13210,'319'!$B:$H,7,0),0)</f>
        <v>0</v>
      </c>
      <c r="G13210" s="34" t="n">
        <f aca="false">SUMIFS('12.326ana'!$C:$C,'12.326ana'!$M:$M,redes!A13210)</f>
        <v>0</v>
      </c>
    </row>
    <row r="13211" customFormat="false" ht="14.4" hidden="true" customHeight="false" outlineLevel="0" collapsed="false">
      <c r="A13211" s="34" t="n">
        <v>15418205005390</v>
      </c>
      <c r="B13211" s="34" t="s">
        <v>25089</v>
      </c>
      <c r="C13211" s="34" t="s">
        <v>77</v>
      </c>
      <c r="D13211" s="34" t="s">
        <v>25090</v>
      </c>
      <c r="E13211" s="30" t="s">
        <v>25114</v>
      </c>
      <c r="F13211" s="34" t="n">
        <f aca="false">IFERROR(VLOOKUP($A13211,'319'!$B:$H,7,0),0)</f>
        <v>0</v>
      </c>
      <c r="G13211" s="34" t="n">
        <f aca="false">SUMIFS('12.326ana'!$C:$C,'12.326ana'!$M:$M,redes!A13211)</f>
        <v>0</v>
      </c>
    </row>
    <row r="13212" customFormat="false" ht="14.4" hidden="true" customHeight="false" outlineLevel="0" collapsed="false">
      <c r="A13212" s="34" t="n">
        <v>15418205005470</v>
      </c>
      <c r="B13212" s="34" t="s">
        <v>25089</v>
      </c>
      <c r="C13212" s="34" t="s">
        <v>103</v>
      </c>
      <c r="D13212" s="34" t="s">
        <v>25090</v>
      </c>
      <c r="E13212" s="30" t="s">
        <v>25115</v>
      </c>
      <c r="F13212" s="34" t="n">
        <f aca="false">IFERROR(VLOOKUP($A13212,'319'!$B:$H,7,0),0)</f>
        <v>0</v>
      </c>
      <c r="G13212" s="34" t="n">
        <f aca="false">SUMIFS('12.326ana'!$C:$C,'12.326ana'!$M:$M,redes!A13212)</f>
        <v>0</v>
      </c>
    </row>
    <row r="13213" customFormat="false" ht="14.4" hidden="true" customHeight="false" outlineLevel="0" collapsed="false">
      <c r="A13213" s="34" t="n">
        <v>15418205005551</v>
      </c>
      <c r="B13213" s="34" t="s">
        <v>25089</v>
      </c>
      <c r="C13213" s="34" t="s">
        <v>107</v>
      </c>
      <c r="D13213" s="34" t="s">
        <v>17415</v>
      </c>
      <c r="E13213" s="30" t="s">
        <v>25091</v>
      </c>
      <c r="F13213" s="34" t="n">
        <f aca="false">IFERROR(VLOOKUP($A13213,'319'!$B:$H,7,0),0)</f>
        <v>0</v>
      </c>
      <c r="G13213" s="34" t="n">
        <f aca="false">SUMIFS('12.326ana'!$C:$C,'12.326ana'!$M:$M,redes!A13213)</f>
        <v>0</v>
      </c>
    </row>
    <row r="13214" customFormat="false" ht="14.4" hidden="true" customHeight="false" outlineLevel="0" collapsed="false">
      <c r="A13214" s="34" t="n">
        <v>15418205005632</v>
      </c>
      <c r="B13214" s="34" t="s">
        <v>25089</v>
      </c>
      <c r="C13214" s="34" t="s">
        <v>77</v>
      </c>
      <c r="D13214" s="34" t="s">
        <v>25090</v>
      </c>
      <c r="E13214" s="30" t="s">
        <v>25116</v>
      </c>
      <c r="F13214" s="34" t="n">
        <f aca="false">IFERROR(VLOOKUP($A13214,'319'!$B:$H,7,0),0)</f>
        <v>0</v>
      </c>
      <c r="G13214" s="34" t="n">
        <f aca="false">SUMIFS('12.326ana'!$C:$C,'12.326ana'!$M:$M,redes!A13214)</f>
        <v>0</v>
      </c>
    </row>
    <row r="13215" customFormat="false" ht="14.4" hidden="true" customHeight="false" outlineLevel="0" collapsed="false">
      <c r="A13215" s="34" t="n">
        <v>15418205005713</v>
      </c>
      <c r="B13215" s="34" t="s">
        <v>25089</v>
      </c>
      <c r="C13215" s="34" t="s">
        <v>77</v>
      </c>
      <c r="D13215" s="34" t="s">
        <v>17415</v>
      </c>
      <c r="E13215" s="30" t="s">
        <v>25091</v>
      </c>
      <c r="F13215" s="34" t="n">
        <f aca="false">IFERROR(VLOOKUP($A13215,'319'!$B:$H,7,0),0)</f>
        <v>0</v>
      </c>
      <c r="G13215" s="34" t="n">
        <f aca="false">SUMIFS('12.326ana'!$C:$C,'12.326ana'!$M:$M,redes!A13215)</f>
        <v>0</v>
      </c>
    </row>
    <row r="13216" customFormat="false" ht="14.4" hidden="true" customHeight="false" outlineLevel="0" collapsed="false">
      <c r="A13216" s="34" t="n">
        <v>15418205005985</v>
      </c>
      <c r="B13216" s="34" t="s">
        <v>25089</v>
      </c>
      <c r="C13216" s="34" t="s">
        <v>77</v>
      </c>
      <c r="D13216" s="34" t="s">
        <v>17415</v>
      </c>
      <c r="E13216" s="30" t="s">
        <v>25091</v>
      </c>
      <c r="F13216" s="34" t="n">
        <f aca="false">IFERROR(VLOOKUP($A13216,'319'!$B:$H,7,0),0)</f>
        <v>0</v>
      </c>
      <c r="G13216" s="34" t="n">
        <f aca="false">SUMIFS('12.326ana'!$C:$C,'12.326ana'!$M:$M,redes!A13216)</f>
        <v>0</v>
      </c>
    </row>
    <row r="13217" customFormat="false" ht="14.4" hidden="true" customHeight="false" outlineLevel="0" collapsed="false">
      <c r="A13217" s="34" t="n">
        <v>15418205006019</v>
      </c>
      <c r="B13217" s="34" t="s">
        <v>25089</v>
      </c>
      <c r="C13217" s="34" t="s">
        <v>309</v>
      </c>
      <c r="D13217" s="34" t="s">
        <v>25090</v>
      </c>
      <c r="E13217" s="30" t="s">
        <v>25117</v>
      </c>
      <c r="F13217" s="34" t="n">
        <f aca="false">IFERROR(VLOOKUP($A13217,'319'!$B:$H,7,0),0)</f>
        <v>0</v>
      </c>
      <c r="G13217" s="34" t="n">
        <f aca="false">SUMIFS('12.326ana'!$C:$C,'12.326ana'!$M:$M,redes!A13217)</f>
        <v>0</v>
      </c>
    </row>
    <row r="13218" customFormat="false" ht="14.4" hidden="true" customHeight="false" outlineLevel="0" collapsed="false">
      <c r="A13218" s="34" t="n">
        <v>15418205006108</v>
      </c>
      <c r="B13218" s="34" t="s">
        <v>25118</v>
      </c>
      <c r="C13218" s="34" t="s">
        <v>107</v>
      </c>
      <c r="D13218" s="34" t="s">
        <v>17415</v>
      </c>
      <c r="E13218" s="30" t="s">
        <v>17416</v>
      </c>
      <c r="F13218" s="34" t="n">
        <f aca="false">IFERROR(VLOOKUP($A13218,'319'!$B:$H,7,0),0)</f>
        <v>0</v>
      </c>
      <c r="G13218" s="34" t="n">
        <f aca="false">SUMIFS('12.326ana'!$C:$C,'12.326ana'!$M:$M,redes!A13218)</f>
        <v>0</v>
      </c>
    </row>
    <row r="13219" customFormat="false" ht="14.4" hidden="true" customHeight="false" outlineLevel="0" collapsed="false">
      <c r="A13219" s="34" t="n">
        <v>15418205006280</v>
      </c>
      <c r="B13219" s="34" t="s">
        <v>25118</v>
      </c>
      <c r="C13219" s="34" t="s">
        <v>89</v>
      </c>
      <c r="D13219" s="34" t="s">
        <v>25090</v>
      </c>
      <c r="E13219" s="30" t="s">
        <v>25119</v>
      </c>
      <c r="F13219" s="34" t="n">
        <f aca="false">IFERROR(VLOOKUP($A13219,'319'!$B:$H,7,0),0)</f>
        <v>0</v>
      </c>
      <c r="G13219" s="34" t="n">
        <f aca="false">SUMIFS('12.326ana'!$C:$C,'12.326ana'!$M:$M,redes!A13219)</f>
        <v>0</v>
      </c>
    </row>
    <row r="13220" customFormat="false" ht="14.4" hidden="true" customHeight="false" outlineLevel="0" collapsed="false">
      <c r="A13220" s="34" t="n">
        <v>15418205006361</v>
      </c>
      <c r="B13220" s="34" t="s">
        <v>25089</v>
      </c>
      <c r="C13220" s="34" t="s">
        <v>77</v>
      </c>
      <c r="D13220" s="34" t="s">
        <v>17415</v>
      </c>
      <c r="E13220" s="30" t="s">
        <v>25091</v>
      </c>
      <c r="F13220" s="34" t="n">
        <f aca="false">IFERROR(VLOOKUP($A13220,'319'!$B:$H,7,0),0)</f>
        <v>0</v>
      </c>
      <c r="G13220" s="34" t="n">
        <f aca="false">SUMIFS('12.326ana'!$C:$C,'12.326ana'!$M:$M,redes!A13220)</f>
        <v>0</v>
      </c>
    </row>
    <row r="13221" customFormat="false" ht="14.4" hidden="true" customHeight="false" outlineLevel="0" collapsed="false">
      <c r="A13221" s="34" t="n">
        <v>15418205006442</v>
      </c>
      <c r="B13221" s="34" t="s">
        <v>25089</v>
      </c>
      <c r="C13221" s="34" t="s">
        <v>77</v>
      </c>
      <c r="D13221" s="34" t="s">
        <v>25090</v>
      </c>
      <c r="E13221" s="30" t="s">
        <v>25120</v>
      </c>
      <c r="F13221" s="34" t="n">
        <f aca="false">IFERROR(VLOOKUP($A13221,'319'!$B:$H,7,0),0)</f>
        <v>0</v>
      </c>
      <c r="G13221" s="34" t="n">
        <f aca="false">SUMIFS('12.326ana'!$C:$C,'12.326ana'!$M:$M,redes!A13221)</f>
        <v>0</v>
      </c>
    </row>
    <row r="13222" customFormat="false" ht="14.4" hidden="true" customHeight="false" outlineLevel="0" collapsed="false">
      <c r="A13222" s="34" t="n">
        <v>15418205006523</v>
      </c>
      <c r="B13222" s="34" t="s">
        <v>25118</v>
      </c>
      <c r="C13222" s="34" t="s">
        <v>117</v>
      </c>
      <c r="D13222" s="34" t="s">
        <v>25090</v>
      </c>
      <c r="E13222" s="30" t="s">
        <v>25121</v>
      </c>
      <c r="F13222" s="34" t="n">
        <f aca="false">IFERROR(VLOOKUP($A13222,'319'!$B:$H,7,0),0)</f>
        <v>0</v>
      </c>
      <c r="G13222" s="34" t="n">
        <f aca="false">SUMIFS('12.326ana'!$C:$C,'12.326ana'!$M:$M,redes!A13222)</f>
        <v>0</v>
      </c>
    </row>
    <row r="13223" customFormat="false" ht="14.4" hidden="true" customHeight="false" outlineLevel="0" collapsed="false">
      <c r="A13223" s="34" t="n">
        <v>15418205006604</v>
      </c>
      <c r="B13223" s="34" t="s">
        <v>25089</v>
      </c>
      <c r="C13223" s="34" t="s">
        <v>77</v>
      </c>
      <c r="D13223" s="34" t="s">
        <v>25090</v>
      </c>
      <c r="E13223" s="30" t="s">
        <v>25091</v>
      </c>
      <c r="F13223" s="34" t="n">
        <f aca="false">IFERROR(VLOOKUP($A13223,'319'!$B:$H,7,0),0)</f>
        <v>0</v>
      </c>
      <c r="G13223" s="34" t="n">
        <f aca="false">SUMIFS('12.326ana'!$C:$C,'12.326ana'!$M:$M,redes!A13223)</f>
        <v>0</v>
      </c>
    </row>
    <row r="13224" customFormat="false" ht="14.4" hidden="true" customHeight="false" outlineLevel="0" collapsed="false">
      <c r="A13224" s="34" t="n">
        <v>15418205006795</v>
      </c>
      <c r="B13224" s="34" t="s">
        <v>25118</v>
      </c>
      <c r="C13224" s="34" t="s">
        <v>77</v>
      </c>
      <c r="D13224" s="34" t="s">
        <v>25090</v>
      </c>
      <c r="E13224" s="30" t="s">
        <v>17416</v>
      </c>
      <c r="F13224" s="34" t="n">
        <f aca="false">IFERROR(VLOOKUP($A13224,'319'!$B:$H,7,0),0)</f>
        <v>0</v>
      </c>
      <c r="G13224" s="34" t="n">
        <f aca="false">SUMIFS('12.326ana'!$C:$C,'12.326ana'!$M:$M,redes!A13224)</f>
        <v>0</v>
      </c>
    </row>
    <row r="13225" customFormat="false" ht="14.4" hidden="true" customHeight="false" outlineLevel="0" collapsed="false">
      <c r="A13225" s="34" t="n">
        <v>15418205006876</v>
      </c>
      <c r="B13225" s="34" t="s">
        <v>25089</v>
      </c>
      <c r="C13225" s="34" t="s">
        <v>77</v>
      </c>
      <c r="D13225" s="34" t="s">
        <v>17415</v>
      </c>
      <c r="E13225" s="30" t="s">
        <v>25091</v>
      </c>
      <c r="F13225" s="34" t="n">
        <f aca="false">IFERROR(VLOOKUP($A13225,'319'!$B:$H,7,0),0)</f>
        <v>0</v>
      </c>
      <c r="G13225" s="34" t="n">
        <f aca="false">SUMIFS('12.326ana'!$C:$C,'12.326ana'!$M:$M,redes!A13225)</f>
        <v>0</v>
      </c>
    </row>
    <row r="13226" customFormat="false" ht="14.4" hidden="true" customHeight="false" outlineLevel="0" collapsed="false">
      <c r="A13226" s="34" t="n">
        <v>15418205006957</v>
      </c>
      <c r="B13226" s="34" t="s">
        <v>25122</v>
      </c>
      <c r="C13226" s="34" t="s">
        <v>77</v>
      </c>
      <c r="D13226" s="34" t="s">
        <v>17415</v>
      </c>
      <c r="E13226" s="30" t="s">
        <v>17416</v>
      </c>
      <c r="F13226" s="34" t="n">
        <f aca="false">IFERROR(VLOOKUP($A13226,'319'!$B:$H,7,0),0)</f>
        <v>0</v>
      </c>
      <c r="G13226" s="34" t="n">
        <f aca="false">SUMIFS('12.326ana'!$C:$C,'12.326ana'!$M:$M,redes!A13226)</f>
        <v>0</v>
      </c>
    </row>
    <row r="13227" customFormat="false" ht="14.4" hidden="true" customHeight="false" outlineLevel="0" collapsed="false">
      <c r="A13227" s="34" t="n">
        <v>15418205007090</v>
      </c>
      <c r="B13227" s="34" t="s">
        <v>25089</v>
      </c>
      <c r="C13227" s="34" t="s">
        <v>77</v>
      </c>
      <c r="D13227" s="34" t="s">
        <v>25090</v>
      </c>
      <c r="E13227" s="30" t="s">
        <v>25123</v>
      </c>
      <c r="F13227" s="34" t="n">
        <f aca="false">IFERROR(VLOOKUP($A13227,'319'!$B:$H,7,0),0)</f>
        <v>0</v>
      </c>
      <c r="G13227" s="34" t="n">
        <f aca="false">SUMIFS('12.326ana'!$C:$C,'12.326ana'!$M:$M,redes!A13227)</f>
        <v>0</v>
      </c>
    </row>
    <row r="13228" customFormat="false" ht="14.4" hidden="true" customHeight="false" outlineLevel="0" collapsed="false">
      <c r="A13228" s="34" t="n">
        <v>15418205007171</v>
      </c>
      <c r="B13228" s="34" t="s">
        <v>25089</v>
      </c>
      <c r="C13228" s="34" t="s">
        <v>77</v>
      </c>
      <c r="D13228" s="34" t="s">
        <v>17415</v>
      </c>
      <c r="E13228" s="30" t="s">
        <v>25091</v>
      </c>
      <c r="F13228" s="34" t="n">
        <f aca="false">IFERROR(VLOOKUP($A13228,'319'!$B:$H,7,0),0)</f>
        <v>0</v>
      </c>
      <c r="G13228" s="34" t="n">
        <f aca="false">SUMIFS('12.326ana'!$C:$C,'12.326ana'!$M:$M,redes!A13228)</f>
        <v>0</v>
      </c>
    </row>
    <row r="13229" customFormat="false" ht="14.4" hidden="true" customHeight="false" outlineLevel="0" collapsed="false">
      <c r="A13229" s="34" t="n">
        <v>15418205007252</v>
      </c>
      <c r="B13229" s="34" t="s">
        <v>25089</v>
      </c>
      <c r="C13229" s="34" t="s">
        <v>77</v>
      </c>
      <c r="D13229" s="34" t="s">
        <v>17415</v>
      </c>
      <c r="E13229" s="30" t="s">
        <v>25091</v>
      </c>
      <c r="F13229" s="34" t="n">
        <f aca="false">IFERROR(VLOOKUP($A13229,'319'!$B:$H,7,0),0)</f>
        <v>0</v>
      </c>
      <c r="G13229" s="34" t="n">
        <f aca="false">SUMIFS('12.326ana'!$C:$C,'12.326ana'!$M:$M,redes!A13229)</f>
        <v>0</v>
      </c>
    </row>
    <row r="13230" customFormat="false" ht="14.4" hidden="true" customHeight="false" outlineLevel="0" collapsed="false">
      <c r="A13230" s="34" t="n">
        <v>15418205007333</v>
      </c>
      <c r="B13230" s="34" t="s">
        <v>25089</v>
      </c>
      <c r="C13230" s="34" t="s">
        <v>77</v>
      </c>
      <c r="D13230" s="34" t="s">
        <v>25090</v>
      </c>
      <c r="E13230" s="30" t="s">
        <v>25124</v>
      </c>
      <c r="F13230" s="34" t="n">
        <f aca="false">IFERROR(VLOOKUP($A13230,'319'!$B:$H,7,0),0)</f>
        <v>0</v>
      </c>
      <c r="G13230" s="34" t="n">
        <f aca="false">SUMIFS('12.326ana'!$C:$C,'12.326ana'!$M:$M,redes!A13230)</f>
        <v>0</v>
      </c>
    </row>
    <row r="13231" customFormat="false" ht="14.4" hidden="true" customHeight="false" outlineLevel="0" collapsed="false">
      <c r="A13231" s="34" t="n">
        <v>15418205007414</v>
      </c>
      <c r="B13231" s="34" t="s">
        <v>25089</v>
      </c>
      <c r="C13231" s="34" t="s">
        <v>77</v>
      </c>
      <c r="D13231" s="34" t="s">
        <v>17415</v>
      </c>
      <c r="E13231" s="30" t="s">
        <v>25091</v>
      </c>
      <c r="F13231" s="34" t="n">
        <f aca="false">IFERROR(VLOOKUP($A13231,'319'!$B:$H,7,0),0)</f>
        <v>0</v>
      </c>
      <c r="G13231" s="34" t="n">
        <f aca="false">SUMIFS('12.326ana'!$C:$C,'12.326ana'!$M:$M,redes!A13231)</f>
        <v>0</v>
      </c>
    </row>
    <row r="13232" customFormat="false" ht="14.4" hidden="true" customHeight="false" outlineLevel="0" collapsed="false">
      <c r="A13232" s="34" t="n">
        <v>15418205007503</v>
      </c>
      <c r="B13232" s="34" t="s">
        <v>25089</v>
      </c>
      <c r="C13232" s="34" t="s">
        <v>77</v>
      </c>
      <c r="D13232" s="34" t="s">
        <v>25090</v>
      </c>
      <c r="E13232" s="30" t="s">
        <v>25125</v>
      </c>
      <c r="F13232" s="34" t="n">
        <f aca="false">IFERROR(VLOOKUP($A13232,'319'!$B:$H,7,0),0)</f>
        <v>0</v>
      </c>
      <c r="G13232" s="34" t="n">
        <f aca="false">SUMIFS('12.326ana'!$C:$C,'12.326ana'!$M:$M,redes!A13232)</f>
        <v>0</v>
      </c>
    </row>
    <row r="13233" customFormat="false" ht="14.4" hidden="true" customHeight="false" outlineLevel="0" collapsed="false">
      <c r="A13233" s="34" t="n">
        <v>15418205007686</v>
      </c>
      <c r="B13233" s="34" t="s">
        <v>25089</v>
      </c>
      <c r="C13233" s="34" t="s">
        <v>357</v>
      </c>
      <c r="D13233" s="34" t="s">
        <v>17415</v>
      </c>
      <c r="E13233" s="30" t="s">
        <v>25091</v>
      </c>
      <c r="F13233" s="34" t="n">
        <f aca="false">IFERROR(VLOOKUP($A13233,'319'!$B:$H,7,0),0)</f>
        <v>0</v>
      </c>
      <c r="G13233" s="34" t="n">
        <f aca="false">SUMIFS('12.326ana'!$C:$C,'12.326ana'!$M:$M,redes!A13233)</f>
        <v>0</v>
      </c>
    </row>
    <row r="13234" customFormat="false" ht="14.4" hidden="true" customHeight="false" outlineLevel="0" collapsed="false">
      <c r="A13234" s="34" t="n">
        <v>15418205007767</v>
      </c>
      <c r="B13234" s="34" t="s">
        <v>25089</v>
      </c>
      <c r="C13234" s="34" t="s">
        <v>351</v>
      </c>
      <c r="D13234" s="34" t="s">
        <v>25090</v>
      </c>
      <c r="E13234" s="30" t="s">
        <v>25126</v>
      </c>
      <c r="F13234" s="34" t="n">
        <f aca="false">IFERROR(VLOOKUP($A13234,'319'!$B:$H,7,0),0)</f>
        <v>0</v>
      </c>
      <c r="G13234" s="34" t="n">
        <f aca="false">SUMIFS('12.326ana'!$C:$C,'12.326ana'!$M:$M,redes!A13234)</f>
        <v>0</v>
      </c>
    </row>
    <row r="13235" customFormat="false" ht="14.4" hidden="true" customHeight="false" outlineLevel="0" collapsed="false">
      <c r="A13235" s="34" t="n">
        <v>15418205007929</v>
      </c>
      <c r="B13235" s="34" t="s">
        <v>25089</v>
      </c>
      <c r="C13235" s="34" t="s">
        <v>77</v>
      </c>
      <c r="D13235" s="34" t="s">
        <v>25090</v>
      </c>
      <c r="E13235" s="30" t="s">
        <v>25127</v>
      </c>
      <c r="F13235" s="34" t="n">
        <f aca="false">IFERROR(VLOOKUP($A13235,'319'!$B:$H,7,0),0)</f>
        <v>0</v>
      </c>
      <c r="G13235" s="34" t="n">
        <f aca="false">SUMIFS('12.326ana'!$C:$C,'12.326ana'!$M:$M,redes!A13235)</f>
        <v>0</v>
      </c>
    </row>
    <row r="13236" customFormat="false" ht="14.4" hidden="true" customHeight="false" outlineLevel="0" collapsed="false">
      <c r="A13236" s="34" t="n">
        <v>15418205008062</v>
      </c>
      <c r="B13236" s="34" t="s">
        <v>25089</v>
      </c>
      <c r="C13236" s="34" t="s">
        <v>77</v>
      </c>
      <c r="D13236" s="34" t="s">
        <v>25090</v>
      </c>
      <c r="E13236" s="30" t="s">
        <v>25128</v>
      </c>
      <c r="F13236" s="34" t="n">
        <f aca="false">IFERROR(VLOOKUP($A13236,'319'!$B:$H,7,0),0)</f>
        <v>0</v>
      </c>
      <c r="G13236" s="34" t="n">
        <f aca="false">SUMIFS('12.326ana'!$C:$C,'12.326ana'!$M:$M,redes!A13236)</f>
        <v>0</v>
      </c>
    </row>
    <row r="13237" customFormat="false" ht="14.4" hidden="true" customHeight="false" outlineLevel="0" collapsed="false">
      <c r="A13237" s="34" t="n">
        <v>15418205008143</v>
      </c>
      <c r="B13237" s="34" t="s">
        <v>25129</v>
      </c>
      <c r="C13237" s="34" t="s">
        <v>604</v>
      </c>
      <c r="D13237" s="34" t="s">
        <v>25090</v>
      </c>
      <c r="E13237" s="30" t="s">
        <v>25130</v>
      </c>
      <c r="F13237" s="34" t="n">
        <f aca="false">IFERROR(VLOOKUP($A13237,'319'!$B:$H,7,0),0)</f>
        <v>0</v>
      </c>
      <c r="G13237" s="34" t="n">
        <f aca="false">SUMIFS('12.326ana'!$C:$C,'12.326ana'!$M:$M,redes!A13237)</f>
        <v>0</v>
      </c>
    </row>
    <row r="13238" customFormat="false" ht="14.4" hidden="true" customHeight="false" outlineLevel="0" collapsed="false">
      <c r="A13238" s="34" t="n">
        <v>15418205008224</v>
      </c>
      <c r="B13238" s="34" t="s">
        <v>25089</v>
      </c>
      <c r="C13238" s="34" t="s">
        <v>77</v>
      </c>
      <c r="D13238" s="34" t="s">
        <v>25090</v>
      </c>
      <c r="E13238" s="30" t="s">
        <v>25131</v>
      </c>
      <c r="F13238" s="34" t="n">
        <f aca="false">IFERROR(VLOOKUP($A13238,'319'!$B:$H,7,0),0)</f>
        <v>0</v>
      </c>
      <c r="G13238" s="34" t="n">
        <f aca="false">SUMIFS('12.326ana'!$C:$C,'12.326ana'!$M:$M,redes!A13238)</f>
        <v>0</v>
      </c>
    </row>
    <row r="13239" customFormat="false" ht="14.4" hidden="true" customHeight="false" outlineLevel="0" collapsed="false">
      <c r="A13239" s="34" t="n">
        <v>15418205008305</v>
      </c>
      <c r="B13239" s="34" t="s">
        <v>25089</v>
      </c>
      <c r="C13239" s="34" t="s">
        <v>77</v>
      </c>
      <c r="D13239" s="34" t="s">
        <v>25090</v>
      </c>
      <c r="E13239" s="30" t="s">
        <v>25132</v>
      </c>
      <c r="F13239" s="34" t="n">
        <f aca="false">IFERROR(VLOOKUP($A13239,'319'!$B:$H,7,0),0)</f>
        <v>0</v>
      </c>
      <c r="G13239" s="34" t="n">
        <f aca="false">SUMIFS('12.326ana'!$C:$C,'12.326ana'!$M:$M,redes!A13239)</f>
        <v>0</v>
      </c>
    </row>
    <row r="13240" customFormat="false" ht="14.4" hidden="true" customHeight="false" outlineLevel="0" collapsed="false">
      <c r="A13240" s="34" t="n">
        <v>15418205008496</v>
      </c>
      <c r="B13240" s="34" t="s">
        <v>25089</v>
      </c>
      <c r="C13240" s="34" t="s">
        <v>77</v>
      </c>
      <c r="D13240" s="34" t="s">
        <v>17415</v>
      </c>
      <c r="E13240" s="30" t="s">
        <v>25091</v>
      </c>
      <c r="F13240" s="34" t="n">
        <f aca="false">IFERROR(VLOOKUP($A13240,'319'!$B:$H,7,0),0)</f>
        <v>0</v>
      </c>
      <c r="G13240" s="34" t="n">
        <f aca="false">SUMIFS('12.326ana'!$C:$C,'12.326ana'!$M:$M,redes!A13240)</f>
        <v>0</v>
      </c>
    </row>
    <row r="13241" customFormat="false" ht="14.4" hidden="true" customHeight="false" outlineLevel="0" collapsed="false">
      <c r="A13241" s="34" t="n">
        <v>15418205008577</v>
      </c>
      <c r="B13241" s="34" t="s">
        <v>25089</v>
      </c>
      <c r="C13241" s="34" t="s">
        <v>77</v>
      </c>
      <c r="D13241" s="34" t="s">
        <v>25090</v>
      </c>
      <c r="E13241" s="30" t="s">
        <v>25133</v>
      </c>
      <c r="F13241" s="34" t="n">
        <f aca="false">IFERROR(VLOOKUP($A13241,'319'!$B:$H,7,0),0)</f>
        <v>0</v>
      </c>
      <c r="G13241" s="34" t="n">
        <f aca="false">SUMIFS('12.326ana'!$C:$C,'12.326ana'!$M:$M,redes!A13241)</f>
        <v>0</v>
      </c>
    </row>
    <row r="13242" customFormat="false" ht="14.4" hidden="true" customHeight="false" outlineLevel="0" collapsed="false">
      <c r="A13242" s="34" t="n">
        <v>15418205008658</v>
      </c>
      <c r="B13242" s="34" t="s">
        <v>25089</v>
      </c>
      <c r="C13242" s="34" t="s">
        <v>473</v>
      </c>
      <c r="D13242" s="34" t="s">
        <v>25090</v>
      </c>
      <c r="E13242" s="30" t="s">
        <v>25134</v>
      </c>
      <c r="F13242" s="34" t="n">
        <f aca="false">IFERROR(VLOOKUP($A13242,'319'!$B:$H,7,0),0)</f>
        <v>0</v>
      </c>
      <c r="G13242" s="34" t="n">
        <f aca="false">SUMIFS('12.326ana'!$C:$C,'12.326ana'!$M:$M,redes!A13242)</f>
        <v>0</v>
      </c>
    </row>
    <row r="13243" customFormat="false" ht="14.4" hidden="true" customHeight="false" outlineLevel="0" collapsed="false">
      <c r="A13243" s="34" t="n">
        <v>15418205008739</v>
      </c>
      <c r="B13243" s="34" t="s">
        <v>25089</v>
      </c>
      <c r="C13243" s="34" t="s">
        <v>299</v>
      </c>
      <c r="D13243" s="34" t="s">
        <v>17415</v>
      </c>
      <c r="E13243" s="30" t="s">
        <v>25091</v>
      </c>
      <c r="F13243" s="34" t="n">
        <f aca="false">IFERROR(VLOOKUP($A13243,'319'!$B:$H,7,0),0)</f>
        <v>0</v>
      </c>
      <c r="G13243" s="34" t="n">
        <f aca="false">SUMIFS('12.326ana'!$C:$C,'12.326ana'!$M:$M,redes!A13243)</f>
        <v>0</v>
      </c>
    </row>
    <row r="13244" customFormat="false" ht="14.4" hidden="true" customHeight="false" outlineLevel="0" collapsed="false">
      <c r="A13244" s="34" t="n">
        <v>15418205008810</v>
      </c>
      <c r="B13244" s="34" t="s">
        <v>25122</v>
      </c>
      <c r="C13244" s="34" t="s">
        <v>77</v>
      </c>
      <c r="D13244" s="34" t="s">
        <v>25090</v>
      </c>
      <c r="E13244" s="30" t="s">
        <v>25135</v>
      </c>
      <c r="F13244" s="34" t="n">
        <f aca="false">IFERROR(VLOOKUP($A13244,'319'!$B:$H,7,0),0)</f>
        <v>0</v>
      </c>
      <c r="G13244" s="34" t="n">
        <f aca="false">SUMIFS('12.326ana'!$C:$C,'12.326ana'!$M:$M,redes!A13244)</f>
        <v>0</v>
      </c>
    </row>
    <row r="13245" customFormat="false" ht="14.4" hidden="true" customHeight="false" outlineLevel="0" collapsed="false">
      <c r="A13245" s="34" t="n">
        <v>15418205009034</v>
      </c>
      <c r="B13245" s="34" t="s">
        <v>25136</v>
      </c>
      <c r="C13245" s="34" t="s">
        <v>1272</v>
      </c>
      <c r="D13245" s="34" t="s">
        <v>25090</v>
      </c>
      <c r="E13245" s="30" t="s">
        <v>25137</v>
      </c>
      <c r="F13245" s="34" t="n">
        <f aca="false">IFERROR(VLOOKUP($A13245,'319'!$B:$H,7,0),0)</f>
        <v>0</v>
      </c>
      <c r="G13245" s="34" t="n">
        <f aca="false">SUMIFS('12.326ana'!$C:$C,'12.326ana'!$M:$M,redes!A13245)</f>
        <v>0</v>
      </c>
    </row>
    <row r="13246" customFormat="false" ht="14.4" hidden="true" customHeight="false" outlineLevel="0" collapsed="false">
      <c r="A13246" s="34" t="n">
        <v>15418205009115</v>
      </c>
      <c r="B13246" s="34" t="s">
        <v>25118</v>
      </c>
      <c r="C13246" s="34" t="s">
        <v>463</v>
      </c>
      <c r="D13246" s="34" t="s">
        <v>25090</v>
      </c>
      <c r="E13246" s="30" t="s">
        <v>25138</v>
      </c>
      <c r="F13246" s="34" t="n">
        <f aca="false">IFERROR(VLOOKUP($A13246,'319'!$B:$H,7,0),0)</f>
        <v>0</v>
      </c>
      <c r="G13246" s="34" t="n">
        <f aca="false">SUMIFS('12.326ana'!$C:$C,'12.326ana'!$M:$M,redes!A13246)</f>
        <v>0</v>
      </c>
    </row>
    <row r="13247" customFormat="false" ht="14.4" hidden="true" customHeight="false" outlineLevel="0" collapsed="false">
      <c r="A13247" s="34" t="n">
        <v>15418205009468</v>
      </c>
      <c r="B13247" s="34" t="s">
        <v>25139</v>
      </c>
      <c r="C13247" s="34" t="s">
        <v>562</v>
      </c>
      <c r="E13247" s="30" t="s">
        <v>17416</v>
      </c>
      <c r="F13247" s="34" t="n">
        <f aca="false">IFERROR(VLOOKUP($A13247,'319'!$B:$H,7,0),0)</f>
        <v>0</v>
      </c>
      <c r="G13247" s="34" t="n">
        <f aca="false">SUMIFS('12.326ana'!$C:$C,'12.326ana'!$M:$M,redes!A13247)</f>
        <v>0</v>
      </c>
    </row>
    <row r="13248" customFormat="false" ht="14.4" hidden="true" customHeight="false" outlineLevel="0" collapsed="false">
      <c r="A13248" s="34" t="n">
        <v>15418205009549</v>
      </c>
      <c r="B13248" s="34" t="s">
        <v>25140</v>
      </c>
      <c r="C13248" s="34" t="s">
        <v>77</v>
      </c>
      <c r="D13248" s="34" t="s">
        <v>25090</v>
      </c>
      <c r="E13248" s="30" t="s">
        <v>25141</v>
      </c>
      <c r="F13248" s="34" t="n">
        <f aca="false">IFERROR(VLOOKUP($A13248,'319'!$B:$H,7,0),0)</f>
        <v>0</v>
      </c>
      <c r="G13248" s="34" t="n">
        <f aca="false">SUMIFS('12.326ana'!$C:$C,'12.326ana'!$M:$M,redes!A13248)</f>
        <v>0</v>
      </c>
    </row>
    <row r="13249" customFormat="false" ht="14.4" hidden="true" customHeight="false" outlineLevel="0" collapsed="false">
      <c r="A13249" s="34" t="n">
        <v>15418205009620</v>
      </c>
      <c r="B13249" s="34" t="s">
        <v>25142</v>
      </c>
      <c r="C13249" s="34" t="s">
        <v>77</v>
      </c>
      <c r="D13249" s="34" t="s">
        <v>25090</v>
      </c>
      <c r="E13249" s="30" t="s">
        <v>25143</v>
      </c>
      <c r="F13249" s="34" t="n">
        <f aca="false">IFERROR(VLOOKUP($A13249,'319'!$B:$H,7,0),0)</f>
        <v>0</v>
      </c>
      <c r="G13249" s="34" t="n">
        <f aca="false">SUMIFS('12.326ana'!$C:$C,'12.326ana'!$M:$M,redes!A13249)</f>
        <v>0</v>
      </c>
    </row>
    <row r="13250" customFormat="false" ht="14.4" hidden="true" customHeight="false" outlineLevel="0" collapsed="false">
      <c r="A13250" s="34" t="n">
        <v>15418205009700</v>
      </c>
      <c r="B13250" s="34" t="s">
        <v>25139</v>
      </c>
      <c r="C13250" s="34" t="s">
        <v>192</v>
      </c>
      <c r="D13250" s="34" t="s">
        <v>17415</v>
      </c>
      <c r="E13250" s="30" t="s">
        <v>17416</v>
      </c>
      <c r="F13250" s="34" t="n">
        <f aca="false">IFERROR(VLOOKUP($A13250,'319'!$B:$H,7,0),0)</f>
        <v>0</v>
      </c>
      <c r="G13250" s="34" t="n">
        <f aca="false">SUMIFS('12.326ana'!$C:$C,'12.326ana'!$M:$M,redes!A13250)</f>
        <v>0</v>
      </c>
    </row>
    <row r="13251" customFormat="false" ht="14.4" hidden="true" customHeight="false" outlineLevel="0" collapsed="false">
      <c r="A13251" s="34" t="n">
        <v>15418205009891</v>
      </c>
      <c r="B13251" s="34" t="s">
        <v>25118</v>
      </c>
      <c r="C13251" s="34" t="s">
        <v>475</v>
      </c>
      <c r="D13251" s="34" t="s">
        <v>25090</v>
      </c>
      <c r="E13251" s="30" t="s">
        <v>25144</v>
      </c>
      <c r="F13251" s="34" t="n">
        <f aca="false">IFERROR(VLOOKUP($A13251,'319'!$B:$H,7,0),0)</f>
        <v>0</v>
      </c>
      <c r="G13251" s="34" t="n">
        <f aca="false">SUMIFS('12.326ana'!$C:$C,'12.326ana'!$M:$M,redes!A13251)</f>
        <v>0</v>
      </c>
    </row>
    <row r="13252" customFormat="false" ht="14.4" hidden="true" customHeight="false" outlineLevel="0" collapsed="false">
      <c r="A13252" s="34" t="n">
        <v>15418205010040</v>
      </c>
      <c r="B13252" s="34" t="s">
        <v>25145</v>
      </c>
      <c r="C13252" s="34" t="s">
        <v>77</v>
      </c>
      <c r="D13252" s="34" t="s">
        <v>17415</v>
      </c>
      <c r="E13252" s="30" t="s">
        <v>25146</v>
      </c>
      <c r="F13252" s="34" t="n">
        <f aca="false">IFERROR(VLOOKUP($A13252,'319'!$B:$H,7,0),0)</f>
        <v>0</v>
      </c>
      <c r="G13252" s="34" t="n">
        <f aca="false">SUMIFS('12.326ana'!$C:$C,'12.326ana'!$M:$M,redes!A13252)</f>
        <v>0</v>
      </c>
    </row>
    <row r="13253" customFormat="false" ht="14.4" hidden="true" customHeight="false" outlineLevel="0" collapsed="false">
      <c r="A13253" s="34" t="n">
        <v>15418205010121</v>
      </c>
      <c r="B13253" s="34" t="s">
        <v>25118</v>
      </c>
      <c r="C13253" s="34" t="s">
        <v>213</v>
      </c>
      <c r="D13253" s="34" t="s">
        <v>25090</v>
      </c>
      <c r="E13253" s="30" t="s">
        <v>25147</v>
      </c>
      <c r="F13253" s="34" t="n">
        <f aca="false">IFERROR(VLOOKUP($A13253,'319'!$B:$H,7,0),0)</f>
        <v>0</v>
      </c>
      <c r="G13253" s="34" t="n">
        <f aca="false">SUMIFS('12.326ana'!$C:$C,'12.326ana'!$M:$M,redes!A13253)</f>
        <v>0</v>
      </c>
    </row>
    <row r="13254" customFormat="false" ht="14.4" hidden="true" customHeight="false" outlineLevel="0" collapsed="false">
      <c r="A13254" s="34" t="n">
        <v>15418205010393</v>
      </c>
      <c r="B13254" s="34" t="s">
        <v>25118</v>
      </c>
      <c r="C13254" s="34" t="s">
        <v>139</v>
      </c>
      <c r="D13254" s="34" t="s">
        <v>25090</v>
      </c>
      <c r="E13254" s="30" t="s">
        <v>25148</v>
      </c>
      <c r="F13254" s="34" t="n">
        <f aca="false">IFERROR(VLOOKUP($A13254,'319'!$B:$H,7,0),0)</f>
        <v>0</v>
      </c>
      <c r="G13254" s="34" t="n">
        <f aca="false">SUMIFS('12.326ana'!$C:$C,'12.326ana'!$M:$M,redes!A13254)</f>
        <v>0</v>
      </c>
    </row>
    <row r="13255" customFormat="false" ht="14.4" hidden="true" customHeight="false" outlineLevel="0" collapsed="false">
      <c r="A13255" s="34" t="n">
        <v>15418205010474</v>
      </c>
      <c r="B13255" s="34" t="s">
        <v>25118</v>
      </c>
      <c r="C13255" s="34" t="s">
        <v>139</v>
      </c>
      <c r="D13255" s="34" t="s">
        <v>17415</v>
      </c>
      <c r="E13255" s="30" t="s">
        <v>17416</v>
      </c>
      <c r="F13255" s="34" t="n">
        <f aca="false">IFERROR(VLOOKUP($A13255,'319'!$B:$H,7,0),0)</f>
        <v>0</v>
      </c>
      <c r="G13255" s="34" t="n">
        <f aca="false">SUMIFS('12.326ana'!$C:$C,'12.326ana'!$M:$M,redes!A13255)</f>
        <v>0</v>
      </c>
    </row>
    <row r="13256" customFormat="false" ht="14.4" hidden="true" customHeight="false" outlineLevel="0" collapsed="false">
      <c r="A13256" s="34" t="n">
        <v>15418205010555</v>
      </c>
      <c r="B13256" s="34" t="s">
        <v>25118</v>
      </c>
      <c r="C13256" s="34" t="s">
        <v>631</v>
      </c>
      <c r="D13256" s="34" t="s">
        <v>17415</v>
      </c>
      <c r="E13256" s="30" t="s">
        <v>17416</v>
      </c>
      <c r="F13256" s="34" t="n">
        <f aca="false">IFERROR(VLOOKUP($A13256,'319'!$B:$H,7,0),0)</f>
        <v>0</v>
      </c>
      <c r="G13256" s="34" t="n">
        <f aca="false">SUMIFS('12.326ana'!$C:$C,'12.326ana'!$M:$M,redes!A13256)</f>
        <v>0</v>
      </c>
    </row>
    <row r="13257" customFormat="false" ht="14.4" hidden="true" customHeight="false" outlineLevel="0" collapsed="false">
      <c r="A13257" s="34" t="n">
        <v>15421050000110</v>
      </c>
      <c r="B13257" s="34" t="s">
        <v>25149</v>
      </c>
      <c r="C13257" s="34" t="s">
        <v>129</v>
      </c>
      <c r="E13257" s="30" t="s">
        <v>25150</v>
      </c>
      <c r="F13257" s="34" t="n">
        <f aca="false">IFERROR(VLOOKUP($A13257,'319'!$B:$H,7,0),0)</f>
        <v>0</v>
      </c>
      <c r="G13257" s="34" t="n">
        <f aca="false">SUMIFS('12.326ana'!$C:$C,'12.326ana'!$M:$M,redes!A13257)</f>
        <v>0</v>
      </c>
    </row>
    <row r="13258" customFormat="false" ht="14.4" hidden="true" customHeight="false" outlineLevel="0" collapsed="false">
      <c r="A13258" s="34" t="n">
        <v>15422090000186</v>
      </c>
      <c r="B13258" s="34" t="s">
        <v>25151</v>
      </c>
      <c r="C13258" s="34" t="s">
        <v>848</v>
      </c>
      <c r="E13258" s="30" t="s">
        <v>25152</v>
      </c>
      <c r="F13258" s="34" t="n">
        <f aca="false">IFERROR(VLOOKUP($A13258,'319'!$B:$H,7,0),0)</f>
        <v>0</v>
      </c>
      <c r="G13258" s="34" t="n">
        <f aca="false">SUMIFS('12.326ana'!$C:$C,'12.326ana'!$M:$M,redes!A13258)</f>
        <v>0</v>
      </c>
    </row>
    <row r="13259" customFormat="false" ht="14.4" hidden="true" customHeight="false" outlineLevel="0" collapsed="false">
      <c r="A13259" s="34" t="n">
        <v>15422448000170</v>
      </c>
      <c r="B13259" s="34" t="s">
        <v>25153</v>
      </c>
      <c r="C13259" s="34" t="s">
        <v>77</v>
      </c>
      <c r="E13259" s="30" t="s">
        <v>25154</v>
      </c>
      <c r="F13259" s="34" t="n">
        <f aca="false">IFERROR(VLOOKUP($A13259,'319'!$B:$H,7,0),0)</f>
        <v>0</v>
      </c>
      <c r="G13259" s="34" t="n">
        <f aca="false">SUMIFS('12.326ana'!$C:$C,'12.326ana'!$M:$M,redes!A13259)</f>
        <v>0</v>
      </c>
    </row>
    <row r="13260" customFormat="false" ht="14.4" hidden="true" customHeight="false" outlineLevel="0" collapsed="false">
      <c r="A13260" s="34" t="n">
        <v>15422553000100</v>
      </c>
      <c r="B13260" s="34" t="s">
        <v>25155</v>
      </c>
      <c r="C13260" s="34" t="s">
        <v>77</v>
      </c>
      <c r="E13260" s="30" t="s">
        <v>25156</v>
      </c>
      <c r="F13260" s="34" t="n">
        <f aca="false">IFERROR(VLOOKUP($A13260,'319'!$B:$H,7,0),0)</f>
        <v>0</v>
      </c>
      <c r="G13260" s="34" t="n">
        <f aca="false">SUMIFS('12.326ana'!$C:$C,'12.326ana'!$M:$M,redes!A13260)</f>
        <v>0</v>
      </c>
    </row>
    <row r="13261" customFormat="false" ht="14.4" hidden="true" customHeight="false" outlineLevel="0" collapsed="false">
      <c r="A13261" s="34" t="n">
        <v>15423535000142</v>
      </c>
      <c r="B13261" s="34" t="s">
        <v>25157</v>
      </c>
      <c r="C13261" s="34" t="s">
        <v>77</v>
      </c>
      <c r="E13261" s="30" t="s">
        <v>25158</v>
      </c>
      <c r="F13261" s="34" t="n">
        <f aca="false">IFERROR(VLOOKUP($A13261,'319'!$B:$H,7,0),0)</f>
        <v>0</v>
      </c>
      <c r="G13261" s="34" t="n">
        <f aca="false">SUMIFS('12.326ana'!$C:$C,'12.326ana'!$M:$M,redes!A13261)</f>
        <v>0</v>
      </c>
    </row>
    <row r="13262" customFormat="false" ht="14.4" hidden="true" customHeight="false" outlineLevel="0" collapsed="false">
      <c r="A13262" s="34" t="n">
        <v>15427364000120</v>
      </c>
      <c r="B13262" s="34" t="s">
        <v>25159</v>
      </c>
      <c r="C13262" s="34" t="s">
        <v>1680</v>
      </c>
      <c r="E13262" s="30" t="s">
        <v>2986</v>
      </c>
      <c r="F13262" s="34" t="n">
        <f aca="false">IFERROR(VLOOKUP($A13262,'319'!$B:$H,7,0),0)</f>
        <v>0</v>
      </c>
      <c r="G13262" s="34" t="n">
        <f aca="false">SUMIFS('12.326ana'!$C:$C,'12.326ana'!$M:$M,redes!A13262)</f>
        <v>0</v>
      </c>
    </row>
    <row r="13263" customFormat="false" ht="14.4" hidden="true" customHeight="false" outlineLevel="0" collapsed="false">
      <c r="A13263" s="34" t="n">
        <v>15427917000144</v>
      </c>
      <c r="B13263" s="34" t="s">
        <v>25160</v>
      </c>
      <c r="C13263" s="34" t="s">
        <v>473</v>
      </c>
      <c r="E13263" s="30" t="s">
        <v>25161</v>
      </c>
      <c r="F13263" s="34" t="n">
        <f aca="false">IFERROR(VLOOKUP($A13263,'319'!$B:$H,7,0),0)</f>
        <v>0</v>
      </c>
      <c r="G13263" s="34" t="n">
        <f aca="false">SUMIFS('12.326ana'!$C:$C,'12.326ana'!$M:$M,redes!A13263)</f>
        <v>0</v>
      </c>
    </row>
    <row r="13264" customFormat="false" ht="14.4" hidden="true" customHeight="false" outlineLevel="0" collapsed="false">
      <c r="A13264" s="34" t="n">
        <v>15429954000191</v>
      </c>
      <c r="B13264" s="34" t="s">
        <v>25162</v>
      </c>
      <c r="C13264" s="34" t="s">
        <v>77</v>
      </c>
      <c r="E13264" s="30"/>
      <c r="F13264" s="34" t="n">
        <f aca="false">IFERROR(VLOOKUP($A13264,'319'!$B:$H,7,0),0)</f>
        <v>0</v>
      </c>
      <c r="G13264" s="34" t="n">
        <f aca="false">SUMIFS('12.326ana'!$C:$C,'12.326ana'!$M:$M,redes!A13264)</f>
        <v>0</v>
      </c>
    </row>
    <row r="13265" customFormat="false" ht="14.4" hidden="true" customHeight="false" outlineLevel="0" collapsed="false">
      <c r="A13265" s="34" t="n">
        <v>15430069000122</v>
      </c>
      <c r="B13265" s="34" t="s">
        <v>25163</v>
      </c>
      <c r="C13265" s="34" t="s">
        <v>107</v>
      </c>
      <c r="E13265" s="30" t="s">
        <v>25164</v>
      </c>
      <c r="F13265" s="34" t="n">
        <f aca="false">IFERROR(VLOOKUP($A13265,'319'!$B:$H,7,0),0)</f>
        <v>0</v>
      </c>
      <c r="G13265" s="34" t="n">
        <f aca="false">SUMIFS('12.326ana'!$C:$C,'12.326ana'!$M:$M,redes!A13265)</f>
        <v>0</v>
      </c>
    </row>
    <row r="13266" customFormat="false" ht="14.4" hidden="true" customHeight="false" outlineLevel="0" collapsed="false">
      <c r="A13266" s="34" t="n">
        <v>15430408000170</v>
      </c>
      <c r="B13266" s="34" t="s">
        <v>25165</v>
      </c>
      <c r="C13266" s="34" t="s">
        <v>139</v>
      </c>
      <c r="E13266" s="30" t="s">
        <v>8513</v>
      </c>
      <c r="F13266" s="34" t="n">
        <f aca="false">IFERROR(VLOOKUP($A13266,'319'!$B:$H,7,0),0)</f>
        <v>0</v>
      </c>
      <c r="G13266" s="34" t="n">
        <f aca="false">SUMIFS('12.326ana'!$C:$C,'12.326ana'!$M:$M,redes!A13266)</f>
        <v>0</v>
      </c>
    </row>
    <row r="13267" customFormat="false" ht="14.4" hidden="true" customHeight="false" outlineLevel="0" collapsed="false">
      <c r="A13267" s="34" t="n">
        <v>15431026000161</v>
      </c>
      <c r="B13267" s="34" t="s">
        <v>25166</v>
      </c>
      <c r="C13267" s="34" t="s">
        <v>328</v>
      </c>
      <c r="E13267" s="30" t="s">
        <v>6310</v>
      </c>
      <c r="F13267" s="34" t="n">
        <f aca="false">IFERROR(VLOOKUP($A13267,'319'!$B:$H,7,0),0)</f>
        <v>0</v>
      </c>
      <c r="G13267" s="34" t="n">
        <f aca="false">SUMIFS('12.326ana'!$C:$C,'12.326ana'!$M:$M,redes!A13267)</f>
        <v>0</v>
      </c>
    </row>
    <row r="13268" customFormat="false" ht="14.4" hidden="true" customHeight="false" outlineLevel="0" collapsed="false">
      <c r="A13268" s="34" t="n">
        <v>15431927000153</v>
      </c>
      <c r="B13268" s="34" t="s">
        <v>25167</v>
      </c>
      <c r="C13268" s="34" t="s">
        <v>77</v>
      </c>
      <c r="D13268" s="34" t="s">
        <v>9598</v>
      </c>
      <c r="E13268" s="30" t="s">
        <v>25168</v>
      </c>
      <c r="F13268" s="34" t="n">
        <f aca="false">IFERROR(VLOOKUP($A13268,'319'!$B:$H,7,0),0)</f>
        <v>0</v>
      </c>
      <c r="G13268" s="34" t="n">
        <f aca="false">SUMIFS('12.326ana'!$C:$C,'12.326ana'!$M:$M,redes!A13268)</f>
        <v>0</v>
      </c>
    </row>
    <row r="13269" customFormat="false" ht="14.4" hidden="true" customHeight="false" outlineLevel="0" collapsed="false">
      <c r="A13269" s="34" t="n">
        <v>15432461000100</v>
      </c>
      <c r="B13269" s="34" t="s">
        <v>25169</v>
      </c>
      <c r="C13269" s="34" t="s">
        <v>117</v>
      </c>
      <c r="E13269" s="30" t="s">
        <v>25170</v>
      </c>
      <c r="F13269" s="34" t="n">
        <f aca="false">IFERROR(VLOOKUP($A13269,'319'!$B:$H,7,0),0)</f>
        <v>0</v>
      </c>
      <c r="G13269" s="34" t="n">
        <f aca="false">SUMIFS('12.326ana'!$C:$C,'12.326ana'!$M:$M,redes!A13269)</f>
        <v>0</v>
      </c>
    </row>
    <row r="13270" customFormat="false" ht="14.4" hidden="true" customHeight="false" outlineLevel="0" collapsed="false">
      <c r="A13270" s="34" t="n">
        <v>15433090000181</v>
      </c>
      <c r="B13270" s="34" t="s">
        <v>25171</v>
      </c>
      <c r="C13270" s="34" t="s">
        <v>77</v>
      </c>
      <c r="E13270" s="30" t="s">
        <v>25172</v>
      </c>
      <c r="F13270" s="34" t="n">
        <f aca="false">IFERROR(VLOOKUP($A13270,'319'!$B:$H,7,0),0)</f>
        <v>0</v>
      </c>
      <c r="G13270" s="34" t="n">
        <f aca="false">SUMIFS('12.326ana'!$C:$C,'12.326ana'!$M:$M,redes!A13270)</f>
        <v>0</v>
      </c>
    </row>
    <row r="13271" customFormat="false" ht="14.4" hidden="true" customHeight="false" outlineLevel="0" collapsed="false">
      <c r="A13271" s="34" t="n">
        <v>15433527000187</v>
      </c>
      <c r="B13271" s="34" t="s">
        <v>25173</v>
      </c>
      <c r="C13271" s="34" t="s">
        <v>77</v>
      </c>
      <c r="E13271" s="30" t="s">
        <v>25174</v>
      </c>
      <c r="F13271" s="34" t="n">
        <f aca="false">IFERROR(VLOOKUP($A13271,'319'!$B:$H,7,0),0)</f>
        <v>0</v>
      </c>
      <c r="G13271" s="34" t="n">
        <f aca="false">SUMIFS('12.326ana'!$C:$C,'12.326ana'!$M:$M,redes!A13271)</f>
        <v>0</v>
      </c>
    </row>
    <row r="13272" customFormat="false" ht="14.4" hidden="true" customHeight="false" outlineLevel="0" collapsed="false">
      <c r="A13272" s="34" t="n">
        <v>15433707000169</v>
      </c>
      <c r="B13272" s="34" t="s">
        <v>853</v>
      </c>
      <c r="C13272" s="34" t="s">
        <v>448</v>
      </c>
      <c r="E13272" s="30" t="s">
        <v>2958</v>
      </c>
      <c r="F13272" s="34" t="n">
        <f aca="false">IFERROR(VLOOKUP($A13272,'319'!$B:$H,7,0),0)</f>
        <v>1979.97</v>
      </c>
      <c r="G13272" s="34" t="n">
        <f aca="false">SUMIFS('12.326ana'!$C:$C,'12.326ana'!$M:$M,redes!A13272)</f>
        <v>0</v>
      </c>
    </row>
    <row r="13273" customFormat="false" ht="14.4" hidden="true" customHeight="false" outlineLevel="0" collapsed="false">
      <c r="A13273" s="34" t="n">
        <v>15434000000258</v>
      </c>
      <c r="B13273" s="34" t="s">
        <v>25175</v>
      </c>
      <c r="C13273" s="34" t="s">
        <v>473</v>
      </c>
      <c r="E13273" s="30" t="s">
        <v>3579</v>
      </c>
      <c r="F13273" s="34" t="n">
        <f aca="false">IFERROR(VLOOKUP($A13273,'319'!$B:$H,7,0),0)</f>
        <v>0</v>
      </c>
      <c r="G13273" s="34" t="n">
        <f aca="false">SUMIFS('12.326ana'!$C:$C,'12.326ana'!$M:$M,redes!A13273)</f>
        <v>0</v>
      </c>
    </row>
    <row r="13274" customFormat="false" ht="14.4" hidden="true" customHeight="false" outlineLevel="0" collapsed="false">
      <c r="A13274" s="34" t="n">
        <v>15434536000192</v>
      </c>
      <c r="B13274" s="34" t="s">
        <v>25176</v>
      </c>
      <c r="C13274" s="34" t="s">
        <v>77</v>
      </c>
      <c r="E13274" s="30" t="s">
        <v>3664</v>
      </c>
      <c r="F13274" s="34" t="n">
        <f aca="false">IFERROR(VLOOKUP($A13274,'319'!$B:$H,7,0),0)</f>
        <v>0</v>
      </c>
      <c r="G13274" s="34" t="n">
        <f aca="false">SUMIFS('12.326ana'!$C:$C,'12.326ana'!$M:$M,redes!A13274)</f>
        <v>0</v>
      </c>
    </row>
    <row r="13275" customFormat="false" ht="14.4" hidden="true" customHeight="false" outlineLevel="0" collapsed="false">
      <c r="A13275" s="34" t="n">
        <v>15434962000126</v>
      </c>
      <c r="B13275" s="34" t="s">
        <v>25177</v>
      </c>
      <c r="C13275" s="34" t="s">
        <v>581</v>
      </c>
      <c r="E13275" s="30" t="s">
        <v>15988</v>
      </c>
      <c r="F13275" s="34" t="n">
        <f aca="false">IFERROR(VLOOKUP($A13275,'319'!$B:$H,7,0),0)</f>
        <v>0</v>
      </c>
      <c r="G13275" s="34" t="n">
        <f aca="false">SUMIFS('12.326ana'!$C:$C,'12.326ana'!$M:$M,redes!A13275)</f>
        <v>0</v>
      </c>
    </row>
    <row r="13276" customFormat="false" ht="14.4" hidden="true" customHeight="false" outlineLevel="0" collapsed="false">
      <c r="A13276" s="34" t="n">
        <v>15435373000162</v>
      </c>
      <c r="B13276" s="34" t="s">
        <v>25178</v>
      </c>
      <c r="C13276" s="34" t="s">
        <v>77</v>
      </c>
      <c r="E13276" s="30" t="s">
        <v>25179</v>
      </c>
      <c r="F13276" s="34" t="n">
        <f aca="false">IFERROR(VLOOKUP($A13276,'319'!$B:$H,7,0),0)</f>
        <v>0</v>
      </c>
      <c r="G13276" s="34" t="n">
        <f aca="false">SUMIFS('12.326ana'!$C:$C,'12.326ana'!$M:$M,redes!A13276)</f>
        <v>0</v>
      </c>
    </row>
    <row r="13277" customFormat="false" ht="14.4" hidden="true" customHeight="false" outlineLevel="0" collapsed="false">
      <c r="A13277" s="34" t="n">
        <v>15437304000198</v>
      </c>
      <c r="B13277" s="34" t="s">
        <v>25180</v>
      </c>
      <c r="C13277" s="34" t="s">
        <v>309</v>
      </c>
      <c r="E13277" s="30" t="s">
        <v>25181</v>
      </c>
      <c r="F13277" s="34" t="n">
        <f aca="false">IFERROR(VLOOKUP($A13277,'319'!$B:$H,7,0),0)</f>
        <v>0</v>
      </c>
      <c r="G13277" s="34" t="n">
        <f aca="false">SUMIFS('12.326ana'!$C:$C,'12.326ana'!$M:$M,redes!A13277)</f>
        <v>0</v>
      </c>
    </row>
    <row r="13278" customFormat="false" ht="14.4" hidden="true" customHeight="false" outlineLevel="0" collapsed="false">
      <c r="A13278" s="34" t="n">
        <v>15438278000112</v>
      </c>
      <c r="B13278" s="34" t="s">
        <v>25182</v>
      </c>
      <c r="C13278" s="34" t="s">
        <v>594</v>
      </c>
      <c r="E13278" s="30" t="s">
        <v>25183</v>
      </c>
      <c r="F13278" s="34" t="n">
        <f aca="false">IFERROR(VLOOKUP($A13278,'319'!$B:$H,7,0),0)</f>
        <v>0</v>
      </c>
      <c r="G13278" s="34" t="n">
        <f aca="false">SUMIFS('12.326ana'!$C:$C,'12.326ana'!$M:$M,redes!A13278)</f>
        <v>0</v>
      </c>
    </row>
    <row r="13279" customFormat="false" ht="14.4" hidden="true" customHeight="false" outlineLevel="0" collapsed="false">
      <c r="A13279" s="34" t="n">
        <v>15440027000172</v>
      </c>
      <c r="B13279" s="34" t="s">
        <v>25184</v>
      </c>
      <c r="C13279" s="34" t="s">
        <v>764</v>
      </c>
      <c r="E13279" s="30" t="s">
        <v>25185</v>
      </c>
      <c r="F13279" s="34" t="n">
        <f aca="false">IFERROR(VLOOKUP($A13279,'319'!$B:$H,7,0),0)</f>
        <v>0</v>
      </c>
      <c r="G13279" s="34" t="n">
        <f aca="false">SUMIFS('12.326ana'!$C:$C,'12.326ana'!$M:$M,redes!A13279)</f>
        <v>0</v>
      </c>
    </row>
    <row r="13280" customFormat="false" ht="14.4" hidden="true" customHeight="false" outlineLevel="0" collapsed="false">
      <c r="A13280" s="34" t="n">
        <v>15441751000110</v>
      </c>
      <c r="B13280" s="34" t="s">
        <v>25186</v>
      </c>
      <c r="C13280" s="34" t="s">
        <v>77</v>
      </c>
      <c r="E13280" s="30" t="s">
        <v>25187</v>
      </c>
      <c r="F13280" s="34" t="n">
        <f aca="false">IFERROR(VLOOKUP($A13280,'319'!$B:$H,7,0),0)</f>
        <v>0</v>
      </c>
      <c r="G13280" s="34" t="n">
        <f aca="false">SUMIFS('12.326ana'!$C:$C,'12.326ana'!$M:$M,redes!A13280)</f>
        <v>0</v>
      </c>
    </row>
    <row r="13281" customFormat="false" ht="14.4" hidden="true" customHeight="false" outlineLevel="0" collapsed="false">
      <c r="A13281" s="34" t="n">
        <v>15442601000121</v>
      </c>
      <c r="B13281" s="34" t="s">
        <v>25188</v>
      </c>
      <c r="C13281" s="34" t="s">
        <v>117</v>
      </c>
      <c r="E13281" s="30" t="s">
        <v>25189</v>
      </c>
      <c r="F13281" s="34" t="n">
        <f aca="false">IFERROR(VLOOKUP($A13281,'319'!$B:$H,7,0),0)</f>
        <v>0</v>
      </c>
      <c r="G13281" s="34" t="n">
        <f aca="false">SUMIFS('12.326ana'!$C:$C,'12.326ana'!$M:$M,redes!A13281)</f>
        <v>0</v>
      </c>
    </row>
    <row r="13282" customFormat="false" ht="14.4" hidden="true" customHeight="false" outlineLevel="0" collapsed="false">
      <c r="A13282" s="34" t="n">
        <v>15442627000170</v>
      </c>
      <c r="B13282" s="34" t="s">
        <v>25190</v>
      </c>
      <c r="C13282" s="34" t="s">
        <v>89</v>
      </c>
      <c r="E13282" s="30" t="s">
        <v>25191</v>
      </c>
      <c r="F13282" s="34" t="n">
        <f aca="false">IFERROR(VLOOKUP($A13282,'319'!$B:$H,7,0),0)</f>
        <v>0</v>
      </c>
      <c r="G13282" s="34" t="n">
        <f aca="false">SUMIFS('12.326ana'!$C:$C,'12.326ana'!$M:$M,redes!A13282)</f>
        <v>0</v>
      </c>
    </row>
    <row r="13283" customFormat="false" ht="14.4" hidden="true" customHeight="false" outlineLevel="0" collapsed="false">
      <c r="A13283" s="34" t="n">
        <v>15442718000105</v>
      </c>
      <c r="B13283" s="34" t="s">
        <v>25192</v>
      </c>
      <c r="C13283" s="34" t="s">
        <v>781</v>
      </c>
      <c r="E13283" s="30" t="s">
        <v>25193</v>
      </c>
      <c r="F13283" s="34" t="n">
        <f aca="false">IFERROR(VLOOKUP($A13283,'319'!$B:$H,7,0),0)</f>
        <v>0</v>
      </c>
      <c r="G13283" s="34" t="n">
        <f aca="false">SUMIFS('12.326ana'!$C:$C,'12.326ana'!$M:$M,redes!A13283)</f>
        <v>0</v>
      </c>
    </row>
    <row r="13284" customFormat="false" ht="14.4" hidden="true" customHeight="false" outlineLevel="0" collapsed="false">
      <c r="A13284" s="34" t="n">
        <v>15442756000168</v>
      </c>
      <c r="B13284" s="34" t="s">
        <v>25194</v>
      </c>
      <c r="C13284" s="34" t="s">
        <v>77</v>
      </c>
      <c r="E13284" s="30" t="s">
        <v>4618</v>
      </c>
      <c r="F13284" s="34" t="n">
        <f aca="false">IFERROR(VLOOKUP($A13284,'319'!$B:$H,7,0),0)</f>
        <v>0</v>
      </c>
      <c r="G13284" s="34" t="n">
        <f aca="false">SUMIFS('12.326ana'!$C:$C,'12.326ana'!$M:$M,redes!A13284)</f>
        <v>0</v>
      </c>
    </row>
    <row r="13285" customFormat="false" ht="14.4" hidden="true" customHeight="false" outlineLevel="0" collapsed="false">
      <c r="A13285" s="34" t="n">
        <v>15442981000102</v>
      </c>
      <c r="B13285" s="34" t="s">
        <v>1744</v>
      </c>
      <c r="C13285" s="34" t="s">
        <v>107</v>
      </c>
      <c r="E13285" s="30" t="s">
        <v>25195</v>
      </c>
      <c r="F13285" s="34" t="n">
        <f aca="false">IFERROR(VLOOKUP($A13285,'319'!$B:$H,7,0),0)</f>
        <v>0</v>
      </c>
      <c r="G13285" s="34" t="n">
        <f aca="false">SUMIFS('12.326ana'!$C:$C,'12.326ana'!$M:$M,redes!A13285)</f>
        <v>0</v>
      </c>
    </row>
    <row r="13286" customFormat="false" ht="14.4" hidden="true" customHeight="false" outlineLevel="0" collapsed="false">
      <c r="A13286" s="34" t="n">
        <v>15443567000100</v>
      </c>
      <c r="B13286" s="34" t="s">
        <v>25196</v>
      </c>
      <c r="C13286" s="34" t="s">
        <v>475</v>
      </c>
      <c r="E13286" s="30" t="s">
        <v>25197</v>
      </c>
      <c r="F13286" s="34" t="n">
        <f aca="false">IFERROR(VLOOKUP($A13286,'319'!$B:$H,7,0),0)</f>
        <v>0</v>
      </c>
      <c r="G13286" s="34" t="n">
        <f aca="false">SUMIFS('12.326ana'!$C:$C,'12.326ana'!$M:$M,redes!A13286)</f>
        <v>0</v>
      </c>
    </row>
    <row r="13287" customFormat="false" ht="14.4" hidden="true" customHeight="false" outlineLevel="0" collapsed="false">
      <c r="A13287" s="34" t="n">
        <v>15447576000179</v>
      </c>
      <c r="B13287" s="34" t="s">
        <v>25198</v>
      </c>
      <c r="C13287" s="34" t="s">
        <v>192</v>
      </c>
      <c r="E13287" s="30" t="s">
        <v>25199</v>
      </c>
      <c r="F13287" s="34" t="n">
        <f aca="false">IFERROR(VLOOKUP($A13287,'319'!$B:$H,7,0),0)</f>
        <v>0</v>
      </c>
      <c r="G13287" s="34" t="n">
        <f aca="false">SUMIFS('12.326ana'!$C:$C,'12.326ana'!$M:$M,redes!A13287)</f>
        <v>0</v>
      </c>
    </row>
    <row r="13288" customFormat="false" ht="14.4" hidden="true" customHeight="false" outlineLevel="0" collapsed="false">
      <c r="A13288" s="34" t="n">
        <v>15448996000170</v>
      </c>
      <c r="B13288" s="34" t="s">
        <v>25200</v>
      </c>
      <c r="C13288" s="34" t="s">
        <v>77</v>
      </c>
      <c r="E13288" s="30" t="s">
        <v>25201</v>
      </c>
      <c r="F13288" s="34" t="n">
        <f aca="false">IFERROR(VLOOKUP($A13288,'319'!$B:$H,7,0),0)</f>
        <v>0</v>
      </c>
      <c r="G13288" s="34" t="n">
        <f aca="false">SUMIFS('12.326ana'!$C:$C,'12.326ana'!$M:$M,redes!A13288)</f>
        <v>0</v>
      </c>
    </row>
    <row r="13289" customFormat="false" ht="14.4" hidden="true" customHeight="false" outlineLevel="0" collapsed="false">
      <c r="A13289" s="34" t="n">
        <v>15449390000159</v>
      </c>
      <c r="B13289" s="34" t="s">
        <v>25202</v>
      </c>
      <c r="C13289" s="34" t="s">
        <v>562</v>
      </c>
      <c r="E13289" s="30" t="s">
        <v>25203</v>
      </c>
      <c r="F13289" s="34" t="n">
        <f aca="false">IFERROR(VLOOKUP($A13289,'319'!$B:$H,7,0),0)</f>
        <v>0</v>
      </c>
      <c r="G13289" s="34" t="n">
        <f aca="false">SUMIFS('12.326ana'!$C:$C,'12.326ana'!$M:$M,redes!A13289)</f>
        <v>0</v>
      </c>
    </row>
    <row r="13290" customFormat="false" ht="14.4" hidden="true" customHeight="false" outlineLevel="0" collapsed="false">
      <c r="A13290" s="34" t="n">
        <v>15453509000167</v>
      </c>
      <c r="B13290" s="34" t="s">
        <v>25204</v>
      </c>
      <c r="C13290" s="34" t="s">
        <v>336</v>
      </c>
      <c r="E13290" s="30" t="s">
        <v>25205</v>
      </c>
      <c r="F13290" s="34" t="n">
        <f aca="false">IFERROR(VLOOKUP($A13290,'319'!$B:$H,7,0),0)</f>
        <v>0</v>
      </c>
      <c r="G13290" s="34" t="n">
        <f aca="false">SUMIFS('12.326ana'!$C:$C,'12.326ana'!$M:$M,redes!A13290)</f>
        <v>0</v>
      </c>
    </row>
    <row r="13291" customFormat="false" ht="14.4" hidden="true" customHeight="false" outlineLevel="0" collapsed="false">
      <c r="A13291" s="34" t="n">
        <v>15453640000124</v>
      </c>
      <c r="B13291" s="34" t="s">
        <v>25206</v>
      </c>
      <c r="C13291" s="34" t="s">
        <v>107</v>
      </c>
      <c r="E13291" s="30" t="s">
        <v>25207</v>
      </c>
      <c r="F13291" s="34" t="n">
        <f aca="false">IFERROR(VLOOKUP($A13291,'319'!$B:$H,7,0),0)</f>
        <v>0</v>
      </c>
      <c r="G13291" s="34" t="n">
        <f aca="false">SUMIFS('12.326ana'!$C:$C,'12.326ana'!$M:$M,redes!A13291)</f>
        <v>0</v>
      </c>
    </row>
    <row r="13292" customFormat="false" ht="14.4" hidden="true" customHeight="false" outlineLevel="0" collapsed="false">
      <c r="A13292" s="34" t="n">
        <v>15454226000130</v>
      </c>
      <c r="B13292" s="34" t="s">
        <v>25208</v>
      </c>
      <c r="C13292" s="34" t="s">
        <v>77</v>
      </c>
      <c r="E13292" s="30" t="s">
        <v>25209</v>
      </c>
      <c r="F13292" s="34" t="n">
        <f aca="false">IFERROR(VLOOKUP($A13292,'319'!$B:$H,7,0),0)</f>
        <v>0</v>
      </c>
      <c r="G13292" s="34" t="n">
        <f aca="false">SUMIFS('12.326ana'!$C:$C,'12.326ana'!$M:$M,redes!A13292)</f>
        <v>0</v>
      </c>
    </row>
    <row r="13293" customFormat="false" ht="14.4" hidden="true" customHeight="false" outlineLevel="0" collapsed="false">
      <c r="A13293" s="34" t="n">
        <v>15454226000210</v>
      </c>
      <c r="B13293" s="34" t="s">
        <v>25208</v>
      </c>
      <c r="C13293" s="34" t="s">
        <v>77</v>
      </c>
      <c r="E13293" s="30" t="s">
        <v>25209</v>
      </c>
      <c r="F13293" s="34" t="n">
        <f aca="false">IFERROR(VLOOKUP($A13293,'319'!$B:$H,7,0),0)</f>
        <v>0</v>
      </c>
      <c r="G13293" s="34" t="n">
        <f aca="false">SUMIFS('12.326ana'!$C:$C,'12.326ana'!$M:$M,redes!A13293)</f>
        <v>0</v>
      </c>
    </row>
    <row r="13294" customFormat="false" ht="14.4" hidden="true" customHeight="false" outlineLevel="0" collapsed="false">
      <c r="A13294" s="34" t="n">
        <v>15454614000110</v>
      </c>
      <c r="B13294" s="34" t="s">
        <v>25210</v>
      </c>
      <c r="C13294" s="34" t="s">
        <v>77</v>
      </c>
      <c r="E13294" s="30" t="s">
        <v>25211</v>
      </c>
      <c r="F13294" s="34" t="n">
        <f aca="false">IFERROR(VLOOKUP($A13294,'319'!$B:$H,7,0),0)</f>
        <v>0</v>
      </c>
      <c r="G13294" s="34" t="n">
        <f aca="false">SUMIFS('12.326ana'!$C:$C,'12.326ana'!$M:$M,redes!A13294)</f>
        <v>0</v>
      </c>
    </row>
    <row r="13295" customFormat="false" ht="14.4" hidden="true" customHeight="false" outlineLevel="0" collapsed="false">
      <c r="A13295" s="34" t="n">
        <v>15455012000188</v>
      </c>
      <c r="B13295" s="34" t="s">
        <v>25212</v>
      </c>
      <c r="C13295" s="34" t="s">
        <v>1272</v>
      </c>
      <c r="E13295" s="30" t="s">
        <v>11474</v>
      </c>
      <c r="F13295" s="34" t="n">
        <f aca="false">IFERROR(VLOOKUP($A13295,'319'!$B:$H,7,0),0)</f>
        <v>0</v>
      </c>
      <c r="G13295" s="34" t="n">
        <f aca="false">SUMIFS('12.326ana'!$C:$C,'12.326ana'!$M:$M,redes!A13295)</f>
        <v>0</v>
      </c>
    </row>
    <row r="13296" customFormat="false" ht="14.4" hidden="true" customHeight="false" outlineLevel="0" collapsed="false">
      <c r="A13296" s="34" t="n">
        <v>15455306000100</v>
      </c>
      <c r="B13296" s="34" t="s">
        <v>25213</v>
      </c>
      <c r="C13296" s="34" t="s">
        <v>77</v>
      </c>
      <c r="E13296" s="30" t="s">
        <v>25214</v>
      </c>
      <c r="F13296" s="34" t="n">
        <f aca="false">IFERROR(VLOOKUP($A13296,'319'!$B:$H,7,0),0)</f>
        <v>0</v>
      </c>
      <c r="G13296" s="34" t="n">
        <f aca="false">SUMIFS('12.326ana'!$C:$C,'12.326ana'!$M:$M,redes!A13296)</f>
        <v>0</v>
      </c>
    </row>
    <row r="13297" customFormat="false" ht="14.4" hidden="true" customHeight="false" outlineLevel="0" collapsed="false">
      <c r="A13297" s="34" t="n">
        <v>15455405000191</v>
      </c>
      <c r="B13297" s="34" t="s">
        <v>25215</v>
      </c>
      <c r="C13297" s="34" t="s">
        <v>475</v>
      </c>
      <c r="E13297" s="30" t="s">
        <v>25216</v>
      </c>
      <c r="F13297" s="34" t="n">
        <f aca="false">IFERROR(VLOOKUP($A13297,'319'!$B:$H,7,0),0)</f>
        <v>0</v>
      </c>
      <c r="G13297" s="34" t="n">
        <f aca="false">SUMIFS('12.326ana'!$C:$C,'12.326ana'!$M:$M,redes!A13297)</f>
        <v>0</v>
      </c>
    </row>
    <row r="13298" customFormat="false" ht="14.4" hidden="true" customHeight="false" outlineLevel="0" collapsed="false">
      <c r="A13298" s="34" t="n">
        <v>15455793000100</v>
      </c>
      <c r="B13298" s="34" t="s">
        <v>25217</v>
      </c>
      <c r="C13298" s="34" t="s">
        <v>77</v>
      </c>
      <c r="E13298" s="30" t="s">
        <v>6365</v>
      </c>
      <c r="F13298" s="34" t="n">
        <f aca="false">IFERROR(VLOOKUP($A13298,'319'!$B:$H,7,0),0)</f>
        <v>0</v>
      </c>
      <c r="G13298" s="34" t="n">
        <f aca="false">SUMIFS('12.326ana'!$C:$C,'12.326ana'!$M:$M,redes!A13298)</f>
        <v>0</v>
      </c>
    </row>
    <row r="13299" customFormat="false" ht="14.4" hidden="true" customHeight="false" outlineLevel="0" collapsed="false">
      <c r="A13299" s="34" t="n">
        <v>15455827000167</v>
      </c>
      <c r="B13299" s="34" t="s">
        <v>25218</v>
      </c>
      <c r="C13299" s="34" t="s">
        <v>473</v>
      </c>
      <c r="E13299" s="30" t="s">
        <v>25219</v>
      </c>
      <c r="F13299" s="34" t="n">
        <f aca="false">IFERROR(VLOOKUP($A13299,'319'!$B:$H,7,0),0)</f>
        <v>0</v>
      </c>
      <c r="G13299" s="34" t="n">
        <f aca="false">SUMIFS('12.326ana'!$C:$C,'12.326ana'!$M:$M,redes!A13299)</f>
        <v>0</v>
      </c>
    </row>
    <row r="13300" customFormat="false" ht="14.4" hidden="true" customHeight="false" outlineLevel="0" collapsed="false">
      <c r="A13300" s="34" t="n">
        <v>15459431000198</v>
      </c>
      <c r="B13300" s="34" t="s">
        <v>25220</v>
      </c>
      <c r="C13300" s="34" t="s">
        <v>77</v>
      </c>
      <c r="E13300" s="30" t="s">
        <v>25221</v>
      </c>
      <c r="F13300" s="34" t="n">
        <f aca="false">IFERROR(VLOOKUP($A13300,'319'!$B:$H,7,0),0)</f>
        <v>0</v>
      </c>
      <c r="G13300" s="34" t="n">
        <f aca="false">SUMIFS('12.326ana'!$C:$C,'12.326ana'!$M:$M,redes!A13300)</f>
        <v>0</v>
      </c>
    </row>
    <row r="13301" customFormat="false" ht="14.4" hidden="true" customHeight="false" outlineLevel="0" collapsed="false">
      <c r="A13301" s="34" t="n">
        <v>15459431000279</v>
      </c>
      <c r="B13301" s="34" t="s">
        <v>25220</v>
      </c>
      <c r="C13301" s="34" t="s">
        <v>77</v>
      </c>
      <c r="E13301" s="30" t="s">
        <v>25222</v>
      </c>
      <c r="F13301" s="34" t="n">
        <f aca="false">IFERROR(VLOOKUP($A13301,'319'!$B:$H,7,0),0)</f>
        <v>0</v>
      </c>
      <c r="G13301" s="34" t="n">
        <f aca="false">SUMIFS('12.326ana'!$C:$C,'12.326ana'!$M:$M,redes!A13301)</f>
        <v>0</v>
      </c>
    </row>
    <row r="13302" customFormat="false" ht="14.4" hidden="true" customHeight="false" outlineLevel="0" collapsed="false">
      <c r="A13302" s="34" t="n">
        <v>15459431000511</v>
      </c>
      <c r="B13302" s="34" t="s">
        <v>25220</v>
      </c>
      <c r="C13302" s="34" t="s">
        <v>77</v>
      </c>
      <c r="E13302" s="30" t="s">
        <v>25223</v>
      </c>
      <c r="F13302" s="34" t="n">
        <f aca="false">IFERROR(VLOOKUP($A13302,'319'!$B:$H,7,0),0)</f>
        <v>0</v>
      </c>
      <c r="G13302" s="34" t="n">
        <f aca="false">SUMIFS('12.326ana'!$C:$C,'12.326ana'!$M:$M,redes!A13302)</f>
        <v>0</v>
      </c>
    </row>
    <row r="13303" customFormat="false" ht="14.4" hidden="true" customHeight="false" outlineLevel="0" collapsed="false">
      <c r="A13303" s="34" t="n">
        <v>15459431000600</v>
      </c>
      <c r="B13303" s="34" t="s">
        <v>25220</v>
      </c>
      <c r="C13303" s="34" t="s">
        <v>107</v>
      </c>
      <c r="E13303" s="30" t="s">
        <v>25224</v>
      </c>
      <c r="F13303" s="34" t="n">
        <f aca="false">IFERROR(VLOOKUP($A13303,'319'!$B:$H,7,0),0)</f>
        <v>0</v>
      </c>
      <c r="G13303" s="34" t="n">
        <f aca="false">SUMIFS('12.326ana'!$C:$C,'12.326ana'!$M:$M,redes!A13303)</f>
        <v>0</v>
      </c>
    </row>
    <row r="13304" customFormat="false" ht="14.4" hidden="true" customHeight="false" outlineLevel="0" collapsed="false">
      <c r="A13304" s="34" t="n">
        <v>15459431000783</v>
      </c>
      <c r="B13304" s="34" t="s">
        <v>25220</v>
      </c>
      <c r="C13304" s="34" t="s">
        <v>478</v>
      </c>
      <c r="E13304" s="30" t="s">
        <v>25225</v>
      </c>
      <c r="F13304" s="34" t="n">
        <f aca="false">IFERROR(VLOOKUP($A13304,'319'!$B:$H,7,0),0)</f>
        <v>0</v>
      </c>
      <c r="G13304" s="34" t="n">
        <f aca="false">SUMIFS('12.326ana'!$C:$C,'12.326ana'!$M:$M,redes!A13304)</f>
        <v>0</v>
      </c>
    </row>
    <row r="13305" customFormat="false" ht="14.4" hidden="true" customHeight="false" outlineLevel="0" collapsed="false">
      <c r="A13305" s="34" t="n">
        <v>15459431000864</v>
      </c>
      <c r="B13305" s="34" t="s">
        <v>25226</v>
      </c>
      <c r="C13305" s="34" t="s">
        <v>77</v>
      </c>
      <c r="E13305" s="30" t="s">
        <v>25227</v>
      </c>
      <c r="F13305" s="34" t="n">
        <f aca="false">IFERROR(VLOOKUP($A13305,'319'!$B:$H,7,0),0)</f>
        <v>0</v>
      </c>
      <c r="G13305" s="34" t="n">
        <f aca="false">SUMIFS('12.326ana'!$C:$C,'12.326ana'!$M:$M,redes!A13305)</f>
        <v>0</v>
      </c>
    </row>
    <row r="13306" customFormat="false" ht="14.4" hidden="true" customHeight="false" outlineLevel="0" collapsed="false">
      <c r="A13306" s="34" t="n">
        <v>15459431000945</v>
      </c>
      <c r="B13306" s="34" t="s">
        <v>25220</v>
      </c>
      <c r="C13306" s="34" t="s">
        <v>342</v>
      </c>
      <c r="E13306" s="30" t="s">
        <v>25228</v>
      </c>
      <c r="F13306" s="34" t="n">
        <f aca="false">IFERROR(VLOOKUP($A13306,'319'!$B:$H,7,0),0)</f>
        <v>0</v>
      </c>
      <c r="G13306" s="34" t="n">
        <f aca="false">SUMIFS('12.326ana'!$C:$C,'12.326ana'!$M:$M,redes!A13306)</f>
        <v>0</v>
      </c>
    </row>
    <row r="13307" customFormat="false" ht="14.4" hidden="true" customHeight="false" outlineLevel="0" collapsed="false">
      <c r="A13307" s="34" t="n">
        <v>15459431001089</v>
      </c>
      <c r="B13307" s="34" t="s">
        <v>25220</v>
      </c>
      <c r="C13307" s="34" t="s">
        <v>631</v>
      </c>
      <c r="E13307" s="30" t="s">
        <v>25229</v>
      </c>
      <c r="F13307" s="34" t="n">
        <f aca="false">IFERROR(VLOOKUP($A13307,'319'!$B:$H,7,0),0)</f>
        <v>0</v>
      </c>
      <c r="G13307" s="34" t="n">
        <f aca="false">SUMIFS('12.326ana'!$C:$C,'12.326ana'!$M:$M,redes!A13307)</f>
        <v>0</v>
      </c>
    </row>
    <row r="13308" customFormat="false" ht="14.4" hidden="true" customHeight="false" outlineLevel="0" collapsed="false">
      <c r="A13308" s="34" t="n">
        <v>15459431001160</v>
      </c>
      <c r="B13308" s="34" t="s">
        <v>25230</v>
      </c>
      <c r="C13308" s="34" t="s">
        <v>192</v>
      </c>
      <c r="E13308" s="30" t="s">
        <v>25231</v>
      </c>
      <c r="F13308" s="34" t="n">
        <f aca="false">IFERROR(VLOOKUP($A13308,'319'!$B:$H,7,0),0)</f>
        <v>0</v>
      </c>
      <c r="G13308" s="34" t="n">
        <f aca="false">SUMIFS('12.326ana'!$C:$C,'12.326ana'!$M:$M,redes!A13308)</f>
        <v>0</v>
      </c>
    </row>
    <row r="13309" customFormat="false" ht="14.4" hidden="true" customHeight="false" outlineLevel="0" collapsed="false">
      <c r="A13309" s="34" t="n">
        <v>15459431001240</v>
      </c>
      <c r="B13309" s="34" t="s">
        <v>25220</v>
      </c>
      <c r="C13309" s="34" t="s">
        <v>77</v>
      </c>
      <c r="E13309" s="30" t="s">
        <v>25232</v>
      </c>
      <c r="F13309" s="34" t="n">
        <f aca="false">IFERROR(VLOOKUP($A13309,'319'!$B:$H,7,0),0)</f>
        <v>0</v>
      </c>
      <c r="G13309" s="34" t="n">
        <f aca="false">SUMIFS('12.326ana'!$C:$C,'12.326ana'!$M:$M,redes!A13309)</f>
        <v>0</v>
      </c>
    </row>
    <row r="13310" customFormat="false" ht="14.4" hidden="true" customHeight="false" outlineLevel="0" collapsed="false">
      <c r="A13310" s="34" t="n">
        <v>15459431001321</v>
      </c>
      <c r="B13310" s="34" t="s">
        <v>25220</v>
      </c>
      <c r="C13310" s="34" t="s">
        <v>77</v>
      </c>
      <c r="E13310" s="30" t="s">
        <v>25233</v>
      </c>
      <c r="F13310" s="34" t="n">
        <f aca="false">IFERROR(VLOOKUP($A13310,'319'!$B:$H,7,0),0)</f>
        <v>0</v>
      </c>
      <c r="G13310" s="34" t="n">
        <f aca="false">SUMIFS('12.326ana'!$C:$C,'12.326ana'!$M:$M,redes!A13310)</f>
        <v>0</v>
      </c>
    </row>
    <row r="13311" customFormat="false" ht="14.4" hidden="true" customHeight="false" outlineLevel="0" collapsed="false">
      <c r="A13311" s="34" t="n">
        <v>15459431001674</v>
      </c>
      <c r="B13311" s="34" t="s">
        <v>25220</v>
      </c>
      <c r="C13311" s="34" t="s">
        <v>77</v>
      </c>
      <c r="E13311" s="30" t="s">
        <v>25234</v>
      </c>
      <c r="F13311" s="34" t="n">
        <f aca="false">IFERROR(VLOOKUP($A13311,'319'!$B:$H,7,0),0)</f>
        <v>0</v>
      </c>
      <c r="G13311" s="34" t="n">
        <f aca="false">SUMIFS('12.326ana'!$C:$C,'12.326ana'!$M:$M,redes!A13311)</f>
        <v>0</v>
      </c>
    </row>
    <row r="13312" customFormat="false" ht="14.4" hidden="true" customHeight="false" outlineLevel="0" collapsed="false">
      <c r="A13312" s="34" t="n">
        <v>15459688000140</v>
      </c>
      <c r="B13312" s="34" t="s">
        <v>25235</v>
      </c>
      <c r="C13312" s="34" t="s">
        <v>129</v>
      </c>
      <c r="E13312" s="30" t="s">
        <v>25236</v>
      </c>
      <c r="F13312" s="34" t="n">
        <f aca="false">IFERROR(VLOOKUP($A13312,'319'!$B:$H,7,0),0)</f>
        <v>0</v>
      </c>
      <c r="G13312" s="34" t="n">
        <f aca="false">SUMIFS('12.326ana'!$C:$C,'12.326ana'!$M:$M,redes!A13312)</f>
        <v>0</v>
      </c>
    </row>
    <row r="13313" customFormat="false" ht="14.4" hidden="true" customHeight="false" outlineLevel="0" collapsed="false">
      <c r="A13313" s="34" t="n">
        <v>15459710000151</v>
      </c>
      <c r="B13313" s="34" t="s">
        <v>25237</v>
      </c>
      <c r="C13313" s="34" t="s">
        <v>1602</v>
      </c>
      <c r="E13313" s="30" t="s">
        <v>25238</v>
      </c>
      <c r="F13313" s="34" t="n">
        <f aca="false">IFERROR(VLOOKUP($A13313,'319'!$B:$H,7,0),0)</f>
        <v>0</v>
      </c>
      <c r="G13313" s="34" t="n">
        <f aca="false">SUMIFS('12.326ana'!$C:$C,'12.326ana'!$M:$M,redes!A13313)</f>
        <v>0</v>
      </c>
    </row>
    <row r="13314" customFormat="false" ht="14.4" hidden="true" customHeight="false" outlineLevel="0" collapsed="false">
      <c r="A13314" s="34" t="n">
        <v>15460066000131</v>
      </c>
      <c r="B13314" s="34" t="s">
        <v>25239</v>
      </c>
      <c r="C13314" s="34" t="s">
        <v>77</v>
      </c>
      <c r="E13314" s="30"/>
      <c r="F13314" s="34" t="n">
        <f aca="false">IFERROR(VLOOKUP($A13314,'319'!$B:$H,7,0),0)</f>
        <v>0</v>
      </c>
      <c r="G13314" s="34" t="n">
        <f aca="false">SUMIFS('12.326ana'!$C:$C,'12.326ana'!$M:$M,redes!A13314)</f>
        <v>0</v>
      </c>
    </row>
    <row r="13315" customFormat="false" ht="14.4" hidden="true" customHeight="false" outlineLevel="0" collapsed="false">
      <c r="A13315" s="34" t="n">
        <v>15460074000188</v>
      </c>
      <c r="B13315" s="34" t="s">
        <v>25240</v>
      </c>
      <c r="C13315" s="34" t="s">
        <v>77</v>
      </c>
      <c r="E13315" s="30" t="s">
        <v>25241</v>
      </c>
      <c r="F13315" s="34" t="n">
        <f aca="false">IFERROR(VLOOKUP($A13315,'319'!$B:$H,7,0),0)</f>
        <v>0</v>
      </c>
      <c r="G13315" s="34" t="n">
        <f aca="false">SUMIFS('12.326ana'!$C:$C,'12.326ana'!$M:$M,redes!A13315)</f>
        <v>0</v>
      </c>
    </row>
    <row r="13316" customFormat="false" ht="14.4" hidden="true" customHeight="false" outlineLevel="0" collapsed="false">
      <c r="A13316" s="34" t="n">
        <v>15461510000133</v>
      </c>
      <c r="B13316" s="34" t="s">
        <v>25242</v>
      </c>
      <c r="C13316" s="34" t="s">
        <v>77</v>
      </c>
      <c r="E13316" s="30" t="s">
        <v>25243</v>
      </c>
      <c r="F13316" s="34" t="n">
        <f aca="false">IFERROR(VLOOKUP($A13316,'319'!$B:$H,7,0),0)</f>
        <v>0</v>
      </c>
      <c r="G13316" s="34" t="n">
        <f aca="false">SUMIFS('12.326ana'!$C:$C,'12.326ana'!$M:$M,redes!A13316)</f>
        <v>0</v>
      </c>
    </row>
    <row r="13317" customFormat="false" ht="14.4" hidden="true" customHeight="false" outlineLevel="0" collapsed="false">
      <c r="A13317" s="34" t="n">
        <v>15463292000176</v>
      </c>
      <c r="B13317" s="34" t="s">
        <v>25244</v>
      </c>
      <c r="C13317" s="34" t="s">
        <v>77</v>
      </c>
      <c r="E13317" s="30" t="s">
        <v>25245</v>
      </c>
      <c r="F13317" s="34" t="n">
        <f aca="false">IFERROR(VLOOKUP($A13317,'319'!$B:$H,7,0),0)</f>
        <v>0</v>
      </c>
      <c r="G13317" s="34" t="n">
        <f aca="false">SUMIFS('12.326ana'!$C:$C,'12.326ana'!$M:$M,redes!A13317)</f>
        <v>0</v>
      </c>
    </row>
    <row r="13318" customFormat="false" ht="14.4" hidden="true" customHeight="false" outlineLevel="0" collapsed="false">
      <c r="A13318" s="34" t="n">
        <v>15463342000115</v>
      </c>
      <c r="B13318" s="34" t="s">
        <v>25246</v>
      </c>
      <c r="C13318" s="34" t="s">
        <v>77</v>
      </c>
      <c r="E13318" s="30" t="s">
        <v>25247</v>
      </c>
      <c r="F13318" s="34" t="n">
        <f aca="false">IFERROR(VLOOKUP($A13318,'319'!$B:$H,7,0),0)</f>
        <v>0</v>
      </c>
      <c r="G13318" s="34" t="n">
        <f aca="false">SUMIFS('12.326ana'!$C:$C,'12.326ana'!$M:$M,redes!A13318)</f>
        <v>0</v>
      </c>
    </row>
    <row r="13319" customFormat="false" ht="14.4" hidden="true" customHeight="false" outlineLevel="0" collapsed="false">
      <c r="A13319" s="34" t="n">
        <v>15463516000140</v>
      </c>
      <c r="B13319" s="34" t="s">
        <v>25248</v>
      </c>
      <c r="C13319" s="34" t="s">
        <v>1680</v>
      </c>
      <c r="E13319" s="30" t="s">
        <v>25249</v>
      </c>
      <c r="F13319" s="34" t="n">
        <f aca="false">IFERROR(VLOOKUP($A13319,'319'!$B:$H,7,0),0)</f>
        <v>0</v>
      </c>
      <c r="G13319" s="34" t="n">
        <f aca="false">SUMIFS('12.326ana'!$C:$C,'12.326ana'!$M:$M,redes!A13319)</f>
        <v>0</v>
      </c>
    </row>
    <row r="13320" customFormat="false" ht="14.4" hidden="true" customHeight="false" outlineLevel="0" collapsed="false">
      <c r="A13320" s="34" t="n">
        <v>15463813000195</v>
      </c>
      <c r="B13320" s="34" t="s">
        <v>25250</v>
      </c>
      <c r="C13320" s="34" t="s">
        <v>1054</v>
      </c>
      <c r="E13320" s="30" t="s">
        <v>25251</v>
      </c>
      <c r="F13320" s="34" t="n">
        <f aca="false">IFERROR(VLOOKUP($A13320,'319'!$B:$H,7,0),0)</f>
        <v>0</v>
      </c>
      <c r="G13320" s="34" t="n">
        <f aca="false">SUMIFS('12.326ana'!$C:$C,'12.326ana'!$M:$M,redes!A13320)</f>
        <v>0</v>
      </c>
    </row>
    <row r="13321" customFormat="false" ht="14.4" hidden="true" customHeight="false" outlineLevel="0" collapsed="false">
      <c r="A13321" s="34" t="n">
        <v>15463847000180</v>
      </c>
      <c r="B13321" s="34" t="s">
        <v>25252</v>
      </c>
      <c r="C13321" s="34" t="s">
        <v>764</v>
      </c>
      <c r="E13321" s="30" t="s">
        <v>25253</v>
      </c>
      <c r="F13321" s="34" t="n">
        <f aca="false">IFERROR(VLOOKUP($A13321,'319'!$B:$H,7,0),0)</f>
        <v>0</v>
      </c>
      <c r="G13321" s="34" t="n">
        <f aca="false">SUMIFS('12.326ana'!$C:$C,'12.326ana'!$M:$M,redes!A13321)</f>
        <v>0</v>
      </c>
    </row>
    <row r="13322" customFormat="false" ht="14.4" hidden="true" customHeight="false" outlineLevel="0" collapsed="false">
      <c r="A13322" s="34" t="n">
        <v>15464472000334</v>
      </c>
      <c r="B13322" s="34" t="s">
        <v>25254</v>
      </c>
      <c r="C13322" s="34" t="s">
        <v>3594</v>
      </c>
      <c r="E13322" s="30" t="s">
        <v>25255</v>
      </c>
      <c r="F13322" s="34" t="n">
        <f aca="false">IFERROR(VLOOKUP($A13322,'319'!$B:$H,7,0),0)</f>
        <v>0</v>
      </c>
      <c r="G13322" s="34" t="n">
        <f aca="false">SUMIFS('12.326ana'!$C:$C,'12.326ana'!$M:$M,redes!A13322)</f>
        <v>0</v>
      </c>
    </row>
    <row r="13323" customFormat="false" ht="14.4" hidden="true" customHeight="false" outlineLevel="0" collapsed="false">
      <c r="A13323" s="34" t="n">
        <v>15464523000166</v>
      </c>
      <c r="B13323" s="34" t="s">
        <v>25256</v>
      </c>
      <c r="C13323" s="34" t="s">
        <v>77</v>
      </c>
      <c r="E13323" s="30" t="s">
        <v>25257</v>
      </c>
      <c r="F13323" s="34" t="n">
        <f aca="false">IFERROR(VLOOKUP($A13323,'319'!$B:$H,7,0),0)</f>
        <v>0</v>
      </c>
      <c r="G13323" s="34" t="n">
        <f aca="false">SUMIFS('12.326ana'!$C:$C,'12.326ana'!$M:$M,redes!A13323)</f>
        <v>0</v>
      </c>
    </row>
    <row r="13324" customFormat="false" ht="14.4" hidden="true" customHeight="false" outlineLevel="0" collapsed="false">
      <c r="A13324" s="34" t="n">
        <v>15465909000192</v>
      </c>
      <c r="B13324" s="34" t="s">
        <v>25258</v>
      </c>
      <c r="C13324" s="34" t="s">
        <v>77</v>
      </c>
      <c r="E13324" s="30" t="s">
        <v>3446</v>
      </c>
      <c r="F13324" s="34" t="n">
        <f aca="false">IFERROR(VLOOKUP($A13324,'319'!$B:$H,7,0),0)</f>
        <v>0</v>
      </c>
      <c r="G13324" s="34" t="n">
        <f aca="false">SUMIFS('12.326ana'!$C:$C,'12.326ana'!$M:$M,redes!A13324)</f>
        <v>0</v>
      </c>
    </row>
    <row r="13325" customFormat="false" ht="14.4" hidden="true" customHeight="false" outlineLevel="0" collapsed="false">
      <c r="A13325" s="34" t="n">
        <v>15466303000171</v>
      </c>
      <c r="B13325" s="34" t="s">
        <v>25259</v>
      </c>
      <c r="C13325" s="34" t="s">
        <v>77</v>
      </c>
      <c r="E13325" s="30" t="s">
        <v>25260</v>
      </c>
      <c r="F13325" s="34" t="n">
        <f aca="false">IFERROR(VLOOKUP($A13325,'319'!$B:$H,7,0),0)</f>
        <v>0</v>
      </c>
      <c r="G13325" s="34" t="n">
        <f aca="false">SUMIFS('12.326ana'!$C:$C,'12.326ana'!$M:$M,redes!A13325)</f>
        <v>0</v>
      </c>
    </row>
    <row r="13326" customFormat="false" ht="14.4" hidden="true" customHeight="false" outlineLevel="0" collapsed="false">
      <c r="A13326" s="34" t="n">
        <v>15466452000130</v>
      </c>
      <c r="B13326" s="34" t="s">
        <v>25261</v>
      </c>
      <c r="C13326" s="34" t="s">
        <v>77</v>
      </c>
      <c r="E13326" s="30" t="s">
        <v>25262</v>
      </c>
      <c r="F13326" s="34" t="n">
        <f aca="false">IFERROR(VLOOKUP($A13326,'319'!$B:$H,7,0),0)</f>
        <v>0</v>
      </c>
      <c r="G13326" s="34" t="n">
        <f aca="false">SUMIFS('12.326ana'!$C:$C,'12.326ana'!$M:$M,redes!A13326)</f>
        <v>0</v>
      </c>
    </row>
    <row r="13327" customFormat="false" ht="14.4" hidden="true" customHeight="false" outlineLevel="0" collapsed="false">
      <c r="A13327" s="34" t="n">
        <v>15470396000108</v>
      </c>
      <c r="B13327" s="34" t="s">
        <v>25263</v>
      </c>
      <c r="C13327" s="34" t="s">
        <v>107</v>
      </c>
      <c r="E13327" s="30" t="s">
        <v>25264</v>
      </c>
      <c r="F13327" s="34" t="n">
        <f aca="false">IFERROR(VLOOKUP($A13327,'319'!$B:$H,7,0),0)</f>
        <v>0</v>
      </c>
      <c r="G13327" s="34" t="n">
        <f aca="false">SUMIFS('12.326ana'!$C:$C,'12.326ana'!$M:$M,redes!A13327)</f>
        <v>0</v>
      </c>
    </row>
    <row r="13328" customFormat="false" ht="14.4" hidden="true" customHeight="false" outlineLevel="0" collapsed="false">
      <c r="A13328" s="34" t="n">
        <v>15470899000183</v>
      </c>
      <c r="B13328" s="34" t="s">
        <v>25265</v>
      </c>
      <c r="C13328" s="34" t="s">
        <v>77</v>
      </c>
      <c r="E13328" s="30" t="s">
        <v>25266</v>
      </c>
      <c r="F13328" s="34" t="n">
        <f aca="false">IFERROR(VLOOKUP($A13328,'319'!$B:$H,7,0),0)</f>
        <v>0</v>
      </c>
      <c r="G13328" s="34" t="n">
        <f aca="false">SUMIFS('12.326ana'!$C:$C,'12.326ana'!$M:$M,redes!A13328)</f>
        <v>0</v>
      </c>
    </row>
    <row r="13329" customFormat="false" ht="14.4" hidden="true" customHeight="false" outlineLevel="0" collapsed="false">
      <c r="A13329" s="34" t="n">
        <v>15473010000111</v>
      </c>
      <c r="B13329" s="34" t="s">
        <v>25267</v>
      </c>
      <c r="C13329" s="34" t="s">
        <v>89</v>
      </c>
      <c r="E13329" s="30" t="s">
        <v>25268</v>
      </c>
      <c r="F13329" s="34" t="n">
        <f aca="false">IFERROR(VLOOKUP($A13329,'319'!$B:$H,7,0),0)</f>
        <v>316.09</v>
      </c>
      <c r="G13329" s="34" t="n">
        <f aca="false">SUMIFS('12.326ana'!$C:$C,'12.326ana'!$M:$M,redes!A13329)</f>
        <v>0</v>
      </c>
    </row>
    <row r="13330" customFormat="false" ht="14.4" hidden="true" customHeight="false" outlineLevel="0" collapsed="false">
      <c r="A13330" s="34" t="n">
        <v>15474323000194</v>
      </c>
      <c r="B13330" s="34" t="s">
        <v>25269</v>
      </c>
      <c r="C13330" s="34" t="s">
        <v>89</v>
      </c>
      <c r="E13330" s="30" t="s">
        <v>25270</v>
      </c>
      <c r="F13330" s="34" t="n">
        <f aca="false">IFERROR(VLOOKUP($A13330,'319'!$B:$H,7,0),0)</f>
        <v>0</v>
      </c>
      <c r="G13330" s="34" t="n">
        <f aca="false">SUMIFS('12.326ana'!$C:$C,'12.326ana'!$M:$M,redes!A13330)</f>
        <v>0</v>
      </c>
    </row>
    <row r="13331" customFormat="false" ht="14.4" hidden="true" customHeight="false" outlineLevel="0" collapsed="false">
      <c r="A13331" s="34" t="n">
        <v>15474984000110</v>
      </c>
      <c r="B13331" s="34" t="s">
        <v>25271</v>
      </c>
      <c r="C13331" s="34" t="s">
        <v>377</v>
      </c>
      <c r="E13331" s="30" t="s">
        <v>25272</v>
      </c>
      <c r="F13331" s="34" t="n">
        <f aca="false">IFERROR(VLOOKUP($A13331,'319'!$B:$H,7,0),0)</f>
        <v>0</v>
      </c>
      <c r="G13331" s="34" t="n">
        <f aca="false">SUMIFS('12.326ana'!$C:$C,'12.326ana'!$M:$M,redes!A13331)</f>
        <v>0</v>
      </c>
    </row>
    <row r="13332" customFormat="false" ht="14.4" hidden="true" customHeight="false" outlineLevel="0" collapsed="false">
      <c r="A13332" s="34" t="n">
        <v>15475726000158</v>
      </c>
      <c r="B13332" s="34" t="s">
        <v>25273</v>
      </c>
      <c r="C13332" s="34" t="s">
        <v>77</v>
      </c>
      <c r="E13332" s="30" t="s">
        <v>25274</v>
      </c>
      <c r="F13332" s="34" t="n">
        <f aca="false">IFERROR(VLOOKUP($A13332,'319'!$B:$H,7,0),0)</f>
        <v>0</v>
      </c>
      <c r="G13332" s="34" t="n">
        <f aca="false">SUMIFS('12.326ana'!$C:$C,'12.326ana'!$M:$M,redes!A13332)</f>
        <v>0</v>
      </c>
    </row>
    <row r="13333" customFormat="false" ht="14.4" hidden="true" customHeight="false" outlineLevel="0" collapsed="false">
      <c r="A13333" s="34" t="n">
        <v>15476518000173</v>
      </c>
      <c r="B13333" s="34" t="s">
        <v>25275</v>
      </c>
      <c r="C13333" s="34" t="s">
        <v>473</v>
      </c>
      <c r="E13333" s="30" t="s">
        <v>25276</v>
      </c>
      <c r="F13333" s="34" t="n">
        <f aca="false">IFERROR(VLOOKUP($A13333,'319'!$B:$H,7,0),0)</f>
        <v>0</v>
      </c>
      <c r="G13333" s="34" t="n">
        <f aca="false">SUMIFS('12.326ana'!$C:$C,'12.326ana'!$M:$M,redes!A13333)</f>
        <v>0</v>
      </c>
    </row>
    <row r="13334" customFormat="false" ht="14.4" hidden="true" customHeight="false" outlineLevel="0" collapsed="false">
      <c r="A13334" s="34" t="n">
        <v>15478555000110</v>
      </c>
      <c r="B13334" s="34" t="s">
        <v>25277</v>
      </c>
      <c r="C13334" s="34" t="s">
        <v>309</v>
      </c>
      <c r="E13334" s="30" t="s">
        <v>25278</v>
      </c>
      <c r="F13334" s="34" t="n">
        <f aca="false">IFERROR(VLOOKUP($A13334,'319'!$B:$H,7,0),0)</f>
        <v>0</v>
      </c>
      <c r="G13334" s="34" t="n">
        <f aca="false">SUMIFS('12.326ana'!$C:$C,'12.326ana'!$M:$M,redes!A13334)</f>
        <v>0</v>
      </c>
    </row>
    <row r="13335" customFormat="false" ht="14.4" hidden="true" customHeight="false" outlineLevel="0" collapsed="false">
      <c r="A13335" s="34" t="n">
        <v>15478753000184</v>
      </c>
      <c r="B13335" s="34" t="s">
        <v>25279</v>
      </c>
      <c r="C13335" s="34" t="s">
        <v>77</v>
      </c>
      <c r="E13335" s="30"/>
      <c r="F13335" s="34" t="n">
        <f aca="false">IFERROR(VLOOKUP($A13335,'319'!$B:$H,7,0),0)</f>
        <v>0</v>
      </c>
      <c r="G13335" s="34" t="n">
        <f aca="false">SUMIFS('12.326ana'!$C:$C,'12.326ana'!$M:$M,redes!A13335)</f>
        <v>0</v>
      </c>
    </row>
    <row r="13336" customFormat="false" ht="14.4" hidden="true" customHeight="false" outlineLevel="0" collapsed="false">
      <c r="A13336" s="34" t="n">
        <v>15479264000147</v>
      </c>
      <c r="B13336" s="34" t="s">
        <v>25280</v>
      </c>
      <c r="C13336" s="34" t="s">
        <v>77</v>
      </c>
      <c r="E13336" s="30" t="s">
        <v>25280</v>
      </c>
      <c r="F13336" s="34" t="n">
        <f aca="false">IFERROR(VLOOKUP($A13336,'319'!$B:$H,7,0),0)</f>
        <v>0</v>
      </c>
      <c r="G13336" s="34" t="n">
        <f aca="false">SUMIFS('12.326ana'!$C:$C,'12.326ana'!$M:$M,redes!A13336)</f>
        <v>0</v>
      </c>
    </row>
    <row r="13337" customFormat="false" ht="14.4" hidden="true" customHeight="false" outlineLevel="0" collapsed="false">
      <c r="A13337" s="34" t="n">
        <v>15479397000113</v>
      </c>
      <c r="B13337" s="34" t="s">
        <v>25281</v>
      </c>
      <c r="C13337" s="34" t="s">
        <v>77</v>
      </c>
      <c r="E13337" s="30" t="s">
        <v>25282</v>
      </c>
      <c r="F13337" s="34" t="n">
        <f aca="false">IFERROR(VLOOKUP($A13337,'319'!$B:$H,7,0),0)</f>
        <v>0</v>
      </c>
      <c r="G13337" s="34" t="n">
        <f aca="false">SUMIFS('12.326ana'!$C:$C,'12.326ana'!$M:$M,redes!A13337)</f>
        <v>0</v>
      </c>
    </row>
    <row r="13338" customFormat="false" ht="14.4" hidden="true" customHeight="false" outlineLevel="0" collapsed="false">
      <c r="A13338" s="34" t="n">
        <v>15480940000100</v>
      </c>
      <c r="B13338" s="34" t="s">
        <v>25283</v>
      </c>
      <c r="C13338" s="34" t="s">
        <v>103</v>
      </c>
      <c r="E13338" s="30" t="s">
        <v>25284</v>
      </c>
      <c r="F13338" s="34" t="n">
        <f aca="false">IFERROR(VLOOKUP($A13338,'319'!$B:$H,7,0),0)</f>
        <v>0</v>
      </c>
      <c r="G13338" s="34" t="n">
        <f aca="false">SUMIFS('12.326ana'!$C:$C,'12.326ana'!$M:$M,redes!A13338)</f>
        <v>0</v>
      </c>
    </row>
    <row r="13339" customFormat="false" ht="14.4" hidden="true" customHeight="false" outlineLevel="0" collapsed="false">
      <c r="A13339" s="34" t="n">
        <v>15481610000121</v>
      </c>
      <c r="B13339" s="34" t="s">
        <v>25285</v>
      </c>
      <c r="C13339" s="34" t="s">
        <v>77</v>
      </c>
      <c r="E13339" s="30" t="s">
        <v>17939</v>
      </c>
      <c r="F13339" s="34" t="n">
        <f aca="false">IFERROR(VLOOKUP($A13339,'319'!$B:$H,7,0),0)</f>
        <v>0</v>
      </c>
      <c r="G13339" s="34" t="n">
        <f aca="false">SUMIFS('12.326ana'!$C:$C,'12.326ana'!$M:$M,redes!A13339)</f>
        <v>0</v>
      </c>
    </row>
    <row r="13340" customFormat="false" ht="14.4" hidden="true" customHeight="false" outlineLevel="0" collapsed="false">
      <c r="A13340" s="34" t="n">
        <v>15482185000195</v>
      </c>
      <c r="B13340" s="34" t="s">
        <v>25286</v>
      </c>
      <c r="C13340" s="34" t="s">
        <v>107</v>
      </c>
      <c r="D13340" s="34" t="s">
        <v>4797</v>
      </c>
      <c r="E13340" s="30" t="s">
        <v>25287</v>
      </c>
      <c r="F13340" s="34" t="n">
        <f aca="false">IFERROR(VLOOKUP($A13340,'319'!$B:$H,7,0),0)</f>
        <v>0</v>
      </c>
      <c r="G13340" s="34" t="n">
        <f aca="false">SUMIFS('12.326ana'!$C:$C,'12.326ana'!$M:$M,redes!A13340)</f>
        <v>0</v>
      </c>
    </row>
    <row r="13341" customFormat="false" ht="14.4" hidden="true" customHeight="false" outlineLevel="0" collapsed="false">
      <c r="A13341" s="34" t="n">
        <v>15483241000106</v>
      </c>
      <c r="B13341" s="34" t="s">
        <v>25288</v>
      </c>
      <c r="C13341" s="34" t="s">
        <v>107</v>
      </c>
      <c r="E13341" s="30"/>
      <c r="F13341" s="34" t="n">
        <f aca="false">IFERROR(VLOOKUP($A13341,'319'!$B:$H,7,0),0)</f>
        <v>0</v>
      </c>
      <c r="G13341" s="34" t="n">
        <f aca="false">SUMIFS('12.326ana'!$C:$C,'12.326ana'!$M:$M,redes!A13341)</f>
        <v>0</v>
      </c>
    </row>
    <row r="13342" customFormat="false" ht="14.4" hidden="true" customHeight="false" outlineLevel="0" collapsed="false">
      <c r="A13342" s="34" t="n">
        <v>15483977000184</v>
      </c>
      <c r="B13342" s="34" t="s">
        <v>25289</v>
      </c>
      <c r="C13342" s="34" t="s">
        <v>77</v>
      </c>
      <c r="E13342" s="30" t="s">
        <v>25290</v>
      </c>
      <c r="F13342" s="34" t="n">
        <f aca="false">IFERROR(VLOOKUP($A13342,'319'!$B:$H,7,0),0)</f>
        <v>0</v>
      </c>
      <c r="G13342" s="34" t="n">
        <f aca="false">SUMIFS('12.326ana'!$C:$C,'12.326ana'!$M:$M,redes!A13342)</f>
        <v>0</v>
      </c>
    </row>
    <row r="13343" customFormat="false" ht="14.4" hidden="true" customHeight="false" outlineLevel="0" collapsed="false">
      <c r="A13343" s="34" t="n">
        <v>15484041000178</v>
      </c>
      <c r="B13343" s="34" t="s">
        <v>25291</v>
      </c>
      <c r="C13343" s="34" t="s">
        <v>744</v>
      </c>
      <c r="E13343" s="30" t="s">
        <v>25292</v>
      </c>
      <c r="F13343" s="34" t="n">
        <f aca="false">IFERROR(VLOOKUP($A13343,'319'!$B:$H,7,0),0)</f>
        <v>0</v>
      </c>
      <c r="G13343" s="34" t="n">
        <f aca="false">SUMIFS('12.326ana'!$C:$C,'12.326ana'!$M:$M,redes!A13343)</f>
        <v>0</v>
      </c>
    </row>
    <row r="13344" customFormat="false" ht="14.4" hidden="true" customHeight="false" outlineLevel="0" collapsed="false">
      <c r="A13344" s="34" t="n">
        <v>15486182000120</v>
      </c>
      <c r="B13344" s="34" t="s">
        <v>25293</v>
      </c>
      <c r="C13344" s="34" t="s">
        <v>737</v>
      </c>
      <c r="E13344" s="30" t="s">
        <v>4453</v>
      </c>
      <c r="F13344" s="34" t="n">
        <f aca="false">IFERROR(VLOOKUP($A13344,'319'!$B:$H,7,0),0)</f>
        <v>0</v>
      </c>
      <c r="G13344" s="34" t="n">
        <f aca="false">SUMIFS('12.326ana'!$C:$C,'12.326ana'!$M:$M,redes!A13344)</f>
        <v>0</v>
      </c>
    </row>
    <row r="13345" customFormat="false" ht="14.4" hidden="true" customHeight="false" outlineLevel="0" collapsed="false">
      <c r="A13345" s="34" t="n">
        <v>15489254000192</v>
      </c>
      <c r="B13345" s="34" t="s">
        <v>25294</v>
      </c>
      <c r="C13345" s="34" t="s">
        <v>89</v>
      </c>
      <c r="E13345" s="30" t="s">
        <v>25295</v>
      </c>
      <c r="F13345" s="34" t="n">
        <f aca="false">IFERROR(VLOOKUP($A13345,'319'!$B:$H,7,0),0)</f>
        <v>0</v>
      </c>
      <c r="G13345" s="34" t="n">
        <f aca="false">SUMIFS('12.326ana'!$C:$C,'12.326ana'!$M:$M,redes!A13345)</f>
        <v>0</v>
      </c>
    </row>
    <row r="13346" customFormat="false" ht="14.4" hidden="true" customHeight="false" outlineLevel="0" collapsed="false">
      <c r="A13346" s="34" t="n">
        <v>15489441000176</v>
      </c>
      <c r="B13346" s="34" t="s">
        <v>25296</v>
      </c>
      <c r="C13346" s="34" t="s">
        <v>139</v>
      </c>
      <c r="E13346" s="30" t="s">
        <v>25297</v>
      </c>
      <c r="F13346" s="34" t="n">
        <f aca="false">IFERROR(VLOOKUP($A13346,'319'!$B:$H,7,0),0)</f>
        <v>0</v>
      </c>
      <c r="G13346" s="34" t="n">
        <f aca="false">SUMIFS('12.326ana'!$C:$C,'12.326ana'!$M:$M,redes!A13346)</f>
        <v>0</v>
      </c>
    </row>
    <row r="13347" customFormat="false" ht="14.4" hidden="true" customHeight="false" outlineLevel="0" collapsed="false">
      <c r="A13347" s="34" t="n">
        <v>15489818000197</v>
      </c>
      <c r="B13347" s="34" t="s">
        <v>25298</v>
      </c>
      <c r="C13347" s="34" t="s">
        <v>103</v>
      </c>
      <c r="E13347" s="30" t="s">
        <v>25299</v>
      </c>
      <c r="F13347" s="34" t="n">
        <f aca="false">IFERROR(VLOOKUP($A13347,'319'!$B:$H,7,0),0)</f>
        <v>0</v>
      </c>
      <c r="G13347" s="34" t="n">
        <f aca="false">SUMIFS('12.326ana'!$C:$C,'12.326ana'!$M:$M,redes!A13347)</f>
        <v>0</v>
      </c>
    </row>
    <row r="13348" customFormat="false" ht="14.4" hidden="true" customHeight="false" outlineLevel="0" collapsed="false">
      <c r="A13348" s="34" t="n">
        <v>15489834000180</v>
      </c>
      <c r="B13348" s="34" t="s">
        <v>25300</v>
      </c>
      <c r="C13348" s="34" t="s">
        <v>103</v>
      </c>
      <c r="E13348" s="30" t="s">
        <v>13527</v>
      </c>
      <c r="F13348" s="34" t="n">
        <f aca="false">IFERROR(VLOOKUP($A13348,'319'!$B:$H,7,0),0)</f>
        <v>26401.35</v>
      </c>
      <c r="G13348" s="34" t="n">
        <f aca="false">SUMIFS('12.326ana'!$C:$C,'12.326ana'!$M:$M,redes!A13348)</f>
        <v>17614.33</v>
      </c>
    </row>
    <row r="13349" customFormat="false" ht="14.4" hidden="true" customHeight="false" outlineLevel="0" collapsed="false">
      <c r="A13349" s="34" t="n">
        <v>15489834000341</v>
      </c>
      <c r="B13349" s="34" t="s">
        <v>25301</v>
      </c>
      <c r="C13349" s="34" t="s">
        <v>103</v>
      </c>
      <c r="E13349" s="30" t="s">
        <v>25302</v>
      </c>
      <c r="F13349" s="34" t="n">
        <f aca="false">IFERROR(VLOOKUP($A13349,'319'!$B:$H,7,0),0)</f>
        <v>0</v>
      </c>
      <c r="G13349" s="34" t="n">
        <f aca="false">SUMIFS('12.326ana'!$C:$C,'12.326ana'!$M:$M,redes!A13349)</f>
        <v>0</v>
      </c>
    </row>
    <row r="13350" customFormat="false" ht="14.4" hidden="true" customHeight="false" outlineLevel="0" collapsed="false">
      <c r="A13350" s="34" t="n">
        <v>15490309000184</v>
      </c>
      <c r="B13350" s="34" t="s">
        <v>25303</v>
      </c>
      <c r="C13350" s="34" t="s">
        <v>77</v>
      </c>
      <c r="E13350" s="30" t="s">
        <v>25304</v>
      </c>
      <c r="F13350" s="34" t="n">
        <f aca="false">IFERROR(VLOOKUP($A13350,'319'!$B:$H,7,0),0)</f>
        <v>0</v>
      </c>
      <c r="G13350" s="34" t="n">
        <f aca="false">SUMIFS('12.326ana'!$C:$C,'12.326ana'!$M:$M,redes!A13350)</f>
        <v>0</v>
      </c>
    </row>
    <row r="13351" customFormat="false" ht="14.4" hidden="true" customHeight="false" outlineLevel="0" collapsed="false">
      <c r="A13351" s="34" t="n">
        <v>15490808000171</v>
      </c>
      <c r="B13351" s="34" t="s">
        <v>25305</v>
      </c>
      <c r="C13351" s="34" t="s">
        <v>342</v>
      </c>
      <c r="E13351" s="30" t="s">
        <v>25306</v>
      </c>
      <c r="F13351" s="34" t="n">
        <f aca="false">IFERROR(VLOOKUP($A13351,'319'!$B:$H,7,0),0)</f>
        <v>0</v>
      </c>
      <c r="G13351" s="34" t="n">
        <f aca="false">SUMIFS('12.326ana'!$C:$C,'12.326ana'!$M:$M,redes!A13351)</f>
        <v>0</v>
      </c>
    </row>
    <row r="13352" customFormat="false" ht="14.4" hidden="true" customHeight="false" outlineLevel="0" collapsed="false">
      <c r="A13352" s="34" t="n">
        <v>15490816000118</v>
      </c>
      <c r="B13352" s="34" t="s">
        <v>25307</v>
      </c>
      <c r="C13352" s="34" t="s">
        <v>342</v>
      </c>
      <c r="E13352" s="30" t="s">
        <v>25308</v>
      </c>
      <c r="F13352" s="34" t="n">
        <f aca="false">IFERROR(VLOOKUP($A13352,'319'!$B:$H,7,0),0)</f>
        <v>0</v>
      </c>
      <c r="G13352" s="34" t="n">
        <f aca="false">SUMIFS('12.326ana'!$C:$C,'12.326ana'!$M:$M,redes!A13352)</f>
        <v>0</v>
      </c>
    </row>
    <row r="13353" customFormat="false" ht="14.4" hidden="true" customHeight="false" outlineLevel="0" collapsed="false">
      <c r="A13353" s="34" t="n">
        <v>15490881000143</v>
      </c>
      <c r="B13353" s="34" t="s">
        <v>25309</v>
      </c>
      <c r="C13353" s="34" t="s">
        <v>107</v>
      </c>
      <c r="E13353" s="30" t="s">
        <v>25310</v>
      </c>
      <c r="F13353" s="34" t="n">
        <f aca="false">IFERROR(VLOOKUP($A13353,'319'!$B:$H,7,0),0)</f>
        <v>0</v>
      </c>
      <c r="G13353" s="34" t="n">
        <f aca="false">SUMIFS('12.326ana'!$C:$C,'12.326ana'!$M:$M,redes!A13353)</f>
        <v>0</v>
      </c>
    </row>
    <row r="13354" customFormat="false" ht="14.4" hidden="true" customHeight="false" outlineLevel="0" collapsed="false">
      <c r="A13354" s="34" t="n">
        <v>15491145000100</v>
      </c>
      <c r="B13354" s="34" t="s">
        <v>25311</v>
      </c>
      <c r="C13354" s="34" t="s">
        <v>77</v>
      </c>
      <c r="E13354" s="30" t="s">
        <v>13616</v>
      </c>
      <c r="F13354" s="34" t="n">
        <f aca="false">IFERROR(VLOOKUP($A13354,'319'!$B:$H,7,0),0)</f>
        <v>0</v>
      </c>
      <c r="G13354" s="34" t="n">
        <f aca="false">SUMIFS('12.326ana'!$C:$C,'12.326ana'!$M:$M,redes!A13354)</f>
        <v>0</v>
      </c>
    </row>
    <row r="13355" customFormat="false" ht="14.4" hidden="true" customHeight="false" outlineLevel="0" collapsed="false">
      <c r="A13355" s="34" t="n">
        <v>15491434000109</v>
      </c>
      <c r="B13355" s="34" t="s">
        <v>25312</v>
      </c>
      <c r="C13355" s="34" t="s">
        <v>77</v>
      </c>
      <c r="E13355" s="30" t="s">
        <v>25313</v>
      </c>
      <c r="F13355" s="34" t="n">
        <f aca="false">IFERROR(VLOOKUP($A13355,'319'!$B:$H,7,0),0)</f>
        <v>0</v>
      </c>
      <c r="G13355" s="34" t="n">
        <f aca="false">SUMIFS('12.326ana'!$C:$C,'12.326ana'!$M:$M,redes!A13355)</f>
        <v>0</v>
      </c>
    </row>
    <row r="13356" customFormat="false" ht="14.4" hidden="true" customHeight="false" outlineLevel="0" collapsed="false">
      <c r="A13356" s="34" t="n">
        <v>15492218000188</v>
      </c>
      <c r="B13356" s="34" t="s">
        <v>25314</v>
      </c>
      <c r="C13356" s="34" t="s">
        <v>77</v>
      </c>
      <c r="E13356" s="30" t="s">
        <v>25315</v>
      </c>
      <c r="F13356" s="34" t="n">
        <f aca="false">IFERROR(VLOOKUP($A13356,'319'!$B:$H,7,0),0)</f>
        <v>0</v>
      </c>
      <c r="G13356" s="34" t="n">
        <f aca="false">SUMIFS('12.326ana'!$C:$C,'12.326ana'!$M:$M,redes!A13356)</f>
        <v>0</v>
      </c>
    </row>
    <row r="13357" customFormat="false" ht="14.4" hidden="true" customHeight="false" outlineLevel="0" collapsed="false">
      <c r="A13357" s="34" t="n">
        <v>15493273000192</v>
      </c>
      <c r="B13357" s="34" t="s">
        <v>25316</v>
      </c>
      <c r="C13357" s="34" t="s">
        <v>107</v>
      </c>
      <c r="D13357" s="34" t="s">
        <v>4797</v>
      </c>
      <c r="E13357" s="30" t="s">
        <v>25317</v>
      </c>
      <c r="F13357" s="34" t="n">
        <f aca="false">IFERROR(VLOOKUP($A13357,'319'!$B:$H,7,0),0)</f>
        <v>0</v>
      </c>
      <c r="G13357" s="34" t="n">
        <f aca="false">SUMIFS('12.326ana'!$C:$C,'12.326ana'!$M:$M,redes!A13357)</f>
        <v>0</v>
      </c>
    </row>
    <row r="13358" customFormat="false" ht="14.4" hidden="true" customHeight="false" outlineLevel="0" collapsed="false">
      <c r="A13358" s="34" t="n">
        <v>15494289000110</v>
      </c>
      <c r="B13358" s="34" t="s">
        <v>25318</v>
      </c>
      <c r="C13358" s="34" t="s">
        <v>77</v>
      </c>
      <c r="E13358" s="30" t="s">
        <v>25319</v>
      </c>
      <c r="F13358" s="34" t="n">
        <f aca="false">IFERROR(VLOOKUP($A13358,'319'!$B:$H,7,0),0)</f>
        <v>0</v>
      </c>
      <c r="G13358" s="34" t="n">
        <f aca="false">SUMIFS('12.326ana'!$C:$C,'12.326ana'!$M:$M,redes!A13358)</f>
        <v>0</v>
      </c>
    </row>
    <row r="13359" customFormat="false" ht="14.4" hidden="true" customHeight="false" outlineLevel="0" collapsed="false">
      <c r="A13359" s="34" t="n">
        <v>15494823000198</v>
      </c>
      <c r="B13359" s="34" t="s">
        <v>25320</v>
      </c>
      <c r="C13359" s="34" t="s">
        <v>89</v>
      </c>
      <c r="E13359" s="30" t="s">
        <v>24814</v>
      </c>
      <c r="F13359" s="34" t="n">
        <f aca="false">IFERROR(VLOOKUP($A13359,'319'!$B:$H,7,0),0)</f>
        <v>0</v>
      </c>
      <c r="G13359" s="34" t="n">
        <f aca="false">SUMIFS('12.326ana'!$C:$C,'12.326ana'!$M:$M,redes!A13359)</f>
        <v>0</v>
      </c>
    </row>
    <row r="13360" customFormat="false" ht="14.4" hidden="true" customHeight="false" outlineLevel="0" collapsed="false">
      <c r="A13360" s="34" t="n">
        <v>15495989000129</v>
      </c>
      <c r="B13360" s="34" t="s">
        <v>25321</v>
      </c>
      <c r="C13360" s="34" t="s">
        <v>77</v>
      </c>
      <c r="E13360" s="30" t="s">
        <v>25322</v>
      </c>
      <c r="F13360" s="34" t="n">
        <f aca="false">IFERROR(VLOOKUP($A13360,'319'!$B:$H,7,0),0)</f>
        <v>0</v>
      </c>
      <c r="G13360" s="34" t="n">
        <f aca="false">SUMIFS('12.326ana'!$C:$C,'12.326ana'!$M:$M,redes!A13360)</f>
        <v>0</v>
      </c>
    </row>
    <row r="13361" customFormat="false" ht="14.4" hidden="true" customHeight="false" outlineLevel="0" collapsed="false">
      <c r="A13361" s="34" t="n">
        <v>15496011000181</v>
      </c>
      <c r="B13361" s="34" t="s">
        <v>25323</v>
      </c>
      <c r="C13361" s="34" t="s">
        <v>197</v>
      </c>
      <c r="E13361" s="30" t="s">
        <v>25324</v>
      </c>
      <c r="F13361" s="34" t="n">
        <f aca="false">IFERROR(VLOOKUP($A13361,'319'!$B:$H,7,0),0)</f>
        <v>0</v>
      </c>
      <c r="G13361" s="34" t="n">
        <f aca="false">SUMIFS('12.326ana'!$C:$C,'12.326ana'!$M:$M,redes!A13361)</f>
        <v>0</v>
      </c>
    </row>
    <row r="13362" customFormat="false" ht="14.4" hidden="true" customHeight="false" outlineLevel="0" collapsed="false">
      <c r="A13362" s="34" t="n">
        <v>15496060000114</v>
      </c>
      <c r="B13362" s="34" t="s">
        <v>25325</v>
      </c>
      <c r="C13362" s="34" t="s">
        <v>342</v>
      </c>
      <c r="E13362" s="30" t="s">
        <v>25326</v>
      </c>
      <c r="F13362" s="34" t="n">
        <f aca="false">IFERROR(VLOOKUP($A13362,'319'!$B:$H,7,0),0)</f>
        <v>0</v>
      </c>
      <c r="G13362" s="34" t="n">
        <f aca="false">SUMIFS('12.326ana'!$C:$C,'12.326ana'!$M:$M,redes!A13362)</f>
        <v>0</v>
      </c>
    </row>
    <row r="13363" customFormat="false" ht="14.4" hidden="true" customHeight="false" outlineLevel="0" collapsed="false">
      <c r="A13363" s="34" t="n">
        <v>15496268000133</v>
      </c>
      <c r="B13363" s="34" t="s">
        <v>25327</v>
      </c>
      <c r="C13363" s="34" t="s">
        <v>299</v>
      </c>
      <c r="D13363" s="34" t="s">
        <v>25328</v>
      </c>
      <c r="E13363" s="30" t="s">
        <v>25329</v>
      </c>
      <c r="F13363" s="34" t="n">
        <f aca="false">IFERROR(VLOOKUP($A13363,'319'!$B:$H,7,0),0)</f>
        <v>0</v>
      </c>
      <c r="G13363" s="34" t="n">
        <f aca="false">SUMIFS('12.326ana'!$C:$C,'12.326ana'!$M:$M,redes!A13363)</f>
        <v>0</v>
      </c>
    </row>
    <row r="13364" customFormat="false" ht="14.4" hidden="true" customHeight="false" outlineLevel="0" collapsed="false">
      <c r="A13364" s="34" t="n">
        <v>15497290001501</v>
      </c>
      <c r="B13364" s="34" t="s">
        <v>25330</v>
      </c>
      <c r="C13364" s="34" t="s">
        <v>77</v>
      </c>
      <c r="E13364" s="30" t="s">
        <v>25331</v>
      </c>
      <c r="F13364" s="34" t="n">
        <f aca="false">IFERROR(VLOOKUP($A13364,'319'!$B:$H,7,0),0)</f>
        <v>0</v>
      </c>
      <c r="G13364" s="34" t="n">
        <f aca="false">SUMIFS('12.326ana'!$C:$C,'12.326ana'!$M:$M,redes!A13364)</f>
        <v>0</v>
      </c>
    </row>
    <row r="13365" customFormat="false" ht="14.4" hidden="true" customHeight="false" outlineLevel="0" collapsed="false">
      <c r="A13365" s="34" t="n">
        <v>15497415000190</v>
      </c>
      <c r="B13365" s="34" t="s">
        <v>25332</v>
      </c>
      <c r="C13365" s="34" t="s">
        <v>77</v>
      </c>
      <c r="E13365" s="30" t="s">
        <v>25333</v>
      </c>
      <c r="F13365" s="34" t="n">
        <f aca="false">IFERROR(VLOOKUP($A13365,'319'!$B:$H,7,0),0)</f>
        <v>0</v>
      </c>
      <c r="G13365" s="34" t="n">
        <f aca="false">SUMIFS('12.326ana'!$C:$C,'12.326ana'!$M:$M,redes!A13365)</f>
        <v>0</v>
      </c>
    </row>
    <row r="13366" customFormat="false" ht="14.4" hidden="true" customHeight="false" outlineLevel="0" collapsed="false">
      <c r="A13366" s="34" t="n">
        <v>15498462000158</v>
      </c>
      <c r="B13366" s="34" t="s">
        <v>25334</v>
      </c>
      <c r="C13366" s="34" t="s">
        <v>1602</v>
      </c>
      <c r="E13366" s="30" t="s">
        <v>25335</v>
      </c>
      <c r="F13366" s="34" t="n">
        <f aca="false">IFERROR(VLOOKUP($A13366,'319'!$B:$H,7,0),0)</f>
        <v>0</v>
      </c>
      <c r="G13366" s="34" t="n">
        <f aca="false">SUMIFS('12.326ana'!$C:$C,'12.326ana'!$M:$M,redes!A13366)</f>
        <v>0</v>
      </c>
    </row>
    <row r="13367" customFormat="false" ht="14.4" hidden="true" customHeight="false" outlineLevel="0" collapsed="false">
      <c r="A13367" s="34" t="n">
        <v>15498702000114</v>
      </c>
      <c r="B13367" s="34" t="s">
        <v>25336</v>
      </c>
      <c r="C13367" s="34" t="s">
        <v>107</v>
      </c>
      <c r="E13367" s="30" t="s">
        <v>6376</v>
      </c>
      <c r="F13367" s="34" t="n">
        <f aca="false">IFERROR(VLOOKUP($A13367,'319'!$B:$H,7,0),0)</f>
        <v>0</v>
      </c>
      <c r="G13367" s="34" t="n">
        <f aca="false">SUMIFS('12.326ana'!$C:$C,'12.326ana'!$M:$M,redes!A13367)</f>
        <v>0</v>
      </c>
    </row>
    <row r="13368" customFormat="false" ht="14.4" hidden="true" customHeight="false" outlineLevel="0" collapsed="false">
      <c r="A13368" s="34" t="n">
        <v>15499296000104</v>
      </c>
      <c r="B13368" s="34" t="s">
        <v>25337</v>
      </c>
      <c r="C13368" s="34" t="s">
        <v>77</v>
      </c>
      <c r="E13368" s="30" t="s">
        <v>25338</v>
      </c>
      <c r="F13368" s="34" t="n">
        <f aca="false">IFERROR(VLOOKUP($A13368,'319'!$B:$H,7,0),0)</f>
        <v>0</v>
      </c>
      <c r="G13368" s="34" t="n">
        <f aca="false">SUMIFS('12.326ana'!$C:$C,'12.326ana'!$M:$M,redes!A13368)</f>
        <v>0</v>
      </c>
    </row>
    <row r="13369" customFormat="false" ht="14.4" hidden="true" customHeight="false" outlineLevel="0" collapsed="false">
      <c r="A13369" s="34" t="n">
        <v>15499812000109</v>
      </c>
      <c r="B13369" s="34" t="s">
        <v>25339</v>
      </c>
      <c r="C13369" s="34" t="s">
        <v>77</v>
      </c>
      <c r="E13369" s="30" t="s">
        <v>15045</v>
      </c>
      <c r="F13369" s="34" t="n">
        <f aca="false">IFERROR(VLOOKUP($A13369,'319'!$B:$H,7,0),0)</f>
        <v>0</v>
      </c>
      <c r="G13369" s="34" t="n">
        <f aca="false">SUMIFS('12.326ana'!$C:$C,'12.326ana'!$M:$M,redes!A13369)</f>
        <v>0</v>
      </c>
    </row>
    <row r="13370" customFormat="false" ht="14.4" hidden="true" customHeight="false" outlineLevel="0" collapsed="false">
      <c r="A13370" s="34" t="n">
        <v>15500689000190</v>
      </c>
      <c r="B13370" s="34" t="s">
        <v>25340</v>
      </c>
      <c r="C13370" s="34" t="s">
        <v>781</v>
      </c>
      <c r="E13370" s="30" t="s">
        <v>25341</v>
      </c>
      <c r="F13370" s="34" t="n">
        <f aca="false">IFERROR(VLOOKUP($A13370,'319'!$B:$H,7,0),0)</f>
        <v>0</v>
      </c>
      <c r="G13370" s="34" t="n">
        <f aca="false">SUMIFS('12.326ana'!$C:$C,'12.326ana'!$M:$M,redes!A13370)</f>
        <v>0</v>
      </c>
    </row>
    <row r="13371" customFormat="false" ht="14.4" hidden="true" customHeight="false" outlineLevel="0" collapsed="false">
      <c r="A13371" s="34" t="n">
        <v>15503329000142</v>
      </c>
      <c r="B13371" s="34" t="s">
        <v>25342</v>
      </c>
      <c r="C13371" s="34" t="s">
        <v>139</v>
      </c>
      <c r="E13371" s="30" t="s">
        <v>16974</v>
      </c>
      <c r="F13371" s="34" t="n">
        <f aca="false">IFERROR(VLOOKUP($A13371,'319'!$B:$H,7,0),0)</f>
        <v>0</v>
      </c>
      <c r="G13371" s="34" t="n">
        <f aca="false">SUMIFS('12.326ana'!$C:$C,'12.326ana'!$M:$M,redes!A13371)</f>
        <v>0</v>
      </c>
    </row>
    <row r="13372" customFormat="false" ht="14.4" hidden="true" customHeight="false" outlineLevel="0" collapsed="false">
      <c r="A13372" s="34" t="n">
        <v>15503477000167</v>
      </c>
      <c r="B13372" s="34" t="s">
        <v>25343</v>
      </c>
      <c r="C13372" s="34" t="s">
        <v>77</v>
      </c>
      <c r="E13372" s="30" t="s">
        <v>25344</v>
      </c>
      <c r="F13372" s="34" t="n">
        <f aca="false">IFERROR(VLOOKUP($A13372,'319'!$B:$H,7,0),0)</f>
        <v>0</v>
      </c>
      <c r="G13372" s="34" t="n">
        <f aca="false">SUMIFS('12.326ana'!$C:$C,'12.326ana'!$M:$M,redes!A13372)</f>
        <v>0</v>
      </c>
    </row>
    <row r="13373" customFormat="false" ht="14.4" hidden="true" customHeight="false" outlineLevel="0" collapsed="false">
      <c r="A13373" s="34" t="n">
        <v>15505704000517</v>
      </c>
      <c r="B13373" s="34" t="s">
        <v>25345</v>
      </c>
      <c r="C13373" s="34" t="s">
        <v>77</v>
      </c>
      <c r="E13373" s="30" t="s">
        <v>25346</v>
      </c>
      <c r="F13373" s="34" t="n">
        <f aca="false">IFERROR(VLOOKUP($A13373,'319'!$B:$H,7,0),0)</f>
        <v>0</v>
      </c>
      <c r="G13373" s="34" t="n">
        <f aca="false">SUMIFS('12.326ana'!$C:$C,'12.326ana'!$M:$M,redes!A13373)</f>
        <v>0</v>
      </c>
    </row>
    <row r="13374" customFormat="false" ht="14.4" hidden="true" customHeight="false" outlineLevel="0" collapsed="false">
      <c r="A13374" s="34" t="n">
        <v>15506693000166</v>
      </c>
      <c r="B13374" s="34" t="s">
        <v>25347</v>
      </c>
      <c r="C13374" s="34" t="s">
        <v>103</v>
      </c>
      <c r="E13374" s="30" t="s">
        <v>25348</v>
      </c>
      <c r="F13374" s="34" t="n">
        <f aca="false">IFERROR(VLOOKUP($A13374,'319'!$B:$H,7,0),0)</f>
        <v>0</v>
      </c>
      <c r="G13374" s="34" t="n">
        <f aca="false">SUMIFS('12.326ana'!$C:$C,'12.326ana'!$M:$M,redes!A13374)</f>
        <v>0</v>
      </c>
    </row>
    <row r="13375" customFormat="false" ht="14.4" hidden="true" customHeight="false" outlineLevel="0" collapsed="false">
      <c r="A13375" s="34" t="n">
        <v>15508682000115</v>
      </c>
      <c r="B13375" s="34" t="s">
        <v>25349</v>
      </c>
      <c r="C13375" s="34" t="s">
        <v>342</v>
      </c>
      <c r="E13375" s="30" t="s">
        <v>25350</v>
      </c>
      <c r="F13375" s="34" t="n">
        <f aca="false">IFERROR(VLOOKUP($A13375,'319'!$B:$H,7,0),0)</f>
        <v>6316.44</v>
      </c>
      <c r="G13375" s="34" t="n">
        <f aca="false">SUMIFS('12.326ana'!$C:$C,'12.326ana'!$M:$M,redes!A13375)</f>
        <v>7542.35</v>
      </c>
    </row>
    <row r="13376" customFormat="false" ht="14.4" hidden="true" customHeight="false" outlineLevel="0" collapsed="false">
      <c r="A13376" s="34" t="n">
        <v>15508682001278</v>
      </c>
      <c r="B13376" s="34" t="s">
        <v>25351</v>
      </c>
      <c r="C13376" s="34" t="s">
        <v>342</v>
      </c>
      <c r="E13376" s="30" t="s">
        <v>25350</v>
      </c>
      <c r="F13376" s="34" t="n">
        <f aca="false">IFERROR(VLOOKUP($A13376,'319'!$B:$H,7,0),0)</f>
        <v>0</v>
      </c>
      <c r="G13376" s="34" t="n">
        <f aca="false">SUMIFS('12.326ana'!$C:$C,'12.326ana'!$M:$M,redes!A13376)</f>
        <v>0</v>
      </c>
    </row>
    <row r="13377" customFormat="false" ht="14.4" hidden="true" customHeight="false" outlineLevel="0" collapsed="false">
      <c r="A13377" s="34" t="n">
        <v>15509680000140</v>
      </c>
      <c r="B13377" s="34" t="s">
        <v>25352</v>
      </c>
      <c r="C13377" s="34" t="s">
        <v>103</v>
      </c>
      <c r="E13377" s="30" t="s">
        <v>25353</v>
      </c>
      <c r="F13377" s="34" t="n">
        <f aca="false">IFERROR(VLOOKUP($A13377,'319'!$B:$H,7,0),0)</f>
        <v>0</v>
      </c>
      <c r="G13377" s="34" t="n">
        <f aca="false">SUMIFS('12.326ana'!$C:$C,'12.326ana'!$M:$M,redes!A13377)</f>
        <v>0</v>
      </c>
    </row>
    <row r="13378" customFormat="false" ht="14.4" hidden="true" customHeight="false" outlineLevel="0" collapsed="false">
      <c r="A13378" s="34" t="n">
        <v>15509714000105</v>
      </c>
      <c r="B13378" s="34" t="s">
        <v>25354</v>
      </c>
      <c r="C13378" s="34" t="s">
        <v>77</v>
      </c>
      <c r="E13378" s="30" t="s">
        <v>25355</v>
      </c>
      <c r="F13378" s="34" t="n">
        <f aca="false">IFERROR(VLOOKUP($A13378,'319'!$B:$H,7,0),0)</f>
        <v>0</v>
      </c>
      <c r="G13378" s="34" t="n">
        <f aca="false">SUMIFS('12.326ana'!$C:$C,'12.326ana'!$M:$M,redes!A13378)</f>
        <v>0</v>
      </c>
    </row>
    <row r="13379" customFormat="false" ht="14.4" hidden="true" customHeight="false" outlineLevel="0" collapsed="false">
      <c r="A13379" s="34" t="n">
        <v>15510472000161</v>
      </c>
      <c r="B13379" s="34" t="s">
        <v>25356</v>
      </c>
      <c r="C13379" s="34" t="s">
        <v>2998</v>
      </c>
      <c r="E13379" s="30" t="s">
        <v>25357</v>
      </c>
      <c r="F13379" s="34" t="n">
        <f aca="false">IFERROR(VLOOKUP($A13379,'319'!$B:$H,7,0),0)</f>
        <v>0</v>
      </c>
      <c r="G13379" s="34" t="n">
        <f aca="false">SUMIFS('12.326ana'!$C:$C,'12.326ana'!$M:$M,redes!A13379)</f>
        <v>0</v>
      </c>
    </row>
    <row r="13380" customFormat="false" ht="14.4" hidden="true" customHeight="false" outlineLevel="0" collapsed="false">
      <c r="A13380" s="34" t="n">
        <v>15510860000142</v>
      </c>
      <c r="B13380" s="34" t="s">
        <v>25358</v>
      </c>
      <c r="C13380" s="34" t="s">
        <v>107</v>
      </c>
      <c r="D13380" s="34" t="s">
        <v>4797</v>
      </c>
      <c r="E13380" s="30" t="s">
        <v>25359</v>
      </c>
      <c r="F13380" s="34" t="n">
        <f aca="false">IFERROR(VLOOKUP($A13380,'319'!$B:$H,7,0),0)</f>
        <v>0</v>
      </c>
      <c r="G13380" s="34" t="n">
        <f aca="false">SUMIFS('12.326ana'!$C:$C,'12.326ana'!$M:$M,redes!A13380)</f>
        <v>0</v>
      </c>
    </row>
    <row r="13381" customFormat="false" ht="14.4" hidden="true" customHeight="false" outlineLevel="0" collapsed="false">
      <c r="A13381" s="34" t="n">
        <v>15511926000119</v>
      </c>
      <c r="B13381" s="34" t="s">
        <v>25360</v>
      </c>
      <c r="C13381" s="34" t="s">
        <v>77</v>
      </c>
      <c r="E13381" s="30" t="s">
        <v>4944</v>
      </c>
      <c r="F13381" s="34" t="n">
        <f aca="false">IFERROR(VLOOKUP($A13381,'319'!$B:$H,7,0),0)</f>
        <v>0</v>
      </c>
      <c r="G13381" s="34" t="n">
        <f aca="false">SUMIFS('12.326ana'!$C:$C,'12.326ana'!$M:$M,redes!A13381)</f>
        <v>0</v>
      </c>
    </row>
    <row r="13382" customFormat="false" ht="14.4" hidden="true" customHeight="false" outlineLevel="0" collapsed="false">
      <c r="A13382" s="34" t="n">
        <v>15513088000112</v>
      </c>
      <c r="B13382" s="34" t="s">
        <v>25361</v>
      </c>
      <c r="C13382" s="34" t="s">
        <v>546</v>
      </c>
      <c r="E13382" s="30" t="s">
        <v>12885</v>
      </c>
      <c r="F13382" s="34" t="n">
        <f aca="false">IFERROR(VLOOKUP($A13382,'319'!$B:$H,7,0),0)</f>
        <v>0</v>
      </c>
      <c r="G13382" s="34" t="n">
        <f aca="false">SUMIFS('12.326ana'!$C:$C,'12.326ana'!$M:$M,redes!A13382)</f>
        <v>0</v>
      </c>
    </row>
    <row r="13383" customFormat="false" ht="14.4" hidden="true" customHeight="false" outlineLevel="0" collapsed="false">
      <c r="A13383" s="34" t="n">
        <v>15513344000171</v>
      </c>
      <c r="B13383" s="34" t="s">
        <v>25362</v>
      </c>
      <c r="C13383" s="34" t="s">
        <v>77</v>
      </c>
      <c r="E13383" s="30" t="s">
        <v>25363</v>
      </c>
      <c r="F13383" s="34" t="n">
        <f aca="false">IFERROR(VLOOKUP($A13383,'319'!$B:$H,7,0),0)</f>
        <v>0</v>
      </c>
      <c r="G13383" s="34" t="n">
        <f aca="false">SUMIFS('12.326ana'!$C:$C,'12.326ana'!$M:$M,redes!A13383)</f>
        <v>0</v>
      </c>
    </row>
    <row r="13384" customFormat="false" ht="14.4" hidden="true" customHeight="false" outlineLevel="0" collapsed="false">
      <c r="A13384" s="34" t="n">
        <v>15513349000102</v>
      </c>
      <c r="B13384" s="34" t="s">
        <v>25364</v>
      </c>
      <c r="C13384" s="34" t="s">
        <v>77</v>
      </c>
      <c r="E13384" s="30" t="s">
        <v>25365</v>
      </c>
      <c r="F13384" s="34" t="n">
        <f aca="false">IFERROR(VLOOKUP($A13384,'319'!$B:$H,7,0),0)</f>
        <v>0</v>
      </c>
      <c r="G13384" s="34" t="n">
        <f aca="false">SUMIFS('12.326ana'!$C:$C,'12.326ana'!$M:$M,redes!A13384)</f>
        <v>0</v>
      </c>
    </row>
    <row r="13385" customFormat="false" ht="14.4" hidden="true" customHeight="false" outlineLevel="0" collapsed="false">
      <c r="A13385" s="34" t="n">
        <v>15514987000210</v>
      </c>
      <c r="B13385" s="34" t="s">
        <v>25366</v>
      </c>
      <c r="C13385" s="34" t="s">
        <v>77</v>
      </c>
      <c r="E13385" s="30" t="s">
        <v>25367</v>
      </c>
      <c r="F13385" s="34" t="n">
        <f aca="false">IFERROR(VLOOKUP($A13385,'319'!$B:$H,7,0),0)</f>
        <v>0</v>
      </c>
      <c r="G13385" s="34" t="n">
        <f aca="false">SUMIFS('12.326ana'!$C:$C,'12.326ana'!$M:$M,redes!A13385)</f>
        <v>0</v>
      </c>
    </row>
    <row r="13386" customFormat="false" ht="14.4" hidden="true" customHeight="false" outlineLevel="0" collapsed="false">
      <c r="A13386" s="34" t="n">
        <v>15517303000153</v>
      </c>
      <c r="B13386" s="34" t="s">
        <v>25368</v>
      </c>
      <c r="C13386" s="34" t="s">
        <v>1272</v>
      </c>
      <c r="E13386" s="30" t="s">
        <v>25369</v>
      </c>
      <c r="F13386" s="34" t="n">
        <f aca="false">IFERROR(VLOOKUP($A13386,'319'!$B:$H,7,0),0)</f>
        <v>0</v>
      </c>
      <c r="G13386" s="34" t="n">
        <f aca="false">SUMIFS('12.326ana'!$C:$C,'12.326ana'!$M:$M,redes!A13386)</f>
        <v>0</v>
      </c>
    </row>
    <row r="13387" customFormat="false" ht="14.4" hidden="true" customHeight="false" outlineLevel="0" collapsed="false">
      <c r="A13387" s="34" t="n">
        <v>15517956000132</v>
      </c>
      <c r="B13387" s="34" t="s">
        <v>25370</v>
      </c>
      <c r="C13387" s="34" t="s">
        <v>77</v>
      </c>
      <c r="E13387" s="30" t="s">
        <v>25371</v>
      </c>
      <c r="F13387" s="34" t="n">
        <f aca="false">IFERROR(VLOOKUP($A13387,'319'!$B:$H,7,0),0)</f>
        <v>0</v>
      </c>
      <c r="G13387" s="34" t="n">
        <f aca="false">SUMIFS('12.326ana'!$C:$C,'12.326ana'!$M:$M,redes!A13387)</f>
        <v>0</v>
      </c>
    </row>
    <row r="13388" customFormat="false" ht="14.4" hidden="true" customHeight="false" outlineLevel="0" collapsed="false">
      <c r="A13388" s="34" t="n">
        <v>15518202000105</v>
      </c>
      <c r="B13388" s="34" t="s">
        <v>25372</v>
      </c>
      <c r="C13388" s="34" t="s">
        <v>77</v>
      </c>
      <c r="E13388" s="30" t="s">
        <v>25373</v>
      </c>
      <c r="F13388" s="34" t="n">
        <f aca="false">IFERROR(VLOOKUP($A13388,'319'!$B:$H,7,0),0)</f>
        <v>0</v>
      </c>
      <c r="G13388" s="34" t="n">
        <f aca="false">SUMIFS('12.326ana'!$C:$C,'12.326ana'!$M:$M,redes!A13388)</f>
        <v>0</v>
      </c>
    </row>
    <row r="13389" customFormat="false" ht="14.4" hidden="true" customHeight="false" outlineLevel="0" collapsed="false">
      <c r="A13389" s="34" t="n">
        <v>15518921000118</v>
      </c>
      <c r="B13389" s="34" t="s">
        <v>25374</v>
      </c>
      <c r="C13389" s="34" t="s">
        <v>77</v>
      </c>
      <c r="E13389" s="30"/>
      <c r="F13389" s="34" t="n">
        <f aca="false">IFERROR(VLOOKUP($A13389,'319'!$B:$H,7,0),0)</f>
        <v>0</v>
      </c>
      <c r="G13389" s="34" t="n">
        <f aca="false">SUMIFS('12.326ana'!$C:$C,'12.326ana'!$M:$M,redes!A13389)</f>
        <v>0</v>
      </c>
    </row>
    <row r="13390" customFormat="false" ht="14.4" hidden="true" customHeight="false" outlineLevel="0" collapsed="false">
      <c r="A13390" s="34" t="n">
        <v>15519820000161</v>
      </c>
      <c r="B13390" s="34" t="s">
        <v>25375</v>
      </c>
      <c r="C13390" s="34" t="s">
        <v>77</v>
      </c>
      <c r="E13390" s="30" t="s">
        <v>25376</v>
      </c>
      <c r="F13390" s="34" t="n">
        <f aca="false">IFERROR(VLOOKUP($A13390,'319'!$B:$H,7,0),0)</f>
        <v>0</v>
      </c>
      <c r="G13390" s="34" t="n">
        <f aca="false">SUMIFS('12.326ana'!$C:$C,'12.326ana'!$M:$M,redes!A13390)</f>
        <v>0</v>
      </c>
    </row>
    <row r="13391" customFormat="false" ht="14.4" hidden="true" customHeight="false" outlineLevel="0" collapsed="false">
      <c r="A13391" s="34" t="n">
        <v>15520697000107</v>
      </c>
      <c r="B13391" s="34" t="s">
        <v>25377</v>
      </c>
      <c r="C13391" s="34" t="s">
        <v>77</v>
      </c>
      <c r="E13391" s="30"/>
      <c r="F13391" s="34" t="n">
        <f aca="false">IFERROR(VLOOKUP($A13391,'319'!$B:$H,7,0),0)</f>
        <v>0</v>
      </c>
      <c r="G13391" s="34" t="n">
        <f aca="false">SUMIFS('12.326ana'!$C:$C,'12.326ana'!$M:$M,redes!A13391)</f>
        <v>0</v>
      </c>
    </row>
    <row r="13392" customFormat="false" ht="14.4" hidden="true" customHeight="false" outlineLevel="0" collapsed="false">
      <c r="A13392" s="34" t="n">
        <v>15521222000127</v>
      </c>
      <c r="B13392" s="34" t="s">
        <v>25378</v>
      </c>
      <c r="C13392" s="34" t="s">
        <v>77</v>
      </c>
      <c r="E13392" s="30" t="s">
        <v>25379</v>
      </c>
      <c r="F13392" s="34" t="n">
        <f aca="false">IFERROR(VLOOKUP($A13392,'319'!$B:$H,7,0),0)</f>
        <v>0</v>
      </c>
      <c r="G13392" s="34" t="n">
        <f aca="false">SUMIFS('12.326ana'!$C:$C,'12.326ana'!$M:$M,redes!A13392)</f>
        <v>0</v>
      </c>
    </row>
    <row r="13393" customFormat="false" ht="14.4" hidden="true" customHeight="false" outlineLevel="0" collapsed="false">
      <c r="A13393" s="34" t="n">
        <v>15521427000102</v>
      </c>
      <c r="B13393" s="34" t="s">
        <v>25380</v>
      </c>
      <c r="C13393" s="34" t="s">
        <v>77</v>
      </c>
      <c r="E13393" s="30" t="s">
        <v>25381</v>
      </c>
      <c r="F13393" s="34" t="n">
        <f aca="false">IFERROR(VLOOKUP($A13393,'319'!$B:$H,7,0),0)</f>
        <v>0</v>
      </c>
      <c r="G13393" s="34" t="n">
        <f aca="false">SUMIFS('12.326ana'!$C:$C,'12.326ana'!$M:$M,redes!A13393)</f>
        <v>0</v>
      </c>
    </row>
    <row r="13394" customFormat="false" ht="14.4" hidden="true" customHeight="false" outlineLevel="0" collapsed="false">
      <c r="A13394" s="34" t="n">
        <v>15522345000182</v>
      </c>
      <c r="B13394" s="34" t="s">
        <v>25382</v>
      </c>
      <c r="C13394" s="34" t="s">
        <v>804</v>
      </c>
      <c r="E13394" s="30" t="s">
        <v>19053</v>
      </c>
      <c r="F13394" s="34" t="n">
        <f aca="false">IFERROR(VLOOKUP($A13394,'319'!$B:$H,7,0),0)</f>
        <v>0</v>
      </c>
      <c r="G13394" s="34" t="n">
        <f aca="false">SUMIFS('12.326ana'!$C:$C,'12.326ana'!$M:$M,redes!A13394)</f>
        <v>0</v>
      </c>
    </row>
    <row r="13395" customFormat="false" ht="14.4" hidden="true" customHeight="false" outlineLevel="0" collapsed="false">
      <c r="A13395" s="34" t="n">
        <v>15523186000130</v>
      </c>
      <c r="B13395" s="34" t="s">
        <v>25383</v>
      </c>
      <c r="C13395" s="34" t="s">
        <v>296</v>
      </c>
      <c r="E13395" s="30" t="s">
        <v>5750</v>
      </c>
      <c r="F13395" s="34" t="n">
        <f aca="false">IFERROR(VLOOKUP($A13395,'319'!$B:$H,7,0),0)</f>
        <v>0</v>
      </c>
      <c r="G13395" s="34" t="n">
        <f aca="false">SUMIFS('12.326ana'!$C:$C,'12.326ana'!$M:$M,redes!A13395)</f>
        <v>0</v>
      </c>
    </row>
    <row r="13396" customFormat="false" ht="14.4" hidden="true" customHeight="false" outlineLevel="0" collapsed="false">
      <c r="A13396" s="34" t="n">
        <v>15524143000170</v>
      </c>
      <c r="B13396" s="34" t="s">
        <v>25384</v>
      </c>
      <c r="C13396" s="34" t="s">
        <v>107</v>
      </c>
      <c r="E13396" s="30" t="s">
        <v>25385</v>
      </c>
      <c r="F13396" s="34" t="n">
        <f aca="false">IFERROR(VLOOKUP($A13396,'319'!$B:$H,7,0),0)</f>
        <v>0</v>
      </c>
      <c r="G13396" s="34" t="n">
        <f aca="false">SUMIFS('12.326ana'!$C:$C,'12.326ana'!$M:$M,redes!A13396)</f>
        <v>0</v>
      </c>
    </row>
    <row r="13397" customFormat="false" ht="14.4" hidden="true" customHeight="false" outlineLevel="0" collapsed="false">
      <c r="A13397" s="34" t="n">
        <v>15524846000106</v>
      </c>
      <c r="B13397" s="34" t="s">
        <v>25386</v>
      </c>
      <c r="C13397" s="34" t="s">
        <v>77</v>
      </c>
      <c r="E13397" s="30" t="s">
        <v>13892</v>
      </c>
      <c r="F13397" s="34" t="n">
        <f aca="false">IFERROR(VLOOKUP($A13397,'319'!$B:$H,7,0),0)</f>
        <v>0</v>
      </c>
      <c r="G13397" s="34" t="n">
        <f aca="false">SUMIFS('12.326ana'!$C:$C,'12.326ana'!$M:$M,redes!A13397)</f>
        <v>0</v>
      </c>
    </row>
    <row r="13398" customFormat="false" ht="14.4" hidden="true" customHeight="false" outlineLevel="0" collapsed="false">
      <c r="A13398" s="34" t="n">
        <v>15525868000182</v>
      </c>
      <c r="B13398" s="34" t="s">
        <v>25387</v>
      </c>
      <c r="C13398" s="34" t="s">
        <v>77</v>
      </c>
      <c r="E13398" s="30" t="s">
        <v>25388</v>
      </c>
      <c r="F13398" s="34" t="n">
        <f aca="false">IFERROR(VLOOKUP($A13398,'319'!$B:$H,7,0),0)</f>
        <v>0</v>
      </c>
      <c r="G13398" s="34" t="n">
        <f aca="false">SUMIFS('12.326ana'!$C:$C,'12.326ana'!$M:$M,redes!A13398)</f>
        <v>0</v>
      </c>
    </row>
    <row r="13399" customFormat="false" ht="14.4" hidden="true" customHeight="false" outlineLevel="0" collapsed="false">
      <c r="A13399" s="34" t="n">
        <v>15525934000386</v>
      </c>
      <c r="B13399" s="34" t="s">
        <v>25389</v>
      </c>
      <c r="C13399" s="34" t="s">
        <v>77</v>
      </c>
      <c r="E13399" s="30" t="s">
        <v>25390</v>
      </c>
      <c r="F13399" s="34" t="n">
        <f aca="false">IFERROR(VLOOKUP($A13399,'319'!$B:$H,7,0),0)</f>
        <v>0</v>
      </c>
      <c r="G13399" s="34" t="n">
        <f aca="false">SUMIFS('12.326ana'!$C:$C,'12.326ana'!$M:$M,redes!A13399)</f>
        <v>0</v>
      </c>
    </row>
    <row r="13400" customFormat="false" ht="14.4" hidden="true" customHeight="false" outlineLevel="0" collapsed="false">
      <c r="A13400" s="34" t="n">
        <v>15526064000106</v>
      </c>
      <c r="B13400" s="34" t="s">
        <v>25391</v>
      </c>
      <c r="C13400" s="34" t="s">
        <v>117</v>
      </c>
      <c r="E13400" s="30" t="s">
        <v>12035</v>
      </c>
      <c r="F13400" s="34" t="n">
        <f aca="false">IFERROR(VLOOKUP($A13400,'319'!$B:$H,7,0),0)</f>
        <v>0</v>
      </c>
      <c r="G13400" s="34" t="n">
        <f aca="false">SUMIFS('12.326ana'!$C:$C,'12.326ana'!$M:$M,redes!A13400)</f>
        <v>0</v>
      </c>
    </row>
    <row r="13401" customFormat="false" ht="14.4" hidden="true" customHeight="false" outlineLevel="0" collapsed="false">
      <c r="A13401" s="34" t="n">
        <v>15526510000174</v>
      </c>
      <c r="B13401" s="34" t="s">
        <v>25392</v>
      </c>
      <c r="C13401" s="34" t="s">
        <v>77</v>
      </c>
      <c r="E13401" s="30" t="s">
        <v>17697</v>
      </c>
      <c r="F13401" s="34" t="n">
        <f aca="false">IFERROR(VLOOKUP($A13401,'319'!$B:$H,7,0),0)</f>
        <v>0</v>
      </c>
      <c r="G13401" s="34" t="n">
        <f aca="false">SUMIFS('12.326ana'!$C:$C,'12.326ana'!$M:$M,redes!A13401)</f>
        <v>0</v>
      </c>
    </row>
    <row r="13402" customFormat="false" ht="14.4" hidden="true" customHeight="false" outlineLevel="0" collapsed="false">
      <c r="A13402" s="34" t="n">
        <v>15528010000171</v>
      </c>
      <c r="B13402" s="34" t="s">
        <v>25393</v>
      </c>
      <c r="C13402" s="34" t="s">
        <v>77</v>
      </c>
      <c r="E13402" s="30" t="s">
        <v>25394</v>
      </c>
      <c r="F13402" s="34" t="n">
        <f aca="false">IFERROR(VLOOKUP($A13402,'319'!$B:$H,7,0),0)</f>
        <v>0</v>
      </c>
      <c r="G13402" s="34" t="n">
        <f aca="false">SUMIFS('12.326ana'!$C:$C,'12.326ana'!$M:$M,redes!A13402)</f>
        <v>0</v>
      </c>
    </row>
    <row r="13403" customFormat="false" ht="14.4" hidden="true" customHeight="false" outlineLevel="0" collapsed="false">
      <c r="A13403" s="34" t="n">
        <v>15529950000185</v>
      </c>
      <c r="B13403" s="34" t="s">
        <v>25395</v>
      </c>
      <c r="C13403" s="34" t="s">
        <v>680</v>
      </c>
      <c r="E13403" s="30" t="s">
        <v>25396</v>
      </c>
      <c r="F13403" s="34" t="n">
        <f aca="false">IFERROR(VLOOKUP($A13403,'319'!$B:$H,7,0),0)</f>
        <v>0</v>
      </c>
      <c r="G13403" s="34" t="n">
        <f aca="false">SUMIFS('12.326ana'!$C:$C,'12.326ana'!$M:$M,redes!A13403)</f>
        <v>0</v>
      </c>
    </row>
    <row r="13404" customFormat="false" ht="14.4" hidden="true" customHeight="false" outlineLevel="0" collapsed="false">
      <c r="A13404" s="34" t="n">
        <v>15530058000114</v>
      </c>
      <c r="B13404" s="34" t="s">
        <v>25397</v>
      </c>
      <c r="C13404" s="34" t="s">
        <v>77</v>
      </c>
      <c r="E13404" s="30"/>
      <c r="F13404" s="34" t="n">
        <f aca="false">IFERROR(VLOOKUP($A13404,'319'!$B:$H,7,0),0)</f>
        <v>0</v>
      </c>
      <c r="G13404" s="34" t="n">
        <f aca="false">SUMIFS('12.326ana'!$C:$C,'12.326ana'!$M:$M,redes!A13404)</f>
        <v>0</v>
      </c>
    </row>
    <row r="13405" customFormat="false" ht="14.4" hidden="true" customHeight="false" outlineLevel="0" collapsed="false">
      <c r="A13405" s="34" t="n">
        <v>15530165000142</v>
      </c>
      <c r="B13405" s="34" t="s">
        <v>25398</v>
      </c>
      <c r="C13405" s="34" t="s">
        <v>107</v>
      </c>
      <c r="E13405" s="30" t="s">
        <v>25399</v>
      </c>
      <c r="F13405" s="34" t="n">
        <f aca="false">IFERROR(VLOOKUP($A13405,'319'!$B:$H,7,0),0)</f>
        <v>0</v>
      </c>
      <c r="G13405" s="34" t="n">
        <f aca="false">SUMIFS('12.326ana'!$C:$C,'12.326ana'!$M:$M,redes!A13405)</f>
        <v>0</v>
      </c>
    </row>
    <row r="13406" customFormat="false" ht="14.4" hidden="true" customHeight="false" outlineLevel="0" collapsed="false">
      <c r="A13406" s="34" t="n">
        <v>15530280000117</v>
      </c>
      <c r="B13406" s="34" t="s">
        <v>25400</v>
      </c>
      <c r="C13406" s="34" t="s">
        <v>77</v>
      </c>
      <c r="E13406" s="30" t="s">
        <v>25401</v>
      </c>
      <c r="F13406" s="34" t="n">
        <f aca="false">IFERROR(VLOOKUP($A13406,'319'!$B:$H,7,0),0)</f>
        <v>0</v>
      </c>
      <c r="G13406" s="34" t="n">
        <f aca="false">SUMIFS('12.326ana'!$C:$C,'12.326ana'!$M:$M,redes!A13406)</f>
        <v>0</v>
      </c>
    </row>
    <row r="13407" customFormat="false" ht="14.4" hidden="true" customHeight="false" outlineLevel="0" collapsed="false">
      <c r="A13407" s="34" t="n">
        <v>15530751000197</v>
      </c>
      <c r="B13407" s="34" t="s">
        <v>25402</v>
      </c>
      <c r="C13407" s="34" t="s">
        <v>139</v>
      </c>
      <c r="E13407" s="30" t="s">
        <v>25403</v>
      </c>
      <c r="F13407" s="34" t="n">
        <f aca="false">IFERROR(VLOOKUP($A13407,'319'!$B:$H,7,0),0)</f>
        <v>0</v>
      </c>
      <c r="G13407" s="34" t="n">
        <f aca="false">SUMIFS('12.326ana'!$C:$C,'12.326ana'!$M:$M,redes!A13407)</f>
        <v>0</v>
      </c>
    </row>
    <row r="13408" customFormat="false" ht="14.4" hidden="true" customHeight="false" outlineLevel="0" collapsed="false">
      <c r="A13408" s="34" t="n">
        <v>15531206000115</v>
      </c>
      <c r="B13408" s="34" t="s">
        <v>25404</v>
      </c>
      <c r="C13408" s="34" t="s">
        <v>77</v>
      </c>
      <c r="E13408" s="30" t="s">
        <v>22460</v>
      </c>
      <c r="F13408" s="34" t="n">
        <f aca="false">IFERROR(VLOOKUP($A13408,'319'!$B:$H,7,0),0)</f>
        <v>0</v>
      </c>
      <c r="G13408" s="34" t="n">
        <f aca="false">SUMIFS('12.326ana'!$C:$C,'12.326ana'!$M:$M,redes!A13408)</f>
        <v>0</v>
      </c>
    </row>
    <row r="13409" customFormat="false" ht="14.4" hidden="true" customHeight="false" outlineLevel="0" collapsed="false">
      <c r="A13409" s="34" t="n">
        <v>15531627000146</v>
      </c>
      <c r="B13409" s="34" t="s">
        <v>25405</v>
      </c>
      <c r="C13409" s="34" t="s">
        <v>89</v>
      </c>
      <c r="E13409" s="30" t="s">
        <v>25406</v>
      </c>
      <c r="F13409" s="34" t="n">
        <f aca="false">IFERROR(VLOOKUP($A13409,'319'!$B:$H,7,0),0)</f>
        <v>0</v>
      </c>
      <c r="G13409" s="34" t="n">
        <f aca="false">SUMIFS('12.326ana'!$C:$C,'12.326ana'!$M:$M,redes!A13409)</f>
        <v>0</v>
      </c>
    </row>
    <row r="13410" customFormat="false" ht="14.4" hidden="true" customHeight="false" outlineLevel="0" collapsed="false">
      <c r="A13410" s="34" t="n">
        <v>15531734000174</v>
      </c>
      <c r="B13410" s="34" t="s">
        <v>25407</v>
      </c>
      <c r="C13410" s="34" t="s">
        <v>139</v>
      </c>
      <c r="E13410" s="30" t="s">
        <v>25408</v>
      </c>
      <c r="F13410" s="34" t="n">
        <f aca="false">IFERROR(VLOOKUP($A13410,'319'!$B:$H,7,0),0)</f>
        <v>0</v>
      </c>
      <c r="G13410" s="34" t="n">
        <f aca="false">SUMIFS('12.326ana'!$C:$C,'12.326ana'!$M:$M,redes!A13410)</f>
        <v>0</v>
      </c>
    </row>
    <row r="13411" customFormat="false" ht="14.4" hidden="true" customHeight="false" outlineLevel="0" collapsed="false">
      <c r="A13411" s="34" t="n">
        <v>15533540000108</v>
      </c>
      <c r="B13411" s="34" t="s">
        <v>25409</v>
      </c>
      <c r="C13411" s="34" t="s">
        <v>107</v>
      </c>
      <c r="E13411" s="30" t="s">
        <v>25410</v>
      </c>
      <c r="F13411" s="34" t="n">
        <f aca="false">IFERROR(VLOOKUP($A13411,'319'!$B:$H,7,0),0)</f>
        <v>0</v>
      </c>
      <c r="G13411" s="34" t="n">
        <f aca="false">SUMIFS('12.326ana'!$C:$C,'12.326ana'!$M:$M,redes!A13411)</f>
        <v>0</v>
      </c>
    </row>
    <row r="13412" customFormat="false" ht="14.4" hidden="true" customHeight="false" outlineLevel="0" collapsed="false">
      <c r="A13412" s="34" t="n">
        <v>15534654000172</v>
      </c>
      <c r="B13412" s="34" t="s">
        <v>25411</v>
      </c>
      <c r="C13412" s="34" t="s">
        <v>77</v>
      </c>
      <c r="D13412" s="34" t="s">
        <v>25412</v>
      </c>
      <c r="E13412" s="30" t="s">
        <v>25413</v>
      </c>
      <c r="F13412" s="34" t="n">
        <f aca="false">IFERROR(VLOOKUP($A13412,'319'!$B:$H,7,0),0)</f>
        <v>0</v>
      </c>
      <c r="G13412" s="34" t="n">
        <f aca="false">SUMIFS('12.326ana'!$C:$C,'12.326ana'!$M:$M,redes!A13412)</f>
        <v>0</v>
      </c>
    </row>
    <row r="13413" customFormat="false" ht="14.4" hidden="true" customHeight="false" outlineLevel="0" collapsed="false">
      <c r="A13413" s="34" t="n">
        <v>15534654000253</v>
      </c>
      <c r="B13413" s="34" t="s">
        <v>25414</v>
      </c>
      <c r="C13413" s="34" t="s">
        <v>77</v>
      </c>
      <c r="D13413" s="34" t="s">
        <v>25412</v>
      </c>
      <c r="E13413" s="30" t="s">
        <v>25415</v>
      </c>
      <c r="F13413" s="34" t="n">
        <f aca="false">IFERROR(VLOOKUP($A13413,'319'!$B:$H,7,0),0)</f>
        <v>0</v>
      </c>
      <c r="G13413" s="34" t="n">
        <f aca="false">SUMIFS('12.326ana'!$C:$C,'12.326ana'!$M:$M,redes!A13413)</f>
        <v>0</v>
      </c>
    </row>
    <row r="13414" customFormat="false" ht="14.4" hidden="true" customHeight="false" outlineLevel="0" collapsed="false">
      <c r="A13414" s="34" t="n">
        <v>15534654000334</v>
      </c>
      <c r="B13414" s="34" t="s">
        <v>25416</v>
      </c>
      <c r="C13414" s="34" t="s">
        <v>77</v>
      </c>
      <c r="D13414" s="34" t="s">
        <v>25412</v>
      </c>
      <c r="E13414" s="30" t="s">
        <v>25417</v>
      </c>
      <c r="F13414" s="34" t="n">
        <f aca="false">IFERROR(VLOOKUP($A13414,'319'!$B:$H,7,0),0)</f>
        <v>0</v>
      </c>
      <c r="G13414" s="34" t="n">
        <f aca="false">SUMIFS('12.326ana'!$C:$C,'12.326ana'!$M:$M,redes!A13414)</f>
        <v>0</v>
      </c>
    </row>
    <row r="13415" customFormat="false" ht="14.4" hidden="true" customHeight="false" outlineLevel="0" collapsed="false">
      <c r="A13415" s="34" t="n">
        <v>15534654000415</v>
      </c>
      <c r="B13415" s="34" t="s">
        <v>25416</v>
      </c>
      <c r="C13415" s="34" t="s">
        <v>77</v>
      </c>
      <c r="D13415" s="34" t="s">
        <v>25412</v>
      </c>
      <c r="E13415" s="30" t="s">
        <v>25417</v>
      </c>
      <c r="F13415" s="34" t="n">
        <f aca="false">IFERROR(VLOOKUP($A13415,'319'!$B:$H,7,0),0)</f>
        <v>0</v>
      </c>
      <c r="G13415" s="34" t="n">
        <f aca="false">SUMIFS('12.326ana'!$C:$C,'12.326ana'!$M:$M,redes!A13415)</f>
        <v>0</v>
      </c>
    </row>
    <row r="13416" customFormat="false" ht="14.4" hidden="true" customHeight="false" outlineLevel="0" collapsed="false">
      <c r="A13416" s="34" t="n">
        <v>15534654000504</v>
      </c>
      <c r="B13416" s="34" t="s">
        <v>25418</v>
      </c>
      <c r="C13416" s="34" t="s">
        <v>77</v>
      </c>
      <c r="D13416" s="34" t="s">
        <v>25412</v>
      </c>
      <c r="E13416" s="30" t="s">
        <v>25417</v>
      </c>
      <c r="F13416" s="34" t="n">
        <f aca="false">IFERROR(VLOOKUP($A13416,'319'!$B:$H,7,0),0)</f>
        <v>0</v>
      </c>
      <c r="G13416" s="34" t="n">
        <f aca="false">SUMIFS('12.326ana'!$C:$C,'12.326ana'!$M:$M,redes!A13416)</f>
        <v>0</v>
      </c>
    </row>
    <row r="13417" customFormat="false" ht="14.4" hidden="true" customHeight="false" outlineLevel="0" collapsed="false">
      <c r="A13417" s="34" t="n">
        <v>15534654000687</v>
      </c>
      <c r="B13417" s="34" t="s">
        <v>25416</v>
      </c>
      <c r="C13417" s="34" t="s">
        <v>77</v>
      </c>
      <c r="D13417" s="34" t="s">
        <v>25412</v>
      </c>
      <c r="E13417" s="30" t="s">
        <v>25417</v>
      </c>
      <c r="F13417" s="34" t="n">
        <f aca="false">IFERROR(VLOOKUP($A13417,'319'!$B:$H,7,0),0)</f>
        <v>0</v>
      </c>
      <c r="G13417" s="34" t="n">
        <f aca="false">SUMIFS('12.326ana'!$C:$C,'12.326ana'!$M:$M,redes!A13417)</f>
        <v>0</v>
      </c>
    </row>
    <row r="13418" customFormat="false" ht="14.4" hidden="true" customHeight="false" outlineLevel="0" collapsed="false">
      <c r="A13418" s="34" t="n">
        <v>15534654000768</v>
      </c>
      <c r="B13418" s="34" t="s">
        <v>25416</v>
      </c>
      <c r="C13418" s="34" t="s">
        <v>77</v>
      </c>
      <c r="D13418" s="34" t="s">
        <v>25412</v>
      </c>
      <c r="E13418" s="30" t="s">
        <v>25417</v>
      </c>
      <c r="F13418" s="34" t="n">
        <f aca="false">IFERROR(VLOOKUP($A13418,'319'!$B:$H,7,0),0)</f>
        <v>0</v>
      </c>
      <c r="G13418" s="34" t="n">
        <f aca="false">SUMIFS('12.326ana'!$C:$C,'12.326ana'!$M:$M,redes!A13418)</f>
        <v>0</v>
      </c>
    </row>
    <row r="13419" customFormat="false" ht="14.4" hidden="true" customHeight="false" outlineLevel="0" collapsed="false">
      <c r="A13419" s="34" t="n">
        <v>15534654000849</v>
      </c>
      <c r="B13419" s="34" t="s">
        <v>25416</v>
      </c>
      <c r="C13419" s="34" t="s">
        <v>77</v>
      </c>
      <c r="D13419" s="34" t="s">
        <v>25412</v>
      </c>
      <c r="E13419" s="30" t="s">
        <v>25417</v>
      </c>
      <c r="F13419" s="34" t="n">
        <f aca="false">IFERROR(VLOOKUP($A13419,'319'!$B:$H,7,0),0)</f>
        <v>0</v>
      </c>
      <c r="G13419" s="34" t="n">
        <f aca="false">SUMIFS('12.326ana'!$C:$C,'12.326ana'!$M:$M,redes!A13419)</f>
        <v>0</v>
      </c>
    </row>
    <row r="13420" customFormat="false" ht="14.4" hidden="true" customHeight="false" outlineLevel="0" collapsed="false">
      <c r="A13420" s="34" t="n">
        <v>15534654000920</v>
      </c>
      <c r="B13420" s="34" t="s">
        <v>25416</v>
      </c>
      <c r="C13420" s="34" t="s">
        <v>77</v>
      </c>
      <c r="D13420" s="34" t="s">
        <v>25412</v>
      </c>
      <c r="E13420" s="30" t="s">
        <v>25417</v>
      </c>
      <c r="F13420" s="34" t="n">
        <f aca="false">IFERROR(VLOOKUP($A13420,'319'!$B:$H,7,0),0)</f>
        <v>0</v>
      </c>
      <c r="G13420" s="34" t="n">
        <f aca="false">SUMIFS('12.326ana'!$C:$C,'12.326ana'!$M:$M,redes!A13420)</f>
        <v>0</v>
      </c>
    </row>
    <row r="13421" customFormat="false" ht="14.4" hidden="true" customHeight="false" outlineLevel="0" collapsed="false">
      <c r="A13421" s="34" t="n">
        <v>15534704000111</v>
      </c>
      <c r="B13421" s="34" t="s">
        <v>25419</v>
      </c>
      <c r="C13421" s="34" t="s">
        <v>77</v>
      </c>
      <c r="E13421" s="30" t="s">
        <v>4121</v>
      </c>
      <c r="F13421" s="34" t="n">
        <f aca="false">IFERROR(VLOOKUP($A13421,'319'!$B:$H,7,0),0)</f>
        <v>0</v>
      </c>
      <c r="G13421" s="34" t="n">
        <f aca="false">SUMIFS('12.326ana'!$C:$C,'12.326ana'!$M:$M,redes!A13421)</f>
        <v>0</v>
      </c>
    </row>
    <row r="13422" customFormat="false" ht="14.4" hidden="true" customHeight="false" outlineLevel="0" collapsed="false">
      <c r="A13422" s="34" t="n">
        <v>15535941000105</v>
      </c>
      <c r="B13422" s="34" t="s">
        <v>25420</v>
      </c>
      <c r="C13422" s="34" t="s">
        <v>89</v>
      </c>
      <c r="E13422" s="30" t="s">
        <v>13146</v>
      </c>
      <c r="F13422" s="34" t="n">
        <f aca="false">IFERROR(VLOOKUP($A13422,'319'!$B:$H,7,0),0)</f>
        <v>0</v>
      </c>
      <c r="G13422" s="34" t="n">
        <f aca="false">SUMIFS('12.326ana'!$C:$C,'12.326ana'!$M:$M,redes!A13422)</f>
        <v>0</v>
      </c>
    </row>
    <row r="13423" customFormat="false" ht="14.4" hidden="true" customHeight="false" outlineLevel="0" collapsed="false">
      <c r="A13423" s="34" t="n">
        <v>15536048000196</v>
      </c>
      <c r="B13423" s="34" t="s">
        <v>25421</v>
      </c>
      <c r="C13423" s="34" t="s">
        <v>598</v>
      </c>
      <c r="E13423" s="30" t="s">
        <v>25422</v>
      </c>
      <c r="F13423" s="34" t="n">
        <f aca="false">IFERROR(VLOOKUP($A13423,'319'!$B:$H,7,0),0)</f>
        <v>0</v>
      </c>
      <c r="G13423" s="34" t="n">
        <f aca="false">SUMIFS('12.326ana'!$C:$C,'12.326ana'!$M:$M,redes!A13423)</f>
        <v>0</v>
      </c>
    </row>
    <row r="13424" customFormat="false" ht="14.4" hidden="true" customHeight="false" outlineLevel="0" collapsed="false">
      <c r="A13424" s="34" t="n">
        <v>15536360000180</v>
      </c>
      <c r="B13424" s="34" t="s">
        <v>25423</v>
      </c>
      <c r="C13424" s="34" t="s">
        <v>89</v>
      </c>
      <c r="E13424" s="30" t="s">
        <v>5875</v>
      </c>
      <c r="F13424" s="34" t="n">
        <f aca="false">IFERROR(VLOOKUP($A13424,'319'!$B:$H,7,0),0)</f>
        <v>0</v>
      </c>
      <c r="G13424" s="34" t="n">
        <f aca="false">SUMIFS('12.326ana'!$C:$C,'12.326ana'!$M:$M,redes!A13424)</f>
        <v>0</v>
      </c>
    </row>
    <row r="13425" customFormat="false" ht="14.4" hidden="true" customHeight="false" outlineLevel="0" collapsed="false">
      <c r="A13425" s="34" t="n">
        <v>15536763000129</v>
      </c>
      <c r="B13425" s="34" t="s">
        <v>25424</v>
      </c>
      <c r="C13425" s="34" t="s">
        <v>357</v>
      </c>
      <c r="E13425" s="30" t="s">
        <v>25425</v>
      </c>
      <c r="F13425" s="34" t="n">
        <f aca="false">IFERROR(VLOOKUP($A13425,'319'!$B:$H,7,0),0)</f>
        <v>0</v>
      </c>
      <c r="G13425" s="34" t="n">
        <f aca="false">SUMIFS('12.326ana'!$C:$C,'12.326ana'!$M:$M,redes!A13425)</f>
        <v>0</v>
      </c>
    </row>
    <row r="13426" customFormat="false" ht="14.4" hidden="true" customHeight="false" outlineLevel="0" collapsed="false">
      <c r="A13426" s="34" t="n">
        <v>15537511000114</v>
      </c>
      <c r="B13426" s="34" t="s">
        <v>25426</v>
      </c>
      <c r="C13426" s="34" t="s">
        <v>139</v>
      </c>
      <c r="E13426" s="30" t="s">
        <v>25427</v>
      </c>
      <c r="F13426" s="34" t="n">
        <f aca="false">IFERROR(VLOOKUP($A13426,'319'!$B:$H,7,0),0)</f>
        <v>0</v>
      </c>
      <c r="G13426" s="34" t="n">
        <f aca="false">SUMIFS('12.326ana'!$C:$C,'12.326ana'!$M:$M,redes!A13426)</f>
        <v>0</v>
      </c>
    </row>
    <row r="13427" customFormat="false" ht="14.4" hidden="true" customHeight="false" outlineLevel="0" collapsed="false">
      <c r="A13427" s="34" t="n">
        <v>15538739000129</v>
      </c>
      <c r="B13427" s="34" t="s">
        <v>25428</v>
      </c>
      <c r="C13427" s="34" t="s">
        <v>336</v>
      </c>
      <c r="E13427" s="30" t="s">
        <v>14871</v>
      </c>
      <c r="F13427" s="34" t="n">
        <f aca="false">IFERROR(VLOOKUP($A13427,'319'!$B:$H,7,0),0)</f>
        <v>0</v>
      </c>
      <c r="G13427" s="34" t="n">
        <f aca="false">SUMIFS('12.326ana'!$C:$C,'12.326ana'!$M:$M,redes!A13427)</f>
        <v>0</v>
      </c>
    </row>
    <row r="13428" customFormat="false" ht="14.4" hidden="true" customHeight="false" outlineLevel="0" collapsed="false">
      <c r="A13428" s="34" t="n">
        <v>15538796000108</v>
      </c>
      <c r="B13428" s="34" t="s">
        <v>25429</v>
      </c>
      <c r="C13428" s="34" t="s">
        <v>89</v>
      </c>
      <c r="E13428" s="30" t="s">
        <v>25430</v>
      </c>
      <c r="F13428" s="34" t="n">
        <f aca="false">IFERROR(VLOOKUP($A13428,'319'!$B:$H,7,0),0)</f>
        <v>0</v>
      </c>
      <c r="G13428" s="34" t="n">
        <f aca="false">SUMIFS('12.326ana'!$C:$C,'12.326ana'!$M:$M,redes!A13428)</f>
        <v>0</v>
      </c>
    </row>
    <row r="13429" customFormat="false" ht="14.4" hidden="true" customHeight="false" outlineLevel="0" collapsed="false">
      <c r="A13429" s="34" t="n">
        <v>15540966000199</v>
      </c>
      <c r="B13429" s="34" t="s">
        <v>25431</v>
      </c>
      <c r="C13429" s="34" t="s">
        <v>77</v>
      </c>
      <c r="E13429" s="30" t="s">
        <v>25432</v>
      </c>
      <c r="F13429" s="34" t="n">
        <f aca="false">IFERROR(VLOOKUP($A13429,'319'!$B:$H,7,0),0)</f>
        <v>0</v>
      </c>
      <c r="G13429" s="34" t="n">
        <f aca="false">SUMIFS('12.326ana'!$C:$C,'12.326ana'!$M:$M,redes!A13429)</f>
        <v>0</v>
      </c>
    </row>
    <row r="13430" customFormat="false" ht="14.4" hidden="true" customHeight="false" outlineLevel="0" collapsed="false">
      <c r="A13430" s="34" t="n">
        <v>15541022000136</v>
      </c>
      <c r="B13430" s="34" t="s">
        <v>25433</v>
      </c>
      <c r="C13430" s="34" t="s">
        <v>631</v>
      </c>
      <c r="E13430" s="30" t="s">
        <v>25434</v>
      </c>
      <c r="F13430" s="34" t="n">
        <f aca="false">IFERROR(VLOOKUP($A13430,'319'!$B:$H,7,0),0)</f>
        <v>0</v>
      </c>
      <c r="G13430" s="34" t="n">
        <f aca="false">SUMIFS('12.326ana'!$C:$C,'12.326ana'!$M:$M,redes!A13430)</f>
        <v>0</v>
      </c>
    </row>
    <row r="13431" customFormat="false" ht="14.4" hidden="true" customHeight="false" outlineLevel="0" collapsed="false">
      <c r="A13431" s="34" t="n">
        <v>15542232000149</v>
      </c>
      <c r="B13431" s="34" t="s">
        <v>25435</v>
      </c>
      <c r="C13431" s="34" t="s">
        <v>77</v>
      </c>
      <c r="E13431" s="30" t="s">
        <v>25436</v>
      </c>
      <c r="F13431" s="34" t="n">
        <f aca="false">IFERROR(VLOOKUP($A13431,'319'!$B:$H,7,0),0)</f>
        <v>0</v>
      </c>
      <c r="G13431" s="34" t="n">
        <f aca="false">SUMIFS('12.326ana'!$C:$C,'12.326ana'!$M:$M,redes!A13431)</f>
        <v>0</v>
      </c>
    </row>
    <row r="13432" customFormat="false" ht="14.4" hidden="true" customHeight="false" outlineLevel="0" collapsed="false">
      <c r="A13432" s="34" t="n">
        <v>15543481000159</v>
      </c>
      <c r="B13432" s="34" t="s">
        <v>25437</v>
      </c>
      <c r="C13432" s="34" t="s">
        <v>464</v>
      </c>
      <c r="E13432" s="30" t="s">
        <v>25438</v>
      </c>
      <c r="F13432" s="34" t="n">
        <f aca="false">IFERROR(VLOOKUP($A13432,'319'!$B:$H,7,0),0)</f>
        <v>0</v>
      </c>
      <c r="G13432" s="34" t="n">
        <f aca="false">SUMIFS('12.326ana'!$C:$C,'12.326ana'!$M:$M,redes!A13432)</f>
        <v>0</v>
      </c>
    </row>
    <row r="13433" customFormat="false" ht="14.4" hidden="true" customHeight="false" outlineLevel="0" collapsed="false">
      <c r="A13433" s="34" t="n">
        <v>15543556000100</v>
      </c>
      <c r="B13433" s="34" t="s">
        <v>25439</v>
      </c>
      <c r="C13433" s="34" t="s">
        <v>1054</v>
      </c>
      <c r="E13433" s="30" t="s">
        <v>25440</v>
      </c>
      <c r="F13433" s="34" t="n">
        <f aca="false">IFERROR(VLOOKUP($A13433,'319'!$B:$H,7,0),0)</f>
        <v>0</v>
      </c>
      <c r="G13433" s="34" t="n">
        <f aca="false">SUMIFS('12.326ana'!$C:$C,'12.326ana'!$M:$M,redes!A13433)</f>
        <v>0</v>
      </c>
    </row>
    <row r="13434" customFormat="false" ht="14.4" hidden="true" customHeight="false" outlineLevel="0" collapsed="false">
      <c r="A13434" s="34" t="n">
        <v>15543978000177</v>
      </c>
      <c r="B13434" s="34" t="s">
        <v>25441</v>
      </c>
      <c r="C13434" s="34" t="s">
        <v>1054</v>
      </c>
      <c r="E13434" s="30" t="s">
        <v>25442</v>
      </c>
      <c r="F13434" s="34" t="n">
        <f aca="false">IFERROR(VLOOKUP($A13434,'319'!$B:$H,7,0),0)</f>
        <v>0</v>
      </c>
      <c r="G13434" s="34" t="n">
        <f aca="false">SUMIFS('12.326ana'!$C:$C,'12.326ana'!$M:$M,redes!A13434)</f>
        <v>0</v>
      </c>
    </row>
    <row r="13435" customFormat="false" ht="14.4" hidden="true" customHeight="false" outlineLevel="0" collapsed="false">
      <c r="A13435" s="34" t="n">
        <v>15544968000156</v>
      </c>
      <c r="B13435" s="34" t="s">
        <v>25443</v>
      </c>
      <c r="C13435" s="34" t="s">
        <v>342</v>
      </c>
      <c r="E13435" s="30" t="s">
        <v>25444</v>
      </c>
      <c r="F13435" s="34" t="n">
        <f aca="false">IFERROR(VLOOKUP($A13435,'319'!$B:$H,7,0),0)</f>
        <v>0</v>
      </c>
      <c r="G13435" s="34" t="n">
        <f aca="false">SUMIFS('12.326ana'!$C:$C,'12.326ana'!$M:$M,redes!A13435)</f>
        <v>0</v>
      </c>
    </row>
    <row r="13436" customFormat="false" ht="14.4" hidden="true" customHeight="false" outlineLevel="0" collapsed="false">
      <c r="A13436" s="34" t="n">
        <v>15545346000142</v>
      </c>
      <c r="B13436" s="34" t="s">
        <v>25445</v>
      </c>
      <c r="C13436" s="34" t="s">
        <v>4261</v>
      </c>
      <c r="E13436" s="30" t="s">
        <v>25446</v>
      </c>
      <c r="F13436" s="34" t="n">
        <f aca="false">IFERROR(VLOOKUP($A13436,'319'!$B:$H,7,0),0)</f>
        <v>0</v>
      </c>
      <c r="G13436" s="34" t="n">
        <f aca="false">SUMIFS('12.326ana'!$C:$C,'12.326ana'!$M:$M,redes!A13436)</f>
        <v>0</v>
      </c>
    </row>
    <row r="13437" customFormat="false" ht="14.4" hidden="true" customHeight="false" outlineLevel="0" collapsed="false">
      <c r="A13437" s="34" t="n">
        <v>15545353000144</v>
      </c>
      <c r="B13437" s="34" t="s">
        <v>25447</v>
      </c>
      <c r="C13437" s="34" t="s">
        <v>77</v>
      </c>
      <c r="E13437" s="30" t="s">
        <v>25448</v>
      </c>
      <c r="F13437" s="34" t="n">
        <f aca="false">IFERROR(VLOOKUP($A13437,'319'!$B:$H,7,0),0)</f>
        <v>0</v>
      </c>
      <c r="G13437" s="34" t="n">
        <f aca="false">SUMIFS('12.326ana'!$C:$C,'12.326ana'!$M:$M,redes!A13437)</f>
        <v>0</v>
      </c>
    </row>
    <row r="13438" customFormat="false" ht="14.4" hidden="true" customHeight="false" outlineLevel="0" collapsed="false">
      <c r="A13438" s="34" t="n">
        <v>15545536000160</v>
      </c>
      <c r="B13438" s="34" t="s">
        <v>25449</v>
      </c>
      <c r="C13438" s="34" t="s">
        <v>604</v>
      </c>
      <c r="D13438" s="34" t="s">
        <v>13626</v>
      </c>
      <c r="E13438" s="30" t="s">
        <v>10614</v>
      </c>
      <c r="F13438" s="34" t="n">
        <f aca="false">IFERROR(VLOOKUP($A13438,'319'!$B:$H,7,0),0)</f>
        <v>0</v>
      </c>
      <c r="G13438" s="34" t="n">
        <f aca="false">SUMIFS('12.326ana'!$C:$C,'12.326ana'!$M:$M,redes!A13438)</f>
        <v>0</v>
      </c>
    </row>
    <row r="13439" customFormat="false" ht="14.4" hidden="true" customHeight="false" outlineLevel="0" collapsed="false">
      <c r="A13439" s="34" t="n">
        <v>15545558000120</v>
      </c>
      <c r="B13439" s="34" t="s">
        <v>25450</v>
      </c>
      <c r="C13439" s="34" t="s">
        <v>77</v>
      </c>
      <c r="E13439" s="30" t="s">
        <v>25451</v>
      </c>
      <c r="F13439" s="34" t="n">
        <f aca="false">IFERROR(VLOOKUP($A13439,'319'!$B:$H,7,0),0)</f>
        <v>0</v>
      </c>
      <c r="G13439" s="34" t="n">
        <f aca="false">SUMIFS('12.326ana'!$C:$C,'12.326ana'!$M:$M,redes!A13439)</f>
        <v>0</v>
      </c>
    </row>
    <row r="13440" customFormat="false" ht="14.4" hidden="true" customHeight="false" outlineLevel="0" collapsed="false">
      <c r="A13440" s="34" t="n">
        <v>15545759000127</v>
      </c>
      <c r="B13440" s="34" t="s">
        <v>25452</v>
      </c>
      <c r="C13440" s="34" t="s">
        <v>631</v>
      </c>
      <c r="E13440" s="30" t="s">
        <v>25453</v>
      </c>
      <c r="F13440" s="34" t="n">
        <f aca="false">IFERROR(VLOOKUP($A13440,'319'!$B:$H,7,0),0)</f>
        <v>0</v>
      </c>
      <c r="G13440" s="34" t="n">
        <f aca="false">SUMIFS('12.326ana'!$C:$C,'12.326ana'!$M:$M,redes!A13440)</f>
        <v>0</v>
      </c>
    </row>
    <row r="13441" customFormat="false" ht="14.4" hidden="true" customHeight="false" outlineLevel="0" collapsed="false">
      <c r="A13441" s="34" t="n">
        <v>15547086000144</v>
      </c>
      <c r="B13441" s="34" t="s">
        <v>25454</v>
      </c>
      <c r="C13441" s="34" t="s">
        <v>448</v>
      </c>
      <c r="E13441" s="30" t="s">
        <v>5070</v>
      </c>
      <c r="F13441" s="34" t="n">
        <f aca="false">IFERROR(VLOOKUP($A13441,'319'!$B:$H,7,0),0)</f>
        <v>0</v>
      </c>
      <c r="G13441" s="34" t="n">
        <f aca="false">SUMIFS('12.326ana'!$C:$C,'12.326ana'!$M:$M,redes!A13441)</f>
        <v>0</v>
      </c>
    </row>
    <row r="13442" customFormat="false" ht="14.4" hidden="true" customHeight="false" outlineLevel="0" collapsed="false">
      <c r="A13442" s="34" t="n">
        <v>15547185000126</v>
      </c>
      <c r="B13442" s="34" t="s">
        <v>25455</v>
      </c>
      <c r="C13442" s="34" t="s">
        <v>1272</v>
      </c>
      <c r="E13442" s="30" t="s">
        <v>25456</v>
      </c>
      <c r="F13442" s="34" t="n">
        <f aca="false">IFERROR(VLOOKUP($A13442,'319'!$B:$H,7,0),0)</f>
        <v>0</v>
      </c>
      <c r="G13442" s="34" t="n">
        <f aca="false">SUMIFS('12.326ana'!$C:$C,'12.326ana'!$M:$M,redes!A13442)</f>
        <v>0</v>
      </c>
    </row>
    <row r="13443" customFormat="false" ht="14.4" hidden="true" customHeight="false" outlineLevel="0" collapsed="false">
      <c r="A13443" s="34" t="n">
        <v>15548019000144</v>
      </c>
      <c r="B13443" s="34" t="s">
        <v>16986</v>
      </c>
      <c r="C13443" s="34" t="s">
        <v>77</v>
      </c>
      <c r="D13443" s="34" t="s">
        <v>3324</v>
      </c>
      <c r="E13443" s="30" t="s">
        <v>6972</v>
      </c>
      <c r="F13443" s="34" t="n">
        <f aca="false">IFERROR(VLOOKUP($A13443,'319'!$B:$H,7,0),0)</f>
        <v>0</v>
      </c>
      <c r="G13443" s="34" t="n">
        <f aca="false">SUMIFS('12.326ana'!$C:$C,'12.326ana'!$M:$M,redes!A13443)</f>
        <v>0</v>
      </c>
    </row>
    <row r="13444" customFormat="false" ht="14.4" hidden="true" customHeight="false" outlineLevel="0" collapsed="false">
      <c r="A13444" s="34" t="n">
        <v>15548258000102</v>
      </c>
      <c r="B13444" s="34" t="s">
        <v>25457</v>
      </c>
      <c r="C13444" s="34" t="s">
        <v>77</v>
      </c>
      <c r="E13444" s="30" t="s">
        <v>25458</v>
      </c>
      <c r="F13444" s="34" t="n">
        <f aca="false">IFERROR(VLOOKUP($A13444,'319'!$B:$H,7,0),0)</f>
        <v>0</v>
      </c>
      <c r="G13444" s="34" t="n">
        <f aca="false">SUMIFS('12.326ana'!$C:$C,'12.326ana'!$M:$M,redes!A13444)</f>
        <v>0</v>
      </c>
    </row>
    <row r="13445" customFormat="false" ht="14.4" hidden="true" customHeight="false" outlineLevel="0" collapsed="false">
      <c r="A13445" s="34" t="n">
        <v>15548530000146</v>
      </c>
      <c r="B13445" s="34" t="s">
        <v>25459</v>
      </c>
      <c r="C13445" s="34" t="s">
        <v>463</v>
      </c>
      <c r="D13445" s="34" t="s">
        <v>4797</v>
      </c>
      <c r="E13445" s="30" t="s">
        <v>25460</v>
      </c>
      <c r="F13445" s="34" t="n">
        <f aca="false">IFERROR(VLOOKUP($A13445,'319'!$B:$H,7,0),0)</f>
        <v>0</v>
      </c>
      <c r="G13445" s="34" t="n">
        <f aca="false">SUMIFS('12.326ana'!$C:$C,'12.326ana'!$M:$M,redes!A13445)</f>
        <v>0</v>
      </c>
    </row>
    <row r="13446" customFormat="false" ht="14.4" hidden="true" customHeight="false" outlineLevel="0" collapsed="false">
      <c r="A13446" s="34" t="n">
        <v>15549900000160</v>
      </c>
      <c r="B13446" s="34" t="s">
        <v>25461</v>
      </c>
      <c r="C13446" s="34" t="s">
        <v>604</v>
      </c>
      <c r="E13446" s="30" t="s">
        <v>25462</v>
      </c>
      <c r="F13446" s="34" t="n">
        <f aca="false">IFERROR(VLOOKUP($A13446,'319'!$B:$H,7,0),0)</f>
        <v>0</v>
      </c>
      <c r="G13446" s="34" t="n">
        <f aca="false">SUMIFS('12.326ana'!$C:$C,'12.326ana'!$M:$M,redes!A13446)</f>
        <v>0</v>
      </c>
    </row>
    <row r="13447" customFormat="false" ht="14.4" hidden="true" customHeight="false" outlineLevel="0" collapsed="false">
      <c r="A13447" s="34" t="n">
        <v>15549900000321</v>
      </c>
      <c r="B13447" s="34" t="s">
        <v>25461</v>
      </c>
      <c r="C13447" s="34" t="s">
        <v>4139</v>
      </c>
      <c r="E13447" s="30" t="s">
        <v>25463</v>
      </c>
      <c r="F13447" s="34" t="n">
        <f aca="false">IFERROR(VLOOKUP($A13447,'319'!$B:$H,7,0),0)</f>
        <v>0</v>
      </c>
      <c r="G13447" s="34" t="n">
        <f aca="false">SUMIFS('12.326ana'!$C:$C,'12.326ana'!$M:$M,redes!A13447)</f>
        <v>0</v>
      </c>
    </row>
    <row r="13448" customFormat="false" ht="14.4" hidden="true" customHeight="false" outlineLevel="0" collapsed="false">
      <c r="A13448" s="34" t="n">
        <v>15550106000136</v>
      </c>
      <c r="B13448" s="34" t="s">
        <v>25464</v>
      </c>
      <c r="C13448" s="34" t="s">
        <v>77</v>
      </c>
      <c r="E13448" s="30" t="s">
        <v>25465</v>
      </c>
      <c r="F13448" s="34" t="n">
        <f aca="false">IFERROR(VLOOKUP($A13448,'319'!$B:$H,7,0),0)</f>
        <v>0</v>
      </c>
      <c r="G13448" s="34" t="n">
        <f aca="false">SUMIFS('12.326ana'!$C:$C,'12.326ana'!$M:$M,redes!A13448)</f>
        <v>0</v>
      </c>
    </row>
    <row r="13449" customFormat="false" ht="14.4" hidden="true" customHeight="false" outlineLevel="0" collapsed="false">
      <c r="A13449" s="34" t="n">
        <v>15550973000171</v>
      </c>
      <c r="B13449" s="34" t="s">
        <v>25466</v>
      </c>
      <c r="C13449" s="34" t="s">
        <v>117</v>
      </c>
      <c r="E13449" s="30" t="s">
        <v>25467</v>
      </c>
      <c r="F13449" s="34" t="n">
        <f aca="false">IFERROR(VLOOKUP($A13449,'319'!$B:$H,7,0),0)</f>
        <v>0</v>
      </c>
      <c r="G13449" s="34" t="n">
        <f aca="false">SUMIFS('12.326ana'!$C:$C,'12.326ana'!$M:$M,redes!A13449)</f>
        <v>0</v>
      </c>
    </row>
    <row r="13450" customFormat="false" ht="14.4" hidden="true" customHeight="false" outlineLevel="0" collapsed="false">
      <c r="A13450" s="34" t="n">
        <v>15552698000125</v>
      </c>
      <c r="B13450" s="34" t="s">
        <v>25468</v>
      </c>
      <c r="C13450" s="34" t="s">
        <v>842</v>
      </c>
      <c r="E13450" s="30" t="s">
        <v>25469</v>
      </c>
      <c r="F13450" s="34" t="n">
        <f aca="false">IFERROR(VLOOKUP($A13450,'319'!$B:$H,7,0),0)</f>
        <v>0</v>
      </c>
      <c r="G13450" s="34" t="n">
        <f aca="false">SUMIFS('12.326ana'!$C:$C,'12.326ana'!$M:$M,redes!A13450)</f>
        <v>0</v>
      </c>
    </row>
    <row r="13451" customFormat="false" ht="14.4" hidden="true" customHeight="false" outlineLevel="0" collapsed="false">
      <c r="A13451" s="34" t="n">
        <v>15552920000190</v>
      </c>
      <c r="B13451" s="34" t="s">
        <v>25470</v>
      </c>
      <c r="C13451" s="34" t="s">
        <v>4261</v>
      </c>
      <c r="E13451" s="30" t="s">
        <v>25471</v>
      </c>
      <c r="F13451" s="34" t="n">
        <f aca="false">IFERROR(VLOOKUP($A13451,'319'!$B:$H,7,0),0)</f>
        <v>0</v>
      </c>
      <c r="G13451" s="34" t="n">
        <f aca="false">SUMIFS('12.326ana'!$C:$C,'12.326ana'!$M:$M,redes!A13451)</f>
        <v>0</v>
      </c>
    </row>
    <row r="13452" customFormat="false" ht="14.4" hidden="true" customHeight="false" outlineLevel="0" collapsed="false">
      <c r="A13452" s="34" t="n">
        <v>15553720000151</v>
      </c>
      <c r="B13452" s="34" t="s">
        <v>25472</v>
      </c>
      <c r="C13452" s="34" t="s">
        <v>77</v>
      </c>
      <c r="E13452" s="30" t="s">
        <v>25472</v>
      </c>
      <c r="F13452" s="34" t="n">
        <f aca="false">IFERROR(VLOOKUP($A13452,'319'!$B:$H,7,0),0)</f>
        <v>0</v>
      </c>
      <c r="G13452" s="34" t="n">
        <f aca="false">SUMIFS('12.326ana'!$C:$C,'12.326ana'!$M:$M,redes!A13452)</f>
        <v>0</v>
      </c>
    </row>
    <row r="13453" customFormat="false" ht="14.4" hidden="true" customHeight="false" outlineLevel="0" collapsed="false">
      <c r="A13453" s="34" t="n">
        <v>15553936000117</v>
      </c>
      <c r="B13453" s="34" t="s">
        <v>25473</v>
      </c>
      <c r="C13453" s="34" t="s">
        <v>77</v>
      </c>
      <c r="E13453" s="30" t="s">
        <v>25474</v>
      </c>
      <c r="F13453" s="34" t="n">
        <f aca="false">IFERROR(VLOOKUP($A13453,'319'!$B:$H,7,0),0)</f>
        <v>0</v>
      </c>
      <c r="G13453" s="34" t="n">
        <f aca="false">SUMIFS('12.326ana'!$C:$C,'12.326ana'!$M:$M,redes!A13453)</f>
        <v>0</v>
      </c>
    </row>
    <row r="13454" customFormat="false" ht="14.4" hidden="true" customHeight="false" outlineLevel="0" collapsed="false">
      <c r="A13454" s="34" t="n">
        <v>15555360000127</v>
      </c>
      <c r="B13454" s="34" t="s">
        <v>25475</v>
      </c>
      <c r="C13454" s="34" t="s">
        <v>1341</v>
      </c>
      <c r="E13454" s="30" t="s">
        <v>25476</v>
      </c>
      <c r="F13454" s="34" t="n">
        <f aca="false">IFERROR(VLOOKUP($A13454,'319'!$B:$H,7,0),0)</f>
        <v>0</v>
      </c>
      <c r="G13454" s="34" t="n">
        <f aca="false">SUMIFS('12.326ana'!$C:$C,'12.326ana'!$M:$M,redes!A13454)</f>
        <v>0</v>
      </c>
    </row>
    <row r="13455" customFormat="false" ht="14.4" hidden="true" customHeight="false" outlineLevel="0" collapsed="false">
      <c r="A13455" s="34" t="n">
        <v>15557077000134</v>
      </c>
      <c r="B13455" s="34" t="s">
        <v>25477</v>
      </c>
      <c r="C13455" s="34" t="s">
        <v>77</v>
      </c>
      <c r="E13455" s="30" t="s">
        <v>25478</v>
      </c>
      <c r="F13455" s="34" t="n">
        <f aca="false">IFERROR(VLOOKUP($A13455,'319'!$B:$H,7,0),0)</f>
        <v>0</v>
      </c>
      <c r="G13455" s="34" t="n">
        <f aca="false">SUMIFS('12.326ana'!$C:$C,'12.326ana'!$M:$M,redes!A13455)</f>
        <v>0</v>
      </c>
    </row>
    <row r="13456" customFormat="false" ht="14.4" hidden="true" customHeight="false" outlineLevel="0" collapsed="false">
      <c r="A13456" s="34" t="n">
        <v>15558257000130</v>
      </c>
      <c r="B13456" s="34" t="s">
        <v>25479</v>
      </c>
      <c r="C13456" s="34" t="s">
        <v>77</v>
      </c>
      <c r="E13456" s="30" t="s">
        <v>24692</v>
      </c>
      <c r="F13456" s="34" t="n">
        <f aca="false">IFERROR(VLOOKUP($A13456,'319'!$B:$H,7,0),0)</f>
        <v>0</v>
      </c>
      <c r="G13456" s="34" t="n">
        <f aca="false">SUMIFS('12.326ana'!$C:$C,'12.326ana'!$M:$M,redes!A13456)</f>
        <v>0</v>
      </c>
    </row>
    <row r="13457" customFormat="false" ht="14.4" hidden="true" customHeight="false" outlineLevel="0" collapsed="false">
      <c r="A13457" s="34" t="n">
        <v>15559099000133</v>
      </c>
      <c r="B13457" s="34" t="s">
        <v>25480</v>
      </c>
      <c r="C13457" s="34" t="s">
        <v>139</v>
      </c>
      <c r="E13457" s="30" t="s">
        <v>25481</v>
      </c>
      <c r="F13457" s="34" t="n">
        <f aca="false">IFERROR(VLOOKUP($A13457,'319'!$B:$H,7,0),0)</f>
        <v>0</v>
      </c>
      <c r="G13457" s="34" t="n">
        <f aca="false">SUMIFS('12.326ana'!$C:$C,'12.326ana'!$M:$M,redes!A13457)</f>
        <v>0</v>
      </c>
    </row>
    <row r="13458" customFormat="false" ht="14.4" hidden="true" customHeight="false" outlineLevel="0" collapsed="false">
      <c r="A13458" s="34" t="n">
        <v>15559644000191</v>
      </c>
      <c r="B13458" s="34" t="s">
        <v>25482</v>
      </c>
      <c r="C13458" s="34" t="s">
        <v>77</v>
      </c>
      <c r="D13458" s="34" t="s">
        <v>5602</v>
      </c>
      <c r="E13458" s="30" t="s">
        <v>25483</v>
      </c>
      <c r="F13458" s="34" t="n">
        <f aca="false">IFERROR(VLOOKUP($A13458,'319'!$B:$H,7,0),0)</f>
        <v>0</v>
      </c>
      <c r="G13458" s="34" t="n">
        <f aca="false">SUMIFS('12.326ana'!$C:$C,'12.326ana'!$M:$M,redes!A13458)</f>
        <v>0</v>
      </c>
    </row>
    <row r="13459" customFormat="false" ht="14.4" hidden="true" customHeight="false" outlineLevel="0" collapsed="false">
      <c r="A13459" s="34" t="n">
        <v>15559818000116</v>
      </c>
      <c r="B13459" s="34" t="s">
        <v>25484</v>
      </c>
      <c r="C13459" s="34" t="s">
        <v>77</v>
      </c>
      <c r="E13459" s="30" t="s">
        <v>25485</v>
      </c>
      <c r="F13459" s="34" t="n">
        <f aca="false">IFERROR(VLOOKUP($A13459,'319'!$B:$H,7,0),0)</f>
        <v>0</v>
      </c>
      <c r="G13459" s="34" t="n">
        <f aca="false">SUMIFS('12.326ana'!$C:$C,'12.326ana'!$M:$M,redes!A13459)</f>
        <v>0</v>
      </c>
    </row>
    <row r="13460" customFormat="false" ht="14.4" hidden="true" customHeight="false" outlineLevel="0" collapsed="false">
      <c r="A13460" s="34" t="n">
        <v>15559818000205</v>
      </c>
      <c r="B13460" s="34" t="s">
        <v>25484</v>
      </c>
      <c r="C13460" s="34" t="s">
        <v>77</v>
      </c>
      <c r="E13460" s="30" t="s">
        <v>25486</v>
      </c>
      <c r="F13460" s="34" t="n">
        <f aca="false">IFERROR(VLOOKUP($A13460,'319'!$B:$H,7,0),0)</f>
        <v>0</v>
      </c>
      <c r="G13460" s="34" t="n">
        <f aca="false">SUMIFS('12.326ana'!$C:$C,'12.326ana'!$M:$M,redes!A13460)</f>
        <v>0</v>
      </c>
    </row>
    <row r="13461" customFormat="false" ht="14.4" hidden="true" customHeight="false" outlineLevel="0" collapsed="false">
      <c r="A13461" s="34" t="n">
        <v>15560170000106</v>
      </c>
      <c r="B13461" s="34" t="s">
        <v>25487</v>
      </c>
      <c r="C13461" s="34" t="s">
        <v>881</v>
      </c>
      <c r="E13461" s="30" t="s">
        <v>11411</v>
      </c>
      <c r="F13461" s="34" t="n">
        <f aca="false">IFERROR(VLOOKUP($A13461,'319'!$B:$H,7,0),0)</f>
        <v>0</v>
      </c>
      <c r="G13461" s="34" t="n">
        <f aca="false">SUMIFS('12.326ana'!$C:$C,'12.326ana'!$M:$M,redes!A13461)</f>
        <v>0</v>
      </c>
    </row>
    <row r="13462" customFormat="false" ht="14.4" hidden="true" customHeight="false" outlineLevel="0" collapsed="false">
      <c r="A13462" s="34" t="n">
        <v>15560402000118</v>
      </c>
      <c r="B13462" s="34" t="s">
        <v>25488</v>
      </c>
      <c r="C13462" s="34" t="s">
        <v>77</v>
      </c>
      <c r="E13462" s="30" t="s">
        <v>25489</v>
      </c>
      <c r="F13462" s="34" t="n">
        <f aca="false">IFERROR(VLOOKUP($A13462,'319'!$B:$H,7,0),0)</f>
        <v>0</v>
      </c>
      <c r="G13462" s="34" t="n">
        <f aca="false">SUMIFS('12.326ana'!$C:$C,'12.326ana'!$M:$M,redes!A13462)</f>
        <v>0</v>
      </c>
    </row>
    <row r="13463" customFormat="false" ht="14.4" hidden="true" customHeight="false" outlineLevel="0" collapsed="false">
      <c r="A13463" s="34" t="n">
        <v>15560485000145</v>
      </c>
      <c r="B13463" s="34" t="s">
        <v>25490</v>
      </c>
      <c r="C13463" s="34" t="s">
        <v>979</v>
      </c>
      <c r="E13463" s="30" t="s">
        <v>25490</v>
      </c>
      <c r="F13463" s="34" t="n">
        <f aca="false">IFERROR(VLOOKUP($A13463,'319'!$B:$H,7,0),0)</f>
        <v>0</v>
      </c>
      <c r="G13463" s="34" t="n">
        <f aca="false">SUMIFS('12.326ana'!$C:$C,'12.326ana'!$M:$M,redes!A13463)</f>
        <v>0</v>
      </c>
    </row>
    <row r="13464" customFormat="false" ht="14.4" hidden="true" customHeight="false" outlineLevel="0" collapsed="false">
      <c r="A13464" s="34" t="n">
        <v>15560519000100</v>
      </c>
      <c r="B13464" s="34" t="s">
        <v>25491</v>
      </c>
      <c r="C13464" s="34" t="s">
        <v>103</v>
      </c>
      <c r="E13464" s="30" t="s">
        <v>25492</v>
      </c>
      <c r="F13464" s="34" t="n">
        <f aca="false">IFERROR(VLOOKUP($A13464,'319'!$B:$H,7,0),0)</f>
        <v>0</v>
      </c>
      <c r="G13464" s="34" t="n">
        <f aca="false">SUMIFS('12.326ana'!$C:$C,'12.326ana'!$M:$M,redes!A13464)</f>
        <v>0</v>
      </c>
    </row>
    <row r="13465" customFormat="false" ht="14.4" hidden="true" customHeight="false" outlineLevel="0" collapsed="false">
      <c r="A13465" s="34" t="n">
        <v>15560527000148</v>
      </c>
      <c r="B13465" s="34" t="s">
        <v>25493</v>
      </c>
      <c r="C13465" s="34" t="s">
        <v>107</v>
      </c>
      <c r="E13465" s="30" t="s">
        <v>25494</v>
      </c>
      <c r="F13465" s="34" t="n">
        <f aca="false">IFERROR(VLOOKUP($A13465,'319'!$B:$H,7,0),0)</f>
        <v>0</v>
      </c>
      <c r="G13465" s="34" t="n">
        <f aca="false">SUMIFS('12.326ana'!$C:$C,'12.326ana'!$M:$M,redes!A13465)</f>
        <v>0</v>
      </c>
    </row>
    <row r="13466" customFormat="false" ht="14.4" hidden="true" customHeight="false" outlineLevel="0" collapsed="false">
      <c r="A13466" s="34" t="n">
        <v>15560840000186</v>
      </c>
      <c r="B13466" s="34" t="s">
        <v>25495</v>
      </c>
      <c r="C13466" s="34" t="s">
        <v>77</v>
      </c>
      <c r="E13466" s="30" t="s">
        <v>25496</v>
      </c>
      <c r="F13466" s="34" t="n">
        <f aca="false">IFERROR(VLOOKUP($A13466,'319'!$B:$H,7,0),0)</f>
        <v>0</v>
      </c>
      <c r="G13466" s="34" t="n">
        <f aca="false">SUMIFS('12.326ana'!$C:$C,'12.326ana'!$M:$M,redes!A13466)</f>
        <v>0</v>
      </c>
    </row>
    <row r="13467" customFormat="false" ht="14.4" hidden="true" customHeight="false" outlineLevel="0" collapsed="false">
      <c r="A13467" s="34" t="n">
        <v>15561947000149</v>
      </c>
      <c r="B13467" s="34" t="s">
        <v>25497</v>
      </c>
      <c r="C13467" s="34" t="s">
        <v>935</v>
      </c>
      <c r="E13467" s="30" t="s">
        <v>25498</v>
      </c>
      <c r="F13467" s="34" t="n">
        <f aca="false">IFERROR(VLOOKUP($A13467,'319'!$B:$H,7,0),0)</f>
        <v>0</v>
      </c>
      <c r="G13467" s="34" t="n">
        <f aca="false">SUMIFS('12.326ana'!$C:$C,'12.326ana'!$M:$M,redes!A13467)</f>
        <v>0</v>
      </c>
    </row>
    <row r="13468" customFormat="false" ht="14.4" hidden="true" customHeight="false" outlineLevel="0" collapsed="false">
      <c r="A13468" s="34" t="n">
        <v>15562447000121</v>
      </c>
      <c r="B13468" s="34" t="s">
        <v>25499</v>
      </c>
      <c r="C13468" s="34" t="s">
        <v>197</v>
      </c>
      <c r="E13468" s="30" t="s">
        <v>11228</v>
      </c>
      <c r="F13468" s="34" t="n">
        <f aca="false">IFERROR(VLOOKUP($A13468,'319'!$B:$H,7,0),0)</f>
        <v>0</v>
      </c>
      <c r="G13468" s="34" t="n">
        <f aca="false">SUMIFS('12.326ana'!$C:$C,'12.326ana'!$M:$M,redes!A13468)</f>
        <v>0</v>
      </c>
    </row>
    <row r="13469" customFormat="false" ht="14.4" hidden="true" customHeight="false" outlineLevel="0" collapsed="false">
      <c r="A13469" s="34" t="n">
        <v>15564213000113</v>
      </c>
      <c r="B13469" s="34" t="s">
        <v>25500</v>
      </c>
      <c r="C13469" s="34" t="s">
        <v>77</v>
      </c>
      <c r="E13469" s="30" t="s">
        <v>4016</v>
      </c>
      <c r="F13469" s="34" t="n">
        <f aca="false">IFERROR(VLOOKUP($A13469,'319'!$B:$H,7,0),0)</f>
        <v>0</v>
      </c>
      <c r="G13469" s="34" t="n">
        <f aca="false">SUMIFS('12.326ana'!$C:$C,'12.326ana'!$M:$M,redes!A13469)</f>
        <v>0</v>
      </c>
    </row>
    <row r="13470" customFormat="false" ht="14.4" hidden="true" customHeight="false" outlineLevel="0" collapsed="false">
      <c r="A13470" s="34" t="n">
        <v>15564628000197</v>
      </c>
      <c r="B13470" s="34" t="s">
        <v>25501</v>
      </c>
      <c r="C13470" s="34" t="s">
        <v>107</v>
      </c>
      <c r="E13470" s="30" t="s">
        <v>25502</v>
      </c>
      <c r="F13470" s="34" t="n">
        <f aca="false">IFERROR(VLOOKUP($A13470,'319'!$B:$H,7,0),0)</f>
        <v>0</v>
      </c>
      <c r="G13470" s="34" t="n">
        <f aca="false">SUMIFS('12.326ana'!$C:$C,'12.326ana'!$M:$M,redes!A13470)</f>
        <v>0</v>
      </c>
    </row>
    <row r="13471" customFormat="false" ht="14.4" hidden="true" customHeight="false" outlineLevel="0" collapsed="false">
      <c r="A13471" s="34" t="n">
        <v>15565054000171</v>
      </c>
      <c r="B13471" s="34" t="s">
        <v>25503</v>
      </c>
      <c r="C13471" s="34" t="s">
        <v>77</v>
      </c>
      <c r="E13471" s="30" t="s">
        <v>25504</v>
      </c>
      <c r="F13471" s="34" t="n">
        <f aca="false">IFERROR(VLOOKUP($A13471,'319'!$B:$H,7,0),0)</f>
        <v>0</v>
      </c>
      <c r="G13471" s="34" t="n">
        <f aca="false">SUMIFS('12.326ana'!$C:$C,'12.326ana'!$M:$M,redes!A13471)</f>
        <v>0</v>
      </c>
    </row>
    <row r="13472" customFormat="false" ht="14.4" hidden="true" customHeight="false" outlineLevel="0" collapsed="false">
      <c r="A13472" s="34" t="n">
        <v>15565260000181</v>
      </c>
      <c r="B13472" s="34" t="s">
        <v>25505</v>
      </c>
      <c r="C13472" s="34" t="s">
        <v>77</v>
      </c>
      <c r="E13472" s="30"/>
      <c r="F13472" s="34" t="n">
        <f aca="false">IFERROR(VLOOKUP($A13472,'319'!$B:$H,7,0),0)</f>
        <v>0</v>
      </c>
      <c r="G13472" s="34" t="n">
        <f aca="false">SUMIFS('12.326ana'!$C:$C,'12.326ana'!$M:$M,redes!A13472)</f>
        <v>0</v>
      </c>
    </row>
    <row r="13473" customFormat="false" ht="14.4" hidden="true" customHeight="false" outlineLevel="0" collapsed="false">
      <c r="A13473" s="34" t="n">
        <v>15565345000160</v>
      </c>
      <c r="B13473" s="34" t="s">
        <v>25506</v>
      </c>
      <c r="C13473" s="34" t="s">
        <v>107</v>
      </c>
      <c r="E13473" s="30" t="s">
        <v>25507</v>
      </c>
      <c r="F13473" s="34" t="n">
        <f aca="false">IFERROR(VLOOKUP($A13473,'319'!$B:$H,7,0),0)</f>
        <v>0</v>
      </c>
      <c r="G13473" s="34" t="n">
        <f aca="false">SUMIFS('12.326ana'!$C:$C,'12.326ana'!$M:$M,redes!A13473)</f>
        <v>0</v>
      </c>
    </row>
    <row r="13474" customFormat="false" ht="14.4" hidden="true" customHeight="false" outlineLevel="0" collapsed="false">
      <c r="A13474" s="34" t="n">
        <v>15565807000149</v>
      </c>
      <c r="B13474" s="34" t="s">
        <v>25508</v>
      </c>
      <c r="C13474" s="34" t="s">
        <v>77</v>
      </c>
      <c r="E13474" s="30" t="s">
        <v>25509</v>
      </c>
      <c r="F13474" s="34" t="n">
        <f aca="false">IFERROR(VLOOKUP($A13474,'319'!$B:$H,7,0),0)</f>
        <v>0</v>
      </c>
      <c r="G13474" s="34" t="n">
        <f aca="false">SUMIFS('12.326ana'!$C:$C,'12.326ana'!$M:$M,redes!A13474)</f>
        <v>0</v>
      </c>
    </row>
    <row r="13475" customFormat="false" ht="14.4" hidden="true" customHeight="false" outlineLevel="0" collapsed="false">
      <c r="A13475" s="34" t="n">
        <v>15565831000188</v>
      </c>
      <c r="B13475" s="34" t="s">
        <v>25510</v>
      </c>
      <c r="C13475" s="34" t="s">
        <v>77</v>
      </c>
      <c r="E13475" s="30" t="s">
        <v>25511</v>
      </c>
      <c r="F13475" s="34" t="n">
        <f aca="false">IFERROR(VLOOKUP($A13475,'319'!$B:$H,7,0),0)</f>
        <v>0</v>
      </c>
      <c r="G13475" s="34" t="n">
        <f aca="false">SUMIFS('12.326ana'!$C:$C,'12.326ana'!$M:$M,redes!A13475)</f>
        <v>0</v>
      </c>
    </row>
    <row r="13476" customFormat="false" ht="14.4" hidden="true" customHeight="false" outlineLevel="0" collapsed="false">
      <c r="A13476" s="34" t="n">
        <v>15566203000117</v>
      </c>
      <c r="B13476" s="34" t="s">
        <v>25512</v>
      </c>
      <c r="C13476" s="34" t="s">
        <v>89</v>
      </c>
      <c r="E13476" s="30" t="s">
        <v>23196</v>
      </c>
      <c r="F13476" s="34" t="n">
        <f aca="false">IFERROR(VLOOKUP($A13476,'319'!$B:$H,7,0),0)</f>
        <v>0</v>
      </c>
      <c r="G13476" s="34" t="n">
        <f aca="false">SUMIFS('12.326ana'!$C:$C,'12.326ana'!$M:$M,redes!A13476)</f>
        <v>0</v>
      </c>
    </row>
    <row r="13477" customFormat="false" ht="14.4" hidden="true" customHeight="false" outlineLevel="0" collapsed="false">
      <c r="A13477" s="34" t="n">
        <v>15566698000184</v>
      </c>
      <c r="B13477" s="34" t="s">
        <v>25513</v>
      </c>
      <c r="C13477" s="34" t="s">
        <v>804</v>
      </c>
      <c r="E13477" s="30" t="s">
        <v>17341</v>
      </c>
      <c r="F13477" s="34" t="n">
        <f aca="false">IFERROR(VLOOKUP($A13477,'319'!$B:$H,7,0),0)</f>
        <v>0</v>
      </c>
      <c r="G13477" s="34" t="n">
        <f aca="false">SUMIFS('12.326ana'!$C:$C,'12.326ana'!$M:$M,redes!A13477)</f>
        <v>0</v>
      </c>
    </row>
    <row r="13478" customFormat="false" ht="14.4" hidden="true" customHeight="false" outlineLevel="0" collapsed="false">
      <c r="A13478" s="34" t="n">
        <v>15566797000166</v>
      </c>
      <c r="B13478" s="34" t="s">
        <v>25514</v>
      </c>
      <c r="C13478" s="34" t="s">
        <v>77</v>
      </c>
      <c r="E13478" s="30" t="s">
        <v>25515</v>
      </c>
      <c r="F13478" s="34" t="n">
        <f aca="false">IFERROR(VLOOKUP($A13478,'319'!$B:$H,7,0),0)</f>
        <v>0</v>
      </c>
      <c r="G13478" s="34" t="n">
        <f aca="false">SUMIFS('12.326ana'!$C:$C,'12.326ana'!$M:$M,redes!A13478)</f>
        <v>0</v>
      </c>
    </row>
    <row r="13479" customFormat="false" ht="14.4" hidden="true" customHeight="false" outlineLevel="0" collapsed="false">
      <c r="A13479" s="34" t="n">
        <v>15566946000197</v>
      </c>
      <c r="B13479" s="34" t="s">
        <v>25516</v>
      </c>
      <c r="C13479" s="34" t="s">
        <v>77</v>
      </c>
      <c r="E13479" s="30" t="s">
        <v>25517</v>
      </c>
      <c r="F13479" s="34" t="n">
        <f aca="false">IFERROR(VLOOKUP($A13479,'319'!$B:$H,7,0),0)</f>
        <v>0</v>
      </c>
      <c r="G13479" s="34" t="n">
        <f aca="false">SUMIFS('12.326ana'!$C:$C,'12.326ana'!$M:$M,redes!A13479)</f>
        <v>0</v>
      </c>
    </row>
    <row r="13480" customFormat="false" ht="14.4" hidden="true" customHeight="false" outlineLevel="0" collapsed="false">
      <c r="A13480" s="34" t="n">
        <v>15569397000104</v>
      </c>
      <c r="B13480" s="34" t="s">
        <v>25518</v>
      </c>
      <c r="C13480" s="34" t="s">
        <v>77</v>
      </c>
      <c r="E13480" s="30" t="s">
        <v>25519</v>
      </c>
      <c r="F13480" s="34" t="n">
        <f aca="false">IFERROR(VLOOKUP($A13480,'319'!$B:$H,7,0),0)</f>
        <v>0</v>
      </c>
      <c r="G13480" s="34" t="n">
        <f aca="false">SUMIFS('12.326ana'!$C:$C,'12.326ana'!$M:$M,redes!A13480)</f>
        <v>0</v>
      </c>
    </row>
    <row r="13481" customFormat="false" ht="14.4" hidden="true" customHeight="false" outlineLevel="0" collapsed="false">
      <c r="A13481" s="34" t="n">
        <v>15571482000107</v>
      </c>
      <c r="B13481" s="34" t="s">
        <v>25520</v>
      </c>
      <c r="C13481" s="34" t="s">
        <v>77</v>
      </c>
      <c r="E13481" s="30" t="s">
        <v>25521</v>
      </c>
      <c r="F13481" s="34" t="n">
        <f aca="false">IFERROR(VLOOKUP($A13481,'319'!$B:$H,7,0),0)</f>
        <v>0</v>
      </c>
      <c r="G13481" s="34" t="n">
        <f aca="false">SUMIFS('12.326ana'!$C:$C,'12.326ana'!$M:$M,redes!A13481)</f>
        <v>0</v>
      </c>
    </row>
    <row r="13482" customFormat="false" ht="14.4" hidden="true" customHeight="false" outlineLevel="0" collapsed="false">
      <c r="A13482" s="34" t="n">
        <v>15571482000298</v>
      </c>
      <c r="B13482" s="34" t="s">
        <v>25522</v>
      </c>
      <c r="C13482" s="34" t="s">
        <v>77</v>
      </c>
      <c r="E13482" s="30" t="s">
        <v>25523</v>
      </c>
      <c r="F13482" s="34" t="n">
        <f aca="false">IFERROR(VLOOKUP($A13482,'319'!$B:$H,7,0),0)</f>
        <v>0</v>
      </c>
      <c r="G13482" s="34" t="n">
        <f aca="false">SUMIFS('12.326ana'!$C:$C,'12.326ana'!$M:$M,redes!A13482)</f>
        <v>0</v>
      </c>
    </row>
    <row r="13483" customFormat="false" ht="14.4" hidden="true" customHeight="false" outlineLevel="0" collapsed="false">
      <c r="A13483" s="34" t="n">
        <v>15571482000379</v>
      </c>
      <c r="B13483" s="34" t="s">
        <v>25524</v>
      </c>
      <c r="C13483" s="34" t="s">
        <v>77</v>
      </c>
      <c r="E13483" s="30" t="s">
        <v>25525</v>
      </c>
      <c r="F13483" s="34" t="n">
        <f aca="false">IFERROR(VLOOKUP($A13483,'319'!$B:$H,7,0),0)</f>
        <v>0</v>
      </c>
      <c r="G13483" s="34" t="n">
        <f aca="false">SUMIFS('12.326ana'!$C:$C,'12.326ana'!$M:$M,redes!A13483)</f>
        <v>0</v>
      </c>
    </row>
    <row r="13484" customFormat="false" ht="14.4" hidden="true" customHeight="false" outlineLevel="0" collapsed="false">
      <c r="A13484" s="34" t="n">
        <v>15571714000127</v>
      </c>
      <c r="B13484" s="34" t="s">
        <v>25526</v>
      </c>
      <c r="C13484" s="34" t="s">
        <v>77</v>
      </c>
      <c r="E13484" s="30" t="s">
        <v>14679</v>
      </c>
      <c r="F13484" s="34" t="n">
        <f aca="false">IFERROR(VLOOKUP($A13484,'319'!$B:$H,7,0),0)</f>
        <v>0</v>
      </c>
      <c r="G13484" s="34" t="n">
        <f aca="false">SUMIFS('12.326ana'!$C:$C,'12.326ana'!$M:$M,redes!A13484)</f>
        <v>0</v>
      </c>
    </row>
    <row r="13485" customFormat="false" ht="14.4" hidden="true" customHeight="false" outlineLevel="0" collapsed="false">
      <c r="A13485" s="34" t="n">
        <v>15572712000152</v>
      </c>
      <c r="B13485" s="34" t="s">
        <v>25527</v>
      </c>
      <c r="C13485" s="34" t="s">
        <v>296</v>
      </c>
      <c r="E13485" s="30" t="s">
        <v>25528</v>
      </c>
      <c r="F13485" s="34" t="n">
        <f aca="false">IFERROR(VLOOKUP($A13485,'319'!$B:$H,7,0),0)</f>
        <v>0</v>
      </c>
      <c r="G13485" s="34" t="n">
        <f aca="false">SUMIFS('12.326ana'!$C:$C,'12.326ana'!$M:$M,redes!A13485)</f>
        <v>0</v>
      </c>
    </row>
    <row r="13486" customFormat="false" ht="14.4" hidden="true" customHeight="false" outlineLevel="0" collapsed="false">
      <c r="A13486" s="34" t="n">
        <v>15572969000104</v>
      </c>
      <c r="B13486" s="34" t="s">
        <v>25529</v>
      </c>
      <c r="C13486" s="34" t="s">
        <v>2998</v>
      </c>
      <c r="E13486" s="30" t="s">
        <v>25530</v>
      </c>
      <c r="F13486" s="34" t="n">
        <f aca="false">IFERROR(VLOOKUP($A13486,'319'!$B:$H,7,0),0)</f>
        <v>0</v>
      </c>
      <c r="G13486" s="34" t="n">
        <f aca="false">SUMIFS('12.326ana'!$C:$C,'12.326ana'!$M:$M,redes!A13486)</f>
        <v>0</v>
      </c>
    </row>
    <row r="13487" customFormat="false" ht="14.4" hidden="true" customHeight="false" outlineLevel="0" collapsed="false">
      <c r="A13487" s="34" t="n">
        <v>15573116000197</v>
      </c>
      <c r="B13487" s="34" t="s">
        <v>25531</v>
      </c>
      <c r="C13487" s="34" t="s">
        <v>77</v>
      </c>
      <c r="E13487" s="30" t="s">
        <v>6700</v>
      </c>
      <c r="F13487" s="34" t="n">
        <f aca="false">IFERROR(VLOOKUP($A13487,'319'!$B:$H,7,0),0)</f>
        <v>0</v>
      </c>
      <c r="G13487" s="34" t="n">
        <f aca="false">SUMIFS('12.326ana'!$C:$C,'12.326ana'!$M:$M,redes!A13487)</f>
        <v>0</v>
      </c>
    </row>
    <row r="13488" customFormat="false" ht="14.4" hidden="true" customHeight="false" outlineLevel="0" collapsed="false">
      <c r="A13488" s="34" t="n">
        <v>15573686000187</v>
      </c>
      <c r="B13488" s="34" t="s">
        <v>25532</v>
      </c>
      <c r="C13488" s="34" t="s">
        <v>77</v>
      </c>
      <c r="E13488" s="30" t="s">
        <v>25533</v>
      </c>
      <c r="F13488" s="34" t="n">
        <f aca="false">IFERROR(VLOOKUP($A13488,'319'!$B:$H,7,0),0)</f>
        <v>0</v>
      </c>
      <c r="G13488" s="34" t="n">
        <f aca="false">SUMIFS('12.326ana'!$C:$C,'12.326ana'!$M:$M,redes!A13488)</f>
        <v>0</v>
      </c>
    </row>
    <row r="13489" customFormat="false" ht="14.4" hidden="true" customHeight="false" outlineLevel="0" collapsed="false">
      <c r="A13489" s="34" t="n">
        <v>15573686000268</v>
      </c>
      <c r="B13489" s="34" t="s">
        <v>25534</v>
      </c>
      <c r="C13489" s="34" t="s">
        <v>12327</v>
      </c>
      <c r="E13489" s="30" t="s">
        <v>25533</v>
      </c>
      <c r="F13489" s="34" t="n">
        <f aca="false">IFERROR(VLOOKUP($A13489,'319'!$B:$H,7,0),0)</f>
        <v>0</v>
      </c>
      <c r="G13489" s="34" t="n">
        <f aca="false">SUMIFS('12.326ana'!$C:$C,'12.326ana'!$M:$M,redes!A13489)</f>
        <v>0</v>
      </c>
    </row>
    <row r="13490" customFormat="false" ht="14.4" hidden="true" customHeight="false" outlineLevel="0" collapsed="false">
      <c r="A13490" s="34" t="n">
        <v>15576457000116</v>
      </c>
      <c r="B13490" s="34" t="s">
        <v>25535</v>
      </c>
      <c r="C13490" s="34" t="s">
        <v>463</v>
      </c>
      <c r="E13490" s="30" t="s">
        <v>25536</v>
      </c>
      <c r="F13490" s="34" t="n">
        <f aca="false">IFERROR(VLOOKUP($A13490,'319'!$B:$H,7,0),0)</f>
        <v>0</v>
      </c>
      <c r="G13490" s="34" t="n">
        <f aca="false">SUMIFS('12.326ana'!$C:$C,'12.326ana'!$M:$M,redes!A13490)</f>
        <v>0</v>
      </c>
    </row>
    <row r="13491" customFormat="false" ht="14.4" hidden="true" customHeight="false" outlineLevel="0" collapsed="false">
      <c r="A13491" s="34" t="n">
        <v>15576630000186</v>
      </c>
      <c r="B13491" s="34" t="s">
        <v>25537</v>
      </c>
      <c r="C13491" s="34" t="s">
        <v>1591</v>
      </c>
      <c r="E13491" s="30" t="s">
        <v>25538</v>
      </c>
      <c r="F13491" s="34" t="n">
        <f aca="false">IFERROR(VLOOKUP($A13491,'319'!$B:$H,7,0),0)</f>
        <v>0</v>
      </c>
      <c r="G13491" s="34" t="n">
        <f aca="false">SUMIFS('12.326ana'!$C:$C,'12.326ana'!$M:$M,redes!A13491)</f>
        <v>0</v>
      </c>
    </row>
    <row r="13492" customFormat="false" ht="14.4" hidden="true" customHeight="false" outlineLevel="0" collapsed="false">
      <c r="A13492" s="34" t="n">
        <v>15577380000107</v>
      </c>
      <c r="B13492" s="34" t="s">
        <v>25539</v>
      </c>
      <c r="C13492" s="34" t="s">
        <v>631</v>
      </c>
      <c r="E13492" s="30" t="s">
        <v>25540</v>
      </c>
      <c r="F13492" s="34" t="n">
        <f aca="false">IFERROR(VLOOKUP($A13492,'319'!$B:$H,7,0),0)</f>
        <v>0</v>
      </c>
      <c r="G13492" s="34" t="n">
        <f aca="false">SUMIFS('12.326ana'!$C:$C,'12.326ana'!$M:$M,redes!A13492)</f>
        <v>0</v>
      </c>
    </row>
    <row r="13493" customFormat="false" ht="14.4" hidden="true" customHeight="false" outlineLevel="0" collapsed="false">
      <c r="A13493" s="34" t="n">
        <v>15577604000172</v>
      </c>
      <c r="B13493" s="34" t="s">
        <v>25541</v>
      </c>
      <c r="C13493" s="34" t="s">
        <v>475</v>
      </c>
      <c r="E13493" s="30" t="s">
        <v>25542</v>
      </c>
      <c r="F13493" s="34" t="n">
        <f aca="false">IFERROR(VLOOKUP($A13493,'319'!$B:$H,7,0),0)</f>
        <v>0</v>
      </c>
      <c r="G13493" s="34" t="n">
        <f aca="false">SUMIFS('12.326ana'!$C:$C,'12.326ana'!$M:$M,redes!A13493)</f>
        <v>0</v>
      </c>
    </row>
    <row r="13494" customFormat="false" ht="14.4" hidden="true" customHeight="false" outlineLevel="0" collapsed="false">
      <c r="A13494" s="34" t="n">
        <v>15578214000117</v>
      </c>
      <c r="B13494" s="34" t="s">
        <v>25543</v>
      </c>
      <c r="C13494" s="34" t="s">
        <v>77</v>
      </c>
      <c r="E13494" s="30" t="s">
        <v>25544</v>
      </c>
      <c r="F13494" s="34" t="n">
        <f aca="false">IFERROR(VLOOKUP($A13494,'319'!$B:$H,7,0),0)</f>
        <v>0</v>
      </c>
      <c r="G13494" s="34" t="n">
        <f aca="false">SUMIFS('12.326ana'!$C:$C,'12.326ana'!$M:$M,redes!A13494)</f>
        <v>0</v>
      </c>
    </row>
    <row r="13495" customFormat="false" ht="14.4" hidden="true" customHeight="false" outlineLevel="0" collapsed="false">
      <c r="A13495" s="34" t="n">
        <v>15578438000129</v>
      </c>
      <c r="B13495" s="34" t="s">
        <v>25545</v>
      </c>
      <c r="C13495" s="34" t="s">
        <v>357</v>
      </c>
      <c r="E13495" s="30" t="s">
        <v>3194</v>
      </c>
      <c r="F13495" s="34" t="n">
        <f aca="false">IFERROR(VLOOKUP($A13495,'319'!$B:$H,7,0),0)</f>
        <v>0</v>
      </c>
      <c r="G13495" s="34" t="n">
        <f aca="false">SUMIFS('12.326ana'!$C:$C,'12.326ana'!$M:$M,redes!A13495)</f>
        <v>0</v>
      </c>
    </row>
    <row r="13496" customFormat="false" ht="14.4" hidden="true" customHeight="false" outlineLevel="0" collapsed="false">
      <c r="A13496" s="34" t="n">
        <v>15578552000159</v>
      </c>
      <c r="B13496" s="34" t="s">
        <v>25546</v>
      </c>
      <c r="C13496" s="34" t="s">
        <v>107</v>
      </c>
      <c r="E13496" s="30" t="s">
        <v>7097</v>
      </c>
      <c r="F13496" s="34" t="n">
        <f aca="false">IFERROR(VLOOKUP($A13496,'319'!$B:$H,7,0),0)</f>
        <v>0</v>
      </c>
      <c r="G13496" s="34" t="n">
        <f aca="false">SUMIFS('12.326ana'!$C:$C,'12.326ana'!$M:$M,redes!A13496)</f>
        <v>0</v>
      </c>
    </row>
    <row r="13497" customFormat="false" ht="14.4" hidden="true" customHeight="false" outlineLevel="0" collapsed="false">
      <c r="A13497" s="34" t="n">
        <v>15578990000117</v>
      </c>
      <c r="B13497" s="34" t="s">
        <v>25547</v>
      </c>
      <c r="C13497" s="34" t="s">
        <v>2998</v>
      </c>
      <c r="E13497" s="30" t="s">
        <v>25548</v>
      </c>
      <c r="F13497" s="34" t="n">
        <f aca="false">IFERROR(VLOOKUP($A13497,'319'!$B:$H,7,0),0)</f>
        <v>0</v>
      </c>
      <c r="G13497" s="34" t="n">
        <f aca="false">SUMIFS('12.326ana'!$C:$C,'12.326ana'!$M:$M,redes!A13497)</f>
        <v>0</v>
      </c>
    </row>
    <row r="13498" customFormat="false" ht="14.4" hidden="true" customHeight="false" outlineLevel="0" collapsed="false">
      <c r="A13498" s="34" t="n">
        <v>15579626000171</v>
      </c>
      <c r="B13498" s="34" t="s">
        <v>25549</v>
      </c>
      <c r="C13498" s="34" t="s">
        <v>604</v>
      </c>
      <c r="E13498" s="30" t="s">
        <v>25550</v>
      </c>
      <c r="F13498" s="34" t="n">
        <f aca="false">IFERROR(VLOOKUP($A13498,'319'!$B:$H,7,0),0)</f>
        <v>0</v>
      </c>
      <c r="G13498" s="34" t="n">
        <f aca="false">SUMIFS('12.326ana'!$C:$C,'12.326ana'!$M:$M,redes!A13498)</f>
        <v>0</v>
      </c>
    </row>
    <row r="13499" customFormat="false" ht="14.4" hidden="true" customHeight="false" outlineLevel="0" collapsed="false">
      <c r="A13499" s="34" t="n">
        <v>15585816000100</v>
      </c>
      <c r="B13499" s="34" t="s">
        <v>25551</v>
      </c>
      <c r="C13499" s="34" t="s">
        <v>77</v>
      </c>
      <c r="E13499" s="30" t="s">
        <v>25551</v>
      </c>
      <c r="F13499" s="34" t="n">
        <f aca="false">IFERROR(VLOOKUP($A13499,'319'!$B:$H,7,0),0)</f>
        <v>0</v>
      </c>
      <c r="G13499" s="34" t="n">
        <f aca="false">SUMIFS('12.326ana'!$C:$C,'12.326ana'!$M:$M,redes!A13499)</f>
        <v>0</v>
      </c>
    </row>
    <row r="13500" customFormat="false" ht="14.4" hidden="true" customHeight="false" outlineLevel="0" collapsed="false">
      <c r="A13500" s="34" t="n">
        <v>15601624000131</v>
      </c>
      <c r="B13500" s="34" t="s">
        <v>25552</v>
      </c>
      <c r="C13500" s="34" t="s">
        <v>342</v>
      </c>
      <c r="E13500" s="30" t="s">
        <v>6528</v>
      </c>
      <c r="F13500" s="34" t="n">
        <f aca="false">IFERROR(VLOOKUP($A13500,'319'!$B:$H,7,0),0)</f>
        <v>0</v>
      </c>
      <c r="G13500" s="34" t="n">
        <f aca="false">SUMIFS('12.326ana'!$C:$C,'12.326ana'!$M:$M,redes!A13500)</f>
        <v>0</v>
      </c>
    </row>
    <row r="13501" customFormat="false" ht="14.4" hidden="true" customHeight="false" outlineLevel="0" collapsed="false">
      <c r="A13501" s="34" t="n">
        <v>15607499000177</v>
      </c>
      <c r="B13501" s="34" t="s">
        <v>25553</v>
      </c>
      <c r="C13501" s="34" t="s">
        <v>107</v>
      </c>
      <c r="E13501" s="30" t="s">
        <v>3922</v>
      </c>
      <c r="F13501" s="34" t="n">
        <f aca="false">IFERROR(VLOOKUP($A13501,'319'!$B:$H,7,0),0)</f>
        <v>0</v>
      </c>
      <c r="G13501" s="34" t="n">
        <f aca="false">SUMIFS('12.326ana'!$C:$C,'12.326ana'!$M:$M,redes!A13501)</f>
        <v>0</v>
      </c>
    </row>
    <row r="13502" customFormat="false" ht="14.4" hidden="true" customHeight="false" outlineLevel="0" collapsed="false">
      <c r="A13502" s="34" t="n">
        <v>15607897000193</v>
      </c>
      <c r="B13502" s="34" t="s">
        <v>25554</v>
      </c>
      <c r="C13502" s="34" t="s">
        <v>77</v>
      </c>
      <c r="E13502" s="30" t="s">
        <v>25555</v>
      </c>
      <c r="F13502" s="34" t="n">
        <f aca="false">IFERROR(VLOOKUP($A13502,'319'!$B:$H,7,0),0)</f>
        <v>0</v>
      </c>
      <c r="G13502" s="34" t="n">
        <f aca="false">SUMIFS('12.326ana'!$C:$C,'12.326ana'!$M:$M,redes!A13502)</f>
        <v>0</v>
      </c>
    </row>
    <row r="13503" customFormat="false" ht="14.4" hidden="true" customHeight="false" outlineLevel="0" collapsed="false">
      <c r="A13503" s="34" t="n">
        <v>15627062000103</v>
      </c>
      <c r="B13503" s="34" t="s">
        <v>4584</v>
      </c>
      <c r="C13503" s="34" t="s">
        <v>77</v>
      </c>
      <c r="E13503" s="30" t="s">
        <v>2986</v>
      </c>
      <c r="F13503" s="34" t="n">
        <f aca="false">IFERROR(VLOOKUP($A13503,'319'!$B:$H,7,0),0)</f>
        <v>0</v>
      </c>
      <c r="G13503" s="34" t="n">
        <f aca="false">SUMIFS('12.326ana'!$C:$C,'12.326ana'!$M:$M,redes!A13503)</f>
        <v>0</v>
      </c>
    </row>
    <row r="13504" customFormat="false" ht="14.4" hidden="true" customHeight="false" outlineLevel="0" collapsed="false">
      <c r="A13504" s="34" t="n">
        <v>15633938000116</v>
      </c>
      <c r="B13504" s="34" t="s">
        <v>25556</v>
      </c>
      <c r="C13504" s="34" t="s">
        <v>77</v>
      </c>
      <c r="E13504" s="30"/>
      <c r="F13504" s="34" t="n">
        <f aca="false">IFERROR(VLOOKUP($A13504,'319'!$B:$H,7,0),0)</f>
        <v>0</v>
      </c>
      <c r="G13504" s="34" t="n">
        <f aca="false">SUMIFS('12.326ana'!$C:$C,'12.326ana'!$M:$M,redes!A13504)</f>
        <v>0</v>
      </c>
    </row>
    <row r="13505" customFormat="false" ht="14.4" hidden="true" customHeight="false" outlineLevel="0" collapsed="false">
      <c r="A13505" s="34" t="n">
        <v>15634047000184</v>
      </c>
      <c r="B13505" s="34" t="s">
        <v>25557</v>
      </c>
      <c r="C13505" s="34" t="s">
        <v>565</v>
      </c>
      <c r="E13505" s="30" t="s">
        <v>25558</v>
      </c>
      <c r="F13505" s="34" t="n">
        <f aca="false">IFERROR(VLOOKUP($A13505,'319'!$B:$H,7,0),0)</f>
        <v>0</v>
      </c>
      <c r="G13505" s="34" t="n">
        <f aca="false">SUMIFS('12.326ana'!$C:$C,'12.326ana'!$M:$M,redes!A13505)</f>
        <v>0</v>
      </c>
    </row>
    <row r="13506" customFormat="false" ht="14.4" hidden="true" customHeight="false" outlineLevel="0" collapsed="false">
      <c r="A13506" s="34" t="n">
        <v>15641182000157</v>
      </c>
      <c r="B13506" s="34" t="s">
        <v>25559</v>
      </c>
      <c r="C13506" s="34" t="s">
        <v>77</v>
      </c>
      <c r="E13506" s="30" t="s">
        <v>25560</v>
      </c>
      <c r="F13506" s="34" t="n">
        <f aca="false">IFERROR(VLOOKUP($A13506,'319'!$B:$H,7,0),0)</f>
        <v>0</v>
      </c>
      <c r="G13506" s="34" t="n">
        <f aca="false">SUMIFS('12.326ana'!$C:$C,'12.326ana'!$M:$M,redes!A13506)</f>
        <v>0</v>
      </c>
    </row>
    <row r="13507" customFormat="false" ht="14.4" hidden="true" customHeight="false" outlineLevel="0" collapsed="false">
      <c r="A13507" s="34" t="n">
        <v>15641356000181</v>
      </c>
      <c r="B13507" s="34" t="s">
        <v>25561</v>
      </c>
      <c r="C13507" s="34" t="s">
        <v>979</v>
      </c>
      <c r="E13507" s="30" t="s">
        <v>25562</v>
      </c>
      <c r="F13507" s="34" t="n">
        <f aca="false">IFERROR(VLOOKUP($A13507,'319'!$B:$H,7,0),0)</f>
        <v>0</v>
      </c>
      <c r="G13507" s="34" t="n">
        <f aca="false">SUMIFS('12.326ana'!$C:$C,'12.326ana'!$M:$M,redes!A13507)</f>
        <v>0</v>
      </c>
    </row>
    <row r="13508" customFormat="false" ht="14.4" hidden="true" customHeight="false" outlineLevel="0" collapsed="false">
      <c r="A13508" s="34" t="n">
        <v>15645953000184</v>
      </c>
      <c r="B13508" s="34" t="s">
        <v>25563</v>
      </c>
      <c r="C13508" s="34" t="s">
        <v>565</v>
      </c>
      <c r="E13508" s="30" t="s">
        <v>25564</v>
      </c>
      <c r="F13508" s="34" t="n">
        <f aca="false">IFERROR(VLOOKUP($A13508,'319'!$B:$H,7,0),0)</f>
        <v>0</v>
      </c>
      <c r="G13508" s="34" t="n">
        <f aca="false">SUMIFS('12.326ana'!$C:$C,'12.326ana'!$M:$M,redes!A13508)</f>
        <v>0</v>
      </c>
    </row>
    <row r="13509" customFormat="false" ht="14.4" hidden="true" customHeight="false" outlineLevel="0" collapsed="false">
      <c r="A13509" s="34" t="n">
        <v>15646360000132</v>
      </c>
      <c r="B13509" s="34" t="s">
        <v>25565</v>
      </c>
      <c r="C13509" s="34" t="s">
        <v>77</v>
      </c>
      <c r="E13509" s="30" t="s">
        <v>25566</v>
      </c>
      <c r="F13509" s="34" t="n">
        <f aca="false">IFERROR(VLOOKUP($A13509,'319'!$B:$H,7,0),0)</f>
        <v>0</v>
      </c>
      <c r="G13509" s="34" t="n">
        <f aca="false">SUMIFS('12.326ana'!$C:$C,'12.326ana'!$M:$M,redes!A13509)</f>
        <v>0</v>
      </c>
    </row>
    <row r="13510" customFormat="false" ht="14.4" hidden="true" customHeight="false" outlineLevel="0" collapsed="false">
      <c r="A13510" s="34" t="n">
        <v>15650250000144</v>
      </c>
      <c r="B13510" s="34" t="s">
        <v>25567</v>
      </c>
      <c r="C13510" s="34" t="s">
        <v>77</v>
      </c>
      <c r="E13510" s="30" t="s">
        <v>22780</v>
      </c>
      <c r="F13510" s="34" t="n">
        <f aca="false">IFERROR(VLOOKUP($A13510,'319'!$B:$H,7,0),0)</f>
        <v>0</v>
      </c>
      <c r="G13510" s="34" t="n">
        <f aca="false">SUMIFS('12.326ana'!$C:$C,'12.326ana'!$M:$M,redes!A13510)</f>
        <v>0</v>
      </c>
    </row>
    <row r="13511" customFormat="false" ht="14.4" hidden="true" customHeight="false" outlineLevel="0" collapsed="false">
      <c r="A13511" s="34" t="n">
        <v>15652925000194</v>
      </c>
      <c r="B13511" s="34" t="s">
        <v>25568</v>
      </c>
      <c r="C13511" s="34" t="s">
        <v>737</v>
      </c>
      <c r="E13511" s="30" t="s">
        <v>25568</v>
      </c>
      <c r="F13511" s="34" t="n">
        <f aca="false">IFERROR(VLOOKUP($A13511,'319'!$B:$H,7,0),0)</f>
        <v>0</v>
      </c>
      <c r="G13511" s="34" t="n">
        <f aca="false">SUMIFS('12.326ana'!$C:$C,'12.326ana'!$M:$M,redes!A13511)</f>
        <v>0</v>
      </c>
    </row>
    <row r="13512" customFormat="false" ht="14.4" hidden="true" customHeight="false" outlineLevel="0" collapsed="false">
      <c r="A13512" s="34" t="n">
        <v>15656003000155</v>
      </c>
      <c r="B13512" s="34" t="s">
        <v>25569</v>
      </c>
      <c r="C13512" s="34" t="s">
        <v>962</v>
      </c>
      <c r="E13512" s="30" t="s">
        <v>9195</v>
      </c>
      <c r="F13512" s="34" t="n">
        <f aca="false">IFERROR(VLOOKUP($A13512,'319'!$B:$H,7,0),0)</f>
        <v>0</v>
      </c>
      <c r="G13512" s="34" t="n">
        <f aca="false">SUMIFS('12.326ana'!$C:$C,'12.326ana'!$M:$M,redes!A13512)</f>
        <v>0</v>
      </c>
    </row>
    <row r="13513" customFormat="false" ht="14.4" hidden="true" customHeight="false" outlineLevel="0" collapsed="false">
      <c r="A13513" s="34" t="n">
        <v>15664728000195</v>
      </c>
      <c r="B13513" s="34" t="s">
        <v>25570</v>
      </c>
      <c r="C13513" s="34" t="s">
        <v>594</v>
      </c>
      <c r="E13513" s="30" t="s">
        <v>25571</v>
      </c>
      <c r="F13513" s="34" t="n">
        <f aca="false">IFERROR(VLOOKUP($A13513,'319'!$B:$H,7,0),0)</f>
        <v>0</v>
      </c>
      <c r="G13513" s="34" t="n">
        <f aca="false">SUMIFS('12.326ana'!$C:$C,'12.326ana'!$M:$M,redes!A13513)</f>
        <v>0</v>
      </c>
    </row>
    <row r="13514" customFormat="false" ht="14.4" hidden="true" customHeight="false" outlineLevel="0" collapsed="false">
      <c r="A13514" s="34" t="n">
        <v>15666742000128</v>
      </c>
      <c r="B13514" s="34" t="s">
        <v>25572</v>
      </c>
      <c r="C13514" s="34" t="s">
        <v>89</v>
      </c>
      <c r="E13514" s="30" t="s">
        <v>25573</v>
      </c>
      <c r="F13514" s="34" t="n">
        <f aca="false">IFERROR(VLOOKUP($A13514,'319'!$B:$H,7,0),0)</f>
        <v>0</v>
      </c>
      <c r="G13514" s="34" t="n">
        <f aca="false">SUMIFS('12.326ana'!$C:$C,'12.326ana'!$M:$M,redes!A13514)</f>
        <v>0</v>
      </c>
    </row>
    <row r="13515" customFormat="false" ht="14.4" hidden="true" customHeight="false" outlineLevel="0" collapsed="false">
      <c r="A13515" s="34" t="n">
        <v>15669672000161</v>
      </c>
      <c r="B13515" s="34" t="s">
        <v>25574</v>
      </c>
      <c r="C13515" s="34" t="s">
        <v>77</v>
      </c>
      <c r="E13515" s="30" t="s">
        <v>25575</v>
      </c>
      <c r="F13515" s="34" t="n">
        <f aca="false">IFERROR(VLOOKUP($A13515,'319'!$B:$H,7,0),0)</f>
        <v>59.54</v>
      </c>
      <c r="G13515" s="34" t="n">
        <f aca="false">SUMIFS('12.326ana'!$C:$C,'12.326ana'!$M:$M,redes!A13515)</f>
        <v>0</v>
      </c>
    </row>
    <row r="13516" customFormat="false" ht="14.4" hidden="true" customHeight="false" outlineLevel="0" collapsed="false">
      <c r="A13516" s="34" t="n">
        <v>15675148000101</v>
      </c>
      <c r="B13516" s="34" t="s">
        <v>25576</v>
      </c>
      <c r="C13516" s="34" t="s">
        <v>77</v>
      </c>
      <c r="E13516" s="30" t="s">
        <v>25577</v>
      </c>
      <c r="F13516" s="34" t="n">
        <f aca="false">IFERROR(VLOOKUP($A13516,'319'!$B:$H,7,0),0)</f>
        <v>0</v>
      </c>
      <c r="G13516" s="34" t="n">
        <f aca="false">SUMIFS('12.326ana'!$C:$C,'12.326ana'!$M:$M,redes!A13516)</f>
        <v>0</v>
      </c>
    </row>
    <row r="13517" customFormat="false" ht="14.4" hidden="true" customHeight="false" outlineLevel="0" collapsed="false">
      <c r="A13517" s="34" t="n">
        <v>15680710000187</v>
      </c>
      <c r="B13517" s="34" t="s">
        <v>25578</v>
      </c>
      <c r="C13517" s="34" t="s">
        <v>464</v>
      </c>
      <c r="E13517" s="30" t="s">
        <v>19583</v>
      </c>
      <c r="F13517" s="34" t="n">
        <f aca="false">IFERROR(VLOOKUP($A13517,'319'!$B:$H,7,0),0)</f>
        <v>0</v>
      </c>
      <c r="G13517" s="34" t="n">
        <f aca="false">SUMIFS('12.326ana'!$C:$C,'12.326ana'!$M:$M,redes!A13517)</f>
        <v>0</v>
      </c>
    </row>
    <row r="13518" customFormat="false" ht="14.4" hidden="true" customHeight="false" outlineLevel="0" collapsed="false">
      <c r="A13518" s="34" t="n">
        <v>15681614000153</v>
      </c>
      <c r="B13518" s="34" t="s">
        <v>25579</v>
      </c>
      <c r="C13518" s="34" t="s">
        <v>473</v>
      </c>
      <c r="E13518" s="30" t="s">
        <v>25580</v>
      </c>
      <c r="F13518" s="34" t="n">
        <f aca="false">IFERROR(VLOOKUP($A13518,'319'!$B:$H,7,0),0)</f>
        <v>2625.79</v>
      </c>
      <c r="G13518" s="34" t="n">
        <f aca="false">SUMIFS('12.326ana'!$C:$C,'12.326ana'!$M:$M,redes!A13518)</f>
        <v>0</v>
      </c>
    </row>
    <row r="13519" customFormat="false" ht="14.4" hidden="true" customHeight="false" outlineLevel="0" collapsed="false">
      <c r="A13519" s="34" t="n">
        <v>15682845000181</v>
      </c>
      <c r="B13519" s="34" t="s">
        <v>25581</v>
      </c>
      <c r="C13519" s="34" t="s">
        <v>107</v>
      </c>
      <c r="E13519" s="30" t="s">
        <v>23660</v>
      </c>
      <c r="F13519" s="34" t="n">
        <f aca="false">IFERROR(VLOOKUP($A13519,'319'!$B:$H,7,0),0)</f>
        <v>0</v>
      </c>
      <c r="G13519" s="34" t="n">
        <f aca="false">SUMIFS('12.326ana'!$C:$C,'12.326ana'!$M:$M,redes!A13519)</f>
        <v>0</v>
      </c>
    </row>
    <row r="13520" customFormat="false" ht="14.4" hidden="true" customHeight="false" outlineLevel="0" collapsed="false">
      <c r="A13520" s="34" t="n">
        <v>15689130000150</v>
      </c>
      <c r="B13520" s="34" t="s">
        <v>25582</v>
      </c>
      <c r="C13520" s="34" t="s">
        <v>89</v>
      </c>
      <c r="E13520" s="30" t="s">
        <v>25583</v>
      </c>
      <c r="F13520" s="34" t="n">
        <f aca="false">IFERROR(VLOOKUP($A13520,'319'!$B:$H,7,0),0)</f>
        <v>0</v>
      </c>
      <c r="G13520" s="34" t="n">
        <f aca="false">SUMIFS('12.326ana'!$C:$C,'12.326ana'!$M:$M,redes!A13520)</f>
        <v>0</v>
      </c>
    </row>
    <row r="13521" customFormat="false" ht="14.4" hidden="true" customHeight="false" outlineLevel="0" collapsed="false">
      <c r="A13521" s="34" t="n">
        <v>15694272000106</v>
      </c>
      <c r="B13521" s="34" t="s">
        <v>25584</v>
      </c>
      <c r="C13521" s="34" t="s">
        <v>604</v>
      </c>
      <c r="E13521" s="30" t="s">
        <v>25585</v>
      </c>
      <c r="F13521" s="34" t="n">
        <f aca="false">IFERROR(VLOOKUP($A13521,'319'!$B:$H,7,0),0)</f>
        <v>0</v>
      </c>
      <c r="G13521" s="34" t="n">
        <f aca="false">SUMIFS('12.326ana'!$C:$C,'12.326ana'!$M:$M,redes!A13521)</f>
        <v>0</v>
      </c>
    </row>
    <row r="13522" customFormat="false" ht="14.4" hidden="true" customHeight="false" outlineLevel="0" collapsed="false">
      <c r="A13522" s="34" t="n">
        <v>15698994000139</v>
      </c>
      <c r="B13522" s="34" t="s">
        <v>25586</v>
      </c>
      <c r="C13522" s="34" t="s">
        <v>192</v>
      </c>
      <c r="E13522" s="30" t="s">
        <v>25587</v>
      </c>
      <c r="F13522" s="34" t="n">
        <f aca="false">IFERROR(VLOOKUP($A13522,'319'!$B:$H,7,0),0)</f>
        <v>0</v>
      </c>
      <c r="G13522" s="34" t="n">
        <f aca="false">SUMIFS('12.326ana'!$C:$C,'12.326ana'!$M:$M,redes!A13522)</f>
        <v>0</v>
      </c>
    </row>
    <row r="13523" customFormat="false" ht="14.4" hidden="true" customHeight="false" outlineLevel="0" collapsed="false">
      <c r="A13523" s="34" t="n">
        <v>15705679000191</v>
      </c>
      <c r="B13523" s="34" t="s">
        <v>25588</v>
      </c>
      <c r="C13523" s="34" t="s">
        <v>77</v>
      </c>
      <c r="E13523" s="30" t="s">
        <v>25589</v>
      </c>
      <c r="F13523" s="34" t="n">
        <f aca="false">IFERROR(VLOOKUP($A13523,'319'!$B:$H,7,0),0)</f>
        <v>0</v>
      </c>
      <c r="G13523" s="34" t="n">
        <f aca="false">SUMIFS('12.326ana'!$C:$C,'12.326ana'!$M:$M,redes!A13523)</f>
        <v>0</v>
      </c>
    </row>
    <row r="13524" customFormat="false" ht="14.4" hidden="true" customHeight="false" outlineLevel="0" collapsed="false">
      <c r="A13524" s="34" t="n">
        <v>15709907000100</v>
      </c>
      <c r="B13524" s="34" t="s">
        <v>25590</v>
      </c>
      <c r="C13524" s="34" t="s">
        <v>77</v>
      </c>
      <c r="E13524" s="30"/>
      <c r="F13524" s="34" t="n">
        <f aca="false">IFERROR(VLOOKUP($A13524,'319'!$B:$H,7,0),0)</f>
        <v>0</v>
      </c>
      <c r="G13524" s="34" t="n">
        <f aca="false">SUMIFS('12.326ana'!$C:$C,'12.326ana'!$M:$M,redes!A13524)</f>
        <v>0</v>
      </c>
    </row>
    <row r="13525" customFormat="false" ht="14.4" hidden="true" customHeight="false" outlineLevel="0" collapsed="false">
      <c r="A13525" s="34" t="n">
        <v>15710267000140</v>
      </c>
      <c r="B13525" s="34" t="s">
        <v>25591</v>
      </c>
      <c r="C13525" s="34" t="s">
        <v>77</v>
      </c>
      <c r="E13525" s="30" t="s">
        <v>25591</v>
      </c>
      <c r="F13525" s="34" t="n">
        <f aca="false">IFERROR(VLOOKUP($A13525,'319'!$B:$H,7,0),0)</f>
        <v>0</v>
      </c>
      <c r="G13525" s="34" t="n">
        <f aca="false">SUMIFS('12.326ana'!$C:$C,'12.326ana'!$M:$M,redes!A13525)</f>
        <v>0</v>
      </c>
    </row>
    <row r="13526" customFormat="false" ht="14.4" hidden="true" customHeight="false" outlineLevel="0" collapsed="false">
      <c r="A13526" s="34" t="n">
        <v>15721497000104</v>
      </c>
      <c r="B13526" s="34" t="s">
        <v>25592</v>
      </c>
      <c r="C13526" s="34" t="s">
        <v>475</v>
      </c>
      <c r="E13526" s="30" t="s">
        <v>23535</v>
      </c>
      <c r="F13526" s="34" t="n">
        <f aca="false">IFERROR(VLOOKUP($A13526,'319'!$B:$H,7,0),0)</f>
        <v>0</v>
      </c>
      <c r="G13526" s="34" t="n">
        <f aca="false">SUMIFS('12.326ana'!$C:$C,'12.326ana'!$M:$M,redes!A13526)</f>
        <v>0</v>
      </c>
    </row>
    <row r="13527" customFormat="false" ht="14.4" hidden="true" customHeight="false" outlineLevel="0" collapsed="false">
      <c r="A13527" s="34" t="n">
        <v>15722053000193</v>
      </c>
      <c r="B13527" s="34" t="s">
        <v>25593</v>
      </c>
      <c r="C13527" s="34" t="s">
        <v>107</v>
      </c>
      <c r="E13527" s="30" t="s">
        <v>25594</v>
      </c>
      <c r="F13527" s="34" t="n">
        <f aca="false">IFERROR(VLOOKUP($A13527,'319'!$B:$H,7,0),0)</f>
        <v>0</v>
      </c>
      <c r="G13527" s="34" t="n">
        <f aca="false">SUMIFS('12.326ana'!$C:$C,'12.326ana'!$M:$M,redes!A13527)</f>
        <v>0</v>
      </c>
    </row>
    <row r="13528" customFormat="false" ht="14.4" hidden="true" customHeight="false" outlineLevel="0" collapsed="false">
      <c r="A13528" s="34" t="n">
        <v>15722053000274</v>
      </c>
      <c r="B13528" s="34" t="s">
        <v>25593</v>
      </c>
      <c r="C13528" s="34" t="s">
        <v>107</v>
      </c>
      <c r="E13528" s="30" t="s">
        <v>25594</v>
      </c>
      <c r="F13528" s="34" t="n">
        <f aca="false">IFERROR(VLOOKUP($A13528,'319'!$B:$H,7,0),0)</f>
        <v>0</v>
      </c>
      <c r="G13528" s="34" t="n">
        <f aca="false">SUMIFS('12.326ana'!$C:$C,'12.326ana'!$M:$M,redes!A13528)</f>
        <v>0</v>
      </c>
    </row>
    <row r="13529" customFormat="false" ht="14.4" hidden="true" customHeight="false" outlineLevel="0" collapsed="false">
      <c r="A13529" s="34" t="n">
        <v>15733550000197</v>
      </c>
      <c r="B13529" s="34" t="s">
        <v>25595</v>
      </c>
      <c r="C13529" s="34" t="s">
        <v>77</v>
      </c>
      <c r="E13529" s="30" t="s">
        <v>25596</v>
      </c>
      <c r="F13529" s="34" t="n">
        <f aca="false">IFERROR(VLOOKUP($A13529,'319'!$B:$H,7,0),0)</f>
        <v>0</v>
      </c>
      <c r="G13529" s="34" t="n">
        <f aca="false">SUMIFS('12.326ana'!$C:$C,'12.326ana'!$M:$M,redes!A13529)</f>
        <v>0</v>
      </c>
    </row>
    <row r="13530" customFormat="false" ht="14.4" hidden="true" customHeight="false" outlineLevel="0" collapsed="false">
      <c r="A13530" s="34" t="n">
        <v>15733746000181</v>
      </c>
      <c r="B13530" s="34" t="s">
        <v>25597</v>
      </c>
      <c r="C13530" s="34" t="s">
        <v>299</v>
      </c>
      <c r="E13530" s="30" t="s">
        <v>25598</v>
      </c>
      <c r="F13530" s="34" t="n">
        <f aca="false">IFERROR(VLOOKUP($A13530,'319'!$B:$H,7,0),0)</f>
        <v>0</v>
      </c>
      <c r="G13530" s="34" t="n">
        <f aca="false">SUMIFS('12.326ana'!$C:$C,'12.326ana'!$M:$M,redes!A13530)</f>
        <v>0</v>
      </c>
    </row>
    <row r="13531" customFormat="false" ht="14.4" hidden="true" customHeight="false" outlineLevel="0" collapsed="false">
      <c r="A13531" s="34" t="n">
        <v>15738506000170</v>
      </c>
      <c r="B13531" s="34" t="s">
        <v>25599</v>
      </c>
      <c r="C13531" s="34" t="s">
        <v>77</v>
      </c>
      <c r="E13531" s="30" t="s">
        <v>24020</v>
      </c>
      <c r="F13531" s="34" t="n">
        <f aca="false">IFERROR(VLOOKUP($A13531,'319'!$B:$H,7,0),0)</f>
        <v>0</v>
      </c>
      <c r="G13531" s="34" t="n">
        <f aca="false">SUMIFS('12.326ana'!$C:$C,'12.326ana'!$M:$M,redes!A13531)</f>
        <v>0</v>
      </c>
    </row>
    <row r="13532" customFormat="false" ht="14.4" hidden="true" customHeight="false" outlineLevel="0" collapsed="false">
      <c r="A13532" s="34" t="n">
        <v>15740529000119</v>
      </c>
      <c r="B13532" s="34" t="s">
        <v>25600</v>
      </c>
      <c r="C13532" s="34" t="s">
        <v>546</v>
      </c>
      <c r="E13532" s="30" t="s">
        <v>25601</v>
      </c>
      <c r="F13532" s="34" t="n">
        <f aca="false">IFERROR(VLOOKUP($A13532,'319'!$B:$H,7,0),0)</f>
        <v>0</v>
      </c>
      <c r="G13532" s="34" t="n">
        <f aca="false">SUMIFS('12.326ana'!$C:$C,'12.326ana'!$M:$M,redes!A13532)</f>
        <v>0</v>
      </c>
    </row>
    <row r="13533" customFormat="false" ht="14.4" hidden="true" customHeight="false" outlineLevel="0" collapsed="false">
      <c r="A13533" s="34" t="n">
        <v>15742696000107</v>
      </c>
      <c r="B13533" s="34" t="s">
        <v>25602</v>
      </c>
      <c r="C13533" s="34" t="s">
        <v>631</v>
      </c>
      <c r="E13533" s="30" t="s">
        <v>25603</v>
      </c>
      <c r="F13533" s="34" t="n">
        <f aca="false">IFERROR(VLOOKUP($A13533,'319'!$B:$H,7,0),0)</f>
        <v>0</v>
      </c>
      <c r="G13533" s="34" t="n">
        <f aca="false">SUMIFS('12.326ana'!$C:$C,'12.326ana'!$M:$M,redes!A13533)</f>
        <v>0</v>
      </c>
    </row>
    <row r="13534" customFormat="false" ht="14.4" hidden="true" customHeight="false" outlineLevel="0" collapsed="false">
      <c r="A13534" s="34" t="n">
        <v>15750518000110</v>
      </c>
      <c r="B13534" s="34" t="s">
        <v>25604</v>
      </c>
      <c r="C13534" s="34" t="s">
        <v>2998</v>
      </c>
      <c r="E13534" s="30" t="s">
        <v>25605</v>
      </c>
      <c r="F13534" s="34" t="n">
        <f aca="false">IFERROR(VLOOKUP($A13534,'319'!$B:$H,7,0),0)</f>
        <v>0</v>
      </c>
      <c r="G13534" s="34" t="n">
        <f aca="false">SUMIFS('12.326ana'!$C:$C,'12.326ana'!$M:$M,redes!A13534)</f>
        <v>0</v>
      </c>
    </row>
    <row r="13535" customFormat="false" ht="14.4" hidden="true" customHeight="false" outlineLevel="0" collapsed="false">
      <c r="A13535" s="34" t="n">
        <v>15750604000122</v>
      </c>
      <c r="B13535" s="34" t="s">
        <v>25606</v>
      </c>
      <c r="C13535" s="34" t="s">
        <v>357</v>
      </c>
      <c r="E13535" s="30" t="s">
        <v>25607</v>
      </c>
      <c r="F13535" s="34" t="n">
        <f aca="false">IFERROR(VLOOKUP($A13535,'319'!$B:$H,7,0),0)</f>
        <v>0</v>
      </c>
      <c r="G13535" s="34" t="n">
        <f aca="false">SUMIFS('12.326ana'!$C:$C,'12.326ana'!$M:$M,redes!A13535)</f>
        <v>0</v>
      </c>
    </row>
    <row r="13536" customFormat="false" ht="14.4" hidden="true" customHeight="false" outlineLevel="0" collapsed="false">
      <c r="A13536" s="34" t="n">
        <v>15756860000127</v>
      </c>
      <c r="B13536" s="34" t="s">
        <v>25608</v>
      </c>
      <c r="C13536" s="34" t="s">
        <v>213</v>
      </c>
      <c r="E13536" s="30" t="s">
        <v>25609</v>
      </c>
      <c r="F13536" s="34" t="n">
        <f aca="false">IFERROR(VLOOKUP($A13536,'319'!$B:$H,7,0),0)</f>
        <v>0</v>
      </c>
      <c r="G13536" s="34" t="n">
        <f aca="false">SUMIFS('12.326ana'!$C:$C,'12.326ana'!$M:$M,redes!A13536)</f>
        <v>0</v>
      </c>
    </row>
    <row r="13537" customFormat="false" ht="14.4" hidden="true" customHeight="false" outlineLevel="0" collapsed="false">
      <c r="A13537" s="34" t="n">
        <v>15757937000183</v>
      </c>
      <c r="B13537" s="34" t="s">
        <v>25610</v>
      </c>
      <c r="C13537" s="34" t="s">
        <v>77</v>
      </c>
      <c r="D13537" s="34" t="s">
        <v>20956</v>
      </c>
      <c r="E13537" s="30" t="s">
        <v>20957</v>
      </c>
      <c r="F13537" s="34" t="n">
        <f aca="false">IFERROR(VLOOKUP($A13537,'319'!$B:$H,7,0),0)</f>
        <v>0</v>
      </c>
      <c r="G13537" s="34" t="n">
        <f aca="false">SUMIFS('12.326ana'!$C:$C,'12.326ana'!$M:$M,redes!A13537)</f>
        <v>0</v>
      </c>
    </row>
    <row r="13538" customFormat="false" ht="14.4" hidden="true" customHeight="false" outlineLevel="0" collapsed="false">
      <c r="A13538" s="34" t="n">
        <v>15769107000176</v>
      </c>
      <c r="B13538" s="34" t="s">
        <v>25611</v>
      </c>
      <c r="C13538" s="34" t="s">
        <v>77</v>
      </c>
      <c r="E13538" s="30" t="s">
        <v>25612</v>
      </c>
      <c r="F13538" s="34" t="n">
        <f aca="false">IFERROR(VLOOKUP($A13538,'319'!$B:$H,7,0),0)</f>
        <v>0</v>
      </c>
      <c r="G13538" s="34" t="n">
        <f aca="false">SUMIFS('12.326ana'!$C:$C,'12.326ana'!$M:$M,redes!A13538)</f>
        <v>0</v>
      </c>
    </row>
    <row r="13539" customFormat="false" ht="14.4" hidden="true" customHeight="false" outlineLevel="0" collapsed="false">
      <c r="A13539" s="34" t="n">
        <v>15777398000144</v>
      </c>
      <c r="B13539" s="34" t="s">
        <v>25613</v>
      </c>
      <c r="C13539" s="34" t="s">
        <v>463</v>
      </c>
      <c r="E13539" s="30" t="s">
        <v>25614</v>
      </c>
      <c r="F13539" s="34" t="n">
        <f aca="false">IFERROR(VLOOKUP($A13539,'319'!$B:$H,7,0),0)</f>
        <v>0</v>
      </c>
      <c r="G13539" s="34" t="n">
        <f aca="false">SUMIFS('12.326ana'!$C:$C,'12.326ana'!$M:$M,redes!A13539)</f>
        <v>0</v>
      </c>
    </row>
    <row r="13540" customFormat="false" ht="14.4" hidden="true" customHeight="false" outlineLevel="0" collapsed="false">
      <c r="A13540" s="34" t="n">
        <v>15778395000125</v>
      </c>
      <c r="B13540" s="34" t="s">
        <v>25615</v>
      </c>
      <c r="C13540" s="34" t="s">
        <v>139</v>
      </c>
      <c r="E13540" s="30" t="s">
        <v>25616</v>
      </c>
      <c r="F13540" s="34" t="n">
        <f aca="false">IFERROR(VLOOKUP($A13540,'319'!$B:$H,7,0),0)</f>
        <v>0</v>
      </c>
      <c r="G13540" s="34" t="n">
        <f aca="false">SUMIFS('12.326ana'!$C:$C,'12.326ana'!$M:$M,redes!A13540)</f>
        <v>0</v>
      </c>
    </row>
    <row r="13541" customFormat="false" ht="14.4" hidden="true" customHeight="false" outlineLevel="0" collapsed="false">
      <c r="A13541" s="34" t="n">
        <v>15784478000127</v>
      </c>
      <c r="B13541" s="34" t="s">
        <v>25617</v>
      </c>
      <c r="C13541" s="34" t="s">
        <v>464</v>
      </c>
      <c r="E13541" s="30" t="s">
        <v>25618</v>
      </c>
      <c r="F13541" s="34" t="n">
        <f aca="false">IFERROR(VLOOKUP($A13541,'319'!$B:$H,7,0),0)</f>
        <v>0</v>
      </c>
      <c r="G13541" s="34" t="n">
        <f aca="false">SUMIFS('12.326ana'!$C:$C,'12.326ana'!$M:$M,redes!A13541)</f>
        <v>0</v>
      </c>
    </row>
    <row r="13542" customFormat="false" ht="14.4" hidden="true" customHeight="false" outlineLevel="0" collapsed="false">
      <c r="A13542" s="34" t="n">
        <v>15788809000105</v>
      </c>
      <c r="B13542" s="34" t="s">
        <v>25619</v>
      </c>
      <c r="C13542" s="34" t="s">
        <v>89</v>
      </c>
      <c r="E13542" s="30" t="s">
        <v>22495</v>
      </c>
      <c r="F13542" s="34" t="n">
        <f aca="false">IFERROR(VLOOKUP($A13542,'319'!$B:$H,7,0),0)</f>
        <v>0</v>
      </c>
      <c r="G13542" s="34" t="n">
        <f aca="false">SUMIFS('12.326ana'!$C:$C,'12.326ana'!$M:$M,redes!A13542)</f>
        <v>0</v>
      </c>
    </row>
    <row r="13543" customFormat="false" ht="14.4" hidden="true" customHeight="false" outlineLevel="0" collapsed="false">
      <c r="A13543" s="34" t="n">
        <v>15789784000156</v>
      </c>
      <c r="B13543" s="34" t="s">
        <v>25620</v>
      </c>
      <c r="C13543" s="34" t="s">
        <v>103</v>
      </c>
      <c r="E13543" s="30" t="s">
        <v>25620</v>
      </c>
      <c r="F13543" s="34" t="n">
        <f aca="false">IFERROR(VLOOKUP($A13543,'319'!$B:$H,7,0),0)</f>
        <v>0</v>
      </c>
      <c r="G13543" s="34" t="n">
        <f aca="false">SUMIFS('12.326ana'!$C:$C,'12.326ana'!$M:$M,redes!A13543)</f>
        <v>0</v>
      </c>
    </row>
    <row r="13544" customFormat="false" ht="14.4" hidden="true" customHeight="false" outlineLevel="0" collapsed="false">
      <c r="A13544" s="34" t="n">
        <v>15797243000170</v>
      </c>
      <c r="B13544" s="34" t="s">
        <v>9503</v>
      </c>
      <c r="C13544" s="34" t="s">
        <v>77</v>
      </c>
      <c r="E13544" s="30"/>
      <c r="F13544" s="34" t="n">
        <f aca="false">IFERROR(VLOOKUP($A13544,'319'!$B:$H,7,0),0)</f>
        <v>0</v>
      </c>
      <c r="G13544" s="34" t="n">
        <f aca="false">SUMIFS('12.326ana'!$C:$C,'12.326ana'!$M:$M,redes!A13544)</f>
        <v>0</v>
      </c>
    </row>
    <row r="13545" customFormat="false" ht="14.4" hidden="true" customHeight="false" outlineLevel="0" collapsed="false">
      <c r="A13545" s="34" t="n">
        <v>15797956000133</v>
      </c>
      <c r="B13545" s="34" t="s">
        <v>25621</v>
      </c>
      <c r="C13545" s="34" t="s">
        <v>351</v>
      </c>
      <c r="E13545" s="30" t="s">
        <v>5476</v>
      </c>
      <c r="F13545" s="34" t="n">
        <f aca="false">IFERROR(VLOOKUP($A13545,'319'!$B:$H,7,0),0)</f>
        <v>0</v>
      </c>
      <c r="G13545" s="34" t="n">
        <f aca="false">SUMIFS('12.326ana'!$C:$C,'12.326ana'!$M:$M,redes!A13545)</f>
        <v>0</v>
      </c>
    </row>
    <row r="13546" customFormat="false" ht="14.4" hidden="true" customHeight="false" outlineLevel="0" collapsed="false">
      <c r="A13546" s="34" t="n">
        <v>15798004000134</v>
      </c>
      <c r="B13546" s="34" t="s">
        <v>25622</v>
      </c>
      <c r="C13546" s="34" t="s">
        <v>77</v>
      </c>
      <c r="E13546" s="30" t="s">
        <v>25623</v>
      </c>
      <c r="F13546" s="34" t="n">
        <f aca="false">IFERROR(VLOOKUP($A13546,'319'!$B:$H,7,0),0)</f>
        <v>0</v>
      </c>
      <c r="G13546" s="34" t="n">
        <f aca="false">SUMIFS('12.326ana'!$C:$C,'12.326ana'!$M:$M,redes!A13546)</f>
        <v>0</v>
      </c>
    </row>
    <row r="13547" customFormat="false" ht="14.4" hidden="true" customHeight="false" outlineLevel="0" collapsed="false">
      <c r="A13547" s="34" t="n">
        <v>15798201000153</v>
      </c>
      <c r="B13547" s="34" t="s">
        <v>25624</v>
      </c>
      <c r="C13547" s="34" t="s">
        <v>77</v>
      </c>
      <c r="E13547" s="30" t="s">
        <v>25625</v>
      </c>
      <c r="F13547" s="34" t="n">
        <f aca="false">IFERROR(VLOOKUP($A13547,'319'!$B:$H,7,0),0)</f>
        <v>0</v>
      </c>
      <c r="G13547" s="34" t="n">
        <f aca="false">SUMIFS('12.326ana'!$C:$C,'12.326ana'!$M:$M,redes!A13547)</f>
        <v>0</v>
      </c>
    </row>
    <row r="13548" customFormat="false" ht="14.4" hidden="true" customHeight="false" outlineLevel="0" collapsed="false">
      <c r="A13548" s="34" t="n">
        <v>15799675000209</v>
      </c>
      <c r="B13548" s="34" t="s">
        <v>25626</v>
      </c>
      <c r="C13548" s="34" t="s">
        <v>464</v>
      </c>
      <c r="E13548" s="30" t="s">
        <v>25627</v>
      </c>
      <c r="F13548" s="34" t="n">
        <f aca="false">IFERROR(VLOOKUP($A13548,'319'!$B:$H,7,0),0)</f>
        <v>0</v>
      </c>
      <c r="G13548" s="34" t="n">
        <f aca="false">SUMIFS('12.326ana'!$C:$C,'12.326ana'!$M:$M,redes!A13548)</f>
        <v>0</v>
      </c>
    </row>
    <row r="13549" customFormat="false" ht="14.4" hidden="true" customHeight="false" outlineLevel="0" collapsed="false">
      <c r="A13549" s="34" t="n">
        <v>15800958000134</v>
      </c>
      <c r="B13549" s="34" t="s">
        <v>25628</v>
      </c>
      <c r="C13549" s="34" t="s">
        <v>1272</v>
      </c>
      <c r="E13549" s="30" t="s">
        <v>13794</v>
      </c>
      <c r="F13549" s="34" t="n">
        <f aca="false">IFERROR(VLOOKUP($A13549,'319'!$B:$H,7,0),0)</f>
        <v>0</v>
      </c>
      <c r="G13549" s="34" t="n">
        <f aca="false">SUMIFS('12.326ana'!$C:$C,'12.326ana'!$M:$M,redes!A13549)</f>
        <v>0</v>
      </c>
    </row>
    <row r="13550" customFormat="false" ht="14.4" hidden="true" customHeight="false" outlineLevel="0" collapsed="false">
      <c r="A13550" s="34" t="n">
        <v>15801940000157</v>
      </c>
      <c r="B13550" s="34" t="s">
        <v>25629</v>
      </c>
      <c r="C13550" s="34" t="s">
        <v>139</v>
      </c>
      <c r="E13550" s="30" t="s">
        <v>21645</v>
      </c>
      <c r="F13550" s="34" t="n">
        <f aca="false">IFERROR(VLOOKUP($A13550,'319'!$B:$H,7,0),0)</f>
        <v>0</v>
      </c>
      <c r="G13550" s="34" t="n">
        <f aca="false">SUMIFS('12.326ana'!$C:$C,'12.326ana'!$M:$M,redes!A13550)</f>
        <v>0</v>
      </c>
    </row>
    <row r="13551" customFormat="false" ht="14.4" hidden="true" customHeight="false" outlineLevel="0" collapsed="false">
      <c r="A13551" s="34" t="n">
        <v>15802484000160</v>
      </c>
      <c r="B13551" s="34" t="s">
        <v>25630</v>
      </c>
      <c r="C13551" s="34" t="s">
        <v>389</v>
      </c>
      <c r="E13551" s="30" t="s">
        <v>25631</v>
      </c>
      <c r="F13551" s="34" t="n">
        <f aca="false">IFERROR(VLOOKUP($A13551,'319'!$B:$H,7,0),0)</f>
        <v>0</v>
      </c>
      <c r="G13551" s="34" t="n">
        <f aca="false">SUMIFS('12.326ana'!$C:$C,'12.326ana'!$M:$M,redes!A13551)</f>
        <v>0</v>
      </c>
    </row>
    <row r="13552" customFormat="false" ht="14.4" hidden="true" customHeight="false" outlineLevel="0" collapsed="false">
      <c r="A13552" s="34" t="n">
        <v>15811622000177</v>
      </c>
      <c r="B13552" s="34" t="s">
        <v>25632</v>
      </c>
      <c r="C13552" s="34" t="s">
        <v>299</v>
      </c>
      <c r="E13552" s="30" t="s">
        <v>25633</v>
      </c>
      <c r="F13552" s="34" t="n">
        <f aca="false">IFERROR(VLOOKUP($A13552,'319'!$B:$H,7,0),0)</f>
        <v>0</v>
      </c>
      <c r="G13552" s="34" t="n">
        <f aca="false">SUMIFS('12.326ana'!$C:$C,'12.326ana'!$M:$M,redes!A13552)</f>
        <v>0</v>
      </c>
    </row>
    <row r="13553" customFormat="false" ht="14.4" hidden="true" customHeight="false" outlineLevel="0" collapsed="false">
      <c r="A13553" s="34" t="n">
        <v>15812360000165</v>
      </c>
      <c r="B13553" s="34" t="s">
        <v>25634</v>
      </c>
      <c r="C13553" s="34" t="s">
        <v>139</v>
      </c>
      <c r="E13553" s="30" t="s">
        <v>25635</v>
      </c>
      <c r="F13553" s="34" t="n">
        <f aca="false">IFERROR(VLOOKUP($A13553,'319'!$B:$H,7,0),0)</f>
        <v>0</v>
      </c>
      <c r="G13553" s="34" t="n">
        <f aca="false">SUMIFS('12.326ana'!$C:$C,'12.326ana'!$M:$M,redes!A13553)</f>
        <v>0</v>
      </c>
    </row>
    <row r="13554" customFormat="false" ht="14.4" hidden="true" customHeight="false" outlineLevel="0" collapsed="false">
      <c r="A13554" s="34" t="n">
        <v>15828941000195</v>
      </c>
      <c r="B13554" s="34" t="s">
        <v>25636</v>
      </c>
      <c r="C13554" s="34" t="s">
        <v>77</v>
      </c>
      <c r="E13554" s="30" t="s">
        <v>25637</v>
      </c>
      <c r="F13554" s="34" t="n">
        <f aca="false">IFERROR(VLOOKUP($A13554,'319'!$B:$H,7,0),0)</f>
        <v>0</v>
      </c>
      <c r="G13554" s="34" t="n">
        <f aca="false">SUMIFS('12.326ana'!$C:$C,'12.326ana'!$M:$M,redes!A13554)</f>
        <v>0</v>
      </c>
    </row>
    <row r="13555" customFormat="false" ht="14.4" hidden="true" customHeight="false" outlineLevel="0" collapsed="false">
      <c r="A13555" s="34" t="n">
        <v>15832867000180</v>
      </c>
      <c r="B13555" s="34" t="s">
        <v>25638</v>
      </c>
      <c r="C13555" s="34" t="s">
        <v>77</v>
      </c>
      <c r="E13555" s="30" t="s">
        <v>25639</v>
      </c>
      <c r="F13555" s="34" t="n">
        <f aca="false">IFERROR(VLOOKUP($A13555,'319'!$B:$H,7,0),0)</f>
        <v>0</v>
      </c>
      <c r="G13555" s="34" t="n">
        <f aca="false">SUMIFS('12.326ana'!$C:$C,'12.326ana'!$M:$M,redes!A13555)</f>
        <v>0</v>
      </c>
    </row>
    <row r="13556" customFormat="false" ht="14.4" hidden="true" customHeight="false" outlineLevel="0" collapsed="false">
      <c r="A13556" s="34" t="n">
        <v>15835065000124</v>
      </c>
      <c r="B13556" s="34" t="s">
        <v>25640</v>
      </c>
      <c r="C13556" s="34" t="s">
        <v>781</v>
      </c>
      <c r="E13556" s="30" t="s">
        <v>17825</v>
      </c>
      <c r="F13556" s="34" t="n">
        <f aca="false">IFERROR(VLOOKUP($A13556,'319'!$B:$H,7,0),0)</f>
        <v>0</v>
      </c>
      <c r="G13556" s="34" t="n">
        <f aca="false">SUMIFS('12.326ana'!$C:$C,'12.326ana'!$M:$M,redes!A13556)</f>
        <v>0</v>
      </c>
    </row>
    <row r="13557" customFormat="false" ht="14.4" hidden="true" customHeight="false" outlineLevel="0" collapsed="false">
      <c r="A13557" s="34" t="n">
        <v>15838615000169</v>
      </c>
      <c r="B13557" s="34" t="s">
        <v>1340</v>
      </c>
      <c r="C13557" s="34" t="s">
        <v>309</v>
      </c>
      <c r="E13557" s="30" t="s">
        <v>25641</v>
      </c>
      <c r="F13557" s="34" t="n">
        <f aca="false">IFERROR(VLOOKUP($A13557,'319'!$B:$H,7,0),0)</f>
        <v>250.33</v>
      </c>
      <c r="G13557" s="34" t="n">
        <f aca="false">SUMIFS('12.326ana'!$C:$C,'12.326ana'!$M:$M,redes!A13557)</f>
        <v>0</v>
      </c>
    </row>
    <row r="13558" customFormat="false" ht="14.4" hidden="true" customHeight="false" outlineLevel="0" collapsed="false">
      <c r="A13558" s="34" t="n">
        <v>15860752000108</v>
      </c>
      <c r="B13558" s="34" t="s">
        <v>25642</v>
      </c>
      <c r="C13558" s="34" t="s">
        <v>77</v>
      </c>
      <c r="E13558" s="30" t="s">
        <v>16383</v>
      </c>
      <c r="F13558" s="34" t="n">
        <f aca="false">IFERROR(VLOOKUP($A13558,'319'!$B:$H,7,0),0)</f>
        <v>0</v>
      </c>
      <c r="G13558" s="34" t="n">
        <f aca="false">SUMIFS('12.326ana'!$C:$C,'12.326ana'!$M:$M,redes!A13558)</f>
        <v>0</v>
      </c>
    </row>
    <row r="13559" customFormat="false" ht="14.4" hidden="true" customHeight="false" outlineLevel="0" collapsed="false">
      <c r="A13559" s="34" t="n">
        <v>15863024000141</v>
      </c>
      <c r="B13559" s="34" t="s">
        <v>25643</v>
      </c>
      <c r="C13559" s="34" t="s">
        <v>77</v>
      </c>
      <c r="E13559" s="30" t="s">
        <v>25644</v>
      </c>
      <c r="F13559" s="34" t="n">
        <f aca="false">IFERROR(VLOOKUP($A13559,'319'!$B:$H,7,0),0)</f>
        <v>0</v>
      </c>
      <c r="G13559" s="34" t="n">
        <f aca="false">SUMIFS('12.326ana'!$C:$C,'12.326ana'!$M:$M,redes!A13559)</f>
        <v>0</v>
      </c>
    </row>
    <row r="13560" customFormat="false" ht="14.4" hidden="true" customHeight="false" outlineLevel="0" collapsed="false">
      <c r="A13560" s="34" t="n">
        <v>15901440000197</v>
      </c>
      <c r="B13560" s="34" t="s">
        <v>321</v>
      </c>
      <c r="C13560" s="34" t="s">
        <v>328</v>
      </c>
      <c r="E13560" s="30" t="s">
        <v>25645</v>
      </c>
      <c r="F13560" s="34" t="n">
        <f aca="false">IFERROR(VLOOKUP($A13560,'319'!$B:$H,7,0),0)</f>
        <v>5515.56</v>
      </c>
      <c r="G13560" s="34" t="n">
        <f aca="false">SUMIFS('12.326ana'!$C:$C,'12.326ana'!$M:$M,redes!A13560)</f>
        <v>6858.15</v>
      </c>
    </row>
    <row r="13561" customFormat="false" ht="14.4" hidden="true" customHeight="false" outlineLevel="0" collapsed="false">
      <c r="A13561" s="34" t="n">
        <v>15902091000128</v>
      </c>
      <c r="B13561" s="34" t="s">
        <v>25646</v>
      </c>
      <c r="C13561" s="34" t="s">
        <v>77</v>
      </c>
      <c r="E13561" s="30" t="s">
        <v>25647</v>
      </c>
      <c r="F13561" s="34" t="n">
        <f aca="false">IFERROR(VLOOKUP($A13561,'319'!$B:$H,7,0),0)</f>
        <v>0</v>
      </c>
      <c r="G13561" s="34" t="n">
        <f aca="false">SUMIFS('12.326ana'!$C:$C,'12.326ana'!$M:$M,redes!A13561)</f>
        <v>0</v>
      </c>
    </row>
    <row r="13562" customFormat="false" ht="14.4" hidden="true" customHeight="false" outlineLevel="0" collapsed="false">
      <c r="A13562" s="34" t="n">
        <v>15903396000154</v>
      </c>
      <c r="B13562" s="34" t="s">
        <v>25648</v>
      </c>
      <c r="C13562" s="34" t="s">
        <v>309</v>
      </c>
      <c r="E13562" s="30" t="s">
        <v>12885</v>
      </c>
      <c r="F13562" s="34" t="n">
        <f aca="false">IFERROR(VLOOKUP($A13562,'319'!$B:$H,7,0),0)</f>
        <v>0</v>
      </c>
      <c r="G13562" s="34" t="n">
        <f aca="false">SUMIFS('12.326ana'!$C:$C,'12.326ana'!$M:$M,redes!A13562)</f>
        <v>0</v>
      </c>
    </row>
    <row r="13563" customFormat="false" ht="14.4" hidden="true" customHeight="false" outlineLevel="0" collapsed="false">
      <c r="A13563" s="34" t="n">
        <v>15903842000120</v>
      </c>
      <c r="B13563" s="34" t="s">
        <v>25649</v>
      </c>
      <c r="C13563" s="34" t="s">
        <v>296</v>
      </c>
      <c r="E13563" s="30" t="s">
        <v>4445</v>
      </c>
      <c r="F13563" s="34" t="n">
        <f aca="false">IFERROR(VLOOKUP($A13563,'319'!$B:$H,7,0),0)</f>
        <v>0</v>
      </c>
      <c r="G13563" s="34" t="n">
        <f aca="false">SUMIFS('12.326ana'!$C:$C,'12.326ana'!$M:$M,redes!A13563)</f>
        <v>0</v>
      </c>
    </row>
    <row r="13564" customFormat="false" ht="14.4" hidden="true" customHeight="false" outlineLevel="0" collapsed="false">
      <c r="A13564" s="34" t="n">
        <v>15906373000101</v>
      </c>
      <c r="B13564" s="34" t="s">
        <v>25650</v>
      </c>
      <c r="C13564" s="34" t="s">
        <v>77</v>
      </c>
      <c r="E13564" s="30" t="s">
        <v>25651</v>
      </c>
      <c r="F13564" s="34" t="n">
        <f aca="false">IFERROR(VLOOKUP($A13564,'319'!$B:$H,7,0),0)</f>
        <v>0</v>
      </c>
      <c r="G13564" s="34" t="n">
        <f aca="false">SUMIFS('12.326ana'!$C:$C,'12.326ana'!$M:$M,redes!A13564)</f>
        <v>0</v>
      </c>
    </row>
    <row r="13565" customFormat="false" ht="14.4" hidden="true" customHeight="false" outlineLevel="0" collapsed="false">
      <c r="A13565" s="34" t="n">
        <v>15907512000103</v>
      </c>
      <c r="B13565" s="34" t="s">
        <v>25652</v>
      </c>
      <c r="C13565" s="34" t="s">
        <v>357</v>
      </c>
      <c r="E13565" s="30" t="s">
        <v>25653</v>
      </c>
      <c r="F13565" s="34" t="n">
        <f aca="false">IFERROR(VLOOKUP($A13565,'319'!$B:$H,7,0),0)</f>
        <v>0</v>
      </c>
      <c r="G13565" s="34" t="n">
        <f aca="false">SUMIFS('12.326ana'!$C:$C,'12.326ana'!$M:$M,redes!A13565)</f>
        <v>0</v>
      </c>
    </row>
    <row r="13566" customFormat="false" ht="14.4" hidden="true" customHeight="false" outlineLevel="0" collapsed="false">
      <c r="A13566" s="34" t="n">
        <v>15908312000175</v>
      </c>
      <c r="B13566" s="34" t="s">
        <v>25654</v>
      </c>
      <c r="C13566" s="34" t="s">
        <v>357</v>
      </c>
      <c r="E13566" s="30" t="s">
        <v>25655</v>
      </c>
      <c r="F13566" s="34" t="n">
        <f aca="false">IFERROR(VLOOKUP($A13566,'319'!$B:$H,7,0),0)</f>
        <v>0</v>
      </c>
      <c r="G13566" s="34" t="n">
        <f aca="false">SUMIFS('12.326ana'!$C:$C,'12.326ana'!$M:$M,redes!A13566)</f>
        <v>0</v>
      </c>
    </row>
    <row r="13567" customFormat="false" ht="14.4" hidden="true" customHeight="false" outlineLevel="0" collapsed="false">
      <c r="A13567" s="34" t="n">
        <v>15908536000187</v>
      </c>
      <c r="B13567" s="34" t="s">
        <v>25656</v>
      </c>
      <c r="C13567" s="34" t="s">
        <v>475</v>
      </c>
      <c r="E13567" s="30" t="s">
        <v>8633</v>
      </c>
      <c r="F13567" s="34" t="n">
        <f aca="false">IFERROR(VLOOKUP($A13567,'319'!$B:$H,7,0),0)</f>
        <v>0</v>
      </c>
      <c r="G13567" s="34" t="n">
        <f aca="false">SUMIFS('12.326ana'!$C:$C,'12.326ana'!$M:$M,redes!A13567)</f>
        <v>0</v>
      </c>
    </row>
    <row r="13568" customFormat="false" ht="14.4" hidden="true" customHeight="false" outlineLevel="0" collapsed="false">
      <c r="A13568" s="34" t="n">
        <v>15909922000193</v>
      </c>
      <c r="B13568" s="34" t="s">
        <v>25657</v>
      </c>
      <c r="C13568" s="34" t="s">
        <v>77</v>
      </c>
      <c r="E13568" s="30" t="s">
        <v>25658</v>
      </c>
      <c r="F13568" s="34" t="n">
        <f aca="false">IFERROR(VLOOKUP($A13568,'319'!$B:$H,7,0),0)</f>
        <v>0</v>
      </c>
      <c r="G13568" s="34" t="n">
        <f aca="false">SUMIFS('12.326ana'!$C:$C,'12.326ana'!$M:$M,redes!A13568)</f>
        <v>0</v>
      </c>
    </row>
    <row r="13569" customFormat="false" ht="14.4" hidden="true" customHeight="false" outlineLevel="0" collapsed="false">
      <c r="A13569" s="34" t="n">
        <v>15910375000166</v>
      </c>
      <c r="B13569" s="34" t="s">
        <v>25659</v>
      </c>
      <c r="C13569" s="34" t="s">
        <v>213</v>
      </c>
      <c r="E13569" s="30" t="s">
        <v>25660</v>
      </c>
      <c r="F13569" s="34" t="n">
        <f aca="false">IFERROR(VLOOKUP($A13569,'319'!$B:$H,7,0),0)</f>
        <v>0</v>
      </c>
      <c r="G13569" s="34" t="n">
        <f aca="false">SUMIFS('12.326ana'!$C:$C,'12.326ana'!$M:$M,redes!A13569)</f>
        <v>0</v>
      </c>
    </row>
    <row r="13570" customFormat="false" ht="14.4" hidden="true" customHeight="false" outlineLevel="0" collapsed="false">
      <c r="A13570" s="34" t="n">
        <v>15912009000146</v>
      </c>
      <c r="B13570" s="34" t="s">
        <v>25661</v>
      </c>
      <c r="C13570" s="34" t="s">
        <v>706</v>
      </c>
      <c r="E13570" s="30" t="s">
        <v>2958</v>
      </c>
      <c r="F13570" s="34" t="n">
        <f aca="false">IFERROR(VLOOKUP($A13570,'319'!$B:$H,7,0),0)</f>
        <v>0</v>
      </c>
      <c r="G13570" s="34" t="n">
        <f aca="false">SUMIFS('12.326ana'!$C:$C,'12.326ana'!$M:$M,redes!A13570)</f>
        <v>0</v>
      </c>
    </row>
    <row r="13571" customFormat="false" ht="14.4" hidden="true" customHeight="false" outlineLevel="0" collapsed="false">
      <c r="A13571" s="34" t="n">
        <v>15912165000107</v>
      </c>
      <c r="B13571" s="34" t="s">
        <v>25662</v>
      </c>
      <c r="C13571" s="34" t="s">
        <v>77</v>
      </c>
      <c r="E13571" s="30" t="s">
        <v>25663</v>
      </c>
      <c r="F13571" s="34" t="n">
        <f aca="false">IFERROR(VLOOKUP($A13571,'319'!$B:$H,7,0),0)</f>
        <v>0</v>
      </c>
      <c r="G13571" s="34" t="n">
        <f aca="false">SUMIFS('12.326ana'!$C:$C,'12.326ana'!$M:$M,redes!A13571)</f>
        <v>0</v>
      </c>
    </row>
    <row r="13572" customFormat="false" ht="14.4" hidden="true" customHeight="false" outlineLevel="0" collapsed="false">
      <c r="A13572" s="34" t="n">
        <v>15912256000142</v>
      </c>
      <c r="B13572" s="34" t="s">
        <v>25664</v>
      </c>
      <c r="C13572" s="34" t="s">
        <v>357</v>
      </c>
      <c r="E13572" s="30" t="s">
        <v>25665</v>
      </c>
      <c r="F13572" s="34" t="n">
        <f aca="false">IFERROR(VLOOKUP($A13572,'319'!$B:$H,7,0),0)</f>
        <v>0</v>
      </c>
      <c r="G13572" s="34" t="n">
        <f aca="false">SUMIFS('12.326ana'!$C:$C,'12.326ana'!$M:$M,redes!A13572)</f>
        <v>0</v>
      </c>
    </row>
    <row r="13573" customFormat="false" ht="14.4" hidden="true" customHeight="false" outlineLevel="0" collapsed="false">
      <c r="A13573" s="34" t="n">
        <v>15912629000185</v>
      </c>
      <c r="B13573" s="34" t="s">
        <v>25666</v>
      </c>
      <c r="C13573" s="34" t="s">
        <v>139</v>
      </c>
      <c r="E13573" s="30" t="s">
        <v>25667</v>
      </c>
      <c r="F13573" s="34" t="n">
        <f aca="false">IFERROR(VLOOKUP($A13573,'319'!$B:$H,7,0),0)</f>
        <v>0</v>
      </c>
      <c r="G13573" s="34" t="n">
        <f aca="false">SUMIFS('12.326ana'!$C:$C,'12.326ana'!$M:$M,redes!A13573)</f>
        <v>0</v>
      </c>
    </row>
    <row r="13574" customFormat="false" ht="14.4" hidden="true" customHeight="false" outlineLevel="0" collapsed="false">
      <c r="A13574" s="34" t="n">
        <v>15912629000266</v>
      </c>
      <c r="B13574" s="34" t="s">
        <v>25668</v>
      </c>
      <c r="C13574" s="34" t="s">
        <v>139</v>
      </c>
      <c r="E13574" s="30" t="s">
        <v>18384</v>
      </c>
      <c r="F13574" s="34" t="n">
        <f aca="false">IFERROR(VLOOKUP($A13574,'319'!$B:$H,7,0),0)</f>
        <v>0</v>
      </c>
      <c r="G13574" s="34" t="n">
        <f aca="false">SUMIFS('12.326ana'!$C:$C,'12.326ana'!$M:$M,redes!A13574)</f>
        <v>0</v>
      </c>
    </row>
    <row r="13575" customFormat="false" ht="14.4" hidden="true" customHeight="false" outlineLevel="0" collapsed="false">
      <c r="A13575" s="34" t="n">
        <v>15914567000140</v>
      </c>
      <c r="B13575" s="34" t="s">
        <v>25669</v>
      </c>
      <c r="C13575" s="34" t="s">
        <v>342</v>
      </c>
      <c r="E13575" s="30" t="s">
        <v>25670</v>
      </c>
      <c r="F13575" s="34" t="n">
        <f aca="false">IFERROR(VLOOKUP($A13575,'319'!$B:$H,7,0),0)</f>
        <v>0</v>
      </c>
      <c r="G13575" s="34" t="n">
        <f aca="false">SUMIFS('12.326ana'!$C:$C,'12.326ana'!$M:$M,redes!A13575)</f>
        <v>0</v>
      </c>
    </row>
    <row r="13576" customFormat="false" ht="14.4" hidden="true" customHeight="false" outlineLevel="0" collapsed="false">
      <c r="A13576" s="34" t="n">
        <v>15918105000100</v>
      </c>
      <c r="B13576" s="34" t="s">
        <v>25671</v>
      </c>
      <c r="C13576" s="34" t="s">
        <v>77</v>
      </c>
      <c r="E13576" s="30" t="s">
        <v>25672</v>
      </c>
      <c r="F13576" s="34" t="n">
        <f aca="false">IFERROR(VLOOKUP($A13576,'319'!$B:$H,7,0),0)</f>
        <v>0</v>
      </c>
      <c r="G13576" s="34" t="n">
        <f aca="false">SUMIFS('12.326ana'!$C:$C,'12.326ana'!$M:$M,redes!A13576)</f>
        <v>0</v>
      </c>
    </row>
    <row r="13577" customFormat="false" ht="14.4" hidden="true" customHeight="false" outlineLevel="0" collapsed="false">
      <c r="A13577" s="34" t="n">
        <v>15920333000106</v>
      </c>
      <c r="B13577" s="34" t="s">
        <v>25673</v>
      </c>
      <c r="C13577" s="34" t="s">
        <v>357</v>
      </c>
      <c r="E13577" s="30" t="s">
        <v>25674</v>
      </c>
      <c r="F13577" s="34" t="n">
        <f aca="false">IFERROR(VLOOKUP($A13577,'319'!$B:$H,7,0),0)</f>
        <v>0</v>
      </c>
      <c r="G13577" s="34" t="n">
        <f aca="false">SUMIFS('12.326ana'!$C:$C,'12.326ana'!$M:$M,redes!A13577)</f>
        <v>0</v>
      </c>
    </row>
    <row r="13578" customFormat="false" ht="14.4" hidden="true" customHeight="false" outlineLevel="0" collapsed="false">
      <c r="A13578" s="34" t="n">
        <v>15920481000120</v>
      </c>
      <c r="B13578" s="34" t="s">
        <v>25675</v>
      </c>
      <c r="C13578" s="34" t="s">
        <v>478</v>
      </c>
      <c r="E13578" s="30" t="s">
        <v>25676</v>
      </c>
      <c r="F13578" s="34" t="n">
        <f aca="false">IFERROR(VLOOKUP($A13578,'319'!$B:$H,7,0),0)</f>
        <v>0</v>
      </c>
      <c r="G13578" s="34" t="n">
        <f aca="false">SUMIFS('12.326ana'!$C:$C,'12.326ana'!$M:$M,redes!A13578)</f>
        <v>0</v>
      </c>
    </row>
    <row r="13579" customFormat="false" ht="14.4" hidden="true" customHeight="false" outlineLevel="0" collapsed="false">
      <c r="A13579" s="34" t="n">
        <v>15920606000112</v>
      </c>
      <c r="B13579" s="34" t="s">
        <v>25677</v>
      </c>
      <c r="C13579" s="34" t="s">
        <v>336</v>
      </c>
      <c r="E13579" s="30" t="s">
        <v>25678</v>
      </c>
      <c r="F13579" s="34" t="n">
        <f aca="false">IFERROR(VLOOKUP($A13579,'319'!$B:$H,7,0),0)</f>
        <v>0</v>
      </c>
      <c r="G13579" s="34" t="n">
        <f aca="false">SUMIFS('12.326ana'!$C:$C,'12.326ana'!$M:$M,redes!A13579)</f>
        <v>0</v>
      </c>
    </row>
    <row r="13580" customFormat="false" ht="14.4" hidden="true" customHeight="false" outlineLevel="0" collapsed="false">
      <c r="A13580" s="34" t="n">
        <v>15921067000136</v>
      </c>
      <c r="B13580" s="34" t="s">
        <v>7030</v>
      </c>
      <c r="C13580" s="34" t="s">
        <v>77</v>
      </c>
      <c r="E13580" s="30" t="s">
        <v>25679</v>
      </c>
      <c r="F13580" s="34" t="n">
        <f aca="false">IFERROR(VLOOKUP($A13580,'319'!$B:$H,7,0),0)</f>
        <v>0</v>
      </c>
      <c r="G13580" s="34" t="n">
        <f aca="false">SUMIFS('12.326ana'!$C:$C,'12.326ana'!$M:$M,redes!A13580)</f>
        <v>0</v>
      </c>
    </row>
    <row r="13581" customFormat="false" ht="14.4" hidden="true" customHeight="false" outlineLevel="0" collapsed="false">
      <c r="A13581" s="34" t="n">
        <v>15921612000194</v>
      </c>
      <c r="B13581" s="34" t="s">
        <v>25680</v>
      </c>
      <c r="C13581" s="34" t="s">
        <v>299</v>
      </c>
      <c r="E13581" s="30" t="s">
        <v>25681</v>
      </c>
      <c r="F13581" s="34" t="n">
        <f aca="false">IFERROR(VLOOKUP($A13581,'319'!$B:$H,7,0),0)</f>
        <v>290.64</v>
      </c>
      <c r="G13581" s="34" t="n">
        <f aca="false">SUMIFS('12.326ana'!$C:$C,'12.326ana'!$M:$M,redes!A13581)</f>
        <v>0</v>
      </c>
    </row>
    <row r="13582" customFormat="false" ht="14.4" hidden="true" customHeight="false" outlineLevel="0" collapsed="false">
      <c r="A13582" s="34" t="n">
        <v>15921935000188</v>
      </c>
      <c r="B13582" s="34" t="s">
        <v>25682</v>
      </c>
      <c r="C13582" s="34" t="s">
        <v>77</v>
      </c>
      <c r="E13582" s="30" t="s">
        <v>25683</v>
      </c>
      <c r="F13582" s="34" t="n">
        <f aca="false">IFERROR(VLOOKUP($A13582,'319'!$B:$H,7,0),0)</f>
        <v>0</v>
      </c>
      <c r="G13582" s="34" t="n">
        <f aca="false">SUMIFS('12.326ana'!$C:$C,'12.326ana'!$M:$M,redes!A13582)</f>
        <v>0</v>
      </c>
    </row>
    <row r="13583" customFormat="false" ht="14.4" hidden="true" customHeight="false" outlineLevel="0" collapsed="false">
      <c r="A13583" s="34" t="n">
        <v>15921968000128</v>
      </c>
      <c r="B13583" s="34" t="s">
        <v>25684</v>
      </c>
      <c r="C13583" s="34" t="s">
        <v>117</v>
      </c>
      <c r="E13583" s="30" t="s">
        <v>25685</v>
      </c>
      <c r="F13583" s="34" t="n">
        <f aca="false">IFERROR(VLOOKUP($A13583,'319'!$B:$H,7,0),0)</f>
        <v>0</v>
      </c>
      <c r="G13583" s="34" t="n">
        <f aca="false">SUMIFS('12.326ana'!$C:$C,'12.326ana'!$M:$M,redes!A13583)</f>
        <v>0</v>
      </c>
    </row>
    <row r="13584" customFormat="false" ht="14.4" hidden="true" customHeight="false" outlineLevel="0" collapsed="false">
      <c r="A13584" s="34" t="n">
        <v>15922271000171</v>
      </c>
      <c r="B13584" s="34" t="s">
        <v>25686</v>
      </c>
      <c r="C13584" s="34" t="s">
        <v>103</v>
      </c>
      <c r="E13584" s="30" t="s">
        <v>25687</v>
      </c>
      <c r="F13584" s="34" t="n">
        <f aca="false">IFERROR(VLOOKUP($A13584,'319'!$B:$H,7,0),0)</f>
        <v>0</v>
      </c>
      <c r="G13584" s="34" t="n">
        <f aca="false">SUMIFS('12.326ana'!$C:$C,'12.326ana'!$M:$M,redes!A13584)</f>
        <v>0</v>
      </c>
    </row>
    <row r="13585" customFormat="false" ht="14.4" hidden="true" customHeight="false" outlineLevel="0" collapsed="false">
      <c r="A13585" s="34" t="n">
        <v>15925803000124</v>
      </c>
      <c r="B13585" s="34" t="s">
        <v>25688</v>
      </c>
      <c r="C13585" s="34" t="s">
        <v>463</v>
      </c>
      <c r="E13585" s="30" t="s">
        <v>16449</v>
      </c>
      <c r="F13585" s="34" t="n">
        <f aca="false">IFERROR(VLOOKUP($A13585,'319'!$B:$H,7,0),0)</f>
        <v>0</v>
      </c>
      <c r="G13585" s="34" t="n">
        <f aca="false">SUMIFS('12.326ana'!$C:$C,'12.326ana'!$M:$M,redes!A13585)</f>
        <v>0</v>
      </c>
    </row>
    <row r="13586" customFormat="false" ht="14.4" hidden="true" customHeight="false" outlineLevel="0" collapsed="false">
      <c r="A13586" s="34" t="n">
        <v>15928666000181</v>
      </c>
      <c r="B13586" s="34" t="s">
        <v>1580</v>
      </c>
      <c r="C13586" s="34" t="s">
        <v>473</v>
      </c>
      <c r="E13586" s="30" t="s">
        <v>25689</v>
      </c>
      <c r="F13586" s="34" t="n">
        <f aca="false">IFERROR(VLOOKUP($A13586,'319'!$B:$H,7,0),0)</f>
        <v>89.71</v>
      </c>
      <c r="G13586" s="34" t="n">
        <f aca="false">SUMIFS('12.326ana'!$C:$C,'12.326ana'!$M:$M,redes!A13586)</f>
        <v>0</v>
      </c>
    </row>
    <row r="13587" customFormat="false" ht="14.4" hidden="true" customHeight="false" outlineLevel="0" collapsed="false">
      <c r="A13587" s="34" t="n">
        <v>15929367000161</v>
      </c>
      <c r="B13587" s="34" t="s">
        <v>25690</v>
      </c>
      <c r="C13587" s="34" t="s">
        <v>77</v>
      </c>
      <c r="E13587" s="30" t="s">
        <v>14110</v>
      </c>
      <c r="F13587" s="34" t="n">
        <f aca="false">IFERROR(VLOOKUP($A13587,'319'!$B:$H,7,0),0)</f>
        <v>0</v>
      </c>
      <c r="G13587" s="34" t="n">
        <f aca="false">SUMIFS('12.326ana'!$C:$C,'12.326ana'!$M:$M,redes!A13587)</f>
        <v>0</v>
      </c>
    </row>
    <row r="13588" customFormat="false" ht="14.4" hidden="true" customHeight="false" outlineLevel="0" collapsed="false">
      <c r="A13588" s="34" t="n">
        <v>15929508000146</v>
      </c>
      <c r="B13588" s="34" t="s">
        <v>25691</v>
      </c>
      <c r="C13588" s="34" t="s">
        <v>207</v>
      </c>
      <c r="E13588" s="30" t="s">
        <v>18747</v>
      </c>
      <c r="F13588" s="34" t="n">
        <f aca="false">IFERROR(VLOOKUP($A13588,'319'!$B:$H,7,0),0)</f>
        <v>0</v>
      </c>
      <c r="G13588" s="34" t="n">
        <f aca="false">SUMIFS('12.326ana'!$C:$C,'12.326ana'!$M:$M,redes!A13588)</f>
        <v>0</v>
      </c>
    </row>
    <row r="13589" customFormat="false" ht="14.4" hidden="true" customHeight="false" outlineLevel="0" collapsed="false">
      <c r="A13589" s="34" t="n">
        <v>15929557000189</v>
      </c>
      <c r="B13589" s="34" t="s">
        <v>25692</v>
      </c>
      <c r="C13589" s="34" t="s">
        <v>139</v>
      </c>
      <c r="E13589" s="30" t="s">
        <v>25693</v>
      </c>
      <c r="F13589" s="34" t="n">
        <f aca="false">IFERROR(VLOOKUP($A13589,'319'!$B:$H,7,0),0)</f>
        <v>0</v>
      </c>
      <c r="G13589" s="34" t="n">
        <f aca="false">SUMIFS('12.326ana'!$C:$C,'12.326ana'!$M:$M,redes!A13589)</f>
        <v>0</v>
      </c>
    </row>
    <row r="13590" customFormat="false" ht="14.4" hidden="true" customHeight="false" outlineLevel="0" collapsed="false">
      <c r="A13590" s="34" t="n">
        <v>15930472000110</v>
      </c>
      <c r="B13590" s="34" t="s">
        <v>25694</v>
      </c>
      <c r="C13590" s="34" t="s">
        <v>207</v>
      </c>
      <c r="E13590" s="30" t="s">
        <v>25695</v>
      </c>
      <c r="F13590" s="34" t="n">
        <f aca="false">IFERROR(VLOOKUP($A13590,'319'!$B:$H,7,0),0)</f>
        <v>0</v>
      </c>
      <c r="G13590" s="34" t="n">
        <f aca="false">SUMIFS('12.326ana'!$C:$C,'12.326ana'!$M:$M,redes!A13590)</f>
        <v>0</v>
      </c>
    </row>
    <row r="13591" customFormat="false" ht="14.4" hidden="true" customHeight="false" outlineLevel="0" collapsed="false">
      <c r="A13591" s="34" t="n">
        <v>15930738000125</v>
      </c>
      <c r="B13591" s="34" t="s">
        <v>25696</v>
      </c>
      <c r="C13591" s="34" t="s">
        <v>604</v>
      </c>
      <c r="E13591" s="30" t="s">
        <v>25697</v>
      </c>
      <c r="F13591" s="34" t="n">
        <f aca="false">IFERROR(VLOOKUP($A13591,'319'!$B:$H,7,0),0)</f>
        <v>0</v>
      </c>
      <c r="G13591" s="34" t="n">
        <f aca="false">SUMIFS('12.326ana'!$C:$C,'12.326ana'!$M:$M,redes!A13591)</f>
        <v>0</v>
      </c>
    </row>
    <row r="13592" customFormat="false" ht="14.4" hidden="true" customHeight="false" outlineLevel="0" collapsed="false">
      <c r="A13592" s="34" t="n">
        <v>15932387000191</v>
      </c>
      <c r="B13592" s="34" t="s">
        <v>25698</v>
      </c>
      <c r="C13592" s="34" t="s">
        <v>475</v>
      </c>
      <c r="E13592" s="30" t="s">
        <v>25699</v>
      </c>
      <c r="F13592" s="34" t="n">
        <f aca="false">IFERROR(VLOOKUP($A13592,'319'!$B:$H,7,0),0)</f>
        <v>0</v>
      </c>
      <c r="G13592" s="34" t="n">
        <f aca="false">SUMIFS('12.326ana'!$C:$C,'12.326ana'!$M:$M,redes!A13592)</f>
        <v>0</v>
      </c>
    </row>
    <row r="13593" customFormat="false" ht="14.4" hidden="true" customHeight="false" outlineLevel="0" collapsed="false">
      <c r="A13593" s="34" t="n">
        <v>15934706000106</v>
      </c>
      <c r="B13593" s="34" t="s">
        <v>25700</v>
      </c>
      <c r="C13593" s="34" t="s">
        <v>2998</v>
      </c>
      <c r="E13593" s="30" t="s">
        <v>25701</v>
      </c>
      <c r="F13593" s="34" t="n">
        <f aca="false">IFERROR(VLOOKUP($A13593,'319'!$B:$H,7,0),0)</f>
        <v>0</v>
      </c>
      <c r="G13593" s="34" t="n">
        <f aca="false">SUMIFS('12.326ana'!$C:$C,'12.326ana'!$M:$M,redes!A13593)</f>
        <v>0</v>
      </c>
    </row>
    <row r="13594" customFormat="false" ht="14.4" hidden="true" customHeight="false" outlineLevel="0" collapsed="false">
      <c r="A13594" s="34" t="n">
        <v>15936073000167</v>
      </c>
      <c r="B13594" s="34" t="s">
        <v>25702</v>
      </c>
      <c r="C13594" s="34" t="s">
        <v>107</v>
      </c>
      <c r="E13594" s="30" t="s">
        <v>21230</v>
      </c>
      <c r="F13594" s="34" t="n">
        <f aca="false">IFERROR(VLOOKUP($A13594,'319'!$B:$H,7,0),0)</f>
        <v>0</v>
      </c>
      <c r="G13594" s="34" t="n">
        <f aca="false">SUMIFS('12.326ana'!$C:$C,'12.326ana'!$M:$M,redes!A13594)</f>
        <v>0</v>
      </c>
    </row>
    <row r="13595" customFormat="false" ht="14.4" hidden="true" customHeight="false" outlineLevel="0" collapsed="false">
      <c r="A13595" s="34" t="n">
        <v>15936164000100</v>
      </c>
      <c r="B13595" s="34" t="s">
        <v>25703</v>
      </c>
      <c r="C13595" s="34" t="s">
        <v>107</v>
      </c>
      <c r="E13595" s="30" t="s">
        <v>12303</v>
      </c>
      <c r="F13595" s="34" t="n">
        <f aca="false">IFERROR(VLOOKUP($A13595,'319'!$B:$H,7,0),0)</f>
        <v>0</v>
      </c>
      <c r="G13595" s="34" t="n">
        <f aca="false">SUMIFS('12.326ana'!$C:$C,'12.326ana'!$M:$M,redes!A13595)</f>
        <v>0</v>
      </c>
    </row>
    <row r="13596" customFormat="false" ht="14.4" hidden="true" customHeight="false" outlineLevel="0" collapsed="false">
      <c r="A13596" s="34" t="n">
        <v>15936982000103</v>
      </c>
      <c r="B13596" s="34" t="s">
        <v>25704</v>
      </c>
      <c r="C13596" s="34" t="s">
        <v>299</v>
      </c>
      <c r="E13596" s="30" t="s">
        <v>25704</v>
      </c>
      <c r="F13596" s="34" t="n">
        <f aca="false">IFERROR(VLOOKUP($A13596,'319'!$B:$H,7,0),0)</f>
        <v>0</v>
      </c>
      <c r="G13596" s="34" t="n">
        <f aca="false">SUMIFS('12.326ana'!$C:$C,'12.326ana'!$M:$M,redes!A13596)</f>
        <v>0</v>
      </c>
    </row>
    <row r="13597" customFormat="false" ht="14.4" hidden="true" customHeight="false" outlineLevel="0" collapsed="false">
      <c r="A13597" s="34" t="n">
        <v>15937360000191</v>
      </c>
      <c r="B13597" s="34" t="s">
        <v>25705</v>
      </c>
      <c r="C13597" s="34" t="s">
        <v>77</v>
      </c>
      <c r="E13597" s="30" t="s">
        <v>25706</v>
      </c>
      <c r="F13597" s="34" t="n">
        <f aca="false">IFERROR(VLOOKUP($A13597,'319'!$B:$H,7,0),0)</f>
        <v>0</v>
      </c>
      <c r="G13597" s="34" t="n">
        <f aca="false">SUMIFS('12.326ana'!$C:$C,'12.326ana'!$M:$M,redes!A13597)</f>
        <v>0</v>
      </c>
    </row>
    <row r="13598" customFormat="false" ht="14.4" hidden="true" customHeight="false" outlineLevel="0" collapsed="false">
      <c r="A13598" s="34" t="n">
        <v>15937980000120</v>
      </c>
      <c r="B13598" s="34" t="s">
        <v>25707</v>
      </c>
      <c r="C13598" s="34" t="s">
        <v>77</v>
      </c>
      <c r="E13598" s="30" t="s">
        <v>4071</v>
      </c>
      <c r="F13598" s="34" t="n">
        <f aca="false">IFERROR(VLOOKUP($A13598,'319'!$B:$H,7,0),0)</f>
        <v>0</v>
      </c>
      <c r="G13598" s="34" t="n">
        <f aca="false">SUMIFS('12.326ana'!$C:$C,'12.326ana'!$M:$M,redes!A13598)</f>
        <v>0</v>
      </c>
    </row>
    <row r="13599" customFormat="false" ht="14.4" hidden="true" customHeight="false" outlineLevel="0" collapsed="false">
      <c r="A13599" s="34" t="n">
        <v>15942022000148</v>
      </c>
      <c r="B13599" s="34" t="s">
        <v>25708</v>
      </c>
      <c r="C13599" s="34" t="s">
        <v>631</v>
      </c>
      <c r="E13599" s="30" t="s">
        <v>13616</v>
      </c>
      <c r="F13599" s="34" t="n">
        <f aca="false">IFERROR(VLOOKUP($A13599,'319'!$B:$H,7,0),0)</f>
        <v>0</v>
      </c>
      <c r="G13599" s="34" t="n">
        <f aca="false">SUMIFS('12.326ana'!$C:$C,'12.326ana'!$M:$M,redes!A13599)</f>
        <v>0</v>
      </c>
    </row>
    <row r="13600" customFormat="false" ht="14.4" hidden="true" customHeight="false" outlineLevel="0" collapsed="false">
      <c r="A13600" s="34" t="n">
        <v>15942444000113</v>
      </c>
      <c r="B13600" s="34" t="s">
        <v>795</v>
      </c>
      <c r="C13600" s="34" t="s">
        <v>463</v>
      </c>
      <c r="E13600" s="30" t="s">
        <v>13293</v>
      </c>
      <c r="F13600" s="34" t="n">
        <f aca="false">IFERROR(VLOOKUP($A13600,'319'!$B:$H,7,0),0)</f>
        <v>2970.16</v>
      </c>
      <c r="G13600" s="34" t="n">
        <f aca="false">SUMIFS('12.326ana'!$C:$C,'12.326ana'!$M:$M,redes!A13600)</f>
        <v>0</v>
      </c>
    </row>
    <row r="13601" customFormat="false" ht="14.4" hidden="true" customHeight="false" outlineLevel="0" collapsed="false">
      <c r="A13601" s="34" t="n">
        <v>16016644000108</v>
      </c>
      <c r="B13601" s="34" t="s">
        <v>25709</v>
      </c>
      <c r="C13601" s="34" t="s">
        <v>77</v>
      </c>
      <c r="D13601" s="34" t="s">
        <v>4797</v>
      </c>
      <c r="E13601" s="30" t="s">
        <v>25710</v>
      </c>
      <c r="F13601" s="34" t="n">
        <f aca="false">IFERROR(VLOOKUP($A13601,'319'!$B:$H,7,0),0)</f>
        <v>0</v>
      </c>
      <c r="G13601" s="34" t="n">
        <f aca="false">SUMIFS('12.326ana'!$C:$C,'12.326ana'!$M:$M,redes!A13601)</f>
        <v>0</v>
      </c>
    </row>
    <row r="13602" customFormat="false" ht="14.4" hidden="true" customHeight="false" outlineLevel="0" collapsed="false">
      <c r="A13602" s="34" t="n">
        <v>16016776000130</v>
      </c>
      <c r="B13602" s="34" t="s">
        <v>25711</v>
      </c>
      <c r="C13602" s="34" t="s">
        <v>107</v>
      </c>
      <c r="D13602" s="34" t="s">
        <v>4797</v>
      </c>
      <c r="E13602" s="30" t="s">
        <v>25712</v>
      </c>
      <c r="F13602" s="34" t="n">
        <f aca="false">IFERROR(VLOOKUP($A13602,'319'!$B:$H,7,0),0)</f>
        <v>0</v>
      </c>
      <c r="G13602" s="34" t="n">
        <f aca="false">SUMIFS('12.326ana'!$C:$C,'12.326ana'!$M:$M,redes!A13602)</f>
        <v>0</v>
      </c>
    </row>
    <row r="13603" customFormat="false" ht="14.4" hidden="true" customHeight="false" outlineLevel="0" collapsed="false">
      <c r="A13603" s="34" t="n">
        <v>16016917000114</v>
      </c>
      <c r="B13603" s="34" t="s">
        <v>25713</v>
      </c>
      <c r="C13603" s="34" t="s">
        <v>77</v>
      </c>
      <c r="E13603" s="30" t="s">
        <v>25714</v>
      </c>
      <c r="F13603" s="34" t="n">
        <f aca="false">IFERROR(VLOOKUP($A13603,'319'!$B:$H,7,0),0)</f>
        <v>0</v>
      </c>
      <c r="G13603" s="34" t="n">
        <f aca="false">SUMIFS('12.326ana'!$C:$C,'12.326ana'!$M:$M,redes!A13603)</f>
        <v>0</v>
      </c>
    </row>
    <row r="13604" customFormat="false" ht="14.4" hidden="true" customHeight="false" outlineLevel="0" collapsed="false">
      <c r="A13604" s="34" t="n">
        <v>16017295000149</v>
      </c>
      <c r="B13604" s="34" t="s">
        <v>25715</v>
      </c>
      <c r="C13604" s="34" t="s">
        <v>77</v>
      </c>
      <c r="E13604" s="30" t="s">
        <v>6974</v>
      </c>
      <c r="F13604" s="34" t="n">
        <f aca="false">IFERROR(VLOOKUP($A13604,'319'!$B:$H,7,0),0)</f>
        <v>0</v>
      </c>
      <c r="G13604" s="34" t="n">
        <f aca="false">SUMIFS('12.326ana'!$C:$C,'12.326ana'!$M:$M,redes!A13604)</f>
        <v>0</v>
      </c>
    </row>
    <row r="13605" customFormat="false" ht="14.4" hidden="true" customHeight="false" outlineLevel="0" collapsed="false">
      <c r="A13605" s="34" t="n">
        <v>16017337000141</v>
      </c>
      <c r="B13605" s="34" t="s">
        <v>25716</v>
      </c>
      <c r="C13605" s="34" t="s">
        <v>377</v>
      </c>
      <c r="E13605" s="30" t="s">
        <v>16311</v>
      </c>
      <c r="F13605" s="34" t="n">
        <f aca="false">IFERROR(VLOOKUP($A13605,'319'!$B:$H,7,0),0)</f>
        <v>0</v>
      </c>
      <c r="G13605" s="34" t="n">
        <f aca="false">SUMIFS('12.326ana'!$C:$C,'12.326ana'!$M:$M,redes!A13605)</f>
        <v>0</v>
      </c>
    </row>
    <row r="13606" customFormat="false" ht="14.4" hidden="true" customHeight="false" outlineLevel="0" collapsed="false">
      <c r="A13606" s="34" t="n">
        <v>16017931000132</v>
      </c>
      <c r="B13606" s="34" t="s">
        <v>25717</v>
      </c>
      <c r="C13606" s="34" t="s">
        <v>405</v>
      </c>
      <c r="E13606" s="30" t="s">
        <v>25718</v>
      </c>
      <c r="F13606" s="34" t="n">
        <f aca="false">IFERROR(VLOOKUP($A13606,'319'!$B:$H,7,0),0)</f>
        <v>0</v>
      </c>
      <c r="G13606" s="34" t="n">
        <f aca="false">SUMIFS('12.326ana'!$C:$C,'12.326ana'!$M:$M,redes!A13606)</f>
        <v>0</v>
      </c>
    </row>
    <row r="13607" customFormat="false" ht="14.4" hidden="true" customHeight="false" outlineLevel="0" collapsed="false">
      <c r="A13607" s="34" t="n">
        <v>16019721000183</v>
      </c>
      <c r="B13607" s="34" t="s">
        <v>25719</v>
      </c>
      <c r="C13607" s="34" t="s">
        <v>77</v>
      </c>
      <c r="E13607" s="30" t="s">
        <v>25720</v>
      </c>
      <c r="F13607" s="34" t="n">
        <f aca="false">IFERROR(VLOOKUP($A13607,'319'!$B:$H,7,0),0)</f>
        <v>0</v>
      </c>
      <c r="G13607" s="34" t="n">
        <f aca="false">SUMIFS('12.326ana'!$C:$C,'12.326ana'!$M:$M,redes!A13607)</f>
        <v>0</v>
      </c>
    </row>
    <row r="13608" customFormat="false" ht="14.4" hidden="true" customHeight="false" outlineLevel="0" collapsed="false">
      <c r="A13608" s="34" t="n">
        <v>16020299000186</v>
      </c>
      <c r="B13608" s="34" t="s">
        <v>25721</v>
      </c>
      <c r="C13608" s="34" t="s">
        <v>77</v>
      </c>
      <c r="E13608" s="30" t="s">
        <v>25722</v>
      </c>
      <c r="F13608" s="34" t="n">
        <f aca="false">IFERROR(VLOOKUP($A13608,'319'!$B:$H,7,0),0)</f>
        <v>0</v>
      </c>
      <c r="G13608" s="34" t="n">
        <f aca="false">SUMIFS('12.326ana'!$C:$C,'12.326ana'!$M:$M,redes!A13608)</f>
        <v>0</v>
      </c>
    </row>
    <row r="13609" customFormat="false" ht="14.4" hidden="true" customHeight="false" outlineLevel="0" collapsed="false">
      <c r="A13609" s="34" t="n">
        <v>16021495000175</v>
      </c>
      <c r="B13609" s="34" t="s">
        <v>25723</v>
      </c>
      <c r="C13609" s="34" t="s">
        <v>377</v>
      </c>
      <c r="E13609" s="30" t="s">
        <v>25724</v>
      </c>
      <c r="F13609" s="34" t="n">
        <f aca="false">IFERROR(VLOOKUP($A13609,'319'!$B:$H,7,0),0)</f>
        <v>0</v>
      </c>
      <c r="G13609" s="34" t="n">
        <f aca="false">SUMIFS('12.326ana'!$C:$C,'12.326ana'!$M:$M,redes!A13609)</f>
        <v>0</v>
      </c>
    </row>
    <row r="13610" customFormat="false" ht="14.4" hidden="true" customHeight="false" outlineLevel="0" collapsed="false">
      <c r="A13610" s="34" t="n">
        <v>16022063000189</v>
      </c>
      <c r="B13610" s="34" t="s">
        <v>25725</v>
      </c>
      <c r="C13610" s="34" t="s">
        <v>107</v>
      </c>
      <c r="E13610" s="30" t="s">
        <v>25726</v>
      </c>
      <c r="F13610" s="34" t="n">
        <f aca="false">IFERROR(VLOOKUP($A13610,'319'!$B:$H,7,0),0)</f>
        <v>0</v>
      </c>
      <c r="G13610" s="34" t="n">
        <f aca="false">SUMIFS('12.326ana'!$C:$C,'12.326ana'!$M:$M,redes!A13610)</f>
        <v>0</v>
      </c>
    </row>
    <row r="13611" customFormat="false" ht="14.4" hidden="true" customHeight="false" outlineLevel="0" collapsed="false">
      <c r="A13611" s="34" t="n">
        <v>16023871000160</v>
      </c>
      <c r="B13611" s="34" t="s">
        <v>4166</v>
      </c>
      <c r="C13611" s="34" t="s">
        <v>77</v>
      </c>
      <c r="E13611" s="30" t="s">
        <v>25727</v>
      </c>
      <c r="F13611" s="34" t="n">
        <f aca="false">IFERROR(VLOOKUP($A13611,'319'!$B:$H,7,0),0)</f>
        <v>0</v>
      </c>
      <c r="G13611" s="34" t="n">
        <f aca="false">SUMIFS('12.326ana'!$C:$C,'12.326ana'!$M:$M,redes!A13611)</f>
        <v>0</v>
      </c>
    </row>
    <row r="13612" customFormat="false" ht="14.4" hidden="true" customHeight="false" outlineLevel="0" collapsed="false">
      <c r="A13612" s="34" t="n">
        <v>16024267000159</v>
      </c>
      <c r="B13612" s="34" t="s">
        <v>25728</v>
      </c>
      <c r="C13612" s="34" t="s">
        <v>706</v>
      </c>
      <c r="E13612" s="30" t="s">
        <v>25729</v>
      </c>
      <c r="F13612" s="34" t="n">
        <f aca="false">IFERROR(VLOOKUP($A13612,'319'!$B:$H,7,0),0)</f>
        <v>0</v>
      </c>
      <c r="G13612" s="34" t="n">
        <f aca="false">SUMIFS('12.326ana'!$C:$C,'12.326ana'!$M:$M,redes!A13612)</f>
        <v>0</v>
      </c>
    </row>
    <row r="13613" customFormat="false" ht="14.4" hidden="true" customHeight="false" outlineLevel="0" collapsed="false">
      <c r="A13613" s="34" t="n">
        <v>16025918000125</v>
      </c>
      <c r="B13613" s="34" t="s">
        <v>25730</v>
      </c>
      <c r="C13613" s="34" t="s">
        <v>89</v>
      </c>
      <c r="E13613" s="30" t="s">
        <v>25731</v>
      </c>
      <c r="F13613" s="34" t="n">
        <f aca="false">IFERROR(VLOOKUP($A13613,'319'!$B:$H,7,0),0)</f>
        <v>0</v>
      </c>
      <c r="G13613" s="34" t="n">
        <f aca="false">SUMIFS('12.326ana'!$C:$C,'12.326ana'!$M:$M,redes!A13613)</f>
        <v>0</v>
      </c>
    </row>
    <row r="13614" customFormat="false" ht="14.4" hidden="true" customHeight="false" outlineLevel="0" collapsed="false">
      <c r="A13614" s="34" t="n">
        <v>16026551000164</v>
      </c>
      <c r="B13614" s="34" t="s">
        <v>25732</v>
      </c>
      <c r="C13614" s="34" t="s">
        <v>77</v>
      </c>
      <c r="E13614" s="30" t="s">
        <v>25733</v>
      </c>
      <c r="F13614" s="34" t="n">
        <f aca="false">IFERROR(VLOOKUP($A13614,'319'!$B:$H,7,0),0)</f>
        <v>0</v>
      </c>
      <c r="G13614" s="34" t="n">
        <f aca="false">SUMIFS('12.326ana'!$C:$C,'12.326ana'!$M:$M,redes!A13614)</f>
        <v>0</v>
      </c>
    </row>
    <row r="13615" customFormat="false" ht="14.4" hidden="true" customHeight="false" outlineLevel="0" collapsed="false">
      <c r="A13615" s="34" t="n">
        <v>16027088000175</v>
      </c>
      <c r="B13615" s="34" t="s">
        <v>25734</v>
      </c>
      <c r="C13615" s="34" t="s">
        <v>77</v>
      </c>
      <c r="E13615" s="30"/>
      <c r="F13615" s="34" t="n">
        <f aca="false">IFERROR(VLOOKUP($A13615,'319'!$B:$H,7,0),0)</f>
        <v>0</v>
      </c>
      <c r="G13615" s="34" t="n">
        <f aca="false">SUMIFS('12.326ana'!$C:$C,'12.326ana'!$M:$M,redes!A13615)</f>
        <v>0</v>
      </c>
    </row>
    <row r="13616" customFormat="false" ht="14.4" hidden="true" customHeight="false" outlineLevel="0" collapsed="false">
      <c r="A13616" s="34" t="n">
        <v>16027104000120</v>
      </c>
      <c r="B13616" s="34" t="s">
        <v>25735</v>
      </c>
      <c r="C13616" s="34" t="s">
        <v>4829</v>
      </c>
      <c r="E13616" s="30" t="s">
        <v>4453</v>
      </c>
      <c r="F13616" s="34" t="n">
        <f aca="false">IFERROR(VLOOKUP($A13616,'319'!$B:$H,7,0),0)</f>
        <v>0</v>
      </c>
      <c r="G13616" s="34" t="n">
        <f aca="false">SUMIFS('12.326ana'!$C:$C,'12.326ana'!$M:$M,redes!A13616)</f>
        <v>0</v>
      </c>
    </row>
    <row r="13617" customFormat="false" ht="14.4" hidden="true" customHeight="false" outlineLevel="0" collapsed="false">
      <c r="A13617" s="34" t="n">
        <v>16027807000158</v>
      </c>
      <c r="B13617" s="34" t="s">
        <v>25736</v>
      </c>
      <c r="C13617" s="34" t="s">
        <v>77</v>
      </c>
      <c r="E13617" s="30" t="s">
        <v>4367</v>
      </c>
      <c r="F13617" s="34" t="n">
        <f aca="false">IFERROR(VLOOKUP($A13617,'319'!$B:$H,7,0),0)</f>
        <v>0</v>
      </c>
      <c r="G13617" s="34" t="n">
        <f aca="false">SUMIFS('12.326ana'!$C:$C,'12.326ana'!$M:$M,redes!A13617)</f>
        <v>0</v>
      </c>
    </row>
    <row r="13618" customFormat="false" ht="14.4" hidden="true" customHeight="false" outlineLevel="0" collapsed="false">
      <c r="A13618" s="34" t="n">
        <v>16030066000164</v>
      </c>
      <c r="B13618" s="34" t="s">
        <v>25737</v>
      </c>
      <c r="C13618" s="34" t="s">
        <v>77</v>
      </c>
      <c r="E13618" s="30" t="s">
        <v>25738</v>
      </c>
      <c r="F13618" s="34" t="n">
        <f aca="false">IFERROR(VLOOKUP($A13618,'319'!$B:$H,7,0),0)</f>
        <v>0</v>
      </c>
      <c r="G13618" s="34" t="n">
        <f aca="false">SUMIFS('12.326ana'!$C:$C,'12.326ana'!$M:$M,redes!A13618)</f>
        <v>0</v>
      </c>
    </row>
    <row r="13619" customFormat="false" ht="14.4" hidden="true" customHeight="false" outlineLevel="0" collapsed="false">
      <c r="A13619" s="34" t="n">
        <v>16030249000180</v>
      </c>
      <c r="B13619" s="34" t="s">
        <v>25739</v>
      </c>
      <c r="C13619" s="34" t="s">
        <v>478</v>
      </c>
      <c r="E13619" s="30" t="s">
        <v>7314</v>
      </c>
      <c r="F13619" s="34" t="n">
        <f aca="false">IFERROR(VLOOKUP($A13619,'319'!$B:$H,7,0),0)</f>
        <v>0</v>
      </c>
      <c r="G13619" s="34" t="n">
        <f aca="false">SUMIFS('12.326ana'!$C:$C,'12.326ana'!$M:$M,redes!A13619)</f>
        <v>0</v>
      </c>
    </row>
    <row r="13620" customFormat="false" ht="14.4" hidden="true" customHeight="false" outlineLevel="0" collapsed="false">
      <c r="A13620" s="34" t="n">
        <v>16030793000121</v>
      </c>
      <c r="B13620" s="34" t="s">
        <v>25740</v>
      </c>
      <c r="C13620" s="34" t="s">
        <v>781</v>
      </c>
      <c r="E13620" s="30" t="s">
        <v>17825</v>
      </c>
      <c r="F13620" s="34" t="n">
        <f aca="false">IFERROR(VLOOKUP($A13620,'319'!$B:$H,7,0),0)</f>
        <v>0</v>
      </c>
      <c r="G13620" s="34" t="n">
        <f aca="false">SUMIFS('12.326ana'!$C:$C,'12.326ana'!$M:$M,redes!A13620)</f>
        <v>0</v>
      </c>
    </row>
    <row r="13621" customFormat="false" ht="14.4" hidden="true" customHeight="false" outlineLevel="0" collapsed="false">
      <c r="A13621" s="34" t="n">
        <v>16032476000144</v>
      </c>
      <c r="B13621" s="34" t="s">
        <v>25741</v>
      </c>
      <c r="C13621" s="34" t="s">
        <v>192</v>
      </c>
      <c r="E13621" s="30" t="s">
        <v>25742</v>
      </c>
      <c r="F13621" s="34" t="n">
        <f aca="false">IFERROR(VLOOKUP($A13621,'319'!$B:$H,7,0),0)</f>
        <v>0</v>
      </c>
      <c r="G13621" s="34" t="n">
        <f aca="false">SUMIFS('12.326ana'!$C:$C,'12.326ana'!$M:$M,redes!A13621)</f>
        <v>0</v>
      </c>
    </row>
    <row r="13622" customFormat="false" ht="14.4" hidden="true" customHeight="false" outlineLevel="0" collapsed="false">
      <c r="A13622" s="34" t="n">
        <v>16032484000190</v>
      </c>
      <c r="B13622" s="34" t="s">
        <v>25743</v>
      </c>
      <c r="C13622" s="34" t="s">
        <v>342</v>
      </c>
      <c r="E13622" s="30" t="s">
        <v>25744</v>
      </c>
      <c r="F13622" s="34" t="n">
        <f aca="false">IFERROR(VLOOKUP($A13622,'319'!$B:$H,7,0),0)</f>
        <v>0</v>
      </c>
      <c r="G13622" s="34" t="n">
        <f aca="false">SUMIFS('12.326ana'!$C:$C,'12.326ana'!$M:$M,redes!A13622)</f>
        <v>0</v>
      </c>
    </row>
    <row r="13623" customFormat="false" ht="14.4" hidden="true" customHeight="false" outlineLevel="0" collapsed="false">
      <c r="A13623" s="34" t="n">
        <v>16033102000143</v>
      </c>
      <c r="B13623" s="34" t="s">
        <v>25745</v>
      </c>
      <c r="C13623" s="34" t="s">
        <v>4462</v>
      </c>
      <c r="E13623" s="30" t="s">
        <v>25746</v>
      </c>
      <c r="F13623" s="34" t="n">
        <f aca="false">IFERROR(VLOOKUP($A13623,'319'!$B:$H,7,0),0)</f>
        <v>0</v>
      </c>
      <c r="G13623" s="34" t="n">
        <f aca="false">SUMIFS('12.326ana'!$C:$C,'12.326ana'!$M:$M,redes!A13623)</f>
        <v>0</v>
      </c>
    </row>
    <row r="13624" customFormat="false" ht="14.4" hidden="true" customHeight="false" outlineLevel="0" collapsed="false">
      <c r="A13624" s="34" t="n">
        <v>16035982000197</v>
      </c>
      <c r="B13624" s="34" t="s">
        <v>25747</v>
      </c>
      <c r="C13624" s="34" t="s">
        <v>377</v>
      </c>
      <c r="E13624" s="30" t="s">
        <v>25748</v>
      </c>
      <c r="F13624" s="34" t="n">
        <f aca="false">IFERROR(VLOOKUP($A13624,'319'!$B:$H,7,0),0)</f>
        <v>0</v>
      </c>
      <c r="G13624" s="34" t="n">
        <f aca="false">SUMIFS('12.326ana'!$C:$C,'12.326ana'!$M:$M,redes!A13624)</f>
        <v>0</v>
      </c>
    </row>
    <row r="13625" customFormat="false" ht="14.4" hidden="true" customHeight="false" outlineLevel="0" collapsed="false">
      <c r="A13625" s="34" t="n">
        <v>16036618000141</v>
      </c>
      <c r="B13625" s="34" t="s">
        <v>25749</v>
      </c>
      <c r="C13625" s="34" t="s">
        <v>117</v>
      </c>
      <c r="E13625" s="30" t="s">
        <v>25750</v>
      </c>
      <c r="F13625" s="34" t="n">
        <f aca="false">IFERROR(VLOOKUP($A13625,'319'!$B:$H,7,0),0)</f>
        <v>0</v>
      </c>
      <c r="G13625" s="34" t="n">
        <f aca="false">SUMIFS('12.326ana'!$C:$C,'12.326ana'!$M:$M,redes!A13625)</f>
        <v>0</v>
      </c>
    </row>
    <row r="13626" customFormat="false" ht="14.4" hidden="true" customHeight="false" outlineLevel="0" collapsed="false">
      <c r="A13626" s="34" t="n">
        <v>16036782000159</v>
      </c>
      <c r="B13626" s="34" t="s">
        <v>25751</v>
      </c>
      <c r="C13626" s="34" t="s">
        <v>107</v>
      </c>
      <c r="E13626" s="30" t="s">
        <v>25752</v>
      </c>
      <c r="F13626" s="34" t="n">
        <f aca="false">IFERROR(VLOOKUP($A13626,'319'!$B:$H,7,0),0)</f>
        <v>0</v>
      </c>
      <c r="G13626" s="34" t="n">
        <f aca="false">SUMIFS('12.326ana'!$C:$C,'12.326ana'!$M:$M,redes!A13626)</f>
        <v>0</v>
      </c>
    </row>
    <row r="13627" customFormat="false" ht="14.4" hidden="true" customHeight="false" outlineLevel="0" collapsed="false">
      <c r="A13627" s="34" t="n">
        <v>16036824000151</v>
      </c>
      <c r="B13627" s="34" t="s">
        <v>25753</v>
      </c>
      <c r="C13627" s="34" t="s">
        <v>342</v>
      </c>
      <c r="E13627" s="30" t="s">
        <v>25754</v>
      </c>
      <c r="F13627" s="34" t="n">
        <f aca="false">IFERROR(VLOOKUP($A13627,'319'!$B:$H,7,0),0)</f>
        <v>0</v>
      </c>
      <c r="G13627" s="34" t="n">
        <f aca="false">SUMIFS('12.326ana'!$C:$C,'12.326ana'!$M:$M,redes!A13627)</f>
        <v>0</v>
      </c>
    </row>
    <row r="13628" customFormat="false" ht="14.4" hidden="true" customHeight="false" outlineLevel="0" collapsed="false">
      <c r="A13628" s="34" t="n">
        <v>16037020000177</v>
      </c>
      <c r="B13628" s="34" t="s">
        <v>25755</v>
      </c>
      <c r="C13628" s="34" t="s">
        <v>77</v>
      </c>
      <c r="E13628" s="30" t="s">
        <v>25756</v>
      </c>
      <c r="F13628" s="34" t="n">
        <f aca="false">IFERROR(VLOOKUP($A13628,'319'!$B:$H,7,0),0)</f>
        <v>0</v>
      </c>
      <c r="G13628" s="34" t="n">
        <f aca="false">SUMIFS('12.326ana'!$C:$C,'12.326ana'!$M:$M,redes!A13628)</f>
        <v>0</v>
      </c>
    </row>
    <row r="13629" customFormat="false" ht="14.4" hidden="true" customHeight="false" outlineLevel="0" collapsed="false">
      <c r="A13629" s="34" t="n">
        <v>16037277000129</v>
      </c>
      <c r="B13629" s="34" t="s">
        <v>25757</v>
      </c>
      <c r="C13629" s="34" t="s">
        <v>77</v>
      </c>
      <c r="E13629" s="30" t="s">
        <v>25758</v>
      </c>
      <c r="F13629" s="34" t="n">
        <f aca="false">IFERROR(VLOOKUP($A13629,'319'!$B:$H,7,0),0)</f>
        <v>0</v>
      </c>
      <c r="G13629" s="34" t="n">
        <f aca="false">SUMIFS('12.326ana'!$C:$C,'12.326ana'!$M:$M,redes!A13629)</f>
        <v>0</v>
      </c>
    </row>
    <row r="13630" customFormat="false" ht="14.4" hidden="true" customHeight="false" outlineLevel="0" collapsed="false">
      <c r="A13630" s="34" t="n">
        <v>16037285000175</v>
      </c>
      <c r="B13630" s="34" t="s">
        <v>25759</v>
      </c>
      <c r="C13630" s="34" t="s">
        <v>351</v>
      </c>
      <c r="E13630" s="30" t="s">
        <v>25760</v>
      </c>
      <c r="F13630" s="34" t="n">
        <f aca="false">IFERROR(VLOOKUP($A13630,'319'!$B:$H,7,0),0)</f>
        <v>0</v>
      </c>
      <c r="G13630" s="34" t="n">
        <f aca="false">SUMIFS('12.326ana'!$C:$C,'12.326ana'!$M:$M,redes!A13630)</f>
        <v>0</v>
      </c>
    </row>
    <row r="13631" customFormat="false" ht="14.4" hidden="true" customHeight="false" outlineLevel="0" collapsed="false">
      <c r="A13631" s="34" t="n">
        <v>16037681000100</v>
      </c>
      <c r="B13631" s="34" t="s">
        <v>25761</v>
      </c>
      <c r="C13631" s="34" t="s">
        <v>464</v>
      </c>
      <c r="E13631" s="30" t="s">
        <v>25762</v>
      </c>
      <c r="F13631" s="34" t="n">
        <f aca="false">IFERROR(VLOOKUP($A13631,'319'!$B:$H,7,0),0)</f>
        <v>0</v>
      </c>
      <c r="G13631" s="34" t="n">
        <f aca="false">SUMIFS('12.326ana'!$C:$C,'12.326ana'!$M:$M,redes!A13631)</f>
        <v>0</v>
      </c>
    </row>
    <row r="13632" customFormat="false" ht="14.4" hidden="true" customHeight="false" outlineLevel="0" collapsed="false">
      <c r="A13632" s="34" t="n">
        <v>16038747000179</v>
      </c>
      <c r="B13632" s="34" t="s">
        <v>25763</v>
      </c>
      <c r="C13632" s="34" t="s">
        <v>842</v>
      </c>
      <c r="E13632" s="30" t="s">
        <v>25764</v>
      </c>
      <c r="F13632" s="34" t="n">
        <f aca="false">IFERROR(VLOOKUP($A13632,'319'!$B:$H,7,0),0)</f>
        <v>0</v>
      </c>
      <c r="G13632" s="34" t="n">
        <f aca="false">SUMIFS('12.326ana'!$C:$C,'12.326ana'!$M:$M,redes!A13632)</f>
        <v>0</v>
      </c>
    </row>
    <row r="13633" customFormat="false" ht="14.4" hidden="true" customHeight="false" outlineLevel="0" collapsed="false">
      <c r="A13633" s="34" t="n">
        <v>16039133000101</v>
      </c>
      <c r="B13633" s="34" t="s">
        <v>25765</v>
      </c>
      <c r="C13633" s="34" t="s">
        <v>77</v>
      </c>
      <c r="E13633" s="30" t="s">
        <v>25766</v>
      </c>
      <c r="F13633" s="34" t="n">
        <f aca="false">IFERROR(VLOOKUP($A13633,'319'!$B:$H,7,0),0)</f>
        <v>0</v>
      </c>
      <c r="G13633" s="34" t="n">
        <f aca="false">SUMIFS('12.326ana'!$C:$C,'12.326ana'!$M:$M,redes!A13633)</f>
        <v>0</v>
      </c>
    </row>
    <row r="13634" customFormat="false" ht="14.4" hidden="true" customHeight="false" outlineLevel="0" collapsed="false">
      <c r="A13634" s="34" t="n">
        <v>16039406000118</v>
      </c>
      <c r="B13634" s="34" t="s">
        <v>25767</v>
      </c>
      <c r="C13634" s="34" t="s">
        <v>935</v>
      </c>
      <c r="E13634" s="30" t="s">
        <v>25768</v>
      </c>
      <c r="F13634" s="34" t="n">
        <f aca="false">IFERROR(VLOOKUP($A13634,'319'!$B:$H,7,0),0)</f>
        <v>0</v>
      </c>
      <c r="G13634" s="34" t="n">
        <f aca="false">SUMIFS('12.326ana'!$C:$C,'12.326ana'!$M:$M,redes!A13634)</f>
        <v>0</v>
      </c>
    </row>
    <row r="13635" customFormat="false" ht="14.4" hidden="true" customHeight="false" outlineLevel="0" collapsed="false">
      <c r="A13635" s="34" t="n">
        <v>16039638000176</v>
      </c>
      <c r="B13635" s="34" t="s">
        <v>25769</v>
      </c>
      <c r="C13635" s="34" t="s">
        <v>463</v>
      </c>
      <c r="E13635" s="30" t="s">
        <v>25770</v>
      </c>
      <c r="F13635" s="34" t="n">
        <f aca="false">IFERROR(VLOOKUP($A13635,'319'!$B:$H,7,0),0)</f>
        <v>0</v>
      </c>
      <c r="G13635" s="34" t="n">
        <f aca="false">SUMIFS('12.326ana'!$C:$C,'12.326ana'!$M:$M,redes!A13635)</f>
        <v>0</v>
      </c>
    </row>
    <row r="13636" customFormat="false" ht="14.4" hidden="true" customHeight="false" outlineLevel="0" collapsed="false">
      <c r="A13636" s="34" t="n">
        <v>16041907000139</v>
      </c>
      <c r="B13636" s="34" t="s">
        <v>25771</v>
      </c>
      <c r="C13636" s="34" t="s">
        <v>342</v>
      </c>
      <c r="E13636" s="30" t="s">
        <v>25772</v>
      </c>
      <c r="F13636" s="34" t="n">
        <f aca="false">IFERROR(VLOOKUP($A13636,'319'!$B:$H,7,0),0)</f>
        <v>0</v>
      </c>
      <c r="G13636" s="34" t="n">
        <f aca="false">SUMIFS('12.326ana'!$C:$C,'12.326ana'!$M:$M,redes!A13636)</f>
        <v>0</v>
      </c>
    </row>
    <row r="13637" customFormat="false" ht="14.4" hidden="true" customHeight="false" outlineLevel="0" collapsed="false">
      <c r="A13637" s="34" t="n">
        <v>16041907000210</v>
      </c>
      <c r="B13637" s="34" t="s">
        <v>25773</v>
      </c>
      <c r="C13637" s="34" t="s">
        <v>342</v>
      </c>
      <c r="E13637" s="30" t="s">
        <v>25774</v>
      </c>
      <c r="F13637" s="34" t="n">
        <f aca="false">IFERROR(VLOOKUP($A13637,'319'!$B:$H,7,0),0)</f>
        <v>0</v>
      </c>
      <c r="G13637" s="34" t="n">
        <f aca="false">SUMIFS('12.326ana'!$C:$C,'12.326ana'!$M:$M,redes!A13637)</f>
        <v>0</v>
      </c>
    </row>
    <row r="13638" customFormat="false" ht="14.4" hidden="true" customHeight="false" outlineLevel="0" collapsed="false">
      <c r="A13638" s="34" t="n">
        <v>16041907000309</v>
      </c>
      <c r="B13638" s="34" t="s">
        <v>25771</v>
      </c>
      <c r="C13638" s="34" t="s">
        <v>342</v>
      </c>
      <c r="E13638" s="30" t="s">
        <v>25775</v>
      </c>
      <c r="F13638" s="34" t="n">
        <f aca="false">IFERROR(VLOOKUP($A13638,'319'!$B:$H,7,0),0)</f>
        <v>2920.91</v>
      </c>
      <c r="G13638" s="34" t="n">
        <f aca="false">SUMIFS('12.326ana'!$C:$C,'12.326ana'!$M:$M,redes!A13638)</f>
        <v>0</v>
      </c>
    </row>
    <row r="13639" customFormat="false" ht="14.4" hidden="true" customHeight="false" outlineLevel="0" collapsed="false">
      <c r="A13639" s="34" t="n">
        <v>16042988000191</v>
      </c>
      <c r="B13639" s="34" t="s">
        <v>25776</v>
      </c>
      <c r="C13639" s="34" t="s">
        <v>737</v>
      </c>
      <c r="E13639" s="30" t="s">
        <v>25777</v>
      </c>
      <c r="F13639" s="34" t="n">
        <f aca="false">IFERROR(VLOOKUP($A13639,'319'!$B:$H,7,0),0)</f>
        <v>0</v>
      </c>
      <c r="G13639" s="34" t="n">
        <f aca="false">SUMIFS('12.326ana'!$C:$C,'12.326ana'!$M:$M,redes!A13639)</f>
        <v>0</v>
      </c>
    </row>
    <row r="13640" customFormat="false" ht="14.4" hidden="true" customHeight="false" outlineLevel="0" collapsed="false">
      <c r="A13640" s="34" t="n">
        <v>16043077000189</v>
      </c>
      <c r="B13640" s="34" t="s">
        <v>25778</v>
      </c>
      <c r="C13640" s="34" t="s">
        <v>77</v>
      </c>
      <c r="E13640" s="30" t="s">
        <v>8513</v>
      </c>
      <c r="F13640" s="34" t="n">
        <f aca="false">IFERROR(VLOOKUP($A13640,'319'!$B:$H,7,0),0)</f>
        <v>0</v>
      </c>
      <c r="G13640" s="34" t="n">
        <f aca="false">SUMIFS('12.326ana'!$C:$C,'12.326ana'!$M:$M,redes!A13640)</f>
        <v>0</v>
      </c>
    </row>
    <row r="13641" customFormat="false" ht="14.4" hidden="true" customHeight="false" outlineLevel="0" collapsed="false">
      <c r="A13641" s="34" t="n">
        <v>16043929000138</v>
      </c>
      <c r="B13641" s="34" t="s">
        <v>25779</v>
      </c>
      <c r="C13641" s="34" t="s">
        <v>77</v>
      </c>
      <c r="E13641" s="30" t="s">
        <v>23322</v>
      </c>
      <c r="F13641" s="34" t="n">
        <f aca="false">IFERROR(VLOOKUP($A13641,'319'!$B:$H,7,0),0)</f>
        <v>0</v>
      </c>
      <c r="G13641" s="34" t="n">
        <f aca="false">SUMIFS('12.326ana'!$C:$C,'12.326ana'!$M:$M,redes!A13641)</f>
        <v>0</v>
      </c>
    </row>
    <row r="13642" customFormat="false" ht="14.4" hidden="true" customHeight="false" outlineLevel="0" collapsed="false">
      <c r="A13642" s="34" t="n">
        <v>16044356000167</v>
      </c>
      <c r="B13642" s="34" t="s">
        <v>25780</v>
      </c>
      <c r="C13642" s="34" t="s">
        <v>713</v>
      </c>
      <c r="E13642" s="30" t="s">
        <v>25781</v>
      </c>
      <c r="F13642" s="34" t="n">
        <f aca="false">IFERROR(VLOOKUP($A13642,'319'!$B:$H,7,0),0)</f>
        <v>1297.27</v>
      </c>
      <c r="G13642" s="34" t="n">
        <f aca="false">SUMIFS('12.326ana'!$C:$C,'12.326ana'!$M:$M,redes!A13642)</f>
        <v>0</v>
      </c>
    </row>
    <row r="13643" customFormat="false" ht="14.4" hidden="true" customHeight="false" outlineLevel="0" collapsed="false">
      <c r="A13643" s="34" t="n">
        <v>16044422000107</v>
      </c>
      <c r="B13643" s="34" t="s">
        <v>25782</v>
      </c>
      <c r="C13643" s="34" t="s">
        <v>89</v>
      </c>
      <c r="E13643" s="30" t="s">
        <v>25783</v>
      </c>
      <c r="F13643" s="34" t="n">
        <f aca="false">IFERROR(VLOOKUP($A13643,'319'!$B:$H,7,0),0)</f>
        <v>0</v>
      </c>
      <c r="G13643" s="34" t="n">
        <f aca="false">SUMIFS('12.326ana'!$C:$C,'12.326ana'!$M:$M,redes!A13643)</f>
        <v>0</v>
      </c>
    </row>
    <row r="13644" customFormat="false" ht="14.4" hidden="true" customHeight="false" outlineLevel="0" collapsed="false">
      <c r="A13644" s="34" t="n">
        <v>16044745000192</v>
      </c>
      <c r="B13644" s="34" t="s">
        <v>25784</v>
      </c>
      <c r="C13644" s="34" t="s">
        <v>764</v>
      </c>
      <c r="E13644" s="30" t="s">
        <v>25785</v>
      </c>
      <c r="F13644" s="34" t="n">
        <f aca="false">IFERROR(VLOOKUP($A13644,'319'!$B:$H,7,0),0)</f>
        <v>0</v>
      </c>
      <c r="G13644" s="34" t="n">
        <f aca="false">SUMIFS('12.326ana'!$C:$C,'12.326ana'!$M:$M,redes!A13644)</f>
        <v>0</v>
      </c>
    </row>
    <row r="13645" customFormat="false" ht="14.4" hidden="true" customHeight="false" outlineLevel="0" collapsed="false">
      <c r="A13645" s="34" t="n">
        <v>16044786000189</v>
      </c>
      <c r="B13645" s="34" t="s">
        <v>25786</v>
      </c>
      <c r="C13645" s="34" t="s">
        <v>77</v>
      </c>
      <c r="E13645" s="30" t="s">
        <v>25787</v>
      </c>
      <c r="F13645" s="34" t="n">
        <f aca="false">IFERROR(VLOOKUP($A13645,'319'!$B:$H,7,0),0)</f>
        <v>0</v>
      </c>
      <c r="G13645" s="34" t="n">
        <f aca="false">SUMIFS('12.326ana'!$C:$C,'12.326ana'!$M:$M,redes!A13645)</f>
        <v>0</v>
      </c>
    </row>
    <row r="13646" customFormat="false" ht="14.4" hidden="true" customHeight="false" outlineLevel="0" collapsed="false">
      <c r="A13646" s="34" t="n">
        <v>16044828000181</v>
      </c>
      <c r="B13646" s="34" t="s">
        <v>25788</v>
      </c>
      <c r="C13646" s="34" t="s">
        <v>7250</v>
      </c>
      <c r="E13646" s="30" t="s">
        <v>25789</v>
      </c>
      <c r="F13646" s="34" t="n">
        <f aca="false">IFERROR(VLOOKUP($A13646,'319'!$B:$H,7,0),0)</f>
        <v>0</v>
      </c>
      <c r="G13646" s="34" t="n">
        <f aca="false">SUMIFS('12.326ana'!$C:$C,'12.326ana'!$M:$M,redes!A13646)</f>
        <v>0</v>
      </c>
    </row>
    <row r="13647" customFormat="false" ht="14.4" hidden="true" customHeight="false" outlineLevel="0" collapsed="false">
      <c r="A13647" s="34" t="n">
        <v>16045015000106</v>
      </c>
      <c r="B13647" s="34" t="s">
        <v>25790</v>
      </c>
      <c r="C13647" s="34" t="s">
        <v>77</v>
      </c>
      <c r="E13647" s="30" t="s">
        <v>25791</v>
      </c>
      <c r="F13647" s="34" t="n">
        <f aca="false">IFERROR(VLOOKUP($A13647,'319'!$B:$H,7,0),0)</f>
        <v>0</v>
      </c>
      <c r="G13647" s="34" t="n">
        <f aca="false">SUMIFS('12.326ana'!$C:$C,'12.326ana'!$M:$M,redes!A13647)</f>
        <v>0</v>
      </c>
    </row>
    <row r="13648" customFormat="false" ht="14.4" hidden="true" customHeight="false" outlineLevel="0" collapsed="false">
      <c r="A13648" s="34" t="n">
        <v>16045270000159</v>
      </c>
      <c r="B13648" s="34" t="s">
        <v>25792</v>
      </c>
      <c r="C13648" s="34" t="s">
        <v>213</v>
      </c>
      <c r="E13648" s="30" t="s">
        <v>25793</v>
      </c>
      <c r="F13648" s="34" t="n">
        <f aca="false">IFERROR(VLOOKUP($A13648,'319'!$B:$H,7,0),0)</f>
        <v>0</v>
      </c>
      <c r="G13648" s="34" t="n">
        <f aca="false">SUMIFS('12.326ana'!$C:$C,'12.326ana'!$M:$M,redes!A13648)</f>
        <v>0</v>
      </c>
    </row>
    <row r="13649" customFormat="false" ht="14.4" hidden="true" customHeight="false" outlineLevel="0" collapsed="false">
      <c r="A13649" s="34" t="n">
        <v>16099205000106</v>
      </c>
      <c r="B13649" s="34" t="s">
        <v>25794</v>
      </c>
      <c r="C13649" s="34" t="s">
        <v>77</v>
      </c>
      <c r="E13649" s="30" t="s">
        <v>25795</v>
      </c>
      <c r="F13649" s="34" t="n">
        <f aca="false">IFERROR(VLOOKUP($A13649,'319'!$B:$H,7,0),0)</f>
        <v>0</v>
      </c>
      <c r="G13649" s="34" t="n">
        <f aca="false">SUMIFS('12.326ana'!$C:$C,'12.326ana'!$M:$M,redes!A13649)</f>
        <v>0</v>
      </c>
    </row>
    <row r="13650" customFormat="false" ht="14.4" hidden="true" customHeight="false" outlineLevel="0" collapsed="false">
      <c r="A13650" s="34" t="n">
        <v>16104154000163</v>
      </c>
      <c r="B13650" s="34" t="s">
        <v>25796</v>
      </c>
      <c r="C13650" s="34" t="s">
        <v>139</v>
      </c>
      <c r="E13650" s="30" t="s">
        <v>25797</v>
      </c>
      <c r="F13650" s="34" t="n">
        <f aca="false">IFERROR(VLOOKUP($A13650,'319'!$B:$H,7,0),0)</f>
        <v>0</v>
      </c>
      <c r="G13650" s="34" t="n">
        <f aca="false">SUMIFS('12.326ana'!$C:$C,'12.326ana'!$M:$M,redes!A13650)</f>
        <v>0</v>
      </c>
    </row>
    <row r="13651" customFormat="false" ht="14.4" hidden="true" customHeight="false" outlineLevel="0" collapsed="false">
      <c r="A13651" s="34" t="n">
        <v>16106208000120</v>
      </c>
      <c r="B13651" s="34" t="s">
        <v>25798</v>
      </c>
      <c r="C13651" s="34" t="s">
        <v>77</v>
      </c>
      <c r="E13651" s="30" t="s">
        <v>25799</v>
      </c>
      <c r="F13651" s="34" t="n">
        <f aca="false">IFERROR(VLOOKUP($A13651,'319'!$B:$H,7,0),0)</f>
        <v>0</v>
      </c>
      <c r="G13651" s="34" t="n">
        <f aca="false">SUMIFS('12.326ana'!$C:$C,'12.326ana'!$M:$M,redes!A13651)</f>
        <v>0</v>
      </c>
    </row>
    <row r="13652" customFormat="false" ht="14.4" hidden="true" customHeight="false" outlineLevel="0" collapsed="false">
      <c r="A13652" s="34" t="n">
        <v>16370508000111</v>
      </c>
      <c r="B13652" s="34" t="s">
        <v>25800</v>
      </c>
      <c r="C13652" s="34" t="s">
        <v>77</v>
      </c>
      <c r="E13652" s="30" t="s">
        <v>25801</v>
      </c>
      <c r="F13652" s="34" t="n">
        <f aca="false">IFERROR(VLOOKUP($A13652,'319'!$B:$H,7,0),0)</f>
        <v>0</v>
      </c>
      <c r="G13652" s="34" t="n">
        <f aca="false">SUMIFS('12.326ana'!$C:$C,'12.326ana'!$M:$M,redes!A13652)</f>
        <v>0</v>
      </c>
    </row>
    <row r="13653" customFormat="false" ht="14.4" hidden="true" customHeight="false" outlineLevel="0" collapsed="false">
      <c r="A13653" s="34" t="n">
        <v>16370508000200</v>
      </c>
      <c r="B13653" s="34" t="s">
        <v>25800</v>
      </c>
      <c r="C13653" s="34" t="s">
        <v>77</v>
      </c>
      <c r="E13653" s="30" t="s">
        <v>25801</v>
      </c>
      <c r="F13653" s="34" t="n">
        <f aca="false">IFERROR(VLOOKUP($A13653,'319'!$B:$H,7,0),0)</f>
        <v>0</v>
      </c>
      <c r="G13653" s="34" t="n">
        <f aca="false">SUMIFS('12.326ana'!$C:$C,'12.326ana'!$M:$M,redes!A13653)</f>
        <v>0</v>
      </c>
    </row>
    <row r="13654" customFormat="false" ht="14.4" hidden="true" customHeight="false" outlineLevel="0" collapsed="false">
      <c r="A13654" s="34" t="n">
        <v>16370508000464</v>
      </c>
      <c r="B13654" s="34" t="s">
        <v>25800</v>
      </c>
      <c r="C13654" s="34" t="s">
        <v>107</v>
      </c>
      <c r="E13654" s="30" t="s">
        <v>25801</v>
      </c>
      <c r="F13654" s="34" t="n">
        <f aca="false">IFERROR(VLOOKUP($A13654,'319'!$B:$H,7,0),0)</f>
        <v>0</v>
      </c>
      <c r="G13654" s="34" t="n">
        <f aca="false">SUMIFS('12.326ana'!$C:$C,'12.326ana'!$M:$M,redes!A13654)</f>
        <v>0</v>
      </c>
    </row>
    <row r="13655" customFormat="false" ht="14.4" hidden="true" customHeight="false" outlineLevel="0" collapsed="false">
      <c r="A13655" s="34" t="n">
        <v>16370508000545</v>
      </c>
      <c r="B13655" s="34" t="s">
        <v>25800</v>
      </c>
      <c r="C13655" s="34" t="s">
        <v>139</v>
      </c>
      <c r="E13655" s="30" t="s">
        <v>25801</v>
      </c>
      <c r="F13655" s="34" t="n">
        <f aca="false">IFERROR(VLOOKUP($A13655,'319'!$B:$H,7,0),0)</f>
        <v>0</v>
      </c>
      <c r="G13655" s="34" t="n">
        <f aca="false">SUMIFS('12.326ana'!$C:$C,'12.326ana'!$M:$M,redes!A13655)</f>
        <v>0</v>
      </c>
    </row>
    <row r="13656" customFormat="false" ht="14.4" hidden="true" customHeight="false" outlineLevel="0" collapsed="false">
      <c r="A13656" s="34" t="n">
        <v>16370508000626</v>
      </c>
      <c r="B13656" s="34" t="s">
        <v>25800</v>
      </c>
      <c r="C13656" s="34" t="s">
        <v>77</v>
      </c>
      <c r="E13656" s="30" t="s">
        <v>25801</v>
      </c>
      <c r="F13656" s="34" t="n">
        <f aca="false">IFERROR(VLOOKUP($A13656,'319'!$B:$H,7,0),0)</f>
        <v>0</v>
      </c>
      <c r="G13656" s="34" t="n">
        <f aca="false">SUMIFS('12.326ana'!$C:$C,'12.326ana'!$M:$M,redes!A13656)</f>
        <v>0</v>
      </c>
    </row>
    <row r="13657" customFormat="false" ht="14.4" hidden="true" customHeight="false" outlineLevel="0" collapsed="false">
      <c r="A13657" s="34" t="n">
        <v>16370508000707</v>
      </c>
      <c r="B13657" s="34" t="s">
        <v>25800</v>
      </c>
      <c r="C13657" s="34" t="s">
        <v>77</v>
      </c>
      <c r="E13657" s="30" t="s">
        <v>25801</v>
      </c>
      <c r="F13657" s="34" t="n">
        <f aca="false">IFERROR(VLOOKUP($A13657,'319'!$B:$H,7,0),0)</f>
        <v>0</v>
      </c>
      <c r="G13657" s="34" t="n">
        <f aca="false">SUMIFS('12.326ana'!$C:$C,'12.326ana'!$M:$M,redes!A13657)</f>
        <v>0</v>
      </c>
    </row>
    <row r="13658" customFormat="false" ht="14.4" hidden="true" customHeight="false" outlineLevel="0" collapsed="false">
      <c r="A13658" s="34" t="n">
        <v>16370508000898</v>
      </c>
      <c r="B13658" s="34" t="s">
        <v>25800</v>
      </c>
      <c r="C13658" s="34" t="s">
        <v>192</v>
      </c>
      <c r="E13658" s="30" t="s">
        <v>25801</v>
      </c>
      <c r="F13658" s="34" t="n">
        <f aca="false">IFERROR(VLOOKUP($A13658,'319'!$B:$H,7,0),0)</f>
        <v>0</v>
      </c>
      <c r="G13658" s="34" t="n">
        <f aca="false">SUMIFS('12.326ana'!$C:$C,'12.326ana'!$M:$M,redes!A13658)</f>
        <v>0</v>
      </c>
    </row>
    <row r="13659" customFormat="false" ht="14.4" hidden="true" customHeight="false" outlineLevel="0" collapsed="false">
      <c r="A13659" s="34" t="n">
        <v>16370508001002</v>
      </c>
      <c r="B13659" s="34" t="s">
        <v>25802</v>
      </c>
      <c r="C13659" s="34" t="s">
        <v>107</v>
      </c>
      <c r="E13659" s="30" t="s">
        <v>25801</v>
      </c>
      <c r="F13659" s="34" t="n">
        <f aca="false">IFERROR(VLOOKUP($A13659,'319'!$B:$H,7,0),0)</f>
        <v>0</v>
      </c>
      <c r="G13659" s="34" t="n">
        <f aca="false">SUMIFS('12.326ana'!$C:$C,'12.326ana'!$M:$M,redes!A13659)</f>
        <v>0</v>
      </c>
    </row>
    <row r="13660" customFormat="false" ht="14.4" hidden="true" customHeight="false" outlineLevel="0" collapsed="false">
      <c r="A13660" s="34" t="n">
        <v>16416636000159</v>
      </c>
      <c r="B13660" s="34" t="s">
        <v>25803</v>
      </c>
      <c r="C13660" s="34" t="s">
        <v>77</v>
      </c>
      <c r="E13660" s="30" t="s">
        <v>25804</v>
      </c>
      <c r="F13660" s="34" t="n">
        <f aca="false">IFERROR(VLOOKUP($A13660,'319'!$B:$H,7,0),0)</f>
        <v>0</v>
      </c>
      <c r="G13660" s="34" t="n">
        <f aca="false">SUMIFS('12.326ana'!$C:$C,'12.326ana'!$M:$M,redes!A13660)</f>
        <v>0</v>
      </c>
    </row>
    <row r="13661" customFormat="false" ht="14.4" hidden="true" customHeight="false" outlineLevel="0" collapsed="false">
      <c r="A13661" s="34" t="n">
        <v>16416696000171</v>
      </c>
      <c r="B13661" s="34" t="s">
        <v>25805</v>
      </c>
      <c r="C13661" s="34" t="s">
        <v>1272</v>
      </c>
      <c r="E13661" s="30" t="s">
        <v>25806</v>
      </c>
      <c r="F13661" s="34" t="n">
        <f aca="false">IFERROR(VLOOKUP($A13661,'319'!$B:$H,7,0),0)</f>
        <v>0</v>
      </c>
      <c r="G13661" s="34" t="n">
        <f aca="false">SUMIFS('12.326ana'!$C:$C,'12.326ana'!$M:$M,redes!A13661)</f>
        <v>0</v>
      </c>
    </row>
    <row r="13662" customFormat="false" ht="14.4" hidden="true" customHeight="false" outlineLevel="0" collapsed="false">
      <c r="A13662" s="34" t="n">
        <v>16416938000127</v>
      </c>
      <c r="B13662" s="34" t="s">
        <v>25807</v>
      </c>
      <c r="C13662" s="34" t="s">
        <v>25808</v>
      </c>
      <c r="E13662" s="30" t="s">
        <v>25809</v>
      </c>
      <c r="F13662" s="34" t="n">
        <f aca="false">IFERROR(VLOOKUP($A13662,'319'!$B:$H,7,0),0)</f>
        <v>0</v>
      </c>
      <c r="G13662" s="34" t="n">
        <f aca="false">SUMIFS('12.326ana'!$C:$C,'12.326ana'!$M:$M,redes!A13662)</f>
        <v>0</v>
      </c>
    </row>
    <row r="13663" customFormat="false" ht="14.4" hidden="true" customHeight="false" outlineLevel="0" collapsed="false">
      <c r="A13663" s="34" t="n">
        <v>16422409000136</v>
      </c>
      <c r="B13663" s="34" t="s">
        <v>25810</v>
      </c>
      <c r="C13663" s="34" t="s">
        <v>77</v>
      </c>
      <c r="E13663" s="30" t="s">
        <v>25811</v>
      </c>
      <c r="F13663" s="34" t="n">
        <f aca="false">IFERROR(VLOOKUP($A13663,'319'!$B:$H,7,0),0)</f>
        <v>0</v>
      </c>
      <c r="G13663" s="34" t="n">
        <f aca="false">SUMIFS('12.326ana'!$C:$C,'12.326ana'!$M:$M,redes!A13663)</f>
        <v>0</v>
      </c>
    </row>
    <row r="13664" customFormat="false" ht="14.4" hidden="true" customHeight="false" outlineLevel="0" collapsed="false">
      <c r="A13664" s="34" t="n">
        <v>16432797000136</v>
      </c>
      <c r="B13664" s="34" t="s">
        <v>25812</v>
      </c>
      <c r="C13664" s="34" t="s">
        <v>107</v>
      </c>
      <c r="E13664" s="30" t="s">
        <v>25813</v>
      </c>
      <c r="F13664" s="34" t="n">
        <f aca="false">IFERROR(VLOOKUP($A13664,'319'!$B:$H,7,0),0)</f>
        <v>0</v>
      </c>
      <c r="G13664" s="34" t="n">
        <f aca="false">SUMIFS('12.326ana'!$C:$C,'12.326ana'!$M:$M,redes!A13664)</f>
        <v>0</v>
      </c>
    </row>
    <row r="13665" customFormat="false" ht="14.4" hidden="true" customHeight="false" outlineLevel="0" collapsed="false">
      <c r="A13665" s="34" t="n">
        <v>16436744000193</v>
      </c>
      <c r="B13665" s="34" t="s">
        <v>25814</v>
      </c>
      <c r="C13665" s="34" t="s">
        <v>213</v>
      </c>
      <c r="E13665" s="30" t="s">
        <v>10694</v>
      </c>
      <c r="F13665" s="34" t="n">
        <f aca="false">IFERROR(VLOOKUP($A13665,'319'!$B:$H,7,0),0)</f>
        <v>346.85</v>
      </c>
      <c r="G13665" s="34" t="n">
        <f aca="false">SUMIFS('12.326ana'!$C:$C,'12.326ana'!$M:$M,redes!A13665)</f>
        <v>0</v>
      </c>
    </row>
    <row r="13666" customFormat="false" ht="14.4" hidden="true" customHeight="false" outlineLevel="0" collapsed="false">
      <c r="A13666" s="34" t="n">
        <v>16444587000168</v>
      </c>
      <c r="B13666" s="34" t="s">
        <v>25815</v>
      </c>
      <c r="C13666" s="34" t="s">
        <v>77</v>
      </c>
      <c r="E13666" s="30" t="s">
        <v>23393</v>
      </c>
      <c r="F13666" s="34" t="n">
        <f aca="false">IFERROR(VLOOKUP($A13666,'319'!$B:$H,7,0),0)</f>
        <v>0</v>
      </c>
      <c r="G13666" s="34" t="n">
        <f aca="false">SUMIFS('12.326ana'!$C:$C,'12.326ana'!$M:$M,redes!A13666)</f>
        <v>0</v>
      </c>
    </row>
    <row r="13667" customFormat="false" ht="14.4" hidden="true" customHeight="false" outlineLevel="0" collapsed="false">
      <c r="A13667" s="34" t="n">
        <v>16458518000103</v>
      </c>
      <c r="B13667" s="34" t="s">
        <v>25816</v>
      </c>
      <c r="C13667" s="34" t="s">
        <v>107</v>
      </c>
      <c r="E13667" s="30" t="s">
        <v>25816</v>
      </c>
      <c r="F13667" s="34" t="n">
        <f aca="false">IFERROR(VLOOKUP($A13667,'319'!$B:$H,7,0),0)</f>
        <v>0</v>
      </c>
      <c r="G13667" s="34" t="n">
        <f aca="false">SUMIFS('12.326ana'!$C:$C,'12.326ana'!$M:$M,redes!A13667)</f>
        <v>0</v>
      </c>
    </row>
    <row r="13668" customFormat="false" ht="14.4" hidden="true" customHeight="false" outlineLevel="0" collapsed="false">
      <c r="A13668" s="34" t="n">
        <v>16458518000294</v>
      </c>
      <c r="B13668" s="34" t="s">
        <v>25817</v>
      </c>
      <c r="C13668" s="34" t="s">
        <v>107</v>
      </c>
      <c r="E13668" s="30" t="s">
        <v>11228</v>
      </c>
      <c r="F13668" s="34" t="n">
        <f aca="false">IFERROR(VLOOKUP($A13668,'319'!$B:$H,7,0),0)</f>
        <v>89.71</v>
      </c>
      <c r="G13668" s="34" t="n">
        <f aca="false">SUMIFS('12.326ana'!$C:$C,'12.326ana'!$M:$M,redes!A13668)</f>
        <v>0</v>
      </c>
    </row>
    <row r="13669" customFormat="false" ht="14.4" hidden="true" customHeight="false" outlineLevel="0" collapsed="false">
      <c r="A13669" s="34" t="n">
        <v>16466092000130</v>
      </c>
      <c r="B13669" s="34" t="s">
        <v>25818</v>
      </c>
      <c r="C13669" s="34" t="s">
        <v>77</v>
      </c>
      <c r="E13669" s="30" t="s">
        <v>11123</v>
      </c>
      <c r="F13669" s="34" t="n">
        <f aca="false">IFERROR(VLOOKUP($A13669,'319'!$B:$H,7,0),0)</f>
        <v>0</v>
      </c>
      <c r="G13669" s="34" t="n">
        <f aca="false">SUMIFS('12.326ana'!$C:$C,'12.326ana'!$M:$M,redes!A13669)</f>
        <v>0</v>
      </c>
    </row>
    <row r="13670" customFormat="false" ht="14.4" hidden="true" customHeight="false" outlineLevel="0" collapsed="false">
      <c r="A13670" s="34" t="n">
        <v>16491154000163</v>
      </c>
      <c r="B13670" s="34" t="s">
        <v>25819</v>
      </c>
      <c r="C13670" s="34" t="s">
        <v>139</v>
      </c>
      <c r="E13670" s="30" t="s">
        <v>25820</v>
      </c>
      <c r="F13670" s="34" t="n">
        <f aca="false">IFERROR(VLOOKUP($A13670,'319'!$B:$H,7,0),0)</f>
        <v>0</v>
      </c>
      <c r="G13670" s="34" t="n">
        <f aca="false">SUMIFS('12.326ana'!$C:$C,'12.326ana'!$M:$M,redes!A13670)</f>
        <v>0</v>
      </c>
    </row>
    <row r="13671" customFormat="false" ht="14.4" hidden="true" customHeight="false" outlineLevel="0" collapsed="false">
      <c r="A13671" s="34" t="n">
        <v>16499391000170</v>
      </c>
      <c r="B13671" s="34" t="s">
        <v>1199</v>
      </c>
      <c r="C13671" s="34" t="s">
        <v>935</v>
      </c>
      <c r="E13671" s="30" t="s">
        <v>25821</v>
      </c>
      <c r="F13671" s="34" t="n">
        <f aca="false">IFERROR(VLOOKUP($A13671,'319'!$B:$H,7,0),0)</f>
        <v>339.35</v>
      </c>
      <c r="G13671" s="34" t="n">
        <f aca="false">SUMIFS('12.326ana'!$C:$C,'12.326ana'!$M:$M,redes!A13671)</f>
        <v>0</v>
      </c>
    </row>
    <row r="13672" customFormat="false" ht="14.4" hidden="true" customHeight="false" outlineLevel="0" collapsed="false">
      <c r="A13672" s="34" t="n">
        <v>16499471000126</v>
      </c>
      <c r="B13672" s="34" t="s">
        <v>25822</v>
      </c>
      <c r="C13672" s="34" t="s">
        <v>1591</v>
      </c>
      <c r="E13672" s="30" t="s">
        <v>25823</v>
      </c>
      <c r="F13672" s="34" t="n">
        <f aca="false">IFERROR(VLOOKUP($A13672,'319'!$B:$H,7,0),0)</f>
        <v>0</v>
      </c>
      <c r="G13672" s="34" t="n">
        <f aca="false">SUMIFS('12.326ana'!$C:$C,'12.326ana'!$M:$M,redes!A13672)</f>
        <v>0</v>
      </c>
    </row>
    <row r="13673" customFormat="false" ht="14.4" hidden="true" customHeight="false" outlineLevel="0" collapsed="false">
      <c r="A13673" s="34" t="n">
        <v>16500180000100</v>
      </c>
      <c r="B13673" s="34" t="s">
        <v>25824</v>
      </c>
      <c r="C13673" s="34" t="s">
        <v>77</v>
      </c>
      <c r="E13673" s="30" t="s">
        <v>25825</v>
      </c>
      <c r="F13673" s="34" t="n">
        <f aca="false">IFERROR(VLOOKUP($A13673,'319'!$B:$H,7,0),0)</f>
        <v>0</v>
      </c>
      <c r="G13673" s="34" t="n">
        <f aca="false">SUMIFS('12.326ana'!$C:$C,'12.326ana'!$M:$M,redes!A13673)</f>
        <v>0</v>
      </c>
    </row>
    <row r="13674" customFormat="false" ht="14.4" hidden="true" customHeight="false" outlineLevel="0" collapsed="false">
      <c r="A13674" s="34" t="n">
        <v>16514485000171</v>
      </c>
      <c r="B13674" s="34" t="s">
        <v>25826</v>
      </c>
      <c r="C13674" s="34" t="s">
        <v>77</v>
      </c>
      <c r="E13674" s="30" t="s">
        <v>25827</v>
      </c>
      <c r="F13674" s="34" t="n">
        <f aca="false">IFERROR(VLOOKUP($A13674,'319'!$B:$H,7,0),0)</f>
        <v>58.35</v>
      </c>
      <c r="G13674" s="34" t="n">
        <f aca="false">SUMIFS('12.326ana'!$C:$C,'12.326ana'!$M:$M,redes!A13674)</f>
        <v>0</v>
      </c>
    </row>
    <row r="13675" customFormat="false" ht="14.4" hidden="true" customHeight="false" outlineLevel="0" collapsed="false">
      <c r="A13675" s="34" t="n">
        <v>16514998000182</v>
      </c>
      <c r="B13675" s="34" t="s">
        <v>25828</v>
      </c>
      <c r="C13675" s="34" t="s">
        <v>213</v>
      </c>
      <c r="E13675" s="30" t="s">
        <v>25829</v>
      </c>
      <c r="F13675" s="34" t="n">
        <f aca="false">IFERROR(VLOOKUP($A13675,'319'!$B:$H,7,0),0)</f>
        <v>0</v>
      </c>
      <c r="G13675" s="34" t="n">
        <f aca="false">SUMIFS('12.326ana'!$C:$C,'12.326ana'!$M:$M,redes!A13675)</f>
        <v>0</v>
      </c>
    </row>
    <row r="13676" customFormat="false" ht="14.4" hidden="true" customHeight="false" outlineLevel="0" collapsed="false">
      <c r="A13676" s="34" t="n">
        <v>16515766000149</v>
      </c>
      <c r="B13676" s="34" t="s">
        <v>25830</v>
      </c>
      <c r="C13676" s="34" t="s">
        <v>1054</v>
      </c>
      <c r="E13676" s="30" t="s">
        <v>25831</v>
      </c>
      <c r="F13676" s="34" t="n">
        <f aca="false">IFERROR(VLOOKUP($A13676,'319'!$B:$H,7,0),0)</f>
        <v>0</v>
      </c>
      <c r="G13676" s="34" t="n">
        <f aca="false">SUMIFS('12.326ana'!$C:$C,'12.326ana'!$M:$M,redes!A13676)</f>
        <v>0</v>
      </c>
    </row>
    <row r="13677" customFormat="false" ht="14.4" hidden="true" customHeight="false" outlineLevel="0" collapsed="false">
      <c r="A13677" s="34" t="n">
        <v>16520029000134</v>
      </c>
      <c r="B13677" s="34" t="s">
        <v>9955</v>
      </c>
      <c r="C13677" s="34" t="s">
        <v>77</v>
      </c>
      <c r="E13677" s="30" t="s">
        <v>8477</v>
      </c>
      <c r="F13677" s="34" t="n">
        <f aca="false">IFERROR(VLOOKUP($A13677,'319'!$B:$H,7,0),0)</f>
        <v>0</v>
      </c>
      <c r="G13677" s="34" t="n">
        <f aca="false">SUMIFS('12.326ana'!$C:$C,'12.326ana'!$M:$M,redes!A13677)</f>
        <v>0</v>
      </c>
    </row>
    <row r="13678" customFormat="false" ht="14.4" hidden="true" customHeight="false" outlineLevel="0" collapsed="false">
      <c r="A13678" s="34" t="n">
        <v>16523776000126</v>
      </c>
      <c r="B13678" s="34" t="s">
        <v>10714</v>
      </c>
      <c r="C13678" s="34" t="s">
        <v>1602</v>
      </c>
      <c r="E13678" s="30" t="s">
        <v>25832</v>
      </c>
      <c r="F13678" s="34" t="n">
        <f aca="false">IFERROR(VLOOKUP($A13678,'319'!$B:$H,7,0),0)</f>
        <v>0</v>
      </c>
      <c r="G13678" s="34" t="n">
        <f aca="false">SUMIFS('12.326ana'!$C:$C,'12.326ana'!$M:$M,redes!A13678)</f>
        <v>0</v>
      </c>
    </row>
    <row r="13679" customFormat="false" ht="14.4" hidden="true" customHeight="false" outlineLevel="0" collapsed="false">
      <c r="A13679" s="34" t="n">
        <v>16528488000164</v>
      </c>
      <c r="B13679" s="34" t="s">
        <v>25833</v>
      </c>
      <c r="C13679" s="34" t="s">
        <v>77</v>
      </c>
      <c r="E13679" s="30" t="s">
        <v>25834</v>
      </c>
      <c r="F13679" s="34" t="n">
        <f aca="false">IFERROR(VLOOKUP($A13679,'319'!$B:$H,7,0),0)</f>
        <v>0</v>
      </c>
      <c r="G13679" s="34" t="n">
        <f aca="false">SUMIFS('12.326ana'!$C:$C,'12.326ana'!$M:$M,redes!A13679)</f>
        <v>0</v>
      </c>
    </row>
    <row r="13680" customFormat="false" ht="14.4" hidden="true" customHeight="false" outlineLevel="0" collapsed="false">
      <c r="A13680" s="34" t="n">
        <v>16542613000190</v>
      </c>
      <c r="B13680" s="34" t="s">
        <v>25835</v>
      </c>
      <c r="C13680" s="34" t="s">
        <v>463</v>
      </c>
      <c r="E13680" s="30" t="s">
        <v>25836</v>
      </c>
      <c r="F13680" s="34" t="n">
        <f aca="false">IFERROR(VLOOKUP($A13680,'319'!$B:$H,7,0),0)</f>
        <v>0</v>
      </c>
      <c r="G13680" s="34" t="n">
        <f aca="false">SUMIFS('12.326ana'!$C:$C,'12.326ana'!$M:$M,redes!A13680)</f>
        <v>0</v>
      </c>
    </row>
    <row r="13681" customFormat="false" ht="14.4" hidden="true" customHeight="false" outlineLevel="0" collapsed="false">
      <c r="A13681" s="34" t="n">
        <v>16558448000165</v>
      </c>
      <c r="B13681" s="34" t="s">
        <v>25837</v>
      </c>
      <c r="C13681" s="34" t="s">
        <v>77</v>
      </c>
      <c r="E13681" s="30" t="s">
        <v>25838</v>
      </c>
      <c r="F13681" s="34" t="n">
        <f aca="false">IFERROR(VLOOKUP($A13681,'319'!$B:$H,7,0),0)</f>
        <v>0</v>
      </c>
      <c r="G13681" s="34" t="n">
        <f aca="false">SUMIFS('12.326ana'!$C:$C,'12.326ana'!$M:$M,redes!A13681)</f>
        <v>0</v>
      </c>
    </row>
    <row r="13682" customFormat="false" ht="14.4" hidden="true" customHeight="false" outlineLevel="0" collapsed="false">
      <c r="A13682" s="34" t="n">
        <v>16562182000124</v>
      </c>
      <c r="B13682" s="34" t="s">
        <v>25839</v>
      </c>
      <c r="C13682" s="34" t="s">
        <v>342</v>
      </c>
      <c r="E13682" s="30" t="s">
        <v>25840</v>
      </c>
      <c r="F13682" s="34" t="n">
        <f aca="false">IFERROR(VLOOKUP($A13682,'319'!$B:$H,7,0),0)</f>
        <v>0</v>
      </c>
      <c r="G13682" s="34" t="n">
        <f aca="false">SUMIFS('12.326ana'!$C:$C,'12.326ana'!$M:$M,redes!A13682)</f>
        <v>0</v>
      </c>
    </row>
    <row r="13683" customFormat="false" ht="14.4" hidden="true" customHeight="false" outlineLevel="0" collapsed="false">
      <c r="A13683" s="34" t="n">
        <v>16569839000185</v>
      </c>
      <c r="B13683" s="34" t="s">
        <v>25841</v>
      </c>
      <c r="C13683" s="34" t="s">
        <v>12298</v>
      </c>
      <c r="E13683" s="30" t="s">
        <v>25842</v>
      </c>
      <c r="F13683" s="34" t="n">
        <f aca="false">IFERROR(VLOOKUP($A13683,'319'!$B:$H,7,0),0)</f>
        <v>0</v>
      </c>
      <c r="G13683" s="34" t="n">
        <f aca="false">SUMIFS('12.326ana'!$C:$C,'12.326ana'!$M:$M,redes!A13683)</f>
        <v>0</v>
      </c>
    </row>
    <row r="13684" customFormat="false" ht="14.4" hidden="true" customHeight="false" outlineLevel="0" collapsed="false">
      <c r="A13684" s="34" t="n">
        <v>16570049000110</v>
      </c>
      <c r="B13684" s="34" t="s">
        <v>25843</v>
      </c>
      <c r="C13684" s="34" t="s">
        <v>979</v>
      </c>
      <c r="E13684" s="30" t="s">
        <v>3337</v>
      </c>
      <c r="F13684" s="34" t="n">
        <f aca="false">IFERROR(VLOOKUP($A13684,'319'!$B:$H,7,0),0)</f>
        <v>0</v>
      </c>
      <c r="G13684" s="34" t="n">
        <f aca="false">SUMIFS('12.326ana'!$C:$C,'12.326ana'!$M:$M,redes!A13684)</f>
        <v>0</v>
      </c>
    </row>
    <row r="13685" customFormat="false" ht="14.4" hidden="true" customHeight="false" outlineLevel="0" collapsed="false">
      <c r="A13685" s="34" t="n">
        <v>16576788000119</v>
      </c>
      <c r="B13685" s="34" t="s">
        <v>25844</v>
      </c>
      <c r="C13685" s="34" t="s">
        <v>764</v>
      </c>
      <c r="E13685" s="30" t="s">
        <v>25845</v>
      </c>
      <c r="F13685" s="34" t="n">
        <f aca="false">IFERROR(VLOOKUP($A13685,'319'!$B:$H,7,0),0)</f>
        <v>0</v>
      </c>
      <c r="G13685" s="34" t="n">
        <f aca="false">SUMIFS('12.326ana'!$C:$C,'12.326ana'!$M:$M,redes!A13685)</f>
        <v>0</v>
      </c>
    </row>
    <row r="13686" customFormat="false" ht="14.4" hidden="true" customHeight="false" outlineLevel="0" collapsed="false">
      <c r="A13686" s="34" t="n">
        <v>16578136000113</v>
      </c>
      <c r="B13686" s="34" t="s">
        <v>25846</v>
      </c>
      <c r="C13686" s="34" t="s">
        <v>77</v>
      </c>
      <c r="E13686" s="30" t="s">
        <v>25847</v>
      </c>
      <c r="F13686" s="34" t="n">
        <f aca="false">IFERROR(VLOOKUP($A13686,'319'!$B:$H,7,0),0)</f>
        <v>0</v>
      </c>
      <c r="G13686" s="34" t="n">
        <f aca="false">SUMIFS('12.326ana'!$C:$C,'12.326ana'!$M:$M,redes!A13686)</f>
        <v>0</v>
      </c>
    </row>
    <row r="13687" customFormat="false" ht="14.4" hidden="true" customHeight="false" outlineLevel="0" collapsed="false">
      <c r="A13687" s="34" t="n">
        <v>16582331000117</v>
      </c>
      <c r="B13687" s="34" t="s">
        <v>25848</v>
      </c>
      <c r="C13687" s="34" t="s">
        <v>77</v>
      </c>
      <c r="E13687" s="30" t="s">
        <v>25849</v>
      </c>
      <c r="F13687" s="34" t="n">
        <f aca="false">IFERROR(VLOOKUP($A13687,'319'!$B:$H,7,0),0)</f>
        <v>0</v>
      </c>
      <c r="G13687" s="34" t="n">
        <f aca="false">SUMIFS('12.326ana'!$C:$C,'12.326ana'!$M:$M,redes!A13687)</f>
        <v>0</v>
      </c>
    </row>
    <row r="13688" customFormat="false" ht="14.4" hidden="true" customHeight="false" outlineLevel="0" collapsed="false">
      <c r="A13688" s="34" t="n">
        <v>16584661000141</v>
      </c>
      <c r="B13688" s="34" t="s">
        <v>25850</v>
      </c>
      <c r="C13688" s="34" t="s">
        <v>89</v>
      </c>
      <c r="E13688" s="30" t="s">
        <v>4010</v>
      </c>
      <c r="F13688" s="34" t="n">
        <f aca="false">IFERROR(VLOOKUP($A13688,'319'!$B:$H,7,0),0)</f>
        <v>0</v>
      </c>
      <c r="G13688" s="34" t="n">
        <f aca="false">SUMIFS('12.326ana'!$C:$C,'12.326ana'!$M:$M,redes!A13688)</f>
        <v>0</v>
      </c>
    </row>
    <row r="13689" customFormat="false" ht="14.4" hidden="true" customHeight="false" outlineLevel="0" collapsed="false">
      <c r="A13689" s="34" t="n">
        <v>16586387000140</v>
      </c>
      <c r="B13689" s="34" t="s">
        <v>25851</v>
      </c>
      <c r="C13689" s="34" t="s">
        <v>197</v>
      </c>
      <c r="E13689" s="30" t="s">
        <v>4154</v>
      </c>
      <c r="F13689" s="34" t="n">
        <f aca="false">IFERROR(VLOOKUP($A13689,'319'!$B:$H,7,0),0)</f>
        <v>0</v>
      </c>
      <c r="G13689" s="34" t="n">
        <f aca="false">SUMIFS('12.326ana'!$C:$C,'12.326ana'!$M:$M,redes!A13689)</f>
        <v>0</v>
      </c>
    </row>
    <row r="13690" customFormat="false" ht="14.4" hidden="true" customHeight="false" outlineLevel="0" collapsed="false">
      <c r="A13690" s="34" t="n">
        <v>16586982000185</v>
      </c>
      <c r="B13690" s="34" t="s">
        <v>25852</v>
      </c>
      <c r="C13690" s="34" t="s">
        <v>7250</v>
      </c>
      <c r="E13690" s="30" t="s">
        <v>25853</v>
      </c>
      <c r="F13690" s="34" t="n">
        <f aca="false">IFERROR(VLOOKUP($A13690,'319'!$B:$H,7,0),0)</f>
        <v>0</v>
      </c>
      <c r="G13690" s="34" t="n">
        <f aca="false">SUMIFS('12.326ana'!$C:$C,'12.326ana'!$M:$M,redes!A13690)</f>
        <v>0</v>
      </c>
    </row>
    <row r="13691" customFormat="false" ht="14.4" hidden="true" customHeight="false" outlineLevel="0" collapsed="false">
      <c r="A13691" s="34" t="n">
        <v>16587187000101</v>
      </c>
      <c r="B13691" s="34" t="s">
        <v>25854</v>
      </c>
      <c r="C13691" s="34" t="s">
        <v>77</v>
      </c>
      <c r="E13691" s="30" t="s">
        <v>25854</v>
      </c>
      <c r="F13691" s="34" t="n">
        <f aca="false">IFERROR(VLOOKUP($A13691,'319'!$B:$H,7,0),0)</f>
        <v>0</v>
      </c>
      <c r="G13691" s="34" t="n">
        <f aca="false">SUMIFS('12.326ana'!$C:$C,'12.326ana'!$M:$M,redes!A13691)</f>
        <v>0</v>
      </c>
    </row>
    <row r="13692" customFormat="false" ht="14.4" hidden="true" customHeight="false" outlineLevel="0" collapsed="false">
      <c r="A13692" s="34" t="n">
        <v>16594589000133</v>
      </c>
      <c r="B13692" s="34" t="s">
        <v>25855</v>
      </c>
      <c r="C13692" s="34" t="s">
        <v>89</v>
      </c>
      <c r="D13692" s="34" t="s">
        <v>22291</v>
      </c>
      <c r="E13692" s="30" t="s">
        <v>25856</v>
      </c>
      <c r="F13692" s="34" t="n">
        <f aca="false">IFERROR(VLOOKUP($A13692,'319'!$B:$H,7,0),0)</f>
        <v>0</v>
      </c>
      <c r="G13692" s="34" t="n">
        <f aca="false">SUMIFS('12.326ana'!$C:$C,'12.326ana'!$M:$M,redes!A13692)</f>
        <v>0</v>
      </c>
    </row>
    <row r="13693" customFormat="false" ht="14.4" hidden="true" customHeight="false" outlineLevel="0" collapsed="false">
      <c r="A13693" s="34" t="n">
        <v>16596953000102</v>
      </c>
      <c r="B13693" s="34" t="s">
        <v>25857</v>
      </c>
      <c r="C13693" s="34" t="s">
        <v>594</v>
      </c>
      <c r="E13693" s="30" t="s">
        <v>25858</v>
      </c>
      <c r="F13693" s="34" t="n">
        <f aca="false">IFERROR(VLOOKUP($A13693,'319'!$B:$H,7,0),0)</f>
        <v>0</v>
      </c>
      <c r="G13693" s="34" t="n">
        <f aca="false">SUMIFS('12.326ana'!$C:$C,'12.326ana'!$M:$M,redes!A13693)</f>
        <v>0</v>
      </c>
    </row>
    <row r="13694" customFormat="false" ht="14.4" hidden="true" customHeight="false" outlineLevel="0" collapsed="false">
      <c r="A13694" s="34" t="n">
        <v>16602988000107</v>
      </c>
      <c r="B13694" s="34" t="s">
        <v>25859</v>
      </c>
      <c r="C13694" s="34" t="s">
        <v>77</v>
      </c>
      <c r="E13694" s="30" t="s">
        <v>21670</v>
      </c>
      <c r="F13694" s="34" t="n">
        <f aca="false">IFERROR(VLOOKUP($A13694,'319'!$B:$H,7,0),0)</f>
        <v>0</v>
      </c>
      <c r="G13694" s="34" t="n">
        <f aca="false">SUMIFS('12.326ana'!$C:$C,'12.326ana'!$M:$M,redes!A13694)</f>
        <v>0</v>
      </c>
    </row>
    <row r="13695" customFormat="false" ht="14.4" hidden="true" customHeight="false" outlineLevel="0" collapsed="false">
      <c r="A13695" s="34" t="n">
        <v>16605155000191</v>
      </c>
      <c r="B13695" s="34" t="s">
        <v>1161</v>
      </c>
      <c r="C13695" s="34" t="s">
        <v>604</v>
      </c>
      <c r="E13695" s="30" t="s">
        <v>9472</v>
      </c>
      <c r="F13695" s="34" t="n">
        <f aca="false">IFERROR(VLOOKUP($A13695,'319'!$B:$H,7,0),0)</f>
        <v>418.64</v>
      </c>
      <c r="G13695" s="34" t="n">
        <f aca="false">SUMIFS('12.326ana'!$C:$C,'12.326ana'!$M:$M,redes!A13695)</f>
        <v>0</v>
      </c>
    </row>
    <row r="13696" customFormat="false" ht="14.4" hidden="true" customHeight="false" outlineLevel="0" collapsed="false">
      <c r="A13696" s="34" t="n">
        <v>16605389000139</v>
      </c>
      <c r="B13696" s="34" t="s">
        <v>25860</v>
      </c>
      <c r="C13696" s="34" t="s">
        <v>139</v>
      </c>
      <c r="E13696" s="30" t="s">
        <v>25861</v>
      </c>
      <c r="F13696" s="34" t="n">
        <f aca="false">IFERROR(VLOOKUP($A13696,'319'!$B:$H,7,0),0)</f>
        <v>0</v>
      </c>
      <c r="G13696" s="34" t="n">
        <f aca="false">SUMIFS('12.326ana'!$C:$C,'12.326ana'!$M:$M,redes!A13696)</f>
        <v>0</v>
      </c>
    </row>
    <row r="13697" customFormat="false" ht="14.4" hidden="true" customHeight="false" outlineLevel="0" collapsed="false">
      <c r="A13697" s="34" t="n">
        <v>16605389000210</v>
      </c>
      <c r="B13697" s="34" t="s">
        <v>25862</v>
      </c>
      <c r="C13697" s="34" t="s">
        <v>139</v>
      </c>
      <c r="E13697" s="30" t="s">
        <v>25861</v>
      </c>
      <c r="F13697" s="34" t="n">
        <f aca="false">IFERROR(VLOOKUP($A13697,'319'!$B:$H,7,0),0)</f>
        <v>2034.41</v>
      </c>
      <c r="G13697" s="34" t="n">
        <f aca="false">SUMIFS('12.326ana'!$C:$C,'12.326ana'!$M:$M,redes!A13697)</f>
        <v>0</v>
      </c>
    </row>
    <row r="13698" customFormat="false" ht="14.4" hidden="true" customHeight="false" outlineLevel="0" collapsed="false">
      <c r="A13698" s="34" t="n">
        <v>16605431000111</v>
      </c>
      <c r="B13698" s="34" t="s">
        <v>25863</v>
      </c>
      <c r="C13698" s="34" t="s">
        <v>77</v>
      </c>
      <c r="E13698" s="30" t="s">
        <v>25864</v>
      </c>
      <c r="F13698" s="34" t="n">
        <f aca="false">IFERROR(VLOOKUP($A13698,'319'!$B:$H,7,0),0)</f>
        <v>0</v>
      </c>
      <c r="G13698" s="34" t="n">
        <f aca="false">SUMIFS('12.326ana'!$C:$C,'12.326ana'!$M:$M,redes!A13698)</f>
        <v>0</v>
      </c>
    </row>
    <row r="13699" customFormat="false" ht="14.4" hidden="true" customHeight="false" outlineLevel="0" collapsed="false">
      <c r="A13699" s="34" t="n">
        <v>16606364000150</v>
      </c>
      <c r="B13699" s="34" t="s">
        <v>10247</v>
      </c>
      <c r="C13699" s="34" t="s">
        <v>309</v>
      </c>
      <c r="E13699" s="30" t="s">
        <v>10247</v>
      </c>
      <c r="F13699" s="34" t="n">
        <f aca="false">IFERROR(VLOOKUP($A13699,'319'!$B:$H,7,0),0)</f>
        <v>0</v>
      </c>
      <c r="G13699" s="34" t="n">
        <f aca="false">SUMIFS('12.326ana'!$C:$C,'12.326ana'!$M:$M,redes!A13699)</f>
        <v>0</v>
      </c>
    </row>
    <row r="13700" customFormat="false" ht="14.4" hidden="true" customHeight="false" outlineLevel="0" collapsed="false">
      <c r="A13700" s="34" t="n">
        <v>16619779000168</v>
      </c>
      <c r="B13700" s="34" t="s">
        <v>25865</v>
      </c>
      <c r="C13700" s="34" t="s">
        <v>77</v>
      </c>
      <c r="D13700" s="34" t="s">
        <v>14249</v>
      </c>
      <c r="E13700" s="30" t="s">
        <v>25866</v>
      </c>
      <c r="F13700" s="34" t="n">
        <f aca="false">IFERROR(VLOOKUP($A13700,'319'!$B:$H,7,0),0)</f>
        <v>0</v>
      </c>
      <c r="G13700" s="34" t="n">
        <f aca="false">SUMIFS('12.326ana'!$C:$C,'12.326ana'!$M:$M,redes!A13700)</f>
        <v>0</v>
      </c>
    </row>
    <row r="13701" customFormat="false" ht="14.4" hidden="true" customHeight="false" outlineLevel="0" collapsed="false">
      <c r="A13701" s="34" t="n">
        <v>16625176000179</v>
      </c>
      <c r="B13701" s="34" t="s">
        <v>25867</v>
      </c>
      <c r="C13701" s="34" t="s">
        <v>357</v>
      </c>
      <c r="E13701" s="30" t="s">
        <v>25868</v>
      </c>
      <c r="F13701" s="34" t="n">
        <f aca="false">IFERROR(VLOOKUP($A13701,'319'!$B:$H,7,0),0)</f>
        <v>0</v>
      </c>
      <c r="G13701" s="34" t="n">
        <f aca="false">SUMIFS('12.326ana'!$C:$C,'12.326ana'!$M:$M,redes!A13701)</f>
        <v>0</v>
      </c>
    </row>
    <row r="13702" customFormat="false" ht="14.4" hidden="true" customHeight="false" outlineLevel="0" collapsed="false">
      <c r="A13702" s="34" t="n">
        <v>16625427000115</v>
      </c>
      <c r="B13702" s="34" t="s">
        <v>25869</v>
      </c>
      <c r="C13702" s="34" t="s">
        <v>631</v>
      </c>
      <c r="E13702" s="30" t="s">
        <v>25870</v>
      </c>
      <c r="F13702" s="34" t="n">
        <f aca="false">IFERROR(VLOOKUP($A13702,'319'!$B:$H,7,0),0)</f>
        <v>0</v>
      </c>
      <c r="G13702" s="34" t="n">
        <f aca="false">SUMIFS('12.326ana'!$C:$C,'12.326ana'!$M:$M,redes!A13702)</f>
        <v>0</v>
      </c>
    </row>
    <row r="13703" customFormat="false" ht="14.4" hidden="true" customHeight="false" outlineLevel="0" collapsed="false">
      <c r="A13703" s="34" t="n">
        <v>16630369000118</v>
      </c>
      <c r="B13703" s="34" t="s">
        <v>25871</v>
      </c>
      <c r="C13703" s="34" t="s">
        <v>7250</v>
      </c>
      <c r="E13703" s="30" t="s">
        <v>23069</v>
      </c>
      <c r="F13703" s="34" t="n">
        <f aca="false">IFERROR(VLOOKUP($A13703,'319'!$B:$H,7,0),0)</f>
        <v>0</v>
      </c>
      <c r="G13703" s="34" t="n">
        <f aca="false">SUMIFS('12.326ana'!$C:$C,'12.326ana'!$M:$M,redes!A13703)</f>
        <v>0</v>
      </c>
    </row>
    <row r="13704" customFormat="false" ht="14.4" hidden="true" customHeight="false" outlineLevel="0" collapsed="false">
      <c r="A13704" s="34" t="n">
        <v>16630870000184</v>
      </c>
      <c r="B13704" s="34" t="s">
        <v>25872</v>
      </c>
      <c r="C13704" s="34" t="s">
        <v>809</v>
      </c>
      <c r="E13704" s="30" t="s">
        <v>25873</v>
      </c>
      <c r="F13704" s="34" t="n">
        <f aca="false">IFERROR(VLOOKUP($A13704,'319'!$B:$H,7,0),0)</f>
        <v>0</v>
      </c>
      <c r="G13704" s="34" t="n">
        <f aca="false">SUMIFS('12.326ana'!$C:$C,'12.326ana'!$M:$M,redes!A13704)</f>
        <v>0</v>
      </c>
    </row>
    <row r="13705" customFormat="false" ht="14.4" hidden="true" customHeight="false" outlineLevel="0" collapsed="false">
      <c r="A13705" s="34" t="n">
        <v>16633466000164</v>
      </c>
      <c r="B13705" s="34" t="s">
        <v>25874</v>
      </c>
      <c r="C13705" s="34" t="s">
        <v>77</v>
      </c>
      <c r="E13705" s="30" t="s">
        <v>25874</v>
      </c>
      <c r="F13705" s="34" t="n">
        <f aca="false">IFERROR(VLOOKUP($A13705,'319'!$B:$H,7,0),0)</f>
        <v>1006.49</v>
      </c>
      <c r="G13705" s="34" t="n">
        <f aca="false">SUMIFS('12.326ana'!$C:$C,'12.326ana'!$M:$M,redes!A13705)</f>
        <v>0</v>
      </c>
    </row>
    <row r="13706" customFormat="false" ht="14.4" hidden="true" customHeight="false" outlineLevel="0" collapsed="false">
      <c r="A13706" s="34" t="n">
        <v>16638149000130</v>
      </c>
      <c r="B13706" s="34" t="s">
        <v>25875</v>
      </c>
      <c r="C13706" s="34" t="s">
        <v>631</v>
      </c>
      <c r="E13706" s="30" t="s">
        <v>25876</v>
      </c>
      <c r="F13706" s="34" t="n">
        <f aca="false">IFERROR(VLOOKUP($A13706,'319'!$B:$H,7,0),0)</f>
        <v>0</v>
      </c>
      <c r="G13706" s="34" t="n">
        <f aca="false">SUMIFS('12.326ana'!$C:$C,'12.326ana'!$M:$M,redes!A13706)</f>
        <v>0</v>
      </c>
    </row>
    <row r="13707" customFormat="false" ht="14.4" hidden="true" customHeight="false" outlineLevel="0" collapsed="false">
      <c r="A13707" s="34" t="n">
        <v>16640817000164</v>
      </c>
      <c r="B13707" s="34" t="s">
        <v>25877</v>
      </c>
      <c r="C13707" s="34" t="s">
        <v>107</v>
      </c>
      <c r="E13707" s="30" t="s">
        <v>25878</v>
      </c>
      <c r="F13707" s="34" t="n">
        <f aca="false">IFERROR(VLOOKUP($A13707,'319'!$B:$H,7,0),0)</f>
        <v>0</v>
      </c>
      <c r="G13707" s="34" t="n">
        <f aca="false">SUMIFS('12.326ana'!$C:$C,'12.326ana'!$M:$M,redes!A13707)</f>
        <v>0</v>
      </c>
    </row>
    <row r="13708" customFormat="false" ht="14.4" hidden="true" customHeight="false" outlineLevel="0" collapsed="false">
      <c r="A13708" s="34" t="n">
        <v>16642765000165</v>
      </c>
      <c r="B13708" s="34" t="s">
        <v>25879</v>
      </c>
      <c r="C13708" s="34" t="s">
        <v>117</v>
      </c>
      <c r="E13708" s="30" t="s">
        <v>25880</v>
      </c>
      <c r="F13708" s="34" t="n">
        <f aca="false">IFERROR(VLOOKUP($A13708,'319'!$B:$H,7,0),0)</f>
        <v>0</v>
      </c>
      <c r="G13708" s="34" t="n">
        <f aca="false">SUMIFS('12.326ana'!$C:$C,'12.326ana'!$M:$M,redes!A13708)</f>
        <v>0</v>
      </c>
    </row>
    <row r="13709" customFormat="false" ht="14.4" hidden="true" customHeight="false" outlineLevel="0" collapsed="false">
      <c r="A13709" s="34" t="n">
        <v>16643198000161</v>
      </c>
      <c r="B13709" s="34" t="s">
        <v>25881</v>
      </c>
      <c r="C13709" s="34" t="s">
        <v>139</v>
      </c>
      <c r="E13709" s="30" t="s">
        <v>25882</v>
      </c>
      <c r="F13709" s="34" t="n">
        <f aca="false">IFERROR(VLOOKUP($A13709,'319'!$B:$H,7,0),0)</f>
        <v>0</v>
      </c>
      <c r="G13709" s="34" t="n">
        <f aca="false">SUMIFS('12.326ana'!$C:$C,'12.326ana'!$M:$M,redes!A13709)</f>
        <v>0</v>
      </c>
    </row>
    <row r="13710" customFormat="false" ht="14.4" hidden="true" customHeight="false" outlineLevel="0" collapsed="false">
      <c r="A13710" s="34" t="n">
        <v>16652651000104</v>
      </c>
      <c r="B13710" s="34" t="s">
        <v>1521</v>
      </c>
      <c r="C13710" s="34" t="s">
        <v>336</v>
      </c>
      <c r="E13710" s="30" t="s">
        <v>3182</v>
      </c>
      <c r="F13710" s="34" t="n">
        <f aca="false">IFERROR(VLOOKUP($A13710,'319'!$B:$H,7,0),0)</f>
        <v>128.32</v>
      </c>
      <c r="G13710" s="34" t="n">
        <f aca="false">SUMIFS('12.326ana'!$C:$C,'12.326ana'!$M:$M,redes!A13710)</f>
        <v>0</v>
      </c>
    </row>
    <row r="13711" customFormat="false" ht="14.4" hidden="true" customHeight="false" outlineLevel="0" collapsed="false">
      <c r="A13711" s="34" t="n">
        <v>16676840000109</v>
      </c>
      <c r="B13711" s="34" t="s">
        <v>25883</v>
      </c>
      <c r="C13711" s="34" t="s">
        <v>309</v>
      </c>
      <c r="E13711" s="30" t="s">
        <v>25884</v>
      </c>
      <c r="F13711" s="34" t="n">
        <f aca="false">IFERROR(VLOOKUP($A13711,'319'!$B:$H,7,0),0)</f>
        <v>0</v>
      </c>
      <c r="G13711" s="34" t="n">
        <f aca="false">SUMIFS('12.326ana'!$C:$C,'12.326ana'!$M:$M,redes!A13711)</f>
        <v>0</v>
      </c>
    </row>
    <row r="13712" customFormat="false" ht="14.4" hidden="true" customHeight="false" outlineLevel="0" collapsed="false">
      <c r="A13712" s="34" t="n">
        <v>16679324000138</v>
      </c>
      <c r="B13712" s="34" t="s">
        <v>25885</v>
      </c>
      <c r="C13712" s="34" t="s">
        <v>77</v>
      </c>
      <c r="E13712" s="30" t="s">
        <v>25886</v>
      </c>
      <c r="F13712" s="34" t="n">
        <f aca="false">IFERROR(VLOOKUP($A13712,'319'!$B:$H,7,0),0)</f>
        <v>0</v>
      </c>
      <c r="G13712" s="34" t="n">
        <f aca="false">SUMIFS('12.326ana'!$C:$C,'12.326ana'!$M:$M,redes!A13712)</f>
        <v>0</v>
      </c>
    </row>
    <row r="13713" customFormat="false" ht="14.4" hidden="true" customHeight="false" outlineLevel="0" collapsed="false">
      <c r="A13713" s="34" t="n">
        <v>16685452000194</v>
      </c>
      <c r="B13713" s="34" t="s">
        <v>25887</v>
      </c>
      <c r="C13713" s="34" t="s">
        <v>594</v>
      </c>
      <c r="E13713" s="30" t="s">
        <v>25888</v>
      </c>
      <c r="F13713" s="34" t="n">
        <f aca="false">IFERROR(VLOOKUP($A13713,'319'!$B:$H,7,0),0)</f>
        <v>0</v>
      </c>
      <c r="G13713" s="34" t="n">
        <f aca="false">SUMIFS('12.326ana'!$C:$C,'12.326ana'!$M:$M,redes!A13713)</f>
        <v>0</v>
      </c>
    </row>
    <row r="13714" customFormat="false" ht="14.4" hidden="true" customHeight="false" outlineLevel="0" collapsed="false">
      <c r="A13714" s="34" t="n">
        <v>16688862000199</v>
      </c>
      <c r="B13714" s="34" t="s">
        <v>25889</v>
      </c>
      <c r="C13714" s="34" t="s">
        <v>77</v>
      </c>
      <c r="E13714" s="30" t="s">
        <v>25889</v>
      </c>
      <c r="F13714" s="34" t="n">
        <f aca="false">IFERROR(VLOOKUP($A13714,'319'!$B:$H,7,0),0)</f>
        <v>0</v>
      </c>
      <c r="G13714" s="34" t="n">
        <f aca="false">SUMIFS('12.326ana'!$C:$C,'12.326ana'!$M:$M,redes!A13714)</f>
        <v>0</v>
      </c>
    </row>
    <row r="13715" customFormat="false" ht="14.4" hidden="true" customHeight="false" outlineLevel="0" collapsed="false">
      <c r="A13715" s="34" t="n">
        <v>16706419000101</v>
      </c>
      <c r="B13715" s="34" t="s">
        <v>25890</v>
      </c>
      <c r="C13715" s="34" t="s">
        <v>77</v>
      </c>
      <c r="E13715" s="30" t="s">
        <v>25891</v>
      </c>
      <c r="F13715" s="34" t="n">
        <f aca="false">IFERROR(VLOOKUP($A13715,'319'!$B:$H,7,0),0)</f>
        <v>0</v>
      </c>
      <c r="G13715" s="34" t="n">
        <f aca="false">SUMIFS('12.326ana'!$C:$C,'12.326ana'!$M:$M,redes!A13715)</f>
        <v>0</v>
      </c>
    </row>
    <row r="13716" customFormat="false" ht="14.4" hidden="true" customHeight="false" outlineLevel="0" collapsed="false">
      <c r="A13716" s="34" t="n">
        <v>16708801000146</v>
      </c>
      <c r="B13716" s="34" t="s">
        <v>25892</v>
      </c>
      <c r="C13716" s="34" t="s">
        <v>979</v>
      </c>
      <c r="E13716" s="30" t="s">
        <v>25893</v>
      </c>
      <c r="F13716" s="34" t="n">
        <f aca="false">IFERROR(VLOOKUP($A13716,'319'!$B:$H,7,0),0)</f>
        <v>0</v>
      </c>
      <c r="G13716" s="34" t="n">
        <f aca="false">SUMIFS('12.326ana'!$C:$C,'12.326ana'!$M:$M,redes!A13716)</f>
        <v>0</v>
      </c>
    </row>
    <row r="13717" customFormat="false" ht="14.4" hidden="true" customHeight="false" outlineLevel="0" collapsed="false">
      <c r="A13717" s="34" t="n">
        <v>16714624000100</v>
      </c>
      <c r="B13717" s="34" t="s">
        <v>25894</v>
      </c>
      <c r="C13717" s="34" t="s">
        <v>192</v>
      </c>
      <c r="E13717" s="30" t="s">
        <v>25895</v>
      </c>
      <c r="F13717" s="34" t="n">
        <f aca="false">IFERROR(VLOOKUP($A13717,'319'!$B:$H,7,0),0)</f>
        <v>0</v>
      </c>
      <c r="G13717" s="34" t="n">
        <f aca="false">SUMIFS('12.326ana'!$C:$C,'12.326ana'!$M:$M,redes!A13717)</f>
        <v>0</v>
      </c>
    </row>
    <row r="13718" customFormat="false" ht="14.4" hidden="true" customHeight="false" outlineLevel="0" collapsed="false">
      <c r="A13718" s="34" t="n">
        <v>16714715000146</v>
      </c>
      <c r="B13718" s="34" t="s">
        <v>25896</v>
      </c>
      <c r="C13718" s="34" t="s">
        <v>77</v>
      </c>
      <c r="E13718" s="30" t="s">
        <v>25897</v>
      </c>
      <c r="F13718" s="34" t="n">
        <f aca="false">IFERROR(VLOOKUP($A13718,'319'!$B:$H,7,0),0)</f>
        <v>0</v>
      </c>
      <c r="G13718" s="34" t="n">
        <f aca="false">SUMIFS('12.326ana'!$C:$C,'12.326ana'!$M:$M,redes!A13718)</f>
        <v>0</v>
      </c>
    </row>
    <row r="13719" customFormat="false" ht="14.4" hidden="true" customHeight="false" outlineLevel="0" collapsed="false">
      <c r="A13719" s="34" t="n">
        <v>16737366000188</v>
      </c>
      <c r="B13719" s="34" t="s">
        <v>25898</v>
      </c>
      <c r="C13719" s="34" t="s">
        <v>77</v>
      </c>
      <c r="E13719" s="30" t="s">
        <v>25898</v>
      </c>
      <c r="F13719" s="34" t="n">
        <f aca="false">IFERROR(VLOOKUP($A13719,'319'!$B:$H,7,0),0)</f>
        <v>0</v>
      </c>
      <c r="G13719" s="34" t="n">
        <f aca="false">SUMIFS('12.326ana'!$C:$C,'12.326ana'!$M:$M,redes!A13719)</f>
        <v>0</v>
      </c>
    </row>
    <row r="13720" customFormat="false" ht="14.4" hidden="true" customHeight="false" outlineLevel="0" collapsed="false">
      <c r="A13720" s="34" t="n">
        <v>16749880000133</v>
      </c>
      <c r="B13720" s="34" t="s">
        <v>25899</v>
      </c>
      <c r="C13720" s="34" t="s">
        <v>77</v>
      </c>
      <c r="E13720" s="30" t="s">
        <v>25900</v>
      </c>
      <c r="F13720" s="34" t="n">
        <f aca="false">IFERROR(VLOOKUP($A13720,'319'!$B:$H,7,0),0)</f>
        <v>0</v>
      </c>
      <c r="G13720" s="34" t="n">
        <f aca="false">SUMIFS('12.326ana'!$C:$C,'12.326ana'!$M:$M,redes!A13720)</f>
        <v>0</v>
      </c>
    </row>
    <row r="13721" customFormat="false" ht="14.4" hidden="true" customHeight="false" outlineLevel="0" collapsed="false">
      <c r="A13721" s="34" t="n">
        <v>16750269000125</v>
      </c>
      <c r="B13721" s="34" t="s">
        <v>25901</v>
      </c>
      <c r="C13721" s="34" t="s">
        <v>77</v>
      </c>
      <c r="E13721" s="30" t="s">
        <v>25902</v>
      </c>
      <c r="F13721" s="34" t="n">
        <f aca="false">IFERROR(VLOOKUP($A13721,'319'!$B:$H,7,0),0)</f>
        <v>0</v>
      </c>
      <c r="G13721" s="34" t="n">
        <f aca="false">SUMIFS('12.326ana'!$C:$C,'12.326ana'!$M:$M,redes!A13721)</f>
        <v>0</v>
      </c>
    </row>
    <row r="13722" customFormat="false" ht="14.4" hidden="true" customHeight="false" outlineLevel="0" collapsed="false">
      <c r="A13722" s="34" t="n">
        <v>16750985000102</v>
      </c>
      <c r="B13722" s="34" t="s">
        <v>25903</v>
      </c>
      <c r="C13722" s="34" t="s">
        <v>103</v>
      </c>
      <c r="E13722" s="30" t="s">
        <v>8370</v>
      </c>
      <c r="F13722" s="34" t="n">
        <f aca="false">IFERROR(VLOOKUP($A13722,'319'!$B:$H,7,0),0)</f>
        <v>0</v>
      </c>
      <c r="G13722" s="34" t="n">
        <f aca="false">SUMIFS('12.326ana'!$C:$C,'12.326ana'!$M:$M,redes!A13722)</f>
        <v>0</v>
      </c>
    </row>
    <row r="13723" customFormat="false" ht="14.4" hidden="true" customHeight="false" outlineLevel="0" collapsed="false">
      <c r="A13723" s="34" t="n">
        <v>16755135000105</v>
      </c>
      <c r="B13723" s="34" t="s">
        <v>25904</v>
      </c>
      <c r="C13723" s="34" t="s">
        <v>77</v>
      </c>
      <c r="E13723" s="30" t="s">
        <v>25905</v>
      </c>
      <c r="F13723" s="34" t="n">
        <f aca="false">IFERROR(VLOOKUP($A13723,'319'!$B:$H,7,0),0)</f>
        <v>0</v>
      </c>
      <c r="G13723" s="34" t="n">
        <f aca="false">SUMIFS('12.326ana'!$C:$C,'12.326ana'!$M:$M,redes!A13723)</f>
        <v>0</v>
      </c>
    </row>
    <row r="13724" customFormat="false" ht="14.4" hidden="true" customHeight="false" outlineLevel="0" collapsed="false">
      <c r="A13724" s="34" t="n">
        <v>16755896000159</v>
      </c>
      <c r="B13724" s="34" t="s">
        <v>25906</v>
      </c>
      <c r="C13724" s="34" t="s">
        <v>107</v>
      </c>
      <c r="E13724" s="30" t="s">
        <v>25907</v>
      </c>
      <c r="F13724" s="34" t="n">
        <f aca="false">IFERROR(VLOOKUP($A13724,'319'!$B:$H,7,0),0)</f>
        <v>0</v>
      </c>
      <c r="G13724" s="34" t="n">
        <f aca="false">SUMIFS('12.326ana'!$C:$C,'12.326ana'!$M:$M,redes!A13724)</f>
        <v>0</v>
      </c>
    </row>
    <row r="13725" customFormat="false" ht="14.4" hidden="true" customHeight="false" outlineLevel="0" collapsed="false">
      <c r="A13725" s="34" t="n">
        <v>16766116000176</v>
      </c>
      <c r="B13725" s="34" t="s">
        <v>25908</v>
      </c>
      <c r="C13725" s="34" t="s">
        <v>77</v>
      </c>
      <c r="E13725" s="30" t="s">
        <v>25909</v>
      </c>
      <c r="F13725" s="34" t="n">
        <f aca="false">IFERROR(VLOOKUP($A13725,'319'!$B:$H,7,0),0)</f>
        <v>0</v>
      </c>
      <c r="G13725" s="34" t="n">
        <f aca="false">SUMIFS('12.326ana'!$C:$C,'12.326ana'!$M:$M,redes!A13725)</f>
        <v>0</v>
      </c>
    </row>
    <row r="13726" customFormat="false" ht="14.4" hidden="true" customHeight="false" outlineLevel="0" collapsed="false">
      <c r="A13726" s="34" t="n">
        <v>16779620000100</v>
      </c>
      <c r="B13726" s="34" t="s">
        <v>25910</v>
      </c>
      <c r="C13726" s="34" t="s">
        <v>475</v>
      </c>
      <c r="E13726" s="30" t="s">
        <v>25911</v>
      </c>
      <c r="F13726" s="34" t="n">
        <f aca="false">IFERROR(VLOOKUP($A13726,'319'!$B:$H,7,0),0)</f>
        <v>0</v>
      </c>
      <c r="G13726" s="34" t="n">
        <f aca="false">SUMIFS('12.326ana'!$C:$C,'12.326ana'!$M:$M,redes!A13726)</f>
        <v>0</v>
      </c>
    </row>
    <row r="13727" customFormat="false" ht="14.4" hidden="true" customHeight="false" outlineLevel="0" collapsed="false">
      <c r="A13727" s="34" t="n">
        <v>16781124000191</v>
      </c>
      <c r="B13727" s="34" t="s">
        <v>25912</v>
      </c>
      <c r="C13727" s="34" t="s">
        <v>77</v>
      </c>
      <c r="E13727" s="30" t="s">
        <v>25913</v>
      </c>
      <c r="F13727" s="34" t="n">
        <f aca="false">IFERROR(VLOOKUP($A13727,'319'!$B:$H,7,0),0)</f>
        <v>0</v>
      </c>
      <c r="G13727" s="34" t="n">
        <f aca="false">SUMIFS('12.326ana'!$C:$C,'12.326ana'!$M:$M,redes!A13727)</f>
        <v>0</v>
      </c>
    </row>
    <row r="13728" customFormat="false" ht="14.4" hidden="true" customHeight="false" outlineLevel="0" collapsed="false">
      <c r="A13728" s="34" t="n">
        <v>16790212000150</v>
      </c>
      <c r="B13728" s="34" t="s">
        <v>25914</v>
      </c>
      <c r="C13728" s="34" t="s">
        <v>77</v>
      </c>
      <c r="E13728" s="30" t="s">
        <v>3045</v>
      </c>
      <c r="F13728" s="34" t="n">
        <f aca="false">IFERROR(VLOOKUP($A13728,'319'!$B:$H,7,0),0)</f>
        <v>0</v>
      </c>
      <c r="G13728" s="34" t="n">
        <f aca="false">SUMIFS('12.326ana'!$C:$C,'12.326ana'!$M:$M,redes!A13728)</f>
        <v>0</v>
      </c>
    </row>
    <row r="13729" customFormat="false" ht="14.4" hidden="true" customHeight="false" outlineLevel="0" collapsed="false">
      <c r="A13729" s="34" t="n">
        <v>16794111000157</v>
      </c>
      <c r="B13729" s="34" t="s">
        <v>25915</v>
      </c>
      <c r="C13729" s="34" t="s">
        <v>192</v>
      </c>
      <c r="E13729" s="30" t="s">
        <v>25916</v>
      </c>
      <c r="F13729" s="34" t="n">
        <f aca="false">IFERROR(VLOOKUP($A13729,'319'!$B:$H,7,0),0)</f>
        <v>0</v>
      </c>
      <c r="G13729" s="34" t="n">
        <f aca="false">SUMIFS('12.326ana'!$C:$C,'12.326ana'!$M:$M,redes!A13729)</f>
        <v>0</v>
      </c>
    </row>
    <row r="13730" customFormat="false" ht="14.4" hidden="true" customHeight="false" outlineLevel="0" collapsed="false">
      <c r="A13730" s="34" t="n">
        <v>16799043000119</v>
      </c>
      <c r="B13730" s="34" t="s">
        <v>25917</v>
      </c>
      <c r="C13730" s="34" t="s">
        <v>4261</v>
      </c>
      <c r="E13730" s="30" t="s">
        <v>25918</v>
      </c>
      <c r="F13730" s="34" t="n">
        <f aca="false">IFERROR(VLOOKUP($A13730,'319'!$B:$H,7,0),0)</f>
        <v>0</v>
      </c>
      <c r="G13730" s="34" t="n">
        <f aca="false">SUMIFS('12.326ana'!$C:$C,'12.326ana'!$M:$M,redes!A13730)</f>
        <v>0</v>
      </c>
    </row>
    <row r="13731" customFormat="false" ht="14.4" hidden="true" customHeight="false" outlineLevel="0" collapsed="false">
      <c r="A13731" s="34" t="n">
        <v>16799073000125</v>
      </c>
      <c r="B13731" s="34" t="s">
        <v>25919</v>
      </c>
      <c r="C13731" s="34" t="s">
        <v>77</v>
      </c>
      <c r="E13731" s="30" t="s">
        <v>18712</v>
      </c>
      <c r="F13731" s="34" t="n">
        <f aca="false">IFERROR(VLOOKUP($A13731,'319'!$B:$H,7,0),0)</f>
        <v>0</v>
      </c>
      <c r="G13731" s="34" t="n">
        <f aca="false">SUMIFS('12.326ana'!$C:$C,'12.326ana'!$M:$M,redes!A13731)</f>
        <v>0</v>
      </c>
    </row>
    <row r="13732" customFormat="false" ht="14.4" hidden="true" customHeight="false" outlineLevel="0" collapsed="false">
      <c r="A13732" s="34" t="n">
        <v>16803904000195</v>
      </c>
      <c r="B13732" s="34" t="s">
        <v>25920</v>
      </c>
      <c r="C13732" s="34" t="s">
        <v>562</v>
      </c>
      <c r="E13732" s="30" t="s">
        <v>25921</v>
      </c>
      <c r="F13732" s="34" t="n">
        <f aca="false">IFERROR(VLOOKUP($A13732,'319'!$B:$H,7,0),0)</f>
        <v>0</v>
      </c>
      <c r="G13732" s="34" t="n">
        <f aca="false">SUMIFS('12.326ana'!$C:$C,'12.326ana'!$M:$M,redes!A13732)</f>
        <v>0</v>
      </c>
    </row>
    <row r="13733" customFormat="false" ht="14.4" hidden="true" customHeight="false" outlineLevel="0" collapsed="false">
      <c r="A13733" s="34" t="n">
        <v>16811326000139</v>
      </c>
      <c r="B13733" s="34" t="s">
        <v>25922</v>
      </c>
      <c r="C13733" s="34" t="s">
        <v>463</v>
      </c>
      <c r="E13733" s="30" t="s">
        <v>18289</v>
      </c>
      <c r="F13733" s="34" t="n">
        <f aca="false">IFERROR(VLOOKUP($A13733,'319'!$B:$H,7,0),0)</f>
        <v>9424.51</v>
      </c>
      <c r="G13733" s="34" t="n">
        <f aca="false">SUMIFS('12.326ana'!$C:$C,'12.326ana'!$M:$M,redes!A13733)</f>
        <v>0</v>
      </c>
    </row>
    <row r="13734" customFormat="false" ht="14.4" hidden="true" customHeight="false" outlineLevel="0" collapsed="false">
      <c r="A13734" s="34" t="n">
        <v>16811517000109</v>
      </c>
      <c r="B13734" s="34" t="s">
        <v>25923</v>
      </c>
      <c r="C13734" s="34" t="s">
        <v>77</v>
      </c>
      <c r="E13734" s="30" t="s">
        <v>6283</v>
      </c>
      <c r="F13734" s="34" t="n">
        <f aca="false">IFERROR(VLOOKUP($A13734,'319'!$B:$H,7,0),0)</f>
        <v>0</v>
      </c>
      <c r="G13734" s="34" t="n">
        <f aca="false">SUMIFS('12.326ana'!$C:$C,'12.326ana'!$M:$M,redes!A13734)</f>
        <v>0</v>
      </c>
    </row>
    <row r="13735" customFormat="false" ht="14.4" hidden="true" customHeight="false" outlineLevel="0" collapsed="false">
      <c r="A13735" s="34" t="n">
        <v>16811783000123</v>
      </c>
      <c r="B13735" s="34" t="s">
        <v>25924</v>
      </c>
      <c r="C13735" s="34" t="s">
        <v>107</v>
      </c>
      <c r="E13735" s="30" t="s">
        <v>25925</v>
      </c>
      <c r="F13735" s="34" t="n">
        <f aca="false">IFERROR(VLOOKUP($A13735,'319'!$B:$H,7,0),0)</f>
        <v>0</v>
      </c>
      <c r="G13735" s="34" t="n">
        <f aca="false">SUMIFS('12.326ana'!$C:$C,'12.326ana'!$M:$M,redes!A13735)</f>
        <v>0</v>
      </c>
    </row>
    <row r="13736" customFormat="false" ht="14.4" hidden="true" customHeight="false" outlineLevel="0" collapsed="false">
      <c r="A13736" s="34" t="n">
        <v>16817966000156</v>
      </c>
      <c r="B13736" s="34" t="s">
        <v>25926</v>
      </c>
      <c r="C13736" s="34" t="s">
        <v>89</v>
      </c>
      <c r="E13736" s="30" t="s">
        <v>21394</v>
      </c>
      <c r="F13736" s="34" t="n">
        <f aca="false">IFERROR(VLOOKUP($A13736,'319'!$B:$H,7,0),0)</f>
        <v>0</v>
      </c>
      <c r="G13736" s="34" t="n">
        <f aca="false">SUMIFS('12.326ana'!$C:$C,'12.326ana'!$M:$M,redes!A13736)</f>
        <v>0</v>
      </c>
    </row>
    <row r="13737" customFormat="false" ht="14.4" hidden="true" customHeight="false" outlineLevel="0" collapsed="false">
      <c r="A13737" s="34" t="n">
        <v>16827312000103</v>
      </c>
      <c r="B13737" s="34" t="s">
        <v>25927</v>
      </c>
      <c r="C13737" s="34" t="s">
        <v>351</v>
      </c>
      <c r="E13737" s="30" t="s">
        <v>25928</v>
      </c>
      <c r="F13737" s="34" t="n">
        <f aca="false">IFERROR(VLOOKUP($A13737,'319'!$B:$H,7,0),0)</f>
        <v>0</v>
      </c>
      <c r="G13737" s="34" t="n">
        <f aca="false">SUMIFS('12.326ana'!$C:$C,'12.326ana'!$M:$M,redes!A13737)</f>
        <v>0</v>
      </c>
    </row>
    <row r="13738" customFormat="false" ht="14.4" hidden="true" customHeight="false" outlineLevel="0" collapsed="false">
      <c r="A13738" s="34" t="n">
        <v>16828343000189</v>
      </c>
      <c r="B13738" s="34" t="s">
        <v>25929</v>
      </c>
      <c r="C13738" s="34" t="s">
        <v>713</v>
      </c>
      <c r="E13738" s="30" t="s">
        <v>25930</v>
      </c>
      <c r="F13738" s="34" t="n">
        <f aca="false">IFERROR(VLOOKUP($A13738,'319'!$B:$H,7,0),0)</f>
        <v>88.6</v>
      </c>
      <c r="G13738" s="34" t="n">
        <f aca="false">SUMIFS('12.326ana'!$C:$C,'12.326ana'!$M:$M,redes!A13738)</f>
        <v>0</v>
      </c>
    </row>
    <row r="13739" customFormat="false" ht="14.4" hidden="true" customHeight="false" outlineLevel="0" collapsed="false">
      <c r="A13739" s="34" t="n">
        <v>16833215000123</v>
      </c>
      <c r="B13739" s="34" t="s">
        <v>25931</v>
      </c>
      <c r="C13739" s="34" t="s">
        <v>781</v>
      </c>
      <c r="E13739" s="30" t="s">
        <v>5613</v>
      </c>
      <c r="F13739" s="34" t="n">
        <f aca="false">IFERROR(VLOOKUP($A13739,'319'!$B:$H,7,0),0)</f>
        <v>0</v>
      </c>
      <c r="G13739" s="34" t="n">
        <f aca="false">SUMIFS('12.326ana'!$C:$C,'12.326ana'!$M:$M,redes!A13739)</f>
        <v>0</v>
      </c>
    </row>
    <row r="13740" customFormat="false" ht="14.4" hidden="true" customHeight="false" outlineLevel="0" collapsed="false">
      <c r="A13740" s="34" t="n">
        <v>16842368000137</v>
      </c>
      <c r="B13740" s="34" t="s">
        <v>25932</v>
      </c>
      <c r="C13740" s="34" t="s">
        <v>77</v>
      </c>
      <c r="E13740" s="30" t="s">
        <v>25933</v>
      </c>
      <c r="F13740" s="34" t="n">
        <f aca="false">IFERROR(VLOOKUP($A13740,'319'!$B:$H,7,0),0)</f>
        <v>0</v>
      </c>
      <c r="G13740" s="34" t="n">
        <f aca="false">SUMIFS('12.326ana'!$C:$C,'12.326ana'!$M:$M,redes!A13740)</f>
        <v>0</v>
      </c>
    </row>
    <row r="13741" customFormat="false" ht="14.4" hidden="true" customHeight="false" outlineLevel="0" collapsed="false">
      <c r="A13741" s="34" t="n">
        <v>16842663000193</v>
      </c>
      <c r="B13741" s="34" t="s">
        <v>25934</v>
      </c>
      <c r="C13741" s="34" t="s">
        <v>1272</v>
      </c>
      <c r="E13741" s="30" t="s">
        <v>25935</v>
      </c>
      <c r="F13741" s="34" t="n">
        <f aca="false">IFERROR(VLOOKUP($A13741,'319'!$B:$H,7,0),0)</f>
        <v>0</v>
      </c>
      <c r="G13741" s="34" t="n">
        <f aca="false">SUMIFS('12.326ana'!$C:$C,'12.326ana'!$M:$M,redes!A13741)</f>
        <v>0</v>
      </c>
    </row>
    <row r="13742" customFormat="false" ht="14.4" hidden="true" customHeight="false" outlineLevel="0" collapsed="false">
      <c r="A13742" s="34" t="n">
        <v>16850697000120</v>
      </c>
      <c r="B13742" s="34" t="s">
        <v>25936</v>
      </c>
      <c r="C13742" s="34" t="s">
        <v>197</v>
      </c>
      <c r="E13742" s="30" t="s">
        <v>25937</v>
      </c>
      <c r="F13742" s="34" t="n">
        <f aca="false">IFERROR(VLOOKUP($A13742,'319'!$B:$H,7,0),0)</f>
        <v>0</v>
      </c>
      <c r="G13742" s="34" t="n">
        <f aca="false">SUMIFS('12.326ana'!$C:$C,'12.326ana'!$M:$M,redes!A13742)</f>
        <v>0</v>
      </c>
    </row>
    <row r="13743" customFormat="false" ht="14.4" hidden="true" customHeight="false" outlineLevel="0" collapsed="false">
      <c r="A13743" s="34" t="n">
        <v>16852065000103</v>
      </c>
      <c r="B13743" s="34" t="s">
        <v>9758</v>
      </c>
      <c r="C13743" s="34" t="s">
        <v>107</v>
      </c>
      <c r="E13743" s="30" t="s">
        <v>9759</v>
      </c>
      <c r="F13743" s="34" t="n">
        <f aca="false">IFERROR(VLOOKUP($A13743,'319'!$B:$H,7,0),0)</f>
        <v>0</v>
      </c>
      <c r="G13743" s="34" t="n">
        <f aca="false">SUMIFS('12.326ana'!$C:$C,'12.326ana'!$M:$M,redes!A13743)</f>
        <v>0</v>
      </c>
    </row>
    <row r="13744" customFormat="false" ht="14.4" hidden="true" customHeight="false" outlineLevel="0" collapsed="false">
      <c r="A13744" s="34" t="n">
        <v>16869605000153</v>
      </c>
      <c r="B13744" s="34" t="s">
        <v>25938</v>
      </c>
      <c r="C13744" s="34" t="s">
        <v>89</v>
      </c>
      <c r="E13744" s="30" t="s">
        <v>25939</v>
      </c>
      <c r="F13744" s="34" t="n">
        <f aca="false">IFERROR(VLOOKUP($A13744,'319'!$B:$H,7,0),0)</f>
        <v>0</v>
      </c>
      <c r="G13744" s="34" t="n">
        <f aca="false">SUMIFS('12.326ana'!$C:$C,'12.326ana'!$M:$M,redes!A13744)</f>
        <v>0</v>
      </c>
    </row>
    <row r="13745" customFormat="false" ht="14.4" hidden="true" customHeight="false" outlineLevel="0" collapsed="false">
      <c r="A13745" s="34" t="n">
        <v>16872405000150</v>
      </c>
      <c r="B13745" s="34" t="s">
        <v>25940</v>
      </c>
      <c r="C13745" s="34" t="s">
        <v>77</v>
      </c>
      <c r="E13745" s="30" t="s">
        <v>25941</v>
      </c>
      <c r="F13745" s="34" t="n">
        <f aca="false">IFERROR(VLOOKUP($A13745,'319'!$B:$H,7,0),0)</f>
        <v>0</v>
      </c>
      <c r="G13745" s="34" t="n">
        <f aca="false">SUMIFS('12.326ana'!$C:$C,'12.326ana'!$M:$M,redes!A13745)</f>
        <v>0</v>
      </c>
    </row>
    <row r="13746" customFormat="false" ht="14.4" hidden="true" customHeight="false" outlineLevel="0" collapsed="false">
      <c r="A13746" s="34" t="n">
        <v>16872575000134</v>
      </c>
      <c r="B13746" s="34" t="s">
        <v>25942</v>
      </c>
      <c r="C13746" s="34" t="s">
        <v>464</v>
      </c>
      <c r="E13746" s="30" t="s">
        <v>25943</v>
      </c>
      <c r="F13746" s="34" t="n">
        <f aca="false">IFERROR(VLOOKUP($A13746,'319'!$B:$H,7,0),0)</f>
        <v>0</v>
      </c>
      <c r="G13746" s="34" t="n">
        <f aca="false">SUMIFS('12.326ana'!$C:$C,'12.326ana'!$M:$M,redes!A13746)</f>
        <v>0</v>
      </c>
    </row>
    <row r="13747" customFormat="false" ht="14.4" hidden="true" customHeight="false" outlineLevel="0" collapsed="false">
      <c r="A13747" s="34" t="n">
        <v>16873487000157</v>
      </c>
      <c r="B13747" s="34" t="s">
        <v>25944</v>
      </c>
      <c r="C13747" s="34" t="s">
        <v>127</v>
      </c>
      <c r="E13747" s="30" t="s">
        <v>25945</v>
      </c>
      <c r="F13747" s="34" t="n">
        <f aca="false">IFERROR(VLOOKUP($A13747,'319'!$B:$H,7,0),0)</f>
        <v>0</v>
      </c>
      <c r="G13747" s="34" t="n">
        <f aca="false">SUMIFS('12.326ana'!$C:$C,'12.326ana'!$M:$M,redes!A13747)</f>
        <v>0</v>
      </c>
    </row>
    <row r="13748" customFormat="false" ht="14.4" hidden="true" customHeight="false" outlineLevel="0" collapsed="false">
      <c r="A13748" s="34" t="n">
        <v>16881220000101</v>
      </c>
      <c r="B13748" s="34" t="s">
        <v>25946</v>
      </c>
      <c r="C13748" s="34" t="s">
        <v>309</v>
      </c>
      <c r="E13748" s="30" t="s">
        <v>3066</v>
      </c>
      <c r="F13748" s="34" t="n">
        <f aca="false">IFERROR(VLOOKUP($A13748,'319'!$B:$H,7,0),0)</f>
        <v>0</v>
      </c>
      <c r="G13748" s="34" t="n">
        <f aca="false">SUMIFS('12.326ana'!$C:$C,'12.326ana'!$M:$M,redes!A13748)</f>
        <v>0</v>
      </c>
    </row>
    <row r="13749" customFormat="false" ht="14.4" hidden="true" customHeight="false" outlineLevel="0" collapsed="false">
      <c r="A13749" s="34" t="n">
        <v>16881471000196</v>
      </c>
      <c r="B13749" s="34" t="s">
        <v>25947</v>
      </c>
      <c r="C13749" s="34" t="s">
        <v>77</v>
      </c>
      <c r="E13749" s="30" t="s">
        <v>25947</v>
      </c>
      <c r="F13749" s="34" t="n">
        <f aca="false">IFERROR(VLOOKUP($A13749,'319'!$B:$H,7,0),0)</f>
        <v>0</v>
      </c>
      <c r="G13749" s="34" t="n">
        <f aca="false">SUMIFS('12.326ana'!$C:$C,'12.326ana'!$M:$M,redes!A13749)</f>
        <v>0</v>
      </c>
    </row>
    <row r="13750" customFormat="false" ht="14.4" hidden="true" customHeight="false" outlineLevel="0" collapsed="false">
      <c r="A13750" s="34" t="n">
        <v>16881471000277</v>
      </c>
      <c r="B13750" s="34" t="s">
        <v>25947</v>
      </c>
      <c r="C13750" s="34" t="s">
        <v>77</v>
      </c>
      <c r="E13750" s="30" t="s">
        <v>25947</v>
      </c>
      <c r="F13750" s="34" t="n">
        <f aca="false">IFERROR(VLOOKUP($A13750,'319'!$B:$H,7,0),0)</f>
        <v>0</v>
      </c>
      <c r="G13750" s="34" t="n">
        <f aca="false">SUMIFS('12.326ana'!$C:$C,'12.326ana'!$M:$M,redes!A13750)</f>
        <v>0</v>
      </c>
    </row>
    <row r="13751" customFormat="false" ht="14.4" hidden="true" customHeight="false" outlineLevel="0" collapsed="false">
      <c r="A13751" s="34" t="n">
        <v>16882335000110</v>
      </c>
      <c r="B13751" s="34" t="s">
        <v>25948</v>
      </c>
      <c r="C13751" s="34" t="s">
        <v>103</v>
      </c>
      <c r="E13751" s="30" t="s">
        <v>25949</v>
      </c>
      <c r="F13751" s="34" t="n">
        <f aca="false">IFERROR(VLOOKUP($A13751,'319'!$B:$H,7,0),0)</f>
        <v>0</v>
      </c>
      <c r="G13751" s="34" t="n">
        <f aca="false">SUMIFS('12.326ana'!$C:$C,'12.326ana'!$M:$M,redes!A13751)</f>
        <v>0</v>
      </c>
    </row>
    <row r="13752" customFormat="false" ht="14.4" hidden="true" customHeight="false" outlineLevel="0" collapsed="false">
      <c r="A13752" s="34" t="n">
        <v>16887360000197</v>
      </c>
      <c r="B13752" s="34" t="s">
        <v>25950</v>
      </c>
      <c r="C13752" s="34" t="s">
        <v>77</v>
      </c>
      <c r="E13752" s="30" t="s">
        <v>6686</v>
      </c>
      <c r="F13752" s="34" t="n">
        <f aca="false">IFERROR(VLOOKUP($A13752,'319'!$B:$H,7,0),0)</f>
        <v>0</v>
      </c>
      <c r="G13752" s="34" t="n">
        <f aca="false">SUMIFS('12.326ana'!$C:$C,'12.326ana'!$M:$M,redes!A13752)</f>
        <v>0</v>
      </c>
    </row>
    <row r="13753" customFormat="false" ht="14.4" hidden="true" customHeight="false" outlineLevel="0" collapsed="false">
      <c r="A13753" s="34" t="n">
        <v>16896684000191</v>
      </c>
      <c r="B13753" s="34" t="s">
        <v>25951</v>
      </c>
      <c r="C13753" s="34" t="s">
        <v>342</v>
      </c>
      <c r="E13753" s="30" t="s">
        <v>3391</v>
      </c>
      <c r="F13753" s="34" t="n">
        <f aca="false">IFERROR(VLOOKUP($A13753,'319'!$B:$H,7,0),0)</f>
        <v>553.98</v>
      </c>
      <c r="G13753" s="34" t="n">
        <f aca="false">SUMIFS('12.326ana'!$C:$C,'12.326ana'!$M:$M,redes!A13753)</f>
        <v>0</v>
      </c>
    </row>
    <row r="13754" customFormat="false" ht="14.4" hidden="true" customHeight="false" outlineLevel="0" collapsed="false">
      <c r="A13754" s="34" t="n">
        <v>16900336000140</v>
      </c>
      <c r="B13754" s="34" t="s">
        <v>25952</v>
      </c>
      <c r="C13754" s="34" t="s">
        <v>77</v>
      </c>
      <c r="E13754" s="30" t="s">
        <v>4069</v>
      </c>
      <c r="F13754" s="34" t="n">
        <f aca="false">IFERROR(VLOOKUP($A13754,'319'!$B:$H,7,0),0)</f>
        <v>0</v>
      </c>
      <c r="G13754" s="34" t="n">
        <f aca="false">SUMIFS('12.326ana'!$C:$C,'12.326ana'!$M:$M,redes!A13754)</f>
        <v>0</v>
      </c>
    </row>
    <row r="13755" customFormat="false" ht="14.4" hidden="true" customHeight="false" outlineLevel="0" collapsed="false">
      <c r="A13755" s="34" t="n">
        <v>16904894000184</v>
      </c>
      <c r="B13755" s="34" t="s">
        <v>25953</v>
      </c>
      <c r="C13755" s="34" t="s">
        <v>107</v>
      </c>
      <c r="E13755" s="30" t="s">
        <v>25954</v>
      </c>
      <c r="F13755" s="34" t="n">
        <f aca="false">IFERROR(VLOOKUP($A13755,'319'!$B:$H,7,0),0)</f>
        <v>0</v>
      </c>
      <c r="G13755" s="34" t="n">
        <f aca="false">SUMIFS('12.326ana'!$C:$C,'12.326ana'!$M:$M,redes!A13755)</f>
        <v>0</v>
      </c>
    </row>
    <row r="13756" customFormat="false" ht="14.4" hidden="true" customHeight="false" outlineLevel="0" collapsed="false">
      <c r="A13756" s="34" t="n">
        <v>16911756000122</v>
      </c>
      <c r="B13756" s="34" t="s">
        <v>25955</v>
      </c>
      <c r="C13756" s="34" t="s">
        <v>89</v>
      </c>
      <c r="E13756" s="30" t="s">
        <v>25956</v>
      </c>
      <c r="F13756" s="34" t="n">
        <f aca="false">IFERROR(VLOOKUP($A13756,'319'!$B:$H,7,0),0)</f>
        <v>0</v>
      </c>
      <c r="G13756" s="34" t="n">
        <f aca="false">SUMIFS('12.326ana'!$C:$C,'12.326ana'!$M:$M,redes!A13756)</f>
        <v>0</v>
      </c>
    </row>
    <row r="13757" customFormat="false" ht="14.4" hidden="true" customHeight="false" outlineLevel="0" collapsed="false">
      <c r="A13757" s="34" t="n">
        <v>16911756000203</v>
      </c>
      <c r="B13757" s="34" t="s">
        <v>25957</v>
      </c>
      <c r="C13757" s="34" t="s">
        <v>89</v>
      </c>
      <c r="E13757" s="30" t="s">
        <v>25958</v>
      </c>
      <c r="F13757" s="34" t="n">
        <f aca="false">IFERROR(VLOOKUP($A13757,'319'!$B:$H,7,0),0)</f>
        <v>0</v>
      </c>
      <c r="G13757" s="34" t="n">
        <f aca="false">SUMIFS('12.326ana'!$C:$C,'12.326ana'!$M:$M,redes!A13757)</f>
        <v>0</v>
      </c>
    </row>
    <row r="13758" customFormat="false" ht="14.4" hidden="true" customHeight="false" outlineLevel="0" collapsed="false">
      <c r="A13758" s="34" t="n">
        <v>16933885000111</v>
      </c>
      <c r="B13758" s="34" t="s">
        <v>25959</v>
      </c>
      <c r="C13758" s="34" t="s">
        <v>77</v>
      </c>
      <c r="E13758" s="30" t="s">
        <v>25960</v>
      </c>
      <c r="F13758" s="34" t="n">
        <f aca="false">IFERROR(VLOOKUP($A13758,'319'!$B:$H,7,0),0)</f>
        <v>0</v>
      </c>
      <c r="G13758" s="34" t="n">
        <f aca="false">SUMIFS('12.326ana'!$C:$C,'12.326ana'!$M:$M,redes!A13758)</f>
        <v>0</v>
      </c>
    </row>
    <row r="13759" customFormat="false" ht="14.4" hidden="true" customHeight="false" outlineLevel="0" collapsed="false">
      <c r="A13759" s="34" t="n">
        <v>16937136000162</v>
      </c>
      <c r="B13759" s="34" t="s">
        <v>25961</v>
      </c>
      <c r="C13759" s="34" t="s">
        <v>377</v>
      </c>
      <c r="E13759" s="30" t="s">
        <v>25962</v>
      </c>
      <c r="F13759" s="34" t="n">
        <f aca="false">IFERROR(VLOOKUP($A13759,'319'!$B:$H,7,0),0)</f>
        <v>0</v>
      </c>
      <c r="G13759" s="34" t="n">
        <f aca="false">SUMIFS('12.326ana'!$C:$C,'12.326ana'!$M:$M,redes!A13759)</f>
        <v>0</v>
      </c>
    </row>
    <row r="13760" customFormat="false" ht="14.4" hidden="true" customHeight="false" outlineLevel="0" collapsed="false">
      <c r="A13760" s="34" t="n">
        <v>16939854000178</v>
      </c>
      <c r="B13760" s="34" t="s">
        <v>25963</v>
      </c>
      <c r="C13760" s="34" t="s">
        <v>77</v>
      </c>
      <c r="E13760" s="30" t="s">
        <v>25964</v>
      </c>
      <c r="F13760" s="34" t="n">
        <f aca="false">IFERROR(VLOOKUP($A13760,'319'!$B:$H,7,0),0)</f>
        <v>0</v>
      </c>
      <c r="G13760" s="34" t="n">
        <f aca="false">SUMIFS('12.326ana'!$C:$C,'12.326ana'!$M:$M,redes!A13760)</f>
        <v>0</v>
      </c>
    </row>
    <row r="13761" customFormat="false" ht="14.4" hidden="true" customHeight="false" outlineLevel="0" collapsed="false">
      <c r="A13761" s="34" t="n">
        <v>16942008000107</v>
      </c>
      <c r="B13761" s="34" t="s">
        <v>25965</v>
      </c>
      <c r="C13761" s="34" t="s">
        <v>357</v>
      </c>
      <c r="E13761" s="30" t="s">
        <v>4499</v>
      </c>
      <c r="F13761" s="34" t="n">
        <f aca="false">IFERROR(VLOOKUP($A13761,'319'!$B:$H,7,0),0)</f>
        <v>0</v>
      </c>
      <c r="G13761" s="34" t="n">
        <f aca="false">SUMIFS('12.326ana'!$C:$C,'12.326ana'!$M:$M,redes!A13761)</f>
        <v>0</v>
      </c>
    </row>
    <row r="13762" customFormat="false" ht="14.4" hidden="true" customHeight="false" outlineLevel="0" collapsed="false">
      <c r="A13762" s="34" t="n">
        <v>16944369000192</v>
      </c>
      <c r="B13762" s="34" t="s">
        <v>25966</v>
      </c>
      <c r="C13762" s="34" t="s">
        <v>77</v>
      </c>
      <c r="E13762" s="30" t="s">
        <v>25967</v>
      </c>
      <c r="F13762" s="34" t="n">
        <f aca="false">IFERROR(VLOOKUP($A13762,'319'!$B:$H,7,0),0)</f>
        <v>0</v>
      </c>
      <c r="G13762" s="34" t="n">
        <f aca="false">SUMIFS('12.326ana'!$C:$C,'12.326ana'!$M:$M,redes!A13762)</f>
        <v>0</v>
      </c>
    </row>
    <row r="13763" customFormat="false" ht="14.4" hidden="true" customHeight="false" outlineLevel="0" collapsed="false">
      <c r="A13763" s="34" t="n">
        <v>16944396000165</v>
      </c>
      <c r="B13763" s="34" t="s">
        <v>25968</v>
      </c>
      <c r="C13763" s="34" t="s">
        <v>342</v>
      </c>
      <c r="E13763" s="30" t="s">
        <v>15050</v>
      </c>
      <c r="F13763" s="34" t="n">
        <f aca="false">IFERROR(VLOOKUP($A13763,'319'!$B:$H,7,0),0)</f>
        <v>0</v>
      </c>
      <c r="G13763" s="34" t="n">
        <f aca="false">SUMIFS('12.326ana'!$C:$C,'12.326ana'!$M:$M,redes!A13763)</f>
        <v>0</v>
      </c>
    </row>
    <row r="13764" customFormat="false" ht="14.4" hidden="true" customHeight="false" outlineLevel="0" collapsed="false">
      <c r="A13764" s="34" t="n">
        <v>16950117000176</v>
      </c>
      <c r="B13764" s="34" t="s">
        <v>25969</v>
      </c>
      <c r="C13764" s="34" t="s">
        <v>565</v>
      </c>
      <c r="E13764" s="30" t="s">
        <v>25970</v>
      </c>
      <c r="F13764" s="34" t="n">
        <f aca="false">IFERROR(VLOOKUP($A13764,'319'!$B:$H,7,0),0)</f>
        <v>0</v>
      </c>
      <c r="G13764" s="34" t="n">
        <f aca="false">SUMIFS('12.326ana'!$C:$C,'12.326ana'!$M:$M,redes!A13764)</f>
        <v>0</v>
      </c>
    </row>
    <row r="13765" customFormat="false" ht="14.4" hidden="true" customHeight="false" outlineLevel="0" collapsed="false">
      <c r="A13765" s="34" t="n">
        <v>16953620000185</v>
      </c>
      <c r="B13765" s="34" t="s">
        <v>25971</v>
      </c>
      <c r="C13765" s="34" t="s">
        <v>77</v>
      </c>
      <c r="E13765" s="30" t="s">
        <v>9053</v>
      </c>
      <c r="F13765" s="34" t="n">
        <f aca="false">IFERROR(VLOOKUP($A13765,'319'!$B:$H,7,0),0)</f>
        <v>0</v>
      </c>
      <c r="G13765" s="34" t="n">
        <f aca="false">SUMIFS('12.326ana'!$C:$C,'12.326ana'!$M:$M,redes!A13765)</f>
        <v>0</v>
      </c>
    </row>
    <row r="13766" customFormat="false" ht="14.4" hidden="true" customHeight="false" outlineLevel="0" collapsed="false">
      <c r="A13766" s="34" t="n">
        <v>16972906000108</v>
      </c>
      <c r="B13766" s="34" t="s">
        <v>25972</v>
      </c>
      <c r="C13766" s="34" t="s">
        <v>107</v>
      </c>
      <c r="E13766" s="30" t="s">
        <v>12598</v>
      </c>
      <c r="F13766" s="34" t="n">
        <f aca="false">IFERROR(VLOOKUP($A13766,'319'!$B:$H,7,0),0)</f>
        <v>0</v>
      </c>
      <c r="G13766" s="34" t="n">
        <f aca="false">SUMIFS('12.326ana'!$C:$C,'12.326ana'!$M:$M,redes!A13766)</f>
        <v>0</v>
      </c>
    </row>
    <row r="13767" customFormat="false" ht="14.4" hidden="true" customHeight="false" outlineLevel="0" collapsed="false">
      <c r="A13767" s="34" t="n">
        <v>16978758000139</v>
      </c>
      <c r="B13767" s="34" t="s">
        <v>25973</v>
      </c>
      <c r="C13767" s="34" t="s">
        <v>77</v>
      </c>
      <c r="E13767" s="30" t="s">
        <v>25974</v>
      </c>
      <c r="F13767" s="34" t="n">
        <f aca="false">IFERROR(VLOOKUP($A13767,'319'!$B:$H,7,0),0)</f>
        <v>0</v>
      </c>
      <c r="G13767" s="34" t="n">
        <f aca="false">SUMIFS('12.326ana'!$C:$C,'12.326ana'!$M:$M,redes!A13767)</f>
        <v>0</v>
      </c>
    </row>
    <row r="13768" customFormat="false" ht="14.4" hidden="true" customHeight="false" outlineLevel="0" collapsed="false">
      <c r="A13768" s="34" t="n">
        <v>16982570000164</v>
      </c>
      <c r="B13768" s="34" t="s">
        <v>25975</v>
      </c>
      <c r="C13768" s="34" t="s">
        <v>1591</v>
      </c>
      <c r="E13768" s="30" t="s">
        <v>25976</v>
      </c>
      <c r="F13768" s="34" t="n">
        <f aca="false">IFERROR(VLOOKUP($A13768,'319'!$B:$H,7,0),0)</f>
        <v>0</v>
      </c>
      <c r="G13768" s="34" t="n">
        <f aca="false">SUMIFS('12.326ana'!$C:$C,'12.326ana'!$M:$M,redes!A13768)</f>
        <v>0</v>
      </c>
    </row>
    <row r="13769" customFormat="false" ht="14.4" hidden="true" customHeight="false" outlineLevel="0" collapsed="false">
      <c r="A13769" s="34" t="n">
        <v>16987051000199</v>
      </c>
      <c r="B13769" s="34" t="s">
        <v>25977</v>
      </c>
      <c r="C13769" s="34" t="s">
        <v>207</v>
      </c>
      <c r="E13769" s="30" t="s">
        <v>25978</v>
      </c>
      <c r="F13769" s="34" t="n">
        <f aca="false">IFERROR(VLOOKUP($A13769,'319'!$B:$H,7,0),0)</f>
        <v>0</v>
      </c>
      <c r="G13769" s="34" t="n">
        <f aca="false">SUMIFS('12.326ana'!$C:$C,'12.326ana'!$M:$M,redes!A13769)</f>
        <v>0</v>
      </c>
    </row>
    <row r="13770" customFormat="false" ht="14.4" hidden="true" customHeight="false" outlineLevel="0" collapsed="false">
      <c r="A13770" s="34" t="n">
        <v>17002895000104</v>
      </c>
      <c r="B13770" s="34" t="s">
        <v>25979</v>
      </c>
      <c r="C13770" s="34" t="s">
        <v>77</v>
      </c>
      <c r="E13770" s="30" t="s">
        <v>25979</v>
      </c>
      <c r="F13770" s="34" t="n">
        <f aca="false">IFERROR(VLOOKUP($A13770,'319'!$B:$H,7,0),0)</f>
        <v>0</v>
      </c>
      <c r="G13770" s="34" t="n">
        <f aca="false">SUMIFS('12.326ana'!$C:$C,'12.326ana'!$M:$M,redes!A13770)</f>
        <v>0</v>
      </c>
    </row>
    <row r="13771" customFormat="false" ht="14.4" hidden="true" customHeight="false" outlineLevel="0" collapsed="false">
      <c r="A13771" s="34" t="n">
        <v>17004522000164</v>
      </c>
      <c r="B13771" s="34" t="s">
        <v>25980</v>
      </c>
      <c r="C13771" s="34" t="s">
        <v>77</v>
      </c>
      <c r="E13771" s="30" t="s">
        <v>25981</v>
      </c>
      <c r="F13771" s="34" t="n">
        <f aca="false">IFERROR(VLOOKUP($A13771,'319'!$B:$H,7,0),0)</f>
        <v>0</v>
      </c>
      <c r="G13771" s="34" t="n">
        <f aca="false">SUMIFS('12.326ana'!$C:$C,'12.326ana'!$M:$M,redes!A13771)</f>
        <v>0</v>
      </c>
    </row>
    <row r="13772" customFormat="false" ht="14.4" hidden="true" customHeight="false" outlineLevel="0" collapsed="false">
      <c r="A13772" s="34" t="n">
        <v>17006074000138</v>
      </c>
      <c r="B13772" s="34" t="s">
        <v>25982</v>
      </c>
      <c r="C13772" s="34" t="s">
        <v>107</v>
      </c>
      <c r="E13772" s="30" t="s">
        <v>25983</v>
      </c>
      <c r="F13772" s="34" t="n">
        <f aca="false">IFERROR(VLOOKUP($A13772,'319'!$B:$H,7,0),0)</f>
        <v>0</v>
      </c>
      <c r="G13772" s="34" t="n">
        <f aca="false">SUMIFS('12.326ana'!$C:$C,'12.326ana'!$M:$M,redes!A13772)</f>
        <v>0</v>
      </c>
    </row>
    <row r="13773" customFormat="false" ht="14.4" hidden="true" customHeight="false" outlineLevel="0" collapsed="false">
      <c r="A13773" s="34" t="n">
        <v>17015252000197</v>
      </c>
      <c r="B13773" s="34" t="s">
        <v>25984</v>
      </c>
      <c r="C13773" s="34" t="s">
        <v>351</v>
      </c>
      <c r="E13773" s="30" t="s">
        <v>25985</v>
      </c>
      <c r="F13773" s="34" t="n">
        <f aca="false">IFERROR(VLOOKUP($A13773,'319'!$B:$H,7,0),0)</f>
        <v>0</v>
      </c>
      <c r="G13773" s="34" t="n">
        <f aca="false">SUMIFS('12.326ana'!$C:$C,'12.326ana'!$M:$M,redes!A13773)</f>
        <v>0</v>
      </c>
    </row>
    <row r="13774" customFormat="false" ht="14.4" hidden="true" customHeight="false" outlineLevel="0" collapsed="false">
      <c r="A13774" s="34" t="n">
        <v>17017752000168</v>
      </c>
      <c r="B13774" s="34" t="s">
        <v>25986</v>
      </c>
      <c r="C13774" s="34" t="s">
        <v>197</v>
      </c>
      <c r="E13774" s="30" t="s">
        <v>10099</v>
      </c>
      <c r="F13774" s="34" t="n">
        <f aca="false">IFERROR(VLOOKUP($A13774,'319'!$B:$H,7,0),0)</f>
        <v>0</v>
      </c>
      <c r="G13774" s="34" t="n">
        <f aca="false">SUMIFS('12.326ana'!$C:$C,'12.326ana'!$M:$M,redes!A13774)</f>
        <v>0</v>
      </c>
    </row>
    <row r="13775" customFormat="false" ht="14.4" hidden="true" customHeight="false" outlineLevel="0" collapsed="false">
      <c r="A13775" s="34" t="n">
        <v>17024927000164</v>
      </c>
      <c r="B13775" s="34" t="s">
        <v>25987</v>
      </c>
      <c r="C13775" s="34" t="s">
        <v>77</v>
      </c>
      <c r="E13775" s="30" t="s">
        <v>25988</v>
      </c>
      <c r="F13775" s="34" t="n">
        <f aca="false">IFERROR(VLOOKUP($A13775,'319'!$B:$H,7,0),0)</f>
        <v>253.51</v>
      </c>
      <c r="G13775" s="34" t="n">
        <f aca="false">SUMIFS('12.326ana'!$C:$C,'12.326ana'!$M:$M,redes!A13775)</f>
        <v>0</v>
      </c>
    </row>
    <row r="13776" customFormat="false" ht="14.4" hidden="true" customHeight="false" outlineLevel="0" collapsed="false">
      <c r="A13776" s="34" t="n">
        <v>17026321000168</v>
      </c>
      <c r="B13776" s="34" t="s">
        <v>25989</v>
      </c>
      <c r="C13776" s="34" t="s">
        <v>107</v>
      </c>
      <c r="E13776" s="30" t="s">
        <v>3001</v>
      </c>
      <c r="F13776" s="34" t="n">
        <f aca="false">IFERROR(VLOOKUP($A13776,'319'!$B:$H,7,0),0)</f>
        <v>0</v>
      </c>
      <c r="G13776" s="34" t="n">
        <f aca="false">SUMIFS('12.326ana'!$C:$C,'12.326ana'!$M:$M,redes!A13776)</f>
        <v>0</v>
      </c>
    </row>
    <row r="13777" customFormat="false" ht="14.4" hidden="true" customHeight="false" outlineLevel="0" collapsed="false">
      <c r="A13777" s="34" t="n">
        <v>17050231000102</v>
      </c>
      <c r="B13777" s="34" t="s">
        <v>25990</v>
      </c>
      <c r="C13777" s="34" t="s">
        <v>631</v>
      </c>
      <c r="E13777" s="30" t="s">
        <v>25991</v>
      </c>
      <c r="F13777" s="34" t="n">
        <f aca="false">IFERROR(VLOOKUP($A13777,'319'!$B:$H,7,0),0)</f>
        <v>0</v>
      </c>
      <c r="G13777" s="34" t="n">
        <f aca="false">SUMIFS('12.326ana'!$C:$C,'12.326ana'!$M:$M,redes!A13777)</f>
        <v>0</v>
      </c>
    </row>
    <row r="13778" customFormat="false" ht="14.4" hidden="true" customHeight="false" outlineLevel="0" collapsed="false">
      <c r="A13778" s="34" t="n">
        <v>17056277000139</v>
      </c>
      <c r="B13778" s="34" t="s">
        <v>25992</v>
      </c>
      <c r="C13778" s="34" t="s">
        <v>2998</v>
      </c>
      <c r="E13778" s="30" t="s">
        <v>23148</v>
      </c>
      <c r="F13778" s="34" t="n">
        <f aca="false">IFERROR(VLOOKUP($A13778,'319'!$B:$H,7,0),0)</f>
        <v>0</v>
      </c>
      <c r="G13778" s="34" t="n">
        <f aca="false">SUMIFS('12.326ana'!$C:$C,'12.326ana'!$M:$M,redes!A13778)</f>
        <v>0</v>
      </c>
    </row>
    <row r="13779" customFormat="false" ht="14.4" hidden="true" customHeight="false" outlineLevel="0" collapsed="false">
      <c r="A13779" s="34" t="n">
        <v>17064579000159</v>
      </c>
      <c r="B13779" s="34" t="s">
        <v>25993</v>
      </c>
      <c r="C13779" s="34" t="s">
        <v>103</v>
      </c>
      <c r="E13779" s="30" t="s">
        <v>25994</v>
      </c>
      <c r="F13779" s="34" t="n">
        <f aca="false">IFERROR(VLOOKUP($A13779,'319'!$B:$H,7,0),0)</f>
        <v>0</v>
      </c>
      <c r="G13779" s="34" t="n">
        <f aca="false">SUMIFS('12.326ana'!$C:$C,'12.326ana'!$M:$M,redes!A13779)</f>
        <v>0</v>
      </c>
    </row>
    <row r="13780" customFormat="false" ht="14.4" hidden="true" customHeight="false" outlineLevel="0" collapsed="false">
      <c r="A13780" s="34" t="n">
        <v>17077148000127</v>
      </c>
      <c r="B13780" s="34" t="s">
        <v>25995</v>
      </c>
      <c r="C13780" s="34" t="s">
        <v>139</v>
      </c>
      <c r="E13780" s="30" t="s">
        <v>25996</v>
      </c>
      <c r="F13780" s="34" t="n">
        <f aca="false">IFERROR(VLOOKUP($A13780,'319'!$B:$H,7,0),0)</f>
        <v>0</v>
      </c>
      <c r="G13780" s="34" t="n">
        <f aca="false">SUMIFS('12.326ana'!$C:$C,'12.326ana'!$M:$M,redes!A13780)</f>
        <v>0</v>
      </c>
    </row>
    <row r="13781" customFormat="false" ht="14.4" hidden="true" customHeight="false" outlineLevel="0" collapsed="false">
      <c r="A13781" s="34" t="n">
        <v>17087178000114</v>
      </c>
      <c r="B13781" s="34" t="s">
        <v>25997</v>
      </c>
      <c r="C13781" s="34" t="s">
        <v>77</v>
      </c>
      <c r="E13781" s="30" t="s">
        <v>4942</v>
      </c>
      <c r="F13781" s="34" t="n">
        <f aca="false">IFERROR(VLOOKUP($A13781,'319'!$B:$H,7,0),0)</f>
        <v>0</v>
      </c>
      <c r="G13781" s="34" t="n">
        <f aca="false">SUMIFS('12.326ana'!$C:$C,'12.326ana'!$M:$M,redes!A13781)</f>
        <v>0</v>
      </c>
    </row>
    <row r="13782" customFormat="false" ht="14.4" hidden="true" customHeight="false" outlineLevel="0" collapsed="false">
      <c r="A13782" s="34" t="n">
        <v>17088347000130</v>
      </c>
      <c r="B13782" s="34" t="s">
        <v>25998</v>
      </c>
      <c r="C13782" s="34" t="s">
        <v>77</v>
      </c>
      <c r="E13782" s="30" t="s">
        <v>25999</v>
      </c>
      <c r="F13782" s="34" t="n">
        <f aca="false">IFERROR(VLOOKUP($A13782,'319'!$B:$H,7,0),0)</f>
        <v>0</v>
      </c>
      <c r="G13782" s="34" t="n">
        <f aca="false">SUMIFS('12.326ana'!$C:$C,'12.326ana'!$M:$M,redes!A13782)</f>
        <v>0</v>
      </c>
    </row>
    <row r="13783" customFormat="false" ht="14.4" hidden="true" customHeight="false" outlineLevel="0" collapsed="false">
      <c r="A13783" s="34" t="n">
        <v>17088547000193</v>
      </c>
      <c r="B13783" s="34" t="s">
        <v>26000</v>
      </c>
      <c r="C13783" s="34" t="s">
        <v>77</v>
      </c>
      <c r="E13783" s="30" t="s">
        <v>26000</v>
      </c>
      <c r="F13783" s="34" t="n">
        <f aca="false">IFERROR(VLOOKUP($A13783,'319'!$B:$H,7,0),0)</f>
        <v>0</v>
      </c>
      <c r="G13783" s="34" t="n">
        <f aca="false">SUMIFS('12.326ana'!$C:$C,'12.326ana'!$M:$M,redes!A13783)</f>
        <v>0</v>
      </c>
    </row>
    <row r="13784" customFormat="false" ht="14.4" hidden="true" customHeight="false" outlineLevel="0" collapsed="false">
      <c r="A13784" s="34" t="n">
        <v>17110698000109</v>
      </c>
      <c r="B13784" s="34" t="s">
        <v>26001</v>
      </c>
      <c r="C13784" s="34" t="s">
        <v>103</v>
      </c>
      <c r="E13784" s="30" t="s">
        <v>26002</v>
      </c>
      <c r="F13784" s="34" t="n">
        <f aca="false">IFERROR(VLOOKUP($A13784,'319'!$B:$H,7,0),0)</f>
        <v>0</v>
      </c>
      <c r="G13784" s="34" t="n">
        <f aca="false">SUMIFS('12.326ana'!$C:$C,'12.326ana'!$M:$M,redes!A13784)</f>
        <v>0</v>
      </c>
    </row>
    <row r="13785" customFormat="false" ht="14.4" hidden="true" customHeight="false" outlineLevel="0" collapsed="false">
      <c r="A13785" s="34" t="n">
        <v>17115041000126</v>
      </c>
      <c r="B13785" s="34" t="s">
        <v>26003</v>
      </c>
      <c r="C13785" s="34" t="s">
        <v>117</v>
      </c>
      <c r="E13785" s="30" t="s">
        <v>26004</v>
      </c>
      <c r="F13785" s="34" t="n">
        <f aca="false">IFERROR(VLOOKUP($A13785,'319'!$B:$H,7,0),0)</f>
        <v>0</v>
      </c>
      <c r="G13785" s="34" t="n">
        <f aca="false">SUMIFS('12.326ana'!$C:$C,'12.326ana'!$M:$M,redes!A13785)</f>
        <v>0</v>
      </c>
    </row>
    <row r="13786" customFormat="false" ht="14.4" hidden="true" customHeight="false" outlineLevel="0" collapsed="false">
      <c r="A13786" s="34" t="n">
        <v>17119410000159</v>
      </c>
      <c r="B13786" s="34" t="s">
        <v>26005</v>
      </c>
      <c r="C13786" s="34" t="s">
        <v>192</v>
      </c>
      <c r="E13786" s="30" t="s">
        <v>26006</v>
      </c>
      <c r="F13786" s="34" t="n">
        <f aca="false">IFERROR(VLOOKUP($A13786,'319'!$B:$H,7,0),0)</f>
        <v>0</v>
      </c>
      <c r="G13786" s="34" t="n">
        <f aca="false">SUMIFS('12.326ana'!$C:$C,'12.326ana'!$M:$M,redes!A13786)</f>
        <v>0</v>
      </c>
    </row>
    <row r="13787" customFormat="false" ht="14.4" hidden="true" customHeight="false" outlineLevel="0" collapsed="false">
      <c r="A13787" s="34" t="n">
        <v>17134118000105</v>
      </c>
      <c r="B13787" s="34" t="s">
        <v>26007</v>
      </c>
      <c r="C13787" s="34" t="s">
        <v>107</v>
      </c>
      <c r="E13787" s="30" t="s">
        <v>16404</v>
      </c>
      <c r="F13787" s="34" t="n">
        <f aca="false">IFERROR(VLOOKUP($A13787,'319'!$B:$H,7,0),0)</f>
        <v>0</v>
      </c>
      <c r="G13787" s="34" t="n">
        <f aca="false">SUMIFS('12.326ana'!$C:$C,'12.326ana'!$M:$M,redes!A13787)</f>
        <v>0</v>
      </c>
    </row>
    <row r="13788" customFormat="false" ht="14.4" hidden="true" customHeight="false" outlineLevel="0" collapsed="false">
      <c r="A13788" s="34" t="n">
        <v>17142701000168</v>
      </c>
      <c r="B13788" s="34" t="s">
        <v>26008</v>
      </c>
      <c r="C13788" s="34" t="s">
        <v>77</v>
      </c>
      <c r="E13788" s="30" t="s">
        <v>26009</v>
      </c>
      <c r="F13788" s="34" t="n">
        <f aca="false">IFERROR(VLOOKUP($A13788,'319'!$B:$H,7,0),0)</f>
        <v>0</v>
      </c>
      <c r="G13788" s="34" t="n">
        <f aca="false">SUMIFS('12.326ana'!$C:$C,'12.326ana'!$M:$M,redes!A13788)</f>
        <v>0</v>
      </c>
    </row>
    <row r="13789" customFormat="false" ht="14.4" hidden="true" customHeight="false" outlineLevel="0" collapsed="false">
      <c r="A13789" s="34" t="n">
        <v>17158352000172</v>
      </c>
      <c r="B13789" s="34" t="s">
        <v>26010</v>
      </c>
      <c r="C13789" s="34" t="s">
        <v>77</v>
      </c>
      <c r="E13789" s="30" t="s">
        <v>26011</v>
      </c>
      <c r="F13789" s="34" t="n">
        <f aca="false">IFERROR(VLOOKUP($A13789,'319'!$B:$H,7,0),0)</f>
        <v>0</v>
      </c>
      <c r="G13789" s="34" t="n">
        <f aca="false">SUMIFS('12.326ana'!$C:$C,'12.326ana'!$M:$M,redes!A13789)</f>
        <v>0</v>
      </c>
    </row>
    <row r="13790" customFormat="false" ht="14.4" hidden="true" customHeight="false" outlineLevel="0" collapsed="false">
      <c r="A13790" s="34" t="n">
        <v>17163199000171</v>
      </c>
      <c r="B13790" s="34" t="s">
        <v>26012</v>
      </c>
      <c r="C13790" s="34" t="s">
        <v>77</v>
      </c>
      <c r="E13790" s="30" t="s">
        <v>26013</v>
      </c>
      <c r="F13790" s="34" t="n">
        <f aca="false">IFERROR(VLOOKUP($A13790,'319'!$B:$H,7,0),0)</f>
        <v>0</v>
      </c>
      <c r="G13790" s="34" t="n">
        <f aca="false">SUMIFS('12.326ana'!$C:$C,'12.326ana'!$M:$M,redes!A13790)</f>
        <v>0</v>
      </c>
    </row>
    <row r="13791" customFormat="false" ht="14.4" hidden="true" customHeight="false" outlineLevel="0" collapsed="false">
      <c r="A13791" s="34" t="n">
        <v>17176964000198</v>
      </c>
      <c r="B13791" s="34" t="s">
        <v>26014</v>
      </c>
      <c r="C13791" s="34" t="s">
        <v>103</v>
      </c>
      <c r="E13791" s="30" t="s">
        <v>26015</v>
      </c>
      <c r="F13791" s="34" t="n">
        <f aca="false">IFERROR(VLOOKUP($A13791,'319'!$B:$H,7,0),0)</f>
        <v>0</v>
      </c>
      <c r="G13791" s="34" t="n">
        <f aca="false">SUMIFS('12.326ana'!$C:$C,'12.326ana'!$M:$M,redes!A13791)</f>
        <v>0</v>
      </c>
    </row>
    <row r="13792" customFormat="false" ht="14.4" hidden="true" customHeight="false" outlineLevel="0" collapsed="false">
      <c r="A13792" s="34" t="n">
        <v>17178738000146</v>
      </c>
      <c r="B13792" s="34" t="s">
        <v>26016</v>
      </c>
      <c r="C13792" s="34" t="s">
        <v>89</v>
      </c>
      <c r="E13792" s="30" t="s">
        <v>12980</v>
      </c>
      <c r="F13792" s="34" t="n">
        <f aca="false">IFERROR(VLOOKUP($A13792,'319'!$B:$H,7,0),0)</f>
        <v>0</v>
      </c>
      <c r="G13792" s="34" t="n">
        <f aca="false">SUMIFS('12.326ana'!$C:$C,'12.326ana'!$M:$M,redes!A13792)</f>
        <v>0</v>
      </c>
    </row>
    <row r="13793" customFormat="false" ht="14.4" hidden="true" customHeight="false" outlineLevel="0" collapsed="false">
      <c r="A13793" s="34" t="n">
        <v>17183489000187</v>
      </c>
      <c r="B13793" s="34" t="s">
        <v>26017</v>
      </c>
      <c r="C13793" s="34" t="s">
        <v>463</v>
      </c>
      <c r="E13793" s="30" t="s">
        <v>22299</v>
      </c>
      <c r="F13793" s="34" t="n">
        <f aca="false">IFERROR(VLOOKUP($A13793,'319'!$B:$H,7,0),0)</f>
        <v>0</v>
      </c>
      <c r="G13793" s="34" t="n">
        <f aca="false">SUMIFS('12.326ana'!$C:$C,'12.326ana'!$M:$M,redes!A13793)</f>
        <v>0</v>
      </c>
    </row>
    <row r="13794" customFormat="false" ht="14.4" hidden="true" customHeight="false" outlineLevel="0" collapsed="false">
      <c r="A13794" s="34" t="n">
        <v>17184625000153</v>
      </c>
      <c r="B13794" s="34" t="s">
        <v>26018</v>
      </c>
      <c r="C13794" s="34" t="s">
        <v>197</v>
      </c>
      <c r="E13794" s="30" t="s">
        <v>26019</v>
      </c>
      <c r="F13794" s="34" t="n">
        <f aca="false">IFERROR(VLOOKUP($A13794,'319'!$B:$H,7,0),0)</f>
        <v>0</v>
      </c>
      <c r="G13794" s="34" t="n">
        <f aca="false">SUMIFS('12.326ana'!$C:$C,'12.326ana'!$M:$M,redes!A13794)</f>
        <v>0</v>
      </c>
    </row>
    <row r="13795" customFormat="false" ht="14.4" hidden="true" customHeight="false" outlineLevel="0" collapsed="false">
      <c r="A13795" s="34" t="n">
        <v>17185986000114</v>
      </c>
      <c r="B13795" s="34" t="s">
        <v>26020</v>
      </c>
      <c r="C13795" s="34" t="s">
        <v>464</v>
      </c>
      <c r="E13795" s="30" t="s">
        <v>26021</v>
      </c>
      <c r="F13795" s="34" t="n">
        <f aca="false">IFERROR(VLOOKUP($A13795,'319'!$B:$H,7,0),0)</f>
        <v>0</v>
      </c>
      <c r="G13795" s="34" t="n">
        <f aca="false">SUMIFS('12.326ana'!$C:$C,'12.326ana'!$M:$M,redes!A13795)</f>
        <v>0</v>
      </c>
    </row>
    <row r="13796" customFormat="false" ht="14.4" hidden="true" customHeight="false" outlineLevel="0" collapsed="false">
      <c r="A13796" s="34" t="n">
        <v>17191139000162</v>
      </c>
      <c r="B13796" s="34" t="s">
        <v>26022</v>
      </c>
      <c r="C13796" s="34" t="s">
        <v>139</v>
      </c>
      <c r="E13796" s="30" t="s">
        <v>26023</v>
      </c>
      <c r="F13796" s="34" t="n">
        <f aca="false">IFERROR(VLOOKUP($A13796,'319'!$B:$H,7,0),0)</f>
        <v>0</v>
      </c>
      <c r="G13796" s="34" t="n">
        <f aca="false">SUMIFS('12.326ana'!$C:$C,'12.326ana'!$M:$M,redes!A13796)</f>
        <v>0</v>
      </c>
    </row>
    <row r="13797" customFormat="false" ht="14.4" hidden="true" customHeight="false" outlineLevel="0" collapsed="false">
      <c r="A13797" s="34" t="n">
        <v>17197140000102</v>
      </c>
      <c r="B13797" s="34" t="s">
        <v>26024</v>
      </c>
      <c r="C13797" s="34" t="s">
        <v>127</v>
      </c>
      <c r="E13797" s="30" t="s">
        <v>26025</v>
      </c>
      <c r="F13797" s="34" t="n">
        <f aca="false">IFERROR(VLOOKUP($A13797,'319'!$B:$H,7,0),0)</f>
        <v>0</v>
      </c>
      <c r="G13797" s="34" t="n">
        <f aca="false">SUMIFS('12.326ana'!$C:$C,'12.326ana'!$M:$M,redes!A13797)</f>
        <v>0</v>
      </c>
    </row>
    <row r="13798" customFormat="false" ht="14.4" hidden="true" customHeight="false" outlineLevel="0" collapsed="false">
      <c r="A13798" s="34" t="n">
        <v>17206887000171</v>
      </c>
      <c r="B13798" s="34" t="s">
        <v>26026</v>
      </c>
      <c r="C13798" s="34" t="s">
        <v>197</v>
      </c>
      <c r="E13798" s="30" t="s">
        <v>26027</v>
      </c>
      <c r="F13798" s="34" t="n">
        <f aca="false">IFERROR(VLOOKUP($A13798,'319'!$B:$H,7,0),0)</f>
        <v>0</v>
      </c>
      <c r="G13798" s="34" t="n">
        <f aca="false">SUMIFS('12.326ana'!$C:$C,'12.326ana'!$M:$M,redes!A13798)</f>
        <v>0</v>
      </c>
    </row>
    <row r="13799" customFormat="false" ht="14.4" hidden="true" customHeight="false" outlineLevel="0" collapsed="false">
      <c r="A13799" s="34" t="n">
        <v>17210132000140</v>
      </c>
      <c r="B13799" s="34" t="s">
        <v>26028</v>
      </c>
      <c r="C13799" s="34" t="s">
        <v>77</v>
      </c>
      <c r="E13799" s="30" t="s">
        <v>26029</v>
      </c>
      <c r="F13799" s="34" t="n">
        <f aca="false">IFERROR(VLOOKUP($A13799,'319'!$B:$H,7,0),0)</f>
        <v>0</v>
      </c>
      <c r="G13799" s="34" t="n">
        <f aca="false">SUMIFS('12.326ana'!$C:$C,'12.326ana'!$M:$M,redes!A13799)</f>
        <v>0</v>
      </c>
    </row>
    <row r="13800" customFormat="false" ht="14.4" hidden="true" customHeight="false" outlineLevel="0" collapsed="false">
      <c r="A13800" s="34" t="n">
        <v>17211043000119</v>
      </c>
      <c r="B13800" s="34" t="s">
        <v>26030</v>
      </c>
      <c r="C13800" s="34" t="s">
        <v>77</v>
      </c>
      <c r="E13800" s="30" t="s">
        <v>26031</v>
      </c>
      <c r="F13800" s="34" t="n">
        <f aca="false">IFERROR(VLOOKUP($A13800,'319'!$B:$H,7,0),0)</f>
        <v>0</v>
      </c>
      <c r="G13800" s="34" t="n">
        <f aca="false">SUMIFS('12.326ana'!$C:$C,'12.326ana'!$M:$M,redes!A13800)</f>
        <v>0</v>
      </c>
    </row>
    <row r="13801" customFormat="false" ht="14.4" hidden="true" customHeight="false" outlineLevel="0" collapsed="false">
      <c r="A13801" s="34" t="n">
        <v>17212938000178</v>
      </c>
      <c r="B13801" s="34" t="s">
        <v>26032</v>
      </c>
      <c r="C13801" s="34" t="s">
        <v>89</v>
      </c>
      <c r="E13801" s="30" t="s">
        <v>26033</v>
      </c>
      <c r="F13801" s="34" t="n">
        <f aca="false">IFERROR(VLOOKUP($A13801,'319'!$B:$H,7,0),0)</f>
        <v>0</v>
      </c>
      <c r="G13801" s="34" t="n">
        <f aca="false">SUMIFS('12.326ana'!$C:$C,'12.326ana'!$M:$M,redes!A13801)</f>
        <v>0</v>
      </c>
    </row>
    <row r="13802" customFormat="false" ht="14.4" hidden="true" customHeight="false" outlineLevel="0" collapsed="false">
      <c r="A13802" s="34" t="n">
        <v>17213150000186</v>
      </c>
      <c r="B13802" s="34" t="s">
        <v>26034</v>
      </c>
      <c r="C13802" s="34" t="s">
        <v>77</v>
      </c>
      <c r="E13802" s="30" t="s">
        <v>26035</v>
      </c>
      <c r="F13802" s="34" t="n">
        <f aca="false">IFERROR(VLOOKUP($A13802,'319'!$B:$H,7,0),0)</f>
        <v>0</v>
      </c>
      <c r="G13802" s="34" t="n">
        <f aca="false">SUMIFS('12.326ana'!$C:$C,'12.326ana'!$M:$M,redes!A13802)</f>
        <v>0</v>
      </c>
    </row>
    <row r="13803" customFormat="false" ht="14.4" hidden="true" customHeight="false" outlineLevel="0" collapsed="false">
      <c r="A13803" s="34" t="n">
        <v>17213267000160</v>
      </c>
      <c r="B13803" s="34" t="s">
        <v>26036</v>
      </c>
      <c r="C13803" s="34" t="s">
        <v>1272</v>
      </c>
      <c r="E13803" s="30" t="s">
        <v>26037</v>
      </c>
      <c r="F13803" s="34" t="n">
        <f aca="false">IFERROR(VLOOKUP($A13803,'319'!$B:$H,7,0),0)</f>
        <v>0</v>
      </c>
      <c r="G13803" s="34" t="n">
        <f aca="false">SUMIFS('12.326ana'!$C:$C,'12.326ana'!$M:$M,redes!A13803)</f>
        <v>0</v>
      </c>
    </row>
    <row r="13804" customFormat="false" ht="14.4" hidden="true" customHeight="false" outlineLevel="0" collapsed="false">
      <c r="A13804" s="34" t="n">
        <v>17213856000148</v>
      </c>
      <c r="B13804" s="34" t="s">
        <v>26038</v>
      </c>
      <c r="C13804" s="34" t="s">
        <v>77</v>
      </c>
      <c r="E13804" s="30" t="s">
        <v>26039</v>
      </c>
      <c r="F13804" s="34" t="n">
        <f aca="false">IFERROR(VLOOKUP($A13804,'319'!$B:$H,7,0),0)</f>
        <v>0</v>
      </c>
      <c r="G13804" s="34" t="n">
        <f aca="false">SUMIFS('12.326ana'!$C:$C,'12.326ana'!$M:$M,redes!A13804)</f>
        <v>0</v>
      </c>
    </row>
    <row r="13805" customFormat="false" ht="14.4" hidden="true" customHeight="false" outlineLevel="0" collapsed="false">
      <c r="A13805" s="34" t="n">
        <v>17218647000197</v>
      </c>
      <c r="B13805" s="34" t="s">
        <v>26040</v>
      </c>
      <c r="C13805" s="34" t="s">
        <v>565</v>
      </c>
      <c r="E13805" s="30" t="s">
        <v>26041</v>
      </c>
      <c r="F13805" s="34" t="n">
        <f aca="false">IFERROR(VLOOKUP($A13805,'319'!$B:$H,7,0),0)</f>
        <v>64.72</v>
      </c>
      <c r="G13805" s="34" t="n">
        <f aca="false">SUMIFS('12.326ana'!$C:$C,'12.326ana'!$M:$M,redes!A13805)</f>
        <v>0</v>
      </c>
    </row>
    <row r="13806" customFormat="false" ht="14.4" hidden="true" customHeight="false" outlineLevel="0" collapsed="false">
      <c r="A13806" s="34" t="n">
        <v>17226414000136</v>
      </c>
      <c r="B13806" s="34" t="s">
        <v>26042</v>
      </c>
      <c r="C13806" s="34" t="s">
        <v>89</v>
      </c>
      <c r="E13806" s="30" t="s">
        <v>26043</v>
      </c>
      <c r="F13806" s="34" t="n">
        <f aca="false">IFERROR(VLOOKUP($A13806,'319'!$B:$H,7,0),0)</f>
        <v>0</v>
      </c>
      <c r="G13806" s="34" t="n">
        <f aca="false">SUMIFS('12.326ana'!$C:$C,'12.326ana'!$M:$M,redes!A13806)</f>
        <v>0</v>
      </c>
    </row>
    <row r="13807" customFormat="false" ht="14.4" hidden="true" customHeight="false" outlineLevel="0" collapsed="false">
      <c r="A13807" s="34" t="n">
        <v>17229476000100</v>
      </c>
      <c r="B13807" s="34" t="s">
        <v>26044</v>
      </c>
      <c r="C13807" s="34" t="s">
        <v>107</v>
      </c>
      <c r="E13807" s="30" t="s">
        <v>26045</v>
      </c>
      <c r="F13807" s="34" t="n">
        <f aca="false">IFERROR(VLOOKUP($A13807,'319'!$B:$H,7,0),0)</f>
        <v>0</v>
      </c>
      <c r="G13807" s="34" t="n">
        <f aca="false">SUMIFS('12.326ana'!$C:$C,'12.326ana'!$M:$M,redes!A13807)</f>
        <v>0</v>
      </c>
    </row>
    <row r="13808" customFormat="false" ht="14.4" hidden="true" customHeight="false" outlineLevel="0" collapsed="false">
      <c r="A13808" s="34" t="n">
        <v>17229649000181</v>
      </c>
      <c r="B13808" s="34" t="s">
        <v>26046</v>
      </c>
      <c r="C13808" s="34" t="s">
        <v>1272</v>
      </c>
      <c r="E13808" s="30" t="s">
        <v>26047</v>
      </c>
      <c r="F13808" s="34" t="n">
        <f aca="false">IFERROR(VLOOKUP($A13808,'319'!$B:$H,7,0),0)</f>
        <v>0</v>
      </c>
      <c r="G13808" s="34" t="n">
        <f aca="false">SUMIFS('12.326ana'!$C:$C,'12.326ana'!$M:$M,redes!A13808)</f>
        <v>0</v>
      </c>
    </row>
    <row r="13809" customFormat="false" ht="14.4" hidden="true" customHeight="false" outlineLevel="0" collapsed="false">
      <c r="A13809" s="34" t="n">
        <v>17229801000126</v>
      </c>
      <c r="B13809" s="34" t="s">
        <v>26048</v>
      </c>
      <c r="C13809" s="34" t="s">
        <v>342</v>
      </c>
      <c r="E13809" s="30" t="s">
        <v>20628</v>
      </c>
      <c r="F13809" s="34" t="n">
        <f aca="false">IFERROR(VLOOKUP($A13809,'319'!$B:$H,7,0),0)</f>
        <v>0</v>
      </c>
      <c r="G13809" s="34" t="n">
        <f aca="false">SUMIFS('12.326ana'!$C:$C,'12.326ana'!$M:$M,redes!A13809)</f>
        <v>0</v>
      </c>
    </row>
    <row r="13810" customFormat="false" ht="14.4" hidden="true" customHeight="false" outlineLevel="0" collapsed="false">
      <c r="A13810" s="34" t="n">
        <v>17229820000152</v>
      </c>
      <c r="B13810" s="34" t="s">
        <v>26049</v>
      </c>
      <c r="C13810" s="34" t="s">
        <v>127</v>
      </c>
      <c r="E13810" s="30" t="s">
        <v>20377</v>
      </c>
      <c r="F13810" s="34" t="n">
        <f aca="false">IFERROR(VLOOKUP($A13810,'319'!$B:$H,7,0),0)</f>
        <v>0</v>
      </c>
      <c r="G13810" s="34" t="n">
        <f aca="false">SUMIFS('12.326ana'!$C:$C,'12.326ana'!$M:$M,redes!A13810)</f>
        <v>0</v>
      </c>
    </row>
    <row r="13811" customFormat="false" ht="14.4" hidden="true" customHeight="false" outlineLevel="0" collapsed="false">
      <c r="A13811" s="34" t="n">
        <v>17231071000106</v>
      </c>
      <c r="B13811" s="34" t="s">
        <v>26050</v>
      </c>
      <c r="C13811" s="34" t="s">
        <v>1272</v>
      </c>
      <c r="E13811" s="30" t="s">
        <v>3021</v>
      </c>
      <c r="F13811" s="34" t="n">
        <f aca="false">IFERROR(VLOOKUP($A13811,'319'!$B:$H,7,0),0)</f>
        <v>0</v>
      </c>
      <c r="G13811" s="34" t="n">
        <f aca="false">SUMIFS('12.326ana'!$C:$C,'12.326ana'!$M:$M,redes!A13811)</f>
        <v>0</v>
      </c>
    </row>
    <row r="13812" customFormat="false" ht="14.4" hidden="true" customHeight="false" outlineLevel="0" collapsed="false">
      <c r="A13812" s="34" t="n">
        <v>17231263000104</v>
      </c>
      <c r="B13812" s="34" t="s">
        <v>26051</v>
      </c>
      <c r="C13812" s="34" t="s">
        <v>2998</v>
      </c>
      <c r="E13812" s="30" t="s">
        <v>26052</v>
      </c>
      <c r="F13812" s="34" t="n">
        <f aca="false">IFERROR(VLOOKUP($A13812,'319'!$B:$H,7,0),0)</f>
        <v>0</v>
      </c>
      <c r="G13812" s="34" t="n">
        <f aca="false">SUMIFS('12.326ana'!$C:$C,'12.326ana'!$M:$M,redes!A13812)</f>
        <v>0</v>
      </c>
    </row>
    <row r="13813" customFormat="false" ht="14.4" hidden="true" customHeight="false" outlineLevel="0" collapsed="false">
      <c r="A13813" s="34" t="n">
        <v>17237183000166</v>
      </c>
      <c r="B13813" s="34" t="s">
        <v>26053</v>
      </c>
      <c r="C13813" s="34" t="s">
        <v>1680</v>
      </c>
      <c r="E13813" s="30" t="s">
        <v>26054</v>
      </c>
      <c r="F13813" s="34" t="n">
        <f aca="false">IFERROR(VLOOKUP($A13813,'319'!$B:$H,7,0),0)</f>
        <v>0</v>
      </c>
      <c r="G13813" s="34" t="n">
        <f aca="false">SUMIFS('12.326ana'!$C:$C,'12.326ana'!$M:$M,redes!A13813)</f>
        <v>0</v>
      </c>
    </row>
    <row r="13814" customFormat="false" ht="14.4" hidden="true" customHeight="false" outlineLevel="0" collapsed="false">
      <c r="A13814" s="34" t="n">
        <v>17250797000188</v>
      </c>
      <c r="B13814" s="34" t="s">
        <v>26055</v>
      </c>
      <c r="C13814" s="34" t="s">
        <v>737</v>
      </c>
      <c r="E13814" s="30" t="s">
        <v>26056</v>
      </c>
      <c r="F13814" s="34" t="n">
        <f aca="false">IFERROR(VLOOKUP($A13814,'319'!$B:$H,7,0),0)</f>
        <v>0</v>
      </c>
      <c r="G13814" s="34" t="n">
        <f aca="false">SUMIFS('12.326ana'!$C:$C,'12.326ana'!$M:$M,redes!A13814)</f>
        <v>0</v>
      </c>
    </row>
    <row r="13815" customFormat="false" ht="14.4" hidden="true" customHeight="false" outlineLevel="0" collapsed="false">
      <c r="A13815" s="34" t="n">
        <v>17252344000190</v>
      </c>
      <c r="B13815" s="34" t="s">
        <v>26057</v>
      </c>
      <c r="C13815" s="34" t="s">
        <v>631</v>
      </c>
      <c r="E13815" s="30" t="s">
        <v>26058</v>
      </c>
      <c r="F13815" s="34" t="n">
        <f aca="false">IFERROR(VLOOKUP($A13815,'319'!$B:$H,7,0),0)</f>
        <v>0</v>
      </c>
      <c r="G13815" s="34" t="n">
        <f aca="false">SUMIFS('12.326ana'!$C:$C,'12.326ana'!$M:$M,redes!A13815)</f>
        <v>0</v>
      </c>
    </row>
    <row r="13816" customFormat="false" ht="14.4" hidden="true" customHeight="false" outlineLevel="0" collapsed="false">
      <c r="A13816" s="34" t="n">
        <v>17255071000138</v>
      </c>
      <c r="B13816" s="34" t="s">
        <v>26059</v>
      </c>
      <c r="C13816" s="34" t="s">
        <v>77</v>
      </c>
      <c r="E13816" s="30" t="s">
        <v>26060</v>
      </c>
      <c r="F13816" s="34" t="n">
        <f aca="false">IFERROR(VLOOKUP($A13816,'319'!$B:$H,7,0),0)</f>
        <v>0</v>
      </c>
      <c r="G13816" s="34" t="n">
        <f aca="false">SUMIFS('12.326ana'!$C:$C,'12.326ana'!$M:$M,redes!A13816)</f>
        <v>0</v>
      </c>
    </row>
    <row r="13817" customFormat="false" ht="14.4" hidden="true" customHeight="false" outlineLevel="0" collapsed="false">
      <c r="A13817" s="34" t="n">
        <v>17258190000144</v>
      </c>
      <c r="B13817" s="34" t="s">
        <v>26061</v>
      </c>
      <c r="C13817" s="34" t="s">
        <v>1591</v>
      </c>
      <c r="E13817" s="30" t="s">
        <v>3347</v>
      </c>
      <c r="F13817" s="34" t="n">
        <f aca="false">IFERROR(VLOOKUP($A13817,'319'!$B:$H,7,0),0)</f>
        <v>-549.25</v>
      </c>
      <c r="G13817" s="34" t="n">
        <f aca="false">SUMIFS('12.326ana'!$C:$C,'12.326ana'!$M:$M,redes!A13817)</f>
        <v>0</v>
      </c>
    </row>
    <row r="13818" customFormat="false" ht="14.4" hidden="true" customHeight="false" outlineLevel="0" collapsed="false">
      <c r="A13818" s="34" t="n">
        <v>17259935000190</v>
      </c>
      <c r="B13818" s="34" t="s">
        <v>26062</v>
      </c>
      <c r="C13818" s="34" t="s">
        <v>89</v>
      </c>
      <c r="E13818" s="30"/>
      <c r="F13818" s="34" t="n">
        <f aca="false">IFERROR(VLOOKUP($A13818,'319'!$B:$H,7,0),0)</f>
        <v>0</v>
      </c>
      <c r="G13818" s="34" t="n">
        <f aca="false">SUMIFS('12.326ana'!$C:$C,'12.326ana'!$M:$M,redes!A13818)</f>
        <v>0</v>
      </c>
    </row>
    <row r="13819" customFormat="false" ht="14.4" hidden="true" customHeight="false" outlineLevel="0" collapsed="false">
      <c r="A13819" s="34" t="n">
        <v>17261661006023</v>
      </c>
      <c r="B13819" s="34" t="s">
        <v>26063</v>
      </c>
      <c r="C13819" s="34" t="s">
        <v>77</v>
      </c>
      <c r="E13819" s="30" t="s">
        <v>26064</v>
      </c>
      <c r="F13819" s="34" t="n">
        <f aca="false">IFERROR(VLOOKUP($A13819,'319'!$B:$H,7,0),0)</f>
        <v>0</v>
      </c>
      <c r="G13819" s="34" t="n">
        <f aca="false">SUMIFS('12.326ana'!$C:$C,'12.326ana'!$M:$M,redes!A13819)</f>
        <v>0</v>
      </c>
    </row>
    <row r="13820" customFormat="false" ht="14.4" hidden="true" customHeight="false" outlineLevel="0" collapsed="false">
      <c r="A13820" s="34" t="n">
        <v>17263639000162</v>
      </c>
      <c r="B13820" s="34" t="s">
        <v>26065</v>
      </c>
      <c r="C13820" s="34" t="s">
        <v>1618</v>
      </c>
      <c r="E13820" s="30" t="s">
        <v>26066</v>
      </c>
      <c r="F13820" s="34" t="n">
        <f aca="false">IFERROR(VLOOKUP($A13820,'319'!$B:$H,7,0),0)</f>
        <v>0</v>
      </c>
      <c r="G13820" s="34" t="n">
        <f aca="false">SUMIFS('12.326ana'!$C:$C,'12.326ana'!$M:$M,redes!A13820)</f>
        <v>0</v>
      </c>
    </row>
    <row r="13821" customFormat="false" ht="14.4" hidden="true" customHeight="false" outlineLevel="0" collapsed="false">
      <c r="A13821" s="34" t="n">
        <v>17265663000130</v>
      </c>
      <c r="B13821" s="34" t="s">
        <v>26067</v>
      </c>
      <c r="C13821" s="34" t="s">
        <v>107</v>
      </c>
      <c r="E13821" s="30" t="s">
        <v>13544</v>
      </c>
      <c r="F13821" s="34" t="n">
        <f aca="false">IFERROR(VLOOKUP($A13821,'319'!$B:$H,7,0),0)</f>
        <v>0</v>
      </c>
      <c r="G13821" s="34" t="n">
        <f aca="false">SUMIFS('12.326ana'!$C:$C,'12.326ana'!$M:$M,redes!A13821)</f>
        <v>0</v>
      </c>
    </row>
    <row r="13822" customFormat="false" ht="14.4" hidden="true" customHeight="false" outlineLevel="0" collapsed="false">
      <c r="A13822" s="34" t="n">
        <v>17265685000109</v>
      </c>
      <c r="B13822" s="34" t="s">
        <v>26068</v>
      </c>
      <c r="C13822" s="34" t="s">
        <v>107</v>
      </c>
      <c r="E13822" s="30" t="s">
        <v>4678</v>
      </c>
      <c r="F13822" s="34" t="n">
        <f aca="false">IFERROR(VLOOKUP($A13822,'319'!$B:$H,7,0),0)</f>
        <v>0</v>
      </c>
      <c r="G13822" s="34" t="n">
        <f aca="false">SUMIFS('12.326ana'!$C:$C,'12.326ana'!$M:$M,redes!A13822)</f>
        <v>0</v>
      </c>
    </row>
    <row r="13823" customFormat="false" ht="14.4" hidden="true" customHeight="false" outlineLevel="0" collapsed="false">
      <c r="A13823" s="34" t="n">
        <v>17266167000100</v>
      </c>
      <c r="B13823" s="34" t="s">
        <v>26069</v>
      </c>
      <c r="C13823" s="34" t="s">
        <v>77</v>
      </c>
      <c r="E13823" s="30" t="s">
        <v>26070</v>
      </c>
      <c r="F13823" s="34" t="n">
        <f aca="false">IFERROR(VLOOKUP($A13823,'319'!$B:$H,7,0),0)</f>
        <v>0</v>
      </c>
      <c r="G13823" s="34" t="n">
        <f aca="false">SUMIFS('12.326ana'!$C:$C,'12.326ana'!$M:$M,redes!A13823)</f>
        <v>0</v>
      </c>
    </row>
    <row r="13824" customFormat="false" ht="14.4" hidden="true" customHeight="false" outlineLevel="0" collapsed="false">
      <c r="A13824" s="34" t="n">
        <v>17274009000193</v>
      </c>
      <c r="B13824" s="34" t="s">
        <v>26071</v>
      </c>
      <c r="C13824" s="34" t="s">
        <v>77</v>
      </c>
      <c r="E13824" s="30" t="s">
        <v>3066</v>
      </c>
      <c r="F13824" s="34" t="n">
        <f aca="false">IFERROR(VLOOKUP($A13824,'319'!$B:$H,7,0),0)</f>
        <v>0</v>
      </c>
      <c r="G13824" s="34" t="n">
        <f aca="false">SUMIFS('12.326ana'!$C:$C,'12.326ana'!$M:$M,redes!A13824)</f>
        <v>0</v>
      </c>
    </row>
    <row r="13825" customFormat="false" ht="14.4" hidden="true" customHeight="false" outlineLevel="0" collapsed="false">
      <c r="A13825" s="34" t="n">
        <v>17274500000114</v>
      </c>
      <c r="B13825" s="34" t="s">
        <v>26072</v>
      </c>
      <c r="C13825" s="34" t="s">
        <v>139</v>
      </c>
      <c r="E13825" s="30" t="s">
        <v>26073</v>
      </c>
      <c r="F13825" s="34" t="n">
        <f aca="false">IFERROR(VLOOKUP($A13825,'319'!$B:$H,7,0),0)</f>
        <v>0</v>
      </c>
      <c r="G13825" s="34" t="n">
        <f aca="false">SUMIFS('12.326ana'!$C:$C,'12.326ana'!$M:$M,redes!A13825)</f>
        <v>0</v>
      </c>
    </row>
    <row r="13826" customFormat="false" ht="14.4" hidden="true" customHeight="false" outlineLevel="0" collapsed="false">
      <c r="A13826" s="34" t="n">
        <v>17276774000142</v>
      </c>
      <c r="B13826" s="34" t="s">
        <v>26074</v>
      </c>
      <c r="C13826" s="34" t="s">
        <v>77</v>
      </c>
      <c r="E13826" s="30" t="s">
        <v>20457</v>
      </c>
      <c r="F13826" s="34" t="n">
        <f aca="false">IFERROR(VLOOKUP($A13826,'319'!$B:$H,7,0),0)</f>
        <v>0</v>
      </c>
      <c r="G13826" s="34" t="n">
        <f aca="false">SUMIFS('12.326ana'!$C:$C,'12.326ana'!$M:$M,redes!A13826)</f>
        <v>0</v>
      </c>
    </row>
    <row r="13827" customFormat="false" ht="14.4" hidden="true" customHeight="false" outlineLevel="0" collapsed="false">
      <c r="A13827" s="34" t="n">
        <v>17281661000135</v>
      </c>
      <c r="B13827" s="34" t="s">
        <v>26075</v>
      </c>
      <c r="C13827" s="34" t="s">
        <v>77</v>
      </c>
      <c r="E13827" s="30" t="s">
        <v>5202</v>
      </c>
      <c r="F13827" s="34" t="n">
        <f aca="false">IFERROR(VLOOKUP($A13827,'319'!$B:$H,7,0),0)</f>
        <v>0</v>
      </c>
      <c r="G13827" s="34" t="n">
        <f aca="false">SUMIFS('12.326ana'!$C:$C,'12.326ana'!$M:$M,redes!A13827)</f>
        <v>0</v>
      </c>
    </row>
    <row r="13828" customFormat="false" ht="14.4" hidden="true" customHeight="false" outlineLevel="0" collapsed="false">
      <c r="A13828" s="34" t="n">
        <v>17281803000164</v>
      </c>
      <c r="B13828" s="34" t="s">
        <v>26076</v>
      </c>
      <c r="C13828" s="34" t="s">
        <v>117</v>
      </c>
      <c r="E13828" s="30" t="s">
        <v>26077</v>
      </c>
      <c r="F13828" s="34" t="n">
        <f aca="false">IFERROR(VLOOKUP($A13828,'319'!$B:$H,7,0),0)</f>
        <v>0</v>
      </c>
      <c r="G13828" s="34" t="n">
        <f aca="false">SUMIFS('12.326ana'!$C:$C,'12.326ana'!$M:$M,redes!A13828)</f>
        <v>0</v>
      </c>
    </row>
    <row r="13829" customFormat="false" ht="14.4" hidden="true" customHeight="false" outlineLevel="0" collapsed="false">
      <c r="A13829" s="34" t="n">
        <v>17283104000153</v>
      </c>
      <c r="B13829" s="34" t="s">
        <v>8335</v>
      </c>
      <c r="C13829" s="34" t="s">
        <v>77</v>
      </c>
      <c r="E13829" s="30" t="s">
        <v>3045</v>
      </c>
      <c r="F13829" s="34" t="n">
        <f aca="false">IFERROR(VLOOKUP($A13829,'319'!$B:$H,7,0),0)</f>
        <v>0</v>
      </c>
      <c r="G13829" s="34" t="n">
        <f aca="false">SUMIFS('12.326ana'!$C:$C,'12.326ana'!$M:$M,redes!A13829)</f>
        <v>0</v>
      </c>
    </row>
    <row r="13830" customFormat="false" ht="14.4" hidden="true" customHeight="false" outlineLevel="0" collapsed="false">
      <c r="A13830" s="34" t="n">
        <v>17289967000138</v>
      </c>
      <c r="B13830" s="34" t="s">
        <v>26078</v>
      </c>
      <c r="C13830" s="34" t="s">
        <v>77</v>
      </c>
      <c r="E13830" s="30" t="s">
        <v>26079</v>
      </c>
      <c r="F13830" s="34" t="n">
        <f aca="false">IFERROR(VLOOKUP($A13830,'319'!$B:$H,7,0),0)</f>
        <v>0</v>
      </c>
      <c r="G13830" s="34" t="n">
        <f aca="false">SUMIFS('12.326ana'!$C:$C,'12.326ana'!$M:$M,redes!A13830)</f>
        <v>0</v>
      </c>
    </row>
    <row r="13831" customFormat="false" ht="14.4" hidden="true" customHeight="false" outlineLevel="0" collapsed="false">
      <c r="A13831" s="34" t="n">
        <v>17294317000180</v>
      </c>
      <c r="B13831" s="34" t="s">
        <v>26080</v>
      </c>
      <c r="C13831" s="34" t="s">
        <v>77</v>
      </c>
      <c r="E13831" s="30" t="s">
        <v>26081</v>
      </c>
      <c r="F13831" s="34" t="n">
        <f aca="false">IFERROR(VLOOKUP($A13831,'319'!$B:$H,7,0),0)</f>
        <v>0</v>
      </c>
      <c r="G13831" s="34" t="n">
        <f aca="false">SUMIFS('12.326ana'!$C:$C,'12.326ana'!$M:$M,redes!A13831)</f>
        <v>0</v>
      </c>
    </row>
    <row r="13832" customFormat="false" ht="14.4" hidden="true" customHeight="false" outlineLevel="0" collapsed="false">
      <c r="A13832" s="34" t="n">
        <v>17298402000117</v>
      </c>
      <c r="B13832" s="34" t="s">
        <v>26082</v>
      </c>
      <c r="C13832" s="34" t="s">
        <v>309</v>
      </c>
      <c r="E13832" s="30" t="s">
        <v>26082</v>
      </c>
      <c r="F13832" s="34" t="n">
        <f aca="false">IFERROR(VLOOKUP($A13832,'319'!$B:$H,7,0),0)</f>
        <v>0</v>
      </c>
      <c r="G13832" s="34" t="n">
        <f aca="false">SUMIFS('12.326ana'!$C:$C,'12.326ana'!$M:$M,redes!A13832)</f>
        <v>0</v>
      </c>
    </row>
    <row r="13833" customFormat="false" ht="14.4" hidden="true" customHeight="false" outlineLevel="0" collapsed="false">
      <c r="A13833" s="34" t="n">
        <v>17303059000151</v>
      </c>
      <c r="B13833" s="34" t="s">
        <v>26083</v>
      </c>
      <c r="C13833" s="34" t="s">
        <v>139</v>
      </c>
      <c r="E13833" s="30" t="s">
        <v>20340</v>
      </c>
      <c r="F13833" s="34" t="n">
        <f aca="false">IFERROR(VLOOKUP($A13833,'319'!$B:$H,7,0),0)</f>
        <v>0</v>
      </c>
      <c r="G13833" s="34" t="n">
        <f aca="false">SUMIFS('12.326ana'!$C:$C,'12.326ana'!$M:$M,redes!A13833)</f>
        <v>0</v>
      </c>
    </row>
    <row r="13834" customFormat="false" ht="14.4" hidden="true" customHeight="false" outlineLevel="0" collapsed="false">
      <c r="A13834" s="34" t="n">
        <v>17303761000115</v>
      </c>
      <c r="B13834" s="34" t="s">
        <v>26084</v>
      </c>
      <c r="C13834" s="34" t="s">
        <v>117</v>
      </c>
      <c r="E13834" s="30" t="s">
        <v>26085</v>
      </c>
      <c r="F13834" s="34" t="n">
        <f aca="false">IFERROR(VLOOKUP($A13834,'319'!$B:$H,7,0),0)</f>
        <v>0</v>
      </c>
      <c r="G13834" s="34" t="n">
        <f aca="false">SUMIFS('12.326ana'!$C:$C,'12.326ana'!$M:$M,redes!A13834)</f>
        <v>0</v>
      </c>
    </row>
    <row r="13835" customFormat="false" ht="14.4" hidden="true" customHeight="false" outlineLevel="0" collapsed="false">
      <c r="A13835" s="34" t="n">
        <v>17304259000129</v>
      </c>
      <c r="B13835" s="34" t="s">
        <v>26086</v>
      </c>
      <c r="C13835" s="34" t="s">
        <v>979</v>
      </c>
      <c r="E13835" s="30" t="s">
        <v>26087</v>
      </c>
      <c r="F13835" s="34" t="n">
        <f aca="false">IFERROR(VLOOKUP($A13835,'319'!$B:$H,7,0),0)</f>
        <v>0</v>
      </c>
      <c r="G13835" s="34" t="n">
        <f aca="false">SUMIFS('12.326ana'!$C:$C,'12.326ana'!$M:$M,redes!A13835)</f>
        <v>0</v>
      </c>
    </row>
    <row r="13836" customFormat="false" ht="14.4" hidden="true" customHeight="false" outlineLevel="0" collapsed="false">
      <c r="A13836" s="34" t="n">
        <v>17310620000120</v>
      </c>
      <c r="B13836" s="34" t="s">
        <v>26088</v>
      </c>
      <c r="C13836" s="34" t="s">
        <v>594</v>
      </c>
      <c r="E13836" s="30" t="s">
        <v>26089</v>
      </c>
      <c r="F13836" s="34" t="n">
        <f aca="false">IFERROR(VLOOKUP($A13836,'319'!$B:$H,7,0),0)</f>
        <v>0</v>
      </c>
      <c r="G13836" s="34" t="n">
        <f aca="false">SUMIFS('12.326ana'!$C:$C,'12.326ana'!$M:$M,redes!A13836)</f>
        <v>0</v>
      </c>
    </row>
    <row r="13837" customFormat="false" ht="14.4" hidden="true" customHeight="false" outlineLevel="0" collapsed="false">
      <c r="A13837" s="34" t="n">
        <v>17320055000181</v>
      </c>
      <c r="B13837" s="34" t="s">
        <v>26090</v>
      </c>
      <c r="C13837" s="34" t="s">
        <v>463</v>
      </c>
      <c r="E13837" s="30" t="s">
        <v>5266</v>
      </c>
      <c r="F13837" s="34" t="n">
        <f aca="false">IFERROR(VLOOKUP($A13837,'319'!$B:$H,7,0),0)</f>
        <v>0</v>
      </c>
      <c r="G13837" s="34" t="n">
        <f aca="false">SUMIFS('12.326ana'!$C:$C,'12.326ana'!$M:$M,redes!A13837)</f>
        <v>0</v>
      </c>
    </row>
    <row r="13838" customFormat="false" ht="14.4" hidden="true" customHeight="false" outlineLevel="0" collapsed="false">
      <c r="A13838" s="34" t="n">
        <v>17320461000144</v>
      </c>
      <c r="B13838" s="34" t="s">
        <v>26091</v>
      </c>
      <c r="C13838" s="34" t="s">
        <v>473</v>
      </c>
      <c r="E13838" s="30" t="s">
        <v>26092</v>
      </c>
      <c r="F13838" s="34" t="n">
        <f aca="false">IFERROR(VLOOKUP($A13838,'319'!$B:$H,7,0),0)</f>
        <v>0</v>
      </c>
      <c r="G13838" s="34" t="n">
        <f aca="false">SUMIFS('12.326ana'!$C:$C,'12.326ana'!$M:$M,redes!A13838)</f>
        <v>0</v>
      </c>
    </row>
    <row r="13839" customFormat="false" ht="14.4" hidden="true" customHeight="false" outlineLevel="0" collapsed="false">
      <c r="A13839" s="34" t="n">
        <v>17328229000152</v>
      </c>
      <c r="B13839" s="34" t="s">
        <v>26093</v>
      </c>
      <c r="C13839" s="34" t="s">
        <v>77</v>
      </c>
      <c r="E13839" s="30" t="s">
        <v>26094</v>
      </c>
      <c r="F13839" s="34" t="n">
        <f aca="false">IFERROR(VLOOKUP($A13839,'319'!$B:$H,7,0),0)</f>
        <v>0</v>
      </c>
      <c r="G13839" s="34" t="n">
        <f aca="false">SUMIFS('12.326ana'!$C:$C,'12.326ana'!$M:$M,redes!A13839)</f>
        <v>0</v>
      </c>
    </row>
    <row r="13840" customFormat="false" ht="14.4" hidden="true" customHeight="false" outlineLevel="0" collapsed="false">
      <c r="A13840" s="34" t="n">
        <v>17330035000191</v>
      </c>
      <c r="B13840" s="34" t="s">
        <v>26095</v>
      </c>
      <c r="C13840" s="34" t="s">
        <v>77</v>
      </c>
      <c r="E13840" s="30" t="s">
        <v>26096</v>
      </c>
      <c r="F13840" s="34" t="n">
        <f aca="false">IFERROR(VLOOKUP($A13840,'319'!$B:$H,7,0),0)</f>
        <v>0</v>
      </c>
      <c r="G13840" s="34" t="n">
        <f aca="false">SUMIFS('12.326ana'!$C:$C,'12.326ana'!$M:$M,redes!A13840)</f>
        <v>0</v>
      </c>
    </row>
    <row r="13841" customFormat="false" ht="14.4" hidden="true" customHeight="false" outlineLevel="0" collapsed="false">
      <c r="A13841" s="34" t="n">
        <v>17331468000161</v>
      </c>
      <c r="B13841" s="34" t="s">
        <v>26097</v>
      </c>
      <c r="C13841" s="34" t="s">
        <v>604</v>
      </c>
      <c r="E13841" s="30" t="s">
        <v>26098</v>
      </c>
      <c r="F13841" s="34" t="n">
        <f aca="false">IFERROR(VLOOKUP($A13841,'319'!$B:$H,7,0),0)</f>
        <v>0</v>
      </c>
      <c r="G13841" s="34" t="n">
        <f aca="false">SUMIFS('12.326ana'!$C:$C,'12.326ana'!$M:$M,redes!A13841)</f>
        <v>0</v>
      </c>
    </row>
    <row r="13842" customFormat="false" ht="14.4" hidden="true" customHeight="false" outlineLevel="0" collapsed="false">
      <c r="A13842" s="34" t="n">
        <v>17339229000158</v>
      </c>
      <c r="B13842" s="34" t="s">
        <v>26099</v>
      </c>
      <c r="C13842" s="34" t="s">
        <v>7250</v>
      </c>
      <c r="E13842" s="30" t="s">
        <v>26100</v>
      </c>
      <c r="F13842" s="34" t="n">
        <f aca="false">IFERROR(VLOOKUP($A13842,'319'!$B:$H,7,0),0)</f>
        <v>0</v>
      </c>
      <c r="G13842" s="34" t="n">
        <f aca="false">SUMIFS('12.326ana'!$C:$C,'12.326ana'!$M:$M,redes!A13842)</f>
        <v>0</v>
      </c>
    </row>
    <row r="13843" customFormat="false" ht="14.4" hidden="true" customHeight="false" outlineLevel="0" collapsed="false">
      <c r="A13843" s="34" t="n">
        <v>17340329000102</v>
      </c>
      <c r="B13843" s="34" t="s">
        <v>26101</v>
      </c>
      <c r="C13843" s="34" t="s">
        <v>77</v>
      </c>
      <c r="E13843" s="30" t="s">
        <v>26102</v>
      </c>
      <c r="F13843" s="34" t="n">
        <f aca="false">IFERROR(VLOOKUP($A13843,'319'!$B:$H,7,0),0)</f>
        <v>0</v>
      </c>
      <c r="G13843" s="34" t="n">
        <f aca="false">SUMIFS('12.326ana'!$C:$C,'12.326ana'!$M:$M,redes!A13843)</f>
        <v>0</v>
      </c>
    </row>
    <row r="13844" customFormat="false" ht="14.4" hidden="true" customHeight="false" outlineLevel="0" collapsed="false">
      <c r="A13844" s="34" t="n">
        <v>17341440000105</v>
      </c>
      <c r="B13844" s="34" t="s">
        <v>26103</v>
      </c>
      <c r="C13844" s="34" t="s">
        <v>77</v>
      </c>
      <c r="E13844" s="30" t="s">
        <v>26104</v>
      </c>
      <c r="F13844" s="34" t="n">
        <f aca="false">IFERROR(VLOOKUP($A13844,'319'!$B:$H,7,0),0)</f>
        <v>0</v>
      </c>
      <c r="G13844" s="34" t="n">
        <f aca="false">SUMIFS('12.326ana'!$C:$C,'12.326ana'!$M:$M,redes!A13844)</f>
        <v>0</v>
      </c>
    </row>
    <row r="13845" customFormat="false" ht="14.4" hidden="true" customHeight="false" outlineLevel="0" collapsed="false">
      <c r="A13845" s="34" t="n">
        <v>17343723000196</v>
      </c>
      <c r="B13845" s="34" t="s">
        <v>26105</v>
      </c>
      <c r="C13845" s="34" t="s">
        <v>139</v>
      </c>
      <c r="E13845" s="30" t="s">
        <v>13509</v>
      </c>
      <c r="F13845" s="34" t="n">
        <f aca="false">IFERROR(VLOOKUP($A13845,'319'!$B:$H,7,0),0)</f>
        <v>0</v>
      </c>
      <c r="G13845" s="34" t="n">
        <f aca="false">SUMIFS('12.326ana'!$C:$C,'12.326ana'!$M:$M,redes!A13845)</f>
        <v>0</v>
      </c>
    </row>
    <row r="13846" customFormat="false" ht="14.4" hidden="true" customHeight="false" outlineLevel="0" collapsed="false">
      <c r="A13846" s="34" t="n">
        <v>17358119000133</v>
      </c>
      <c r="B13846" s="34" t="s">
        <v>26106</v>
      </c>
      <c r="C13846" s="34" t="s">
        <v>478</v>
      </c>
      <c r="E13846" s="30" t="s">
        <v>26107</v>
      </c>
      <c r="F13846" s="34" t="n">
        <f aca="false">IFERROR(VLOOKUP($A13846,'319'!$B:$H,7,0),0)</f>
        <v>0</v>
      </c>
      <c r="G13846" s="34" t="n">
        <f aca="false">SUMIFS('12.326ana'!$C:$C,'12.326ana'!$M:$M,redes!A13846)</f>
        <v>0</v>
      </c>
    </row>
    <row r="13847" customFormat="false" ht="14.4" hidden="true" customHeight="false" outlineLevel="0" collapsed="false">
      <c r="A13847" s="34" t="n">
        <v>17374024000103</v>
      </c>
      <c r="B13847" s="34" t="s">
        <v>26108</v>
      </c>
      <c r="C13847" s="34" t="s">
        <v>809</v>
      </c>
      <c r="E13847" s="30" t="s">
        <v>26109</v>
      </c>
      <c r="F13847" s="34" t="n">
        <f aca="false">IFERROR(VLOOKUP($A13847,'319'!$B:$H,7,0),0)</f>
        <v>0</v>
      </c>
      <c r="G13847" s="34" t="n">
        <f aca="false">SUMIFS('12.326ana'!$C:$C,'12.326ana'!$M:$M,redes!A13847)</f>
        <v>0</v>
      </c>
    </row>
    <row r="13848" customFormat="false" ht="14.4" hidden="true" customHeight="false" outlineLevel="0" collapsed="false">
      <c r="A13848" s="34" t="n">
        <v>17375822000150</v>
      </c>
      <c r="B13848" s="34" t="s">
        <v>26110</v>
      </c>
      <c r="C13848" s="34" t="s">
        <v>377</v>
      </c>
      <c r="E13848" s="30" t="s">
        <v>26111</v>
      </c>
      <c r="F13848" s="34" t="n">
        <f aca="false">IFERROR(VLOOKUP($A13848,'319'!$B:$H,7,0),0)</f>
        <v>0</v>
      </c>
      <c r="G13848" s="34" t="n">
        <f aca="false">SUMIFS('12.326ana'!$C:$C,'12.326ana'!$M:$M,redes!A13848)</f>
        <v>0</v>
      </c>
    </row>
    <row r="13849" customFormat="false" ht="14.4" hidden="true" customHeight="false" outlineLevel="0" collapsed="false">
      <c r="A13849" s="34" t="n">
        <v>17383854000105</v>
      </c>
      <c r="B13849" s="34" t="s">
        <v>26112</v>
      </c>
      <c r="C13849" s="34" t="s">
        <v>546</v>
      </c>
      <c r="E13849" s="30" t="s">
        <v>16460</v>
      </c>
      <c r="F13849" s="34" t="n">
        <f aca="false">IFERROR(VLOOKUP($A13849,'319'!$B:$H,7,0),0)</f>
        <v>0</v>
      </c>
      <c r="G13849" s="34" t="n">
        <f aca="false">SUMIFS('12.326ana'!$C:$C,'12.326ana'!$M:$M,redes!A13849)</f>
        <v>0</v>
      </c>
    </row>
    <row r="13850" customFormat="false" ht="14.4" hidden="true" customHeight="false" outlineLevel="0" collapsed="false">
      <c r="A13850" s="34" t="n">
        <v>17386273000119</v>
      </c>
      <c r="B13850" s="34" t="s">
        <v>26113</v>
      </c>
      <c r="C13850" s="34" t="s">
        <v>631</v>
      </c>
      <c r="E13850" s="30" t="s">
        <v>26114</v>
      </c>
      <c r="F13850" s="34" t="n">
        <f aca="false">IFERROR(VLOOKUP($A13850,'319'!$B:$H,7,0),0)</f>
        <v>0</v>
      </c>
      <c r="G13850" s="34" t="n">
        <f aca="false">SUMIFS('12.326ana'!$C:$C,'12.326ana'!$M:$M,redes!A13850)</f>
        <v>0</v>
      </c>
    </row>
    <row r="13851" customFormat="false" ht="14.4" hidden="true" customHeight="false" outlineLevel="0" collapsed="false">
      <c r="A13851" s="34" t="n">
        <v>17390591000153</v>
      </c>
      <c r="B13851" s="34" t="s">
        <v>26115</v>
      </c>
      <c r="C13851" s="34" t="s">
        <v>89</v>
      </c>
      <c r="E13851" s="30" t="s">
        <v>26116</v>
      </c>
      <c r="F13851" s="34" t="n">
        <f aca="false">IFERROR(VLOOKUP($A13851,'319'!$B:$H,7,0),0)</f>
        <v>0</v>
      </c>
      <c r="G13851" s="34" t="n">
        <f aca="false">SUMIFS('12.326ana'!$C:$C,'12.326ana'!$M:$M,redes!A13851)</f>
        <v>0</v>
      </c>
    </row>
    <row r="13852" customFormat="false" ht="14.4" hidden="true" customHeight="false" outlineLevel="0" collapsed="false">
      <c r="A13852" s="34" t="n">
        <v>17397611000118</v>
      </c>
      <c r="B13852" s="34" t="s">
        <v>26117</v>
      </c>
      <c r="C13852" s="34" t="s">
        <v>77</v>
      </c>
      <c r="E13852" s="30" t="s">
        <v>26118</v>
      </c>
      <c r="F13852" s="34" t="n">
        <f aca="false">IFERROR(VLOOKUP($A13852,'319'!$B:$H,7,0),0)</f>
        <v>0</v>
      </c>
      <c r="G13852" s="34" t="n">
        <f aca="false">SUMIFS('12.326ana'!$C:$C,'12.326ana'!$M:$M,redes!A13852)</f>
        <v>0</v>
      </c>
    </row>
    <row r="13853" customFormat="false" ht="14.4" hidden="true" customHeight="false" outlineLevel="0" collapsed="false">
      <c r="A13853" s="34" t="n">
        <v>17400720000147</v>
      </c>
      <c r="B13853" s="34" t="s">
        <v>26119</v>
      </c>
      <c r="C13853" s="34" t="s">
        <v>2998</v>
      </c>
      <c r="E13853" s="30" t="s">
        <v>26120</v>
      </c>
      <c r="F13853" s="34" t="n">
        <f aca="false">IFERROR(VLOOKUP($A13853,'319'!$B:$H,7,0),0)</f>
        <v>0</v>
      </c>
      <c r="G13853" s="34" t="n">
        <f aca="false">SUMIFS('12.326ana'!$C:$C,'12.326ana'!$M:$M,redes!A13853)</f>
        <v>0</v>
      </c>
    </row>
    <row r="13854" customFormat="false" ht="14.4" hidden="true" customHeight="false" outlineLevel="0" collapsed="false">
      <c r="A13854" s="34" t="n">
        <v>17410251000147</v>
      </c>
      <c r="B13854" s="34" t="s">
        <v>26121</v>
      </c>
      <c r="C13854" s="34" t="s">
        <v>842</v>
      </c>
      <c r="E13854" s="30" t="s">
        <v>11019</v>
      </c>
      <c r="F13854" s="34" t="n">
        <f aca="false">IFERROR(VLOOKUP($A13854,'319'!$B:$H,7,0),0)</f>
        <v>0</v>
      </c>
      <c r="G13854" s="34" t="n">
        <f aca="false">SUMIFS('12.326ana'!$C:$C,'12.326ana'!$M:$M,redes!A13854)</f>
        <v>0</v>
      </c>
    </row>
    <row r="13855" customFormat="false" ht="14.4" hidden="true" customHeight="false" outlineLevel="0" collapsed="false">
      <c r="A13855" s="34" t="n">
        <v>17411282000112</v>
      </c>
      <c r="B13855" s="34" t="s">
        <v>26122</v>
      </c>
      <c r="C13855" s="34" t="s">
        <v>77</v>
      </c>
      <c r="E13855" s="30" t="s">
        <v>26123</v>
      </c>
      <c r="F13855" s="34" t="n">
        <f aca="false">IFERROR(VLOOKUP($A13855,'319'!$B:$H,7,0),0)</f>
        <v>0</v>
      </c>
      <c r="G13855" s="34" t="n">
        <f aca="false">SUMIFS('12.326ana'!$C:$C,'12.326ana'!$M:$M,redes!A13855)</f>
        <v>0</v>
      </c>
    </row>
    <row r="13856" customFormat="false" ht="14.4" hidden="true" customHeight="false" outlineLevel="0" collapsed="false">
      <c r="A13856" s="34" t="n">
        <v>17419075000104</v>
      </c>
      <c r="B13856" s="34" t="s">
        <v>26124</v>
      </c>
      <c r="C13856" s="34" t="s">
        <v>139</v>
      </c>
      <c r="E13856" s="30" t="s">
        <v>26125</v>
      </c>
      <c r="F13856" s="34" t="n">
        <f aca="false">IFERROR(VLOOKUP($A13856,'319'!$B:$H,7,0),0)</f>
        <v>0</v>
      </c>
      <c r="G13856" s="34" t="n">
        <f aca="false">SUMIFS('12.326ana'!$C:$C,'12.326ana'!$M:$M,redes!A13856)</f>
        <v>0</v>
      </c>
    </row>
    <row r="13857" customFormat="false" ht="14.4" hidden="true" customHeight="false" outlineLevel="0" collapsed="false">
      <c r="A13857" s="34" t="n">
        <v>17422350000149</v>
      </c>
      <c r="B13857" s="34" t="s">
        <v>26126</v>
      </c>
      <c r="C13857" s="34" t="s">
        <v>77</v>
      </c>
      <c r="E13857" s="30" t="s">
        <v>26127</v>
      </c>
      <c r="F13857" s="34" t="n">
        <f aca="false">IFERROR(VLOOKUP($A13857,'319'!$B:$H,7,0),0)</f>
        <v>0</v>
      </c>
      <c r="G13857" s="34" t="n">
        <f aca="false">SUMIFS('12.326ana'!$C:$C,'12.326ana'!$M:$M,redes!A13857)</f>
        <v>0</v>
      </c>
    </row>
    <row r="13858" customFormat="false" ht="14.4" hidden="true" customHeight="false" outlineLevel="0" collapsed="false">
      <c r="A13858" s="34" t="n">
        <v>17425322000185</v>
      </c>
      <c r="B13858" s="34" t="s">
        <v>26128</v>
      </c>
      <c r="C13858" s="34" t="s">
        <v>935</v>
      </c>
      <c r="E13858" s="30" t="s">
        <v>26129</v>
      </c>
      <c r="F13858" s="34" t="n">
        <f aca="false">IFERROR(VLOOKUP($A13858,'319'!$B:$H,7,0),0)</f>
        <v>0</v>
      </c>
      <c r="G13858" s="34" t="n">
        <f aca="false">SUMIFS('12.326ana'!$C:$C,'12.326ana'!$M:$M,redes!A13858)</f>
        <v>0</v>
      </c>
    </row>
    <row r="13859" customFormat="false" ht="14.4" hidden="true" customHeight="false" outlineLevel="0" collapsed="false">
      <c r="A13859" s="34" t="n">
        <v>17430644000112</v>
      </c>
      <c r="B13859" s="34" t="s">
        <v>26130</v>
      </c>
      <c r="C13859" s="34" t="s">
        <v>77</v>
      </c>
      <c r="E13859" s="30"/>
      <c r="F13859" s="34" t="n">
        <f aca="false">IFERROR(VLOOKUP($A13859,'319'!$B:$H,7,0),0)</f>
        <v>0</v>
      </c>
      <c r="G13859" s="34" t="n">
        <f aca="false">SUMIFS('12.326ana'!$C:$C,'12.326ana'!$M:$M,redes!A13859)</f>
        <v>0</v>
      </c>
    </row>
    <row r="13860" customFormat="false" ht="14.4" hidden="true" customHeight="false" outlineLevel="0" collapsed="false">
      <c r="A13860" s="34" t="n">
        <v>17432148000106</v>
      </c>
      <c r="B13860" s="34" t="s">
        <v>26131</v>
      </c>
      <c r="C13860" s="34" t="s">
        <v>4462</v>
      </c>
      <c r="E13860" s="30" t="s">
        <v>26132</v>
      </c>
      <c r="F13860" s="34" t="n">
        <f aca="false">IFERROR(VLOOKUP($A13860,'319'!$B:$H,7,0),0)</f>
        <v>0</v>
      </c>
      <c r="G13860" s="34" t="n">
        <f aca="false">SUMIFS('12.326ana'!$C:$C,'12.326ana'!$M:$M,redes!A13860)</f>
        <v>0</v>
      </c>
    </row>
    <row r="13861" customFormat="false" ht="14.4" hidden="true" customHeight="false" outlineLevel="0" collapsed="false">
      <c r="A13861" s="34" t="n">
        <v>17433232000136</v>
      </c>
      <c r="B13861" s="34" t="s">
        <v>26133</v>
      </c>
      <c r="C13861" s="34" t="s">
        <v>737</v>
      </c>
      <c r="E13861" s="30" t="s">
        <v>26134</v>
      </c>
      <c r="F13861" s="34" t="n">
        <f aca="false">IFERROR(VLOOKUP($A13861,'319'!$B:$H,7,0),0)</f>
        <v>0</v>
      </c>
      <c r="G13861" s="34" t="n">
        <f aca="false">SUMIFS('12.326ana'!$C:$C,'12.326ana'!$M:$M,redes!A13861)</f>
        <v>0</v>
      </c>
    </row>
    <row r="13862" customFormat="false" ht="14.4" hidden="true" customHeight="false" outlineLevel="0" collapsed="false">
      <c r="A13862" s="34" t="n">
        <v>17440569000170</v>
      </c>
      <c r="B13862" s="34" t="s">
        <v>26135</v>
      </c>
      <c r="C13862" s="34" t="s">
        <v>77</v>
      </c>
      <c r="E13862" s="30" t="s">
        <v>26136</v>
      </c>
      <c r="F13862" s="34" t="n">
        <f aca="false">IFERROR(VLOOKUP($A13862,'319'!$B:$H,7,0),0)</f>
        <v>0</v>
      </c>
      <c r="G13862" s="34" t="n">
        <f aca="false">SUMIFS('12.326ana'!$C:$C,'12.326ana'!$M:$M,redes!A13862)</f>
        <v>0</v>
      </c>
    </row>
    <row r="13863" customFormat="false" ht="14.4" hidden="true" customHeight="false" outlineLevel="0" collapsed="false">
      <c r="A13863" s="34" t="n">
        <v>17441374000145</v>
      </c>
      <c r="B13863" s="34" t="s">
        <v>26137</v>
      </c>
      <c r="C13863" s="34" t="s">
        <v>77</v>
      </c>
      <c r="E13863" s="30" t="s">
        <v>6944</v>
      </c>
      <c r="F13863" s="34" t="n">
        <f aca="false">IFERROR(VLOOKUP($A13863,'319'!$B:$H,7,0),0)</f>
        <v>0</v>
      </c>
      <c r="G13863" s="34" t="n">
        <f aca="false">SUMIFS('12.326ana'!$C:$C,'12.326ana'!$M:$M,redes!A13863)</f>
        <v>0</v>
      </c>
    </row>
    <row r="13864" customFormat="false" ht="14.4" hidden="true" customHeight="false" outlineLevel="0" collapsed="false">
      <c r="A13864" s="34" t="n">
        <v>17457017000175</v>
      </c>
      <c r="B13864" s="34" t="s">
        <v>26138</v>
      </c>
      <c r="C13864" s="34" t="s">
        <v>127</v>
      </c>
      <c r="E13864" s="30" t="s">
        <v>26139</v>
      </c>
      <c r="F13864" s="34" t="n">
        <f aca="false">IFERROR(VLOOKUP($A13864,'319'!$B:$H,7,0),0)</f>
        <v>0</v>
      </c>
      <c r="G13864" s="34" t="n">
        <f aca="false">SUMIFS('12.326ana'!$C:$C,'12.326ana'!$M:$M,redes!A13864)</f>
        <v>0</v>
      </c>
    </row>
    <row r="13865" customFormat="false" ht="14.4" hidden="true" customHeight="false" outlineLevel="0" collapsed="false">
      <c r="A13865" s="34" t="n">
        <v>17467003000132</v>
      </c>
      <c r="B13865" s="34" t="s">
        <v>26140</v>
      </c>
      <c r="C13865" s="34" t="s">
        <v>680</v>
      </c>
      <c r="D13865" s="34" t="s">
        <v>20878</v>
      </c>
      <c r="E13865" s="30" t="s">
        <v>14751</v>
      </c>
      <c r="F13865" s="34" t="n">
        <f aca="false">IFERROR(VLOOKUP($A13865,'319'!$B:$H,7,0),0)</f>
        <v>0</v>
      </c>
      <c r="G13865" s="34" t="n">
        <f aca="false">SUMIFS('12.326ana'!$C:$C,'12.326ana'!$M:$M,redes!A13865)</f>
        <v>0</v>
      </c>
    </row>
    <row r="13866" customFormat="false" ht="14.4" hidden="true" customHeight="false" outlineLevel="0" collapsed="false">
      <c r="A13866" s="34" t="n">
        <v>17467138000106</v>
      </c>
      <c r="B13866" s="34" t="s">
        <v>26141</v>
      </c>
      <c r="C13866" s="34" t="s">
        <v>842</v>
      </c>
      <c r="E13866" s="30" t="s">
        <v>26142</v>
      </c>
      <c r="F13866" s="34" t="n">
        <f aca="false">IFERROR(VLOOKUP($A13866,'319'!$B:$H,7,0),0)</f>
        <v>0</v>
      </c>
      <c r="G13866" s="34" t="n">
        <f aca="false">SUMIFS('12.326ana'!$C:$C,'12.326ana'!$M:$M,redes!A13866)</f>
        <v>0</v>
      </c>
    </row>
    <row r="13867" customFormat="false" ht="14.4" hidden="true" customHeight="false" outlineLevel="0" collapsed="false">
      <c r="A13867" s="34" t="n">
        <v>17467592000159</v>
      </c>
      <c r="B13867" s="34" t="s">
        <v>26143</v>
      </c>
      <c r="C13867" s="34" t="s">
        <v>89</v>
      </c>
      <c r="E13867" s="30" t="s">
        <v>26144</v>
      </c>
      <c r="F13867" s="34" t="n">
        <f aca="false">IFERROR(VLOOKUP($A13867,'319'!$B:$H,7,0),0)</f>
        <v>0</v>
      </c>
      <c r="G13867" s="34" t="n">
        <f aca="false">SUMIFS('12.326ana'!$C:$C,'12.326ana'!$M:$M,redes!A13867)</f>
        <v>0</v>
      </c>
    </row>
    <row r="13868" customFormat="false" ht="14.4" hidden="true" customHeight="false" outlineLevel="0" collapsed="false">
      <c r="A13868" s="34" t="n">
        <v>17471747000120</v>
      </c>
      <c r="B13868" s="34" t="s">
        <v>26145</v>
      </c>
      <c r="C13868" s="34" t="s">
        <v>389</v>
      </c>
      <c r="E13868" s="30" t="s">
        <v>26146</v>
      </c>
      <c r="F13868" s="34" t="n">
        <f aca="false">IFERROR(VLOOKUP($A13868,'319'!$B:$H,7,0),0)</f>
        <v>0</v>
      </c>
      <c r="G13868" s="34" t="n">
        <f aca="false">SUMIFS('12.326ana'!$C:$C,'12.326ana'!$M:$M,redes!A13868)</f>
        <v>0</v>
      </c>
    </row>
    <row r="13869" customFormat="false" ht="14.4" hidden="true" customHeight="false" outlineLevel="0" collapsed="false">
      <c r="A13869" s="34" t="n">
        <v>17472699000195</v>
      </c>
      <c r="B13869" s="34" t="s">
        <v>26147</v>
      </c>
      <c r="C13869" s="34" t="s">
        <v>77</v>
      </c>
      <c r="E13869" s="30" t="s">
        <v>26148</v>
      </c>
      <c r="F13869" s="34" t="n">
        <f aca="false">IFERROR(VLOOKUP($A13869,'319'!$B:$H,7,0),0)</f>
        <v>0</v>
      </c>
      <c r="G13869" s="34" t="n">
        <f aca="false">SUMIFS('12.326ana'!$C:$C,'12.326ana'!$M:$M,redes!A13869)</f>
        <v>0</v>
      </c>
    </row>
    <row r="13870" customFormat="false" ht="14.4" hidden="true" customHeight="false" outlineLevel="0" collapsed="false">
      <c r="A13870" s="34" t="n">
        <v>17479487000130</v>
      </c>
      <c r="B13870" s="34" t="s">
        <v>26149</v>
      </c>
      <c r="C13870" s="34" t="s">
        <v>77</v>
      </c>
      <c r="E13870" s="30" t="s">
        <v>26150</v>
      </c>
      <c r="F13870" s="34" t="n">
        <f aca="false">IFERROR(VLOOKUP($A13870,'319'!$B:$H,7,0),0)</f>
        <v>0</v>
      </c>
      <c r="G13870" s="34" t="n">
        <f aca="false">SUMIFS('12.326ana'!$C:$C,'12.326ana'!$M:$M,redes!A13870)</f>
        <v>0</v>
      </c>
    </row>
    <row r="13871" customFormat="false" ht="14.4" hidden="true" customHeight="false" outlineLevel="0" collapsed="false">
      <c r="A13871" s="34" t="n">
        <v>17482268000100</v>
      </c>
      <c r="B13871" s="34" t="s">
        <v>26151</v>
      </c>
      <c r="C13871" s="34" t="s">
        <v>139</v>
      </c>
      <c r="E13871" s="30" t="s">
        <v>26152</v>
      </c>
      <c r="F13871" s="34" t="n">
        <f aca="false">IFERROR(VLOOKUP($A13871,'319'!$B:$H,7,0),0)</f>
        <v>964.75</v>
      </c>
      <c r="G13871" s="34" t="n">
        <f aca="false">SUMIFS('12.326ana'!$C:$C,'12.326ana'!$M:$M,redes!A13871)</f>
        <v>0</v>
      </c>
    </row>
    <row r="13872" customFormat="false" ht="14.4" hidden="true" customHeight="false" outlineLevel="0" collapsed="false">
      <c r="A13872" s="34" t="n">
        <v>17488340000106</v>
      </c>
      <c r="B13872" s="34" t="s">
        <v>26153</v>
      </c>
      <c r="C13872" s="34" t="s">
        <v>357</v>
      </c>
      <c r="E13872" s="30" t="s">
        <v>26154</v>
      </c>
      <c r="F13872" s="34" t="n">
        <f aca="false">IFERROR(VLOOKUP($A13872,'319'!$B:$H,7,0),0)</f>
        <v>0</v>
      </c>
      <c r="G13872" s="34" t="n">
        <f aca="false">SUMIFS('12.326ana'!$C:$C,'12.326ana'!$M:$M,redes!A13872)</f>
        <v>0</v>
      </c>
    </row>
    <row r="13873" customFormat="false" ht="14.4" hidden="true" customHeight="false" outlineLevel="0" collapsed="false">
      <c r="A13873" s="34" t="n">
        <v>17496302000103</v>
      </c>
      <c r="B13873" s="34" t="s">
        <v>26155</v>
      </c>
      <c r="C13873" s="34" t="s">
        <v>139</v>
      </c>
      <c r="E13873" s="30" t="s">
        <v>26156</v>
      </c>
      <c r="F13873" s="34" t="n">
        <f aca="false">IFERROR(VLOOKUP($A13873,'319'!$B:$H,7,0),0)</f>
        <v>0</v>
      </c>
      <c r="G13873" s="34" t="n">
        <f aca="false">SUMIFS('12.326ana'!$C:$C,'12.326ana'!$M:$M,redes!A13873)</f>
        <v>0</v>
      </c>
    </row>
    <row r="13874" customFormat="false" ht="14.4" hidden="true" customHeight="false" outlineLevel="0" collapsed="false">
      <c r="A13874" s="34" t="n">
        <v>17497134000162</v>
      </c>
      <c r="B13874" s="34" t="s">
        <v>26157</v>
      </c>
      <c r="C13874" s="34" t="s">
        <v>77</v>
      </c>
      <c r="E13874" s="30" t="s">
        <v>26158</v>
      </c>
      <c r="F13874" s="34" t="n">
        <f aca="false">IFERROR(VLOOKUP($A13874,'319'!$B:$H,7,0),0)</f>
        <v>0</v>
      </c>
      <c r="G13874" s="34" t="n">
        <f aca="false">SUMIFS('12.326ana'!$C:$C,'12.326ana'!$M:$M,redes!A13874)</f>
        <v>0</v>
      </c>
    </row>
    <row r="13875" customFormat="false" ht="14.4" hidden="true" customHeight="false" outlineLevel="0" collapsed="false">
      <c r="A13875" s="34" t="n">
        <v>17497273000196</v>
      </c>
      <c r="B13875" s="34" t="s">
        <v>26159</v>
      </c>
      <c r="C13875" s="34" t="s">
        <v>336</v>
      </c>
      <c r="E13875" s="30" t="s">
        <v>26159</v>
      </c>
      <c r="F13875" s="34" t="n">
        <f aca="false">IFERROR(VLOOKUP($A13875,'319'!$B:$H,7,0),0)</f>
        <v>0</v>
      </c>
      <c r="G13875" s="34" t="n">
        <f aca="false">SUMIFS('12.326ana'!$C:$C,'12.326ana'!$M:$M,redes!A13875)</f>
        <v>0</v>
      </c>
    </row>
    <row r="13876" customFormat="false" ht="14.4" hidden="true" customHeight="false" outlineLevel="0" collapsed="false">
      <c r="A13876" s="34" t="n">
        <v>17498514000111</v>
      </c>
      <c r="B13876" s="34" t="s">
        <v>26160</v>
      </c>
      <c r="C13876" s="34" t="s">
        <v>117</v>
      </c>
      <c r="E13876" s="30" t="s">
        <v>3664</v>
      </c>
      <c r="F13876" s="34" t="n">
        <f aca="false">IFERROR(VLOOKUP($A13876,'319'!$B:$H,7,0),0)</f>
        <v>0</v>
      </c>
      <c r="G13876" s="34" t="n">
        <f aca="false">SUMIFS('12.326ana'!$C:$C,'12.326ana'!$M:$M,redes!A13876)</f>
        <v>0</v>
      </c>
    </row>
    <row r="13877" customFormat="false" ht="14.4" hidden="true" customHeight="false" outlineLevel="0" collapsed="false">
      <c r="A13877" s="34" t="n">
        <v>17508351000100</v>
      </c>
      <c r="B13877" s="34" t="s">
        <v>8786</v>
      </c>
      <c r="C13877" s="34" t="s">
        <v>848</v>
      </c>
      <c r="E13877" s="30" t="s">
        <v>26161</v>
      </c>
      <c r="F13877" s="34" t="n">
        <f aca="false">IFERROR(VLOOKUP($A13877,'319'!$B:$H,7,0),0)</f>
        <v>0</v>
      </c>
      <c r="G13877" s="34" t="n">
        <f aca="false">SUMIFS('12.326ana'!$C:$C,'12.326ana'!$M:$M,redes!A13877)</f>
        <v>0</v>
      </c>
    </row>
    <row r="13878" customFormat="false" ht="14.4" hidden="true" customHeight="false" outlineLevel="0" collapsed="false">
      <c r="A13878" s="34" t="n">
        <v>17512540000157</v>
      </c>
      <c r="B13878" s="34" t="s">
        <v>1093</v>
      </c>
      <c r="C13878" s="34" t="s">
        <v>89</v>
      </c>
      <c r="E13878" s="30" t="s">
        <v>13273</v>
      </c>
      <c r="F13878" s="34" t="n">
        <f aca="false">IFERROR(VLOOKUP($A13878,'319'!$B:$H,7,0),0)</f>
        <v>589.13</v>
      </c>
      <c r="G13878" s="34" t="n">
        <f aca="false">SUMIFS('12.326ana'!$C:$C,'12.326ana'!$M:$M,redes!A13878)</f>
        <v>0</v>
      </c>
    </row>
    <row r="13879" customFormat="false" ht="14.4" hidden="true" customHeight="false" outlineLevel="0" collapsed="false">
      <c r="A13879" s="34" t="n">
        <v>17512540000238</v>
      </c>
      <c r="B13879" s="34" t="s">
        <v>26162</v>
      </c>
      <c r="C13879" s="34" t="s">
        <v>89</v>
      </c>
      <c r="E13879" s="30" t="s">
        <v>26163</v>
      </c>
      <c r="F13879" s="34" t="n">
        <f aca="false">IFERROR(VLOOKUP($A13879,'319'!$B:$H,7,0),0)</f>
        <v>0</v>
      </c>
      <c r="G13879" s="34" t="n">
        <f aca="false">SUMIFS('12.326ana'!$C:$C,'12.326ana'!$M:$M,redes!A13879)</f>
        <v>0</v>
      </c>
    </row>
    <row r="13880" customFormat="false" ht="14.4" hidden="true" customHeight="false" outlineLevel="0" collapsed="false">
      <c r="A13880" s="34" t="n">
        <v>17512903000154</v>
      </c>
      <c r="B13880" s="34" t="s">
        <v>26164</v>
      </c>
      <c r="C13880" s="34" t="s">
        <v>107</v>
      </c>
      <c r="E13880" s="30" t="s">
        <v>26165</v>
      </c>
      <c r="F13880" s="34" t="n">
        <f aca="false">IFERROR(VLOOKUP($A13880,'319'!$B:$H,7,0),0)</f>
        <v>0</v>
      </c>
      <c r="G13880" s="34" t="n">
        <f aca="false">SUMIFS('12.326ana'!$C:$C,'12.326ana'!$M:$M,redes!A13880)</f>
        <v>0</v>
      </c>
    </row>
    <row r="13881" customFormat="false" ht="14.4" hidden="true" customHeight="false" outlineLevel="0" collapsed="false">
      <c r="A13881" s="34" t="n">
        <v>17515287000195</v>
      </c>
      <c r="B13881" s="34" t="s">
        <v>26166</v>
      </c>
      <c r="C13881" s="34" t="s">
        <v>594</v>
      </c>
      <c r="E13881" s="30" t="s">
        <v>26167</v>
      </c>
      <c r="F13881" s="34" t="n">
        <f aca="false">IFERROR(VLOOKUP($A13881,'319'!$B:$H,7,0),0)</f>
        <v>0</v>
      </c>
      <c r="G13881" s="34" t="n">
        <f aca="false">SUMIFS('12.326ana'!$C:$C,'12.326ana'!$M:$M,redes!A13881)</f>
        <v>0</v>
      </c>
    </row>
    <row r="13882" customFormat="false" ht="14.4" hidden="true" customHeight="false" outlineLevel="0" collapsed="false">
      <c r="A13882" s="34" t="n">
        <v>17515299000110</v>
      </c>
      <c r="B13882" s="34" t="s">
        <v>1209</v>
      </c>
      <c r="C13882" s="34" t="s">
        <v>594</v>
      </c>
      <c r="E13882" s="30" t="s">
        <v>26168</v>
      </c>
      <c r="F13882" s="34" t="n">
        <f aca="false">IFERROR(VLOOKUP($A13882,'319'!$B:$H,7,0),0)</f>
        <v>320.96</v>
      </c>
      <c r="G13882" s="34" t="n">
        <f aca="false">SUMIFS('12.326ana'!$C:$C,'12.326ana'!$M:$M,redes!A13882)</f>
        <v>0</v>
      </c>
    </row>
    <row r="13883" customFormat="false" ht="14.4" hidden="true" customHeight="false" outlineLevel="0" collapsed="false">
      <c r="A13883" s="34" t="n">
        <v>17522552000162</v>
      </c>
      <c r="B13883" s="34" t="s">
        <v>26169</v>
      </c>
      <c r="C13883" s="34" t="s">
        <v>139</v>
      </c>
      <c r="E13883" s="30" t="s">
        <v>26170</v>
      </c>
      <c r="F13883" s="34" t="n">
        <f aca="false">IFERROR(VLOOKUP($A13883,'319'!$B:$H,7,0),0)</f>
        <v>0</v>
      </c>
      <c r="G13883" s="34" t="n">
        <f aca="false">SUMIFS('12.326ana'!$C:$C,'12.326ana'!$M:$M,redes!A13883)</f>
        <v>0</v>
      </c>
    </row>
    <row r="13884" customFormat="false" ht="14.4" hidden="true" customHeight="false" outlineLevel="0" collapsed="false">
      <c r="A13884" s="34" t="n">
        <v>17522652000199</v>
      </c>
      <c r="B13884" s="34" t="s">
        <v>26171</v>
      </c>
      <c r="C13884" s="34" t="s">
        <v>77</v>
      </c>
      <c r="E13884" s="30" t="s">
        <v>26172</v>
      </c>
      <c r="F13884" s="34" t="n">
        <f aca="false">IFERROR(VLOOKUP($A13884,'319'!$B:$H,7,0),0)</f>
        <v>0</v>
      </c>
      <c r="G13884" s="34" t="n">
        <f aca="false">SUMIFS('12.326ana'!$C:$C,'12.326ana'!$M:$M,redes!A13884)</f>
        <v>0</v>
      </c>
    </row>
    <row r="13885" customFormat="false" ht="14.4" hidden="true" customHeight="false" outlineLevel="0" collapsed="false">
      <c r="A13885" s="34" t="n">
        <v>17531581000190</v>
      </c>
      <c r="B13885" s="34" t="s">
        <v>26173</v>
      </c>
      <c r="C13885" s="34" t="s">
        <v>357</v>
      </c>
      <c r="E13885" s="30" t="s">
        <v>26174</v>
      </c>
      <c r="F13885" s="34" t="n">
        <f aca="false">IFERROR(VLOOKUP($A13885,'319'!$B:$H,7,0),0)</f>
        <v>0</v>
      </c>
      <c r="G13885" s="34" t="n">
        <f aca="false">SUMIFS('12.326ana'!$C:$C,'12.326ana'!$M:$M,redes!A13885)</f>
        <v>0</v>
      </c>
    </row>
    <row r="13886" customFormat="false" ht="14.4" hidden="true" customHeight="false" outlineLevel="0" collapsed="false">
      <c r="A13886" s="34" t="n">
        <v>17536754000163</v>
      </c>
      <c r="B13886" s="34" t="s">
        <v>26175</v>
      </c>
      <c r="C13886" s="34" t="s">
        <v>197</v>
      </c>
      <c r="E13886" s="30" t="s">
        <v>7510</v>
      </c>
      <c r="F13886" s="34" t="n">
        <f aca="false">IFERROR(VLOOKUP($A13886,'319'!$B:$H,7,0),0)</f>
        <v>0</v>
      </c>
      <c r="G13886" s="34" t="n">
        <f aca="false">SUMIFS('12.326ana'!$C:$C,'12.326ana'!$M:$M,redes!A13886)</f>
        <v>0</v>
      </c>
    </row>
    <row r="13887" customFormat="false" ht="14.4" hidden="true" customHeight="false" outlineLevel="0" collapsed="false">
      <c r="A13887" s="34" t="n">
        <v>17549257000108</v>
      </c>
      <c r="B13887" s="34" t="s">
        <v>26176</v>
      </c>
      <c r="C13887" s="34" t="s">
        <v>463</v>
      </c>
      <c r="E13887" s="30" t="s">
        <v>22915</v>
      </c>
      <c r="F13887" s="34" t="n">
        <f aca="false">IFERROR(VLOOKUP($A13887,'319'!$B:$H,7,0),0)</f>
        <v>0</v>
      </c>
      <c r="G13887" s="34" t="n">
        <f aca="false">SUMIFS('12.326ana'!$C:$C,'12.326ana'!$M:$M,redes!A13887)</f>
        <v>0</v>
      </c>
    </row>
    <row r="13888" customFormat="false" ht="14.4" hidden="true" customHeight="false" outlineLevel="0" collapsed="false">
      <c r="A13888" s="34" t="n">
        <v>17550015000126</v>
      </c>
      <c r="B13888" s="34" t="s">
        <v>1651</v>
      </c>
      <c r="C13888" s="34" t="s">
        <v>744</v>
      </c>
      <c r="E13888" s="30" t="s">
        <v>26177</v>
      </c>
      <c r="F13888" s="34" t="n">
        <f aca="false">IFERROR(VLOOKUP($A13888,'319'!$B:$H,7,0),0)</f>
        <v>65.52</v>
      </c>
      <c r="G13888" s="34" t="n">
        <f aca="false">SUMIFS('12.326ana'!$C:$C,'12.326ana'!$M:$M,redes!A13888)</f>
        <v>0</v>
      </c>
    </row>
    <row r="13889" customFormat="false" ht="14.4" hidden="true" customHeight="false" outlineLevel="0" collapsed="false">
      <c r="A13889" s="34" t="n">
        <v>17556468000160</v>
      </c>
      <c r="B13889" s="34" t="s">
        <v>26178</v>
      </c>
      <c r="C13889" s="34" t="s">
        <v>77</v>
      </c>
      <c r="E13889" s="30" t="s">
        <v>26179</v>
      </c>
      <c r="F13889" s="34" t="n">
        <f aca="false">IFERROR(VLOOKUP($A13889,'319'!$B:$H,7,0),0)</f>
        <v>127.7</v>
      </c>
      <c r="G13889" s="34" t="n">
        <f aca="false">SUMIFS('12.326ana'!$C:$C,'12.326ana'!$M:$M,redes!A13889)</f>
        <v>0</v>
      </c>
    </row>
    <row r="13890" customFormat="false" ht="14.4" hidden="true" customHeight="false" outlineLevel="0" collapsed="false">
      <c r="A13890" s="34" t="n">
        <v>17558498000105</v>
      </c>
      <c r="B13890" s="34" t="s">
        <v>26180</v>
      </c>
      <c r="C13890" s="34" t="s">
        <v>107</v>
      </c>
      <c r="E13890" s="30" t="s">
        <v>26181</v>
      </c>
      <c r="F13890" s="34" t="n">
        <f aca="false">IFERROR(VLOOKUP($A13890,'319'!$B:$H,7,0),0)</f>
        <v>0</v>
      </c>
      <c r="G13890" s="34" t="n">
        <f aca="false">SUMIFS('12.326ana'!$C:$C,'12.326ana'!$M:$M,redes!A13890)</f>
        <v>0</v>
      </c>
    </row>
    <row r="13891" customFormat="false" ht="14.4" hidden="true" customHeight="false" outlineLevel="0" collapsed="false">
      <c r="A13891" s="34" t="n">
        <v>17563648000179</v>
      </c>
      <c r="B13891" s="34" t="s">
        <v>26182</v>
      </c>
      <c r="C13891" s="34" t="s">
        <v>103</v>
      </c>
      <c r="E13891" s="30" t="s">
        <v>3066</v>
      </c>
      <c r="F13891" s="34" t="n">
        <f aca="false">IFERROR(VLOOKUP($A13891,'319'!$B:$H,7,0),0)</f>
        <v>0</v>
      </c>
      <c r="G13891" s="34" t="n">
        <f aca="false">SUMIFS('12.326ana'!$C:$C,'12.326ana'!$M:$M,redes!A13891)</f>
        <v>0</v>
      </c>
    </row>
    <row r="13892" customFormat="false" ht="14.4" hidden="true" customHeight="false" outlineLevel="0" collapsed="false">
      <c r="A13892" s="34" t="n">
        <v>17564887000143</v>
      </c>
      <c r="B13892" s="34" t="s">
        <v>26183</v>
      </c>
      <c r="C13892" s="34" t="s">
        <v>737</v>
      </c>
      <c r="E13892" s="30" t="s">
        <v>26183</v>
      </c>
      <c r="F13892" s="34" t="n">
        <f aca="false">IFERROR(VLOOKUP($A13892,'319'!$B:$H,7,0),0)</f>
        <v>0</v>
      </c>
      <c r="G13892" s="34" t="n">
        <f aca="false">SUMIFS('12.326ana'!$C:$C,'12.326ana'!$M:$M,redes!A13892)</f>
        <v>0</v>
      </c>
    </row>
    <row r="13893" customFormat="false" ht="14.4" hidden="true" customHeight="false" outlineLevel="0" collapsed="false">
      <c r="A13893" s="34" t="n">
        <v>17569244000192</v>
      </c>
      <c r="B13893" s="34" t="s">
        <v>26184</v>
      </c>
      <c r="C13893" s="34" t="s">
        <v>77</v>
      </c>
      <c r="E13893" s="30" t="s">
        <v>26185</v>
      </c>
      <c r="F13893" s="34" t="n">
        <f aca="false">IFERROR(VLOOKUP($A13893,'319'!$B:$H,7,0),0)</f>
        <v>0</v>
      </c>
      <c r="G13893" s="34" t="n">
        <f aca="false">SUMIFS('12.326ana'!$C:$C,'12.326ana'!$M:$M,redes!A13893)</f>
        <v>0</v>
      </c>
    </row>
    <row r="13894" customFormat="false" ht="14.4" hidden="true" customHeight="false" outlineLevel="0" collapsed="false">
      <c r="A13894" s="34" t="n">
        <v>17569268000141</v>
      </c>
      <c r="B13894" s="34" t="s">
        <v>26186</v>
      </c>
      <c r="C13894" s="34" t="s">
        <v>3594</v>
      </c>
      <c r="E13894" s="30" t="s">
        <v>21824</v>
      </c>
      <c r="F13894" s="34" t="n">
        <f aca="false">IFERROR(VLOOKUP($A13894,'319'!$B:$H,7,0),0)</f>
        <v>0</v>
      </c>
      <c r="G13894" s="34" t="n">
        <f aca="false">SUMIFS('12.326ana'!$C:$C,'12.326ana'!$M:$M,redes!A13894)</f>
        <v>0</v>
      </c>
    </row>
    <row r="13895" customFormat="false" ht="14.4" hidden="true" customHeight="false" outlineLevel="0" collapsed="false">
      <c r="A13895" s="34" t="n">
        <v>17571926000130</v>
      </c>
      <c r="B13895" s="34" t="s">
        <v>26187</v>
      </c>
      <c r="C13895" s="34" t="s">
        <v>594</v>
      </c>
      <c r="E13895" s="30" t="s">
        <v>13273</v>
      </c>
      <c r="F13895" s="34" t="n">
        <f aca="false">IFERROR(VLOOKUP($A13895,'319'!$B:$H,7,0),0)</f>
        <v>0</v>
      </c>
      <c r="G13895" s="34" t="n">
        <f aca="false">SUMIFS('12.326ana'!$C:$C,'12.326ana'!$M:$M,redes!A13895)</f>
        <v>0</v>
      </c>
    </row>
    <row r="13896" customFormat="false" ht="14.4" hidden="true" customHeight="false" outlineLevel="0" collapsed="false">
      <c r="A13896" s="34" t="n">
        <v>17571935000120</v>
      </c>
      <c r="B13896" s="34" t="s">
        <v>26188</v>
      </c>
      <c r="C13896" s="34" t="s">
        <v>594</v>
      </c>
      <c r="E13896" s="30" t="s">
        <v>26189</v>
      </c>
      <c r="F13896" s="34" t="n">
        <f aca="false">IFERROR(VLOOKUP($A13896,'319'!$B:$H,7,0),0)</f>
        <v>0</v>
      </c>
      <c r="G13896" s="34" t="n">
        <f aca="false">SUMIFS('12.326ana'!$C:$C,'12.326ana'!$M:$M,redes!A13896)</f>
        <v>0</v>
      </c>
    </row>
    <row r="13897" customFormat="false" ht="14.4" hidden="true" customHeight="false" outlineLevel="0" collapsed="false">
      <c r="A13897" s="34" t="n">
        <v>17574175000105</v>
      </c>
      <c r="B13897" s="34" t="s">
        <v>10747</v>
      </c>
      <c r="C13897" s="34" t="s">
        <v>117</v>
      </c>
      <c r="E13897" s="30" t="s">
        <v>4812</v>
      </c>
      <c r="F13897" s="34" t="n">
        <f aca="false">IFERROR(VLOOKUP($A13897,'319'!$B:$H,7,0),0)</f>
        <v>0</v>
      </c>
      <c r="G13897" s="34" t="n">
        <f aca="false">SUMIFS('12.326ana'!$C:$C,'12.326ana'!$M:$M,redes!A13897)</f>
        <v>0</v>
      </c>
    </row>
    <row r="13898" customFormat="false" ht="14.4" hidden="true" customHeight="false" outlineLevel="0" collapsed="false">
      <c r="A13898" s="34" t="n">
        <v>17574804000105</v>
      </c>
      <c r="B13898" s="34" t="s">
        <v>26190</v>
      </c>
      <c r="C13898" s="34" t="s">
        <v>77</v>
      </c>
      <c r="E13898" s="30" t="s">
        <v>26191</v>
      </c>
      <c r="F13898" s="34" t="n">
        <f aca="false">IFERROR(VLOOKUP($A13898,'319'!$B:$H,7,0),0)</f>
        <v>0</v>
      </c>
      <c r="G13898" s="34" t="n">
        <f aca="false">SUMIFS('12.326ana'!$C:$C,'12.326ana'!$M:$M,redes!A13898)</f>
        <v>0</v>
      </c>
    </row>
    <row r="13899" customFormat="false" ht="14.4" hidden="true" customHeight="false" outlineLevel="0" collapsed="false">
      <c r="A13899" s="34" t="n">
        <v>17575294000182</v>
      </c>
      <c r="B13899" s="34" t="s">
        <v>5458</v>
      </c>
      <c r="C13899" s="34" t="s">
        <v>77</v>
      </c>
      <c r="E13899" s="30" t="s">
        <v>26192</v>
      </c>
      <c r="F13899" s="34" t="n">
        <f aca="false">IFERROR(VLOOKUP($A13899,'319'!$B:$H,7,0),0)</f>
        <v>0</v>
      </c>
      <c r="G13899" s="34" t="n">
        <f aca="false">SUMIFS('12.326ana'!$C:$C,'12.326ana'!$M:$M,redes!A13899)</f>
        <v>0</v>
      </c>
    </row>
    <row r="13900" customFormat="false" ht="14.4" hidden="true" customHeight="false" outlineLevel="0" collapsed="false">
      <c r="A13900" s="34" t="n">
        <v>17576613000174</v>
      </c>
      <c r="B13900" s="34" t="s">
        <v>26193</v>
      </c>
      <c r="C13900" s="34" t="s">
        <v>598</v>
      </c>
      <c r="E13900" s="30" t="s">
        <v>26194</v>
      </c>
      <c r="F13900" s="34" t="n">
        <f aca="false">IFERROR(VLOOKUP($A13900,'319'!$B:$H,7,0),0)</f>
        <v>0</v>
      </c>
      <c r="G13900" s="34" t="n">
        <f aca="false">SUMIFS('12.326ana'!$C:$C,'12.326ana'!$M:$M,redes!A13900)</f>
        <v>0</v>
      </c>
    </row>
    <row r="13901" customFormat="false" ht="14.4" hidden="true" customHeight="false" outlineLevel="0" collapsed="false">
      <c r="A13901" s="34" t="n">
        <v>17578419000128</v>
      </c>
      <c r="B13901" s="34" t="s">
        <v>26195</v>
      </c>
      <c r="C13901" s="34" t="s">
        <v>77</v>
      </c>
      <c r="E13901" s="30" t="s">
        <v>26196</v>
      </c>
      <c r="F13901" s="34" t="n">
        <f aca="false">IFERROR(VLOOKUP($A13901,'319'!$B:$H,7,0),0)</f>
        <v>0</v>
      </c>
      <c r="G13901" s="34" t="n">
        <f aca="false">SUMIFS('12.326ana'!$C:$C,'12.326ana'!$M:$M,redes!A13901)</f>
        <v>0</v>
      </c>
    </row>
    <row r="13902" customFormat="false" ht="14.4" hidden="true" customHeight="false" outlineLevel="0" collapsed="false">
      <c r="A13902" s="34" t="n">
        <v>17579188000177</v>
      </c>
      <c r="B13902" s="34" t="s">
        <v>26197</v>
      </c>
      <c r="C13902" s="34" t="s">
        <v>954</v>
      </c>
      <c r="E13902" s="30" t="s">
        <v>26198</v>
      </c>
      <c r="F13902" s="34" t="n">
        <f aca="false">IFERROR(VLOOKUP($A13902,'319'!$B:$H,7,0),0)</f>
        <v>0</v>
      </c>
      <c r="G13902" s="34" t="n">
        <f aca="false">SUMIFS('12.326ana'!$C:$C,'12.326ana'!$M:$M,redes!A13902)</f>
        <v>0</v>
      </c>
    </row>
    <row r="13903" customFormat="false" ht="14.4" hidden="true" customHeight="false" outlineLevel="0" collapsed="false">
      <c r="A13903" s="34" t="n">
        <v>17583825000189</v>
      </c>
      <c r="B13903" s="34" t="s">
        <v>26199</v>
      </c>
      <c r="C13903" s="34" t="s">
        <v>77</v>
      </c>
      <c r="E13903" s="30" t="s">
        <v>26200</v>
      </c>
      <c r="F13903" s="34" t="n">
        <f aca="false">IFERROR(VLOOKUP($A13903,'319'!$B:$H,7,0),0)</f>
        <v>0</v>
      </c>
      <c r="G13903" s="34" t="n">
        <f aca="false">SUMIFS('12.326ana'!$C:$C,'12.326ana'!$M:$M,redes!A13903)</f>
        <v>0</v>
      </c>
    </row>
    <row r="13904" customFormat="false" ht="14.4" hidden="true" customHeight="false" outlineLevel="0" collapsed="false">
      <c r="A13904" s="34" t="n">
        <v>17584207000153</v>
      </c>
      <c r="B13904" s="34" t="s">
        <v>26201</v>
      </c>
      <c r="C13904" s="34" t="s">
        <v>737</v>
      </c>
      <c r="E13904" s="30" t="s">
        <v>26202</v>
      </c>
      <c r="F13904" s="34" t="n">
        <f aca="false">IFERROR(VLOOKUP($A13904,'319'!$B:$H,7,0),0)</f>
        <v>0</v>
      </c>
      <c r="G13904" s="34" t="n">
        <f aca="false">SUMIFS('12.326ana'!$C:$C,'12.326ana'!$M:$M,redes!A13904)</f>
        <v>0</v>
      </c>
    </row>
    <row r="13905" customFormat="false" ht="14.4" hidden="true" customHeight="false" outlineLevel="0" collapsed="false">
      <c r="A13905" s="34" t="n">
        <v>17611490000165</v>
      </c>
      <c r="B13905" s="34" t="s">
        <v>26203</v>
      </c>
      <c r="C13905" s="34" t="s">
        <v>107</v>
      </c>
      <c r="E13905" s="30" t="s">
        <v>26204</v>
      </c>
      <c r="F13905" s="34" t="n">
        <f aca="false">IFERROR(VLOOKUP($A13905,'319'!$B:$H,7,0),0)</f>
        <v>0</v>
      </c>
      <c r="G13905" s="34" t="n">
        <f aca="false">SUMIFS('12.326ana'!$C:$C,'12.326ana'!$M:$M,redes!A13905)</f>
        <v>0</v>
      </c>
    </row>
    <row r="13906" customFormat="false" ht="14.4" hidden="true" customHeight="false" outlineLevel="0" collapsed="false">
      <c r="A13906" s="34" t="n">
        <v>17615585000157</v>
      </c>
      <c r="B13906" s="34" t="s">
        <v>26205</v>
      </c>
      <c r="C13906" s="34" t="s">
        <v>546</v>
      </c>
      <c r="E13906" s="30" t="s">
        <v>26206</v>
      </c>
      <c r="F13906" s="34" t="n">
        <f aca="false">IFERROR(VLOOKUP($A13906,'319'!$B:$H,7,0),0)</f>
        <v>0</v>
      </c>
      <c r="G13906" s="34" t="n">
        <f aca="false">SUMIFS('12.326ana'!$C:$C,'12.326ana'!$M:$M,redes!A13906)</f>
        <v>0</v>
      </c>
    </row>
    <row r="13907" customFormat="false" ht="14.4" hidden="true" customHeight="false" outlineLevel="0" collapsed="false">
      <c r="A13907" s="34" t="n">
        <v>17620062000107</v>
      </c>
      <c r="B13907" s="34" t="s">
        <v>26207</v>
      </c>
      <c r="C13907" s="34" t="s">
        <v>77</v>
      </c>
      <c r="E13907" s="30" t="s">
        <v>25016</v>
      </c>
      <c r="F13907" s="34" t="n">
        <f aca="false">IFERROR(VLOOKUP($A13907,'319'!$B:$H,7,0),0)</f>
        <v>0</v>
      </c>
      <c r="G13907" s="34" t="n">
        <f aca="false">SUMIFS('12.326ana'!$C:$C,'12.326ana'!$M:$M,redes!A13907)</f>
        <v>0</v>
      </c>
    </row>
    <row r="13908" customFormat="false" ht="14.4" hidden="true" customHeight="false" outlineLevel="0" collapsed="false">
      <c r="A13908" s="34" t="n">
        <v>17621986000110</v>
      </c>
      <c r="B13908" s="34" t="s">
        <v>11551</v>
      </c>
      <c r="C13908" s="34" t="s">
        <v>77</v>
      </c>
      <c r="E13908" s="30" t="s">
        <v>11552</v>
      </c>
      <c r="F13908" s="34" t="n">
        <f aca="false">IFERROR(VLOOKUP($A13908,'319'!$B:$H,7,0),0)</f>
        <v>0</v>
      </c>
      <c r="G13908" s="34" t="n">
        <f aca="false">SUMIFS('12.326ana'!$C:$C,'12.326ana'!$M:$M,redes!A13908)</f>
        <v>0</v>
      </c>
    </row>
    <row r="13909" customFormat="false" ht="14.4" hidden="true" customHeight="false" outlineLevel="0" collapsed="false">
      <c r="A13909" s="34" t="n">
        <v>17625731000125</v>
      </c>
      <c r="B13909" s="34" t="s">
        <v>26208</v>
      </c>
      <c r="C13909" s="34" t="s">
        <v>357</v>
      </c>
      <c r="E13909" s="30" t="s">
        <v>26209</v>
      </c>
      <c r="F13909" s="34" t="n">
        <f aca="false">IFERROR(VLOOKUP($A13909,'319'!$B:$H,7,0),0)</f>
        <v>0</v>
      </c>
      <c r="G13909" s="34" t="n">
        <f aca="false">SUMIFS('12.326ana'!$C:$C,'12.326ana'!$M:$M,redes!A13909)</f>
        <v>0</v>
      </c>
    </row>
    <row r="13910" customFormat="false" ht="14.4" hidden="true" customHeight="false" outlineLevel="0" collapsed="false">
      <c r="A13910" s="34" t="n">
        <v>17632070000165</v>
      </c>
      <c r="B13910" s="34" t="s">
        <v>26210</v>
      </c>
      <c r="C13910" s="34" t="s">
        <v>77</v>
      </c>
      <c r="E13910" s="30" t="s">
        <v>26211</v>
      </c>
      <c r="F13910" s="34" t="n">
        <f aca="false">IFERROR(VLOOKUP($A13910,'319'!$B:$H,7,0),0)</f>
        <v>0</v>
      </c>
      <c r="G13910" s="34" t="n">
        <f aca="false">SUMIFS('12.326ana'!$C:$C,'12.326ana'!$M:$M,redes!A13910)</f>
        <v>0</v>
      </c>
    </row>
    <row r="13911" customFormat="false" ht="14.4" hidden="true" customHeight="false" outlineLevel="0" collapsed="false">
      <c r="A13911" s="34" t="n">
        <v>17642805000131</v>
      </c>
      <c r="B13911" s="34" t="s">
        <v>26212</v>
      </c>
      <c r="C13911" s="34" t="s">
        <v>89</v>
      </c>
      <c r="E13911" s="30" t="s">
        <v>26213</v>
      </c>
      <c r="F13911" s="34" t="n">
        <f aca="false">IFERROR(VLOOKUP($A13911,'319'!$B:$H,7,0),0)</f>
        <v>0</v>
      </c>
      <c r="G13911" s="34" t="n">
        <f aca="false">SUMIFS('12.326ana'!$C:$C,'12.326ana'!$M:$M,redes!A13911)</f>
        <v>0</v>
      </c>
    </row>
    <row r="13912" customFormat="false" ht="14.4" hidden="true" customHeight="false" outlineLevel="0" collapsed="false">
      <c r="A13912" s="34" t="n">
        <v>17650535000100</v>
      </c>
      <c r="B13912" s="34" t="s">
        <v>26214</v>
      </c>
      <c r="C13912" s="34" t="s">
        <v>103</v>
      </c>
      <c r="E13912" s="30" t="s">
        <v>26215</v>
      </c>
      <c r="F13912" s="34" t="n">
        <f aca="false">IFERROR(VLOOKUP($A13912,'319'!$B:$H,7,0),0)</f>
        <v>0</v>
      </c>
      <c r="G13912" s="34" t="n">
        <f aca="false">SUMIFS('12.326ana'!$C:$C,'12.326ana'!$M:$M,redes!A13912)</f>
        <v>0</v>
      </c>
    </row>
    <row r="13913" customFormat="false" ht="14.4" hidden="true" customHeight="false" outlineLevel="0" collapsed="false">
      <c r="A13913" s="34" t="n">
        <v>17660742000146</v>
      </c>
      <c r="B13913" s="34" t="s">
        <v>26216</v>
      </c>
      <c r="C13913" s="34" t="s">
        <v>77</v>
      </c>
      <c r="E13913" s="30" t="s">
        <v>21454</v>
      </c>
      <c r="F13913" s="34" t="n">
        <f aca="false">IFERROR(VLOOKUP($A13913,'319'!$B:$H,7,0),0)</f>
        <v>0</v>
      </c>
      <c r="G13913" s="34" t="n">
        <f aca="false">SUMIFS('12.326ana'!$C:$C,'12.326ana'!$M:$M,redes!A13913)</f>
        <v>0</v>
      </c>
    </row>
    <row r="13914" customFormat="false" ht="14.4" hidden="true" customHeight="false" outlineLevel="0" collapsed="false">
      <c r="A13914" s="34" t="n">
        <v>17660742000227</v>
      </c>
      <c r="B13914" s="34" t="s">
        <v>26216</v>
      </c>
      <c r="C13914" s="34" t="s">
        <v>77</v>
      </c>
      <c r="E13914" s="30" t="s">
        <v>26217</v>
      </c>
      <c r="F13914" s="34" t="n">
        <f aca="false">IFERROR(VLOOKUP($A13914,'319'!$B:$H,7,0),0)</f>
        <v>0</v>
      </c>
      <c r="G13914" s="34" t="n">
        <f aca="false">SUMIFS('12.326ana'!$C:$C,'12.326ana'!$M:$M,redes!A13914)</f>
        <v>0</v>
      </c>
    </row>
    <row r="13915" customFormat="false" ht="14.4" hidden="true" customHeight="false" outlineLevel="0" collapsed="false">
      <c r="A13915" s="34" t="n">
        <v>17662769000178</v>
      </c>
      <c r="B13915" s="34" t="s">
        <v>26218</v>
      </c>
      <c r="C13915" s="34" t="s">
        <v>357</v>
      </c>
      <c r="E13915" s="30" t="s">
        <v>6935</v>
      </c>
      <c r="F13915" s="34" t="n">
        <f aca="false">IFERROR(VLOOKUP($A13915,'319'!$B:$H,7,0),0)</f>
        <v>0</v>
      </c>
      <c r="G13915" s="34" t="n">
        <f aca="false">SUMIFS('12.326ana'!$C:$C,'12.326ana'!$M:$M,redes!A13915)</f>
        <v>0</v>
      </c>
    </row>
    <row r="13916" customFormat="false" ht="14.4" hidden="true" customHeight="false" outlineLevel="0" collapsed="false">
      <c r="A13916" s="34" t="n">
        <v>17680773000169</v>
      </c>
      <c r="B13916" s="34" t="s">
        <v>26219</v>
      </c>
      <c r="C13916" s="34" t="s">
        <v>77</v>
      </c>
      <c r="E13916" s="30" t="s">
        <v>26220</v>
      </c>
      <c r="F13916" s="34" t="n">
        <f aca="false">IFERROR(VLOOKUP($A13916,'319'!$B:$H,7,0),0)</f>
        <v>0</v>
      </c>
      <c r="G13916" s="34" t="n">
        <f aca="false">SUMIFS('12.326ana'!$C:$C,'12.326ana'!$M:$M,redes!A13916)</f>
        <v>0</v>
      </c>
    </row>
    <row r="13917" customFormat="false" ht="14.4" hidden="true" customHeight="false" outlineLevel="0" collapsed="false">
      <c r="A13917" s="34" t="n">
        <v>17686133000166</v>
      </c>
      <c r="B13917" s="34" t="s">
        <v>26221</v>
      </c>
      <c r="C13917" s="34" t="s">
        <v>89</v>
      </c>
      <c r="E13917" s="30" t="s">
        <v>6686</v>
      </c>
      <c r="F13917" s="34" t="n">
        <f aca="false">IFERROR(VLOOKUP($A13917,'319'!$B:$H,7,0),0)</f>
        <v>0</v>
      </c>
      <c r="G13917" s="34" t="n">
        <f aca="false">SUMIFS('12.326ana'!$C:$C,'12.326ana'!$M:$M,redes!A13917)</f>
        <v>0</v>
      </c>
    </row>
    <row r="13918" customFormat="false" ht="14.4" hidden="true" customHeight="false" outlineLevel="0" collapsed="false">
      <c r="A13918" s="34" t="n">
        <v>17701297000115</v>
      </c>
      <c r="B13918" s="34" t="s">
        <v>26222</v>
      </c>
      <c r="C13918" s="34" t="s">
        <v>737</v>
      </c>
      <c r="E13918" s="30" t="s">
        <v>26223</v>
      </c>
      <c r="F13918" s="34" t="n">
        <f aca="false">IFERROR(VLOOKUP($A13918,'319'!$B:$H,7,0),0)</f>
        <v>0</v>
      </c>
      <c r="G13918" s="34" t="n">
        <f aca="false">SUMIFS('12.326ana'!$C:$C,'12.326ana'!$M:$M,redes!A13918)</f>
        <v>0</v>
      </c>
    </row>
    <row r="13919" customFormat="false" ht="14.4" hidden="true" customHeight="false" outlineLevel="0" collapsed="false">
      <c r="A13919" s="34" t="n">
        <v>17701561000110</v>
      </c>
      <c r="B13919" s="34" t="s">
        <v>26224</v>
      </c>
      <c r="C13919" s="34" t="s">
        <v>77</v>
      </c>
      <c r="E13919" s="30" t="s">
        <v>26225</v>
      </c>
      <c r="F13919" s="34" t="n">
        <f aca="false">IFERROR(VLOOKUP($A13919,'319'!$B:$H,7,0),0)</f>
        <v>0</v>
      </c>
      <c r="G13919" s="34" t="n">
        <f aca="false">SUMIFS('12.326ana'!$C:$C,'12.326ana'!$M:$M,redes!A13919)</f>
        <v>0</v>
      </c>
    </row>
    <row r="13920" customFormat="false" ht="14.4" hidden="true" customHeight="false" outlineLevel="0" collapsed="false">
      <c r="A13920" s="34" t="n">
        <v>17702650000181</v>
      </c>
      <c r="B13920" s="34" t="s">
        <v>26226</v>
      </c>
      <c r="C13920" s="34" t="s">
        <v>744</v>
      </c>
      <c r="E13920" s="30" t="s">
        <v>26227</v>
      </c>
      <c r="F13920" s="34" t="n">
        <f aca="false">IFERROR(VLOOKUP($A13920,'319'!$B:$H,7,0),0)</f>
        <v>0</v>
      </c>
      <c r="G13920" s="34" t="n">
        <f aca="false">SUMIFS('12.326ana'!$C:$C,'12.326ana'!$M:$M,redes!A13920)</f>
        <v>0</v>
      </c>
    </row>
    <row r="13921" customFormat="false" ht="14.4" hidden="true" customHeight="false" outlineLevel="0" collapsed="false">
      <c r="A13921" s="34" t="n">
        <v>17717030000116</v>
      </c>
      <c r="B13921" s="34" t="s">
        <v>26228</v>
      </c>
      <c r="C13921" s="34" t="s">
        <v>77</v>
      </c>
      <c r="E13921" s="30" t="s">
        <v>26229</v>
      </c>
      <c r="F13921" s="34" t="n">
        <f aca="false">IFERROR(VLOOKUP($A13921,'319'!$B:$H,7,0),0)</f>
        <v>0</v>
      </c>
      <c r="G13921" s="34" t="n">
        <f aca="false">SUMIFS('12.326ana'!$C:$C,'12.326ana'!$M:$M,redes!A13921)</f>
        <v>0</v>
      </c>
    </row>
    <row r="13922" customFormat="false" ht="14.4" hidden="true" customHeight="false" outlineLevel="0" collapsed="false">
      <c r="A13922" s="34" t="n">
        <v>17732796000170</v>
      </c>
      <c r="B13922" s="34" t="s">
        <v>1664</v>
      </c>
      <c r="C13922" s="34" t="s">
        <v>309</v>
      </c>
      <c r="E13922" s="30" t="s">
        <v>3730</v>
      </c>
      <c r="F13922" s="34" t="n">
        <f aca="false">IFERROR(VLOOKUP($A13922,'319'!$B:$H,7,0),0)</f>
        <v>64.72</v>
      </c>
      <c r="G13922" s="34" t="n">
        <f aca="false">SUMIFS('12.326ana'!$C:$C,'12.326ana'!$M:$M,redes!A13922)</f>
        <v>0</v>
      </c>
    </row>
    <row r="13923" customFormat="false" ht="14.4" hidden="true" customHeight="false" outlineLevel="0" collapsed="false">
      <c r="A13923" s="34" t="n">
        <v>17736407000184</v>
      </c>
      <c r="B13923" s="34" t="s">
        <v>26230</v>
      </c>
      <c r="C13923" s="34" t="s">
        <v>77</v>
      </c>
      <c r="E13923" s="30" t="s">
        <v>26231</v>
      </c>
      <c r="F13923" s="34" t="n">
        <f aca="false">IFERROR(VLOOKUP($A13923,'319'!$B:$H,7,0),0)</f>
        <v>0</v>
      </c>
      <c r="G13923" s="34" t="n">
        <f aca="false">SUMIFS('12.326ana'!$C:$C,'12.326ana'!$M:$M,redes!A13923)</f>
        <v>0</v>
      </c>
    </row>
    <row r="13924" customFormat="false" ht="14.4" hidden="true" customHeight="false" outlineLevel="0" collapsed="false">
      <c r="A13924" s="35" t="n">
        <v>17736904000182</v>
      </c>
      <c r="B13924" s="34" t="s">
        <v>26232</v>
      </c>
      <c r="C13924" s="34" t="s">
        <v>77</v>
      </c>
      <c r="E13924" s="30" t="s">
        <v>26233</v>
      </c>
      <c r="F13924" s="34" t="n">
        <f aca="false">IFERROR(VLOOKUP($A13924,'319'!$B:$H,7,0),0)</f>
        <v>0</v>
      </c>
      <c r="G13924" s="34" t="n">
        <f aca="false">SUMIFS('12.326ana'!$C:$C,'12.326ana'!$M:$M,redes!A13924)</f>
        <v>0</v>
      </c>
    </row>
    <row r="13925" customFormat="false" ht="14.4" hidden="true" customHeight="false" outlineLevel="0" collapsed="false">
      <c r="A13925" s="35" t="n">
        <v>17737425000180</v>
      </c>
      <c r="B13925" s="34" t="s">
        <v>26234</v>
      </c>
      <c r="C13925" s="34" t="s">
        <v>357</v>
      </c>
      <c r="E13925" s="30" t="s">
        <v>26235</v>
      </c>
      <c r="F13925" s="34" t="n">
        <f aca="false">IFERROR(VLOOKUP($A13925,'319'!$B:$H,7,0),0)</f>
        <v>0</v>
      </c>
      <c r="G13925" s="34" t="n">
        <f aca="false">SUMIFS('12.326ana'!$C:$C,'12.326ana'!$M:$M,redes!A13925)</f>
        <v>0</v>
      </c>
    </row>
    <row r="13926" customFormat="false" ht="14.4" hidden="true" customHeight="false" outlineLevel="0" collapsed="false">
      <c r="A13926" s="35" t="n">
        <v>17747169000102</v>
      </c>
      <c r="B13926" s="34" t="s">
        <v>26236</v>
      </c>
      <c r="C13926" s="34" t="s">
        <v>3060</v>
      </c>
      <c r="E13926" s="30" t="s">
        <v>26237</v>
      </c>
      <c r="F13926" s="34" t="n">
        <f aca="false">IFERROR(VLOOKUP($A13926,'319'!$B:$H,7,0),0)</f>
        <v>0</v>
      </c>
      <c r="G13926" s="34" t="n">
        <f aca="false">SUMIFS('12.326ana'!$C:$C,'12.326ana'!$M:$M,redes!A13926)</f>
        <v>0</v>
      </c>
    </row>
    <row r="13927" customFormat="false" ht="14.4" hidden="true" customHeight="false" outlineLevel="0" collapsed="false">
      <c r="A13927" s="35" t="n">
        <v>17748030000183</v>
      </c>
      <c r="B13927" s="34" t="s">
        <v>26238</v>
      </c>
      <c r="C13927" s="34" t="s">
        <v>478</v>
      </c>
      <c r="E13927" s="30" t="s">
        <v>19912</v>
      </c>
      <c r="F13927" s="34" t="n">
        <f aca="false">IFERROR(VLOOKUP($A13927,'319'!$B:$H,7,0),0)</f>
        <v>0</v>
      </c>
      <c r="G13927" s="34" t="n">
        <f aca="false">SUMIFS('12.326ana'!$C:$C,'12.326ana'!$M:$M,redes!A13927)</f>
        <v>0</v>
      </c>
    </row>
    <row r="13928" customFormat="false" ht="14.4" hidden="true" customHeight="false" outlineLevel="0" collapsed="false">
      <c r="A13928" s="34" t="n">
        <v>17752448000164</v>
      </c>
      <c r="B13928" s="34" t="s">
        <v>26239</v>
      </c>
      <c r="C13928" s="34" t="s">
        <v>631</v>
      </c>
      <c r="E13928" s="30" t="s">
        <v>26240</v>
      </c>
      <c r="F13928" s="34" t="n">
        <f aca="false">IFERROR(VLOOKUP($A13928,'319'!$B:$H,7,0),0)</f>
        <v>0</v>
      </c>
      <c r="G13928" s="34" t="n">
        <f aca="false">SUMIFS('12.326ana'!$C:$C,'12.326ana'!$M:$M,redes!A13928)</f>
        <v>0</v>
      </c>
    </row>
    <row r="13929" customFormat="false" ht="14.4" hidden="true" customHeight="false" outlineLevel="0" collapsed="false">
      <c r="A13929" s="34" t="n">
        <v>17764177000167</v>
      </c>
      <c r="B13929" s="34" t="s">
        <v>26241</v>
      </c>
      <c r="C13929" s="34" t="s">
        <v>473</v>
      </c>
      <c r="E13929" s="30" t="s">
        <v>26242</v>
      </c>
      <c r="F13929" s="34" t="n">
        <f aca="false">IFERROR(VLOOKUP($A13929,'319'!$B:$H,7,0),0)</f>
        <v>0</v>
      </c>
      <c r="G13929" s="34" t="n">
        <f aca="false">SUMIFS('12.326ana'!$C:$C,'12.326ana'!$M:$M,redes!A13929)</f>
        <v>0</v>
      </c>
    </row>
    <row r="13930" customFormat="false" ht="14.4" hidden="true" customHeight="false" outlineLevel="0" collapsed="false">
      <c r="A13930" s="34" t="n">
        <v>17765957000121</v>
      </c>
      <c r="B13930" s="34" t="s">
        <v>26243</v>
      </c>
      <c r="C13930" s="34" t="s">
        <v>935</v>
      </c>
      <c r="E13930" s="30" t="s">
        <v>22495</v>
      </c>
      <c r="F13930" s="34" t="n">
        <f aca="false">IFERROR(VLOOKUP($A13930,'319'!$B:$H,7,0),0)</f>
        <v>0</v>
      </c>
      <c r="G13930" s="34" t="n">
        <f aca="false">SUMIFS('12.326ana'!$C:$C,'12.326ana'!$M:$M,redes!A13930)</f>
        <v>0</v>
      </c>
    </row>
    <row r="13931" customFormat="false" ht="14.4" hidden="true" customHeight="false" outlineLevel="0" collapsed="false">
      <c r="A13931" s="34" t="n">
        <v>17768203000125</v>
      </c>
      <c r="B13931" s="34" t="s">
        <v>26244</v>
      </c>
      <c r="C13931" s="34" t="s">
        <v>77</v>
      </c>
      <c r="E13931" s="30" t="s">
        <v>26245</v>
      </c>
      <c r="F13931" s="34" t="n">
        <f aca="false">IFERROR(VLOOKUP($A13931,'319'!$B:$H,7,0),0)</f>
        <v>0</v>
      </c>
      <c r="G13931" s="34" t="n">
        <f aca="false">SUMIFS('12.326ana'!$C:$C,'12.326ana'!$M:$M,redes!A13931)</f>
        <v>0</v>
      </c>
    </row>
    <row r="13932" customFormat="false" ht="14.4" hidden="true" customHeight="false" outlineLevel="0" collapsed="false">
      <c r="A13932" s="34" t="n">
        <v>17771277000110</v>
      </c>
      <c r="B13932" s="34" t="s">
        <v>26246</v>
      </c>
      <c r="C13932" s="34" t="s">
        <v>77</v>
      </c>
      <c r="E13932" s="30" t="s">
        <v>3712</v>
      </c>
      <c r="F13932" s="34" t="n">
        <f aca="false">IFERROR(VLOOKUP($A13932,'319'!$B:$H,7,0),0)</f>
        <v>0</v>
      </c>
      <c r="G13932" s="34" t="n">
        <f aca="false">SUMIFS('12.326ana'!$C:$C,'12.326ana'!$M:$M,redes!A13932)</f>
        <v>0</v>
      </c>
    </row>
    <row r="13933" customFormat="false" ht="14.4" hidden="true" customHeight="false" outlineLevel="0" collapsed="false">
      <c r="A13933" s="34" t="n">
        <v>17771397000118</v>
      </c>
      <c r="B13933" s="34" t="s">
        <v>26247</v>
      </c>
      <c r="C13933" s="34" t="s">
        <v>207</v>
      </c>
      <c r="E13933" s="30" t="s">
        <v>26248</v>
      </c>
      <c r="F13933" s="34" t="n">
        <f aca="false">IFERROR(VLOOKUP($A13933,'319'!$B:$H,7,0),0)</f>
        <v>0</v>
      </c>
      <c r="G13933" s="34" t="n">
        <f aca="false">SUMIFS('12.326ana'!$C:$C,'12.326ana'!$M:$M,redes!A13933)</f>
        <v>0</v>
      </c>
    </row>
    <row r="13934" customFormat="false" ht="14.4" hidden="true" customHeight="false" outlineLevel="0" collapsed="false">
      <c r="A13934" s="34" t="n">
        <v>17771915000101</v>
      </c>
      <c r="B13934" s="34" t="s">
        <v>26249</v>
      </c>
      <c r="C13934" s="34" t="s">
        <v>77</v>
      </c>
      <c r="E13934" s="30" t="s">
        <v>26250</v>
      </c>
      <c r="F13934" s="34" t="n">
        <f aca="false">IFERROR(VLOOKUP($A13934,'319'!$B:$H,7,0),0)</f>
        <v>0</v>
      </c>
      <c r="G13934" s="34" t="n">
        <f aca="false">SUMIFS('12.326ana'!$C:$C,'12.326ana'!$M:$M,redes!A13934)</f>
        <v>0</v>
      </c>
    </row>
    <row r="13935" customFormat="false" ht="14.4" hidden="true" customHeight="false" outlineLevel="0" collapsed="false">
      <c r="A13935" s="34" t="n">
        <v>17771960000158</v>
      </c>
      <c r="B13935" s="34" t="s">
        <v>26251</v>
      </c>
      <c r="C13935" s="34" t="s">
        <v>77</v>
      </c>
      <c r="E13935" s="30" t="s">
        <v>26252</v>
      </c>
      <c r="F13935" s="34" t="n">
        <f aca="false">IFERROR(VLOOKUP($A13935,'319'!$B:$H,7,0),0)</f>
        <v>0</v>
      </c>
      <c r="G13935" s="34" t="n">
        <f aca="false">SUMIFS('12.326ana'!$C:$C,'12.326ana'!$M:$M,redes!A13935)</f>
        <v>0</v>
      </c>
    </row>
    <row r="13936" customFormat="false" ht="14.4" hidden="true" customHeight="false" outlineLevel="0" collapsed="false">
      <c r="A13936" s="34" t="n">
        <v>17774342000161</v>
      </c>
      <c r="B13936" s="34" t="s">
        <v>26253</v>
      </c>
      <c r="C13936" s="34" t="s">
        <v>473</v>
      </c>
      <c r="E13936" s="30" t="s">
        <v>8653</v>
      </c>
      <c r="F13936" s="34" t="n">
        <f aca="false">IFERROR(VLOOKUP($A13936,'319'!$B:$H,7,0),0)</f>
        <v>0</v>
      </c>
      <c r="G13936" s="34" t="n">
        <f aca="false">SUMIFS('12.326ana'!$C:$C,'12.326ana'!$M:$M,redes!A13936)</f>
        <v>0</v>
      </c>
    </row>
    <row r="13937" customFormat="false" ht="14.4" hidden="true" customHeight="false" outlineLevel="0" collapsed="false">
      <c r="A13937" s="34" t="n">
        <v>17782177000190</v>
      </c>
      <c r="B13937" s="34" t="s">
        <v>26254</v>
      </c>
      <c r="C13937" s="34" t="s">
        <v>357</v>
      </c>
      <c r="E13937" s="30" t="s">
        <v>26255</v>
      </c>
      <c r="F13937" s="34" t="n">
        <f aca="false">IFERROR(VLOOKUP($A13937,'319'!$B:$H,7,0),0)</f>
        <v>0</v>
      </c>
      <c r="G13937" s="34" t="n">
        <f aca="false">SUMIFS('12.326ana'!$C:$C,'12.326ana'!$M:$M,redes!A13937)</f>
        <v>0</v>
      </c>
    </row>
    <row r="13938" customFormat="false" ht="14.4" hidden="true" customHeight="false" outlineLevel="0" collapsed="false">
      <c r="A13938" s="34" t="n">
        <v>17801450000186</v>
      </c>
      <c r="B13938" s="34" t="s">
        <v>9685</v>
      </c>
      <c r="C13938" s="34" t="s">
        <v>77</v>
      </c>
      <c r="E13938" s="30" t="s">
        <v>26256</v>
      </c>
      <c r="F13938" s="34" t="n">
        <f aca="false">IFERROR(VLOOKUP($A13938,'319'!$B:$H,7,0),0)</f>
        <v>0</v>
      </c>
      <c r="G13938" s="34" t="n">
        <f aca="false">SUMIFS('12.326ana'!$C:$C,'12.326ana'!$M:$M,redes!A13938)</f>
        <v>0</v>
      </c>
    </row>
    <row r="13939" customFormat="false" ht="14.4" hidden="true" customHeight="false" outlineLevel="0" collapsed="false">
      <c r="A13939" s="34" t="n">
        <v>17805827000175</v>
      </c>
      <c r="B13939" s="34" t="s">
        <v>26257</v>
      </c>
      <c r="C13939" s="34" t="s">
        <v>77</v>
      </c>
      <c r="E13939" s="30" t="s">
        <v>26258</v>
      </c>
      <c r="F13939" s="34" t="n">
        <f aca="false">IFERROR(VLOOKUP($A13939,'319'!$B:$H,7,0),0)</f>
        <v>0</v>
      </c>
      <c r="G13939" s="34" t="n">
        <f aca="false">SUMIFS('12.326ana'!$C:$C,'12.326ana'!$M:$M,redes!A13939)</f>
        <v>0</v>
      </c>
    </row>
    <row r="13940" customFormat="false" ht="14.4" hidden="true" customHeight="false" outlineLevel="0" collapsed="false">
      <c r="A13940" s="34" t="n">
        <v>17810769000178</v>
      </c>
      <c r="B13940" s="34" t="s">
        <v>26259</v>
      </c>
      <c r="C13940" s="34" t="s">
        <v>463</v>
      </c>
      <c r="E13940" s="30" t="s">
        <v>26260</v>
      </c>
      <c r="F13940" s="34" t="n">
        <f aca="false">IFERROR(VLOOKUP($A13940,'319'!$B:$H,7,0),0)</f>
        <v>0</v>
      </c>
      <c r="G13940" s="34" t="n">
        <f aca="false">SUMIFS('12.326ana'!$C:$C,'12.326ana'!$M:$M,redes!A13940)</f>
        <v>0</v>
      </c>
    </row>
    <row r="13941" customFormat="false" ht="14.4" hidden="true" customHeight="false" outlineLevel="0" collapsed="false">
      <c r="A13941" s="34" t="n">
        <v>17810769000259</v>
      </c>
      <c r="B13941" s="34" t="s">
        <v>26261</v>
      </c>
      <c r="C13941" s="34" t="s">
        <v>139</v>
      </c>
      <c r="E13941" s="30" t="s">
        <v>26262</v>
      </c>
      <c r="F13941" s="34" t="n">
        <f aca="false">IFERROR(VLOOKUP($A13941,'319'!$B:$H,7,0),0)</f>
        <v>0</v>
      </c>
      <c r="G13941" s="34" t="n">
        <f aca="false">SUMIFS('12.326ana'!$C:$C,'12.326ana'!$M:$M,redes!A13941)</f>
        <v>0</v>
      </c>
    </row>
    <row r="13942" customFormat="false" ht="14.4" hidden="true" customHeight="false" outlineLevel="0" collapsed="false">
      <c r="A13942" s="34" t="n">
        <v>17821847000130</v>
      </c>
      <c r="B13942" s="34" t="s">
        <v>26263</v>
      </c>
      <c r="C13942" s="34" t="s">
        <v>107</v>
      </c>
      <c r="E13942" s="30" t="s">
        <v>26264</v>
      </c>
      <c r="F13942" s="34" t="n">
        <f aca="false">IFERROR(VLOOKUP($A13942,'319'!$B:$H,7,0),0)</f>
        <v>0</v>
      </c>
      <c r="G13942" s="34" t="n">
        <f aca="false">SUMIFS('12.326ana'!$C:$C,'12.326ana'!$M:$M,redes!A13942)</f>
        <v>0</v>
      </c>
    </row>
    <row r="13943" customFormat="false" ht="14.4" hidden="true" customHeight="false" outlineLevel="0" collapsed="false">
      <c r="A13943" s="34" t="n">
        <v>17821936000186</v>
      </c>
      <c r="B13943" s="34" t="s">
        <v>26265</v>
      </c>
      <c r="C13943" s="34" t="s">
        <v>107</v>
      </c>
      <c r="E13943" s="30" t="s">
        <v>26266</v>
      </c>
      <c r="F13943" s="34" t="n">
        <f aca="false">IFERROR(VLOOKUP($A13943,'319'!$B:$H,7,0),0)</f>
        <v>0</v>
      </c>
      <c r="G13943" s="34" t="n">
        <f aca="false">SUMIFS('12.326ana'!$C:$C,'12.326ana'!$M:$M,redes!A13943)</f>
        <v>0</v>
      </c>
    </row>
    <row r="13944" customFormat="false" ht="14.4" hidden="true" customHeight="false" outlineLevel="0" collapsed="false">
      <c r="A13944" s="34" t="n">
        <v>17847774000155</v>
      </c>
      <c r="B13944" s="34" t="s">
        <v>26267</v>
      </c>
      <c r="C13944" s="34" t="s">
        <v>103</v>
      </c>
      <c r="E13944" s="30" t="s">
        <v>26268</v>
      </c>
      <c r="F13944" s="34" t="n">
        <f aca="false">IFERROR(VLOOKUP($A13944,'319'!$B:$H,7,0),0)</f>
        <v>329.58</v>
      </c>
      <c r="G13944" s="34" t="n">
        <f aca="false">SUMIFS('12.326ana'!$C:$C,'12.326ana'!$M:$M,redes!A13944)</f>
        <v>0</v>
      </c>
    </row>
    <row r="13945" customFormat="false" ht="14.4" hidden="true" customHeight="false" outlineLevel="0" collapsed="false">
      <c r="A13945" s="34" t="n">
        <v>17871774000190</v>
      </c>
      <c r="B13945" s="34" t="s">
        <v>26269</v>
      </c>
      <c r="C13945" s="34" t="s">
        <v>565</v>
      </c>
      <c r="E13945" s="30" t="s">
        <v>26270</v>
      </c>
      <c r="F13945" s="34" t="n">
        <f aca="false">IFERROR(VLOOKUP($A13945,'319'!$B:$H,7,0),0)</f>
        <v>0</v>
      </c>
      <c r="G13945" s="34" t="n">
        <f aca="false">SUMIFS('12.326ana'!$C:$C,'12.326ana'!$M:$M,redes!A13945)</f>
        <v>0</v>
      </c>
    </row>
    <row r="13946" customFormat="false" ht="14.4" hidden="true" customHeight="false" outlineLevel="0" collapsed="false">
      <c r="A13946" s="34" t="n">
        <v>17873642000106</v>
      </c>
      <c r="B13946" s="34" t="s">
        <v>26271</v>
      </c>
      <c r="C13946" s="34" t="s">
        <v>107</v>
      </c>
      <c r="E13946" s="30" t="s">
        <v>10052</v>
      </c>
      <c r="F13946" s="34" t="n">
        <f aca="false">IFERROR(VLOOKUP($A13946,'319'!$B:$H,7,0),0)</f>
        <v>0</v>
      </c>
      <c r="G13946" s="34" t="n">
        <f aca="false">SUMIFS('12.326ana'!$C:$C,'12.326ana'!$M:$M,redes!A13946)</f>
        <v>0</v>
      </c>
    </row>
    <row r="13947" customFormat="false" ht="14.4" hidden="true" customHeight="false" outlineLevel="0" collapsed="false">
      <c r="A13947" s="34" t="n">
        <v>17874930000177</v>
      </c>
      <c r="B13947" s="34" t="s">
        <v>574</v>
      </c>
      <c r="C13947" s="34" t="s">
        <v>139</v>
      </c>
      <c r="E13947" s="30" t="s">
        <v>574</v>
      </c>
      <c r="F13947" s="34" t="n">
        <f aca="false">IFERROR(VLOOKUP($A13947,'319'!$B:$H,7,0),0)</f>
        <v>17931.71</v>
      </c>
      <c r="G13947" s="34" t="n">
        <f aca="false">SUMIFS('12.326ana'!$C:$C,'12.326ana'!$M:$M,redes!A13947)</f>
        <v>0</v>
      </c>
    </row>
    <row r="13948" customFormat="false" ht="14.4" hidden="true" customHeight="false" outlineLevel="0" collapsed="false">
      <c r="A13948" s="34" t="n">
        <v>17879724000150</v>
      </c>
      <c r="B13948" s="34" t="s">
        <v>26272</v>
      </c>
      <c r="C13948" s="34" t="s">
        <v>192</v>
      </c>
      <c r="E13948" s="30" t="s">
        <v>15156</v>
      </c>
      <c r="F13948" s="34" t="n">
        <f aca="false">IFERROR(VLOOKUP($A13948,'319'!$B:$H,7,0),0)</f>
        <v>0</v>
      </c>
      <c r="G13948" s="34" t="n">
        <f aca="false">SUMIFS('12.326ana'!$C:$C,'12.326ana'!$M:$M,redes!A13948)</f>
        <v>0</v>
      </c>
    </row>
    <row r="13949" customFormat="false" ht="14.4" hidden="true" customHeight="false" outlineLevel="0" collapsed="false">
      <c r="A13949" s="34" t="n">
        <v>17888633000180</v>
      </c>
      <c r="B13949" s="34" t="s">
        <v>26273</v>
      </c>
      <c r="C13949" s="34" t="s">
        <v>478</v>
      </c>
      <c r="E13949" s="30" t="s">
        <v>26274</v>
      </c>
      <c r="F13949" s="34" t="n">
        <f aca="false">IFERROR(VLOOKUP($A13949,'319'!$B:$H,7,0),0)</f>
        <v>0</v>
      </c>
      <c r="G13949" s="34" t="n">
        <f aca="false">SUMIFS('12.326ana'!$C:$C,'12.326ana'!$M:$M,redes!A13949)</f>
        <v>0</v>
      </c>
    </row>
    <row r="13950" customFormat="false" ht="14.4" hidden="true" customHeight="false" outlineLevel="0" collapsed="false">
      <c r="A13950" s="34" t="n">
        <v>17889279000109</v>
      </c>
      <c r="B13950" s="34" t="s">
        <v>26275</v>
      </c>
      <c r="C13950" s="34" t="s">
        <v>107</v>
      </c>
      <c r="E13950" s="30" t="s">
        <v>12953</v>
      </c>
      <c r="F13950" s="34" t="n">
        <f aca="false">IFERROR(VLOOKUP($A13950,'319'!$B:$H,7,0),0)</f>
        <v>0</v>
      </c>
      <c r="G13950" s="34" t="n">
        <f aca="false">SUMIFS('12.326ana'!$C:$C,'12.326ana'!$M:$M,redes!A13950)</f>
        <v>0</v>
      </c>
    </row>
    <row r="13951" customFormat="false" ht="14.4" hidden="true" customHeight="false" outlineLevel="0" collapsed="false">
      <c r="A13951" s="34" t="n">
        <v>17893661000196</v>
      </c>
      <c r="B13951" s="34" t="s">
        <v>26276</v>
      </c>
      <c r="C13951" s="34" t="s">
        <v>77</v>
      </c>
      <c r="E13951" s="30" t="s">
        <v>26277</v>
      </c>
      <c r="F13951" s="34" t="n">
        <f aca="false">IFERROR(VLOOKUP($A13951,'319'!$B:$H,7,0),0)</f>
        <v>0</v>
      </c>
      <c r="G13951" s="34" t="n">
        <f aca="false">SUMIFS('12.326ana'!$C:$C,'12.326ana'!$M:$M,redes!A13951)</f>
        <v>0</v>
      </c>
    </row>
    <row r="13952" customFormat="false" ht="14.4" hidden="true" customHeight="false" outlineLevel="0" collapsed="false">
      <c r="A13952" s="34" t="n">
        <v>17897793000196</v>
      </c>
      <c r="B13952" s="34" t="s">
        <v>26278</v>
      </c>
      <c r="C13952" s="34" t="s">
        <v>154</v>
      </c>
      <c r="E13952" s="30" t="s">
        <v>3331</v>
      </c>
      <c r="F13952" s="34" t="n">
        <f aca="false">IFERROR(VLOOKUP($A13952,'319'!$B:$H,7,0),0)</f>
        <v>253.51</v>
      </c>
      <c r="G13952" s="34" t="n">
        <f aca="false">SUMIFS('12.326ana'!$C:$C,'12.326ana'!$M:$M,redes!A13952)</f>
        <v>0</v>
      </c>
    </row>
    <row r="13953" customFormat="false" ht="14.4" hidden="true" customHeight="false" outlineLevel="0" collapsed="false">
      <c r="A13953" s="34" t="n">
        <v>17897857000159</v>
      </c>
      <c r="B13953" s="34" t="s">
        <v>26279</v>
      </c>
      <c r="C13953" s="34" t="s">
        <v>77</v>
      </c>
      <c r="E13953" s="30" t="s">
        <v>26280</v>
      </c>
      <c r="F13953" s="34" t="n">
        <f aca="false">IFERROR(VLOOKUP($A13953,'319'!$B:$H,7,0),0)</f>
        <v>0</v>
      </c>
      <c r="G13953" s="34" t="n">
        <f aca="false">SUMIFS('12.326ana'!$C:$C,'12.326ana'!$M:$M,redes!A13953)</f>
        <v>0</v>
      </c>
    </row>
    <row r="13954" customFormat="false" ht="14.4" hidden="true" customHeight="false" outlineLevel="0" collapsed="false">
      <c r="A13954" s="34" t="n">
        <v>17898312000167</v>
      </c>
      <c r="B13954" s="34" t="s">
        <v>26281</v>
      </c>
      <c r="C13954" s="34" t="s">
        <v>737</v>
      </c>
      <c r="E13954" s="30" t="s">
        <v>26282</v>
      </c>
      <c r="F13954" s="34" t="n">
        <f aca="false">IFERROR(VLOOKUP($A13954,'319'!$B:$H,7,0),0)</f>
        <v>0</v>
      </c>
      <c r="G13954" s="34" t="n">
        <f aca="false">SUMIFS('12.326ana'!$C:$C,'12.326ana'!$M:$M,redes!A13954)</f>
        <v>0</v>
      </c>
    </row>
    <row r="13955" customFormat="false" ht="14.4" hidden="true" customHeight="false" outlineLevel="0" collapsed="false">
      <c r="A13955" s="34" t="n">
        <v>17902181000144</v>
      </c>
      <c r="B13955" s="34" t="s">
        <v>1342</v>
      </c>
      <c r="C13955" s="34" t="s">
        <v>77</v>
      </c>
      <c r="E13955" s="30" t="s">
        <v>26283</v>
      </c>
      <c r="F13955" s="34" t="n">
        <f aca="false">IFERROR(VLOOKUP($A13955,'319'!$B:$H,7,0),0)</f>
        <v>250.33</v>
      </c>
      <c r="G13955" s="34" t="n">
        <f aca="false">SUMIFS('12.326ana'!$C:$C,'12.326ana'!$M:$M,redes!A13955)</f>
        <v>0</v>
      </c>
    </row>
    <row r="13956" customFormat="false" ht="14.4" hidden="true" customHeight="false" outlineLevel="0" collapsed="false">
      <c r="A13956" s="34" t="n">
        <v>17902441000181</v>
      </c>
      <c r="B13956" s="34" t="s">
        <v>26284</v>
      </c>
      <c r="C13956" s="34" t="s">
        <v>139</v>
      </c>
      <c r="E13956" s="30" t="s">
        <v>26285</v>
      </c>
      <c r="F13956" s="34" t="n">
        <f aca="false">IFERROR(VLOOKUP($A13956,'319'!$B:$H,7,0),0)</f>
        <v>0</v>
      </c>
      <c r="G13956" s="34" t="n">
        <f aca="false">SUMIFS('12.326ana'!$C:$C,'12.326ana'!$M:$M,redes!A13956)</f>
        <v>0</v>
      </c>
    </row>
    <row r="13957" customFormat="false" ht="14.4" hidden="true" customHeight="false" outlineLevel="0" collapsed="false">
      <c r="A13957" s="34" t="n">
        <v>17909659000168</v>
      </c>
      <c r="B13957" s="34" t="s">
        <v>26286</v>
      </c>
      <c r="C13957" s="34" t="s">
        <v>207</v>
      </c>
      <c r="E13957" s="30" t="s">
        <v>26287</v>
      </c>
      <c r="F13957" s="34" t="n">
        <f aca="false">IFERROR(VLOOKUP($A13957,'319'!$B:$H,7,0),0)</f>
        <v>0</v>
      </c>
      <c r="G13957" s="34" t="n">
        <f aca="false">SUMIFS('12.326ana'!$C:$C,'12.326ana'!$M:$M,redes!A13957)</f>
        <v>0</v>
      </c>
    </row>
    <row r="13958" customFormat="false" ht="14.4" hidden="true" customHeight="false" outlineLevel="0" collapsed="false">
      <c r="A13958" s="34" t="n">
        <v>17918596000106</v>
      </c>
      <c r="B13958" s="34" t="s">
        <v>26288</v>
      </c>
      <c r="C13958" s="34" t="s">
        <v>77</v>
      </c>
      <c r="E13958" s="30" t="s">
        <v>26289</v>
      </c>
      <c r="F13958" s="34" t="n">
        <f aca="false">IFERROR(VLOOKUP($A13958,'319'!$B:$H,7,0),0)</f>
        <v>0</v>
      </c>
      <c r="G13958" s="34" t="n">
        <f aca="false">SUMIFS('12.326ana'!$C:$C,'12.326ana'!$M:$M,redes!A13958)</f>
        <v>0</v>
      </c>
    </row>
    <row r="13959" customFormat="false" ht="14.4" hidden="true" customHeight="false" outlineLevel="0" collapsed="false">
      <c r="A13959" s="34" t="n">
        <v>17919137000147</v>
      </c>
      <c r="B13959" s="34" t="s">
        <v>26290</v>
      </c>
      <c r="C13959" s="34" t="s">
        <v>594</v>
      </c>
      <c r="E13959" s="30" t="s">
        <v>26291</v>
      </c>
      <c r="F13959" s="34" t="n">
        <f aca="false">IFERROR(VLOOKUP($A13959,'319'!$B:$H,7,0),0)</f>
        <v>0</v>
      </c>
      <c r="G13959" s="34" t="n">
        <f aca="false">SUMIFS('12.326ana'!$C:$C,'12.326ana'!$M:$M,redes!A13959)</f>
        <v>0</v>
      </c>
    </row>
    <row r="13960" customFormat="false" ht="14.4" hidden="true" customHeight="false" outlineLevel="0" collapsed="false">
      <c r="A13960" s="34" t="n">
        <v>17935106000180</v>
      </c>
      <c r="B13960" s="34" t="s">
        <v>26292</v>
      </c>
      <c r="C13960" s="34" t="s">
        <v>1054</v>
      </c>
      <c r="E13960" s="30" t="s">
        <v>6648</v>
      </c>
      <c r="F13960" s="34" t="n">
        <f aca="false">IFERROR(VLOOKUP($A13960,'319'!$B:$H,7,0),0)</f>
        <v>0</v>
      </c>
      <c r="G13960" s="34" t="n">
        <f aca="false">SUMIFS('12.326ana'!$C:$C,'12.326ana'!$M:$M,redes!A13960)</f>
        <v>0</v>
      </c>
    </row>
    <row r="13961" customFormat="false" ht="14.4" hidden="true" customHeight="false" outlineLevel="0" collapsed="false">
      <c r="A13961" s="34" t="n">
        <v>17939504000174</v>
      </c>
      <c r="B13961" s="34" t="s">
        <v>26293</v>
      </c>
      <c r="C13961" s="34" t="s">
        <v>464</v>
      </c>
      <c r="E13961" s="30" t="s">
        <v>26294</v>
      </c>
      <c r="F13961" s="34" t="n">
        <f aca="false">IFERROR(VLOOKUP($A13961,'319'!$B:$H,7,0),0)</f>
        <v>0</v>
      </c>
      <c r="G13961" s="34" t="n">
        <f aca="false">SUMIFS('12.326ana'!$C:$C,'12.326ana'!$M:$M,redes!A13961)</f>
        <v>0</v>
      </c>
    </row>
    <row r="13962" customFormat="false" ht="14.4" hidden="true" customHeight="false" outlineLevel="0" collapsed="false">
      <c r="A13962" s="34" t="n">
        <v>17942804000102</v>
      </c>
      <c r="B13962" s="34" t="s">
        <v>26295</v>
      </c>
      <c r="C13962" s="34" t="s">
        <v>139</v>
      </c>
      <c r="E13962" s="30" t="s">
        <v>3632</v>
      </c>
      <c r="F13962" s="34" t="n">
        <f aca="false">IFERROR(VLOOKUP($A13962,'319'!$B:$H,7,0),0)</f>
        <v>0</v>
      </c>
      <c r="G13962" s="34" t="n">
        <f aca="false">SUMIFS('12.326ana'!$C:$C,'12.326ana'!$M:$M,redes!A13962)</f>
        <v>0</v>
      </c>
    </row>
    <row r="13963" customFormat="false" ht="14.4" hidden="true" customHeight="false" outlineLevel="0" collapsed="false">
      <c r="A13963" s="34" t="n">
        <v>17946091000155</v>
      </c>
      <c r="B13963" s="34" t="s">
        <v>26296</v>
      </c>
      <c r="C13963" s="34" t="s">
        <v>77</v>
      </c>
      <c r="E13963" s="30" t="s">
        <v>26297</v>
      </c>
      <c r="F13963" s="34" t="n">
        <f aca="false">IFERROR(VLOOKUP($A13963,'319'!$B:$H,7,0),0)</f>
        <v>0</v>
      </c>
      <c r="G13963" s="34" t="n">
        <f aca="false">SUMIFS('12.326ana'!$C:$C,'12.326ana'!$M:$M,redes!A13963)</f>
        <v>0</v>
      </c>
    </row>
    <row r="13964" customFormat="false" ht="14.4" hidden="true" customHeight="false" outlineLevel="0" collapsed="false">
      <c r="A13964" s="34" t="n">
        <v>17947301000120</v>
      </c>
      <c r="B13964" s="34" t="s">
        <v>26298</v>
      </c>
      <c r="C13964" s="34" t="s">
        <v>77</v>
      </c>
      <c r="E13964" s="30" t="s">
        <v>26299</v>
      </c>
      <c r="F13964" s="34" t="n">
        <f aca="false">IFERROR(VLOOKUP($A13964,'319'!$B:$H,7,0),0)</f>
        <v>0</v>
      </c>
      <c r="G13964" s="34" t="n">
        <f aca="false">SUMIFS('12.326ana'!$C:$C,'12.326ana'!$M:$M,redes!A13964)</f>
        <v>0</v>
      </c>
    </row>
    <row r="13965" customFormat="false" ht="14.4" hidden="true" customHeight="false" outlineLevel="0" collapsed="false">
      <c r="A13965" s="34" t="n">
        <v>17948434000110</v>
      </c>
      <c r="B13965" s="34" t="s">
        <v>26300</v>
      </c>
      <c r="C13965" s="34" t="s">
        <v>77</v>
      </c>
      <c r="D13965" s="34" t="s">
        <v>12694</v>
      </c>
      <c r="E13965" s="30" t="s">
        <v>26301</v>
      </c>
      <c r="F13965" s="34" t="n">
        <f aca="false">IFERROR(VLOOKUP($A13965,'319'!$B:$H,7,0),0)</f>
        <v>0</v>
      </c>
      <c r="G13965" s="34" t="n">
        <f aca="false">SUMIFS('12.326ana'!$C:$C,'12.326ana'!$M:$M,redes!A13965)</f>
        <v>0</v>
      </c>
    </row>
    <row r="13966" customFormat="false" ht="14.4" hidden="true" customHeight="false" outlineLevel="0" collapsed="false">
      <c r="A13966" s="34" t="n">
        <v>17948434000382</v>
      </c>
      <c r="B13966" s="34" t="s">
        <v>26300</v>
      </c>
      <c r="C13966" s="34" t="s">
        <v>77</v>
      </c>
      <c r="D13966" s="34" t="s">
        <v>12694</v>
      </c>
      <c r="E13966" s="30" t="s">
        <v>12692</v>
      </c>
      <c r="F13966" s="34" t="n">
        <f aca="false">IFERROR(VLOOKUP($A13966,'319'!$B:$H,7,0),0)</f>
        <v>0</v>
      </c>
      <c r="G13966" s="34" t="n">
        <f aca="false">SUMIFS('12.326ana'!$C:$C,'12.326ana'!$M:$M,redes!A13966)</f>
        <v>0</v>
      </c>
    </row>
    <row r="13967" customFormat="false" ht="14.4" hidden="true" customHeight="false" outlineLevel="0" collapsed="false">
      <c r="A13967" s="34" t="n">
        <v>17948434000463</v>
      </c>
      <c r="B13967" s="34" t="s">
        <v>26302</v>
      </c>
      <c r="C13967" s="34" t="s">
        <v>77</v>
      </c>
      <c r="E13967" s="30" t="s">
        <v>12695</v>
      </c>
      <c r="F13967" s="34" t="n">
        <f aca="false">IFERROR(VLOOKUP($A13967,'319'!$B:$H,7,0),0)</f>
        <v>0</v>
      </c>
      <c r="G13967" s="34" t="n">
        <f aca="false">SUMIFS('12.326ana'!$C:$C,'12.326ana'!$M:$M,redes!A13967)</f>
        <v>0</v>
      </c>
    </row>
    <row r="13968" customFormat="false" ht="14.4" hidden="true" customHeight="false" outlineLevel="0" collapsed="false">
      <c r="A13968" s="34" t="n">
        <v>17948434000544</v>
      </c>
      <c r="B13968" s="34" t="s">
        <v>26302</v>
      </c>
      <c r="C13968" s="34" t="s">
        <v>77</v>
      </c>
      <c r="E13968" s="30" t="s">
        <v>26303</v>
      </c>
      <c r="F13968" s="34" t="n">
        <f aca="false">IFERROR(VLOOKUP($A13968,'319'!$B:$H,7,0),0)</f>
        <v>0</v>
      </c>
      <c r="G13968" s="34" t="n">
        <f aca="false">SUMIFS('12.326ana'!$C:$C,'12.326ana'!$M:$M,redes!A13968)</f>
        <v>0</v>
      </c>
    </row>
    <row r="13969" customFormat="false" ht="14.4" hidden="true" customHeight="false" outlineLevel="0" collapsed="false">
      <c r="A13969" s="34" t="n">
        <v>17948434000625</v>
      </c>
      <c r="B13969" s="34" t="s">
        <v>26302</v>
      </c>
      <c r="C13969" s="34" t="s">
        <v>77</v>
      </c>
      <c r="E13969" s="30" t="s">
        <v>26303</v>
      </c>
      <c r="F13969" s="34" t="n">
        <f aca="false">IFERROR(VLOOKUP($A13969,'319'!$B:$H,7,0),0)</f>
        <v>0</v>
      </c>
      <c r="G13969" s="34" t="n">
        <f aca="false">SUMIFS('12.326ana'!$C:$C,'12.326ana'!$M:$M,redes!A13969)</f>
        <v>0</v>
      </c>
    </row>
    <row r="13970" customFormat="false" ht="14.4" hidden="true" customHeight="false" outlineLevel="0" collapsed="false">
      <c r="A13970" s="34" t="n">
        <v>17948434000706</v>
      </c>
      <c r="B13970" s="34" t="s">
        <v>26300</v>
      </c>
      <c r="C13970" s="34" t="s">
        <v>77</v>
      </c>
      <c r="D13970" s="34" t="s">
        <v>12694</v>
      </c>
      <c r="E13970" s="30" t="s">
        <v>12692</v>
      </c>
      <c r="F13970" s="34" t="n">
        <f aca="false">IFERROR(VLOOKUP($A13970,'319'!$B:$H,7,0),0)</f>
        <v>0</v>
      </c>
      <c r="G13970" s="34" t="n">
        <f aca="false">SUMIFS('12.326ana'!$C:$C,'12.326ana'!$M:$M,redes!A13970)</f>
        <v>0</v>
      </c>
    </row>
    <row r="13971" customFormat="false" ht="14.4" hidden="true" customHeight="false" outlineLevel="0" collapsed="false">
      <c r="A13971" s="34" t="n">
        <v>17948434000897</v>
      </c>
      <c r="B13971" s="34" t="s">
        <v>26302</v>
      </c>
      <c r="C13971" s="34" t="s">
        <v>77</v>
      </c>
      <c r="E13971" s="30" t="s">
        <v>12692</v>
      </c>
      <c r="F13971" s="34" t="n">
        <f aca="false">IFERROR(VLOOKUP($A13971,'319'!$B:$H,7,0),0)</f>
        <v>0</v>
      </c>
      <c r="G13971" s="34" t="n">
        <f aca="false">SUMIFS('12.326ana'!$C:$C,'12.326ana'!$M:$M,redes!A13971)</f>
        <v>0</v>
      </c>
    </row>
    <row r="13972" customFormat="false" ht="14.4" hidden="true" customHeight="false" outlineLevel="0" collapsed="false">
      <c r="A13972" s="34" t="n">
        <v>17948434000978</v>
      </c>
      <c r="B13972" s="34" t="s">
        <v>26300</v>
      </c>
      <c r="C13972" s="34" t="s">
        <v>77</v>
      </c>
      <c r="D13972" s="34" t="s">
        <v>26304</v>
      </c>
      <c r="E13972" s="30" t="s">
        <v>12695</v>
      </c>
      <c r="F13972" s="34" t="n">
        <f aca="false">IFERROR(VLOOKUP($A13972,'319'!$B:$H,7,0),0)</f>
        <v>0</v>
      </c>
      <c r="G13972" s="34" t="n">
        <f aca="false">SUMIFS('12.326ana'!$C:$C,'12.326ana'!$M:$M,redes!A13972)</f>
        <v>0</v>
      </c>
    </row>
    <row r="13973" customFormat="false" ht="14.4" hidden="true" customHeight="false" outlineLevel="0" collapsed="false">
      <c r="A13973" s="34" t="n">
        <v>17948434001001</v>
      </c>
      <c r="B13973" s="34" t="s">
        <v>26302</v>
      </c>
      <c r="C13973" s="34" t="s">
        <v>77</v>
      </c>
      <c r="E13973" s="30" t="s">
        <v>12692</v>
      </c>
      <c r="F13973" s="34" t="n">
        <f aca="false">IFERROR(VLOOKUP($A13973,'319'!$B:$H,7,0),0)</f>
        <v>0</v>
      </c>
      <c r="G13973" s="34" t="n">
        <f aca="false">SUMIFS('12.326ana'!$C:$C,'12.326ana'!$M:$M,redes!A13973)</f>
        <v>0</v>
      </c>
    </row>
    <row r="13974" customFormat="false" ht="14.4" hidden="true" customHeight="false" outlineLevel="0" collapsed="false">
      <c r="A13974" s="34" t="n">
        <v>17948434001192</v>
      </c>
      <c r="B13974" s="34" t="s">
        <v>26305</v>
      </c>
      <c r="C13974" s="34" t="s">
        <v>77</v>
      </c>
      <c r="E13974" s="30" t="s">
        <v>26306</v>
      </c>
      <c r="F13974" s="34" t="n">
        <f aca="false">IFERROR(VLOOKUP($A13974,'319'!$B:$H,7,0),0)</f>
        <v>0</v>
      </c>
      <c r="G13974" s="34" t="n">
        <f aca="false">SUMIFS('12.326ana'!$C:$C,'12.326ana'!$M:$M,redes!A13974)</f>
        <v>0</v>
      </c>
    </row>
    <row r="13975" customFormat="false" ht="14.4" hidden="true" customHeight="false" outlineLevel="0" collapsed="false">
      <c r="A13975" s="34" t="n">
        <v>17948434001273</v>
      </c>
      <c r="B13975" s="34" t="s">
        <v>26300</v>
      </c>
      <c r="C13975" s="34" t="s">
        <v>77</v>
      </c>
      <c r="D13975" s="34" t="s">
        <v>12694</v>
      </c>
      <c r="E13975" s="30" t="s">
        <v>12692</v>
      </c>
      <c r="F13975" s="34" t="n">
        <f aca="false">IFERROR(VLOOKUP($A13975,'319'!$B:$H,7,0),0)</f>
        <v>0</v>
      </c>
      <c r="G13975" s="34" t="n">
        <f aca="false">SUMIFS('12.326ana'!$C:$C,'12.326ana'!$M:$M,redes!A13975)</f>
        <v>0</v>
      </c>
    </row>
    <row r="13976" customFormat="false" ht="14.4" hidden="true" customHeight="false" outlineLevel="0" collapsed="false">
      <c r="A13976" s="34" t="n">
        <v>17948434001354</v>
      </c>
      <c r="B13976" s="34" t="s">
        <v>26300</v>
      </c>
      <c r="C13976" s="34" t="s">
        <v>77</v>
      </c>
      <c r="D13976" s="34" t="s">
        <v>12694</v>
      </c>
      <c r="E13976" s="30" t="s">
        <v>12692</v>
      </c>
      <c r="F13976" s="34" t="n">
        <f aca="false">IFERROR(VLOOKUP($A13976,'319'!$B:$H,7,0),0)</f>
        <v>0</v>
      </c>
      <c r="G13976" s="34" t="n">
        <f aca="false">SUMIFS('12.326ana'!$C:$C,'12.326ana'!$M:$M,redes!A13976)</f>
        <v>0</v>
      </c>
    </row>
    <row r="13977" customFormat="false" ht="14.4" hidden="true" customHeight="false" outlineLevel="0" collapsed="false">
      <c r="A13977" s="34" t="n">
        <v>17948434001435</v>
      </c>
      <c r="B13977" s="34" t="s">
        <v>26300</v>
      </c>
      <c r="C13977" s="34" t="s">
        <v>77</v>
      </c>
      <c r="D13977" s="34" t="s">
        <v>12694</v>
      </c>
      <c r="E13977" s="30" t="s">
        <v>12692</v>
      </c>
      <c r="F13977" s="34" t="n">
        <f aca="false">IFERROR(VLOOKUP($A13977,'319'!$B:$H,7,0),0)</f>
        <v>0</v>
      </c>
      <c r="G13977" s="34" t="n">
        <f aca="false">SUMIFS('12.326ana'!$C:$C,'12.326ana'!$M:$M,redes!A13977)</f>
        <v>0</v>
      </c>
    </row>
    <row r="13978" customFormat="false" ht="14.4" hidden="true" customHeight="false" outlineLevel="0" collapsed="false">
      <c r="A13978" s="34" t="n">
        <v>17949753000140</v>
      </c>
      <c r="B13978" s="34" t="s">
        <v>26307</v>
      </c>
      <c r="C13978" s="34" t="s">
        <v>107</v>
      </c>
      <c r="E13978" s="30" t="s">
        <v>26308</v>
      </c>
      <c r="F13978" s="34" t="n">
        <f aca="false">IFERROR(VLOOKUP($A13978,'319'!$B:$H,7,0),0)</f>
        <v>0</v>
      </c>
      <c r="G13978" s="34" t="n">
        <f aca="false">SUMIFS('12.326ana'!$C:$C,'12.326ana'!$M:$M,redes!A13978)</f>
        <v>0</v>
      </c>
    </row>
    <row r="13979" customFormat="false" ht="14.4" hidden="true" customHeight="false" outlineLevel="0" collapsed="false">
      <c r="A13979" s="34" t="n">
        <v>17958242000195</v>
      </c>
      <c r="B13979" s="34" t="s">
        <v>26309</v>
      </c>
      <c r="C13979" s="34" t="s">
        <v>4139</v>
      </c>
      <c r="E13979" s="30" t="s">
        <v>26310</v>
      </c>
      <c r="F13979" s="34" t="n">
        <f aca="false">IFERROR(VLOOKUP($A13979,'319'!$B:$H,7,0),0)</f>
        <v>0</v>
      </c>
      <c r="G13979" s="34" t="n">
        <f aca="false">SUMIFS('12.326ana'!$C:$C,'12.326ana'!$M:$M,redes!A13979)</f>
        <v>0</v>
      </c>
    </row>
    <row r="13980" customFormat="false" ht="14.4" hidden="true" customHeight="false" outlineLevel="0" collapsed="false">
      <c r="A13980" s="34" t="n">
        <v>17967556000154</v>
      </c>
      <c r="B13980" s="34" t="s">
        <v>26311</v>
      </c>
      <c r="C13980" s="34" t="s">
        <v>192</v>
      </c>
      <c r="E13980" s="30" t="s">
        <v>26312</v>
      </c>
      <c r="F13980" s="34" t="n">
        <f aca="false">IFERROR(VLOOKUP($A13980,'319'!$B:$H,7,0),0)</f>
        <v>0</v>
      </c>
      <c r="G13980" s="34" t="n">
        <f aca="false">SUMIFS('12.326ana'!$C:$C,'12.326ana'!$M:$M,redes!A13980)</f>
        <v>0</v>
      </c>
    </row>
    <row r="13981" customFormat="false" ht="14.4" hidden="true" customHeight="false" outlineLevel="0" collapsed="false">
      <c r="A13981" s="34" t="n">
        <v>17970298000165</v>
      </c>
      <c r="B13981" s="34" t="s">
        <v>10355</v>
      </c>
      <c r="C13981" s="34" t="s">
        <v>77</v>
      </c>
      <c r="E13981" s="30"/>
      <c r="F13981" s="34" t="n">
        <f aca="false">IFERROR(VLOOKUP($A13981,'319'!$B:$H,7,0),0)</f>
        <v>0</v>
      </c>
      <c r="G13981" s="34" t="n">
        <f aca="false">SUMIFS('12.326ana'!$C:$C,'12.326ana'!$M:$M,redes!A13981)</f>
        <v>0</v>
      </c>
    </row>
    <row r="13982" customFormat="false" ht="14.4" hidden="true" customHeight="false" outlineLevel="0" collapsed="false">
      <c r="A13982" s="34" t="n">
        <v>17982608000161</v>
      </c>
      <c r="B13982" s="34" t="s">
        <v>26313</v>
      </c>
      <c r="C13982" s="34" t="s">
        <v>77</v>
      </c>
      <c r="E13982" s="30" t="s">
        <v>26313</v>
      </c>
      <c r="F13982" s="34" t="n">
        <f aca="false">IFERROR(VLOOKUP($A13982,'319'!$B:$H,7,0),0)</f>
        <v>0</v>
      </c>
      <c r="G13982" s="34" t="n">
        <f aca="false">SUMIFS('12.326ana'!$C:$C,'12.326ana'!$M:$M,redes!A13982)</f>
        <v>0</v>
      </c>
    </row>
    <row r="13983" customFormat="false" ht="14.4" hidden="true" customHeight="false" outlineLevel="0" collapsed="false">
      <c r="A13983" s="34" t="n">
        <v>17985065000136</v>
      </c>
      <c r="B13983" s="34" t="s">
        <v>26314</v>
      </c>
      <c r="C13983" s="34" t="s">
        <v>117</v>
      </c>
      <c r="E13983" s="30" t="s">
        <v>26315</v>
      </c>
      <c r="F13983" s="34" t="n">
        <f aca="false">IFERROR(VLOOKUP($A13983,'319'!$B:$H,7,0),0)</f>
        <v>0</v>
      </c>
      <c r="G13983" s="34" t="n">
        <f aca="false">SUMIFS('12.326ana'!$C:$C,'12.326ana'!$M:$M,redes!A13983)</f>
        <v>0</v>
      </c>
    </row>
    <row r="13984" customFormat="false" ht="14.4" hidden="true" customHeight="false" outlineLevel="0" collapsed="false">
      <c r="A13984" s="34" t="n">
        <v>17985903000171</v>
      </c>
      <c r="B13984" s="34" t="s">
        <v>26316</v>
      </c>
      <c r="C13984" s="34" t="s">
        <v>713</v>
      </c>
      <c r="E13984" s="30" t="s">
        <v>6533</v>
      </c>
      <c r="F13984" s="34" t="n">
        <f aca="false">IFERROR(VLOOKUP($A13984,'319'!$B:$H,7,0),0)</f>
        <v>0</v>
      </c>
      <c r="G13984" s="34" t="n">
        <f aca="false">SUMIFS('12.326ana'!$C:$C,'12.326ana'!$M:$M,redes!A13984)</f>
        <v>0</v>
      </c>
    </row>
    <row r="13985" customFormat="false" ht="14.4" hidden="true" customHeight="false" outlineLevel="0" collapsed="false">
      <c r="A13985" s="34" t="n">
        <v>17990915000194</v>
      </c>
      <c r="B13985" s="34" t="s">
        <v>26317</v>
      </c>
      <c r="C13985" s="34" t="s">
        <v>77</v>
      </c>
      <c r="E13985" s="30" t="s">
        <v>11932</v>
      </c>
      <c r="F13985" s="34" t="n">
        <f aca="false">IFERROR(VLOOKUP($A13985,'319'!$B:$H,7,0),0)</f>
        <v>0</v>
      </c>
      <c r="G13985" s="34" t="n">
        <f aca="false">SUMIFS('12.326ana'!$C:$C,'12.326ana'!$M:$M,redes!A13985)</f>
        <v>0</v>
      </c>
    </row>
    <row r="13986" customFormat="false" ht="14.4" hidden="true" customHeight="false" outlineLevel="0" collapsed="false">
      <c r="A13986" s="34" t="n">
        <v>18001907000130</v>
      </c>
      <c r="B13986" s="34" t="s">
        <v>26318</v>
      </c>
      <c r="C13986" s="34" t="s">
        <v>377</v>
      </c>
      <c r="E13986" s="30" t="s">
        <v>26319</v>
      </c>
      <c r="F13986" s="34" t="n">
        <f aca="false">IFERROR(VLOOKUP($A13986,'319'!$B:$H,7,0),0)</f>
        <v>0</v>
      </c>
      <c r="G13986" s="34" t="n">
        <f aca="false">SUMIFS('12.326ana'!$C:$C,'12.326ana'!$M:$M,redes!A13986)</f>
        <v>0</v>
      </c>
    </row>
    <row r="13987" customFormat="false" ht="14.4" hidden="true" customHeight="false" outlineLevel="0" collapsed="false">
      <c r="A13987" s="34" t="n">
        <v>18019887000125</v>
      </c>
      <c r="B13987" s="34" t="s">
        <v>26320</v>
      </c>
      <c r="C13987" s="34" t="s">
        <v>89</v>
      </c>
      <c r="E13987" s="30" t="s">
        <v>26321</v>
      </c>
      <c r="F13987" s="34" t="n">
        <f aca="false">IFERROR(VLOOKUP($A13987,'319'!$B:$H,7,0),0)</f>
        <v>0</v>
      </c>
      <c r="G13987" s="34" t="n">
        <f aca="false">SUMIFS('12.326ana'!$C:$C,'12.326ana'!$M:$M,redes!A13987)</f>
        <v>0</v>
      </c>
    </row>
    <row r="13988" customFormat="false" ht="14.4" hidden="true" customHeight="false" outlineLevel="0" collapsed="false">
      <c r="A13988" s="34" t="n">
        <v>18041588000197</v>
      </c>
      <c r="B13988" s="34" t="s">
        <v>26322</v>
      </c>
      <c r="C13988" s="34" t="s">
        <v>192</v>
      </c>
      <c r="E13988" s="30" t="s">
        <v>26323</v>
      </c>
      <c r="F13988" s="34" t="n">
        <f aca="false">IFERROR(VLOOKUP($A13988,'319'!$B:$H,7,0),0)</f>
        <v>0</v>
      </c>
      <c r="G13988" s="34" t="n">
        <f aca="false">SUMIFS('12.326ana'!$C:$C,'12.326ana'!$M:$M,redes!A13988)</f>
        <v>0</v>
      </c>
    </row>
    <row r="13989" customFormat="false" ht="14.4" hidden="true" customHeight="false" outlineLevel="0" collapsed="false">
      <c r="A13989" s="34" t="n">
        <v>18057710000113</v>
      </c>
      <c r="B13989" s="34" t="s">
        <v>26324</v>
      </c>
      <c r="C13989" s="34" t="s">
        <v>77</v>
      </c>
      <c r="E13989" s="30" t="s">
        <v>26325</v>
      </c>
      <c r="F13989" s="34" t="n">
        <f aca="false">IFERROR(VLOOKUP($A13989,'319'!$B:$H,7,0),0)</f>
        <v>0</v>
      </c>
      <c r="G13989" s="34" t="n">
        <f aca="false">SUMIFS('12.326ana'!$C:$C,'12.326ana'!$M:$M,redes!A13989)</f>
        <v>0</v>
      </c>
    </row>
    <row r="13990" customFormat="false" ht="14.4" hidden="true" customHeight="false" outlineLevel="0" collapsed="false">
      <c r="A13990" s="34" t="n">
        <v>18059487000143</v>
      </c>
      <c r="B13990" s="34" t="s">
        <v>26326</v>
      </c>
      <c r="C13990" s="34" t="s">
        <v>192</v>
      </c>
      <c r="E13990" s="30" t="s">
        <v>26327</v>
      </c>
      <c r="F13990" s="34" t="n">
        <f aca="false">IFERROR(VLOOKUP($A13990,'319'!$B:$H,7,0),0)</f>
        <v>0</v>
      </c>
      <c r="G13990" s="34" t="n">
        <f aca="false">SUMIFS('12.326ana'!$C:$C,'12.326ana'!$M:$M,redes!A13990)</f>
        <v>0</v>
      </c>
    </row>
    <row r="13991" customFormat="false" ht="14.4" hidden="true" customHeight="false" outlineLevel="0" collapsed="false">
      <c r="A13991" s="34" t="n">
        <v>18061875000169</v>
      </c>
      <c r="B13991" s="34" t="s">
        <v>11858</v>
      </c>
      <c r="C13991" s="34" t="s">
        <v>192</v>
      </c>
      <c r="E13991" s="30" t="s">
        <v>10975</v>
      </c>
      <c r="F13991" s="34" t="n">
        <f aca="false">IFERROR(VLOOKUP($A13991,'319'!$B:$H,7,0),0)</f>
        <v>0</v>
      </c>
      <c r="G13991" s="34" t="n">
        <f aca="false">SUMIFS('12.326ana'!$C:$C,'12.326ana'!$M:$M,redes!A13991)</f>
        <v>0</v>
      </c>
    </row>
    <row r="13992" customFormat="false" ht="14.4" hidden="true" customHeight="false" outlineLevel="0" collapsed="false">
      <c r="A13992" s="34" t="n">
        <v>18083111000174</v>
      </c>
      <c r="B13992" s="34" t="s">
        <v>26328</v>
      </c>
      <c r="C13992" s="34" t="s">
        <v>77</v>
      </c>
      <c r="E13992" s="30" t="s">
        <v>26329</v>
      </c>
      <c r="F13992" s="34" t="n">
        <f aca="false">IFERROR(VLOOKUP($A13992,'319'!$B:$H,7,0),0)</f>
        <v>0</v>
      </c>
      <c r="G13992" s="34" t="n">
        <f aca="false">SUMIFS('12.326ana'!$C:$C,'12.326ana'!$M:$M,redes!A13992)</f>
        <v>0</v>
      </c>
    </row>
    <row r="13993" customFormat="false" ht="14.4" hidden="true" customHeight="false" outlineLevel="0" collapsed="false">
      <c r="A13993" s="34" t="n">
        <v>18089559000103</v>
      </c>
      <c r="B13993" s="34" t="s">
        <v>26330</v>
      </c>
      <c r="C13993" s="34" t="s">
        <v>89</v>
      </c>
      <c r="E13993" s="30" t="s">
        <v>26331</v>
      </c>
      <c r="F13993" s="34" t="n">
        <f aca="false">IFERROR(VLOOKUP($A13993,'319'!$B:$H,7,0),0)</f>
        <v>0</v>
      </c>
      <c r="G13993" s="34" t="n">
        <f aca="false">SUMIFS('12.326ana'!$C:$C,'12.326ana'!$M:$M,redes!A13993)</f>
        <v>0</v>
      </c>
    </row>
    <row r="13994" customFormat="false" ht="14.4" hidden="true" customHeight="false" outlineLevel="0" collapsed="false">
      <c r="A13994" s="34" t="n">
        <v>18096092000110</v>
      </c>
      <c r="B13994" s="34" t="s">
        <v>26332</v>
      </c>
      <c r="C13994" s="34" t="s">
        <v>351</v>
      </c>
      <c r="E13994" s="30" t="s">
        <v>18812</v>
      </c>
      <c r="F13994" s="34" t="n">
        <f aca="false">IFERROR(VLOOKUP($A13994,'319'!$B:$H,7,0),0)</f>
        <v>0</v>
      </c>
      <c r="G13994" s="34" t="n">
        <f aca="false">SUMIFS('12.326ana'!$C:$C,'12.326ana'!$M:$M,redes!A13994)</f>
        <v>0</v>
      </c>
    </row>
    <row r="13995" customFormat="false" ht="14.4" hidden="true" customHeight="false" outlineLevel="0" collapsed="false">
      <c r="A13995" s="34" t="n">
        <v>18098683000127</v>
      </c>
      <c r="B13995" s="34" t="s">
        <v>26333</v>
      </c>
      <c r="C13995" s="34" t="s">
        <v>103</v>
      </c>
      <c r="E13995" s="30" t="s">
        <v>26334</v>
      </c>
      <c r="F13995" s="34" t="n">
        <f aca="false">IFERROR(VLOOKUP($A13995,'319'!$B:$H,7,0),0)</f>
        <v>0</v>
      </c>
      <c r="G13995" s="34" t="n">
        <f aca="false">SUMIFS('12.326ana'!$C:$C,'12.326ana'!$M:$M,redes!A13995)</f>
        <v>0</v>
      </c>
    </row>
    <row r="13996" customFormat="false" ht="14.4" hidden="true" customHeight="false" outlineLevel="0" collapsed="false">
      <c r="A13996" s="34" t="n">
        <v>18107603000152</v>
      </c>
      <c r="B13996" s="34" t="s">
        <v>26335</v>
      </c>
      <c r="C13996" s="34" t="s">
        <v>89</v>
      </c>
      <c r="E13996" s="30" t="s">
        <v>26336</v>
      </c>
      <c r="F13996" s="34" t="n">
        <f aca="false">IFERROR(VLOOKUP($A13996,'319'!$B:$H,7,0),0)</f>
        <v>0</v>
      </c>
      <c r="G13996" s="34" t="n">
        <f aca="false">SUMIFS('12.326ana'!$C:$C,'12.326ana'!$M:$M,redes!A13996)</f>
        <v>0</v>
      </c>
    </row>
    <row r="13997" customFormat="false" ht="14.4" hidden="true" customHeight="false" outlineLevel="0" collapsed="false">
      <c r="A13997" s="34" t="n">
        <v>18125777000148</v>
      </c>
      <c r="B13997" s="34" t="s">
        <v>26337</v>
      </c>
      <c r="C13997" s="34" t="s">
        <v>4139</v>
      </c>
      <c r="E13997" s="30" t="s">
        <v>18484</v>
      </c>
      <c r="F13997" s="34" t="n">
        <f aca="false">IFERROR(VLOOKUP($A13997,'319'!$B:$H,7,0),0)</f>
        <v>0</v>
      </c>
      <c r="G13997" s="34" t="n">
        <f aca="false">SUMIFS('12.326ana'!$C:$C,'12.326ana'!$M:$M,redes!A13997)</f>
        <v>0</v>
      </c>
    </row>
    <row r="13998" customFormat="false" ht="14.4" hidden="true" customHeight="false" outlineLevel="0" collapsed="false">
      <c r="A13998" s="34" t="n">
        <v>18130615000106</v>
      </c>
      <c r="B13998" s="34" t="s">
        <v>26338</v>
      </c>
      <c r="C13998" s="34" t="s">
        <v>77</v>
      </c>
      <c r="E13998" s="30" t="s">
        <v>26338</v>
      </c>
      <c r="F13998" s="34" t="n">
        <f aca="false">IFERROR(VLOOKUP($A13998,'319'!$B:$H,7,0),0)</f>
        <v>0</v>
      </c>
      <c r="G13998" s="34" t="n">
        <f aca="false">SUMIFS('12.326ana'!$C:$C,'12.326ana'!$M:$M,redes!A13998)</f>
        <v>0</v>
      </c>
    </row>
    <row r="13999" customFormat="false" ht="14.4" hidden="true" customHeight="false" outlineLevel="0" collapsed="false">
      <c r="A13999" s="34" t="n">
        <v>18138325000109</v>
      </c>
      <c r="B13999" s="34" t="s">
        <v>26339</v>
      </c>
      <c r="C13999" s="34" t="s">
        <v>103</v>
      </c>
      <c r="E13999" s="30" t="s">
        <v>26340</v>
      </c>
      <c r="F13999" s="34" t="n">
        <f aca="false">IFERROR(VLOOKUP($A13999,'319'!$B:$H,7,0),0)</f>
        <v>0</v>
      </c>
      <c r="G13999" s="34" t="n">
        <f aca="false">SUMIFS('12.326ana'!$C:$C,'12.326ana'!$M:$M,redes!A13999)</f>
        <v>0</v>
      </c>
    </row>
    <row r="14000" customFormat="false" ht="14.4" hidden="true" customHeight="false" outlineLevel="0" collapsed="false">
      <c r="A14000" s="34" t="n">
        <v>18143738000173</v>
      </c>
      <c r="B14000" s="34" t="s">
        <v>26341</v>
      </c>
      <c r="C14000" s="34" t="s">
        <v>744</v>
      </c>
      <c r="E14000" s="30" t="s">
        <v>26342</v>
      </c>
      <c r="F14000" s="34" t="n">
        <f aca="false">IFERROR(VLOOKUP($A14000,'319'!$B:$H,7,0),0)</f>
        <v>0</v>
      </c>
      <c r="G14000" s="34" t="n">
        <f aca="false">SUMIFS('12.326ana'!$C:$C,'12.326ana'!$M:$M,redes!A14000)</f>
        <v>0</v>
      </c>
    </row>
    <row r="14001" customFormat="false" ht="14.4" hidden="true" customHeight="false" outlineLevel="0" collapsed="false">
      <c r="A14001" s="34" t="n">
        <v>18159548000144</v>
      </c>
      <c r="B14001" s="34" t="s">
        <v>26343</v>
      </c>
      <c r="C14001" s="34" t="s">
        <v>139</v>
      </c>
      <c r="E14001" s="30" t="s">
        <v>4585</v>
      </c>
      <c r="F14001" s="34" t="n">
        <f aca="false">IFERROR(VLOOKUP($A14001,'319'!$B:$H,7,0),0)</f>
        <v>0</v>
      </c>
      <c r="G14001" s="34" t="n">
        <f aca="false">SUMIFS('12.326ana'!$C:$C,'12.326ana'!$M:$M,redes!A14001)</f>
        <v>0</v>
      </c>
    </row>
    <row r="14002" customFormat="false" ht="14.4" hidden="true" customHeight="false" outlineLevel="0" collapsed="false">
      <c r="A14002" s="34" t="n">
        <v>18164150000104</v>
      </c>
      <c r="B14002" s="34" t="s">
        <v>26344</v>
      </c>
      <c r="C14002" s="34" t="s">
        <v>77</v>
      </c>
      <c r="E14002" s="30" t="s">
        <v>26344</v>
      </c>
      <c r="F14002" s="34" t="n">
        <f aca="false">IFERROR(VLOOKUP($A14002,'319'!$B:$H,7,0),0)</f>
        <v>0</v>
      </c>
      <c r="G14002" s="34" t="n">
        <f aca="false">SUMIFS('12.326ana'!$C:$C,'12.326ana'!$M:$M,redes!A14002)</f>
        <v>0</v>
      </c>
    </row>
    <row r="14003" customFormat="false" ht="14.4" hidden="true" customHeight="false" outlineLevel="0" collapsed="false">
      <c r="A14003" s="34" t="n">
        <v>18165056000161</v>
      </c>
      <c r="B14003" s="34" t="s">
        <v>26345</v>
      </c>
      <c r="C14003" s="34" t="s">
        <v>89</v>
      </c>
      <c r="E14003" s="30" t="s">
        <v>26346</v>
      </c>
      <c r="F14003" s="34" t="n">
        <f aca="false">IFERROR(VLOOKUP($A14003,'319'!$B:$H,7,0),0)</f>
        <v>0</v>
      </c>
      <c r="G14003" s="34" t="n">
        <f aca="false">SUMIFS('12.326ana'!$C:$C,'12.326ana'!$M:$M,redes!A14003)</f>
        <v>0</v>
      </c>
    </row>
    <row r="14004" customFormat="false" ht="14.4" hidden="true" customHeight="false" outlineLevel="0" collapsed="false">
      <c r="A14004" s="34" t="n">
        <v>18179817000134</v>
      </c>
      <c r="B14004" s="34" t="s">
        <v>26347</v>
      </c>
      <c r="C14004" s="34" t="s">
        <v>351</v>
      </c>
      <c r="E14004" s="30" t="s">
        <v>26348</v>
      </c>
      <c r="F14004" s="34" t="n">
        <f aca="false">IFERROR(VLOOKUP($A14004,'319'!$B:$H,7,0),0)</f>
        <v>0</v>
      </c>
      <c r="G14004" s="34" t="n">
        <f aca="false">SUMIFS('12.326ana'!$C:$C,'12.326ana'!$M:$M,redes!A14004)</f>
        <v>0</v>
      </c>
    </row>
    <row r="14005" customFormat="false" ht="14.4" hidden="true" customHeight="false" outlineLevel="0" collapsed="false">
      <c r="A14005" s="34" t="n">
        <v>18189187000189</v>
      </c>
      <c r="B14005" s="34" t="s">
        <v>26349</v>
      </c>
      <c r="C14005" s="34" t="s">
        <v>478</v>
      </c>
      <c r="E14005" s="30" t="s">
        <v>26350</v>
      </c>
      <c r="F14005" s="34" t="n">
        <f aca="false">IFERROR(VLOOKUP($A14005,'319'!$B:$H,7,0),0)</f>
        <v>0</v>
      </c>
      <c r="G14005" s="34" t="n">
        <f aca="false">SUMIFS('12.326ana'!$C:$C,'12.326ana'!$M:$M,redes!A14005)</f>
        <v>0</v>
      </c>
    </row>
    <row r="14006" customFormat="false" ht="14.4" hidden="true" customHeight="false" outlineLevel="0" collapsed="false">
      <c r="A14006" s="34" t="n">
        <v>18198066000101</v>
      </c>
      <c r="B14006" s="34" t="s">
        <v>26351</v>
      </c>
      <c r="C14006" s="34" t="s">
        <v>107</v>
      </c>
      <c r="E14006" s="30" t="s">
        <v>26352</v>
      </c>
      <c r="F14006" s="34" t="n">
        <f aca="false">IFERROR(VLOOKUP($A14006,'319'!$B:$H,7,0),0)</f>
        <v>0</v>
      </c>
      <c r="G14006" s="34" t="n">
        <f aca="false">SUMIFS('12.326ana'!$C:$C,'12.326ana'!$M:$M,redes!A14006)</f>
        <v>0</v>
      </c>
    </row>
    <row r="14007" customFormat="false" ht="14.4" hidden="true" customHeight="false" outlineLevel="0" collapsed="false">
      <c r="A14007" s="34" t="n">
        <v>18200742000126</v>
      </c>
      <c r="B14007" s="34" t="s">
        <v>26353</v>
      </c>
      <c r="C14007" s="34" t="s">
        <v>351</v>
      </c>
      <c r="E14007" s="30" t="s">
        <v>26354</v>
      </c>
      <c r="F14007" s="34" t="n">
        <f aca="false">IFERROR(VLOOKUP($A14007,'319'!$B:$H,7,0),0)</f>
        <v>0</v>
      </c>
      <c r="G14007" s="34" t="n">
        <f aca="false">SUMIFS('12.326ana'!$C:$C,'12.326ana'!$M:$M,redes!A14007)</f>
        <v>0</v>
      </c>
    </row>
    <row r="14008" customFormat="false" ht="14.4" hidden="true" customHeight="false" outlineLevel="0" collapsed="false">
      <c r="A14008" s="34" t="n">
        <v>18201846000155</v>
      </c>
      <c r="B14008" s="34" t="s">
        <v>2944</v>
      </c>
      <c r="C14008" s="34" t="s">
        <v>448</v>
      </c>
      <c r="D14008" s="34" t="s">
        <v>39</v>
      </c>
      <c r="E14008" s="30" t="s">
        <v>2945</v>
      </c>
      <c r="F14008" s="34" t="n">
        <f aca="false">IFERROR(VLOOKUP($A14008,'319'!$B:$H,7,0),0)</f>
        <v>29843.55</v>
      </c>
      <c r="G14008" s="34" t="n">
        <f aca="false">SUMIFS('12.326ana'!$C:$C,'12.326ana'!$M:$M,redes!A14008)</f>
        <v>0</v>
      </c>
    </row>
    <row r="14009" customFormat="false" ht="14.4" hidden="true" customHeight="false" outlineLevel="0" collapsed="false">
      <c r="A14009" s="34" t="n">
        <v>18201846000317</v>
      </c>
      <c r="B14009" s="34" t="s">
        <v>2944</v>
      </c>
      <c r="C14009" s="34" t="s">
        <v>107</v>
      </c>
      <c r="D14009" s="34" t="s">
        <v>39</v>
      </c>
      <c r="E14009" s="30" t="s">
        <v>2946</v>
      </c>
      <c r="F14009" s="34" t="n">
        <f aca="false">IFERROR(VLOOKUP($A14009,'319'!$B:$H,7,0),0)</f>
        <v>0</v>
      </c>
      <c r="G14009" s="34" t="n">
        <f aca="false">SUMIFS('12.326ana'!$C:$C,'12.326ana'!$M:$M,redes!A14009)</f>
        <v>0</v>
      </c>
    </row>
    <row r="14010" customFormat="false" ht="14.4" hidden="true" customHeight="false" outlineLevel="0" collapsed="false">
      <c r="A14010" s="34" t="n">
        <v>18201846000406</v>
      </c>
      <c r="B14010" s="34" t="s">
        <v>2944</v>
      </c>
      <c r="C14010" s="34" t="s">
        <v>336</v>
      </c>
      <c r="D14010" s="34" t="s">
        <v>39</v>
      </c>
      <c r="E14010" s="30" t="s">
        <v>2945</v>
      </c>
      <c r="F14010" s="34" t="n">
        <f aca="false">IFERROR(VLOOKUP($A14010,'319'!$B:$H,7,0),0)</f>
        <v>0</v>
      </c>
      <c r="G14010" s="34" t="n">
        <f aca="false">SUMIFS('12.326ana'!$C:$C,'12.326ana'!$M:$M,redes!A14010)</f>
        <v>0</v>
      </c>
    </row>
    <row r="14011" customFormat="false" ht="14.4" hidden="true" customHeight="false" outlineLevel="0" collapsed="false">
      <c r="A14011" s="34" t="n">
        <v>18201846000589</v>
      </c>
      <c r="B14011" s="34" t="s">
        <v>2944</v>
      </c>
      <c r="C14011" s="34" t="s">
        <v>107</v>
      </c>
      <c r="D14011" s="34" t="s">
        <v>39</v>
      </c>
      <c r="E14011" s="30" t="s">
        <v>2946</v>
      </c>
      <c r="F14011" s="34" t="n">
        <f aca="false">IFERROR(VLOOKUP($A14011,'319'!$B:$H,7,0),0)</f>
        <v>0</v>
      </c>
      <c r="G14011" s="34" t="n">
        <f aca="false">SUMIFS('12.326ana'!$C:$C,'12.326ana'!$M:$M,redes!A14011)</f>
        <v>0</v>
      </c>
    </row>
    <row r="14012" customFormat="false" ht="14.4" hidden="true" customHeight="false" outlineLevel="0" collapsed="false">
      <c r="A14012" s="34" t="n">
        <v>18201846000660</v>
      </c>
      <c r="B14012" s="34" t="s">
        <v>2944</v>
      </c>
      <c r="C14012" s="34" t="s">
        <v>107</v>
      </c>
      <c r="E14012" s="30" t="s">
        <v>2946</v>
      </c>
      <c r="F14012" s="34" t="n">
        <f aca="false">IFERROR(VLOOKUP($A14012,'319'!$B:$H,7,0),0)</f>
        <v>0</v>
      </c>
      <c r="G14012" s="34" t="n">
        <f aca="false">SUMIFS('12.326ana'!$C:$C,'12.326ana'!$M:$M,redes!A14012)</f>
        <v>0</v>
      </c>
    </row>
    <row r="14013" customFormat="false" ht="14.4" hidden="true" customHeight="false" outlineLevel="0" collapsed="false">
      <c r="A14013" s="34" t="n">
        <v>18208965000130</v>
      </c>
      <c r="B14013" s="34" t="s">
        <v>26355</v>
      </c>
      <c r="C14013" s="34" t="s">
        <v>565</v>
      </c>
      <c r="E14013" s="30" t="s">
        <v>14110</v>
      </c>
      <c r="F14013" s="34" t="n">
        <f aca="false">IFERROR(VLOOKUP($A14013,'319'!$B:$H,7,0),0)</f>
        <v>0</v>
      </c>
      <c r="G14013" s="34" t="n">
        <f aca="false">SUMIFS('12.326ana'!$C:$C,'12.326ana'!$M:$M,redes!A14013)</f>
        <v>0</v>
      </c>
    </row>
    <row r="14014" customFormat="false" ht="14.4" hidden="true" customHeight="false" outlineLevel="0" collapsed="false">
      <c r="A14014" s="34" t="n">
        <v>18218480000127</v>
      </c>
      <c r="B14014" s="34" t="s">
        <v>26356</v>
      </c>
      <c r="C14014" s="34" t="s">
        <v>328</v>
      </c>
      <c r="E14014" s="30" t="s">
        <v>3347</v>
      </c>
      <c r="F14014" s="34" t="n">
        <f aca="false">IFERROR(VLOOKUP($A14014,'319'!$B:$H,7,0),0)</f>
        <v>0</v>
      </c>
      <c r="G14014" s="34" t="n">
        <f aca="false">SUMIFS('12.326ana'!$C:$C,'12.326ana'!$M:$M,redes!A14014)</f>
        <v>0</v>
      </c>
    </row>
    <row r="14015" customFormat="false" ht="14.4" hidden="true" customHeight="false" outlineLevel="0" collapsed="false">
      <c r="A14015" s="34" t="n">
        <v>18224145000131</v>
      </c>
      <c r="B14015" s="34" t="s">
        <v>26357</v>
      </c>
      <c r="C14015" s="34" t="s">
        <v>77</v>
      </c>
      <c r="E14015" s="30" t="s">
        <v>11517</v>
      </c>
      <c r="F14015" s="34" t="n">
        <f aca="false">IFERROR(VLOOKUP($A14015,'319'!$B:$H,7,0),0)</f>
        <v>0</v>
      </c>
      <c r="G14015" s="34" t="n">
        <f aca="false">SUMIFS('12.326ana'!$C:$C,'12.326ana'!$M:$M,redes!A14015)</f>
        <v>0</v>
      </c>
    </row>
    <row r="14016" customFormat="false" ht="14.4" hidden="true" customHeight="false" outlineLevel="0" collapsed="false">
      <c r="A14016" s="34" t="n">
        <v>18226428000112</v>
      </c>
      <c r="B14016" s="34" t="s">
        <v>26358</v>
      </c>
      <c r="C14016" s="34" t="s">
        <v>89</v>
      </c>
      <c r="E14016" s="30" t="s">
        <v>26359</v>
      </c>
      <c r="F14016" s="34" t="n">
        <f aca="false">IFERROR(VLOOKUP($A14016,'319'!$B:$H,7,0),0)</f>
        <v>0</v>
      </c>
      <c r="G14016" s="34" t="n">
        <f aca="false">SUMIFS('12.326ana'!$C:$C,'12.326ana'!$M:$M,redes!A14016)</f>
        <v>0</v>
      </c>
    </row>
    <row r="14017" customFormat="false" ht="14.4" hidden="true" customHeight="false" outlineLevel="0" collapsed="false">
      <c r="A14017" s="34" t="n">
        <v>18231677000104</v>
      </c>
      <c r="B14017" s="34" t="s">
        <v>26360</v>
      </c>
      <c r="C14017" s="34" t="s">
        <v>809</v>
      </c>
      <c r="E14017" s="30"/>
      <c r="F14017" s="34" t="n">
        <f aca="false">IFERROR(VLOOKUP($A14017,'319'!$B:$H,7,0),0)</f>
        <v>0</v>
      </c>
      <c r="G14017" s="34" t="n">
        <f aca="false">SUMIFS('12.326ana'!$C:$C,'12.326ana'!$M:$M,redes!A14017)</f>
        <v>0</v>
      </c>
    </row>
    <row r="14018" customFormat="false" ht="14.4" hidden="true" customHeight="false" outlineLevel="0" collapsed="false">
      <c r="A14018" s="34" t="n">
        <v>18236002000140</v>
      </c>
      <c r="B14018" s="34" t="s">
        <v>26361</v>
      </c>
      <c r="C14018" s="34" t="s">
        <v>598</v>
      </c>
      <c r="E14018" s="30" t="s">
        <v>9209</v>
      </c>
      <c r="F14018" s="34" t="n">
        <f aca="false">IFERROR(VLOOKUP($A14018,'319'!$B:$H,7,0),0)</f>
        <v>0</v>
      </c>
      <c r="G14018" s="34" t="n">
        <f aca="false">SUMIFS('12.326ana'!$C:$C,'12.326ana'!$M:$M,redes!A14018)</f>
        <v>0</v>
      </c>
    </row>
    <row r="14019" customFormat="false" ht="14.4" hidden="true" customHeight="false" outlineLevel="0" collapsed="false">
      <c r="A14019" s="34" t="n">
        <v>18237622000101</v>
      </c>
      <c r="B14019" s="34" t="s">
        <v>26362</v>
      </c>
      <c r="C14019" s="34" t="s">
        <v>77</v>
      </c>
      <c r="E14019" s="30" t="s">
        <v>26363</v>
      </c>
      <c r="F14019" s="34" t="n">
        <f aca="false">IFERROR(VLOOKUP($A14019,'319'!$B:$H,7,0),0)</f>
        <v>0</v>
      </c>
      <c r="G14019" s="34" t="n">
        <f aca="false">SUMIFS('12.326ana'!$C:$C,'12.326ana'!$M:$M,redes!A14019)</f>
        <v>0</v>
      </c>
    </row>
    <row r="14020" customFormat="false" ht="14.4" hidden="true" customHeight="false" outlineLevel="0" collapsed="false">
      <c r="A14020" s="34" t="n">
        <v>18239669000104</v>
      </c>
      <c r="B14020" s="34" t="s">
        <v>26364</v>
      </c>
      <c r="C14020" s="34" t="s">
        <v>139</v>
      </c>
      <c r="E14020" s="30" t="s">
        <v>3674</v>
      </c>
      <c r="F14020" s="34" t="n">
        <f aca="false">IFERROR(VLOOKUP($A14020,'319'!$B:$H,7,0),0)</f>
        <v>0</v>
      </c>
      <c r="G14020" s="34" t="n">
        <f aca="false">SUMIFS('12.326ana'!$C:$C,'12.326ana'!$M:$M,redes!A14020)</f>
        <v>0</v>
      </c>
    </row>
    <row r="14021" customFormat="false" ht="14.4" hidden="true" customHeight="false" outlineLevel="0" collapsed="false">
      <c r="A14021" s="34" t="n">
        <v>18245663000131</v>
      </c>
      <c r="B14021" s="34" t="s">
        <v>26365</v>
      </c>
      <c r="C14021" s="34" t="s">
        <v>77</v>
      </c>
      <c r="E14021" s="30" t="s">
        <v>25453</v>
      </c>
      <c r="F14021" s="34" t="n">
        <f aca="false">IFERROR(VLOOKUP($A14021,'319'!$B:$H,7,0),0)</f>
        <v>0</v>
      </c>
      <c r="G14021" s="34" t="n">
        <f aca="false">SUMIFS('12.326ana'!$C:$C,'12.326ana'!$M:$M,redes!A14021)</f>
        <v>0</v>
      </c>
    </row>
    <row r="14022" customFormat="false" ht="14.4" hidden="true" customHeight="false" outlineLevel="0" collapsed="false">
      <c r="A14022" s="34" t="n">
        <v>18246057000130</v>
      </c>
      <c r="B14022" s="34" t="s">
        <v>26366</v>
      </c>
      <c r="C14022" s="34" t="s">
        <v>598</v>
      </c>
      <c r="E14022" s="30" t="s">
        <v>26367</v>
      </c>
      <c r="F14022" s="34" t="n">
        <f aca="false">IFERROR(VLOOKUP($A14022,'319'!$B:$H,7,0),0)</f>
        <v>0</v>
      </c>
      <c r="G14022" s="34" t="n">
        <f aca="false">SUMIFS('12.326ana'!$C:$C,'12.326ana'!$M:$M,redes!A14022)</f>
        <v>0</v>
      </c>
    </row>
    <row r="14023" customFormat="false" ht="14.4" hidden="true" customHeight="false" outlineLevel="0" collapsed="false">
      <c r="A14023" s="34" t="n">
        <v>18253056000113</v>
      </c>
      <c r="B14023" s="34" t="s">
        <v>26368</v>
      </c>
      <c r="C14023" s="34" t="s">
        <v>77</v>
      </c>
      <c r="E14023" s="30" t="s">
        <v>26369</v>
      </c>
      <c r="F14023" s="34" t="n">
        <f aca="false">IFERROR(VLOOKUP($A14023,'319'!$B:$H,7,0),0)</f>
        <v>0</v>
      </c>
      <c r="G14023" s="34" t="n">
        <f aca="false">SUMIFS('12.326ana'!$C:$C,'12.326ana'!$M:$M,redes!A14023)</f>
        <v>0</v>
      </c>
    </row>
    <row r="14024" customFormat="false" ht="14.4" hidden="true" customHeight="false" outlineLevel="0" collapsed="false">
      <c r="A14024" s="34" t="n">
        <v>18258197000129</v>
      </c>
      <c r="B14024" s="34" t="s">
        <v>26370</v>
      </c>
      <c r="C14024" s="34" t="s">
        <v>103</v>
      </c>
      <c r="E14024" s="30" t="s">
        <v>26371</v>
      </c>
      <c r="F14024" s="34" t="n">
        <f aca="false">IFERROR(VLOOKUP($A14024,'319'!$B:$H,7,0),0)</f>
        <v>0</v>
      </c>
      <c r="G14024" s="34" t="n">
        <f aca="false">SUMIFS('12.326ana'!$C:$C,'12.326ana'!$M:$M,redes!A14024)</f>
        <v>0</v>
      </c>
    </row>
    <row r="14025" customFormat="false" ht="14.4" hidden="true" customHeight="false" outlineLevel="0" collapsed="false">
      <c r="A14025" s="34" t="n">
        <v>18258338000103</v>
      </c>
      <c r="B14025" s="34" t="s">
        <v>26372</v>
      </c>
      <c r="C14025" s="34" t="s">
        <v>881</v>
      </c>
      <c r="E14025" s="30" t="s">
        <v>26373</v>
      </c>
      <c r="F14025" s="34" t="n">
        <f aca="false">IFERROR(VLOOKUP($A14025,'319'!$B:$H,7,0),0)</f>
        <v>0</v>
      </c>
      <c r="G14025" s="34" t="n">
        <f aca="false">SUMIFS('12.326ana'!$C:$C,'12.326ana'!$M:$M,redes!A14025)</f>
        <v>0</v>
      </c>
    </row>
    <row r="14026" customFormat="false" ht="14.4" hidden="true" customHeight="false" outlineLevel="0" collapsed="false">
      <c r="A14026" s="34" t="n">
        <v>18284334000108</v>
      </c>
      <c r="B14026" s="34" t="s">
        <v>26374</v>
      </c>
      <c r="C14026" s="34" t="s">
        <v>77</v>
      </c>
      <c r="E14026" s="30" t="s">
        <v>26375</v>
      </c>
      <c r="F14026" s="34" t="n">
        <f aca="false">IFERROR(VLOOKUP($A14026,'319'!$B:$H,7,0),0)</f>
        <v>0</v>
      </c>
      <c r="G14026" s="34" t="n">
        <f aca="false">SUMIFS('12.326ana'!$C:$C,'12.326ana'!$M:$M,redes!A14026)</f>
        <v>0</v>
      </c>
    </row>
    <row r="14027" customFormat="false" ht="14.4" hidden="true" customHeight="false" outlineLevel="0" collapsed="false">
      <c r="A14027" s="34" t="n">
        <v>18287922000197</v>
      </c>
      <c r="B14027" s="34" t="s">
        <v>1053</v>
      </c>
      <c r="C14027" s="34" t="s">
        <v>1054</v>
      </c>
      <c r="E14027" s="30" t="s">
        <v>3078</v>
      </c>
      <c r="F14027" s="34" t="n">
        <f aca="false">IFERROR(VLOOKUP($A14027,'319'!$B:$H,7,0),0)</f>
        <v>730.51</v>
      </c>
      <c r="G14027" s="34" t="n">
        <f aca="false">SUMIFS('12.326ana'!$C:$C,'12.326ana'!$M:$M,redes!A14027)</f>
        <v>0</v>
      </c>
    </row>
    <row r="14028" customFormat="false" ht="14.4" hidden="true" customHeight="false" outlineLevel="0" collapsed="false">
      <c r="A14028" s="34" t="n">
        <v>18301227000132</v>
      </c>
      <c r="B14028" s="34" t="s">
        <v>26376</v>
      </c>
      <c r="C14028" s="34" t="s">
        <v>336</v>
      </c>
      <c r="E14028" s="30" t="s">
        <v>26377</v>
      </c>
      <c r="F14028" s="34" t="n">
        <f aca="false">IFERROR(VLOOKUP($A14028,'319'!$B:$H,7,0),0)</f>
        <v>0</v>
      </c>
      <c r="G14028" s="34" t="n">
        <f aca="false">SUMIFS('12.326ana'!$C:$C,'12.326ana'!$M:$M,redes!A14028)</f>
        <v>0</v>
      </c>
    </row>
    <row r="14029" customFormat="false" ht="14.4" hidden="true" customHeight="false" outlineLevel="0" collapsed="false">
      <c r="A14029" s="34" t="n">
        <v>18303808000103</v>
      </c>
      <c r="B14029" s="34" t="s">
        <v>26378</v>
      </c>
      <c r="C14029" s="34" t="s">
        <v>463</v>
      </c>
      <c r="E14029" s="30" t="s">
        <v>26379</v>
      </c>
      <c r="F14029" s="34" t="n">
        <f aca="false">IFERROR(VLOOKUP($A14029,'319'!$B:$H,7,0),0)</f>
        <v>0</v>
      </c>
      <c r="G14029" s="34" t="n">
        <f aca="false">SUMIFS('12.326ana'!$C:$C,'12.326ana'!$M:$M,redes!A14029)</f>
        <v>0</v>
      </c>
    </row>
    <row r="14030" customFormat="false" ht="14.4" hidden="true" customHeight="false" outlineLevel="0" collapsed="false">
      <c r="A14030" s="34" t="n">
        <v>18310620000192</v>
      </c>
      <c r="B14030" s="34" t="s">
        <v>26380</v>
      </c>
      <c r="C14030" s="34" t="s">
        <v>77</v>
      </c>
      <c r="E14030" s="30" t="s">
        <v>23020</v>
      </c>
      <c r="F14030" s="34" t="n">
        <f aca="false">IFERROR(VLOOKUP($A14030,'319'!$B:$H,7,0),0)</f>
        <v>0</v>
      </c>
      <c r="G14030" s="34" t="n">
        <f aca="false">SUMIFS('12.326ana'!$C:$C,'12.326ana'!$M:$M,redes!A14030)</f>
        <v>0</v>
      </c>
    </row>
    <row r="14031" customFormat="false" ht="14.4" hidden="true" customHeight="false" outlineLevel="0" collapsed="false">
      <c r="A14031" s="34" t="n">
        <v>18317087000190</v>
      </c>
      <c r="B14031" s="34" t="s">
        <v>26381</v>
      </c>
      <c r="C14031" s="34" t="s">
        <v>89</v>
      </c>
      <c r="E14031" s="30" t="s">
        <v>26382</v>
      </c>
      <c r="F14031" s="34" t="n">
        <f aca="false">IFERROR(VLOOKUP($A14031,'319'!$B:$H,7,0),0)</f>
        <v>0</v>
      </c>
      <c r="G14031" s="34" t="n">
        <f aca="false">SUMIFS('12.326ana'!$C:$C,'12.326ana'!$M:$M,redes!A14031)</f>
        <v>0</v>
      </c>
    </row>
    <row r="14032" customFormat="false" ht="14.4" hidden="true" customHeight="false" outlineLevel="0" collapsed="false">
      <c r="A14032" s="34" t="n">
        <v>18325510000102</v>
      </c>
      <c r="B14032" s="34" t="s">
        <v>26383</v>
      </c>
      <c r="C14032" s="34" t="s">
        <v>1591</v>
      </c>
      <c r="E14032" s="30" t="s">
        <v>20050</v>
      </c>
      <c r="F14032" s="34" t="n">
        <f aca="false">IFERROR(VLOOKUP($A14032,'319'!$B:$H,7,0),0)</f>
        <v>0</v>
      </c>
      <c r="G14032" s="34" t="n">
        <f aca="false">SUMIFS('12.326ana'!$C:$C,'12.326ana'!$M:$M,redes!A14032)</f>
        <v>0</v>
      </c>
    </row>
    <row r="14033" customFormat="false" ht="14.4" hidden="true" customHeight="false" outlineLevel="0" collapsed="false">
      <c r="A14033" s="34" t="n">
        <v>18325725000115</v>
      </c>
      <c r="B14033" s="34" t="s">
        <v>26384</v>
      </c>
      <c r="C14033" s="34" t="s">
        <v>737</v>
      </c>
      <c r="E14033" s="30" t="s">
        <v>26385</v>
      </c>
      <c r="F14033" s="34" t="n">
        <f aca="false">IFERROR(VLOOKUP($A14033,'319'!$B:$H,7,0),0)</f>
        <v>0</v>
      </c>
      <c r="G14033" s="34" t="n">
        <f aca="false">SUMIFS('12.326ana'!$C:$C,'12.326ana'!$M:$M,redes!A14033)</f>
        <v>0</v>
      </c>
    </row>
    <row r="14034" customFormat="false" ht="14.4" hidden="true" customHeight="false" outlineLevel="0" collapsed="false">
      <c r="A14034" s="34" t="n">
        <v>18327750000138</v>
      </c>
      <c r="B14034" s="34" t="s">
        <v>26386</v>
      </c>
      <c r="C14034" s="34" t="s">
        <v>77</v>
      </c>
      <c r="E14034" s="30" t="s">
        <v>26387</v>
      </c>
      <c r="F14034" s="34" t="n">
        <f aca="false">IFERROR(VLOOKUP($A14034,'319'!$B:$H,7,0),0)</f>
        <v>0</v>
      </c>
      <c r="G14034" s="34" t="n">
        <f aca="false">SUMIFS('12.326ana'!$C:$C,'12.326ana'!$M:$M,redes!A14034)</f>
        <v>0</v>
      </c>
    </row>
    <row r="14035" customFormat="false" ht="14.4" hidden="true" customHeight="false" outlineLevel="0" collapsed="false">
      <c r="A14035" s="34" t="n">
        <v>18332251000139</v>
      </c>
      <c r="B14035" s="34" t="s">
        <v>26388</v>
      </c>
      <c r="C14035" s="34" t="s">
        <v>213</v>
      </c>
      <c r="E14035" s="30" t="s">
        <v>21454</v>
      </c>
      <c r="F14035" s="34" t="n">
        <f aca="false">IFERROR(VLOOKUP($A14035,'319'!$B:$H,7,0),0)</f>
        <v>0</v>
      </c>
      <c r="G14035" s="34" t="n">
        <f aca="false">SUMIFS('12.326ana'!$C:$C,'12.326ana'!$M:$M,redes!A14035)</f>
        <v>0</v>
      </c>
    </row>
    <row r="14036" customFormat="false" ht="14.4" hidden="true" customHeight="false" outlineLevel="0" collapsed="false">
      <c r="A14036" s="34" t="n">
        <v>18332251000210</v>
      </c>
      <c r="B14036" s="34" t="s">
        <v>26389</v>
      </c>
      <c r="C14036" s="34" t="s">
        <v>357</v>
      </c>
      <c r="E14036" s="30" t="s">
        <v>21454</v>
      </c>
      <c r="F14036" s="34" t="n">
        <f aca="false">IFERROR(VLOOKUP($A14036,'319'!$B:$H,7,0),0)</f>
        <v>0</v>
      </c>
      <c r="G14036" s="34" t="n">
        <f aca="false">SUMIFS('12.326ana'!$C:$C,'12.326ana'!$M:$M,redes!A14036)</f>
        <v>0</v>
      </c>
    </row>
    <row r="14037" customFormat="false" ht="14.4" hidden="true" customHeight="false" outlineLevel="0" collapsed="false">
      <c r="A14037" s="34" t="n">
        <v>18332251000309</v>
      </c>
      <c r="B14037" s="34" t="s">
        <v>26390</v>
      </c>
      <c r="C14037" s="34" t="s">
        <v>77</v>
      </c>
      <c r="E14037" s="30" t="s">
        <v>21454</v>
      </c>
      <c r="F14037" s="34" t="n">
        <f aca="false">IFERROR(VLOOKUP($A14037,'319'!$B:$H,7,0),0)</f>
        <v>0</v>
      </c>
      <c r="G14037" s="34" t="n">
        <f aca="false">SUMIFS('12.326ana'!$C:$C,'12.326ana'!$M:$M,redes!A14037)</f>
        <v>0</v>
      </c>
    </row>
    <row r="14038" customFormat="false" ht="14.4" hidden="true" customHeight="false" outlineLevel="0" collapsed="false">
      <c r="A14038" s="34" t="n">
        <v>18332406000137</v>
      </c>
      <c r="B14038" s="34" t="s">
        <v>26391</v>
      </c>
      <c r="C14038" s="34" t="s">
        <v>89</v>
      </c>
      <c r="E14038" s="30" t="s">
        <v>26392</v>
      </c>
      <c r="F14038" s="34" t="n">
        <f aca="false">IFERROR(VLOOKUP($A14038,'319'!$B:$H,7,0),0)</f>
        <v>0</v>
      </c>
      <c r="G14038" s="34" t="n">
        <f aca="false">SUMIFS('12.326ana'!$C:$C,'12.326ana'!$M:$M,redes!A14038)</f>
        <v>0</v>
      </c>
    </row>
    <row r="14039" customFormat="false" ht="14.4" hidden="true" customHeight="false" outlineLevel="0" collapsed="false">
      <c r="A14039" s="34" t="n">
        <v>18344669000166</v>
      </c>
      <c r="B14039" s="34" t="s">
        <v>26393</v>
      </c>
      <c r="C14039" s="34" t="s">
        <v>594</v>
      </c>
      <c r="E14039" s="30" t="s">
        <v>26394</v>
      </c>
      <c r="F14039" s="34" t="n">
        <f aca="false">IFERROR(VLOOKUP($A14039,'319'!$B:$H,7,0),0)</f>
        <v>0</v>
      </c>
      <c r="G14039" s="34" t="n">
        <f aca="false">SUMIFS('12.326ana'!$C:$C,'12.326ana'!$M:$M,redes!A14039)</f>
        <v>0</v>
      </c>
    </row>
    <row r="14040" customFormat="false" ht="14.4" hidden="true" customHeight="false" outlineLevel="0" collapsed="false">
      <c r="A14040" s="34" t="n">
        <v>18350370000114</v>
      </c>
      <c r="B14040" s="34" t="s">
        <v>26395</v>
      </c>
      <c r="C14040" s="34" t="s">
        <v>77</v>
      </c>
      <c r="E14040" s="30" t="s">
        <v>26396</v>
      </c>
      <c r="F14040" s="34" t="n">
        <f aca="false">IFERROR(VLOOKUP($A14040,'319'!$B:$H,7,0),0)</f>
        <v>0</v>
      </c>
      <c r="G14040" s="34" t="n">
        <f aca="false">SUMIFS('12.326ana'!$C:$C,'12.326ana'!$M:$M,redes!A14040)</f>
        <v>0</v>
      </c>
    </row>
    <row r="14041" customFormat="false" ht="14.4" hidden="true" customHeight="false" outlineLevel="0" collapsed="false">
      <c r="A14041" s="34" t="n">
        <v>18352130000159</v>
      </c>
      <c r="B14041" s="34" t="s">
        <v>26397</v>
      </c>
      <c r="C14041" s="34" t="s">
        <v>77</v>
      </c>
      <c r="E14041" s="30" t="s">
        <v>26398</v>
      </c>
      <c r="F14041" s="34" t="n">
        <f aca="false">IFERROR(VLOOKUP($A14041,'319'!$B:$H,7,0),0)</f>
        <v>0</v>
      </c>
      <c r="G14041" s="34" t="n">
        <f aca="false">SUMIFS('12.326ana'!$C:$C,'12.326ana'!$M:$M,redes!A14041)</f>
        <v>0</v>
      </c>
    </row>
    <row r="14042" customFormat="false" ht="14.4" hidden="true" customHeight="false" outlineLevel="0" collapsed="false">
      <c r="A14042" s="34" t="n">
        <v>18366783000197</v>
      </c>
      <c r="B14042" s="34" t="s">
        <v>1768</v>
      </c>
      <c r="C14042" s="34" t="s">
        <v>103</v>
      </c>
      <c r="E14042" s="30" t="s">
        <v>26399</v>
      </c>
      <c r="F14042" s="34" t="n">
        <f aca="false">IFERROR(VLOOKUP($A14042,'319'!$B:$H,7,0),0)</f>
        <v>-74.47</v>
      </c>
      <c r="G14042" s="34" t="n">
        <f aca="false">SUMIFS('12.326ana'!$C:$C,'12.326ana'!$M:$M,redes!A14042)</f>
        <v>0</v>
      </c>
    </row>
    <row r="14043" customFormat="false" ht="14.4" hidden="true" customHeight="false" outlineLevel="0" collapsed="false">
      <c r="A14043" s="34" t="n">
        <v>18368667000107</v>
      </c>
      <c r="B14043" s="34" t="s">
        <v>26400</v>
      </c>
      <c r="C14043" s="34" t="s">
        <v>77</v>
      </c>
      <c r="E14043" s="30" t="s">
        <v>26401</v>
      </c>
      <c r="F14043" s="34" t="n">
        <f aca="false">IFERROR(VLOOKUP($A14043,'319'!$B:$H,7,0),0)</f>
        <v>0</v>
      </c>
      <c r="G14043" s="34" t="n">
        <f aca="false">SUMIFS('12.326ana'!$C:$C,'12.326ana'!$M:$M,redes!A14043)</f>
        <v>0</v>
      </c>
    </row>
    <row r="14044" customFormat="false" ht="14.4" hidden="true" customHeight="false" outlineLevel="0" collapsed="false">
      <c r="A14044" s="34" t="n">
        <v>18369984000148</v>
      </c>
      <c r="B14044" s="34" t="s">
        <v>26402</v>
      </c>
      <c r="C14044" s="34" t="s">
        <v>89</v>
      </c>
      <c r="E14044" s="30" t="s">
        <v>26403</v>
      </c>
      <c r="F14044" s="34" t="n">
        <f aca="false">IFERROR(VLOOKUP($A14044,'319'!$B:$H,7,0),0)</f>
        <v>0</v>
      </c>
      <c r="G14044" s="34" t="n">
        <f aca="false">SUMIFS('12.326ana'!$C:$C,'12.326ana'!$M:$M,redes!A14044)</f>
        <v>0</v>
      </c>
    </row>
    <row r="14045" customFormat="false" ht="14.4" hidden="true" customHeight="false" outlineLevel="0" collapsed="false">
      <c r="A14045" s="34" t="n">
        <v>18372762000184</v>
      </c>
      <c r="B14045" s="34" t="s">
        <v>26404</v>
      </c>
      <c r="C14045" s="34" t="s">
        <v>139</v>
      </c>
      <c r="E14045" s="30" t="s">
        <v>26405</v>
      </c>
      <c r="F14045" s="34" t="n">
        <f aca="false">IFERROR(VLOOKUP($A14045,'319'!$B:$H,7,0),0)</f>
        <v>0</v>
      </c>
      <c r="G14045" s="34" t="n">
        <f aca="false">SUMIFS('12.326ana'!$C:$C,'12.326ana'!$M:$M,redes!A14045)</f>
        <v>0</v>
      </c>
    </row>
    <row r="14046" customFormat="false" ht="14.4" hidden="true" customHeight="false" outlineLevel="0" collapsed="false">
      <c r="A14046" s="34" t="n">
        <v>18373643000146</v>
      </c>
      <c r="B14046" s="34" t="s">
        <v>26406</v>
      </c>
      <c r="C14046" s="34" t="s">
        <v>89</v>
      </c>
      <c r="E14046" s="30" t="s">
        <v>16737</v>
      </c>
      <c r="F14046" s="34" t="n">
        <f aca="false">IFERROR(VLOOKUP($A14046,'319'!$B:$H,7,0),0)</f>
        <v>0</v>
      </c>
      <c r="G14046" s="34" t="n">
        <f aca="false">SUMIFS('12.326ana'!$C:$C,'12.326ana'!$M:$M,redes!A14046)</f>
        <v>0</v>
      </c>
    </row>
    <row r="14047" customFormat="false" ht="14.4" hidden="true" customHeight="false" outlineLevel="0" collapsed="false">
      <c r="A14047" s="34" t="n">
        <v>18380082000102</v>
      </c>
      <c r="B14047" s="34" t="s">
        <v>771</v>
      </c>
      <c r="C14047" s="34" t="s">
        <v>744</v>
      </c>
      <c r="E14047" s="30" t="s">
        <v>13816</v>
      </c>
      <c r="F14047" s="34" t="n">
        <f aca="false">IFERROR(VLOOKUP($A14047,'319'!$B:$H,7,0),0)</f>
        <v>3458.09</v>
      </c>
      <c r="G14047" s="34" t="n">
        <f aca="false">SUMIFS('12.326ana'!$C:$C,'12.326ana'!$M:$M,redes!A14047)</f>
        <v>0</v>
      </c>
    </row>
    <row r="14048" customFormat="false" ht="14.4" hidden="true" customHeight="false" outlineLevel="0" collapsed="false">
      <c r="A14048" s="34" t="n">
        <v>18394336000141</v>
      </c>
      <c r="B14048" s="34" t="s">
        <v>26407</v>
      </c>
      <c r="C14048" s="34" t="s">
        <v>77</v>
      </c>
      <c r="E14048" s="30" t="s">
        <v>26408</v>
      </c>
      <c r="F14048" s="34" t="n">
        <f aca="false">IFERROR(VLOOKUP($A14048,'319'!$B:$H,7,0),0)</f>
        <v>0</v>
      </c>
      <c r="G14048" s="34" t="n">
        <f aca="false">SUMIFS('12.326ana'!$C:$C,'12.326ana'!$M:$M,redes!A14048)</f>
        <v>0</v>
      </c>
    </row>
    <row r="14049" customFormat="false" ht="14.4" hidden="true" customHeight="false" outlineLevel="0" collapsed="false">
      <c r="A14049" s="34" t="n">
        <v>18418916000121</v>
      </c>
      <c r="B14049" s="34" t="s">
        <v>1550</v>
      </c>
      <c r="C14049" s="34" t="s">
        <v>89</v>
      </c>
      <c r="E14049" s="30" t="s">
        <v>26409</v>
      </c>
      <c r="F14049" s="34" t="n">
        <f aca="false">IFERROR(VLOOKUP($A14049,'319'!$B:$H,7,0),0)</f>
        <v>108.96</v>
      </c>
      <c r="G14049" s="34" t="n">
        <f aca="false">SUMIFS('12.326ana'!$C:$C,'12.326ana'!$M:$M,redes!A14049)</f>
        <v>0</v>
      </c>
    </row>
    <row r="14050" customFormat="false" ht="14.4" hidden="true" customHeight="false" outlineLevel="0" collapsed="false">
      <c r="A14050" s="34" t="n">
        <v>18423867000115</v>
      </c>
      <c r="B14050" s="34" t="s">
        <v>26410</v>
      </c>
      <c r="C14050" s="34" t="s">
        <v>336</v>
      </c>
      <c r="E14050" s="30" t="s">
        <v>26411</v>
      </c>
      <c r="F14050" s="34" t="n">
        <f aca="false">IFERROR(VLOOKUP($A14050,'319'!$B:$H,7,0),0)</f>
        <v>0</v>
      </c>
      <c r="G14050" s="34" t="n">
        <f aca="false">SUMIFS('12.326ana'!$C:$C,'12.326ana'!$M:$M,redes!A14050)</f>
        <v>0</v>
      </c>
    </row>
    <row r="14051" customFormat="false" ht="14.4" hidden="true" customHeight="false" outlineLevel="0" collapsed="false">
      <c r="A14051" s="34" t="n">
        <v>18423930000113</v>
      </c>
      <c r="B14051" s="34" t="s">
        <v>26412</v>
      </c>
      <c r="C14051" s="34" t="s">
        <v>77</v>
      </c>
      <c r="E14051" s="30" t="s">
        <v>26413</v>
      </c>
      <c r="F14051" s="34" t="n">
        <f aca="false">IFERROR(VLOOKUP($A14051,'319'!$B:$H,7,0),0)</f>
        <v>0</v>
      </c>
      <c r="G14051" s="34" t="n">
        <f aca="false">SUMIFS('12.326ana'!$C:$C,'12.326ana'!$M:$M,redes!A14051)</f>
        <v>0</v>
      </c>
    </row>
    <row r="14052" customFormat="false" ht="14.4" hidden="true" customHeight="false" outlineLevel="0" collapsed="false">
      <c r="A14052" s="34" t="n">
        <v>18429327000149</v>
      </c>
      <c r="B14052" s="34" t="s">
        <v>26414</v>
      </c>
      <c r="C14052" s="34" t="s">
        <v>77</v>
      </c>
      <c r="E14052" s="30" t="s">
        <v>26415</v>
      </c>
      <c r="F14052" s="34" t="n">
        <f aca="false">IFERROR(VLOOKUP($A14052,'319'!$B:$H,7,0),0)</f>
        <v>0</v>
      </c>
      <c r="G14052" s="34" t="n">
        <f aca="false">SUMIFS('12.326ana'!$C:$C,'12.326ana'!$M:$M,redes!A14052)</f>
        <v>0</v>
      </c>
    </row>
    <row r="14053" customFormat="false" ht="14.4" hidden="true" customHeight="false" outlineLevel="0" collapsed="false">
      <c r="A14053" s="35" t="n">
        <v>18433914000101</v>
      </c>
      <c r="B14053" s="34" t="s">
        <v>26416</v>
      </c>
      <c r="C14053" s="34" t="s">
        <v>631</v>
      </c>
      <c r="E14053" s="30" t="s">
        <v>3922</v>
      </c>
      <c r="F14053" s="34" t="n">
        <f aca="false">IFERROR(VLOOKUP($A14053,'319'!$B:$H,7,0),0)</f>
        <v>0</v>
      </c>
      <c r="G14053" s="34" t="n">
        <f aca="false">SUMIFS('12.326ana'!$C:$C,'12.326ana'!$M:$M,redes!A14053)</f>
        <v>0</v>
      </c>
    </row>
    <row r="14054" customFormat="false" ht="14.4" hidden="true" customHeight="false" outlineLevel="0" collapsed="false">
      <c r="A14054" s="35" t="n">
        <v>18436263000103</v>
      </c>
      <c r="B14054" s="34" t="s">
        <v>26417</v>
      </c>
      <c r="C14054" s="34" t="s">
        <v>139</v>
      </c>
      <c r="E14054" s="30" t="s">
        <v>26418</v>
      </c>
      <c r="F14054" s="34" t="n">
        <f aca="false">IFERROR(VLOOKUP($A14054,'319'!$B:$H,7,0),0)</f>
        <v>0</v>
      </c>
      <c r="G14054" s="34" t="n">
        <f aca="false">SUMIFS('12.326ana'!$C:$C,'12.326ana'!$M:$M,redes!A14054)</f>
        <v>0</v>
      </c>
    </row>
    <row r="14055" customFormat="false" ht="14.4" hidden="true" customHeight="false" outlineLevel="0" collapsed="false">
      <c r="A14055" s="34" t="n">
        <v>18441728000114</v>
      </c>
      <c r="B14055" s="34" t="s">
        <v>26419</v>
      </c>
      <c r="C14055" s="34" t="s">
        <v>77</v>
      </c>
      <c r="E14055" s="30" t="s">
        <v>26420</v>
      </c>
      <c r="F14055" s="34" t="n">
        <f aca="false">IFERROR(VLOOKUP($A14055,'319'!$B:$H,7,0),0)</f>
        <v>0</v>
      </c>
      <c r="G14055" s="34" t="n">
        <f aca="false">SUMIFS('12.326ana'!$C:$C,'12.326ana'!$M:$M,redes!A14055)</f>
        <v>0</v>
      </c>
    </row>
    <row r="14056" customFormat="false" ht="14.4" hidden="true" customHeight="false" outlineLevel="0" collapsed="false">
      <c r="A14056" s="34" t="n">
        <v>18447957000146</v>
      </c>
      <c r="B14056" s="34" t="s">
        <v>26421</v>
      </c>
      <c r="C14056" s="34" t="s">
        <v>478</v>
      </c>
      <c r="E14056" s="30" t="s">
        <v>3579</v>
      </c>
      <c r="F14056" s="34" t="n">
        <f aca="false">IFERROR(VLOOKUP($A14056,'319'!$B:$H,7,0),0)</f>
        <v>0</v>
      </c>
      <c r="G14056" s="34" t="n">
        <f aca="false">SUMIFS('12.326ana'!$C:$C,'12.326ana'!$M:$M,redes!A14056)</f>
        <v>0</v>
      </c>
    </row>
    <row r="14057" customFormat="false" ht="14.4" hidden="true" customHeight="false" outlineLevel="0" collapsed="false">
      <c r="A14057" s="34" t="n">
        <v>18448210000102</v>
      </c>
      <c r="B14057" s="34" t="s">
        <v>26422</v>
      </c>
      <c r="C14057" s="34" t="s">
        <v>631</v>
      </c>
      <c r="E14057" s="30" t="s">
        <v>4131</v>
      </c>
      <c r="F14057" s="34" t="n">
        <f aca="false">IFERROR(VLOOKUP($A14057,'319'!$B:$H,7,0),0)</f>
        <v>0</v>
      </c>
      <c r="G14057" s="34" t="n">
        <f aca="false">SUMIFS('12.326ana'!$C:$C,'12.326ana'!$M:$M,redes!A14057)</f>
        <v>0</v>
      </c>
    </row>
    <row r="14058" customFormat="false" ht="14.4" hidden="true" customHeight="false" outlineLevel="0" collapsed="false">
      <c r="A14058" s="34" t="n">
        <v>18448871000138</v>
      </c>
      <c r="B14058" s="34" t="s">
        <v>26423</v>
      </c>
      <c r="C14058" s="34" t="s">
        <v>77</v>
      </c>
      <c r="E14058" s="30" t="s">
        <v>6648</v>
      </c>
      <c r="F14058" s="34" t="n">
        <f aca="false">IFERROR(VLOOKUP($A14058,'319'!$B:$H,7,0),0)</f>
        <v>0</v>
      </c>
      <c r="G14058" s="34" t="n">
        <f aca="false">SUMIFS('12.326ana'!$C:$C,'12.326ana'!$M:$M,redes!A14058)</f>
        <v>0</v>
      </c>
    </row>
    <row r="14059" customFormat="false" ht="14.4" hidden="true" customHeight="false" outlineLevel="0" collapsed="false">
      <c r="A14059" s="34" t="n">
        <v>18453561000101</v>
      </c>
      <c r="B14059" s="34" t="s">
        <v>26424</v>
      </c>
      <c r="C14059" s="34" t="s">
        <v>103</v>
      </c>
      <c r="E14059" s="30" t="s">
        <v>26424</v>
      </c>
      <c r="F14059" s="34" t="n">
        <f aca="false">IFERROR(VLOOKUP($A14059,'319'!$B:$H,7,0),0)</f>
        <v>0</v>
      </c>
      <c r="G14059" s="34" t="n">
        <f aca="false">SUMIFS('12.326ana'!$C:$C,'12.326ana'!$M:$M,redes!A14059)</f>
        <v>0</v>
      </c>
    </row>
    <row r="14060" customFormat="false" ht="14.4" hidden="true" customHeight="false" outlineLevel="0" collapsed="false">
      <c r="A14060" s="34" t="n">
        <v>18462567000145</v>
      </c>
      <c r="B14060" s="34" t="s">
        <v>26425</v>
      </c>
      <c r="C14060" s="34" t="s">
        <v>192</v>
      </c>
      <c r="E14060" s="30" t="s">
        <v>26426</v>
      </c>
      <c r="F14060" s="34" t="n">
        <f aca="false">IFERROR(VLOOKUP($A14060,'319'!$B:$H,7,0),0)</f>
        <v>0</v>
      </c>
      <c r="G14060" s="34" t="n">
        <f aca="false">SUMIFS('12.326ana'!$C:$C,'12.326ana'!$M:$M,redes!A14060)</f>
        <v>0</v>
      </c>
    </row>
    <row r="14061" customFormat="false" ht="14.4" hidden="true" customHeight="false" outlineLevel="0" collapsed="false">
      <c r="A14061" s="34" t="n">
        <v>18465451000160</v>
      </c>
      <c r="B14061" s="34" t="s">
        <v>26427</v>
      </c>
      <c r="C14061" s="34" t="s">
        <v>103</v>
      </c>
      <c r="E14061" s="30" t="s">
        <v>26428</v>
      </c>
      <c r="F14061" s="34" t="n">
        <f aca="false">IFERROR(VLOOKUP($A14061,'319'!$B:$H,7,0),0)</f>
        <v>0</v>
      </c>
      <c r="G14061" s="34" t="n">
        <f aca="false">SUMIFS('12.326ana'!$C:$C,'12.326ana'!$M:$M,redes!A14061)</f>
        <v>0</v>
      </c>
    </row>
    <row r="14062" customFormat="false" ht="14.4" hidden="true" customHeight="false" outlineLevel="0" collapsed="false">
      <c r="A14062" s="34" t="n">
        <v>18468358000109</v>
      </c>
      <c r="B14062" s="34" t="s">
        <v>889</v>
      </c>
      <c r="C14062" s="34" t="s">
        <v>546</v>
      </c>
      <c r="E14062" s="30" t="s">
        <v>16460</v>
      </c>
      <c r="F14062" s="34" t="n">
        <f aca="false">IFERROR(VLOOKUP($A14062,'319'!$B:$H,7,0),0)</f>
        <v>1537.67</v>
      </c>
      <c r="G14062" s="34" t="n">
        <f aca="false">SUMIFS('12.326ana'!$C:$C,'12.326ana'!$M:$M,redes!A14062)</f>
        <v>0</v>
      </c>
    </row>
    <row r="14063" customFormat="false" ht="14.4" hidden="true" customHeight="false" outlineLevel="0" collapsed="false">
      <c r="A14063" s="34" t="n">
        <v>18468658000198</v>
      </c>
      <c r="B14063" s="34" t="s">
        <v>26429</v>
      </c>
      <c r="C14063" s="34" t="s">
        <v>598</v>
      </c>
      <c r="E14063" s="30" t="s">
        <v>26430</v>
      </c>
      <c r="F14063" s="34" t="n">
        <f aca="false">IFERROR(VLOOKUP($A14063,'319'!$B:$H,7,0),0)</f>
        <v>0</v>
      </c>
      <c r="G14063" s="34" t="n">
        <f aca="false">SUMIFS('12.326ana'!$C:$C,'12.326ana'!$M:$M,redes!A14063)</f>
        <v>0</v>
      </c>
    </row>
    <row r="14064" customFormat="false" ht="14.4" hidden="true" customHeight="false" outlineLevel="0" collapsed="false">
      <c r="A14064" s="34" t="n">
        <v>18483868000155</v>
      </c>
      <c r="B14064" s="34" t="s">
        <v>26431</v>
      </c>
      <c r="C14064" s="34" t="s">
        <v>77</v>
      </c>
      <c r="E14064" s="30" t="s">
        <v>26432</v>
      </c>
      <c r="F14064" s="34" t="n">
        <f aca="false">IFERROR(VLOOKUP($A14064,'319'!$B:$H,7,0),0)</f>
        <v>0</v>
      </c>
      <c r="G14064" s="34" t="n">
        <f aca="false">SUMIFS('12.326ana'!$C:$C,'12.326ana'!$M:$M,redes!A14064)</f>
        <v>0</v>
      </c>
    </row>
    <row r="14065" customFormat="false" ht="14.4" hidden="true" customHeight="false" outlineLevel="0" collapsed="false">
      <c r="A14065" s="34" t="n">
        <v>18486450000100</v>
      </c>
      <c r="B14065" s="34" t="s">
        <v>5382</v>
      </c>
      <c r="C14065" s="34" t="s">
        <v>197</v>
      </c>
      <c r="E14065" s="30" t="s">
        <v>26433</v>
      </c>
      <c r="F14065" s="34" t="n">
        <f aca="false">IFERROR(VLOOKUP($A14065,'319'!$B:$H,7,0),0)</f>
        <v>0</v>
      </c>
      <c r="G14065" s="34" t="n">
        <f aca="false">SUMIFS('12.326ana'!$C:$C,'12.326ana'!$M:$M,redes!A14065)</f>
        <v>0</v>
      </c>
    </row>
    <row r="14066" customFormat="false" ht="14.4" hidden="true" customHeight="false" outlineLevel="0" collapsed="false">
      <c r="A14066" s="34" t="n">
        <v>18491893000180</v>
      </c>
      <c r="B14066" s="34" t="s">
        <v>26434</v>
      </c>
      <c r="C14066" s="34" t="s">
        <v>77</v>
      </c>
      <c r="E14066" s="30" t="s">
        <v>26435</v>
      </c>
      <c r="F14066" s="34" t="n">
        <f aca="false">IFERROR(VLOOKUP($A14066,'319'!$B:$H,7,0),0)</f>
        <v>0</v>
      </c>
      <c r="G14066" s="34" t="n">
        <f aca="false">SUMIFS('12.326ana'!$C:$C,'12.326ana'!$M:$M,redes!A14066)</f>
        <v>0</v>
      </c>
    </row>
    <row r="14067" customFormat="false" ht="14.4" hidden="true" customHeight="false" outlineLevel="0" collapsed="false">
      <c r="A14067" s="34" t="n">
        <v>18493224000148</v>
      </c>
      <c r="B14067" s="34" t="s">
        <v>26436</v>
      </c>
      <c r="C14067" s="34" t="s">
        <v>342</v>
      </c>
      <c r="E14067" s="30" t="s">
        <v>26437</v>
      </c>
      <c r="F14067" s="34" t="n">
        <f aca="false">IFERROR(VLOOKUP($A14067,'319'!$B:$H,7,0),0)</f>
        <v>0</v>
      </c>
      <c r="G14067" s="34" t="n">
        <f aca="false">SUMIFS('12.326ana'!$C:$C,'12.326ana'!$M:$M,redes!A14067)</f>
        <v>0</v>
      </c>
    </row>
    <row r="14068" customFormat="false" ht="14.4" hidden="true" customHeight="false" outlineLevel="0" collapsed="false">
      <c r="A14068" s="34" t="n">
        <v>18493600000102</v>
      </c>
      <c r="B14068" s="34" t="s">
        <v>26438</v>
      </c>
      <c r="C14068" s="34" t="s">
        <v>77</v>
      </c>
      <c r="E14068" s="30" t="s">
        <v>26439</v>
      </c>
      <c r="F14068" s="34" t="n">
        <f aca="false">IFERROR(VLOOKUP($A14068,'319'!$B:$H,7,0),0)</f>
        <v>0</v>
      </c>
      <c r="G14068" s="34" t="n">
        <f aca="false">SUMIFS('12.326ana'!$C:$C,'12.326ana'!$M:$M,redes!A14068)</f>
        <v>0</v>
      </c>
    </row>
    <row r="14069" customFormat="false" ht="14.4" hidden="true" customHeight="false" outlineLevel="0" collapsed="false">
      <c r="A14069" s="34" t="n">
        <v>18500385000111</v>
      </c>
      <c r="B14069" s="34" t="s">
        <v>26440</v>
      </c>
      <c r="C14069" s="34" t="s">
        <v>89</v>
      </c>
      <c r="E14069" s="30" t="s">
        <v>26441</v>
      </c>
      <c r="F14069" s="34" t="n">
        <f aca="false">IFERROR(VLOOKUP($A14069,'319'!$B:$H,7,0),0)</f>
        <v>0</v>
      </c>
      <c r="G14069" s="34" t="n">
        <f aca="false">SUMIFS('12.326ana'!$C:$C,'12.326ana'!$M:$M,redes!A14069)</f>
        <v>0</v>
      </c>
    </row>
    <row r="14070" customFormat="false" ht="14.4" hidden="true" customHeight="false" outlineLevel="0" collapsed="false">
      <c r="A14070" s="34" t="n">
        <v>18502721000165</v>
      </c>
      <c r="B14070" s="34" t="s">
        <v>26442</v>
      </c>
      <c r="C14070" s="34" t="s">
        <v>107</v>
      </c>
      <c r="E14070" s="30" t="s">
        <v>26443</v>
      </c>
      <c r="F14070" s="34" t="n">
        <f aca="false">IFERROR(VLOOKUP($A14070,'319'!$B:$H,7,0),0)</f>
        <v>0</v>
      </c>
      <c r="G14070" s="34" t="n">
        <f aca="false">SUMIFS('12.326ana'!$C:$C,'12.326ana'!$M:$M,redes!A14070)</f>
        <v>0</v>
      </c>
    </row>
    <row r="14071" customFormat="false" ht="14.4" hidden="true" customHeight="false" outlineLevel="0" collapsed="false">
      <c r="A14071" s="34" t="n">
        <v>18506645000166</v>
      </c>
      <c r="B14071" s="34" t="s">
        <v>26444</v>
      </c>
      <c r="C14071" s="34" t="s">
        <v>77</v>
      </c>
      <c r="E14071" s="30" t="s">
        <v>26445</v>
      </c>
      <c r="F14071" s="34" t="n">
        <f aca="false">IFERROR(VLOOKUP($A14071,'319'!$B:$H,7,0),0)</f>
        <v>0</v>
      </c>
      <c r="G14071" s="34" t="n">
        <f aca="false">SUMIFS('12.326ana'!$C:$C,'12.326ana'!$M:$M,redes!A14071)</f>
        <v>0</v>
      </c>
    </row>
    <row r="14072" customFormat="false" ht="14.4" hidden="true" customHeight="false" outlineLevel="0" collapsed="false">
      <c r="A14072" s="34" t="n">
        <v>18517587000176</v>
      </c>
      <c r="B14072" s="34" t="s">
        <v>26446</v>
      </c>
      <c r="C14072" s="34" t="s">
        <v>107</v>
      </c>
      <c r="E14072" s="30" t="s">
        <v>26447</v>
      </c>
      <c r="F14072" s="34" t="n">
        <f aca="false">IFERROR(VLOOKUP($A14072,'319'!$B:$H,7,0),0)</f>
        <v>0</v>
      </c>
      <c r="G14072" s="34" t="n">
        <f aca="false">SUMIFS('12.326ana'!$C:$C,'12.326ana'!$M:$M,redes!A14072)</f>
        <v>0</v>
      </c>
    </row>
    <row r="14073" customFormat="false" ht="14.4" hidden="true" customHeight="false" outlineLevel="0" collapsed="false">
      <c r="A14073" s="34" t="n">
        <v>18518039000160</v>
      </c>
      <c r="B14073" s="34" t="s">
        <v>26448</v>
      </c>
      <c r="C14073" s="34" t="s">
        <v>475</v>
      </c>
      <c r="E14073" s="30" t="s">
        <v>21844</v>
      </c>
      <c r="F14073" s="34" t="n">
        <f aca="false">IFERROR(VLOOKUP($A14073,'319'!$B:$H,7,0),0)</f>
        <v>0</v>
      </c>
      <c r="G14073" s="34" t="n">
        <f aca="false">SUMIFS('12.326ana'!$C:$C,'12.326ana'!$M:$M,redes!A14073)</f>
        <v>0</v>
      </c>
    </row>
    <row r="14074" customFormat="false" ht="14.4" hidden="true" customHeight="false" outlineLevel="0" collapsed="false">
      <c r="A14074" s="34" t="n">
        <v>18519529000181</v>
      </c>
      <c r="B14074" s="34" t="s">
        <v>26449</v>
      </c>
      <c r="C14074" s="34" t="s">
        <v>139</v>
      </c>
      <c r="E14074" s="30" t="s">
        <v>8275</v>
      </c>
      <c r="F14074" s="34" t="n">
        <f aca="false">IFERROR(VLOOKUP($A14074,'319'!$B:$H,7,0),0)</f>
        <v>0</v>
      </c>
      <c r="G14074" s="34" t="n">
        <f aca="false">SUMIFS('12.326ana'!$C:$C,'12.326ana'!$M:$M,redes!A14074)</f>
        <v>0</v>
      </c>
    </row>
    <row r="14075" customFormat="false" ht="14.4" hidden="true" customHeight="false" outlineLevel="0" collapsed="false">
      <c r="A14075" s="34" t="n">
        <v>18522715000170</v>
      </c>
      <c r="B14075" s="34" t="s">
        <v>26450</v>
      </c>
      <c r="C14075" s="34" t="s">
        <v>89</v>
      </c>
      <c r="E14075" s="30" t="s">
        <v>26450</v>
      </c>
      <c r="F14075" s="34" t="n">
        <f aca="false">IFERROR(VLOOKUP($A14075,'319'!$B:$H,7,0),0)</f>
        <v>0</v>
      </c>
      <c r="G14075" s="34" t="n">
        <f aca="false">SUMIFS('12.326ana'!$C:$C,'12.326ana'!$M:$M,redes!A14075)</f>
        <v>0</v>
      </c>
    </row>
    <row r="14076" customFormat="false" ht="14.4" hidden="true" customHeight="false" outlineLevel="0" collapsed="false">
      <c r="A14076" s="34" t="n">
        <v>18522914000188</v>
      </c>
      <c r="B14076" s="34" t="s">
        <v>26451</v>
      </c>
      <c r="C14076" s="34" t="s">
        <v>139</v>
      </c>
      <c r="E14076" s="30" t="s">
        <v>26452</v>
      </c>
      <c r="F14076" s="34" t="n">
        <f aca="false">IFERROR(VLOOKUP($A14076,'319'!$B:$H,7,0),0)</f>
        <v>0</v>
      </c>
      <c r="G14076" s="34" t="n">
        <f aca="false">SUMIFS('12.326ana'!$C:$C,'12.326ana'!$M:$M,redes!A14076)</f>
        <v>0</v>
      </c>
    </row>
    <row r="14077" customFormat="false" ht="14.4" hidden="true" customHeight="false" outlineLevel="0" collapsed="false">
      <c r="A14077" s="34" t="n">
        <v>18527080000284</v>
      </c>
      <c r="B14077" s="34" t="s">
        <v>26453</v>
      </c>
      <c r="C14077" s="34" t="s">
        <v>351</v>
      </c>
      <c r="E14077" s="30" t="s">
        <v>26454</v>
      </c>
      <c r="F14077" s="34" t="n">
        <f aca="false">IFERROR(VLOOKUP($A14077,'319'!$B:$H,7,0),0)</f>
        <v>0</v>
      </c>
      <c r="G14077" s="34" t="n">
        <f aca="false">SUMIFS('12.326ana'!$C:$C,'12.326ana'!$M:$M,redes!A14077)</f>
        <v>0</v>
      </c>
    </row>
    <row r="14078" customFormat="false" ht="14.4" hidden="true" customHeight="false" outlineLevel="0" collapsed="false">
      <c r="A14078" s="34" t="n">
        <v>18534572000116</v>
      </c>
      <c r="B14078" s="34" t="s">
        <v>26455</v>
      </c>
      <c r="C14078" s="34" t="s">
        <v>77</v>
      </c>
      <c r="E14078" s="30" t="s">
        <v>4519</v>
      </c>
      <c r="F14078" s="34" t="n">
        <f aca="false">IFERROR(VLOOKUP($A14078,'319'!$B:$H,7,0),0)</f>
        <v>0</v>
      </c>
      <c r="G14078" s="34" t="n">
        <f aca="false">SUMIFS('12.326ana'!$C:$C,'12.326ana'!$M:$M,redes!A14078)</f>
        <v>0</v>
      </c>
    </row>
    <row r="14079" customFormat="false" ht="14.4" hidden="true" customHeight="false" outlineLevel="0" collapsed="false">
      <c r="A14079" s="34" t="n">
        <v>18536795000112</v>
      </c>
      <c r="B14079" s="34" t="s">
        <v>26456</v>
      </c>
      <c r="C14079" s="34" t="s">
        <v>475</v>
      </c>
      <c r="E14079" s="30" t="s">
        <v>26457</v>
      </c>
      <c r="F14079" s="34" t="n">
        <f aca="false">IFERROR(VLOOKUP($A14079,'319'!$B:$H,7,0),0)</f>
        <v>0</v>
      </c>
      <c r="G14079" s="34" t="n">
        <f aca="false">SUMIFS('12.326ana'!$C:$C,'12.326ana'!$M:$M,redes!A14079)</f>
        <v>0</v>
      </c>
    </row>
    <row r="14080" customFormat="false" ht="14.4" hidden="true" customHeight="false" outlineLevel="0" collapsed="false">
      <c r="A14080" s="34" t="n">
        <v>18544045000192</v>
      </c>
      <c r="B14080" s="34" t="s">
        <v>26458</v>
      </c>
      <c r="C14080" s="34" t="s">
        <v>309</v>
      </c>
      <c r="E14080" s="30" t="s">
        <v>13810</v>
      </c>
      <c r="F14080" s="34" t="n">
        <f aca="false">IFERROR(VLOOKUP($A14080,'319'!$B:$H,7,0),0)</f>
        <v>0</v>
      </c>
      <c r="G14080" s="34" t="n">
        <f aca="false">SUMIFS('12.326ana'!$C:$C,'12.326ana'!$M:$M,redes!A14080)</f>
        <v>0</v>
      </c>
    </row>
    <row r="14081" customFormat="false" ht="14.4" hidden="true" customHeight="false" outlineLevel="0" collapsed="false">
      <c r="A14081" s="34" t="n">
        <v>18544282000153</v>
      </c>
      <c r="B14081" s="34" t="s">
        <v>26459</v>
      </c>
      <c r="C14081" s="34" t="s">
        <v>192</v>
      </c>
      <c r="E14081" s="30" t="s">
        <v>26460</v>
      </c>
      <c r="F14081" s="34" t="n">
        <f aca="false">IFERROR(VLOOKUP($A14081,'319'!$B:$H,7,0),0)</f>
        <v>0</v>
      </c>
      <c r="G14081" s="34" t="n">
        <f aca="false">SUMIFS('12.326ana'!$C:$C,'12.326ana'!$M:$M,redes!A14081)</f>
        <v>0</v>
      </c>
    </row>
    <row r="14082" customFormat="false" ht="14.4" hidden="true" customHeight="false" outlineLevel="0" collapsed="false">
      <c r="A14082" s="34" t="n">
        <v>18554692000185</v>
      </c>
      <c r="B14082" s="34" t="s">
        <v>26461</v>
      </c>
      <c r="C14082" s="34" t="s">
        <v>77</v>
      </c>
      <c r="E14082" s="30" t="s">
        <v>26462</v>
      </c>
      <c r="F14082" s="34" t="n">
        <f aca="false">IFERROR(VLOOKUP($A14082,'319'!$B:$H,7,0),0)</f>
        <v>0</v>
      </c>
      <c r="G14082" s="34" t="n">
        <f aca="false">SUMIFS('12.326ana'!$C:$C,'12.326ana'!$M:$M,redes!A14082)</f>
        <v>0</v>
      </c>
    </row>
    <row r="14083" customFormat="false" ht="14.4" hidden="true" customHeight="false" outlineLevel="0" collapsed="false">
      <c r="A14083" s="34" t="n">
        <v>18554962000158</v>
      </c>
      <c r="B14083" s="34" t="s">
        <v>26463</v>
      </c>
      <c r="C14083" s="34" t="s">
        <v>139</v>
      </c>
      <c r="E14083" s="30" t="s">
        <v>26464</v>
      </c>
      <c r="F14083" s="34" t="n">
        <f aca="false">IFERROR(VLOOKUP($A14083,'319'!$B:$H,7,0),0)</f>
        <v>0</v>
      </c>
      <c r="G14083" s="34" t="n">
        <f aca="false">SUMIFS('12.326ana'!$C:$C,'12.326ana'!$M:$M,redes!A14083)</f>
        <v>0</v>
      </c>
    </row>
    <row r="14084" customFormat="false" ht="14.4" hidden="true" customHeight="false" outlineLevel="0" collapsed="false">
      <c r="A14084" s="34" t="n">
        <v>18562229000185</v>
      </c>
      <c r="B14084" s="34" t="s">
        <v>26465</v>
      </c>
      <c r="C14084" s="34" t="s">
        <v>77</v>
      </c>
      <c r="E14084" s="30" t="s">
        <v>26466</v>
      </c>
      <c r="F14084" s="34" t="n">
        <f aca="false">IFERROR(VLOOKUP($A14084,'319'!$B:$H,7,0),0)</f>
        <v>0</v>
      </c>
      <c r="G14084" s="34" t="n">
        <f aca="false">SUMIFS('12.326ana'!$C:$C,'12.326ana'!$M:$M,redes!A14084)</f>
        <v>0</v>
      </c>
    </row>
    <row r="14085" customFormat="false" ht="14.4" hidden="true" customHeight="false" outlineLevel="0" collapsed="false">
      <c r="A14085" s="34" t="n">
        <v>18571809000139</v>
      </c>
      <c r="B14085" s="34" t="s">
        <v>26467</v>
      </c>
      <c r="C14085" s="34" t="s">
        <v>107</v>
      </c>
      <c r="E14085" s="30" t="s">
        <v>26468</v>
      </c>
      <c r="F14085" s="34" t="n">
        <f aca="false">IFERROR(VLOOKUP($A14085,'319'!$B:$H,7,0),0)</f>
        <v>0</v>
      </c>
      <c r="G14085" s="34" t="n">
        <f aca="false">SUMIFS('12.326ana'!$C:$C,'12.326ana'!$M:$M,redes!A14085)</f>
        <v>0</v>
      </c>
    </row>
    <row r="14086" customFormat="false" ht="14.4" hidden="true" customHeight="false" outlineLevel="0" collapsed="false">
      <c r="A14086" s="34" t="n">
        <v>18580448000197</v>
      </c>
      <c r="B14086" s="34" t="s">
        <v>26469</v>
      </c>
      <c r="C14086" s="34" t="s">
        <v>77</v>
      </c>
      <c r="E14086" s="30" t="s">
        <v>26470</v>
      </c>
      <c r="F14086" s="34" t="n">
        <f aca="false">IFERROR(VLOOKUP($A14086,'319'!$B:$H,7,0),0)</f>
        <v>0</v>
      </c>
      <c r="G14086" s="34" t="n">
        <f aca="false">SUMIFS('12.326ana'!$C:$C,'12.326ana'!$M:$M,redes!A14086)</f>
        <v>0</v>
      </c>
    </row>
    <row r="14087" customFormat="false" ht="14.4" hidden="true" customHeight="false" outlineLevel="0" collapsed="false">
      <c r="A14087" s="34" t="n">
        <v>18585425000175</v>
      </c>
      <c r="B14087" s="34" t="s">
        <v>26471</v>
      </c>
      <c r="C14087" s="34" t="s">
        <v>139</v>
      </c>
      <c r="E14087" s="30" t="s">
        <v>26472</v>
      </c>
      <c r="F14087" s="34" t="n">
        <f aca="false">IFERROR(VLOOKUP($A14087,'319'!$B:$H,7,0),0)</f>
        <v>0</v>
      </c>
      <c r="G14087" s="34" t="n">
        <f aca="false">SUMIFS('12.326ana'!$C:$C,'12.326ana'!$M:$M,redes!A14087)</f>
        <v>0</v>
      </c>
    </row>
    <row r="14088" customFormat="false" ht="14.4" hidden="true" customHeight="false" outlineLevel="0" collapsed="false">
      <c r="A14088" s="34" t="n">
        <v>18585693000197</v>
      </c>
      <c r="B14088" s="34" t="s">
        <v>26473</v>
      </c>
      <c r="C14088" s="34" t="s">
        <v>77</v>
      </c>
      <c r="E14088" s="30" t="s">
        <v>26474</v>
      </c>
      <c r="F14088" s="34" t="n">
        <f aca="false">IFERROR(VLOOKUP($A14088,'319'!$B:$H,7,0),0)</f>
        <v>0</v>
      </c>
      <c r="G14088" s="34" t="n">
        <f aca="false">SUMIFS('12.326ana'!$C:$C,'12.326ana'!$M:$M,redes!A14088)</f>
        <v>0</v>
      </c>
    </row>
    <row r="14089" customFormat="false" ht="14.4" hidden="true" customHeight="false" outlineLevel="0" collapsed="false">
      <c r="A14089" s="34" t="n">
        <v>18587921000168</v>
      </c>
      <c r="B14089" s="34" t="s">
        <v>26475</v>
      </c>
      <c r="C14089" s="34" t="s">
        <v>77</v>
      </c>
      <c r="E14089" s="30" t="s">
        <v>26476</v>
      </c>
      <c r="F14089" s="34" t="n">
        <f aca="false">IFERROR(VLOOKUP($A14089,'319'!$B:$H,7,0),0)</f>
        <v>0</v>
      </c>
      <c r="G14089" s="34" t="n">
        <f aca="false">SUMIFS('12.326ana'!$C:$C,'12.326ana'!$M:$M,redes!A14089)</f>
        <v>0</v>
      </c>
    </row>
    <row r="14090" customFormat="false" ht="14.4" hidden="true" customHeight="false" outlineLevel="0" collapsed="false">
      <c r="A14090" s="34" t="n">
        <v>18588612000102</v>
      </c>
      <c r="B14090" s="34" t="s">
        <v>26477</v>
      </c>
      <c r="C14090" s="34" t="s">
        <v>1272</v>
      </c>
      <c r="E14090" s="30" t="s">
        <v>26478</v>
      </c>
      <c r="F14090" s="34" t="n">
        <f aca="false">IFERROR(VLOOKUP($A14090,'319'!$B:$H,7,0),0)</f>
        <v>0</v>
      </c>
      <c r="G14090" s="34" t="n">
        <f aca="false">SUMIFS('12.326ana'!$C:$C,'12.326ana'!$M:$M,redes!A14090)</f>
        <v>0</v>
      </c>
    </row>
    <row r="14091" customFormat="false" ht="14.4" hidden="true" customHeight="false" outlineLevel="0" collapsed="false">
      <c r="A14091" s="34" t="n">
        <v>18595443000138</v>
      </c>
      <c r="B14091" s="34" t="s">
        <v>26479</v>
      </c>
      <c r="C14091" s="34" t="s">
        <v>77</v>
      </c>
      <c r="E14091" s="30" t="s">
        <v>26480</v>
      </c>
      <c r="F14091" s="34" t="n">
        <f aca="false">IFERROR(VLOOKUP($A14091,'319'!$B:$H,7,0),0)</f>
        <v>0</v>
      </c>
      <c r="G14091" s="34" t="n">
        <f aca="false">SUMIFS('12.326ana'!$C:$C,'12.326ana'!$M:$M,redes!A14091)</f>
        <v>0</v>
      </c>
    </row>
    <row r="14092" customFormat="false" ht="14.4" hidden="true" customHeight="false" outlineLevel="0" collapsed="false">
      <c r="A14092" s="34" t="n">
        <v>18595725000135</v>
      </c>
      <c r="B14092" s="34" t="s">
        <v>26481</v>
      </c>
      <c r="C14092" s="34" t="s">
        <v>77</v>
      </c>
      <c r="E14092" s="30" t="s">
        <v>26482</v>
      </c>
      <c r="F14092" s="34" t="n">
        <f aca="false">IFERROR(VLOOKUP($A14092,'319'!$B:$H,7,0),0)</f>
        <v>0</v>
      </c>
      <c r="G14092" s="34" t="n">
        <f aca="false">SUMIFS('12.326ana'!$C:$C,'12.326ana'!$M:$M,redes!A14092)</f>
        <v>0</v>
      </c>
    </row>
    <row r="14093" customFormat="false" ht="14.4" hidden="true" customHeight="false" outlineLevel="0" collapsed="false">
      <c r="A14093" s="34" t="n">
        <v>18605177000187</v>
      </c>
      <c r="B14093" s="34" t="s">
        <v>26483</v>
      </c>
      <c r="C14093" s="34" t="s">
        <v>213</v>
      </c>
      <c r="E14093" s="30" t="s">
        <v>26484</v>
      </c>
      <c r="F14093" s="34" t="n">
        <f aca="false">IFERROR(VLOOKUP($A14093,'319'!$B:$H,7,0),0)</f>
        <v>0</v>
      </c>
      <c r="G14093" s="34" t="n">
        <f aca="false">SUMIFS('12.326ana'!$C:$C,'12.326ana'!$M:$M,redes!A14093)</f>
        <v>0</v>
      </c>
    </row>
    <row r="14094" customFormat="false" ht="14.4" hidden="true" customHeight="false" outlineLevel="0" collapsed="false">
      <c r="A14094" s="34" t="n">
        <v>18605641000135</v>
      </c>
      <c r="B14094" s="34" t="s">
        <v>26485</v>
      </c>
      <c r="C14094" s="34" t="s">
        <v>299</v>
      </c>
      <c r="E14094" s="30" t="s">
        <v>26486</v>
      </c>
      <c r="F14094" s="34" t="n">
        <f aca="false">IFERROR(VLOOKUP($A14094,'319'!$B:$H,7,0),0)</f>
        <v>1513.52</v>
      </c>
      <c r="G14094" s="34" t="n">
        <f aca="false">SUMIFS('12.326ana'!$C:$C,'12.326ana'!$M:$M,redes!A14094)</f>
        <v>0</v>
      </c>
    </row>
    <row r="14095" customFormat="false" ht="14.4" hidden="true" customHeight="false" outlineLevel="0" collapsed="false">
      <c r="A14095" s="34" t="n">
        <v>18614843000143</v>
      </c>
      <c r="B14095" s="34" t="s">
        <v>26487</v>
      </c>
      <c r="C14095" s="34" t="s">
        <v>4139</v>
      </c>
      <c r="E14095" s="30" t="s">
        <v>26488</v>
      </c>
      <c r="F14095" s="34" t="n">
        <f aca="false">IFERROR(VLOOKUP($A14095,'319'!$B:$H,7,0),0)</f>
        <v>0</v>
      </c>
      <c r="G14095" s="34" t="n">
        <f aca="false">SUMIFS('12.326ana'!$C:$C,'12.326ana'!$M:$M,redes!A14095)</f>
        <v>0</v>
      </c>
    </row>
    <row r="14096" customFormat="false" ht="14.4" hidden="true" customHeight="false" outlineLevel="0" collapsed="false">
      <c r="A14096" s="34" t="n">
        <v>18624735000151</v>
      </c>
      <c r="B14096" s="34" t="s">
        <v>1048</v>
      </c>
      <c r="C14096" s="34" t="s">
        <v>89</v>
      </c>
      <c r="E14096" s="30" t="s">
        <v>11152</v>
      </c>
      <c r="F14096" s="34" t="n">
        <f aca="false">IFERROR(VLOOKUP($A14096,'319'!$B:$H,7,0),0)</f>
        <v>746.36</v>
      </c>
      <c r="G14096" s="34" t="n">
        <f aca="false">SUMIFS('12.326ana'!$C:$C,'12.326ana'!$M:$M,redes!A14096)</f>
        <v>0</v>
      </c>
    </row>
    <row r="14097" customFormat="false" ht="14.4" hidden="true" customHeight="false" outlineLevel="0" collapsed="false">
      <c r="A14097" s="34" t="n">
        <v>18625959000188</v>
      </c>
      <c r="B14097" s="34" t="s">
        <v>26489</v>
      </c>
      <c r="C14097" s="34" t="s">
        <v>192</v>
      </c>
      <c r="E14097" s="30" t="s">
        <v>26490</v>
      </c>
      <c r="F14097" s="34" t="n">
        <f aca="false">IFERROR(VLOOKUP($A14097,'319'!$B:$H,7,0),0)</f>
        <v>0</v>
      </c>
      <c r="G14097" s="34" t="n">
        <f aca="false">SUMIFS('12.326ana'!$C:$C,'12.326ana'!$M:$M,redes!A14097)</f>
        <v>0</v>
      </c>
    </row>
    <row r="14098" customFormat="false" ht="14.4" hidden="true" customHeight="false" outlineLevel="0" collapsed="false">
      <c r="A14098" s="34" t="n">
        <v>18633176000146</v>
      </c>
      <c r="B14098" s="34" t="s">
        <v>26491</v>
      </c>
      <c r="C14098" s="34" t="s">
        <v>473</v>
      </c>
      <c r="E14098" s="30" t="s">
        <v>26492</v>
      </c>
      <c r="F14098" s="34" t="n">
        <f aca="false">IFERROR(VLOOKUP($A14098,'319'!$B:$H,7,0),0)</f>
        <v>0</v>
      </c>
      <c r="G14098" s="34" t="n">
        <f aca="false">SUMIFS('12.326ana'!$C:$C,'12.326ana'!$M:$M,redes!A14098)</f>
        <v>0</v>
      </c>
    </row>
    <row r="14099" customFormat="false" ht="14.4" hidden="true" customHeight="false" outlineLevel="0" collapsed="false">
      <c r="A14099" s="34" t="n">
        <v>18634936000130</v>
      </c>
      <c r="B14099" s="34" t="s">
        <v>26493</v>
      </c>
      <c r="C14099" s="34" t="s">
        <v>103</v>
      </c>
      <c r="E14099" s="30" t="s">
        <v>3646</v>
      </c>
      <c r="F14099" s="34" t="n">
        <f aca="false">IFERROR(VLOOKUP($A14099,'319'!$B:$H,7,0),0)</f>
        <v>0</v>
      </c>
      <c r="G14099" s="34" t="n">
        <f aca="false">SUMIFS('12.326ana'!$C:$C,'12.326ana'!$M:$M,redes!A14099)</f>
        <v>0</v>
      </c>
    </row>
    <row r="14100" customFormat="false" ht="14.4" hidden="true" customHeight="false" outlineLevel="0" collapsed="false">
      <c r="A14100" s="34" t="n">
        <v>18656746000113</v>
      </c>
      <c r="B14100" s="34" t="s">
        <v>26494</v>
      </c>
      <c r="C14100" s="34" t="s">
        <v>77</v>
      </c>
      <c r="E14100" s="30" t="s">
        <v>25394</v>
      </c>
      <c r="F14100" s="34" t="n">
        <f aca="false">IFERROR(VLOOKUP($A14100,'319'!$B:$H,7,0),0)</f>
        <v>0</v>
      </c>
      <c r="G14100" s="34" t="n">
        <f aca="false">SUMIFS('12.326ana'!$C:$C,'12.326ana'!$M:$M,redes!A14100)</f>
        <v>0</v>
      </c>
    </row>
    <row r="14101" customFormat="false" ht="14.4" hidden="true" customHeight="false" outlineLevel="0" collapsed="false">
      <c r="A14101" s="34" t="n">
        <v>18659180000183</v>
      </c>
      <c r="B14101" s="34" t="s">
        <v>26495</v>
      </c>
      <c r="C14101" s="34" t="s">
        <v>77</v>
      </c>
      <c r="E14101" s="30" t="s">
        <v>26496</v>
      </c>
      <c r="F14101" s="34" t="n">
        <f aca="false">IFERROR(VLOOKUP($A14101,'319'!$B:$H,7,0),0)</f>
        <v>405.1</v>
      </c>
      <c r="G14101" s="34" t="n">
        <f aca="false">SUMIFS('12.326ana'!$C:$C,'12.326ana'!$M:$M,redes!A14101)</f>
        <v>0</v>
      </c>
    </row>
    <row r="14102" customFormat="false" ht="14.4" hidden="true" customHeight="false" outlineLevel="0" collapsed="false">
      <c r="A14102" s="34" t="n">
        <v>18659351000174</v>
      </c>
      <c r="B14102" s="34" t="s">
        <v>26497</v>
      </c>
      <c r="C14102" s="34" t="s">
        <v>464</v>
      </c>
      <c r="E14102" s="30" t="s">
        <v>3750</v>
      </c>
      <c r="F14102" s="34" t="n">
        <f aca="false">IFERROR(VLOOKUP($A14102,'319'!$B:$H,7,0),0)</f>
        <v>0</v>
      </c>
      <c r="G14102" s="34" t="n">
        <f aca="false">SUMIFS('12.326ana'!$C:$C,'12.326ana'!$M:$M,redes!A14102)</f>
        <v>0</v>
      </c>
    </row>
    <row r="14103" customFormat="false" ht="14.4" hidden="true" customHeight="false" outlineLevel="0" collapsed="false">
      <c r="A14103" s="34" t="n">
        <v>18659556000150</v>
      </c>
      <c r="B14103" s="34" t="s">
        <v>26498</v>
      </c>
      <c r="C14103" s="34" t="s">
        <v>309</v>
      </c>
      <c r="E14103" s="30" t="s">
        <v>26499</v>
      </c>
      <c r="F14103" s="34" t="n">
        <f aca="false">IFERROR(VLOOKUP($A14103,'319'!$B:$H,7,0),0)</f>
        <v>0</v>
      </c>
      <c r="G14103" s="34" t="n">
        <f aca="false">SUMIFS('12.326ana'!$C:$C,'12.326ana'!$M:$M,redes!A14103)</f>
        <v>0</v>
      </c>
    </row>
    <row r="14104" customFormat="false" ht="14.4" hidden="true" customHeight="false" outlineLevel="0" collapsed="false">
      <c r="A14104" s="34" t="n">
        <v>18660421000104</v>
      </c>
      <c r="B14104" s="34" t="s">
        <v>26500</v>
      </c>
      <c r="C14104" s="34" t="s">
        <v>1272</v>
      </c>
      <c r="E14104" s="30" t="s">
        <v>20457</v>
      </c>
      <c r="F14104" s="34" t="n">
        <f aca="false">IFERROR(VLOOKUP($A14104,'319'!$B:$H,7,0),0)</f>
        <v>0</v>
      </c>
      <c r="G14104" s="34" t="n">
        <f aca="false">SUMIFS('12.326ana'!$C:$C,'12.326ana'!$M:$M,redes!A14104)</f>
        <v>0</v>
      </c>
    </row>
    <row r="14105" customFormat="false" ht="14.4" hidden="true" customHeight="false" outlineLevel="0" collapsed="false">
      <c r="A14105" s="34" t="n">
        <v>18693767000109</v>
      </c>
      <c r="B14105" s="34" t="s">
        <v>26501</v>
      </c>
      <c r="C14105" s="34" t="s">
        <v>781</v>
      </c>
      <c r="E14105" s="30" t="s">
        <v>5407</v>
      </c>
      <c r="F14105" s="34" t="n">
        <f aca="false">IFERROR(VLOOKUP($A14105,'319'!$B:$H,7,0),0)</f>
        <v>0</v>
      </c>
      <c r="G14105" s="34" t="n">
        <f aca="false">SUMIFS('12.326ana'!$C:$C,'12.326ana'!$M:$M,redes!A14105)</f>
        <v>0</v>
      </c>
    </row>
    <row r="14106" customFormat="false" ht="14.4" hidden="true" customHeight="false" outlineLevel="0" collapsed="false">
      <c r="A14106" s="34" t="n">
        <v>18694393000146</v>
      </c>
      <c r="B14106" s="34" t="s">
        <v>1787</v>
      </c>
      <c r="C14106" s="34" t="s">
        <v>213</v>
      </c>
      <c r="E14106" s="30" t="s">
        <v>17750</v>
      </c>
      <c r="F14106" s="34" t="n">
        <f aca="false">IFERROR(VLOOKUP($A14106,'319'!$B:$H,7,0),0)</f>
        <v>-115.16</v>
      </c>
      <c r="G14106" s="34" t="n">
        <f aca="false">SUMIFS('12.326ana'!$C:$C,'12.326ana'!$M:$M,redes!A14106)</f>
        <v>0</v>
      </c>
    </row>
    <row r="14107" customFormat="false" ht="14.4" hidden="true" customHeight="false" outlineLevel="0" collapsed="false">
      <c r="A14107" s="34" t="n">
        <v>18694628000108</v>
      </c>
      <c r="B14107" s="34" t="s">
        <v>26502</v>
      </c>
      <c r="C14107" s="34" t="s">
        <v>139</v>
      </c>
      <c r="E14107" s="30" t="s">
        <v>26503</v>
      </c>
      <c r="F14107" s="34" t="n">
        <f aca="false">IFERROR(VLOOKUP($A14107,'319'!$B:$H,7,0),0)</f>
        <v>0</v>
      </c>
      <c r="G14107" s="34" t="n">
        <f aca="false">SUMIFS('12.326ana'!$C:$C,'12.326ana'!$M:$M,redes!A14107)</f>
        <v>0</v>
      </c>
    </row>
    <row r="14108" customFormat="false" ht="14.4" hidden="true" customHeight="false" outlineLevel="0" collapsed="false">
      <c r="A14108" s="34" t="n">
        <v>18707867000147</v>
      </c>
      <c r="B14108" s="34" t="s">
        <v>19793</v>
      </c>
      <c r="C14108" s="34" t="s">
        <v>77</v>
      </c>
      <c r="E14108" s="30" t="s">
        <v>26504</v>
      </c>
      <c r="F14108" s="34" t="n">
        <f aca="false">IFERROR(VLOOKUP($A14108,'319'!$B:$H,7,0),0)</f>
        <v>0</v>
      </c>
      <c r="G14108" s="34" t="n">
        <f aca="false">SUMIFS('12.326ana'!$C:$C,'12.326ana'!$M:$M,redes!A14108)</f>
        <v>0</v>
      </c>
    </row>
    <row r="14109" customFormat="false" ht="14.4" hidden="true" customHeight="false" outlineLevel="0" collapsed="false">
      <c r="A14109" s="34" t="n">
        <v>18709375000190</v>
      </c>
      <c r="B14109" s="34" t="s">
        <v>26505</v>
      </c>
      <c r="C14109" s="34" t="s">
        <v>77</v>
      </c>
      <c r="E14109" s="30" t="s">
        <v>26506</v>
      </c>
      <c r="F14109" s="34" t="n">
        <f aca="false">IFERROR(VLOOKUP($A14109,'319'!$B:$H,7,0),0)</f>
        <v>0</v>
      </c>
      <c r="G14109" s="34" t="n">
        <f aca="false">SUMIFS('12.326ana'!$C:$C,'12.326ana'!$M:$M,redes!A14109)</f>
        <v>0</v>
      </c>
    </row>
    <row r="14110" customFormat="false" ht="14.4" hidden="true" customHeight="false" outlineLevel="0" collapsed="false">
      <c r="A14110" s="34" t="n">
        <v>18711261000185</v>
      </c>
      <c r="B14110" s="34" t="s">
        <v>26507</v>
      </c>
      <c r="C14110" s="34" t="s">
        <v>631</v>
      </c>
      <c r="E14110" s="30" t="s">
        <v>26507</v>
      </c>
      <c r="F14110" s="34" t="n">
        <f aca="false">IFERROR(VLOOKUP($A14110,'319'!$B:$H,7,0),0)</f>
        <v>0</v>
      </c>
      <c r="G14110" s="34" t="n">
        <f aca="false">SUMIFS('12.326ana'!$C:$C,'12.326ana'!$M:$M,redes!A14110)</f>
        <v>0</v>
      </c>
    </row>
    <row r="14111" customFormat="false" ht="14.4" hidden="true" customHeight="false" outlineLevel="0" collapsed="false">
      <c r="A14111" s="34" t="n">
        <v>18712137000134</v>
      </c>
      <c r="B14111" s="34" t="s">
        <v>26508</v>
      </c>
      <c r="C14111" s="34" t="s">
        <v>89</v>
      </c>
      <c r="E14111" s="30" t="s">
        <v>26509</v>
      </c>
      <c r="F14111" s="34" t="n">
        <f aca="false">IFERROR(VLOOKUP($A14111,'319'!$B:$H,7,0),0)</f>
        <v>0</v>
      </c>
      <c r="G14111" s="34" t="n">
        <f aca="false">SUMIFS('12.326ana'!$C:$C,'12.326ana'!$M:$M,redes!A14111)</f>
        <v>0</v>
      </c>
    </row>
    <row r="14112" customFormat="false" ht="14.4" hidden="true" customHeight="false" outlineLevel="0" collapsed="false">
      <c r="A14112" s="34" t="n">
        <v>18725544000186</v>
      </c>
      <c r="B14112" s="34" t="s">
        <v>26510</v>
      </c>
      <c r="C14112" s="34" t="s">
        <v>594</v>
      </c>
      <c r="E14112" s="30" t="s">
        <v>26511</v>
      </c>
      <c r="F14112" s="34" t="n">
        <f aca="false">IFERROR(VLOOKUP($A14112,'319'!$B:$H,7,0),0)</f>
        <v>0</v>
      </c>
      <c r="G14112" s="34" t="n">
        <f aca="false">SUMIFS('12.326ana'!$C:$C,'12.326ana'!$M:$M,redes!A14112)</f>
        <v>0</v>
      </c>
    </row>
    <row r="14113" customFormat="false" ht="14.4" hidden="true" customHeight="false" outlineLevel="0" collapsed="false">
      <c r="A14113" s="34" t="n">
        <v>18732238000177</v>
      </c>
      <c r="B14113" s="34" t="s">
        <v>26512</v>
      </c>
      <c r="C14113" s="34" t="s">
        <v>103</v>
      </c>
      <c r="E14113" s="30"/>
      <c r="F14113" s="34" t="n">
        <f aca="false">IFERROR(VLOOKUP($A14113,'319'!$B:$H,7,0),0)</f>
        <v>0</v>
      </c>
      <c r="G14113" s="34" t="n">
        <f aca="false">SUMIFS('12.326ana'!$C:$C,'12.326ana'!$M:$M,redes!A14113)</f>
        <v>0</v>
      </c>
    </row>
    <row r="14114" customFormat="false" ht="14.4" hidden="true" customHeight="false" outlineLevel="0" collapsed="false">
      <c r="A14114" s="34" t="n">
        <v>18735628000109</v>
      </c>
      <c r="B14114" s="34" t="s">
        <v>26513</v>
      </c>
      <c r="C14114" s="34" t="s">
        <v>299</v>
      </c>
      <c r="E14114" s="30" t="s">
        <v>26514</v>
      </c>
      <c r="F14114" s="34" t="n">
        <f aca="false">IFERROR(VLOOKUP($A14114,'319'!$B:$H,7,0),0)</f>
        <v>0</v>
      </c>
      <c r="G14114" s="34" t="n">
        <f aca="false">SUMIFS('12.326ana'!$C:$C,'12.326ana'!$M:$M,redes!A14114)</f>
        <v>0</v>
      </c>
    </row>
    <row r="14115" customFormat="false" ht="14.4" hidden="true" customHeight="false" outlineLevel="0" collapsed="false">
      <c r="A14115" s="34" t="n">
        <v>18736289000177</v>
      </c>
      <c r="B14115" s="34" t="s">
        <v>26515</v>
      </c>
      <c r="C14115" s="34" t="s">
        <v>77</v>
      </c>
      <c r="E14115" s="30" t="s">
        <v>26516</v>
      </c>
      <c r="F14115" s="34" t="n">
        <f aca="false">IFERROR(VLOOKUP($A14115,'319'!$B:$H,7,0),0)</f>
        <v>0</v>
      </c>
      <c r="G14115" s="34" t="n">
        <f aca="false">SUMIFS('12.326ana'!$C:$C,'12.326ana'!$M:$M,redes!A14115)</f>
        <v>0</v>
      </c>
    </row>
    <row r="14116" customFormat="false" ht="14.4" hidden="true" customHeight="false" outlineLevel="0" collapsed="false">
      <c r="A14116" s="34" t="n">
        <v>18736755000114</v>
      </c>
      <c r="B14116" s="34" t="s">
        <v>26517</v>
      </c>
      <c r="C14116" s="34" t="s">
        <v>309</v>
      </c>
      <c r="E14116" s="30" t="s">
        <v>26518</v>
      </c>
      <c r="F14116" s="34" t="n">
        <f aca="false">IFERROR(VLOOKUP($A14116,'319'!$B:$H,7,0),0)</f>
        <v>0</v>
      </c>
      <c r="G14116" s="34" t="n">
        <f aca="false">SUMIFS('12.326ana'!$C:$C,'12.326ana'!$M:$M,redes!A14116)</f>
        <v>0</v>
      </c>
    </row>
    <row r="14117" customFormat="false" ht="14.4" hidden="true" customHeight="false" outlineLevel="0" collapsed="false">
      <c r="A14117" s="34" t="n">
        <v>18748355000129</v>
      </c>
      <c r="B14117" s="34" t="s">
        <v>26519</v>
      </c>
      <c r="C14117" s="34" t="s">
        <v>473</v>
      </c>
      <c r="E14117" s="30" t="s">
        <v>26520</v>
      </c>
      <c r="F14117" s="34" t="n">
        <f aca="false">IFERROR(VLOOKUP($A14117,'319'!$B:$H,7,0),0)</f>
        <v>0</v>
      </c>
      <c r="G14117" s="34" t="n">
        <f aca="false">SUMIFS('12.326ana'!$C:$C,'12.326ana'!$M:$M,redes!A14117)</f>
        <v>0</v>
      </c>
    </row>
    <row r="14118" customFormat="false" ht="14.4" hidden="true" customHeight="false" outlineLevel="0" collapsed="false">
      <c r="A14118" s="34" t="n">
        <v>18763339000105</v>
      </c>
      <c r="B14118" s="34" t="s">
        <v>26521</v>
      </c>
      <c r="C14118" s="34" t="s">
        <v>77</v>
      </c>
      <c r="E14118" s="30" t="s">
        <v>26522</v>
      </c>
      <c r="F14118" s="34" t="n">
        <f aca="false">IFERROR(VLOOKUP($A14118,'319'!$B:$H,7,0),0)</f>
        <v>0</v>
      </c>
      <c r="G14118" s="34" t="n">
        <f aca="false">SUMIFS('12.326ana'!$C:$C,'12.326ana'!$M:$M,redes!A14118)</f>
        <v>0</v>
      </c>
    </row>
    <row r="14119" customFormat="false" ht="14.4" hidden="true" customHeight="false" outlineLevel="0" collapsed="false">
      <c r="A14119" s="34" t="n">
        <v>18766285000131</v>
      </c>
      <c r="B14119" s="34" t="s">
        <v>26523</v>
      </c>
      <c r="C14119" s="34" t="s">
        <v>77</v>
      </c>
      <c r="E14119" s="30" t="s">
        <v>26524</v>
      </c>
      <c r="F14119" s="34" t="n">
        <f aca="false">IFERROR(VLOOKUP($A14119,'319'!$B:$H,7,0),0)</f>
        <v>0</v>
      </c>
      <c r="G14119" s="34" t="n">
        <f aca="false">SUMIFS('12.326ana'!$C:$C,'12.326ana'!$M:$M,redes!A14119)</f>
        <v>0</v>
      </c>
    </row>
    <row r="14120" customFormat="false" ht="14.4" hidden="true" customHeight="false" outlineLevel="0" collapsed="false">
      <c r="A14120" s="34" t="n">
        <v>18768425000100</v>
      </c>
      <c r="B14120" s="34" t="s">
        <v>26525</v>
      </c>
      <c r="C14120" s="34" t="s">
        <v>475</v>
      </c>
      <c r="E14120" s="30" t="s">
        <v>26526</v>
      </c>
      <c r="F14120" s="34" t="n">
        <f aca="false">IFERROR(VLOOKUP($A14120,'319'!$B:$H,7,0),0)</f>
        <v>0</v>
      </c>
      <c r="G14120" s="34" t="n">
        <f aca="false">SUMIFS('12.326ana'!$C:$C,'12.326ana'!$M:$M,redes!A14120)</f>
        <v>0</v>
      </c>
    </row>
    <row r="14121" customFormat="false" ht="14.4" hidden="true" customHeight="false" outlineLevel="0" collapsed="false">
      <c r="A14121" s="34" t="n">
        <v>18770254000154</v>
      </c>
      <c r="B14121" s="34" t="s">
        <v>26527</v>
      </c>
      <c r="C14121" s="34" t="s">
        <v>77</v>
      </c>
      <c r="E14121" s="30" t="s">
        <v>26528</v>
      </c>
      <c r="F14121" s="34" t="n">
        <f aca="false">IFERROR(VLOOKUP($A14121,'319'!$B:$H,7,0),0)</f>
        <v>0</v>
      </c>
      <c r="G14121" s="34" t="n">
        <f aca="false">SUMIFS('12.326ana'!$C:$C,'12.326ana'!$M:$M,redes!A14121)</f>
        <v>0</v>
      </c>
    </row>
    <row r="14122" customFormat="false" ht="14.4" hidden="true" customHeight="false" outlineLevel="0" collapsed="false">
      <c r="A14122" s="34" t="n">
        <v>18770993000146</v>
      </c>
      <c r="B14122" s="34" t="s">
        <v>26529</v>
      </c>
      <c r="C14122" s="34" t="s">
        <v>994</v>
      </c>
      <c r="E14122" s="30" t="s">
        <v>10654</v>
      </c>
      <c r="F14122" s="34" t="n">
        <f aca="false">IFERROR(VLOOKUP($A14122,'319'!$B:$H,7,0),0)</f>
        <v>0</v>
      </c>
      <c r="G14122" s="34" t="n">
        <f aca="false">SUMIFS('12.326ana'!$C:$C,'12.326ana'!$M:$M,redes!A14122)</f>
        <v>0</v>
      </c>
    </row>
    <row r="14123" customFormat="false" ht="14.4" hidden="true" customHeight="false" outlineLevel="0" collapsed="false">
      <c r="A14123" s="34" t="n">
        <v>18775003000162</v>
      </c>
      <c r="B14123" s="34" t="s">
        <v>26530</v>
      </c>
      <c r="C14123" s="34" t="s">
        <v>77</v>
      </c>
      <c r="E14123" s="30" t="s">
        <v>26531</v>
      </c>
      <c r="F14123" s="34" t="n">
        <f aca="false">IFERROR(VLOOKUP($A14123,'319'!$B:$H,7,0),0)</f>
        <v>0</v>
      </c>
      <c r="G14123" s="34" t="n">
        <f aca="false">SUMIFS('12.326ana'!$C:$C,'12.326ana'!$M:$M,redes!A14123)</f>
        <v>0</v>
      </c>
    </row>
    <row r="14124" customFormat="false" ht="14.4" hidden="true" customHeight="false" outlineLevel="0" collapsed="false">
      <c r="A14124" s="34" t="n">
        <v>18779406000180</v>
      </c>
      <c r="B14124" s="34" t="s">
        <v>26532</v>
      </c>
      <c r="C14124" s="34" t="s">
        <v>357</v>
      </c>
      <c r="E14124" s="30" t="s">
        <v>26533</v>
      </c>
      <c r="F14124" s="34" t="n">
        <f aca="false">IFERROR(VLOOKUP($A14124,'319'!$B:$H,7,0),0)</f>
        <v>0</v>
      </c>
      <c r="G14124" s="34" t="n">
        <f aca="false">SUMIFS('12.326ana'!$C:$C,'12.326ana'!$M:$M,redes!A14124)</f>
        <v>0</v>
      </c>
    </row>
    <row r="14125" customFormat="false" ht="14.4" hidden="true" customHeight="false" outlineLevel="0" collapsed="false">
      <c r="A14125" s="34" t="n">
        <v>18786821000160</v>
      </c>
      <c r="B14125" s="34" t="s">
        <v>26534</v>
      </c>
      <c r="C14125" s="34" t="s">
        <v>77</v>
      </c>
      <c r="E14125" s="30" t="s">
        <v>26534</v>
      </c>
      <c r="F14125" s="34" t="n">
        <f aca="false">IFERROR(VLOOKUP($A14125,'319'!$B:$H,7,0),0)</f>
        <v>0</v>
      </c>
      <c r="G14125" s="34" t="n">
        <f aca="false">SUMIFS('12.326ana'!$C:$C,'12.326ana'!$M:$M,redes!A14125)</f>
        <v>0</v>
      </c>
    </row>
    <row r="14126" customFormat="false" ht="14.4" hidden="true" customHeight="false" outlineLevel="0" collapsed="false">
      <c r="A14126" s="34" t="n">
        <v>18803645000128</v>
      </c>
      <c r="B14126" s="34" t="s">
        <v>26535</v>
      </c>
      <c r="C14126" s="34" t="s">
        <v>107</v>
      </c>
      <c r="E14126" s="30" t="s">
        <v>19692</v>
      </c>
      <c r="F14126" s="34" t="n">
        <f aca="false">IFERROR(VLOOKUP($A14126,'319'!$B:$H,7,0),0)</f>
        <v>0</v>
      </c>
      <c r="G14126" s="34" t="n">
        <f aca="false">SUMIFS('12.326ana'!$C:$C,'12.326ana'!$M:$M,redes!A14126)</f>
        <v>0</v>
      </c>
    </row>
    <row r="14127" customFormat="false" ht="14.4" hidden="true" customHeight="false" outlineLevel="0" collapsed="false">
      <c r="A14127" s="34" t="n">
        <v>18814674000195</v>
      </c>
      <c r="B14127" s="34" t="s">
        <v>26536</v>
      </c>
      <c r="C14127" s="34" t="s">
        <v>139</v>
      </c>
      <c r="E14127" s="30" t="s">
        <v>26537</v>
      </c>
      <c r="F14127" s="34" t="n">
        <f aca="false">IFERROR(VLOOKUP($A14127,'319'!$B:$H,7,0),0)</f>
        <v>0</v>
      </c>
      <c r="G14127" s="34" t="n">
        <f aca="false">SUMIFS('12.326ana'!$C:$C,'12.326ana'!$M:$M,redes!A14127)</f>
        <v>0</v>
      </c>
    </row>
    <row r="14128" customFormat="false" ht="14.4" hidden="true" customHeight="false" outlineLevel="0" collapsed="false">
      <c r="A14128" s="34" t="n">
        <v>18816774000150</v>
      </c>
      <c r="B14128" s="34" t="s">
        <v>26538</v>
      </c>
      <c r="C14128" s="34" t="s">
        <v>463</v>
      </c>
      <c r="E14128" s="30" t="s">
        <v>26539</v>
      </c>
      <c r="F14128" s="34" t="n">
        <f aca="false">IFERROR(VLOOKUP($A14128,'319'!$B:$H,7,0),0)</f>
        <v>0</v>
      </c>
      <c r="G14128" s="34" t="n">
        <f aca="false">SUMIFS('12.326ana'!$C:$C,'12.326ana'!$M:$M,redes!A14128)</f>
        <v>0</v>
      </c>
    </row>
    <row r="14129" customFormat="false" ht="14.4" hidden="true" customHeight="false" outlineLevel="0" collapsed="false">
      <c r="A14129" s="34" t="n">
        <v>18824622000108</v>
      </c>
      <c r="B14129" s="34" t="s">
        <v>26540</v>
      </c>
      <c r="C14129" s="34" t="s">
        <v>604</v>
      </c>
      <c r="E14129" s="30" t="s">
        <v>26541</v>
      </c>
      <c r="F14129" s="34" t="n">
        <f aca="false">IFERROR(VLOOKUP($A14129,'319'!$B:$H,7,0),0)</f>
        <v>0</v>
      </c>
      <c r="G14129" s="34" t="n">
        <f aca="false">SUMIFS('12.326ana'!$C:$C,'12.326ana'!$M:$M,redes!A14129)</f>
        <v>0</v>
      </c>
    </row>
    <row r="14130" customFormat="false" ht="14.4" hidden="true" customHeight="false" outlineLevel="0" collapsed="false">
      <c r="A14130" s="34" t="n">
        <v>18825770000139</v>
      </c>
      <c r="B14130" s="34" t="s">
        <v>11947</v>
      </c>
      <c r="C14130" s="34" t="s">
        <v>77</v>
      </c>
      <c r="E14130" s="30" t="s">
        <v>26542</v>
      </c>
      <c r="F14130" s="34" t="n">
        <f aca="false">IFERROR(VLOOKUP($A14130,'319'!$B:$H,7,0),0)</f>
        <v>0</v>
      </c>
      <c r="G14130" s="34" t="n">
        <f aca="false">SUMIFS('12.326ana'!$C:$C,'12.326ana'!$M:$M,redes!A14130)</f>
        <v>0</v>
      </c>
    </row>
    <row r="14131" customFormat="false" ht="14.4" hidden="true" customHeight="false" outlineLevel="0" collapsed="false">
      <c r="A14131" s="34" t="n">
        <v>18833479000102</v>
      </c>
      <c r="B14131" s="34" t="s">
        <v>26543</v>
      </c>
      <c r="C14131" s="34" t="s">
        <v>77</v>
      </c>
      <c r="E14131" s="30" t="s">
        <v>26544</v>
      </c>
      <c r="F14131" s="34" t="n">
        <f aca="false">IFERROR(VLOOKUP($A14131,'319'!$B:$H,7,0),0)</f>
        <v>0</v>
      </c>
      <c r="G14131" s="34" t="n">
        <f aca="false">SUMIFS('12.326ana'!$C:$C,'12.326ana'!$M:$M,redes!A14131)</f>
        <v>0</v>
      </c>
    </row>
    <row r="14132" customFormat="false" ht="14.4" hidden="true" customHeight="false" outlineLevel="0" collapsed="false">
      <c r="A14132" s="34" t="n">
        <v>18833479000293</v>
      </c>
      <c r="B14132" s="34" t="s">
        <v>26545</v>
      </c>
      <c r="C14132" s="34" t="s">
        <v>77</v>
      </c>
      <c r="E14132" s="30" t="s">
        <v>3293</v>
      </c>
      <c r="F14132" s="34" t="n">
        <f aca="false">IFERROR(VLOOKUP($A14132,'319'!$B:$H,7,0),0)</f>
        <v>0</v>
      </c>
      <c r="G14132" s="34" t="n">
        <f aca="false">SUMIFS('12.326ana'!$C:$C,'12.326ana'!$M:$M,redes!A14132)</f>
        <v>0</v>
      </c>
    </row>
    <row r="14133" customFormat="false" ht="14.4" hidden="true" customHeight="false" outlineLevel="0" collapsed="false">
      <c r="A14133" s="34" t="n">
        <v>18851424000125</v>
      </c>
      <c r="B14133" s="34" t="s">
        <v>26546</v>
      </c>
      <c r="C14133" s="34" t="s">
        <v>473</v>
      </c>
      <c r="E14133" s="30" t="s">
        <v>26547</v>
      </c>
      <c r="F14133" s="34" t="n">
        <f aca="false">IFERROR(VLOOKUP($A14133,'319'!$B:$H,7,0),0)</f>
        <v>0</v>
      </c>
      <c r="G14133" s="34" t="n">
        <f aca="false">SUMIFS('12.326ana'!$C:$C,'12.326ana'!$M:$M,redes!A14133)</f>
        <v>0</v>
      </c>
    </row>
    <row r="14134" customFormat="false" ht="14.4" hidden="true" customHeight="false" outlineLevel="0" collapsed="false">
      <c r="A14134" s="34" t="n">
        <v>18852708000136</v>
      </c>
      <c r="B14134" s="34" t="s">
        <v>26548</v>
      </c>
      <c r="C14134" s="34" t="s">
        <v>107</v>
      </c>
      <c r="E14134" s="30" t="s">
        <v>26549</v>
      </c>
      <c r="F14134" s="34" t="n">
        <f aca="false">IFERROR(VLOOKUP($A14134,'319'!$B:$H,7,0),0)</f>
        <v>0</v>
      </c>
      <c r="G14134" s="34" t="n">
        <f aca="false">SUMIFS('12.326ana'!$C:$C,'12.326ana'!$M:$M,redes!A14134)</f>
        <v>0</v>
      </c>
    </row>
    <row r="14135" customFormat="false" ht="14.4" hidden="true" customHeight="false" outlineLevel="0" collapsed="false">
      <c r="A14135" s="34" t="n">
        <v>18853547000103</v>
      </c>
      <c r="B14135" s="34" t="s">
        <v>26550</v>
      </c>
      <c r="C14135" s="34" t="s">
        <v>77</v>
      </c>
      <c r="E14135" s="30" t="s">
        <v>26551</v>
      </c>
      <c r="F14135" s="34" t="n">
        <f aca="false">IFERROR(VLOOKUP($A14135,'319'!$B:$H,7,0),0)</f>
        <v>0</v>
      </c>
      <c r="G14135" s="34" t="n">
        <f aca="false">SUMIFS('12.326ana'!$C:$C,'12.326ana'!$M:$M,redes!A14135)</f>
        <v>0</v>
      </c>
    </row>
    <row r="14136" customFormat="false" ht="14.4" hidden="true" customHeight="false" outlineLevel="0" collapsed="false">
      <c r="A14136" s="34" t="n">
        <v>18853815000189</v>
      </c>
      <c r="B14136" s="34" t="s">
        <v>26552</v>
      </c>
      <c r="C14136" s="34" t="s">
        <v>77</v>
      </c>
      <c r="E14136" s="30" t="s">
        <v>26553</v>
      </c>
      <c r="F14136" s="34" t="n">
        <f aca="false">IFERROR(VLOOKUP($A14136,'319'!$B:$H,7,0),0)</f>
        <v>0</v>
      </c>
      <c r="G14136" s="34" t="n">
        <f aca="false">SUMIFS('12.326ana'!$C:$C,'12.326ana'!$M:$M,redes!A14136)</f>
        <v>0</v>
      </c>
    </row>
    <row r="14137" customFormat="false" ht="14.4" hidden="true" customHeight="false" outlineLevel="0" collapsed="false">
      <c r="A14137" s="34" t="n">
        <v>18853819000167</v>
      </c>
      <c r="B14137" s="34" t="s">
        <v>26554</v>
      </c>
      <c r="C14137" s="34" t="s">
        <v>89</v>
      </c>
      <c r="E14137" s="30" t="s">
        <v>26555</v>
      </c>
      <c r="F14137" s="34" t="n">
        <f aca="false">IFERROR(VLOOKUP($A14137,'319'!$B:$H,7,0),0)</f>
        <v>0</v>
      </c>
      <c r="G14137" s="34" t="n">
        <f aca="false">SUMIFS('12.326ana'!$C:$C,'12.326ana'!$M:$M,redes!A14137)</f>
        <v>0</v>
      </c>
    </row>
    <row r="14138" customFormat="false" ht="14.4" hidden="true" customHeight="false" outlineLevel="0" collapsed="false">
      <c r="A14138" s="34" t="n">
        <v>18858371000174</v>
      </c>
      <c r="B14138" s="34" t="s">
        <v>26556</v>
      </c>
      <c r="C14138" s="34" t="s">
        <v>77</v>
      </c>
      <c r="E14138" s="30" t="s">
        <v>26557</v>
      </c>
      <c r="F14138" s="34" t="n">
        <f aca="false">IFERROR(VLOOKUP($A14138,'319'!$B:$H,7,0),0)</f>
        <v>0</v>
      </c>
      <c r="G14138" s="34" t="n">
        <f aca="false">SUMIFS('12.326ana'!$C:$C,'12.326ana'!$M:$M,redes!A14138)</f>
        <v>0</v>
      </c>
    </row>
    <row r="14139" customFormat="false" ht="14.4" hidden="true" customHeight="false" outlineLevel="0" collapsed="false">
      <c r="A14139" s="34" t="n">
        <v>18862844000107</v>
      </c>
      <c r="B14139" s="34" t="s">
        <v>2947</v>
      </c>
      <c r="C14139" s="34" t="s">
        <v>139</v>
      </c>
      <c r="D14139" s="34" t="s">
        <v>21</v>
      </c>
      <c r="E14139" s="30" t="s">
        <v>2948</v>
      </c>
      <c r="F14139" s="34" t="n">
        <f aca="false">IFERROR(VLOOKUP($A14139,'319'!$B:$H,7,0),0)</f>
        <v>61092.66</v>
      </c>
      <c r="G14139" s="34" t="n">
        <f aca="false">SUMIFS('12.326ana'!$C:$C,'12.326ana'!$M:$M,redes!A14139)</f>
        <v>0</v>
      </c>
    </row>
    <row r="14140" customFormat="false" ht="14.4" hidden="true" customHeight="false" outlineLevel="0" collapsed="false">
      <c r="A14140" s="34" t="n">
        <v>18862844000379</v>
      </c>
      <c r="B14140" s="34" t="s">
        <v>2949</v>
      </c>
      <c r="C14140" s="34" t="s">
        <v>139</v>
      </c>
      <c r="D14140" s="34" t="s">
        <v>21</v>
      </c>
      <c r="E14140" s="30" t="s">
        <v>2950</v>
      </c>
      <c r="F14140" s="34" t="n">
        <f aca="false">IFERROR(VLOOKUP($A14140,'319'!$B:$H,7,0),0)</f>
        <v>15900.46</v>
      </c>
      <c r="G14140" s="34" t="n">
        <f aca="false">SUMIFS('12.326ana'!$C:$C,'12.326ana'!$M:$M,redes!A14140)</f>
        <v>0</v>
      </c>
    </row>
    <row r="14141" customFormat="false" ht="14.4" hidden="true" customHeight="false" outlineLevel="0" collapsed="false">
      <c r="A14141" s="34" t="n">
        <v>18862852000153</v>
      </c>
      <c r="B14141" s="34" t="s">
        <v>26558</v>
      </c>
      <c r="C14141" s="34" t="s">
        <v>77</v>
      </c>
      <c r="E14141" s="30" t="s">
        <v>3150</v>
      </c>
      <c r="F14141" s="34" t="n">
        <f aca="false">IFERROR(VLOOKUP($A14141,'319'!$B:$H,7,0),0)</f>
        <v>0</v>
      </c>
      <c r="G14141" s="34" t="n">
        <f aca="false">SUMIFS('12.326ana'!$C:$C,'12.326ana'!$M:$M,redes!A14141)</f>
        <v>0</v>
      </c>
    </row>
    <row r="14142" customFormat="false" ht="14.4" hidden="true" customHeight="false" outlineLevel="0" collapsed="false">
      <c r="A14142" s="34" t="n">
        <v>18867744000173</v>
      </c>
      <c r="B14142" s="34" t="s">
        <v>26559</v>
      </c>
      <c r="C14142" s="34" t="s">
        <v>463</v>
      </c>
      <c r="E14142" s="30" t="s">
        <v>26560</v>
      </c>
      <c r="F14142" s="34" t="n">
        <f aca="false">IFERROR(VLOOKUP($A14142,'319'!$B:$H,7,0),0)</f>
        <v>0</v>
      </c>
      <c r="G14142" s="34" t="n">
        <f aca="false">SUMIFS('12.326ana'!$C:$C,'12.326ana'!$M:$M,redes!A14142)</f>
        <v>0</v>
      </c>
    </row>
    <row r="14143" customFormat="false" ht="14.4" hidden="true" customHeight="false" outlineLevel="0" collapsed="false">
      <c r="A14143" s="34" t="n">
        <v>18870365000132</v>
      </c>
      <c r="B14143" s="34" t="s">
        <v>26561</v>
      </c>
      <c r="C14143" s="34" t="s">
        <v>546</v>
      </c>
      <c r="E14143" s="30" t="s">
        <v>26562</v>
      </c>
      <c r="F14143" s="34" t="n">
        <f aca="false">IFERROR(VLOOKUP($A14143,'319'!$B:$H,7,0),0)</f>
        <v>0</v>
      </c>
      <c r="G14143" s="34" t="n">
        <f aca="false">SUMIFS('12.326ana'!$C:$C,'12.326ana'!$M:$M,redes!A14143)</f>
        <v>0</v>
      </c>
    </row>
    <row r="14144" customFormat="false" ht="14.4" hidden="true" customHeight="false" outlineLevel="0" collapsed="false">
      <c r="A14144" s="34" t="n">
        <v>18871884000115</v>
      </c>
      <c r="B14144" s="34" t="s">
        <v>26563</v>
      </c>
      <c r="C14144" s="34" t="s">
        <v>77</v>
      </c>
      <c r="E14144" s="30" t="s">
        <v>3289</v>
      </c>
      <c r="F14144" s="34" t="n">
        <f aca="false">IFERROR(VLOOKUP($A14144,'319'!$B:$H,7,0),0)</f>
        <v>0</v>
      </c>
      <c r="G14144" s="34" t="n">
        <f aca="false">SUMIFS('12.326ana'!$C:$C,'12.326ana'!$M:$M,redes!A14144)</f>
        <v>0</v>
      </c>
    </row>
    <row r="14145" customFormat="false" ht="14.4" hidden="true" customHeight="false" outlineLevel="0" collapsed="false">
      <c r="A14145" s="34" t="n">
        <v>18872967000129</v>
      </c>
      <c r="B14145" s="34" t="s">
        <v>26564</v>
      </c>
      <c r="C14145" s="34" t="s">
        <v>448</v>
      </c>
      <c r="E14145" s="30" t="s">
        <v>26565</v>
      </c>
      <c r="F14145" s="34" t="n">
        <f aca="false">IFERROR(VLOOKUP($A14145,'319'!$B:$H,7,0),0)</f>
        <v>0</v>
      </c>
      <c r="G14145" s="34" t="n">
        <f aca="false">SUMIFS('12.326ana'!$C:$C,'12.326ana'!$M:$M,redes!A14145)</f>
        <v>0</v>
      </c>
    </row>
    <row r="14146" customFormat="false" ht="14.4" hidden="true" customHeight="false" outlineLevel="0" collapsed="false">
      <c r="A14146" s="34" t="n">
        <v>18882395000169</v>
      </c>
      <c r="B14146" s="34" t="s">
        <v>26566</v>
      </c>
      <c r="C14146" s="34" t="s">
        <v>139</v>
      </c>
      <c r="E14146" s="30" t="s">
        <v>26567</v>
      </c>
      <c r="F14146" s="34" t="n">
        <f aca="false">IFERROR(VLOOKUP($A14146,'319'!$B:$H,7,0),0)</f>
        <v>0</v>
      </c>
      <c r="G14146" s="34" t="n">
        <f aca="false">SUMIFS('12.326ana'!$C:$C,'12.326ana'!$M:$M,redes!A14146)</f>
        <v>0</v>
      </c>
    </row>
    <row r="14147" customFormat="false" ht="14.4" hidden="true" customHeight="false" outlineLevel="0" collapsed="false">
      <c r="A14147" s="34" t="n">
        <v>18882403000177</v>
      </c>
      <c r="B14147" s="34" t="s">
        <v>26568</v>
      </c>
      <c r="C14147" s="34" t="s">
        <v>139</v>
      </c>
      <c r="E14147" s="30" t="s">
        <v>26569</v>
      </c>
      <c r="F14147" s="34" t="n">
        <f aca="false">IFERROR(VLOOKUP($A14147,'319'!$B:$H,7,0),0)</f>
        <v>0</v>
      </c>
      <c r="G14147" s="34" t="n">
        <f aca="false">SUMIFS('12.326ana'!$C:$C,'12.326ana'!$M:$M,redes!A14147)</f>
        <v>0</v>
      </c>
    </row>
    <row r="14148" customFormat="false" ht="14.4" hidden="true" customHeight="false" outlineLevel="0" collapsed="false">
      <c r="A14148" s="34" t="n">
        <v>18883127000161</v>
      </c>
      <c r="B14148" s="34" t="s">
        <v>26570</v>
      </c>
      <c r="C14148" s="34" t="s">
        <v>604</v>
      </c>
      <c r="E14148" s="30" t="s">
        <v>9302</v>
      </c>
      <c r="F14148" s="34" t="n">
        <f aca="false">IFERROR(VLOOKUP($A14148,'319'!$B:$H,7,0),0)</f>
        <v>0</v>
      </c>
      <c r="G14148" s="34" t="n">
        <f aca="false">SUMIFS('12.326ana'!$C:$C,'12.326ana'!$M:$M,redes!A14148)</f>
        <v>0</v>
      </c>
    </row>
    <row r="14149" customFormat="false" ht="14.4" hidden="true" customHeight="false" outlineLevel="0" collapsed="false">
      <c r="A14149" s="34" t="n">
        <v>18889778000169</v>
      </c>
      <c r="B14149" s="34" t="s">
        <v>26571</v>
      </c>
      <c r="C14149" s="34" t="s">
        <v>77</v>
      </c>
      <c r="E14149" s="30" t="s">
        <v>26572</v>
      </c>
      <c r="F14149" s="34" t="n">
        <f aca="false">IFERROR(VLOOKUP($A14149,'319'!$B:$H,7,0),0)</f>
        <v>0</v>
      </c>
      <c r="G14149" s="34" t="n">
        <f aca="false">SUMIFS('12.326ana'!$C:$C,'12.326ana'!$M:$M,redes!A14149)</f>
        <v>0</v>
      </c>
    </row>
    <row r="14150" customFormat="false" ht="14.4" hidden="true" customHeight="false" outlineLevel="0" collapsed="false">
      <c r="A14150" s="34" t="n">
        <v>18892682000150</v>
      </c>
      <c r="B14150" s="34" t="s">
        <v>26573</v>
      </c>
      <c r="C14150" s="34" t="s">
        <v>77</v>
      </c>
      <c r="E14150" s="30" t="s">
        <v>26574</v>
      </c>
      <c r="F14150" s="34" t="n">
        <f aca="false">IFERROR(VLOOKUP($A14150,'319'!$B:$H,7,0),0)</f>
        <v>0</v>
      </c>
      <c r="G14150" s="34" t="n">
        <f aca="false">SUMIFS('12.326ana'!$C:$C,'12.326ana'!$M:$M,redes!A14150)</f>
        <v>0</v>
      </c>
    </row>
    <row r="14151" customFormat="false" ht="14.4" hidden="true" customHeight="false" outlineLevel="0" collapsed="false">
      <c r="A14151" s="34" t="n">
        <v>18897982000121</v>
      </c>
      <c r="B14151" s="34" t="s">
        <v>26575</v>
      </c>
      <c r="C14151" s="34" t="s">
        <v>107</v>
      </c>
      <c r="E14151" s="30" t="s">
        <v>26576</v>
      </c>
      <c r="F14151" s="34" t="n">
        <f aca="false">IFERROR(VLOOKUP($A14151,'319'!$B:$H,7,0),0)</f>
        <v>0</v>
      </c>
      <c r="G14151" s="34" t="n">
        <f aca="false">SUMIFS('12.326ana'!$C:$C,'12.326ana'!$M:$M,redes!A14151)</f>
        <v>0</v>
      </c>
    </row>
    <row r="14152" customFormat="false" ht="14.4" hidden="true" customHeight="false" outlineLevel="0" collapsed="false">
      <c r="A14152" s="34" t="n">
        <v>18900810000160</v>
      </c>
      <c r="B14152" s="34" t="s">
        <v>26577</v>
      </c>
      <c r="C14152" s="34" t="s">
        <v>77</v>
      </c>
      <c r="E14152" s="30" t="s">
        <v>26578</v>
      </c>
      <c r="F14152" s="34" t="n">
        <f aca="false">IFERROR(VLOOKUP($A14152,'319'!$B:$H,7,0),0)</f>
        <v>0</v>
      </c>
      <c r="G14152" s="34" t="n">
        <f aca="false">SUMIFS('12.326ana'!$C:$C,'12.326ana'!$M:$M,redes!A14152)</f>
        <v>0</v>
      </c>
    </row>
    <row r="14153" customFormat="false" ht="14.4" hidden="true" customHeight="false" outlineLevel="0" collapsed="false">
      <c r="A14153" s="34" t="n">
        <v>18902745000101</v>
      </c>
      <c r="B14153" s="34" t="s">
        <v>26579</v>
      </c>
      <c r="C14153" s="34" t="s">
        <v>89</v>
      </c>
      <c r="E14153" s="30" t="s">
        <v>26580</v>
      </c>
      <c r="F14153" s="34" t="n">
        <f aca="false">IFERROR(VLOOKUP($A14153,'319'!$B:$H,7,0),0)</f>
        <v>0</v>
      </c>
      <c r="G14153" s="34" t="n">
        <f aca="false">SUMIFS('12.326ana'!$C:$C,'12.326ana'!$M:$M,redes!A14153)</f>
        <v>0</v>
      </c>
    </row>
    <row r="14154" customFormat="false" ht="14.4" hidden="true" customHeight="false" outlineLevel="0" collapsed="false">
      <c r="A14154" s="34" t="n">
        <v>18908596000198</v>
      </c>
      <c r="B14154" s="34" t="s">
        <v>26581</v>
      </c>
      <c r="C14154" s="34" t="s">
        <v>89</v>
      </c>
      <c r="E14154" s="30" t="s">
        <v>26582</v>
      </c>
      <c r="F14154" s="34" t="n">
        <f aca="false">IFERROR(VLOOKUP($A14154,'319'!$B:$H,7,0),0)</f>
        <v>0</v>
      </c>
      <c r="G14154" s="34" t="n">
        <f aca="false">SUMIFS('12.326ana'!$C:$C,'12.326ana'!$M:$M,redes!A14154)</f>
        <v>0</v>
      </c>
    </row>
    <row r="14155" customFormat="false" ht="14.4" hidden="true" customHeight="false" outlineLevel="0" collapsed="false">
      <c r="A14155" s="34" t="n">
        <v>18920555000117</v>
      </c>
      <c r="B14155" s="34" t="s">
        <v>26583</v>
      </c>
      <c r="C14155" s="34" t="s">
        <v>77</v>
      </c>
      <c r="E14155" s="30" t="s">
        <v>26584</v>
      </c>
      <c r="F14155" s="34" t="n">
        <f aca="false">IFERROR(VLOOKUP($A14155,'319'!$B:$H,7,0),0)</f>
        <v>0</v>
      </c>
      <c r="G14155" s="34" t="n">
        <f aca="false">SUMIFS('12.326ana'!$C:$C,'12.326ana'!$M:$M,redes!A14155)</f>
        <v>0</v>
      </c>
    </row>
    <row r="14156" customFormat="false" ht="14.4" hidden="true" customHeight="false" outlineLevel="0" collapsed="false">
      <c r="A14156" s="34" t="n">
        <v>18937661000103</v>
      </c>
      <c r="B14156" s="34" t="s">
        <v>26585</v>
      </c>
      <c r="C14156" s="34" t="s">
        <v>680</v>
      </c>
      <c r="E14156" s="30" t="s">
        <v>26586</v>
      </c>
      <c r="F14156" s="34" t="n">
        <f aca="false">IFERROR(VLOOKUP($A14156,'319'!$B:$H,7,0),0)</f>
        <v>0</v>
      </c>
      <c r="G14156" s="34" t="n">
        <f aca="false">SUMIFS('12.326ana'!$C:$C,'12.326ana'!$M:$M,redes!A14156)</f>
        <v>0</v>
      </c>
    </row>
    <row r="14157" customFormat="false" ht="14.4" hidden="true" customHeight="false" outlineLevel="0" collapsed="false">
      <c r="A14157" s="34" t="n">
        <v>18940425000146</v>
      </c>
      <c r="B14157" s="34" t="s">
        <v>26587</v>
      </c>
      <c r="C14157" s="34" t="s">
        <v>357</v>
      </c>
      <c r="E14157" s="30" t="s">
        <v>26588</v>
      </c>
      <c r="F14157" s="34" t="n">
        <f aca="false">IFERROR(VLOOKUP($A14157,'319'!$B:$H,7,0),0)</f>
        <v>0</v>
      </c>
      <c r="G14157" s="34" t="n">
        <f aca="false">SUMIFS('12.326ana'!$C:$C,'12.326ana'!$M:$M,redes!A14157)</f>
        <v>0</v>
      </c>
    </row>
    <row r="14158" customFormat="false" ht="14.4" hidden="true" customHeight="false" outlineLevel="0" collapsed="false">
      <c r="A14158" s="34" t="n">
        <v>18946274000133</v>
      </c>
      <c r="B14158" s="34" t="s">
        <v>26589</v>
      </c>
      <c r="C14158" s="34" t="s">
        <v>77</v>
      </c>
      <c r="E14158" s="30" t="s">
        <v>26590</v>
      </c>
      <c r="F14158" s="34" t="n">
        <f aca="false">IFERROR(VLOOKUP($A14158,'319'!$B:$H,7,0),0)</f>
        <v>0</v>
      </c>
      <c r="G14158" s="34" t="n">
        <f aca="false">SUMIFS('12.326ana'!$C:$C,'12.326ana'!$M:$M,redes!A14158)</f>
        <v>0</v>
      </c>
    </row>
    <row r="14159" customFormat="false" ht="14.4" hidden="true" customHeight="false" outlineLevel="0" collapsed="false">
      <c r="A14159" s="34" t="n">
        <v>18947284000193</v>
      </c>
      <c r="B14159" s="34" t="s">
        <v>26591</v>
      </c>
      <c r="C14159" s="34" t="s">
        <v>77</v>
      </c>
      <c r="E14159" s="30" t="s">
        <v>17763</v>
      </c>
      <c r="F14159" s="34" t="n">
        <f aca="false">IFERROR(VLOOKUP($A14159,'319'!$B:$H,7,0),0)</f>
        <v>0</v>
      </c>
      <c r="G14159" s="34" t="n">
        <f aca="false">SUMIFS('12.326ana'!$C:$C,'12.326ana'!$M:$M,redes!A14159)</f>
        <v>0</v>
      </c>
    </row>
    <row r="14160" customFormat="false" ht="14.4" hidden="true" customHeight="false" outlineLevel="0" collapsed="false">
      <c r="A14160" s="34" t="n">
        <v>18948837000122</v>
      </c>
      <c r="B14160" s="34" t="s">
        <v>26592</v>
      </c>
      <c r="C14160" s="34" t="s">
        <v>77</v>
      </c>
      <c r="E14160" s="30" t="s">
        <v>26593</v>
      </c>
      <c r="F14160" s="34" t="n">
        <f aca="false">IFERROR(VLOOKUP($A14160,'319'!$B:$H,7,0),0)</f>
        <v>0</v>
      </c>
      <c r="G14160" s="34" t="n">
        <f aca="false">SUMIFS('12.326ana'!$C:$C,'12.326ana'!$M:$M,redes!A14160)</f>
        <v>0</v>
      </c>
    </row>
    <row r="14161" customFormat="false" ht="14.4" hidden="true" customHeight="false" outlineLevel="0" collapsed="false">
      <c r="A14161" s="34" t="n">
        <v>18955908000114</v>
      </c>
      <c r="B14161" s="34" t="s">
        <v>26594</v>
      </c>
      <c r="C14161" s="34" t="s">
        <v>737</v>
      </c>
      <c r="E14161" s="30" t="s">
        <v>26595</v>
      </c>
      <c r="F14161" s="34" t="n">
        <f aca="false">IFERROR(VLOOKUP($A14161,'319'!$B:$H,7,0),0)</f>
        <v>0</v>
      </c>
      <c r="G14161" s="34" t="n">
        <f aca="false">SUMIFS('12.326ana'!$C:$C,'12.326ana'!$M:$M,redes!A14161)</f>
        <v>0</v>
      </c>
    </row>
    <row r="14162" customFormat="false" ht="14.4" hidden="true" customHeight="false" outlineLevel="0" collapsed="false">
      <c r="A14162" s="34" t="n">
        <v>18956372000151</v>
      </c>
      <c r="B14162" s="34" t="s">
        <v>26596</v>
      </c>
      <c r="C14162" s="34" t="s">
        <v>377</v>
      </c>
      <c r="E14162" s="30" t="s">
        <v>26597</v>
      </c>
      <c r="F14162" s="34" t="n">
        <f aca="false">IFERROR(VLOOKUP($A14162,'319'!$B:$H,7,0),0)</f>
        <v>0</v>
      </c>
      <c r="G14162" s="34" t="n">
        <f aca="false">SUMIFS('12.326ana'!$C:$C,'12.326ana'!$M:$M,redes!A14162)</f>
        <v>0</v>
      </c>
    </row>
    <row r="14163" customFormat="false" ht="14.4" hidden="true" customHeight="false" outlineLevel="0" collapsed="false">
      <c r="A14163" s="34" t="n">
        <v>18957305000151</v>
      </c>
      <c r="B14163" s="34" t="s">
        <v>26598</v>
      </c>
      <c r="C14163" s="34" t="s">
        <v>77</v>
      </c>
      <c r="E14163" s="30" t="s">
        <v>3588</v>
      </c>
      <c r="F14163" s="34" t="n">
        <f aca="false">IFERROR(VLOOKUP($A14163,'319'!$B:$H,7,0),0)</f>
        <v>0</v>
      </c>
      <c r="G14163" s="34" t="n">
        <f aca="false">SUMIFS('12.326ana'!$C:$C,'12.326ana'!$M:$M,redes!A14163)</f>
        <v>0</v>
      </c>
    </row>
    <row r="14164" customFormat="false" ht="14.4" hidden="true" customHeight="false" outlineLevel="0" collapsed="false">
      <c r="A14164" s="34" t="n">
        <v>18959647000100</v>
      </c>
      <c r="B14164" s="34" t="s">
        <v>26599</v>
      </c>
      <c r="C14164" s="34" t="s">
        <v>737</v>
      </c>
      <c r="E14164" s="30" t="s">
        <v>26600</v>
      </c>
      <c r="F14164" s="34" t="n">
        <f aca="false">IFERROR(VLOOKUP($A14164,'319'!$B:$H,7,0),0)</f>
        <v>0</v>
      </c>
      <c r="G14164" s="34" t="n">
        <f aca="false">SUMIFS('12.326ana'!$C:$C,'12.326ana'!$M:$M,redes!A14164)</f>
        <v>0</v>
      </c>
    </row>
    <row r="14165" customFormat="false" ht="14.4" hidden="true" customHeight="false" outlineLevel="0" collapsed="false">
      <c r="A14165" s="34" t="n">
        <v>18967189000151</v>
      </c>
      <c r="B14165" s="34" t="s">
        <v>26601</v>
      </c>
      <c r="C14165" s="34" t="s">
        <v>89</v>
      </c>
      <c r="E14165" s="30" t="s">
        <v>26602</v>
      </c>
      <c r="F14165" s="34" t="n">
        <f aca="false">IFERROR(VLOOKUP($A14165,'319'!$B:$H,7,0),0)</f>
        <v>0</v>
      </c>
      <c r="G14165" s="34" t="n">
        <f aca="false">SUMIFS('12.326ana'!$C:$C,'12.326ana'!$M:$M,redes!A14165)</f>
        <v>0</v>
      </c>
    </row>
    <row r="14166" customFormat="false" ht="14.4" hidden="true" customHeight="false" outlineLevel="0" collapsed="false">
      <c r="A14166" s="34" t="n">
        <v>18969273000104</v>
      </c>
      <c r="B14166" s="34" t="s">
        <v>26603</v>
      </c>
      <c r="C14166" s="34" t="s">
        <v>77</v>
      </c>
      <c r="E14166" s="30" t="s">
        <v>26604</v>
      </c>
      <c r="F14166" s="34" t="n">
        <f aca="false">IFERROR(VLOOKUP($A14166,'319'!$B:$H,7,0),0)</f>
        <v>0</v>
      </c>
      <c r="G14166" s="34" t="n">
        <f aca="false">SUMIFS('12.326ana'!$C:$C,'12.326ana'!$M:$M,redes!A14166)</f>
        <v>0</v>
      </c>
    </row>
    <row r="14167" customFormat="false" ht="14.4" hidden="true" customHeight="false" outlineLevel="0" collapsed="false">
      <c r="A14167" s="34" t="n">
        <v>18977724000155</v>
      </c>
      <c r="B14167" s="34" t="s">
        <v>26605</v>
      </c>
      <c r="C14167" s="34" t="s">
        <v>77</v>
      </c>
      <c r="E14167" s="30" t="s">
        <v>4552</v>
      </c>
      <c r="F14167" s="34" t="n">
        <f aca="false">IFERROR(VLOOKUP($A14167,'319'!$B:$H,7,0),0)</f>
        <v>0</v>
      </c>
      <c r="G14167" s="34" t="n">
        <f aca="false">SUMIFS('12.326ana'!$C:$C,'12.326ana'!$M:$M,redes!A14167)</f>
        <v>0</v>
      </c>
    </row>
    <row r="14168" customFormat="false" ht="14.4" hidden="true" customHeight="false" outlineLevel="0" collapsed="false">
      <c r="A14168" s="34" t="n">
        <v>18983322000163</v>
      </c>
      <c r="B14168" s="34" t="s">
        <v>26606</v>
      </c>
      <c r="C14168" s="34" t="s">
        <v>107</v>
      </c>
      <c r="E14168" s="30" t="s">
        <v>26607</v>
      </c>
      <c r="F14168" s="34" t="n">
        <f aca="false">IFERROR(VLOOKUP($A14168,'319'!$B:$H,7,0),0)</f>
        <v>0</v>
      </c>
      <c r="G14168" s="34" t="n">
        <f aca="false">SUMIFS('12.326ana'!$C:$C,'12.326ana'!$M:$M,redes!A14168)</f>
        <v>0</v>
      </c>
    </row>
    <row r="14169" customFormat="false" ht="14.4" hidden="true" customHeight="false" outlineLevel="0" collapsed="false">
      <c r="A14169" s="34" t="n">
        <v>18983473000111</v>
      </c>
      <c r="B14169" s="34" t="s">
        <v>26608</v>
      </c>
      <c r="C14169" s="34" t="s">
        <v>565</v>
      </c>
      <c r="E14169" s="30" t="s">
        <v>26609</v>
      </c>
      <c r="F14169" s="34" t="n">
        <f aca="false">IFERROR(VLOOKUP($A14169,'319'!$B:$H,7,0),0)</f>
        <v>0</v>
      </c>
      <c r="G14169" s="34" t="n">
        <f aca="false">SUMIFS('12.326ana'!$C:$C,'12.326ana'!$M:$M,redes!A14169)</f>
        <v>0</v>
      </c>
    </row>
    <row r="14170" customFormat="false" ht="14.4" hidden="true" customHeight="false" outlineLevel="0" collapsed="false">
      <c r="A14170" s="34" t="n">
        <v>18984466000134</v>
      </c>
      <c r="B14170" s="34" t="s">
        <v>26610</v>
      </c>
      <c r="C14170" s="34" t="s">
        <v>77</v>
      </c>
      <c r="E14170" s="30" t="s">
        <v>12941</v>
      </c>
      <c r="F14170" s="34" t="n">
        <f aca="false">IFERROR(VLOOKUP($A14170,'319'!$B:$H,7,0),0)</f>
        <v>0</v>
      </c>
      <c r="G14170" s="34" t="n">
        <f aca="false">SUMIFS('12.326ana'!$C:$C,'12.326ana'!$M:$M,redes!A14170)</f>
        <v>0</v>
      </c>
    </row>
    <row r="14171" customFormat="false" ht="14.4" hidden="true" customHeight="false" outlineLevel="0" collapsed="false">
      <c r="A14171" s="34" t="n">
        <v>18993335000113</v>
      </c>
      <c r="B14171" s="34" t="s">
        <v>26611</v>
      </c>
      <c r="C14171" s="34" t="s">
        <v>139</v>
      </c>
      <c r="E14171" s="30" t="s">
        <v>26612</v>
      </c>
      <c r="F14171" s="34" t="n">
        <f aca="false">IFERROR(VLOOKUP($A14171,'319'!$B:$H,7,0),0)</f>
        <v>0</v>
      </c>
      <c r="G14171" s="34" t="n">
        <f aca="false">SUMIFS('12.326ana'!$C:$C,'12.326ana'!$M:$M,redes!A14171)</f>
        <v>0</v>
      </c>
    </row>
    <row r="14172" customFormat="false" ht="14.4" hidden="true" customHeight="false" outlineLevel="0" collapsed="false">
      <c r="A14172" s="34" t="n">
        <v>18997269000150</v>
      </c>
      <c r="B14172" s="34" t="s">
        <v>26613</v>
      </c>
      <c r="C14172" s="34" t="s">
        <v>77</v>
      </c>
      <c r="E14172" s="30" t="s">
        <v>26614</v>
      </c>
      <c r="F14172" s="34" t="n">
        <f aca="false">IFERROR(VLOOKUP($A14172,'319'!$B:$H,7,0),0)</f>
        <v>0</v>
      </c>
      <c r="G14172" s="34" t="n">
        <f aca="false">SUMIFS('12.326ana'!$C:$C,'12.326ana'!$M:$M,redes!A14172)</f>
        <v>0</v>
      </c>
    </row>
    <row r="14173" customFormat="false" ht="14.4" hidden="true" customHeight="false" outlineLevel="0" collapsed="false">
      <c r="A14173" s="34" t="n">
        <v>18998221000166</v>
      </c>
      <c r="B14173" s="34" t="s">
        <v>26615</v>
      </c>
      <c r="C14173" s="34" t="s">
        <v>737</v>
      </c>
      <c r="E14173" s="30" t="s">
        <v>26616</v>
      </c>
      <c r="F14173" s="34" t="n">
        <f aca="false">IFERROR(VLOOKUP($A14173,'319'!$B:$H,7,0),0)</f>
        <v>0</v>
      </c>
      <c r="G14173" s="34" t="n">
        <f aca="false">SUMIFS('12.326ana'!$C:$C,'12.326ana'!$M:$M,redes!A14173)</f>
        <v>0</v>
      </c>
    </row>
    <row r="14174" customFormat="false" ht="14.4" hidden="true" customHeight="false" outlineLevel="0" collapsed="false">
      <c r="A14174" s="34" t="n">
        <v>18998223000155</v>
      </c>
      <c r="B14174" s="34" t="s">
        <v>26617</v>
      </c>
      <c r="C14174" s="34" t="s">
        <v>77</v>
      </c>
      <c r="E14174" s="30" t="s">
        <v>26618</v>
      </c>
      <c r="F14174" s="34" t="n">
        <f aca="false">IFERROR(VLOOKUP($A14174,'319'!$B:$H,7,0),0)</f>
        <v>0</v>
      </c>
      <c r="G14174" s="34" t="n">
        <f aca="false">SUMIFS('12.326ana'!$C:$C,'12.326ana'!$M:$M,redes!A14174)</f>
        <v>0</v>
      </c>
    </row>
    <row r="14175" customFormat="false" ht="14.4" hidden="true" customHeight="false" outlineLevel="0" collapsed="false">
      <c r="A14175" s="34" t="n">
        <v>19002036000132</v>
      </c>
      <c r="B14175" s="34" t="s">
        <v>26619</v>
      </c>
      <c r="C14175" s="34" t="s">
        <v>77</v>
      </c>
      <c r="E14175" s="30" t="s">
        <v>26620</v>
      </c>
      <c r="F14175" s="34" t="n">
        <f aca="false">IFERROR(VLOOKUP($A14175,'319'!$B:$H,7,0),0)</f>
        <v>0</v>
      </c>
      <c r="G14175" s="34" t="n">
        <f aca="false">SUMIFS('12.326ana'!$C:$C,'12.326ana'!$M:$M,redes!A14175)</f>
        <v>0</v>
      </c>
    </row>
    <row r="14176" customFormat="false" ht="14.4" hidden="true" customHeight="false" outlineLevel="0" collapsed="false">
      <c r="A14176" s="34" t="n">
        <v>19019643000105</v>
      </c>
      <c r="B14176" s="34" t="s">
        <v>26621</v>
      </c>
      <c r="C14176" s="34" t="s">
        <v>77</v>
      </c>
      <c r="E14176" s="30" t="s">
        <v>26622</v>
      </c>
      <c r="F14176" s="34" t="n">
        <f aca="false">IFERROR(VLOOKUP($A14176,'319'!$B:$H,7,0),0)</f>
        <v>0</v>
      </c>
      <c r="G14176" s="34" t="n">
        <f aca="false">SUMIFS('12.326ana'!$C:$C,'12.326ana'!$M:$M,redes!A14176)</f>
        <v>0</v>
      </c>
    </row>
    <row r="14177" customFormat="false" ht="14.4" hidden="true" customHeight="false" outlineLevel="0" collapsed="false">
      <c r="A14177" s="34" t="n">
        <v>19022017000178</v>
      </c>
      <c r="B14177" s="34" t="s">
        <v>26623</v>
      </c>
      <c r="C14177" s="34" t="s">
        <v>77</v>
      </c>
      <c r="E14177" s="30" t="s">
        <v>26624</v>
      </c>
      <c r="F14177" s="34" t="n">
        <f aca="false">IFERROR(VLOOKUP($A14177,'319'!$B:$H,7,0),0)</f>
        <v>0</v>
      </c>
      <c r="G14177" s="34" t="n">
        <f aca="false">SUMIFS('12.326ana'!$C:$C,'12.326ana'!$M:$M,redes!A14177)</f>
        <v>0</v>
      </c>
    </row>
    <row r="14178" customFormat="false" ht="14.4" hidden="true" customHeight="false" outlineLevel="0" collapsed="false">
      <c r="A14178" s="34" t="n">
        <v>19026394000185</v>
      </c>
      <c r="B14178" s="34" t="s">
        <v>26625</v>
      </c>
      <c r="C14178" s="34" t="s">
        <v>309</v>
      </c>
      <c r="E14178" s="30" t="s">
        <v>26626</v>
      </c>
      <c r="F14178" s="34" t="n">
        <f aca="false">IFERROR(VLOOKUP($A14178,'319'!$B:$H,7,0),0)</f>
        <v>0</v>
      </c>
      <c r="G14178" s="34" t="n">
        <f aca="false">SUMIFS('12.326ana'!$C:$C,'12.326ana'!$M:$M,redes!A14178)</f>
        <v>0</v>
      </c>
    </row>
    <row r="14179" customFormat="false" ht="14.4" hidden="true" customHeight="false" outlineLevel="0" collapsed="false">
      <c r="A14179" s="34" t="n">
        <v>19027744000128</v>
      </c>
      <c r="B14179" s="34" t="s">
        <v>26627</v>
      </c>
      <c r="C14179" s="34" t="s">
        <v>107</v>
      </c>
      <c r="E14179" s="30" t="s">
        <v>3644</v>
      </c>
      <c r="F14179" s="34" t="n">
        <f aca="false">IFERROR(VLOOKUP($A14179,'319'!$B:$H,7,0),0)</f>
        <v>0</v>
      </c>
      <c r="G14179" s="34" t="n">
        <f aca="false">SUMIFS('12.326ana'!$C:$C,'12.326ana'!$M:$M,redes!A14179)</f>
        <v>0</v>
      </c>
    </row>
    <row r="14180" customFormat="false" ht="14.4" hidden="true" customHeight="false" outlineLevel="0" collapsed="false">
      <c r="A14180" s="34" t="n">
        <v>19029516000197</v>
      </c>
      <c r="B14180" s="34" t="s">
        <v>26628</v>
      </c>
      <c r="C14180" s="34" t="s">
        <v>309</v>
      </c>
      <c r="E14180" s="30" t="s">
        <v>26629</v>
      </c>
      <c r="F14180" s="34" t="n">
        <f aca="false">IFERROR(VLOOKUP($A14180,'319'!$B:$H,7,0),0)</f>
        <v>0</v>
      </c>
      <c r="G14180" s="34" t="n">
        <f aca="false">SUMIFS('12.326ana'!$C:$C,'12.326ana'!$M:$M,redes!A14180)</f>
        <v>0</v>
      </c>
    </row>
    <row r="14181" customFormat="false" ht="14.4" hidden="true" customHeight="false" outlineLevel="0" collapsed="false">
      <c r="A14181" s="34" t="n">
        <v>19029516000278</v>
      </c>
      <c r="B14181" s="34" t="s">
        <v>26630</v>
      </c>
      <c r="C14181" s="34" t="s">
        <v>309</v>
      </c>
      <c r="E14181" s="30" t="s">
        <v>26631</v>
      </c>
      <c r="F14181" s="34" t="n">
        <f aca="false">IFERROR(VLOOKUP($A14181,'319'!$B:$H,7,0),0)</f>
        <v>250.33</v>
      </c>
      <c r="G14181" s="34" t="n">
        <f aca="false">SUMIFS('12.326ana'!$C:$C,'12.326ana'!$M:$M,redes!A14181)</f>
        <v>0</v>
      </c>
    </row>
    <row r="14182" customFormat="false" ht="14.4" hidden="true" customHeight="false" outlineLevel="0" collapsed="false">
      <c r="A14182" s="34" t="n">
        <v>19037271000140</v>
      </c>
      <c r="B14182" s="34" t="s">
        <v>26632</v>
      </c>
      <c r="C14182" s="34" t="s">
        <v>4261</v>
      </c>
      <c r="E14182" s="30" t="s">
        <v>26633</v>
      </c>
      <c r="F14182" s="34" t="n">
        <f aca="false">IFERROR(VLOOKUP($A14182,'319'!$B:$H,7,0),0)</f>
        <v>0</v>
      </c>
      <c r="G14182" s="34" t="n">
        <f aca="false">SUMIFS('12.326ana'!$C:$C,'12.326ana'!$M:$M,redes!A14182)</f>
        <v>0</v>
      </c>
    </row>
    <row r="14183" customFormat="false" ht="14.4" hidden="true" customHeight="false" outlineLevel="0" collapsed="false">
      <c r="A14183" s="34" t="n">
        <v>19039851000176</v>
      </c>
      <c r="B14183" s="34" t="s">
        <v>3171</v>
      </c>
      <c r="C14183" s="34" t="s">
        <v>77</v>
      </c>
      <c r="E14183" s="30" t="s">
        <v>26634</v>
      </c>
      <c r="F14183" s="34" t="n">
        <f aca="false">IFERROR(VLOOKUP($A14183,'319'!$B:$H,7,0),0)</f>
        <v>0</v>
      </c>
      <c r="G14183" s="34" t="n">
        <f aca="false">SUMIFS('12.326ana'!$C:$C,'12.326ana'!$M:$M,redes!A14183)</f>
        <v>0</v>
      </c>
    </row>
    <row r="14184" customFormat="false" ht="14.4" hidden="true" customHeight="false" outlineLevel="0" collapsed="false">
      <c r="A14184" s="34" t="n">
        <v>19061627000180</v>
      </c>
      <c r="B14184" s="34" t="s">
        <v>26635</v>
      </c>
      <c r="C14184" s="34" t="s">
        <v>77</v>
      </c>
      <c r="E14184" s="30" t="s">
        <v>26636</v>
      </c>
      <c r="F14184" s="34" t="n">
        <f aca="false">IFERROR(VLOOKUP($A14184,'319'!$B:$H,7,0),0)</f>
        <v>0</v>
      </c>
      <c r="G14184" s="34" t="n">
        <f aca="false">SUMIFS('12.326ana'!$C:$C,'12.326ana'!$M:$M,redes!A14184)</f>
        <v>0</v>
      </c>
    </row>
    <row r="14185" customFormat="false" ht="14.4" hidden="true" customHeight="false" outlineLevel="0" collapsed="false">
      <c r="A14185" s="34" t="n">
        <v>19071543000128</v>
      </c>
      <c r="B14185" s="34" t="s">
        <v>26637</v>
      </c>
      <c r="C14185" s="34" t="s">
        <v>107</v>
      </c>
      <c r="E14185" s="30" t="s">
        <v>26638</v>
      </c>
      <c r="F14185" s="34" t="n">
        <f aca="false">IFERROR(VLOOKUP($A14185,'319'!$B:$H,7,0),0)</f>
        <v>0</v>
      </c>
      <c r="G14185" s="34" t="n">
        <f aca="false">SUMIFS('12.326ana'!$C:$C,'12.326ana'!$M:$M,redes!A14185)</f>
        <v>0</v>
      </c>
    </row>
    <row r="14186" customFormat="false" ht="14.4" hidden="true" customHeight="false" outlineLevel="0" collapsed="false">
      <c r="A14186" s="34" t="n">
        <v>19077872000186</v>
      </c>
      <c r="B14186" s="34" t="s">
        <v>26639</v>
      </c>
      <c r="C14186" s="34" t="s">
        <v>781</v>
      </c>
      <c r="E14186" s="30" t="s">
        <v>26640</v>
      </c>
      <c r="F14186" s="34" t="n">
        <f aca="false">IFERROR(VLOOKUP($A14186,'319'!$B:$H,7,0),0)</f>
        <v>0</v>
      </c>
      <c r="G14186" s="34" t="n">
        <f aca="false">SUMIFS('12.326ana'!$C:$C,'12.326ana'!$M:$M,redes!A14186)</f>
        <v>0</v>
      </c>
    </row>
    <row r="14187" customFormat="false" ht="14.4" hidden="true" customHeight="false" outlineLevel="0" collapsed="false">
      <c r="A14187" s="34" t="n">
        <v>19077872000267</v>
      </c>
      <c r="B14187" s="34" t="s">
        <v>26639</v>
      </c>
      <c r="C14187" s="34" t="s">
        <v>781</v>
      </c>
      <c r="E14187" s="30" t="s">
        <v>26639</v>
      </c>
      <c r="F14187" s="34" t="n">
        <f aca="false">IFERROR(VLOOKUP($A14187,'319'!$B:$H,7,0),0)</f>
        <v>0</v>
      </c>
      <c r="G14187" s="34" t="n">
        <f aca="false">SUMIFS('12.326ana'!$C:$C,'12.326ana'!$M:$M,redes!A14187)</f>
        <v>0</v>
      </c>
    </row>
    <row r="14188" customFormat="false" ht="14.4" hidden="true" customHeight="false" outlineLevel="0" collapsed="false">
      <c r="A14188" s="34" t="n">
        <v>19079539000106</v>
      </c>
      <c r="B14188" s="34" t="s">
        <v>26641</v>
      </c>
      <c r="C14188" s="34" t="s">
        <v>464</v>
      </c>
      <c r="E14188" s="30" t="s">
        <v>3143</v>
      </c>
      <c r="F14188" s="34" t="n">
        <f aca="false">IFERROR(VLOOKUP($A14188,'319'!$B:$H,7,0),0)</f>
        <v>184.05</v>
      </c>
      <c r="G14188" s="34" t="n">
        <f aca="false">SUMIFS('12.326ana'!$C:$C,'12.326ana'!$M:$M,redes!A14188)</f>
        <v>0</v>
      </c>
    </row>
    <row r="14189" customFormat="false" ht="14.4" hidden="true" customHeight="false" outlineLevel="0" collapsed="false">
      <c r="A14189" s="34" t="n">
        <v>19086814000119</v>
      </c>
      <c r="B14189" s="34" t="s">
        <v>26642</v>
      </c>
      <c r="C14189" s="34" t="s">
        <v>3594</v>
      </c>
      <c r="E14189" s="30" t="s">
        <v>26643</v>
      </c>
      <c r="F14189" s="34" t="n">
        <f aca="false">IFERROR(VLOOKUP($A14189,'319'!$B:$H,7,0),0)</f>
        <v>0</v>
      </c>
      <c r="G14189" s="34" t="n">
        <f aca="false">SUMIFS('12.326ana'!$C:$C,'12.326ana'!$M:$M,redes!A14189)</f>
        <v>0</v>
      </c>
    </row>
    <row r="14190" customFormat="false" ht="14.4" hidden="true" customHeight="false" outlineLevel="0" collapsed="false">
      <c r="A14190" s="34" t="n">
        <v>19087445000189</v>
      </c>
      <c r="B14190" s="34" t="s">
        <v>26644</v>
      </c>
      <c r="C14190" s="34" t="s">
        <v>473</v>
      </c>
      <c r="E14190" s="30" t="s">
        <v>26645</v>
      </c>
      <c r="F14190" s="34" t="n">
        <f aca="false">IFERROR(VLOOKUP($A14190,'319'!$B:$H,7,0),0)</f>
        <v>0</v>
      </c>
      <c r="G14190" s="34" t="n">
        <f aca="false">SUMIFS('12.326ana'!$C:$C,'12.326ana'!$M:$M,redes!A14190)</f>
        <v>0</v>
      </c>
    </row>
    <row r="14191" customFormat="false" ht="14.4" hidden="true" customHeight="false" outlineLevel="0" collapsed="false">
      <c r="A14191" s="34" t="n">
        <v>19088260000199</v>
      </c>
      <c r="B14191" s="34" t="s">
        <v>26646</v>
      </c>
      <c r="C14191" s="34" t="s">
        <v>357</v>
      </c>
      <c r="D14191" s="34" t="s">
        <v>26647</v>
      </c>
      <c r="E14191" s="30" t="s">
        <v>26648</v>
      </c>
      <c r="F14191" s="34" t="n">
        <f aca="false">IFERROR(VLOOKUP($A14191,'319'!$B:$H,7,0),0)</f>
        <v>12734.42</v>
      </c>
      <c r="G14191" s="34" t="n">
        <f aca="false">SUMIFS('12.326ana'!$C:$C,'12.326ana'!$M:$M,redes!A14191)</f>
        <v>3816.01</v>
      </c>
    </row>
    <row r="14192" customFormat="false" ht="14.4" hidden="true" customHeight="false" outlineLevel="0" collapsed="false">
      <c r="A14192" s="34" t="n">
        <v>19100404000185</v>
      </c>
      <c r="B14192" s="34" t="s">
        <v>26649</v>
      </c>
      <c r="C14192" s="34" t="s">
        <v>107</v>
      </c>
      <c r="E14192" s="30" t="s">
        <v>26650</v>
      </c>
      <c r="F14192" s="34" t="n">
        <f aca="false">IFERROR(VLOOKUP($A14192,'319'!$B:$H,7,0),0)</f>
        <v>0</v>
      </c>
      <c r="G14192" s="34" t="n">
        <f aca="false">SUMIFS('12.326ana'!$C:$C,'12.326ana'!$M:$M,redes!A14192)</f>
        <v>0</v>
      </c>
    </row>
    <row r="14193" customFormat="false" ht="14.4" hidden="true" customHeight="false" outlineLevel="0" collapsed="false">
      <c r="A14193" s="34" t="n">
        <v>19111795000133</v>
      </c>
      <c r="B14193" s="34" t="s">
        <v>26651</v>
      </c>
      <c r="C14193" s="34" t="s">
        <v>604</v>
      </c>
      <c r="E14193" s="30" t="s">
        <v>26652</v>
      </c>
      <c r="F14193" s="34" t="n">
        <f aca="false">IFERROR(VLOOKUP($A14193,'319'!$B:$H,7,0),0)</f>
        <v>0</v>
      </c>
      <c r="G14193" s="34" t="n">
        <f aca="false">SUMIFS('12.326ana'!$C:$C,'12.326ana'!$M:$M,redes!A14193)</f>
        <v>0</v>
      </c>
    </row>
    <row r="14194" customFormat="false" ht="14.4" hidden="true" customHeight="false" outlineLevel="0" collapsed="false">
      <c r="A14194" s="34" t="n">
        <v>19113114000176</v>
      </c>
      <c r="B14194" s="34" t="s">
        <v>26653</v>
      </c>
      <c r="C14194" s="34" t="s">
        <v>448</v>
      </c>
      <c r="E14194" s="30" t="s">
        <v>26653</v>
      </c>
      <c r="F14194" s="34" t="n">
        <f aca="false">IFERROR(VLOOKUP($A14194,'319'!$B:$H,7,0),0)</f>
        <v>0</v>
      </c>
      <c r="G14194" s="34" t="n">
        <f aca="false">SUMIFS('12.326ana'!$C:$C,'12.326ana'!$M:$M,redes!A14194)</f>
        <v>0</v>
      </c>
    </row>
    <row r="14195" customFormat="false" ht="14.4" hidden="true" customHeight="false" outlineLevel="0" collapsed="false">
      <c r="A14195" s="34" t="n">
        <v>19131346000157</v>
      </c>
      <c r="B14195" s="34" t="s">
        <v>26654</v>
      </c>
      <c r="C14195" s="34" t="s">
        <v>89</v>
      </c>
      <c r="E14195" s="30" t="s">
        <v>26655</v>
      </c>
      <c r="F14195" s="34" t="n">
        <f aca="false">IFERROR(VLOOKUP($A14195,'319'!$B:$H,7,0),0)</f>
        <v>0</v>
      </c>
      <c r="G14195" s="34" t="n">
        <f aca="false">SUMIFS('12.326ana'!$C:$C,'12.326ana'!$M:$M,redes!A14195)</f>
        <v>0</v>
      </c>
    </row>
    <row r="14196" customFormat="false" ht="14.4" hidden="true" customHeight="false" outlineLevel="0" collapsed="false">
      <c r="A14196" s="34" t="n">
        <v>19137517000155</v>
      </c>
      <c r="B14196" s="34" t="s">
        <v>26656</v>
      </c>
      <c r="C14196" s="34" t="s">
        <v>107</v>
      </c>
      <c r="E14196" s="30" t="s">
        <v>26657</v>
      </c>
      <c r="F14196" s="34" t="n">
        <f aca="false">IFERROR(VLOOKUP($A14196,'319'!$B:$H,7,0),0)</f>
        <v>0</v>
      </c>
      <c r="G14196" s="34" t="n">
        <f aca="false">SUMIFS('12.326ana'!$C:$C,'12.326ana'!$M:$M,redes!A14196)</f>
        <v>0</v>
      </c>
    </row>
    <row r="14197" customFormat="false" ht="14.4" hidden="true" customHeight="false" outlineLevel="0" collapsed="false">
      <c r="A14197" s="34" t="n">
        <v>19139130000138</v>
      </c>
      <c r="B14197" s="34" t="s">
        <v>26658</v>
      </c>
      <c r="C14197" s="34" t="s">
        <v>342</v>
      </c>
      <c r="E14197" s="30" t="s">
        <v>26659</v>
      </c>
      <c r="F14197" s="34" t="n">
        <f aca="false">IFERROR(VLOOKUP($A14197,'319'!$B:$H,7,0),0)</f>
        <v>0</v>
      </c>
      <c r="G14197" s="34" t="n">
        <f aca="false">SUMIFS('12.326ana'!$C:$C,'12.326ana'!$M:$M,redes!A14197)</f>
        <v>0</v>
      </c>
    </row>
    <row r="14198" customFormat="false" ht="14.4" hidden="true" customHeight="false" outlineLevel="0" collapsed="false">
      <c r="A14198" s="34" t="n">
        <v>19139137000150</v>
      </c>
      <c r="B14198" s="34" t="s">
        <v>26660</v>
      </c>
      <c r="C14198" s="34" t="s">
        <v>77</v>
      </c>
      <c r="E14198" s="30" t="s">
        <v>26661</v>
      </c>
      <c r="F14198" s="34" t="n">
        <f aca="false">IFERROR(VLOOKUP($A14198,'319'!$B:$H,7,0),0)</f>
        <v>0</v>
      </c>
      <c r="G14198" s="34" t="n">
        <f aca="false">SUMIFS('12.326ana'!$C:$C,'12.326ana'!$M:$M,redes!A14198)</f>
        <v>0</v>
      </c>
    </row>
    <row r="14199" customFormat="false" ht="14.4" hidden="true" customHeight="false" outlineLevel="0" collapsed="false">
      <c r="A14199" s="34" t="n">
        <v>19139234000142</v>
      </c>
      <c r="B14199" s="34" t="s">
        <v>1219</v>
      </c>
      <c r="C14199" s="34" t="s">
        <v>464</v>
      </c>
      <c r="E14199" s="30" t="s">
        <v>26662</v>
      </c>
      <c r="F14199" s="34" t="n">
        <f aca="false">IFERROR(VLOOKUP($A14199,'319'!$B:$H,7,0),0)</f>
        <v>308.91</v>
      </c>
      <c r="G14199" s="34" t="n">
        <f aca="false">SUMIFS('12.326ana'!$C:$C,'12.326ana'!$M:$M,redes!A14199)</f>
        <v>0</v>
      </c>
    </row>
    <row r="14200" customFormat="false" ht="14.4" hidden="true" customHeight="false" outlineLevel="0" collapsed="false">
      <c r="A14200" s="34" t="n">
        <v>19140140000193</v>
      </c>
      <c r="B14200" s="34" t="s">
        <v>26663</v>
      </c>
      <c r="C14200" s="34" t="s">
        <v>89</v>
      </c>
      <c r="E14200" s="30" t="s">
        <v>26664</v>
      </c>
      <c r="F14200" s="34" t="n">
        <f aca="false">IFERROR(VLOOKUP($A14200,'319'!$B:$H,7,0),0)</f>
        <v>0</v>
      </c>
      <c r="G14200" s="34" t="n">
        <f aca="false">SUMIFS('12.326ana'!$C:$C,'12.326ana'!$M:$M,redes!A14200)</f>
        <v>0</v>
      </c>
    </row>
    <row r="14201" customFormat="false" ht="14.4" hidden="true" customHeight="false" outlineLevel="0" collapsed="false">
      <c r="A14201" s="34" t="n">
        <v>19144380000166</v>
      </c>
      <c r="B14201" s="34" t="s">
        <v>26665</v>
      </c>
      <c r="C14201" s="34" t="s">
        <v>809</v>
      </c>
      <c r="E14201" s="30" t="s">
        <v>26666</v>
      </c>
      <c r="F14201" s="34" t="n">
        <f aca="false">IFERROR(VLOOKUP($A14201,'319'!$B:$H,7,0),0)</f>
        <v>0</v>
      </c>
      <c r="G14201" s="34" t="n">
        <f aca="false">SUMIFS('12.326ana'!$C:$C,'12.326ana'!$M:$M,redes!A14201)</f>
        <v>0</v>
      </c>
    </row>
    <row r="14202" customFormat="false" ht="14.4" hidden="true" customHeight="false" outlineLevel="0" collapsed="false">
      <c r="A14202" s="34" t="n">
        <v>19167258000105</v>
      </c>
      <c r="B14202" s="34" t="s">
        <v>26667</v>
      </c>
      <c r="C14202" s="34" t="s">
        <v>89</v>
      </c>
      <c r="E14202" s="30" t="s">
        <v>26668</v>
      </c>
      <c r="F14202" s="34" t="n">
        <f aca="false">IFERROR(VLOOKUP($A14202,'319'!$B:$H,7,0),0)</f>
        <v>0</v>
      </c>
      <c r="G14202" s="34" t="n">
        <f aca="false">SUMIFS('12.326ana'!$C:$C,'12.326ana'!$M:$M,redes!A14202)</f>
        <v>0</v>
      </c>
    </row>
    <row r="14203" customFormat="false" ht="14.4" hidden="true" customHeight="false" outlineLevel="0" collapsed="false">
      <c r="A14203" s="34" t="n">
        <v>19171634000135</v>
      </c>
      <c r="B14203" s="34" t="s">
        <v>26669</v>
      </c>
      <c r="C14203" s="34" t="s">
        <v>103</v>
      </c>
      <c r="E14203" s="30" t="s">
        <v>26670</v>
      </c>
      <c r="F14203" s="34" t="n">
        <f aca="false">IFERROR(VLOOKUP($A14203,'319'!$B:$H,7,0),0)</f>
        <v>0</v>
      </c>
      <c r="G14203" s="34" t="n">
        <f aca="false">SUMIFS('12.326ana'!$C:$C,'12.326ana'!$M:$M,redes!A14203)</f>
        <v>0</v>
      </c>
    </row>
    <row r="14204" customFormat="false" ht="14.4" hidden="true" customHeight="false" outlineLevel="0" collapsed="false">
      <c r="A14204" s="34" t="n">
        <v>19218567000167</v>
      </c>
      <c r="B14204" s="34" t="s">
        <v>26671</v>
      </c>
      <c r="C14204" s="34" t="s">
        <v>107</v>
      </c>
      <c r="E14204" s="30" t="s">
        <v>26672</v>
      </c>
      <c r="F14204" s="34" t="n">
        <f aca="false">IFERROR(VLOOKUP($A14204,'319'!$B:$H,7,0),0)</f>
        <v>0</v>
      </c>
      <c r="G14204" s="34" t="n">
        <f aca="false">SUMIFS('12.326ana'!$C:$C,'12.326ana'!$M:$M,redes!A14204)</f>
        <v>0</v>
      </c>
    </row>
    <row r="14205" customFormat="false" ht="14.4" hidden="true" customHeight="false" outlineLevel="0" collapsed="false">
      <c r="A14205" s="34" t="n">
        <v>19222566000196</v>
      </c>
      <c r="B14205" s="34" t="s">
        <v>288</v>
      </c>
      <c r="C14205" s="34" t="s">
        <v>192</v>
      </c>
      <c r="E14205" s="30" t="s">
        <v>26673</v>
      </c>
      <c r="F14205" s="34" t="n">
        <f aca="false">IFERROR(VLOOKUP($A14205,'319'!$B:$H,7,0),0)</f>
        <v>464</v>
      </c>
      <c r="G14205" s="34" t="n">
        <f aca="false">SUMIFS('12.326ana'!$C:$C,'12.326ana'!$M:$M,redes!A14205)</f>
        <v>514.5</v>
      </c>
    </row>
    <row r="14206" customFormat="false" ht="14.4" hidden="true" customHeight="false" outlineLevel="0" collapsed="false">
      <c r="A14206" s="34" t="n">
        <v>19222566000277</v>
      </c>
      <c r="B14206" s="34" t="s">
        <v>26674</v>
      </c>
      <c r="C14206" s="34" t="s">
        <v>192</v>
      </c>
      <c r="E14206" s="30" t="s">
        <v>4253</v>
      </c>
      <c r="F14206" s="34" t="n">
        <f aca="false">IFERROR(VLOOKUP($A14206,'319'!$B:$H,7,0),0)</f>
        <v>0</v>
      </c>
      <c r="G14206" s="34" t="n">
        <f aca="false">SUMIFS('12.326ana'!$C:$C,'12.326ana'!$M:$M,redes!A14206)</f>
        <v>0</v>
      </c>
    </row>
    <row r="14207" customFormat="false" ht="14.4" hidden="true" customHeight="false" outlineLevel="0" collapsed="false">
      <c r="A14207" s="34" t="n">
        <v>19224293000119</v>
      </c>
      <c r="B14207" s="34" t="s">
        <v>26675</v>
      </c>
      <c r="C14207" s="34" t="s">
        <v>77</v>
      </c>
      <c r="E14207" s="30" t="s">
        <v>26676</v>
      </c>
      <c r="F14207" s="34" t="n">
        <f aca="false">IFERROR(VLOOKUP($A14207,'319'!$B:$H,7,0),0)</f>
        <v>0</v>
      </c>
      <c r="G14207" s="34" t="n">
        <f aca="false">SUMIFS('12.326ana'!$C:$C,'12.326ana'!$M:$M,redes!A14207)</f>
        <v>0</v>
      </c>
    </row>
    <row r="14208" customFormat="false" ht="14.4" hidden="true" customHeight="false" outlineLevel="0" collapsed="false">
      <c r="A14208" s="34" t="n">
        <v>19249964000104</v>
      </c>
      <c r="B14208" s="34" t="s">
        <v>26677</v>
      </c>
      <c r="C14208" s="34" t="s">
        <v>713</v>
      </c>
      <c r="E14208" s="30" t="s">
        <v>26678</v>
      </c>
      <c r="F14208" s="34" t="n">
        <f aca="false">IFERROR(VLOOKUP($A14208,'319'!$B:$H,7,0),0)</f>
        <v>0</v>
      </c>
      <c r="G14208" s="34" t="n">
        <f aca="false">SUMIFS('12.326ana'!$C:$C,'12.326ana'!$M:$M,redes!A14208)</f>
        <v>0</v>
      </c>
    </row>
    <row r="14209" customFormat="false" ht="14.4" hidden="true" customHeight="false" outlineLevel="0" collapsed="false">
      <c r="A14209" s="34" t="n">
        <v>19255100000197</v>
      </c>
      <c r="B14209" s="34" t="s">
        <v>26679</v>
      </c>
      <c r="C14209" s="34" t="s">
        <v>77</v>
      </c>
      <c r="E14209" s="30" t="s">
        <v>26680</v>
      </c>
      <c r="F14209" s="34" t="n">
        <f aca="false">IFERROR(VLOOKUP($A14209,'319'!$B:$H,7,0),0)</f>
        <v>0</v>
      </c>
      <c r="G14209" s="34" t="n">
        <f aca="false">SUMIFS('12.326ana'!$C:$C,'12.326ana'!$M:$M,redes!A14209)</f>
        <v>0</v>
      </c>
    </row>
    <row r="14210" customFormat="false" ht="14.4" hidden="true" customHeight="false" outlineLevel="0" collapsed="false">
      <c r="A14210" s="34" t="n">
        <v>19265459000145</v>
      </c>
      <c r="B14210" s="34" t="s">
        <v>26681</v>
      </c>
      <c r="C14210" s="34" t="s">
        <v>737</v>
      </c>
      <c r="E14210" s="30" t="s">
        <v>26682</v>
      </c>
      <c r="F14210" s="34" t="n">
        <f aca="false">IFERROR(VLOOKUP($A14210,'319'!$B:$H,7,0),0)</f>
        <v>0</v>
      </c>
      <c r="G14210" s="34" t="n">
        <f aca="false">SUMIFS('12.326ana'!$C:$C,'12.326ana'!$M:$M,redes!A14210)</f>
        <v>0</v>
      </c>
    </row>
    <row r="14211" customFormat="false" ht="14.4" hidden="true" customHeight="false" outlineLevel="0" collapsed="false">
      <c r="A14211" s="34" t="n">
        <v>19265653000120</v>
      </c>
      <c r="B14211" s="34" t="s">
        <v>26683</v>
      </c>
      <c r="C14211" s="34" t="s">
        <v>139</v>
      </c>
      <c r="E14211" s="30" t="s">
        <v>26684</v>
      </c>
      <c r="F14211" s="34" t="n">
        <f aca="false">IFERROR(VLOOKUP($A14211,'319'!$B:$H,7,0),0)</f>
        <v>0</v>
      </c>
      <c r="G14211" s="34" t="n">
        <f aca="false">SUMIFS('12.326ana'!$C:$C,'12.326ana'!$M:$M,redes!A14211)</f>
        <v>0</v>
      </c>
    </row>
    <row r="14212" customFormat="false" ht="14.4" hidden="true" customHeight="false" outlineLevel="0" collapsed="false">
      <c r="A14212" s="34" t="n">
        <v>19277521000119</v>
      </c>
      <c r="B14212" s="34" t="s">
        <v>26685</v>
      </c>
      <c r="C14212" s="34" t="s">
        <v>89</v>
      </c>
      <c r="E14212" s="30" t="s">
        <v>26686</v>
      </c>
      <c r="F14212" s="34" t="n">
        <f aca="false">IFERROR(VLOOKUP($A14212,'319'!$B:$H,7,0),0)</f>
        <v>0</v>
      </c>
      <c r="G14212" s="34" t="n">
        <f aca="false">SUMIFS('12.326ana'!$C:$C,'12.326ana'!$M:$M,redes!A14212)</f>
        <v>0</v>
      </c>
    </row>
    <row r="14213" customFormat="false" ht="14.4" hidden="true" customHeight="false" outlineLevel="0" collapsed="false">
      <c r="A14213" s="34" t="n">
        <v>19287998000185</v>
      </c>
      <c r="B14213" s="34" t="s">
        <v>26687</v>
      </c>
      <c r="C14213" s="34" t="s">
        <v>139</v>
      </c>
      <c r="E14213" s="30" t="s">
        <v>26688</v>
      </c>
      <c r="F14213" s="34" t="n">
        <f aca="false">IFERROR(VLOOKUP($A14213,'319'!$B:$H,7,0),0)</f>
        <v>0</v>
      </c>
      <c r="G14213" s="34" t="n">
        <f aca="false">SUMIFS('12.326ana'!$C:$C,'12.326ana'!$M:$M,redes!A14213)</f>
        <v>0</v>
      </c>
    </row>
    <row r="14214" customFormat="false" ht="14.4" hidden="true" customHeight="false" outlineLevel="0" collapsed="false">
      <c r="A14214" s="34" t="n">
        <v>19296258000105</v>
      </c>
      <c r="B14214" s="34" t="s">
        <v>26689</v>
      </c>
      <c r="C14214" s="34" t="s">
        <v>598</v>
      </c>
      <c r="E14214" s="30" t="s">
        <v>5226</v>
      </c>
      <c r="F14214" s="34" t="n">
        <f aca="false">IFERROR(VLOOKUP($A14214,'319'!$B:$H,7,0),0)</f>
        <v>0</v>
      </c>
      <c r="G14214" s="34" t="n">
        <f aca="false">SUMIFS('12.326ana'!$C:$C,'12.326ana'!$M:$M,redes!A14214)</f>
        <v>0</v>
      </c>
    </row>
    <row r="14215" customFormat="false" ht="14.4" hidden="true" customHeight="false" outlineLevel="0" collapsed="false">
      <c r="A14215" s="34" t="n">
        <v>19296622000137</v>
      </c>
      <c r="B14215" s="34" t="s">
        <v>26690</v>
      </c>
      <c r="C14215" s="34" t="s">
        <v>77</v>
      </c>
      <c r="E14215" s="30" t="s">
        <v>26691</v>
      </c>
      <c r="F14215" s="34" t="n">
        <f aca="false">IFERROR(VLOOKUP($A14215,'319'!$B:$H,7,0),0)</f>
        <v>0</v>
      </c>
      <c r="G14215" s="34" t="n">
        <f aca="false">SUMIFS('12.326ana'!$C:$C,'12.326ana'!$M:$M,redes!A14215)</f>
        <v>0</v>
      </c>
    </row>
    <row r="14216" customFormat="false" ht="14.4" hidden="true" customHeight="false" outlineLevel="0" collapsed="false">
      <c r="A14216" s="34" t="n">
        <v>19298158000118</v>
      </c>
      <c r="B14216" s="34" t="s">
        <v>26692</v>
      </c>
      <c r="C14216" s="34" t="s">
        <v>77</v>
      </c>
      <c r="E14216" s="30" t="s">
        <v>26693</v>
      </c>
      <c r="F14216" s="34" t="n">
        <f aca="false">IFERROR(VLOOKUP($A14216,'319'!$B:$H,7,0),0)</f>
        <v>0</v>
      </c>
      <c r="G14216" s="34" t="n">
        <f aca="false">SUMIFS('12.326ana'!$C:$C,'12.326ana'!$M:$M,redes!A14216)</f>
        <v>0</v>
      </c>
    </row>
    <row r="14217" customFormat="false" ht="14.4" hidden="true" customHeight="false" outlineLevel="0" collapsed="false">
      <c r="A14217" s="34" t="n">
        <v>19312830000182</v>
      </c>
      <c r="B14217" s="34" t="s">
        <v>26694</v>
      </c>
      <c r="C14217" s="34" t="s">
        <v>4139</v>
      </c>
      <c r="E14217" s="30" t="s">
        <v>26695</v>
      </c>
      <c r="F14217" s="34" t="n">
        <f aca="false">IFERROR(VLOOKUP($A14217,'319'!$B:$H,7,0),0)</f>
        <v>0</v>
      </c>
      <c r="G14217" s="34" t="n">
        <f aca="false">SUMIFS('12.326ana'!$C:$C,'12.326ana'!$M:$M,redes!A14217)</f>
        <v>0</v>
      </c>
    </row>
    <row r="14218" customFormat="false" ht="14.4" hidden="true" customHeight="false" outlineLevel="0" collapsed="false">
      <c r="A14218" s="34" t="n">
        <v>19321625000183</v>
      </c>
      <c r="B14218" s="34" t="s">
        <v>26696</v>
      </c>
      <c r="C14218" s="34" t="s">
        <v>77</v>
      </c>
      <c r="E14218" s="30" t="s">
        <v>26697</v>
      </c>
      <c r="F14218" s="34" t="n">
        <f aca="false">IFERROR(VLOOKUP($A14218,'319'!$B:$H,7,0),0)</f>
        <v>0</v>
      </c>
      <c r="G14218" s="34" t="n">
        <f aca="false">SUMIFS('12.326ana'!$C:$C,'12.326ana'!$M:$M,redes!A14218)</f>
        <v>0</v>
      </c>
    </row>
    <row r="14219" customFormat="false" ht="14.4" hidden="true" customHeight="false" outlineLevel="0" collapsed="false">
      <c r="A14219" s="34" t="n">
        <v>19323695000170</v>
      </c>
      <c r="B14219" s="34" t="s">
        <v>26698</v>
      </c>
      <c r="C14219" s="34" t="s">
        <v>77</v>
      </c>
      <c r="E14219" s="30" t="s">
        <v>26699</v>
      </c>
      <c r="F14219" s="34" t="n">
        <f aca="false">IFERROR(VLOOKUP($A14219,'319'!$B:$H,7,0),0)</f>
        <v>0</v>
      </c>
      <c r="G14219" s="34" t="n">
        <f aca="false">SUMIFS('12.326ana'!$C:$C,'12.326ana'!$M:$M,redes!A14219)</f>
        <v>0</v>
      </c>
    </row>
    <row r="14220" customFormat="false" ht="14.4" hidden="true" customHeight="false" outlineLevel="0" collapsed="false">
      <c r="A14220" s="34" t="n">
        <v>19331527000127</v>
      </c>
      <c r="B14220" s="34" t="s">
        <v>11594</v>
      </c>
      <c r="C14220" s="34" t="s">
        <v>77</v>
      </c>
      <c r="E14220" s="30" t="s">
        <v>11594</v>
      </c>
      <c r="F14220" s="34" t="n">
        <f aca="false">IFERROR(VLOOKUP($A14220,'319'!$B:$H,7,0),0)</f>
        <v>0</v>
      </c>
      <c r="G14220" s="34" t="n">
        <f aca="false">SUMIFS('12.326ana'!$C:$C,'12.326ana'!$M:$M,redes!A14220)</f>
        <v>0</v>
      </c>
    </row>
    <row r="14221" customFormat="false" ht="14.4" hidden="true" customHeight="false" outlineLevel="0" collapsed="false">
      <c r="A14221" s="34" t="n">
        <v>19344518000170</v>
      </c>
      <c r="B14221" s="34" t="s">
        <v>26700</v>
      </c>
      <c r="C14221" s="34" t="s">
        <v>77</v>
      </c>
      <c r="E14221" s="30" t="s">
        <v>26701</v>
      </c>
      <c r="F14221" s="34" t="n">
        <f aca="false">IFERROR(VLOOKUP($A14221,'319'!$B:$H,7,0),0)</f>
        <v>0</v>
      </c>
      <c r="G14221" s="34" t="n">
        <f aca="false">SUMIFS('12.326ana'!$C:$C,'12.326ana'!$M:$M,redes!A14221)</f>
        <v>0</v>
      </c>
    </row>
    <row r="14222" customFormat="false" ht="14.4" hidden="true" customHeight="false" outlineLevel="0" collapsed="false">
      <c r="A14222" s="34" t="n">
        <v>19344903000118</v>
      </c>
      <c r="B14222" s="34" t="s">
        <v>26702</v>
      </c>
      <c r="C14222" s="34" t="s">
        <v>2998</v>
      </c>
      <c r="E14222" s="30" t="s">
        <v>26703</v>
      </c>
      <c r="F14222" s="34" t="n">
        <f aca="false">IFERROR(VLOOKUP($A14222,'319'!$B:$H,7,0),0)</f>
        <v>0</v>
      </c>
      <c r="G14222" s="34" t="n">
        <f aca="false">SUMIFS('12.326ana'!$C:$C,'12.326ana'!$M:$M,redes!A14222)</f>
        <v>0</v>
      </c>
    </row>
    <row r="14223" customFormat="false" ht="14.4" hidden="true" customHeight="false" outlineLevel="0" collapsed="false">
      <c r="A14223" s="34" t="n">
        <v>19359671000171</v>
      </c>
      <c r="B14223" s="34" t="s">
        <v>26704</v>
      </c>
      <c r="C14223" s="34" t="s">
        <v>77</v>
      </c>
      <c r="E14223" s="30" t="s">
        <v>9857</v>
      </c>
      <c r="F14223" s="34" t="n">
        <f aca="false">IFERROR(VLOOKUP($A14223,'319'!$B:$H,7,0),0)</f>
        <v>0</v>
      </c>
      <c r="G14223" s="34" t="n">
        <f aca="false">SUMIFS('12.326ana'!$C:$C,'12.326ana'!$M:$M,redes!A14223)</f>
        <v>0</v>
      </c>
    </row>
    <row r="14224" customFormat="false" ht="14.4" hidden="true" customHeight="false" outlineLevel="0" collapsed="false">
      <c r="A14224" s="34" t="n">
        <v>19362044000190</v>
      </c>
      <c r="B14224" s="34" t="s">
        <v>26705</v>
      </c>
      <c r="C14224" s="34" t="s">
        <v>77</v>
      </c>
      <c r="E14224" s="30" t="s">
        <v>26706</v>
      </c>
      <c r="F14224" s="34" t="n">
        <f aca="false">IFERROR(VLOOKUP($A14224,'319'!$B:$H,7,0),0)</f>
        <v>0</v>
      </c>
      <c r="G14224" s="34" t="n">
        <f aca="false">SUMIFS('12.326ana'!$C:$C,'12.326ana'!$M:$M,redes!A14224)</f>
        <v>0</v>
      </c>
    </row>
    <row r="14225" customFormat="false" ht="14.4" hidden="true" customHeight="false" outlineLevel="0" collapsed="false">
      <c r="A14225" s="34" t="n">
        <v>19366099000178</v>
      </c>
      <c r="B14225" s="34" t="s">
        <v>26707</v>
      </c>
      <c r="C14225" s="34" t="s">
        <v>1272</v>
      </c>
      <c r="E14225" s="30" t="s">
        <v>22464</v>
      </c>
      <c r="F14225" s="34" t="n">
        <f aca="false">IFERROR(VLOOKUP($A14225,'319'!$B:$H,7,0),0)</f>
        <v>0</v>
      </c>
      <c r="G14225" s="34" t="n">
        <f aca="false">SUMIFS('12.326ana'!$C:$C,'12.326ana'!$M:$M,redes!A14225)</f>
        <v>0</v>
      </c>
    </row>
    <row r="14226" customFormat="false" ht="14.4" hidden="true" customHeight="false" outlineLevel="0" collapsed="false">
      <c r="A14226" s="34" t="n">
        <v>19372777000105</v>
      </c>
      <c r="B14226" s="34" t="s">
        <v>26708</v>
      </c>
      <c r="C14226" s="34" t="s">
        <v>77</v>
      </c>
      <c r="E14226" s="30" t="s">
        <v>26709</v>
      </c>
      <c r="F14226" s="34" t="n">
        <f aca="false">IFERROR(VLOOKUP($A14226,'319'!$B:$H,7,0),0)</f>
        <v>253.51</v>
      </c>
      <c r="G14226" s="34" t="n">
        <f aca="false">SUMIFS('12.326ana'!$C:$C,'12.326ana'!$M:$M,redes!A14226)</f>
        <v>0</v>
      </c>
    </row>
    <row r="14227" customFormat="false" ht="14.4" hidden="true" customHeight="false" outlineLevel="0" collapsed="false">
      <c r="A14227" s="34" t="n">
        <v>19373399000184</v>
      </c>
      <c r="B14227" s="34" t="s">
        <v>26710</v>
      </c>
      <c r="C14227" s="34" t="s">
        <v>77</v>
      </c>
      <c r="E14227" s="30" t="s">
        <v>4585</v>
      </c>
      <c r="F14227" s="34" t="n">
        <f aca="false">IFERROR(VLOOKUP($A14227,'319'!$B:$H,7,0),0)</f>
        <v>0</v>
      </c>
      <c r="G14227" s="34" t="n">
        <f aca="false">SUMIFS('12.326ana'!$C:$C,'12.326ana'!$M:$M,redes!A14227)</f>
        <v>0</v>
      </c>
    </row>
    <row r="14228" customFormat="false" ht="14.4" hidden="true" customHeight="false" outlineLevel="0" collapsed="false">
      <c r="A14228" s="34" t="n">
        <v>19375288000107</v>
      </c>
      <c r="B14228" s="34" t="s">
        <v>26711</v>
      </c>
      <c r="C14228" s="34" t="s">
        <v>598</v>
      </c>
      <c r="E14228" s="30" t="s">
        <v>26712</v>
      </c>
      <c r="F14228" s="34" t="n">
        <f aca="false">IFERROR(VLOOKUP($A14228,'319'!$B:$H,7,0),0)</f>
        <v>0</v>
      </c>
      <c r="G14228" s="34" t="n">
        <f aca="false">SUMIFS('12.326ana'!$C:$C,'12.326ana'!$M:$M,redes!A14228)</f>
        <v>0</v>
      </c>
    </row>
    <row r="14229" customFormat="false" ht="14.4" hidden="true" customHeight="false" outlineLevel="0" collapsed="false">
      <c r="A14229" s="34" t="n">
        <v>19378971000106</v>
      </c>
      <c r="B14229" s="34" t="s">
        <v>26713</v>
      </c>
      <c r="C14229" s="34" t="s">
        <v>77</v>
      </c>
      <c r="E14229" s="30" t="s">
        <v>26714</v>
      </c>
      <c r="F14229" s="34" t="n">
        <f aca="false">IFERROR(VLOOKUP($A14229,'319'!$B:$H,7,0),0)</f>
        <v>0</v>
      </c>
      <c r="G14229" s="34" t="n">
        <f aca="false">SUMIFS('12.326ana'!$C:$C,'12.326ana'!$M:$M,redes!A14229)</f>
        <v>0</v>
      </c>
    </row>
    <row r="14230" customFormat="false" ht="14.4" hidden="true" customHeight="false" outlineLevel="0" collapsed="false">
      <c r="A14230" s="34" t="n">
        <v>19384383000177</v>
      </c>
      <c r="B14230" s="34" t="s">
        <v>26715</v>
      </c>
      <c r="C14230" s="34" t="s">
        <v>994</v>
      </c>
      <c r="E14230" s="30" t="s">
        <v>26716</v>
      </c>
      <c r="F14230" s="34" t="n">
        <f aca="false">IFERROR(VLOOKUP($A14230,'319'!$B:$H,7,0),0)</f>
        <v>0</v>
      </c>
      <c r="G14230" s="34" t="n">
        <f aca="false">SUMIFS('12.326ana'!$C:$C,'12.326ana'!$M:$M,redes!A14230)</f>
        <v>0</v>
      </c>
    </row>
    <row r="14231" customFormat="false" ht="14.4" hidden="true" customHeight="false" outlineLevel="0" collapsed="false">
      <c r="A14231" s="34" t="n">
        <v>19387808000100</v>
      </c>
      <c r="B14231" s="34" t="s">
        <v>26717</v>
      </c>
      <c r="C14231" s="34" t="s">
        <v>89</v>
      </c>
      <c r="E14231" s="30" t="s">
        <v>3045</v>
      </c>
      <c r="F14231" s="34" t="n">
        <f aca="false">IFERROR(VLOOKUP($A14231,'319'!$B:$H,7,0),0)</f>
        <v>0</v>
      </c>
      <c r="G14231" s="34" t="n">
        <f aca="false">SUMIFS('12.326ana'!$C:$C,'12.326ana'!$M:$M,redes!A14231)</f>
        <v>0</v>
      </c>
    </row>
    <row r="14232" customFormat="false" ht="14.4" hidden="true" customHeight="false" outlineLevel="0" collapsed="false">
      <c r="A14232" s="34" t="n">
        <v>19388696000101</v>
      </c>
      <c r="B14232" s="34" t="s">
        <v>26718</v>
      </c>
      <c r="C14232" s="34" t="s">
        <v>107</v>
      </c>
      <c r="E14232" s="30" t="s">
        <v>26719</v>
      </c>
      <c r="F14232" s="34" t="n">
        <f aca="false">IFERROR(VLOOKUP($A14232,'319'!$B:$H,7,0),0)</f>
        <v>0</v>
      </c>
      <c r="G14232" s="34" t="n">
        <f aca="false">SUMIFS('12.326ana'!$C:$C,'12.326ana'!$M:$M,redes!A14232)</f>
        <v>0</v>
      </c>
    </row>
    <row r="14233" customFormat="false" ht="14.4" hidden="true" customHeight="false" outlineLevel="0" collapsed="false">
      <c r="A14233" s="34" t="n">
        <v>19391472000140</v>
      </c>
      <c r="B14233" s="34" t="s">
        <v>26720</v>
      </c>
      <c r="C14233" s="34" t="s">
        <v>77</v>
      </c>
      <c r="E14233" s="30" t="s">
        <v>26721</v>
      </c>
      <c r="F14233" s="34" t="n">
        <f aca="false">IFERROR(VLOOKUP($A14233,'319'!$B:$H,7,0),0)</f>
        <v>0</v>
      </c>
      <c r="G14233" s="34" t="n">
        <f aca="false">SUMIFS('12.326ana'!$C:$C,'12.326ana'!$M:$M,redes!A14233)</f>
        <v>0</v>
      </c>
    </row>
    <row r="14234" customFormat="false" ht="14.4" hidden="true" customHeight="false" outlineLevel="0" collapsed="false">
      <c r="A14234" s="34" t="n">
        <v>19401533000103</v>
      </c>
      <c r="B14234" s="34" t="s">
        <v>26722</v>
      </c>
      <c r="C14234" s="34" t="s">
        <v>139</v>
      </c>
      <c r="E14234" s="30" t="s">
        <v>8132</v>
      </c>
      <c r="F14234" s="34" t="n">
        <f aca="false">IFERROR(VLOOKUP($A14234,'319'!$B:$H,7,0),0)</f>
        <v>0</v>
      </c>
      <c r="G14234" s="34" t="n">
        <f aca="false">SUMIFS('12.326ana'!$C:$C,'12.326ana'!$M:$M,redes!A14234)</f>
        <v>0</v>
      </c>
    </row>
    <row r="14235" customFormat="false" ht="14.4" hidden="true" customHeight="false" outlineLevel="0" collapsed="false">
      <c r="A14235" s="34" t="n">
        <v>19407050000116</v>
      </c>
      <c r="B14235" s="34" t="s">
        <v>26723</v>
      </c>
      <c r="C14235" s="34" t="s">
        <v>139</v>
      </c>
      <c r="E14235" s="30" t="s">
        <v>26724</v>
      </c>
      <c r="F14235" s="34" t="n">
        <f aca="false">IFERROR(VLOOKUP($A14235,'319'!$B:$H,7,0),0)</f>
        <v>0</v>
      </c>
      <c r="G14235" s="34" t="n">
        <f aca="false">SUMIFS('12.326ana'!$C:$C,'12.326ana'!$M:$M,redes!A14235)</f>
        <v>0</v>
      </c>
    </row>
    <row r="14236" customFormat="false" ht="14.4" hidden="true" customHeight="false" outlineLevel="0" collapsed="false">
      <c r="A14236" s="34" t="n">
        <v>19408387000148</v>
      </c>
      <c r="B14236" s="34" t="s">
        <v>26725</v>
      </c>
      <c r="C14236" s="34" t="s">
        <v>77</v>
      </c>
      <c r="E14236" s="30" t="s">
        <v>6355</v>
      </c>
      <c r="F14236" s="34" t="n">
        <f aca="false">IFERROR(VLOOKUP($A14236,'319'!$B:$H,7,0),0)</f>
        <v>0</v>
      </c>
      <c r="G14236" s="34" t="n">
        <f aca="false">SUMIFS('12.326ana'!$C:$C,'12.326ana'!$M:$M,redes!A14236)</f>
        <v>0</v>
      </c>
    </row>
    <row r="14237" customFormat="false" ht="14.4" hidden="true" customHeight="false" outlineLevel="0" collapsed="false">
      <c r="A14237" s="34" t="n">
        <v>19408394000140</v>
      </c>
      <c r="B14237" s="34" t="s">
        <v>26726</v>
      </c>
      <c r="C14237" s="34" t="s">
        <v>1272</v>
      </c>
      <c r="E14237" s="30" t="s">
        <v>11228</v>
      </c>
      <c r="F14237" s="34" t="n">
        <f aca="false">IFERROR(VLOOKUP($A14237,'319'!$B:$H,7,0),0)</f>
        <v>0</v>
      </c>
      <c r="G14237" s="34" t="n">
        <f aca="false">SUMIFS('12.326ana'!$C:$C,'12.326ana'!$M:$M,redes!A14237)</f>
        <v>0</v>
      </c>
    </row>
    <row r="14238" customFormat="false" ht="14.4" hidden="true" customHeight="false" outlineLevel="0" collapsed="false">
      <c r="A14238" s="34" t="n">
        <v>19409827000181</v>
      </c>
      <c r="B14238" s="34" t="s">
        <v>26727</v>
      </c>
      <c r="C14238" s="34" t="s">
        <v>631</v>
      </c>
      <c r="E14238" s="30" t="s">
        <v>26728</v>
      </c>
      <c r="F14238" s="34" t="n">
        <f aca="false">IFERROR(VLOOKUP($A14238,'319'!$B:$H,7,0),0)</f>
        <v>0</v>
      </c>
      <c r="G14238" s="34" t="n">
        <f aca="false">SUMIFS('12.326ana'!$C:$C,'12.326ana'!$M:$M,redes!A14238)</f>
        <v>0</v>
      </c>
    </row>
    <row r="14239" customFormat="false" ht="14.4" hidden="true" customHeight="false" outlineLevel="0" collapsed="false">
      <c r="A14239" s="34" t="n">
        <v>19420676000162</v>
      </c>
      <c r="B14239" s="34" t="s">
        <v>26729</v>
      </c>
      <c r="C14239" s="34" t="s">
        <v>881</v>
      </c>
      <c r="E14239" s="30" t="s">
        <v>26730</v>
      </c>
      <c r="F14239" s="34" t="n">
        <f aca="false">IFERROR(VLOOKUP($A14239,'319'!$B:$H,7,0),0)</f>
        <v>0</v>
      </c>
      <c r="G14239" s="34" t="n">
        <f aca="false">SUMIFS('12.326ana'!$C:$C,'12.326ana'!$M:$M,redes!A14239)</f>
        <v>0</v>
      </c>
    </row>
    <row r="14240" customFormat="false" ht="14.4" hidden="true" customHeight="false" outlineLevel="0" collapsed="false">
      <c r="A14240" s="34" t="n">
        <v>19420899000120</v>
      </c>
      <c r="B14240" s="34" t="s">
        <v>26731</v>
      </c>
      <c r="C14240" s="34" t="s">
        <v>77</v>
      </c>
      <c r="E14240" s="30" t="s">
        <v>26732</v>
      </c>
      <c r="F14240" s="34" t="n">
        <f aca="false">IFERROR(VLOOKUP($A14240,'319'!$B:$H,7,0),0)</f>
        <v>0</v>
      </c>
      <c r="G14240" s="34" t="n">
        <f aca="false">SUMIFS('12.326ana'!$C:$C,'12.326ana'!$M:$M,redes!A14240)</f>
        <v>0</v>
      </c>
    </row>
    <row r="14241" customFormat="false" ht="14.4" hidden="true" customHeight="false" outlineLevel="0" collapsed="false">
      <c r="A14241" s="34" t="n">
        <v>19432043000174</v>
      </c>
      <c r="B14241" s="34" t="s">
        <v>26733</v>
      </c>
      <c r="C14241" s="34" t="s">
        <v>77</v>
      </c>
      <c r="E14241" s="30" t="s">
        <v>26734</v>
      </c>
      <c r="F14241" s="34" t="n">
        <f aca="false">IFERROR(VLOOKUP($A14241,'319'!$B:$H,7,0),0)</f>
        <v>0</v>
      </c>
      <c r="G14241" s="34" t="n">
        <f aca="false">SUMIFS('12.326ana'!$C:$C,'12.326ana'!$M:$M,redes!A14241)</f>
        <v>0</v>
      </c>
    </row>
    <row r="14242" customFormat="false" ht="14.4" hidden="true" customHeight="false" outlineLevel="0" collapsed="false">
      <c r="A14242" s="34" t="n">
        <v>19438624000113</v>
      </c>
      <c r="B14242" s="34" t="s">
        <v>26735</v>
      </c>
      <c r="C14242" s="34" t="s">
        <v>562</v>
      </c>
      <c r="E14242" s="30" t="s">
        <v>8653</v>
      </c>
      <c r="F14242" s="34" t="n">
        <f aca="false">IFERROR(VLOOKUP($A14242,'319'!$B:$H,7,0),0)</f>
        <v>0</v>
      </c>
      <c r="G14242" s="34" t="n">
        <f aca="false">SUMIFS('12.326ana'!$C:$C,'12.326ana'!$M:$M,redes!A14242)</f>
        <v>0</v>
      </c>
    </row>
    <row r="14243" customFormat="false" ht="14.4" hidden="true" customHeight="false" outlineLevel="0" collapsed="false">
      <c r="A14243" s="34" t="n">
        <v>19443707000109</v>
      </c>
      <c r="B14243" s="34" t="s">
        <v>26736</v>
      </c>
      <c r="C14243" s="34" t="s">
        <v>89</v>
      </c>
      <c r="E14243" s="30" t="s">
        <v>26737</v>
      </c>
      <c r="F14243" s="34" t="n">
        <f aca="false">IFERROR(VLOOKUP($A14243,'319'!$B:$H,7,0),0)</f>
        <v>0</v>
      </c>
      <c r="G14243" s="34" t="n">
        <f aca="false">SUMIFS('12.326ana'!$C:$C,'12.326ana'!$M:$M,redes!A14243)</f>
        <v>0</v>
      </c>
    </row>
    <row r="14244" customFormat="false" ht="14.4" hidden="true" customHeight="false" outlineLevel="0" collapsed="false">
      <c r="A14244" s="34" t="n">
        <v>19474300000130</v>
      </c>
      <c r="B14244" s="34" t="s">
        <v>26738</v>
      </c>
      <c r="C14244" s="34" t="s">
        <v>107</v>
      </c>
      <c r="E14244" s="30" t="s">
        <v>26739</v>
      </c>
      <c r="F14244" s="34" t="n">
        <f aca="false">IFERROR(VLOOKUP($A14244,'319'!$B:$H,7,0),0)</f>
        <v>0</v>
      </c>
      <c r="G14244" s="34" t="n">
        <f aca="false">SUMIFS('12.326ana'!$C:$C,'12.326ana'!$M:$M,redes!A14244)</f>
        <v>0</v>
      </c>
    </row>
    <row r="14245" customFormat="false" ht="14.4" hidden="true" customHeight="false" outlineLevel="0" collapsed="false">
      <c r="A14245" s="34" t="n">
        <v>19475142000133</v>
      </c>
      <c r="B14245" s="34" t="s">
        <v>26740</v>
      </c>
      <c r="C14245" s="34" t="s">
        <v>3060</v>
      </c>
      <c r="E14245" s="30" t="s">
        <v>26741</v>
      </c>
      <c r="F14245" s="34" t="n">
        <f aca="false">IFERROR(VLOOKUP($A14245,'319'!$B:$H,7,0),0)</f>
        <v>0</v>
      </c>
      <c r="G14245" s="34" t="n">
        <f aca="false">SUMIFS('12.326ana'!$C:$C,'12.326ana'!$M:$M,redes!A14245)</f>
        <v>0</v>
      </c>
    </row>
    <row r="14246" customFormat="false" ht="14.4" hidden="true" customHeight="false" outlineLevel="0" collapsed="false">
      <c r="A14246" s="34" t="n">
        <v>19476491000170</v>
      </c>
      <c r="B14246" s="34" t="s">
        <v>26742</v>
      </c>
      <c r="C14246" s="34" t="s">
        <v>475</v>
      </c>
      <c r="E14246" s="30" t="s">
        <v>26743</v>
      </c>
      <c r="F14246" s="34" t="n">
        <f aca="false">IFERROR(VLOOKUP($A14246,'319'!$B:$H,7,0),0)</f>
        <v>0</v>
      </c>
      <c r="G14246" s="34" t="n">
        <f aca="false">SUMIFS('12.326ana'!$C:$C,'12.326ana'!$M:$M,redes!A14246)</f>
        <v>0</v>
      </c>
    </row>
    <row r="14247" customFormat="false" ht="14.4" hidden="true" customHeight="false" outlineLevel="0" collapsed="false">
      <c r="A14247" s="34" t="n">
        <v>19487352000141</v>
      </c>
      <c r="B14247" s="34" t="s">
        <v>26744</v>
      </c>
      <c r="C14247" s="34" t="s">
        <v>103</v>
      </c>
      <c r="E14247" s="30" t="s">
        <v>26745</v>
      </c>
      <c r="F14247" s="34" t="n">
        <f aca="false">IFERROR(VLOOKUP($A14247,'319'!$B:$H,7,0),0)</f>
        <v>0</v>
      </c>
      <c r="G14247" s="34" t="n">
        <f aca="false">SUMIFS('12.326ana'!$C:$C,'12.326ana'!$M:$M,redes!A14247)</f>
        <v>0</v>
      </c>
    </row>
    <row r="14248" customFormat="false" ht="14.4" hidden="true" customHeight="false" outlineLevel="0" collapsed="false">
      <c r="A14248" s="34" t="n">
        <v>19490519000123</v>
      </c>
      <c r="B14248" s="34" t="s">
        <v>26746</v>
      </c>
      <c r="C14248" s="34" t="s">
        <v>192</v>
      </c>
      <c r="E14248" s="30" t="s">
        <v>26747</v>
      </c>
      <c r="F14248" s="34" t="n">
        <f aca="false">IFERROR(VLOOKUP($A14248,'319'!$B:$H,7,0),0)</f>
        <v>0</v>
      </c>
      <c r="G14248" s="34" t="n">
        <f aca="false">SUMIFS('12.326ana'!$C:$C,'12.326ana'!$M:$M,redes!A14248)</f>
        <v>0</v>
      </c>
    </row>
    <row r="14249" customFormat="false" ht="14.4" hidden="true" customHeight="false" outlineLevel="0" collapsed="false">
      <c r="A14249" s="34" t="n">
        <v>19490883000193</v>
      </c>
      <c r="B14249" s="34" t="s">
        <v>26748</v>
      </c>
      <c r="C14249" s="34" t="s">
        <v>737</v>
      </c>
      <c r="E14249" s="30" t="s">
        <v>26749</v>
      </c>
      <c r="F14249" s="34" t="n">
        <f aca="false">IFERROR(VLOOKUP($A14249,'319'!$B:$H,7,0),0)</f>
        <v>0</v>
      </c>
      <c r="G14249" s="34" t="n">
        <f aca="false">SUMIFS('12.326ana'!$C:$C,'12.326ana'!$M:$M,redes!A14249)</f>
        <v>0</v>
      </c>
    </row>
    <row r="14250" customFormat="false" ht="14.4" hidden="true" customHeight="false" outlineLevel="0" collapsed="false">
      <c r="A14250" s="34" t="n">
        <v>19491623000132</v>
      </c>
      <c r="B14250" s="34" t="s">
        <v>26750</v>
      </c>
      <c r="C14250" s="34" t="s">
        <v>309</v>
      </c>
      <c r="E14250" s="30" t="s">
        <v>12490</v>
      </c>
      <c r="F14250" s="34" t="n">
        <f aca="false">IFERROR(VLOOKUP($A14250,'319'!$B:$H,7,0),0)</f>
        <v>0</v>
      </c>
      <c r="G14250" s="34" t="n">
        <f aca="false">SUMIFS('12.326ana'!$C:$C,'12.326ana'!$M:$M,redes!A14250)</f>
        <v>0</v>
      </c>
    </row>
    <row r="14251" customFormat="false" ht="14.4" hidden="true" customHeight="false" outlineLevel="0" collapsed="false">
      <c r="A14251" s="34" t="n">
        <v>19492804000183</v>
      </c>
      <c r="B14251" s="34" t="s">
        <v>26751</v>
      </c>
      <c r="C14251" s="34" t="s">
        <v>139</v>
      </c>
      <c r="E14251" s="30" t="s">
        <v>26752</v>
      </c>
      <c r="F14251" s="34" t="n">
        <f aca="false">IFERROR(VLOOKUP($A14251,'319'!$B:$H,7,0),0)</f>
        <v>0</v>
      </c>
      <c r="G14251" s="34" t="n">
        <f aca="false">SUMIFS('12.326ana'!$C:$C,'12.326ana'!$M:$M,redes!A14251)</f>
        <v>0</v>
      </c>
    </row>
    <row r="14252" customFormat="false" ht="14.4" hidden="true" customHeight="false" outlineLevel="0" collapsed="false">
      <c r="A14252" s="34" t="n">
        <v>19493049000151</v>
      </c>
      <c r="B14252" s="34" t="s">
        <v>26753</v>
      </c>
      <c r="C14252" s="34" t="s">
        <v>604</v>
      </c>
      <c r="E14252" s="30" t="s">
        <v>26754</v>
      </c>
      <c r="F14252" s="34" t="n">
        <f aca="false">IFERROR(VLOOKUP($A14252,'319'!$B:$H,7,0),0)</f>
        <v>0</v>
      </c>
      <c r="G14252" s="34" t="n">
        <f aca="false">SUMIFS('12.326ana'!$C:$C,'12.326ana'!$M:$M,redes!A14252)</f>
        <v>0</v>
      </c>
    </row>
    <row r="14253" customFormat="false" ht="14.4" hidden="true" customHeight="false" outlineLevel="0" collapsed="false">
      <c r="A14253" s="34" t="n">
        <v>19502041000104</v>
      </c>
      <c r="B14253" s="34" t="s">
        <v>12010</v>
      </c>
      <c r="C14253" s="34" t="s">
        <v>77</v>
      </c>
      <c r="E14253" s="30" t="s">
        <v>26755</v>
      </c>
      <c r="F14253" s="34" t="n">
        <f aca="false">IFERROR(VLOOKUP($A14253,'319'!$B:$H,7,0),0)</f>
        <v>0</v>
      </c>
      <c r="G14253" s="34" t="n">
        <f aca="false">SUMIFS('12.326ana'!$C:$C,'12.326ana'!$M:$M,redes!A14253)</f>
        <v>0</v>
      </c>
    </row>
    <row r="14254" customFormat="false" ht="14.4" hidden="true" customHeight="false" outlineLevel="0" collapsed="false">
      <c r="A14254" s="34" t="n">
        <v>19507975000139</v>
      </c>
      <c r="B14254" s="34" t="s">
        <v>26756</v>
      </c>
      <c r="C14254" s="34" t="s">
        <v>680</v>
      </c>
      <c r="E14254" s="30" t="s">
        <v>26757</v>
      </c>
      <c r="F14254" s="34" t="n">
        <f aca="false">IFERROR(VLOOKUP($A14254,'319'!$B:$H,7,0),0)</f>
        <v>0</v>
      </c>
      <c r="G14254" s="34" t="n">
        <f aca="false">SUMIFS('12.326ana'!$C:$C,'12.326ana'!$M:$M,redes!A14254)</f>
        <v>0</v>
      </c>
    </row>
    <row r="14255" customFormat="false" ht="14.4" hidden="true" customHeight="false" outlineLevel="0" collapsed="false">
      <c r="A14255" s="34" t="n">
        <v>19509592000108</v>
      </c>
      <c r="B14255" s="34" t="s">
        <v>26758</v>
      </c>
      <c r="C14255" s="34" t="s">
        <v>77</v>
      </c>
      <c r="E14255" s="30" t="s">
        <v>26759</v>
      </c>
      <c r="F14255" s="34" t="n">
        <f aca="false">IFERROR(VLOOKUP($A14255,'319'!$B:$H,7,0),0)</f>
        <v>0</v>
      </c>
      <c r="G14255" s="34" t="n">
        <f aca="false">SUMIFS('12.326ana'!$C:$C,'12.326ana'!$M:$M,redes!A14255)</f>
        <v>0</v>
      </c>
    </row>
    <row r="14256" customFormat="false" ht="14.4" hidden="true" customHeight="false" outlineLevel="0" collapsed="false">
      <c r="A14256" s="34" t="n">
        <v>19522921000142</v>
      </c>
      <c r="B14256" s="34" t="s">
        <v>26760</v>
      </c>
      <c r="C14256" s="34" t="s">
        <v>77</v>
      </c>
      <c r="E14256" s="30" t="s">
        <v>3674</v>
      </c>
      <c r="F14256" s="34" t="n">
        <f aca="false">IFERROR(VLOOKUP($A14256,'319'!$B:$H,7,0),0)</f>
        <v>0</v>
      </c>
      <c r="G14256" s="34" t="n">
        <f aca="false">SUMIFS('12.326ana'!$C:$C,'12.326ana'!$M:$M,redes!A14256)</f>
        <v>0</v>
      </c>
    </row>
    <row r="14257" customFormat="false" ht="14.4" hidden="true" customHeight="false" outlineLevel="0" collapsed="false">
      <c r="A14257" s="34" t="n">
        <v>19523020000175</v>
      </c>
      <c r="B14257" s="34" t="s">
        <v>26761</v>
      </c>
      <c r="C14257" s="34" t="s">
        <v>737</v>
      </c>
      <c r="E14257" s="30" t="s">
        <v>5305</v>
      </c>
      <c r="F14257" s="34" t="n">
        <f aca="false">IFERROR(VLOOKUP($A14257,'319'!$B:$H,7,0),0)</f>
        <v>0</v>
      </c>
      <c r="G14257" s="34" t="n">
        <f aca="false">SUMIFS('12.326ana'!$C:$C,'12.326ana'!$M:$M,redes!A14257)</f>
        <v>0</v>
      </c>
    </row>
    <row r="14258" customFormat="false" ht="14.4" hidden="true" customHeight="false" outlineLevel="0" collapsed="false">
      <c r="A14258" s="34" t="n">
        <v>19534235000191</v>
      </c>
      <c r="B14258" s="34" t="s">
        <v>26762</v>
      </c>
      <c r="C14258" s="34" t="s">
        <v>77</v>
      </c>
      <c r="D14258" s="34" t="s">
        <v>26763</v>
      </c>
      <c r="E14258" s="30" t="s">
        <v>26764</v>
      </c>
      <c r="F14258" s="34" t="n">
        <f aca="false">IFERROR(VLOOKUP($A14258,'319'!$B:$H,7,0),0)</f>
        <v>0</v>
      </c>
      <c r="G14258" s="34" t="n">
        <f aca="false">SUMIFS('12.326ana'!$C:$C,'12.326ana'!$M:$M,redes!A14258)</f>
        <v>0</v>
      </c>
    </row>
    <row r="14259" customFormat="false" ht="14.4" hidden="true" customHeight="false" outlineLevel="0" collapsed="false">
      <c r="A14259" s="34" t="n">
        <v>19534235000272</v>
      </c>
      <c r="B14259" s="34" t="s">
        <v>26765</v>
      </c>
      <c r="C14259" s="34" t="s">
        <v>77</v>
      </c>
      <c r="D14259" s="34" t="s">
        <v>26763</v>
      </c>
      <c r="E14259" s="30" t="s">
        <v>26766</v>
      </c>
      <c r="F14259" s="34" t="n">
        <f aca="false">IFERROR(VLOOKUP($A14259,'319'!$B:$H,7,0),0)</f>
        <v>0</v>
      </c>
      <c r="G14259" s="34" t="n">
        <f aca="false">SUMIFS('12.326ana'!$C:$C,'12.326ana'!$M:$M,redes!A14259)</f>
        <v>0</v>
      </c>
    </row>
    <row r="14260" customFormat="false" ht="14.4" hidden="true" customHeight="false" outlineLevel="0" collapsed="false">
      <c r="A14260" s="34" t="n">
        <v>19534235000353</v>
      </c>
      <c r="B14260" s="34" t="s">
        <v>26762</v>
      </c>
      <c r="C14260" s="34" t="s">
        <v>77</v>
      </c>
      <c r="D14260" s="34" t="s">
        <v>26763</v>
      </c>
      <c r="E14260" s="30" t="s">
        <v>26767</v>
      </c>
      <c r="F14260" s="34" t="n">
        <f aca="false">IFERROR(VLOOKUP($A14260,'319'!$B:$H,7,0),0)</f>
        <v>0</v>
      </c>
      <c r="G14260" s="34" t="n">
        <f aca="false">SUMIFS('12.326ana'!$C:$C,'12.326ana'!$M:$M,redes!A14260)</f>
        <v>0</v>
      </c>
    </row>
    <row r="14261" customFormat="false" ht="14.4" hidden="true" customHeight="false" outlineLevel="0" collapsed="false">
      <c r="A14261" s="34" t="n">
        <v>19534235000515</v>
      </c>
      <c r="B14261" s="34" t="s">
        <v>26765</v>
      </c>
      <c r="C14261" s="34" t="s">
        <v>89</v>
      </c>
      <c r="D14261" s="34" t="s">
        <v>26763</v>
      </c>
      <c r="E14261" s="30" t="s">
        <v>26765</v>
      </c>
      <c r="F14261" s="34" t="n">
        <f aca="false">IFERROR(VLOOKUP($A14261,'319'!$B:$H,7,0),0)</f>
        <v>0</v>
      </c>
      <c r="G14261" s="34" t="n">
        <f aca="false">SUMIFS('12.326ana'!$C:$C,'12.326ana'!$M:$M,redes!A14261)</f>
        <v>0</v>
      </c>
    </row>
    <row r="14262" customFormat="false" ht="14.4" hidden="true" customHeight="false" outlineLevel="0" collapsed="false">
      <c r="A14262" s="34" t="n">
        <v>19534235000604</v>
      </c>
      <c r="B14262" s="34" t="s">
        <v>26765</v>
      </c>
      <c r="C14262" s="34" t="s">
        <v>77</v>
      </c>
      <c r="D14262" s="34" t="s">
        <v>26763</v>
      </c>
      <c r="E14262" s="30" t="s">
        <v>26766</v>
      </c>
      <c r="F14262" s="34" t="n">
        <f aca="false">IFERROR(VLOOKUP($A14262,'319'!$B:$H,7,0),0)</f>
        <v>0</v>
      </c>
      <c r="G14262" s="34" t="n">
        <f aca="false">SUMIFS('12.326ana'!$C:$C,'12.326ana'!$M:$M,redes!A14262)</f>
        <v>0</v>
      </c>
    </row>
    <row r="14263" customFormat="false" ht="14.4" hidden="true" customHeight="false" outlineLevel="0" collapsed="false">
      <c r="A14263" s="34" t="n">
        <v>19534235000787</v>
      </c>
      <c r="B14263" s="34" t="s">
        <v>26768</v>
      </c>
      <c r="C14263" s="34" t="s">
        <v>77</v>
      </c>
      <c r="D14263" s="34" t="s">
        <v>26763</v>
      </c>
      <c r="E14263" s="30" t="s">
        <v>26769</v>
      </c>
      <c r="F14263" s="34" t="n">
        <f aca="false">IFERROR(VLOOKUP($A14263,'319'!$B:$H,7,0),0)</f>
        <v>0</v>
      </c>
      <c r="G14263" s="34" t="n">
        <f aca="false">SUMIFS('12.326ana'!$C:$C,'12.326ana'!$M:$M,redes!A14263)</f>
        <v>0</v>
      </c>
    </row>
    <row r="14264" customFormat="false" ht="14.4" hidden="true" customHeight="false" outlineLevel="0" collapsed="false">
      <c r="A14264" s="34" t="n">
        <v>19534235000949</v>
      </c>
      <c r="B14264" s="34" t="s">
        <v>26770</v>
      </c>
      <c r="C14264" s="34" t="s">
        <v>107</v>
      </c>
      <c r="D14264" s="34" t="s">
        <v>26763</v>
      </c>
      <c r="E14264" s="30" t="s">
        <v>26770</v>
      </c>
      <c r="F14264" s="34" t="n">
        <f aca="false">IFERROR(VLOOKUP($A14264,'319'!$B:$H,7,0),0)</f>
        <v>0</v>
      </c>
      <c r="G14264" s="34" t="n">
        <f aca="false">SUMIFS('12.326ana'!$C:$C,'12.326ana'!$M:$M,redes!A14264)</f>
        <v>0</v>
      </c>
    </row>
    <row r="14265" customFormat="false" ht="14.4" hidden="true" customHeight="false" outlineLevel="0" collapsed="false">
      <c r="A14265" s="34" t="n">
        <v>19548302000127</v>
      </c>
      <c r="B14265" s="34" t="s">
        <v>26771</v>
      </c>
      <c r="C14265" s="34" t="s">
        <v>89</v>
      </c>
      <c r="E14265" s="30" t="s">
        <v>26772</v>
      </c>
      <c r="F14265" s="34" t="n">
        <f aca="false">IFERROR(VLOOKUP($A14265,'319'!$B:$H,7,0),0)</f>
        <v>0</v>
      </c>
      <c r="G14265" s="34" t="n">
        <f aca="false">SUMIFS('12.326ana'!$C:$C,'12.326ana'!$M:$M,redes!A14265)</f>
        <v>0</v>
      </c>
    </row>
    <row r="14266" customFormat="false" ht="14.4" hidden="true" customHeight="false" outlineLevel="0" collapsed="false">
      <c r="A14266" s="34" t="n">
        <v>19551507000161</v>
      </c>
      <c r="B14266" s="34" t="s">
        <v>26773</v>
      </c>
      <c r="C14266" s="34" t="s">
        <v>107</v>
      </c>
      <c r="E14266" s="30" t="s">
        <v>26774</v>
      </c>
      <c r="F14266" s="34" t="n">
        <f aca="false">IFERROR(VLOOKUP($A14266,'319'!$B:$H,7,0),0)</f>
        <v>0</v>
      </c>
      <c r="G14266" s="34" t="n">
        <f aca="false">SUMIFS('12.326ana'!$C:$C,'12.326ana'!$M:$M,redes!A14266)</f>
        <v>0</v>
      </c>
    </row>
    <row r="14267" customFormat="false" ht="14.4" hidden="true" customHeight="false" outlineLevel="0" collapsed="false">
      <c r="A14267" s="34" t="n">
        <v>19555503000151</v>
      </c>
      <c r="B14267" s="34" t="s">
        <v>26775</v>
      </c>
      <c r="C14267" s="34" t="s">
        <v>107</v>
      </c>
      <c r="E14267" s="30" t="s">
        <v>26776</v>
      </c>
      <c r="F14267" s="34" t="n">
        <f aca="false">IFERROR(VLOOKUP($A14267,'319'!$B:$H,7,0),0)</f>
        <v>0</v>
      </c>
      <c r="G14267" s="34" t="n">
        <f aca="false">SUMIFS('12.326ana'!$C:$C,'12.326ana'!$M:$M,redes!A14267)</f>
        <v>0</v>
      </c>
    </row>
    <row r="14268" customFormat="false" ht="14.4" hidden="true" customHeight="false" outlineLevel="0" collapsed="false">
      <c r="A14268" s="34" t="n">
        <v>19565640000177</v>
      </c>
      <c r="B14268" s="34" t="s">
        <v>26777</v>
      </c>
      <c r="C14268" s="34" t="s">
        <v>594</v>
      </c>
      <c r="E14268" s="30" t="s">
        <v>3001</v>
      </c>
      <c r="F14268" s="34" t="n">
        <f aca="false">IFERROR(VLOOKUP($A14268,'319'!$B:$H,7,0),0)</f>
        <v>0</v>
      </c>
      <c r="G14268" s="34" t="n">
        <f aca="false">SUMIFS('12.326ana'!$C:$C,'12.326ana'!$M:$M,redes!A14268)</f>
        <v>0</v>
      </c>
    </row>
    <row r="14269" customFormat="false" ht="14.4" hidden="true" customHeight="false" outlineLevel="0" collapsed="false">
      <c r="A14269" s="34" t="n">
        <v>19572391000147</v>
      </c>
      <c r="B14269" s="34" t="s">
        <v>26778</v>
      </c>
      <c r="C14269" s="34" t="s">
        <v>103</v>
      </c>
      <c r="E14269" s="30" t="s">
        <v>26779</v>
      </c>
      <c r="F14269" s="34" t="n">
        <f aca="false">IFERROR(VLOOKUP($A14269,'319'!$B:$H,7,0),0)</f>
        <v>0</v>
      </c>
      <c r="G14269" s="34" t="n">
        <f aca="false">SUMIFS('12.326ana'!$C:$C,'12.326ana'!$M:$M,redes!A14269)</f>
        <v>0</v>
      </c>
    </row>
    <row r="14270" customFormat="false" ht="14.4" hidden="true" customHeight="false" outlineLevel="0" collapsed="false">
      <c r="A14270" s="34" t="n">
        <v>19573379000157</v>
      </c>
      <c r="B14270" s="34" t="s">
        <v>26780</v>
      </c>
      <c r="C14270" s="34" t="s">
        <v>77</v>
      </c>
      <c r="E14270" s="30" t="s">
        <v>26781</v>
      </c>
      <c r="F14270" s="34" t="n">
        <f aca="false">IFERROR(VLOOKUP($A14270,'319'!$B:$H,7,0),0)</f>
        <v>0</v>
      </c>
      <c r="G14270" s="34" t="n">
        <f aca="false">SUMIFS('12.326ana'!$C:$C,'12.326ana'!$M:$M,redes!A14270)</f>
        <v>0</v>
      </c>
    </row>
    <row r="14271" customFormat="false" ht="14.4" hidden="true" customHeight="false" outlineLevel="0" collapsed="false">
      <c r="A14271" s="34" t="n">
        <v>19578078000205</v>
      </c>
      <c r="B14271" s="34" t="s">
        <v>26782</v>
      </c>
      <c r="C14271" s="34" t="s">
        <v>77</v>
      </c>
      <c r="E14271" s="30" t="s">
        <v>20206</v>
      </c>
      <c r="F14271" s="34" t="n">
        <f aca="false">IFERROR(VLOOKUP($A14271,'319'!$B:$H,7,0),0)</f>
        <v>0</v>
      </c>
      <c r="G14271" s="34" t="n">
        <f aca="false">SUMIFS('12.326ana'!$C:$C,'12.326ana'!$M:$M,redes!A14271)</f>
        <v>0</v>
      </c>
    </row>
    <row r="14272" customFormat="false" ht="14.4" hidden="true" customHeight="false" outlineLevel="0" collapsed="false">
      <c r="A14272" s="34" t="n">
        <v>19582214000141</v>
      </c>
      <c r="B14272" s="34" t="s">
        <v>26783</v>
      </c>
      <c r="C14272" s="34" t="s">
        <v>77</v>
      </c>
      <c r="E14272" s="30" t="s">
        <v>4233</v>
      </c>
      <c r="F14272" s="34" t="n">
        <f aca="false">IFERROR(VLOOKUP($A14272,'319'!$B:$H,7,0),0)</f>
        <v>0</v>
      </c>
      <c r="G14272" s="34" t="n">
        <f aca="false">SUMIFS('12.326ana'!$C:$C,'12.326ana'!$M:$M,redes!A14272)</f>
        <v>0</v>
      </c>
    </row>
    <row r="14273" customFormat="false" ht="14.4" hidden="true" customHeight="false" outlineLevel="0" collapsed="false">
      <c r="A14273" s="34" t="n">
        <v>19585896000146</v>
      </c>
      <c r="B14273" s="34" t="s">
        <v>26784</v>
      </c>
      <c r="C14273" s="34" t="s">
        <v>213</v>
      </c>
      <c r="E14273" s="30" t="s">
        <v>3333</v>
      </c>
      <c r="F14273" s="34" t="n">
        <f aca="false">IFERROR(VLOOKUP($A14273,'319'!$B:$H,7,0),0)</f>
        <v>0</v>
      </c>
      <c r="G14273" s="34" t="n">
        <f aca="false">SUMIFS('12.326ana'!$C:$C,'12.326ana'!$M:$M,redes!A14273)</f>
        <v>0</v>
      </c>
    </row>
    <row r="14274" customFormat="false" ht="14.4" hidden="true" customHeight="false" outlineLevel="0" collapsed="false">
      <c r="A14274" s="34" t="n">
        <v>19586100000170</v>
      </c>
      <c r="B14274" s="34" t="s">
        <v>26785</v>
      </c>
      <c r="C14274" s="34" t="s">
        <v>77</v>
      </c>
      <c r="E14274" s="30" t="s">
        <v>26786</v>
      </c>
      <c r="F14274" s="34" t="n">
        <f aca="false">IFERROR(VLOOKUP($A14274,'319'!$B:$H,7,0),0)</f>
        <v>0</v>
      </c>
      <c r="G14274" s="34" t="n">
        <f aca="false">SUMIFS('12.326ana'!$C:$C,'12.326ana'!$M:$M,redes!A14274)</f>
        <v>0</v>
      </c>
    </row>
    <row r="14275" customFormat="false" ht="14.4" hidden="true" customHeight="false" outlineLevel="0" collapsed="false">
      <c r="A14275" s="34" t="n">
        <v>19586570000133</v>
      </c>
      <c r="B14275" s="34" t="s">
        <v>26787</v>
      </c>
      <c r="C14275" s="34" t="s">
        <v>107</v>
      </c>
      <c r="E14275" s="30" t="s">
        <v>26788</v>
      </c>
      <c r="F14275" s="34" t="n">
        <f aca="false">IFERROR(VLOOKUP($A14275,'319'!$B:$H,7,0),0)</f>
        <v>0</v>
      </c>
      <c r="G14275" s="34" t="n">
        <f aca="false">SUMIFS('12.326ana'!$C:$C,'12.326ana'!$M:$M,redes!A14275)</f>
        <v>0</v>
      </c>
    </row>
    <row r="14276" customFormat="false" ht="14.4" hidden="true" customHeight="false" outlineLevel="0" collapsed="false">
      <c r="A14276" s="34" t="n">
        <v>19587634000110</v>
      </c>
      <c r="B14276" s="34" t="s">
        <v>26789</v>
      </c>
      <c r="C14276" s="34" t="s">
        <v>77</v>
      </c>
      <c r="E14276" s="30" t="s">
        <v>26789</v>
      </c>
      <c r="F14276" s="34" t="n">
        <f aca="false">IFERROR(VLOOKUP($A14276,'319'!$B:$H,7,0),0)</f>
        <v>0</v>
      </c>
      <c r="G14276" s="34" t="n">
        <f aca="false">SUMIFS('12.326ana'!$C:$C,'12.326ana'!$M:$M,redes!A14276)</f>
        <v>0</v>
      </c>
    </row>
    <row r="14277" customFormat="false" ht="14.4" hidden="true" customHeight="false" outlineLevel="0" collapsed="false">
      <c r="A14277" s="34" t="n">
        <v>19589164000124</v>
      </c>
      <c r="B14277" s="34" t="s">
        <v>26790</v>
      </c>
      <c r="C14277" s="34" t="s">
        <v>77</v>
      </c>
      <c r="E14277" s="30" t="s">
        <v>26791</v>
      </c>
      <c r="F14277" s="34" t="n">
        <f aca="false">IFERROR(VLOOKUP($A14277,'319'!$B:$H,7,0),0)</f>
        <v>0</v>
      </c>
      <c r="G14277" s="34" t="n">
        <f aca="false">SUMIFS('12.326ana'!$C:$C,'12.326ana'!$M:$M,redes!A14277)</f>
        <v>0</v>
      </c>
    </row>
    <row r="14278" customFormat="false" ht="14.4" hidden="true" customHeight="false" outlineLevel="0" collapsed="false">
      <c r="A14278" s="34" t="n">
        <v>19590649000138</v>
      </c>
      <c r="B14278" s="34" t="s">
        <v>26792</v>
      </c>
      <c r="C14278" s="34" t="s">
        <v>77</v>
      </c>
      <c r="E14278" s="30" t="s">
        <v>26793</v>
      </c>
      <c r="F14278" s="34" t="n">
        <f aca="false">IFERROR(VLOOKUP($A14278,'319'!$B:$H,7,0),0)</f>
        <v>0</v>
      </c>
      <c r="G14278" s="34" t="n">
        <f aca="false">SUMIFS('12.326ana'!$C:$C,'12.326ana'!$M:$M,redes!A14278)</f>
        <v>0</v>
      </c>
    </row>
    <row r="14279" customFormat="false" ht="14.4" hidden="true" customHeight="false" outlineLevel="0" collapsed="false">
      <c r="A14279" s="34" t="n">
        <v>19596541000152</v>
      </c>
      <c r="B14279" s="34" t="s">
        <v>26794</v>
      </c>
      <c r="C14279" s="34" t="s">
        <v>342</v>
      </c>
      <c r="E14279" s="30" t="s">
        <v>26795</v>
      </c>
      <c r="F14279" s="34" t="n">
        <f aca="false">IFERROR(VLOOKUP($A14279,'319'!$B:$H,7,0),0)</f>
        <v>0</v>
      </c>
      <c r="G14279" s="34" t="n">
        <f aca="false">SUMIFS('12.326ana'!$C:$C,'12.326ana'!$M:$M,redes!A14279)</f>
        <v>0</v>
      </c>
    </row>
    <row r="14280" customFormat="false" ht="14.4" hidden="true" customHeight="false" outlineLevel="0" collapsed="false">
      <c r="A14280" s="34" t="n">
        <v>19597267000136</v>
      </c>
      <c r="B14280" s="34" t="s">
        <v>26796</v>
      </c>
      <c r="C14280" s="34" t="s">
        <v>139</v>
      </c>
      <c r="D14280" s="34" t="s">
        <v>26797</v>
      </c>
      <c r="E14280" s="30" t="s">
        <v>7695</v>
      </c>
      <c r="F14280" s="34" t="n">
        <f aca="false">IFERROR(VLOOKUP($A14280,'319'!$B:$H,7,0),0)</f>
        <v>0</v>
      </c>
      <c r="G14280" s="34" t="n">
        <f aca="false">SUMIFS('12.326ana'!$C:$C,'12.326ana'!$M:$M,redes!A14280)</f>
        <v>0</v>
      </c>
    </row>
    <row r="14281" customFormat="false" ht="14.4" hidden="true" customHeight="false" outlineLevel="0" collapsed="false">
      <c r="A14281" s="34" t="n">
        <v>19597267000217</v>
      </c>
      <c r="B14281" s="34" t="s">
        <v>26796</v>
      </c>
      <c r="C14281" s="34" t="s">
        <v>139</v>
      </c>
      <c r="D14281" s="34" t="s">
        <v>26797</v>
      </c>
      <c r="E14281" s="30" t="s">
        <v>26798</v>
      </c>
      <c r="F14281" s="34" t="n">
        <f aca="false">IFERROR(VLOOKUP($A14281,'319'!$B:$H,7,0),0)</f>
        <v>0</v>
      </c>
      <c r="G14281" s="34" t="n">
        <f aca="false">SUMIFS('12.326ana'!$C:$C,'12.326ana'!$M:$M,redes!A14281)</f>
        <v>0</v>
      </c>
    </row>
    <row r="14282" customFormat="false" ht="14.4" hidden="true" customHeight="false" outlineLevel="0" collapsed="false">
      <c r="A14282" s="34" t="n">
        <v>19599801000143</v>
      </c>
      <c r="B14282" s="34" t="s">
        <v>26799</v>
      </c>
      <c r="C14282" s="34" t="s">
        <v>463</v>
      </c>
      <c r="E14282" s="30" t="s">
        <v>7401</v>
      </c>
      <c r="F14282" s="34" t="n">
        <f aca="false">IFERROR(VLOOKUP($A14282,'319'!$B:$H,7,0),0)</f>
        <v>0</v>
      </c>
      <c r="G14282" s="34" t="n">
        <f aca="false">SUMIFS('12.326ana'!$C:$C,'12.326ana'!$M:$M,redes!A14282)</f>
        <v>0</v>
      </c>
    </row>
    <row r="14283" customFormat="false" ht="14.4" hidden="true" customHeight="false" outlineLevel="0" collapsed="false">
      <c r="A14283" s="34" t="n">
        <v>19609865000188</v>
      </c>
      <c r="B14283" s="34" t="s">
        <v>26800</v>
      </c>
      <c r="C14283" s="34" t="s">
        <v>737</v>
      </c>
      <c r="E14283" s="30" t="s">
        <v>4937</v>
      </c>
      <c r="F14283" s="34" t="n">
        <f aca="false">IFERROR(VLOOKUP($A14283,'319'!$B:$H,7,0),0)</f>
        <v>0</v>
      </c>
      <c r="G14283" s="34" t="n">
        <f aca="false">SUMIFS('12.326ana'!$C:$C,'12.326ana'!$M:$M,redes!A14283)</f>
        <v>0</v>
      </c>
    </row>
    <row r="14284" customFormat="false" ht="14.4" hidden="true" customHeight="false" outlineLevel="0" collapsed="false">
      <c r="A14284" s="34" t="n">
        <v>19621681000133</v>
      </c>
      <c r="B14284" s="34" t="s">
        <v>415</v>
      </c>
      <c r="C14284" s="34" t="s">
        <v>377</v>
      </c>
      <c r="E14284" s="30" t="s">
        <v>4537</v>
      </c>
      <c r="F14284" s="34" t="n">
        <f aca="false">IFERROR(VLOOKUP($A14284,'319'!$B:$H,7,0),0)</f>
        <v>343.35</v>
      </c>
      <c r="G14284" s="34" t="n">
        <f aca="false">SUMIFS('12.326ana'!$C:$C,'12.326ana'!$M:$M,redes!A14284)</f>
        <v>126.5</v>
      </c>
    </row>
    <row r="14285" customFormat="false" ht="14.4" hidden="true" customHeight="false" outlineLevel="0" collapsed="false">
      <c r="A14285" s="34" t="n">
        <v>19628996000102</v>
      </c>
      <c r="B14285" s="34" t="s">
        <v>26801</v>
      </c>
      <c r="C14285" s="34" t="s">
        <v>77</v>
      </c>
      <c r="E14285" s="30" t="s">
        <v>26802</v>
      </c>
      <c r="F14285" s="34" t="n">
        <f aca="false">IFERROR(VLOOKUP($A14285,'319'!$B:$H,7,0),0)</f>
        <v>0</v>
      </c>
      <c r="G14285" s="34" t="n">
        <f aca="false">SUMIFS('12.326ana'!$C:$C,'12.326ana'!$M:$M,redes!A14285)</f>
        <v>0</v>
      </c>
    </row>
    <row r="14286" customFormat="false" ht="14.4" hidden="true" customHeight="false" outlineLevel="0" collapsed="false">
      <c r="A14286" s="34" t="n">
        <v>19631163000109</v>
      </c>
      <c r="B14286" s="34" t="s">
        <v>26803</v>
      </c>
      <c r="C14286" s="34" t="s">
        <v>463</v>
      </c>
      <c r="E14286" s="30" t="s">
        <v>25838</v>
      </c>
      <c r="F14286" s="34" t="n">
        <f aca="false">IFERROR(VLOOKUP($A14286,'319'!$B:$H,7,0),0)</f>
        <v>0</v>
      </c>
      <c r="G14286" s="34" t="n">
        <f aca="false">SUMIFS('12.326ana'!$C:$C,'12.326ana'!$M:$M,redes!A14286)</f>
        <v>0</v>
      </c>
    </row>
    <row r="14287" customFormat="false" ht="14.4" hidden="true" customHeight="false" outlineLevel="0" collapsed="false">
      <c r="A14287" s="34" t="n">
        <v>19639941000106</v>
      </c>
      <c r="B14287" s="34" t="s">
        <v>26804</v>
      </c>
      <c r="C14287" s="34" t="s">
        <v>3594</v>
      </c>
      <c r="E14287" s="30" t="s">
        <v>26805</v>
      </c>
      <c r="F14287" s="34" t="n">
        <f aca="false">IFERROR(VLOOKUP($A14287,'319'!$B:$H,7,0),0)</f>
        <v>0</v>
      </c>
      <c r="G14287" s="34" t="n">
        <f aca="false">SUMIFS('12.326ana'!$C:$C,'12.326ana'!$M:$M,redes!A14287)</f>
        <v>0</v>
      </c>
    </row>
    <row r="14288" customFormat="false" ht="14.4" hidden="true" customHeight="false" outlineLevel="0" collapsed="false">
      <c r="A14288" s="34" t="n">
        <v>19648837000170</v>
      </c>
      <c r="B14288" s="34" t="s">
        <v>26806</v>
      </c>
      <c r="C14288" s="34" t="s">
        <v>357</v>
      </c>
      <c r="E14288" s="30" t="s">
        <v>26807</v>
      </c>
      <c r="F14288" s="34" t="n">
        <f aca="false">IFERROR(VLOOKUP($A14288,'319'!$B:$H,7,0),0)</f>
        <v>0</v>
      </c>
      <c r="G14288" s="34" t="n">
        <f aca="false">SUMIFS('12.326ana'!$C:$C,'12.326ana'!$M:$M,redes!A14288)</f>
        <v>0</v>
      </c>
    </row>
    <row r="14289" customFormat="false" ht="14.4" hidden="true" customHeight="false" outlineLevel="0" collapsed="false">
      <c r="A14289" s="34" t="n">
        <v>19649959000180</v>
      </c>
      <c r="B14289" s="34" t="s">
        <v>26808</v>
      </c>
      <c r="C14289" s="34" t="s">
        <v>77</v>
      </c>
      <c r="E14289" s="30" t="s">
        <v>10370</v>
      </c>
      <c r="F14289" s="34" t="n">
        <f aca="false">IFERROR(VLOOKUP($A14289,'319'!$B:$H,7,0),0)</f>
        <v>0</v>
      </c>
      <c r="G14289" s="34" t="n">
        <f aca="false">SUMIFS('12.326ana'!$C:$C,'12.326ana'!$M:$M,redes!A14289)</f>
        <v>0</v>
      </c>
    </row>
    <row r="14290" customFormat="false" ht="14.4" hidden="true" customHeight="false" outlineLevel="0" collapsed="false">
      <c r="A14290" s="34" t="n">
        <v>19661634000113</v>
      </c>
      <c r="B14290" s="34" t="s">
        <v>26809</v>
      </c>
      <c r="C14290" s="34" t="s">
        <v>342</v>
      </c>
      <c r="E14290" s="30" t="s">
        <v>26810</v>
      </c>
      <c r="F14290" s="34" t="n">
        <f aca="false">IFERROR(VLOOKUP($A14290,'319'!$B:$H,7,0),0)</f>
        <v>0</v>
      </c>
      <c r="G14290" s="34" t="n">
        <f aca="false">SUMIFS('12.326ana'!$C:$C,'12.326ana'!$M:$M,redes!A14290)</f>
        <v>0</v>
      </c>
    </row>
    <row r="14291" customFormat="false" ht="14.4" hidden="true" customHeight="false" outlineLevel="0" collapsed="false">
      <c r="A14291" s="34" t="n">
        <v>19664229000159</v>
      </c>
      <c r="B14291" s="34" t="s">
        <v>26811</v>
      </c>
      <c r="C14291" s="34" t="s">
        <v>107</v>
      </c>
      <c r="E14291" s="30" t="s">
        <v>26812</v>
      </c>
      <c r="F14291" s="34" t="n">
        <f aca="false">IFERROR(VLOOKUP($A14291,'319'!$B:$H,7,0),0)</f>
        <v>0</v>
      </c>
      <c r="G14291" s="34" t="n">
        <f aca="false">SUMIFS('12.326ana'!$C:$C,'12.326ana'!$M:$M,redes!A14291)</f>
        <v>0</v>
      </c>
    </row>
    <row r="14292" customFormat="false" ht="14.4" hidden="true" customHeight="false" outlineLevel="0" collapsed="false">
      <c r="A14292" s="34" t="n">
        <v>19667744000192</v>
      </c>
      <c r="B14292" s="34" t="s">
        <v>26813</v>
      </c>
      <c r="C14292" s="34" t="s">
        <v>117</v>
      </c>
      <c r="E14292" s="30" t="s">
        <v>26814</v>
      </c>
      <c r="F14292" s="34" t="n">
        <f aca="false">IFERROR(VLOOKUP($A14292,'319'!$B:$H,7,0),0)</f>
        <v>0</v>
      </c>
      <c r="G14292" s="34" t="n">
        <f aca="false">SUMIFS('12.326ana'!$C:$C,'12.326ana'!$M:$M,redes!A14292)</f>
        <v>0</v>
      </c>
    </row>
    <row r="14293" customFormat="false" ht="14.4" hidden="true" customHeight="false" outlineLevel="0" collapsed="false">
      <c r="A14293" s="34" t="n">
        <v>19688122000140</v>
      </c>
      <c r="B14293" s="34" t="s">
        <v>26815</v>
      </c>
      <c r="C14293" s="34" t="s">
        <v>77</v>
      </c>
      <c r="E14293" s="30" t="s">
        <v>26816</v>
      </c>
      <c r="F14293" s="34" t="n">
        <f aca="false">IFERROR(VLOOKUP($A14293,'319'!$B:$H,7,0),0)</f>
        <v>0</v>
      </c>
      <c r="G14293" s="34" t="n">
        <f aca="false">SUMIFS('12.326ana'!$C:$C,'12.326ana'!$M:$M,redes!A14293)</f>
        <v>0</v>
      </c>
    </row>
    <row r="14294" customFormat="false" ht="14.4" hidden="true" customHeight="false" outlineLevel="0" collapsed="false">
      <c r="A14294" s="34" t="n">
        <v>19688526000800</v>
      </c>
      <c r="B14294" s="34" t="s">
        <v>26817</v>
      </c>
      <c r="C14294" s="34" t="s">
        <v>139</v>
      </c>
      <c r="E14294" s="30" t="s">
        <v>26817</v>
      </c>
      <c r="F14294" s="34" t="n">
        <f aca="false">IFERROR(VLOOKUP($A14294,'319'!$B:$H,7,0),0)</f>
        <v>0</v>
      </c>
      <c r="G14294" s="34" t="n">
        <f aca="false">SUMIFS('12.326ana'!$C:$C,'12.326ana'!$M:$M,redes!A14294)</f>
        <v>0</v>
      </c>
    </row>
    <row r="14295" customFormat="false" ht="14.4" hidden="true" customHeight="false" outlineLevel="0" collapsed="false">
      <c r="A14295" s="34" t="n">
        <v>19702743000131</v>
      </c>
      <c r="B14295" s="34" t="s">
        <v>26818</v>
      </c>
      <c r="C14295" s="34" t="s">
        <v>139</v>
      </c>
      <c r="E14295" s="30" t="s">
        <v>26819</v>
      </c>
      <c r="F14295" s="34" t="n">
        <f aca="false">IFERROR(VLOOKUP($A14295,'319'!$B:$H,7,0),0)</f>
        <v>0</v>
      </c>
      <c r="G14295" s="34" t="n">
        <f aca="false">SUMIFS('12.326ana'!$C:$C,'12.326ana'!$M:$M,redes!A14295)</f>
        <v>0</v>
      </c>
    </row>
    <row r="14296" customFormat="false" ht="14.4" hidden="true" customHeight="false" outlineLevel="0" collapsed="false">
      <c r="A14296" s="34" t="n">
        <v>19705905000195</v>
      </c>
      <c r="B14296" s="34" t="s">
        <v>26820</v>
      </c>
      <c r="C14296" s="34" t="s">
        <v>1680</v>
      </c>
      <c r="E14296" s="30" t="s">
        <v>26821</v>
      </c>
      <c r="F14296" s="34" t="n">
        <f aca="false">IFERROR(VLOOKUP($A14296,'319'!$B:$H,7,0),0)</f>
        <v>0</v>
      </c>
      <c r="G14296" s="34" t="n">
        <f aca="false">SUMIFS('12.326ana'!$C:$C,'12.326ana'!$M:$M,redes!A14296)</f>
        <v>0</v>
      </c>
    </row>
    <row r="14297" customFormat="false" ht="14.4" hidden="true" customHeight="false" outlineLevel="0" collapsed="false">
      <c r="A14297" s="34" t="n">
        <v>19710620000142</v>
      </c>
      <c r="B14297" s="34" t="s">
        <v>26822</v>
      </c>
      <c r="C14297" s="34" t="s">
        <v>594</v>
      </c>
      <c r="E14297" s="30" t="s">
        <v>26823</v>
      </c>
      <c r="F14297" s="34" t="n">
        <f aca="false">IFERROR(VLOOKUP($A14297,'319'!$B:$H,7,0),0)</f>
        <v>0</v>
      </c>
      <c r="G14297" s="34" t="n">
        <f aca="false">SUMIFS('12.326ana'!$C:$C,'12.326ana'!$M:$M,redes!A14297)</f>
        <v>0</v>
      </c>
    </row>
    <row r="14298" customFormat="false" ht="14.4" hidden="true" customHeight="false" outlineLevel="0" collapsed="false">
      <c r="A14298" s="34" t="n">
        <v>19711996000171</v>
      </c>
      <c r="B14298" s="34" t="s">
        <v>26824</v>
      </c>
      <c r="C14298" s="34" t="s">
        <v>89</v>
      </c>
      <c r="E14298" s="30" t="s">
        <v>26825</v>
      </c>
      <c r="F14298" s="34" t="n">
        <f aca="false">IFERROR(VLOOKUP($A14298,'319'!$B:$H,7,0),0)</f>
        <v>0</v>
      </c>
      <c r="G14298" s="34" t="n">
        <f aca="false">SUMIFS('12.326ana'!$C:$C,'12.326ana'!$M:$M,redes!A14298)</f>
        <v>0</v>
      </c>
    </row>
    <row r="14299" customFormat="false" ht="14.4" hidden="true" customHeight="false" outlineLevel="0" collapsed="false">
      <c r="A14299" s="34" t="n">
        <v>19714077000151</v>
      </c>
      <c r="B14299" s="34" t="s">
        <v>26826</v>
      </c>
      <c r="C14299" s="34" t="s">
        <v>103</v>
      </c>
      <c r="E14299" s="30" t="s">
        <v>26827</v>
      </c>
      <c r="F14299" s="34" t="n">
        <f aca="false">IFERROR(VLOOKUP($A14299,'319'!$B:$H,7,0),0)</f>
        <v>0</v>
      </c>
      <c r="G14299" s="34" t="n">
        <f aca="false">SUMIFS('12.326ana'!$C:$C,'12.326ana'!$M:$M,redes!A14299)</f>
        <v>0</v>
      </c>
    </row>
    <row r="14300" customFormat="false" ht="14.4" hidden="true" customHeight="false" outlineLevel="0" collapsed="false">
      <c r="A14300" s="34" t="n">
        <v>19719172000148</v>
      </c>
      <c r="B14300" s="34" t="s">
        <v>26828</v>
      </c>
      <c r="C14300" s="34" t="s">
        <v>192</v>
      </c>
      <c r="E14300" s="30" t="s">
        <v>26829</v>
      </c>
      <c r="F14300" s="34" t="n">
        <f aca="false">IFERROR(VLOOKUP($A14300,'319'!$B:$H,7,0),0)</f>
        <v>0</v>
      </c>
      <c r="G14300" s="34" t="n">
        <f aca="false">SUMIFS('12.326ana'!$C:$C,'12.326ana'!$M:$M,redes!A14300)</f>
        <v>0</v>
      </c>
    </row>
    <row r="14301" customFormat="false" ht="14.4" hidden="true" customHeight="false" outlineLevel="0" collapsed="false">
      <c r="A14301" s="34" t="n">
        <v>19723969000119</v>
      </c>
      <c r="B14301" s="34" t="s">
        <v>26830</v>
      </c>
      <c r="C14301" s="34" t="s">
        <v>77</v>
      </c>
      <c r="E14301" s="30" t="s">
        <v>26831</v>
      </c>
      <c r="F14301" s="34" t="n">
        <f aca="false">IFERROR(VLOOKUP($A14301,'319'!$B:$H,7,0),0)</f>
        <v>0</v>
      </c>
      <c r="G14301" s="34" t="n">
        <f aca="false">SUMIFS('12.326ana'!$C:$C,'12.326ana'!$M:$M,redes!A14301)</f>
        <v>0</v>
      </c>
    </row>
    <row r="14302" customFormat="false" ht="14.4" hidden="true" customHeight="false" outlineLevel="0" collapsed="false">
      <c r="A14302" s="34" t="n">
        <v>19724120000160</v>
      </c>
      <c r="B14302" s="34" t="s">
        <v>26832</v>
      </c>
      <c r="C14302" s="34" t="s">
        <v>192</v>
      </c>
      <c r="E14302" s="30" t="s">
        <v>8024</v>
      </c>
      <c r="F14302" s="34" t="n">
        <f aca="false">IFERROR(VLOOKUP($A14302,'319'!$B:$H,7,0),0)</f>
        <v>65.52</v>
      </c>
      <c r="G14302" s="34" t="n">
        <f aca="false">SUMIFS('12.326ana'!$C:$C,'12.326ana'!$M:$M,redes!A14302)</f>
        <v>0</v>
      </c>
    </row>
    <row r="14303" customFormat="false" ht="14.4" hidden="true" customHeight="false" outlineLevel="0" collapsed="false">
      <c r="A14303" s="34" t="n">
        <v>19725771000174</v>
      </c>
      <c r="B14303" s="34" t="s">
        <v>26833</v>
      </c>
      <c r="C14303" s="34" t="s">
        <v>737</v>
      </c>
      <c r="E14303" s="30" t="s">
        <v>6974</v>
      </c>
      <c r="F14303" s="34" t="n">
        <f aca="false">IFERROR(VLOOKUP($A14303,'319'!$B:$H,7,0),0)</f>
        <v>0</v>
      </c>
      <c r="G14303" s="34" t="n">
        <f aca="false">SUMIFS('12.326ana'!$C:$C,'12.326ana'!$M:$M,redes!A14303)</f>
        <v>0</v>
      </c>
    </row>
    <row r="14304" customFormat="false" ht="14.4" hidden="true" customHeight="false" outlineLevel="0" collapsed="false">
      <c r="A14304" s="34" t="n">
        <v>19731340000110</v>
      </c>
      <c r="B14304" s="34" t="s">
        <v>26834</v>
      </c>
      <c r="C14304" s="34" t="s">
        <v>475</v>
      </c>
      <c r="E14304" s="30" t="s">
        <v>4223</v>
      </c>
      <c r="F14304" s="34" t="n">
        <f aca="false">IFERROR(VLOOKUP($A14304,'319'!$B:$H,7,0),0)</f>
        <v>0</v>
      </c>
      <c r="G14304" s="34" t="n">
        <f aca="false">SUMIFS('12.326ana'!$C:$C,'12.326ana'!$M:$M,redes!A14304)</f>
        <v>0</v>
      </c>
    </row>
    <row r="14305" customFormat="false" ht="14.4" hidden="true" customHeight="false" outlineLevel="0" collapsed="false">
      <c r="A14305" s="34" t="n">
        <v>19737587000144</v>
      </c>
      <c r="B14305" s="34" t="s">
        <v>26835</v>
      </c>
      <c r="C14305" s="34" t="s">
        <v>4418</v>
      </c>
      <c r="E14305" s="30" t="s">
        <v>26835</v>
      </c>
      <c r="F14305" s="34" t="n">
        <f aca="false">IFERROR(VLOOKUP($A14305,'319'!$B:$H,7,0),0)</f>
        <v>0</v>
      </c>
      <c r="G14305" s="34" t="n">
        <f aca="false">SUMIFS('12.326ana'!$C:$C,'12.326ana'!$M:$M,redes!A14305)</f>
        <v>0</v>
      </c>
    </row>
    <row r="14306" customFormat="false" ht="14.4" hidden="true" customHeight="false" outlineLevel="0" collapsed="false">
      <c r="A14306" s="34" t="n">
        <v>19738520000124</v>
      </c>
      <c r="B14306" s="34" t="s">
        <v>26836</v>
      </c>
      <c r="C14306" s="34" t="s">
        <v>77</v>
      </c>
      <c r="E14306" s="30" t="s">
        <v>26837</v>
      </c>
      <c r="F14306" s="34" t="n">
        <f aca="false">IFERROR(VLOOKUP($A14306,'319'!$B:$H,7,0),0)</f>
        <v>0</v>
      </c>
      <c r="G14306" s="34" t="n">
        <f aca="false">SUMIFS('12.326ana'!$C:$C,'12.326ana'!$M:$M,redes!A14306)</f>
        <v>0</v>
      </c>
    </row>
    <row r="14307" customFormat="false" ht="14.4" hidden="true" customHeight="false" outlineLevel="0" collapsed="false">
      <c r="A14307" s="34" t="n">
        <v>19744159000149</v>
      </c>
      <c r="B14307" s="34" t="s">
        <v>26838</v>
      </c>
      <c r="C14307" s="34" t="s">
        <v>129</v>
      </c>
      <c r="E14307" s="30" t="s">
        <v>26839</v>
      </c>
      <c r="F14307" s="34" t="n">
        <f aca="false">IFERROR(VLOOKUP($A14307,'319'!$B:$H,7,0),0)</f>
        <v>0</v>
      </c>
      <c r="G14307" s="34" t="n">
        <f aca="false">SUMIFS('12.326ana'!$C:$C,'12.326ana'!$M:$M,redes!A14307)</f>
        <v>0</v>
      </c>
    </row>
    <row r="14308" customFormat="false" ht="14.4" hidden="true" customHeight="false" outlineLevel="0" collapsed="false">
      <c r="A14308" s="34" t="n">
        <v>19747884000170</v>
      </c>
      <c r="B14308" s="34" t="s">
        <v>3925</v>
      </c>
      <c r="C14308" s="34" t="s">
        <v>192</v>
      </c>
      <c r="E14308" s="30" t="s">
        <v>3809</v>
      </c>
      <c r="F14308" s="34" t="n">
        <f aca="false">IFERROR(VLOOKUP($A14308,'319'!$B:$H,7,0),0)</f>
        <v>0</v>
      </c>
      <c r="G14308" s="34" t="n">
        <f aca="false">SUMIFS('12.326ana'!$C:$C,'12.326ana'!$M:$M,redes!A14308)</f>
        <v>0</v>
      </c>
    </row>
    <row r="14309" customFormat="false" ht="14.4" hidden="true" customHeight="false" outlineLevel="0" collapsed="false">
      <c r="A14309" s="34" t="n">
        <v>19755960000190</v>
      </c>
      <c r="B14309" s="34" t="s">
        <v>26840</v>
      </c>
      <c r="C14309" s="34" t="s">
        <v>77</v>
      </c>
      <c r="E14309" s="30" t="s">
        <v>26841</v>
      </c>
      <c r="F14309" s="34" t="n">
        <f aca="false">IFERROR(VLOOKUP($A14309,'319'!$B:$H,7,0),0)</f>
        <v>0</v>
      </c>
      <c r="G14309" s="34" t="n">
        <f aca="false">SUMIFS('12.326ana'!$C:$C,'12.326ana'!$M:$M,redes!A14309)</f>
        <v>0</v>
      </c>
    </row>
    <row r="14310" customFormat="false" ht="14.4" hidden="true" customHeight="false" outlineLevel="0" collapsed="false">
      <c r="A14310" s="34" t="n">
        <v>19759215000119</v>
      </c>
      <c r="B14310" s="34" t="s">
        <v>26842</v>
      </c>
      <c r="C14310" s="34" t="s">
        <v>464</v>
      </c>
      <c r="E14310" s="30" t="s">
        <v>26843</v>
      </c>
      <c r="F14310" s="34" t="n">
        <f aca="false">IFERROR(VLOOKUP($A14310,'319'!$B:$H,7,0),0)</f>
        <v>0</v>
      </c>
      <c r="G14310" s="34" t="n">
        <f aca="false">SUMIFS('12.326ana'!$C:$C,'12.326ana'!$M:$M,redes!A14310)</f>
        <v>0</v>
      </c>
    </row>
    <row r="14311" customFormat="false" ht="14.4" hidden="true" customHeight="false" outlineLevel="0" collapsed="false">
      <c r="A14311" s="34" t="n">
        <v>19768609000133</v>
      </c>
      <c r="B14311" s="34" t="s">
        <v>6922</v>
      </c>
      <c r="C14311" s="34" t="s">
        <v>192</v>
      </c>
      <c r="E14311" s="30" t="s">
        <v>3076</v>
      </c>
      <c r="F14311" s="34" t="n">
        <f aca="false">IFERROR(VLOOKUP($A14311,'319'!$B:$H,7,0),0)</f>
        <v>0</v>
      </c>
      <c r="G14311" s="34" t="n">
        <f aca="false">SUMIFS('12.326ana'!$C:$C,'12.326ana'!$M:$M,redes!A14311)</f>
        <v>0</v>
      </c>
    </row>
    <row r="14312" customFormat="false" ht="14.4" hidden="true" customHeight="false" outlineLevel="0" collapsed="false">
      <c r="A14312" s="34" t="n">
        <v>19777372000157</v>
      </c>
      <c r="B14312" s="34" t="s">
        <v>26844</v>
      </c>
      <c r="C14312" s="34" t="s">
        <v>192</v>
      </c>
      <c r="E14312" s="30" t="s">
        <v>26845</v>
      </c>
      <c r="F14312" s="34" t="n">
        <f aca="false">IFERROR(VLOOKUP($A14312,'319'!$B:$H,7,0),0)</f>
        <v>0</v>
      </c>
      <c r="G14312" s="34" t="n">
        <f aca="false">SUMIFS('12.326ana'!$C:$C,'12.326ana'!$M:$M,redes!A14312)</f>
        <v>0</v>
      </c>
    </row>
    <row r="14313" customFormat="false" ht="14.4" hidden="true" customHeight="false" outlineLevel="0" collapsed="false">
      <c r="A14313" s="34" t="n">
        <v>19780929000109</v>
      </c>
      <c r="B14313" s="34" t="s">
        <v>26846</v>
      </c>
      <c r="C14313" s="34" t="s">
        <v>77</v>
      </c>
      <c r="E14313" s="30" t="s">
        <v>26847</v>
      </c>
      <c r="F14313" s="34" t="n">
        <f aca="false">IFERROR(VLOOKUP($A14313,'319'!$B:$H,7,0),0)</f>
        <v>0</v>
      </c>
      <c r="G14313" s="34" t="n">
        <f aca="false">SUMIFS('12.326ana'!$C:$C,'12.326ana'!$M:$M,redes!A14313)</f>
        <v>0</v>
      </c>
    </row>
    <row r="14314" customFormat="false" ht="14.4" hidden="true" customHeight="false" outlineLevel="0" collapsed="false">
      <c r="A14314" s="34" t="n">
        <v>19785746000186</v>
      </c>
      <c r="B14314" s="34" t="s">
        <v>26848</v>
      </c>
      <c r="C14314" s="34" t="s">
        <v>594</v>
      </c>
      <c r="E14314" s="30" t="s">
        <v>26849</v>
      </c>
      <c r="F14314" s="34" t="n">
        <f aca="false">IFERROR(VLOOKUP($A14314,'319'!$B:$H,7,0),0)</f>
        <v>0</v>
      </c>
      <c r="G14314" s="34" t="n">
        <f aca="false">SUMIFS('12.326ana'!$C:$C,'12.326ana'!$M:$M,redes!A14314)</f>
        <v>0</v>
      </c>
    </row>
    <row r="14315" customFormat="false" ht="14.4" hidden="true" customHeight="false" outlineLevel="0" collapsed="false">
      <c r="A14315" s="34" t="n">
        <v>19788357000104</v>
      </c>
      <c r="B14315" s="34" t="s">
        <v>26850</v>
      </c>
      <c r="C14315" s="34" t="s">
        <v>342</v>
      </c>
      <c r="E14315" s="30" t="s">
        <v>15312</v>
      </c>
      <c r="F14315" s="34" t="n">
        <f aca="false">IFERROR(VLOOKUP($A14315,'319'!$B:$H,7,0),0)</f>
        <v>0</v>
      </c>
      <c r="G14315" s="34" t="n">
        <f aca="false">SUMIFS('12.326ana'!$C:$C,'12.326ana'!$M:$M,redes!A14315)</f>
        <v>0</v>
      </c>
    </row>
    <row r="14316" customFormat="false" ht="14.4" hidden="true" customHeight="false" outlineLevel="0" collapsed="false">
      <c r="A14316" s="34" t="n">
        <v>19790432000171</v>
      </c>
      <c r="B14316" s="34" t="s">
        <v>26851</v>
      </c>
      <c r="C14316" s="34" t="s">
        <v>107</v>
      </c>
      <c r="E14316" s="30" t="s">
        <v>26852</v>
      </c>
      <c r="F14316" s="34" t="n">
        <f aca="false">IFERROR(VLOOKUP($A14316,'319'!$B:$H,7,0),0)</f>
        <v>0</v>
      </c>
      <c r="G14316" s="34" t="n">
        <f aca="false">SUMIFS('12.326ana'!$C:$C,'12.326ana'!$M:$M,redes!A14316)</f>
        <v>0</v>
      </c>
    </row>
    <row r="14317" customFormat="false" ht="14.4" hidden="true" customHeight="false" outlineLevel="0" collapsed="false">
      <c r="A14317" s="34" t="n">
        <v>19792871000113</v>
      </c>
      <c r="B14317" s="34" t="s">
        <v>26853</v>
      </c>
      <c r="C14317" s="34" t="s">
        <v>129</v>
      </c>
      <c r="E14317" s="30" t="s">
        <v>13273</v>
      </c>
      <c r="F14317" s="34" t="n">
        <f aca="false">IFERROR(VLOOKUP($A14317,'319'!$B:$H,7,0),0)</f>
        <v>0</v>
      </c>
      <c r="G14317" s="34" t="n">
        <f aca="false">SUMIFS('12.326ana'!$C:$C,'12.326ana'!$M:$M,redes!A14317)</f>
        <v>0</v>
      </c>
    </row>
    <row r="14318" customFormat="false" ht="14.4" hidden="true" customHeight="false" outlineLevel="0" collapsed="false">
      <c r="A14318" s="34" t="n">
        <v>19793674000119</v>
      </c>
      <c r="B14318" s="34" t="s">
        <v>1254</v>
      </c>
      <c r="C14318" s="34" t="s">
        <v>848</v>
      </c>
      <c r="E14318" s="30" t="s">
        <v>6944</v>
      </c>
      <c r="F14318" s="34" t="n">
        <f aca="false">IFERROR(VLOOKUP($A14318,'319'!$B:$H,7,0),0)</f>
        <v>286.27</v>
      </c>
      <c r="G14318" s="34" t="n">
        <f aca="false">SUMIFS('12.326ana'!$C:$C,'12.326ana'!$M:$M,redes!A14318)</f>
        <v>0</v>
      </c>
    </row>
    <row r="14319" customFormat="false" ht="14.4" hidden="true" customHeight="false" outlineLevel="0" collapsed="false">
      <c r="A14319" s="34" t="n">
        <v>19796207000142</v>
      </c>
      <c r="B14319" s="34" t="s">
        <v>26854</v>
      </c>
      <c r="C14319" s="34" t="s">
        <v>680</v>
      </c>
      <c r="E14319" s="30" t="s">
        <v>26855</v>
      </c>
      <c r="F14319" s="34" t="n">
        <f aca="false">IFERROR(VLOOKUP($A14319,'319'!$B:$H,7,0),0)</f>
        <v>0</v>
      </c>
      <c r="G14319" s="34" t="n">
        <f aca="false">SUMIFS('12.326ana'!$C:$C,'12.326ana'!$M:$M,redes!A14319)</f>
        <v>0</v>
      </c>
    </row>
    <row r="14320" customFormat="false" ht="14.4" hidden="true" customHeight="false" outlineLevel="0" collapsed="false">
      <c r="A14320" s="34" t="n">
        <v>19796207000223</v>
      </c>
      <c r="B14320" s="34" t="s">
        <v>26854</v>
      </c>
      <c r="C14320" s="34" t="s">
        <v>139</v>
      </c>
      <c r="E14320" s="30" t="s">
        <v>26854</v>
      </c>
      <c r="F14320" s="34" t="n">
        <f aca="false">IFERROR(VLOOKUP($A14320,'319'!$B:$H,7,0),0)</f>
        <v>0</v>
      </c>
      <c r="G14320" s="34" t="n">
        <f aca="false">SUMIFS('12.326ana'!$C:$C,'12.326ana'!$M:$M,redes!A14320)</f>
        <v>0</v>
      </c>
    </row>
    <row r="14321" customFormat="false" ht="14.4" hidden="true" customHeight="false" outlineLevel="0" collapsed="false">
      <c r="A14321" s="34" t="n">
        <v>19797575000105</v>
      </c>
      <c r="B14321" s="34" t="s">
        <v>26856</v>
      </c>
      <c r="C14321" s="34" t="s">
        <v>562</v>
      </c>
      <c r="E14321" s="30" t="s">
        <v>26857</v>
      </c>
      <c r="F14321" s="34" t="n">
        <f aca="false">IFERROR(VLOOKUP($A14321,'319'!$B:$H,7,0),0)</f>
        <v>0</v>
      </c>
      <c r="G14321" s="34" t="n">
        <f aca="false">SUMIFS('12.326ana'!$C:$C,'12.326ana'!$M:$M,redes!A14321)</f>
        <v>0</v>
      </c>
    </row>
    <row r="14322" customFormat="false" ht="14.4" hidden="true" customHeight="false" outlineLevel="0" collapsed="false">
      <c r="A14322" s="34" t="n">
        <v>19801683000104</v>
      </c>
      <c r="B14322" s="34" t="s">
        <v>26858</v>
      </c>
      <c r="C14322" s="34" t="s">
        <v>139</v>
      </c>
      <c r="E14322" s="30" t="s">
        <v>26859</v>
      </c>
      <c r="F14322" s="34" t="n">
        <f aca="false">IFERROR(VLOOKUP($A14322,'319'!$B:$H,7,0),0)</f>
        <v>0</v>
      </c>
      <c r="G14322" s="34" t="n">
        <f aca="false">SUMIFS('12.326ana'!$C:$C,'12.326ana'!$M:$M,redes!A14322)</f>
        <v>0</v>
      </c>
    </row>
    <row r="14323" customFormat="false" ht="14.4" hidden="true" customHeight="false" outlineLevel="0" collapsed="false">
      <c r="A14323" s="34" t="n">
        <v>19806872000170</v>
      </c>
      <c r="B14323" s="34" t="s">
        <v>26860</v>
      </c>
      <c r="C14323" s="34" t="s">
        <v>103</v>
      </c>
      <c r="E14323" s="30" t="s">
        <v>26861</v>
      </c>
      <c r="F14323" s="34" t="n">
        <f aca="false">IFERROR(VLOOKUP($A14323,'319'!$B:$H,7,0),0)</f>
        <v>0</v>
      </c>
      <c r="G14323" s="34" t="n">
        <f aca="false">SUMIFS('12.326ana'!$C:$C,'12.326ana'!$M:$M,redes!A14323)</f>
        <v>0</v>
      </c>
    </row>
    <row r="14324" customFormat="false" ht="14.4" hidden="true" customHeight="false" outlineLevel="0" collapsed="false">
      <c r="A14324" s="34" t="n">
        <v>19809087000170</v>
      </c>
      <c r="B14324" s="34" t="s">
        <v>26862</v>
      </c>
      <c r="C14324" s="34" t="s">
        <v>129</v>
      </c>
      <c r="E14324" s="30" t="s">
        <v>26863</v>
      </c>
      <c r="F14324" s="34" t="n">
        <f aca="false">IFERROR(VLOOKUP($A14324,'319'!$B:$H,7,0),0)</f>
        <v>0</v>
      </c>
      <c r="G14324" s="34" t="n">
        <f aca="false">SUMIFS('12.326ana'!$C:$C,'12.326ana'!$M:$M,redes!A14324)</f>
        <v>0</v>
      </c>
    </row>
    <row r="14325" customFormat="false" ht="14.4" hidden="true" customHeight="false" outlineLevel="0" collapsed="false">
      <c r="A14325" s="34" t="n">
        <v>19811921000162</v>
      </c>
      <c r="B14325" s="34" t="s">
        <v>26864</v>
      </c>
      <c r="C14325" s="34" t="s">
        <v>1591</v>
      </c>
      <c r="E14325" s="30" t="s">
        <v>3927</v>
      </c>
      <c r="F14325" s="34" t="n">
        <f aca="false">IFERROR(VLOOKUP($A14325,'319'!$B:$H,7,0),0)</f>
        <v>0</v>
      </c>
      <c r="G14325" s="34" t="n">
        <f aca="false">SUMIFS('12.326ana'!$C:$C,'12.326ana'!$M:$M,redes!A14325)</f>
        <v>0</v>
      </c>
    </row>
    <row r="14326" customFormat="false" ht="14.4" hidden="true" customHeight="false" outlineLevel="0" collapsed="false">
      <c r="A14326" s="34" t="n">
        <v>19813076000164</v>
      </c>
      <c r="B14326" s="34" t="s">
        <v>26865</v>
      </c>
      <c r="C14326" s="34" t="s">
        <v>979</v>
      </c>
      <c r="E14326" s="30" t="s">
        <v>26866</v>
      </c>
      <c r="F14326" s="34" t="n">
        <f aca="false">IFERROR(VLOOKUP($A14326,'319'!$B:$H,7,0),0)</f>
        <v>0</v>
      </c>
      <c r="G14326" s="34" t="n">
        <f aca="false">SUMIFS('12.326ana'!$C:$C,'12.326ana'!$M:$M,redes!A14326)</f>
        <v>0</v>
      </c>
    </row>
    <row r="14327" customFormat="false" ht="14.4" hidden="true" customHeight="false" outlineLevel="0" collapsed="false">
      <c r="A14327" s="34" t="n">
        <v>19825023000163</v>
      </c>
      <c r="B14327" s="34" t="s">
        <v>26867</v>
      </c>
      <c r="C14327" s="34" t="s">
        <v>77</v>
      </c>
      <c r="E14327" s="30" t="s">
        <v>26868</v>
      </c>
      <c r="F14327" s="34" t="n">
        <f aca="false">IFERROR(VLOOKUP($A14327,'319'!$B:$H,7,0),0)</f>
        <v>0</v>
      </c>
      <c r="G14327" s="34" t="n">
        <f aca="false">SUMIFS('12.326ana'!$C:$C,'12.326ana'!$M:$M,redes!A14327)</f>
        <v>0</v>
      </c>
    </row>
    <row r="14328" customFormat="false" ht="14.4" hidden="true" customHeight="false" outlineLevel="0" collapsed="false">
      <c r="A14328" s="34" t="n">
        <v>19831010000105</v>
      </c>
      <c r="B14328" s="34" t="s">
        <v>26869</v>
      </c>
      <c r="C14328" s="34" t="s">
        <v>342</v>
      </c>
      <c r="E14328" s="30" t="s">
        <v>15156</v>
      </c>
      <c r="F14328" s="34" t="n">
        <f aca="false">IFERROR(VLOOKUP($A14328,'319'!$B:$H,7,0),0)</f>
        <v>0</v>
      </c>
      <c r="G14328" s="34" t="n">
        <f aca="false">SUMIFS('12.326ana'!$C:$C,'12.326ana'!$M:$M,redes!A14328)</f>
        <v>0</v>
      </c>
    </row>
    <row r="14329" customFormat="false" ht="14.4" hidden="true" customHeight="false" outlineLevel="0" collapsed="false">
      <c r="A14329" s="34" t="n">
        <v>19836836000159</v>
      </c>
      <c r="B14329" s="34" t="s">
        <v>26870</v>
      </c>
      <c r="C14329" s="34" t="s">
        <v>309</v>
      </c>
      <c r="E14329" s="30" t="s">
        <v>26871</v>
      </c>
      <c r="F14329" s="34" t="n">
        <f aca="false">IFERROR(VLOOKUP($A14329,'319'!$B:$H,7,0),0)</f>
        <v>0</v>
      </c>
      <c r="G14329" s="34" t="n">
        <f aca="false">SUMIFS('12.326ana'!$C:$C,'12.326ana'!$M:$M,redes!A14329)</f>
        <v>0</v>
      </c>
    </row>
    <row r="14330" customFormat="false" ht="14.4" hidden="true" customHeight="false" outlineLevel="0" collapsed="false">
      <c r="A14330" s="34" t="n">
        <v>19841190000106</v>
      </c>
      <c r="B14330" s="34" t="s">
        <v>26872</v>
      </c>
      <c r="C14330" s="34" t="s">
        <v>107</v>
      </c>
      <c r="E14330" s="30" t="s">
        <v>26873</v>
      </c>
      <c r="F14330" s="34" t="n">
        <f aca="false">IFERROR(VLOOKUP($A14330,'319'!$B:$H,7,0),0)</f>
        <v>0</v>
      </c>
      <c r="G14330" s="34" t="n">
        <f aca="false">SUMIFS('12.326ana'!$C:$C,'12.326ana'!$M:$M,redes!A14330)</f>
        <v>0</v>
      </c>
    </row>
    <row r="14331" customFormat="false" ht="14.4" hidden="true" customHeight="false" outlineLevel="0" collapsed="false">
      <c r="A14331" s="34" t="n">
        <v>19843900000129</v>
      </c>
      <c r="B14331" s="34" t="s">
        <v>26874</v>
      </c>
      <c r="C14331" s="34" t="s">
        <v>478</v>
      </c>
      <c r="E14331" s="30" t="s">
        <v>26875</v>
      </c>
      <c r="F14331" s="34" t="n">
        <f aca="false">IFERROR(VLOOKUP($A14331,'319'!$B:$H,7,0),0)</f>
        <v>0</v>
      </c>
      <c r="G14331" s="34" t="n">
        <f aca="false">SUMIFS('12.326ana'!$C:$C,'12.326ana'!$M:$M,redes!A14331)</f>
        <v>0</v>
      </c>
    </row>
    <row r="14332" customFormat="false" ht="14.4" hidden="true" customHeight="false" outlineLevel="0" collapsed="false">
      <c r="A14332" s="34" t="n">
        <v>19845762000117</v>
      </c>
      <c r="B14332" s="34" t="s">
        <v>26876</v>
      </c>
      <c r="C14332" s="34" t="s">
        <v>478</v>
      </c>
      <c r="E14332" s="30" t="s">
        <v>26877</v>
      </c>
      <c r="F14332" s="34" t="n">
        <f aca="false">IFERROR(VLOOKUP($A14332,'319'!$B:$H,7,0),0)</f>
        <v>0</v>
      </c>
      <c r="G14332" s="34" t="n">
        <f aca="false">SUMIFS('12.326ana'!$C:$C,'12.326ana'!$M:$M,redes!A14332)</f>
        <v>0</v>
      </c>
    </row>
    <row r="14333" customFormat="false" ht="14.4" hidden="true" customHeight="false" outlineLevel="0" collapsed="false">
      <c r="A14333" s="34" t="n">
        <v>19849588000180</v>
      </c>
      <c r="B14333" s="34" t="s">
        <v>26878</v>
      </c>
      <c r="C14333" s="34" t="s">
        <v>192</v>
      </c>
      <c r="E14333" s="30" t="s">
        <v>26879</v>
      </c>
      <c r="F14333" s="34" t="n">
        <f aca="false">IFERROR(VLOOKUP($A14333,'319'!$B:$H,7,0),0)</f>
        <v>0</v>
      </c>
      <c r="G14333" s="34" t="n">
        <f aca="false">SUMIFS('12.326ana'!$C:$C,'12.326ana'!$M:$M,redes!A14333)</f>
        <v>0</v>
      </c>
    </row>
    <row r="14334" customFormat="false" ht="14.4" hidden="true" customHeight="false" outlineLevel="0" collapsed="false">
      <c r="A14334" s="34" t="n">
        <v>19851425000132</v>
      </c>
      <c r="B14334" s="34" t="s">
        <v>240</v>
      </c>
      <c r="C14334" s="34" t="s">
        <v>207</v>
      </c>
      <c r="E14334" s="30" t="s">
        <v>240</v>
      </c>
      <c r="F14334" s="34" t="n">
        <f aca="false">IFERROR(VLOOKUP($A14334,'319'!$B:$H,7,0),0)</f>
        <v>3386.69</v>
      </c>
      <c r="G14334" s="34" t="n">
        <f aca="false">SUMIFS('12.326ana'!$C:$C,'12.326ana'!$M:$M,redes!A14334)</f>
        <v>1688.63</v>
      </c>
    </row>
    <row r="14335" customFormat="false" ht="14.4" hidden="true" customHeight="false" outlineLevel="0" collapsed="false">
      <c r="A14335" s="34" t="n">
        <v>19853269000149</v>
      </c>
      <c r="B14335" s="34" t="s">
        <v>26880</v>
      </c>
      <c r="C14335" s="34" t="s">
        <v>77</v>
      </c>
      <c r="E14335" s="30" t="s">
        <v>26881</v>
      </c>
      <c r="F14335" s="34" t="n">
        <f aca="false">IFERROR(VLOOKUP($A14335,'319'!$B:$H,7,0),0)</f>
        <v>0</v>
      </c>
      <c r="G14335" s="34" t="n">
        <f aca="false">SUMIFS('12.326ana'!$C:$C,'12.326ana'!$M:$M,redes!A14335)</f>
        <v>0</v>
      </c>
    </row>
    <row r="14336" customFormat="false" ht="14.4" hidden="true" customHeight="false" outlineLevel="0" collapsed="false">
      <c r="A14336" s="34" t="n">
        <v>19861955000161</v>
      </c>
      <c r="B14336" s="34" t="s">
        <v>26882</v>
      </c>
      <c r="C14336" s="34" t="s">
        <v>107</v>
      </c>
      <c r="E14336" s="30" t="s">
        <v>26883</v>
      </c>
      <c r="F14336" s="34" t="n">
        <f aca="false">IFERROR(VLOOKUP($A14336,'319'!$B:$H,7,0),0)</f>
        <v>0</v>
      </c>
      <c r="G14336" s="34" t="n">
        <f aca="false">SUMIFS('12.326ana'!$C:$C,'12.326ana'!$M:$M,redes!A14336)</f>
        <v>0</v>
      </c>
    </row>
    <row r="14337" customFormat="false" ht="14.4" hidden="true" customHeight="false" outlineLevel="0" collapsed="false">
      <c r="A14337" s="34" t="n">
        <v>19862600000278</v>
      </c>
      <c r="B14337" s="34" t="s">
        <v>26884</v>
      </c>
      <c r="C14337" s="34" t="s">
        <v>77</v>
      </c>
      <c r="E14337" s="30" t="s">
        <v>26885</v>
      </c>
      <c r="F14337" s="34" t="n">
        <f aca="false">IFERROR(VLOOKUP($A14337,'319'!$B:$H,7,0),0)</f>
        <v>0</v>
      </c>
      <c r="G14337" s="34" t="n">
        <f aca="false">SUMIFS('12.326ana'!$C:$C,'12.326ana'!$M:$M,redes!A14337)</f>
        <v>0</v>
      </c>
    </row>
    <row r="14338" customFormat="false" ht="14.4" hidden="true" customHeight="false" outlineLevel="0" collapsed="false">
      <c r="A14338" s="34" t="n">
        <v>19862615000155</v>
      </c>
      <c r="B14338" s="34" t="s">
        <v>26886</v>
      </c>
      <c r="C14338" s="34" t="s">
        <v>77</v>
      </c>
      <c r="E14338" s="30" t="s">
        <v>26887</v>
      </c>
      <c r="F14338" s="34" t="n">
        <f aca="false">IFERROR(VLOOKUP($A14338,'319'!$B:$H,7,0),0)</f>
        <v>0</v>
      </c>
      <c r="G14338" s="34" t="n">
        <f aca="false">SUMIFS('12.326ana'!$C:$C,'12.326ana'!$M:$M,redes!A14338)</f>
        <v>0</v>
      </c>
    </row>
    <row r="14339" customFormat="false" ht="14.4" hidden="true" customHeight="false" outlineLevel="0" collapsed="false">
      <c r="A14339" s="34" t="n">
        <v>19869063000107</v>
      </c>
      <c r="B14339" s="34" t="s">
        <v>26888</v>
      </c>
      <c r="C14339" s="34" t="s">
        <v>89</v>
      </c>
      <c r="E14339" s="30" t="s">
        <v>26889</v>
      </c>
      <c r="F14339" s="34" t="n">
        <f aca="false">IFERROR(VLOOKUP($A14339,'319'!$B:$H,7,0),0)</f>
        <v>0</v>
      </c>
      <c r="G14339" s="34" t="n">
        <f aca="false">SUMIFS('12.326ana'!$C:$C,'12.326ana'!$M:$M,redes!A14339)</f>
        <v>0</v>
      </c>
    </row>
    <row r="14340" customFormat="false" ht="14.4" hidden="true" customHeight="false" outlineLevel="0" collapsed="false">
      <c r="A14340" s="34" t="n">
        <v>19873325000107</v>
      </c>
      <c r="B14340" s="34" t="s">
        <v>26890</v>
      </c>
      <c r="C14340" s="34" t="s">
        <v>89</v>
      </c>
      <c r="E14340" s="30" t="s">
        <v>26891</v>
      </c>
      <c r="F14340" s="34" t="n">
        <f aca="false">IFERROR(VLOOKUP($A14340,'319'!$B:$H,7,0),0)</f>
        <v>0</v>
      </c>
      <c r="G14340" s="34" t="n">
        <f aca="false">SUMIFS('12.326ana'!$C:$C,'12.326ana'!$M:$M,redes!A14340)</f>
        <v>0</v>
      </c>
    </row>
    <row r="14341" customFormat="false" ht="14.4" hidden="true" customHeight="false" outlineLevel="0" collapsed="false">
      <c r="A14341" s="34" t="n">
        <v>19874149000128</v>
      </c>
      <c r="B14341" s="34" t="s">
        <v>26892</v>
      </c>
      <c r="C14341" s="34" t="s">
        <v>77</v>
      </c>
      <c r="E14341" s="30" t="s">
        <v>26893</v>
      </c>
      <c r="F14341" s="34" t="n">
        <f aca="false">IFERROR(VLOOKUP($A14341,'319'!$B:$H,7,0),0)</f>
        <v>0</v>
      </c>
      <c r="G14341" s="34" t="n">
        <f aca="false">SUMIFS('12.326ana'!$C:$C,'12.326ana'!$M:$M,redes!A14341)</f>
        <v>0</v>
      </c>
    </row>
    <row r="14342" customFormat="false" ht="14.4" hidden="true" customHeight="false" outlineLevel="0" collapsed="false">
      <c r="A14342" s="35" t="n">
        <v>19883171000134</v>
      </c>
      <c r="B14342" s="34" t="s">
        <v>26894</v>
      </c>
      <c r="C14342" s="34" t="s">
        <v>103</v>
      </c>
      <c r="E14342" s="30" t="s">
        <v>6405</v>
      </c>
      <c r="F14342" s="34" t="n">
        <f aca="false">IFERROR(VLOOKUP($A14342,'319'!$B:$H,7,0),0)</f>
        <v>0</v>
      </c>
      <c r="G14342" s="34" t="n">
        <f aca="false">SUMIFS('12.326ana'!$C:$C,'12.326ana'!$M:$M,redes!A14342)</f>
        <v>0</v>
      </c>
    </row>
    <row r="14343" customFormat="false" ht="14.4" hidden="true" customHeight="false" outlineLevel="0" collapsed="false">
      <c r="A14343" s="35" t="n">
        <v>19888481000141</v>
      </c>
      <c r="B14343" s="34" t="s">
        <v>26895</v>
      </c>
      <c r="C14343" s="34" t="s">
        <v>962</v>
      </c>
      <c r="E14343" s="30" t="s">
        <v>26896</v>
      </c>
      <c r="F14343" s="34" t="n">
        <f aca="false">IFERROR(VLOOKUP($A14343,'319'!$B:$H,7,0),0)</f>
        <v>0</v>
      </c>
      <c r="G14343" s="34" t="n">
        <f aca="false">SUMIFS('12.326ana'!$C:$C,'12.326ana'!$M:$M,redes!A14343)</f>
        <v>0</v>
      </c>
    </row>
    <row r="14344" customFormat="false" ht="14.4" hidden="true" customHeight="false" outlineLevel="0" collapsed="false">
      <c r="A14344" s="35" t="n">
        <v>19888963000100</v>
      </c>
      <c r="B14344" s="34" t="s">
        <v>26897</v>
      </c>
      <c r="C14344" s="34" t="s">
        <v>139</v>
      </c>
      <c r="E14344" s="30" t="s">
        <v>8279</v>
      </c>
      <c r="F14344" s="34" t="n">
        <f aca="false">IFERROR(VLOOKUP($A14344,'319'!$B:$H,7,0),0)</f>
        <v>0</v>
      </c>
      <c r="G14344" s="34" t="n">
        <f aca="false">SUMIFS('12.326ana'!$C:$C,'12.326ana'!$M:$M,redes!A14344)</f>
        <v>0</v>
      </c>
    </row>
    <row r="14345" customFormat="false" ht="14.4" hidden="true" customHeight="false" outlineLevel="0" collapsed="false">
      <c r="A14345" s="35" t="n">
        <v>19889655000190</v>
      </c>
      <c r="B14345" s="34" t="s">
        <v>26898</v>
      </c>
      <c r="C14345" s="34" t="s">
        <v>107</v>
      </c>
      <c r="E14345" s="30" t="s">
        <v>7439</v>
      </c>
      <c r="F14345" s="34" t="n">
        <f aca="false">IFERROR(VLOOKUP($A14345,'319'!$B:$H,7,0),0)</f>
        <v>0</v>
      </c>
      <c r="G14345" s="34" t="n">
        <f aca="false">SUMIFS('12.326ana'!$C:$C,'12.326ana'!$M:$M,redes!A14345)</f>
        <v>0</v>
      </c>
    </row>
    <row r="14346" customFormat="false" ht="14.4" hidden="true" customHeight="false" outlineLevel="0" collapsed="false">
      <c r="A14346" s="35" t="n">
        <v>19898690000176</v>
      </c>
      <c r="B14346" s="34" t="s">
        <v>26899</v>
      </c>
      <c r="C14346" s="34" t="s">
        <v>207</v>
      </c>
      <c r="E14346" s="30" t="s">
        <v>26900</v>
      </c>
      <c r="F14346" s="34" t="n">
        <f aca="false">IFERROR(VLOOKUP($A14346,'319'!$B:$H,7,0),0)</f>
        <v>0</v>
      </c>
      <c r="G14346" s="34" t="n">
        <f aca="false">SUMIFS('12.326ana'!$C:$C,'12.326ana'!$M:$M,redes!A14346)</f>
        <v>0</v>
      </c>
    </row>
    <row r="14347" customFormat="false" ht="14.4" hidden="true" customHeight="false" outlineLevel="0" collapsed="false">
      <c r="A14347" s="34" t="n">
        <v>19906286000105</v>
      </c>
      <c r="B14347" s="34" t="s">
        <v>26901</v>
      </c>
      <c r="C14347" s="34" t="s">
        <v>89</v>
      </c>
      <c r="E14347" s="30" t="s">
        <v>17623</v>
      </c>
      <c r="F14347" s="34" t="n">
        <f aca="false">IFERROR(VLOOKUP($A14347,'319'!$B:$H,7,0),0)</f>
        <v>0</v>
      </c>
      <c r="G14347" s="34" t="n">
        <f aca="false">SUMIFS('12.326ana'!$C:$C,'12.326ana'!$M:$M,redes!A14347)</f>
        <v>0</v>
      </c>
    </row>
    <row r="14348" customFormat="false" ht="14.4" hidden="true" customHeight="false" outlineLevel="0" collapsed="false">
      <c r="A14348" s="34" t="n">
        <v>19907415000171</v>
      </c>
      <c r="B14348" s="34" t="s">
        <v>26902</v>
      </c>
      <c r="C14348" s="34" t="s">
        <v>473</v>
      </c>
      <c r="E14348" s="30" t="s">
        <v>26903</v>
      </c>
      <c r="F14348" s="34" t="n">
        <f aca="false">IFERROR(VLOOKUP($A14348,'319'!$B:$H,7,0),0)</f>
        <v>64466.37</v>
      </c>
      <c r="G14348" s="34" t="n">
        <f aca="false">SUMIFS('12.326ana'!$C:$C,'12.326ana'!$M:$M,redes!A14348)</f>
        <v>0</v>
      </c>
    </row>
    <row r="14349" customFormat="false" ht="14.4" hidden="true" customHeight="false" outlineLevel="0" collapsed="false">
      <c r="A14349" s="34" t="n">
        <v>19912953000154</v>
      </c>
      <c r="B14349" s="34" t="s">
        <v>26904</v>
      </c>
      <c r="C14349" s="34" t="s">
        <v>357</v>
      </c>
      <c r="E14349" s="30" t="s">
        <v>26905</v>
      </c>
      <c r="F14349" s="34" t="n">
        <f aca="false">IFERROR(VLOOKUP($A14349,'319'!$B:$H,7,0),0)</f>
        <v>0</v>
      </c>
      <c r="G14349" s="34" t="n">
        <f aca="false">SUMIFS('12.326ana'!$C:$C,'12.326ana'!$M:$M,redes!A14349)</f>
        <v>0</v>
      </c>
    </row>
    <row r="14350" customFormat="false" ht="14.4" hidden="true" customHeight="false" outlineLevel="0" collapsed="false">
      <c r="A14350" s="34" t="n">
        <v>19912953000235</v>
      </c>
      <c r="B14350" s="34" t="s">
        <v>26906</v>
      </c>
      <c r="C14350" s="34" t="s">
        <v>357</v>
      </c>
      <c r="E14350" s="30" t="s">
        <v>26907</v>
      </c>
      <c r="F14350" s="34" t="n">
        <f aca="false">IFERROR(VLOOKUP($A14350,'319'!$B:$H,7,0),0)</f>
        <v>0</v>
      </c>
      <c r="G14350" s="34" t="n">
        <f aca="false">SUMIFS('12.326ana'!$C:$C,'12.326ana'!$M:$M,redes!A14350)</f>
        <v>0</v>
      </c>
    </row>
    <row r="14351" customFormat="false" ht="14.4" hidden="true" customHeight="false" outlineLevel="0" collapsed="false">
      <c r="A14351" s="34" t="n">
        <v>19924321000100</v>
      </c>
      <c r="B14351" s="34" t="s">
        <v>26908</v>
      </c>
      <c r="C14351" s="34" t="s">
        <v>631</v>
      </c>
      <c r="E14351" s="30" t="s">
        <v>26909</v>
      </c>
      <c r="F14351" s="34" t="n">
        <f aca="false">IFERROR(VLOOKUP($A14351,'319'!$B:$H,7,0),0)</f>
        <v>0</v>
      </c>
      <c r="G14351" s="34" t="n">
        <f aca="false">SUMIFS('12.326ana'!$C:$C,'12.326ana'!$M:$M,redes!A14351)</f>
        <v>0</v>
      </c>
    </row>
    <row r="14352" customFormat="false" ht="14.4" hidden="true" customHeight="false" outlineLevel="0" collapsed="false">
      <c r="A14352" s="34" t="n">
        <v>19932630000122</v>
      </c>
      <c r="B14352" s="34" t="s">
        <v>26910</v>
      </c>
      <c r="C14352" s="34" t="s">
        <v>139</v>
      </c>
      <c r="E14352" s="30" t="s">
        <v>26910</v>
      </c>
      <c r="F14352" s="34" t="n">
        <f aca="false">IFERROR(VLOOKUP($A14352,'319'!$B:$H,7,0),0)</f>
        <v>0</v>
      </c>
      <c r="G14352" s="34" t="n">
        <f aca="false">SUMIFS('12.326ana'!$C:$C,'12.326ana'!$M:$M,redes!A14352)</f>
        <v>0</v>
      </c>
    </row>
    <row r="14353" customFormat="false" ht="14.4" hidden="true" customHeight="false" outlineLevel="0" collapsed="false">
      <c r="A14353" s="34" t="n">
        <v>19942939000101</v>
      </c>
      <c r="B14353" s="34" t="s">
        <v>26911</v>
      </c>
      <c r="C14353" s="34" t="s">
        <v>107</v>
      </c>
      <c r="E14353" s="30" t="s">
        <v>26912</v>
      </c>
      <c r="F14353" s="34" t="n">
        <f aca="false">IFERROR(VLOOKUP($A14353,'319'!$B:$H,7,0),0)</f>
        <v>0</v>
      </c>
      <c r="G14353" s="34" t="n">
        <f aca="false">SUMIFS('12.326ana'!$C:$C,'12.326ana'!$M:$M,redes!A14353)</f>
        <v>0</v>
      </c>
    </row>
    <row r="14354" customFormat="false" ht="14.4" hidden="true" customHeight="false" outlineLevel="0" collapsed="false">
      <c r="A14354" s="34" t="n">
        <v>19943952000177</v>
      </c>
      <c r="B14354" s="34" t="s">
        <v>26913</v>
      </c>
      <c r="C14354" s="34" t="s">
        <v>129</v>
      </c>
      <c r="E14354" s="30" t="s">
        <v>26914</v>
      </c>
      <c r="F14354" s="34" t="n">
        <f aca="false">IFERROR(VLOOKUP($A14354,'319'!$B:$H,7,0),0)</f>
        <v>0</v>
      </c>
      <c r="G14354" s="34" t="n">
        <f aca="false">SUMIFS('12.326ana'!$C:$C,'12.326ana'!$M:$M,redes!A14354)</f>
        <v>0</v>
      </c>
    </row>
    <row r="14355" customFormat="false" ht="14.4" hidden="true" customHeight="false" outlineLevel="0" collapsed="false">
      <c r="A14355" s="34" t="n">
        <v>19950962000130</v>
      </c>
      <c r="B14355" s="34" t="s">
        <v>26915</v>
      </c>
      <c r="C14355" s="34" t="s">
        <v>192</v>
      </c>
      <c r="E14355" s="30" t="s">
        <v>26916</v>
      </c>
      <c r="F14355" s="34" t="n">
        <f aca="false">IFERROR(VLOOKUP($A14355,'319'!$B:$H,7,0),0)</f>
        <v>0</v>
      </c>
      <c r="G14355" s="34" t="n">
        <f aca="false">SUMIFS('12.326ana'!$C:$C,'12.326ana'!$M:$M,redes!A14355)</f>
        <v>0</v>
      </c>
    </row>
    <row r="14356" customFormat="false" ht="14.4" hidden="true" customHeight="false" outlineLevel="0" collapsed="false">
      <c r="A14356" s="34" t="n">
        <v>19953346000132</v>
      </c>
      <c r="B14356" s="34" t="s">
        <v>26917</v>
      </c>
      <c r="C14356" s="34" t="s">
        <v>342</v>
      </c>
      <c r="E14356" s="30" t="s">
        <v>17285</v>
      </c>
      <c r="F14356" s="34" t="n">
        <f aca="false">IFERROR(VLOOKUP($A14356,'319'!$B:$H,7,0),0)</f>
        <v>0</v>
      </c>
      <c r="G14356" s="34" t="n">
        <f aca="false">SUMIFS('12.326ana'!$C:$C,'12.326ana'!$M:$M,redes!A14356)</f>
        <v>0</v>
      </c>
    </row>
    <row r="14357" customFormat="false" ht="14.4" hidden="true" customHeight="false" outlineLevel="0" collapsed="false">
      <c r="A14357" s="34" t="n">
        <v>19970222000165</v>
      </c>
      <c r="B14357" s="34" t="s">
        <v>26918</v>
      </c>
      <c r="C14357" s="34" t="s">
        <v>737</v>
      </c>
      <c r="E14357" s="30" t="s">
        <v>26919</v>
      </c>
      <c r="F14357" s="34" t="n">
        <f aca="false">IFERROR(VLOOKUP($A14357,'319'!$B:$H,7,0),0)</f>
        <v>0</v>
      </c>
      <c r="G14357" s="34" t="n">
        <f aca="false">SUMIFS('12.326ana'!$C:$C,'12.326ana'!$M:$M,redes!A14357)</f>
        <v>0</v>
      </c>
    </row>
    <row r="14358" customFormat="false" ht="14.4" hidden="true" customHeight="false" outlineLevel="0" collapsed="false">
      <c r="A14358" s="34" t="n">
        <v>19972359000159</v>
      </c>
      <c r="B14358" s="34" t="s">
        <v>26920</v>
      </c>
      <c r="C14358" s="34" t="s">
        <v>77</v>
      </c>
      <c r="E14358" s="30" t="s">
        <v>26920</v>
      </c>
      <c r="F14358" s="34" t="n">
        <f aca="false">IFERROR(VLOOKUP($A14358,'319'!$B:$H,7,0),0)</f>
        <v>0</v>
      </c>
      <c r="G14358" s="34" t="n">
        <f aca="false">SUMIFS('12.326ana'!$C:$C,'12.326ana'!$M:$M,redes!A14358)</f>
        <v>0</v>
      </c>
    </row>
    <row r="14359" customFormat="false" ht="14.4" hidden="true" customHeight="false" outlineLevel="0" collapsed="false">
      <c r="A14359" s="34" t="n">
        <v>19983822000168</v>
      </c>
      <c r="B14359" s="34" t="s">
        <v>26921</v>
      </c>
      <c r="C14359" s="34" t="s">
        <v>103</v>
      </c>
      <c r="E14359" s="30" t="s">
        <v>26922</v>
      </c>
      <c r="F14359" s="34" t="n">
        <f aca="false">IFERROR(VLOOKUP($A14359,'319'!$B:$H,7,0),0)</f>
        <v>0</v>
      </c>
      <c r="G14359" s="34" t="n">
        <f aca="false">SUMIFS('12.326ana'!$C:$C,'12.326ana'!$M:$M,redes!A14359)</f>
        <v>0</v>
      </c>
    </row>
    <row r="14360" customFormat="false" ht="14.4" hidden="true" customHeight="false" outlineLevel="0" collapsed="false">
      <c r="A14360" s="34" t="n">
        <v>19987518000199</v>
      </c>
      <c r="B14360" s="34" t="s">
        <v>26923</v>
      </c>
      <c r="C14360" s="34" t="s">
        <v>848</v>
      </c>
      <c r="E14360" s="30" t="s">
        <v>26924</v>
      </c>
      <c r="F14360" s="34" t="n">
        <f aca="false">IFERROR(VLOOKUP($A14360,'319'!$B:$H,7,0),0)</f>
        <v>0</v>
      </c>
      <c r="G14360" s="34" t="n">
        <f aca="false">SUMIFS('12.326ana'!$C:$C,'12.326ana'!$M:$M,redes!A14360)</f>
        <v>0</v>
      </c>
    </row>
    <row r="14361" customFormat="false" ht="14.4" hidden="true" customHeight="false" outlineLevel="0" collapsed="false">
      <c r="A14361" s="34" t="n">
        <v>19988374000195</v>
      </c>
      <c r="B14361" s="34" t="s">
        <v>26925</v>
      </c>
      <c r="C14361" s="34" t="s">
        <v>117</v>
      </c>
      <c r="E14361" s="30" t="s">
        <v>26926</v>
      </c>
      <c r="F14361" s="34" t="n">
        <f aca="false">IFERROR(VLOOKUP($A14361,'319'!$B:$H,7,0),0)</f>
        <v>253.51</v>
      </c>
      <c r="G14361" s="34" t="n">
        <f aca="false">SUMIFS('12.326ana'!$C:$C,'12.326ana'!$M:$M,redes!A14361)</f>
        <v>0</v>
      </c>
    </row>
    <row r="14362" customFormat="false" ht="14.4" hidden="true" customHeight="false" outlineLevel="0" collapsed="false">
      <c r="A14362" s="34" t="n">
        <v>19991735000152</v>
      </c>
      <c r="B14362" s="34" t="s">
        <v>26927</v>
      </c>
      <c r="C14362" s="34" t="s">
        <v>962</v>
      </c>
      <c r="D14362" s="34" t="s">
        <v>19231</v>
      </c>
      <c r="E14362" s="30" t="s">
        <v>26928</v>
      </c>
      <c r="F14362" s="34" t="n">
        <f aca="false">IFERROR(VLOOKUP($A14362,'319'!$B:$H,7,0),0)</f>
        <v>1090.42</v>
      </c>
      <c r="G14362" s="34" t="n">
        <f aca="false">SUMIFS('12.326ana'!$C:$C,'12.326ana'!$M:$M,redes!A14362)</f>
        <v>0</v>
      </c>
    </row>
    <row r="14363" customFormat="false" ht="14.4" hidden="true" customHeight="false" outlineLevel="0" collapsed="false">
      <c r="A14363" s="34" t="n">
        <v>19991735000233</v>
      </c>
      <c r="B14363" s="34" t="s">
        <v>26929</v>
      </c>
      <c r="C14363" s="34" t="s">
        <v>107</v>
      </c>
      <c r="E14363" s="30" t="s">
        <v>21824</v>
      </c>
      <c r="F14363" s="34" t="n">
        <f aca="false">IFERROR(VLOOKUP($A14363,'319'!$B:$H,7,0),0)</f>
        <v>0</v>
      </c>
      <c r="G14363" s="34" t="n">
        <f aca="false">SUMIFS('12.326ana'!$C:$C,'12.326ana'!$M:$M,redes!A14363)</f>
        <v>0</v>
      </c>
    </row>
    <row r="14364" customFormat="false" ht="14.4" hidden="true" customHeight="false" outlineLevel="0" collapsed="false">
      <c r="A14364" s="34" t="n">
        <v>19993648000134</v>
      </c>
      <c r="B14364" s="34" t="s">
        <v>26930</v>
      </c>
      <c r="C14364" s="34" t="s">
        <v>77</v>
      </c>
      <c r="E14364" s="30" t="s">
        <v>26931</v>
      </c>
      <c r="F14364" s="34" t="n">
        <f aca="false">IFERROR(VLOOKUP($A14364,'319'!$B:$H,7,0),0)</f>
        <v>0</v>
      </c>
      <c r="G14364" s="34" t="n">
        <f aca="false">SUMIFS('12.326ana'!$C:$C,'12.326ana'!$M:$M,redes!A14364)</f>
        <v>0</v>
      </c>
    </row>
    <row r="14365" customFormat="false" ht="14.4" hidden="true" customHeight="false" outlineLevel="0" collapsed="false">
      <c r="A14365" s="34" t="n">
        <v>19994556000179</v>
      </c>
      <c r="B14365" s="34" t="s">
        <v>26932</v>
      </c>
      <c r="C14365" s="34" t="s">
        <v>139</v>
      </c>
      <c r="E14365" s="30" t="s">
        <v>13534</v>
      </c>
      <c r="F14365" s="34" t="n">
        <f aca="false">IFERROR(VLOOKUP($A14365,'319'!$B:$H,7,0),0)</f>
        <v>1328.1</v>
      </c>
      <c r="G14365" s="34" t="n">
        <f aca="false">SUMIFS('12.326ana'!$C:$C,'12.326ana'!$M:$M,redes!A14365)</f>
        <v>0</v>
      </c>
    </row>
    <row r="14366" customFormat="false" ht="14.4" hidden="true" customHeight="false" outlineLevel="0" collapsed="false">
      <c r="A14366" s="34" t="n">
        <v>20004732000167</v>
      </c>
      <c r="B14366" s="34" t="s">
        <v>1683</v>
      </c>
      <c r="C14366" s="34" t="s">
        <v>377</v>
      </c>
      <c r="E14366" s="30" t="s">
        <v>7500</v>
      </c>
      <c r="F14366" s="34" t="n">
        <f aca="false">IFERROR(VLOOKUP($A14366,'319'!$B:$H,7,0),0)</f>
        <v>59.86</v>
      </c>
      <c r="G14366" s="34" t="n">
        <f aca="false">SUMIFS('12.326ana'!$C:$C,'12.326ana'!$M:$M,redes!A14366)</f>
        <v>0</v>
      </c>
    </row>
    <row r="14367" customFormat="false" ht="14.4" hidden="true" customHeight="false" outlineLevel="0" collapsed="false">
      <c r="A14367" s="34" t="n">
        <v>20010109000117</v>
      </c>
      <c r="B14367" s="34" t="s">
        <v>26933</v>
      </c>
      <c r="C14367" s="34" t="s">
        <v>957</v>
      </c>
      <c r="E14367" s="30" t="s">
        <v>26934</v>
      </c>
      <c r="F14367" s="34" t="n">
        <f aca="false">IFERROR(VLOOKUP($A14367,'319'!$B:$H,7,0),0)</f>
        <v>0</v>
      </c>
      <c r="G14367" s="34" t="n">
        <f aca="false">SUMIFS('12.326ana'!$C:$C,'12.326ana'!$M:$M,redes!A14367)</f>
        <v>0</v>
      </c>
    </row>
    <row r="14368" customFormat="false" ht="14.4" hidden="true" customHeight="false" outlineLevel="0" collapsed="false">
      <c r="A14368" s="34" t="n">
        <v>20016780000175</v>
      </c>
      <c r="B14368" s="34" t="s">
        <v>26935</v>
      </c>
      <c r="C14368" s="34" t="s">
        <v>604</v>
      </c>
      <c r="E14368" s="30" t="s">
        <v>3440</v>
      </c>
      <c r="F14368" s="34" t="n">
        <f aca="false">IFERROR(VLOOKUP($A14368,'319'!$B:$H,7,0),0)</f>
        <v>0</v>
      </c>
      <c r="G14368" s="34" t="n">
        <f aca="false">SUMIFS('12.326ana'!$C:$C,'12.326ana'!$M:$M,redes!A14368)</f>
        <v>0</v>
      </c>
    </row>
    <row r="14369" customFormat="false" ht="14.4" hidden="true" customHeight="false" outlineLevel="0" collapsed="false">
      <c r="A14369" s="34" t="n">
        <v>20018324000164</v>
      </c>
      <c r="B14369" s="34" t="s">
        <v>26936</v>
      </c>
      <c r="C14369" s="34" t="s">
        <v>139</v>
      </c>
      <c r="E14369" s="30" t="s">
        <v>26937</v>
      </c>
      <c r="F14369" s="34" t="n">
        <f aca="false">IFERROR(VLOOKUP($A14369,'319'!$B:$H,7,0),0)</f>
        <v>0</v>
      </c>
      <c r="G14369" s="34" t="n">
        <f aca="false">SUMIFS('12.326ana'!$C:$C,'12.326ana'!$M:$M,redes!A14369)</f>
        <v>0</v>
      </c>
    </row>
    <row r="14370" customFormat="false" ht="14.4" hidden="true" customHeight="false" outlineLevel="0" collapsed="false">
      <c r="A14370" s="34" t="n">
        <v>20030476000182</v>
      </c>
      <c r="B14370" s="34" t="s">
        <v>26938</v>
      </c>
      <c r="C14370" s="34" t="s">
        <v>342</v>
      </c>
      <c r="E14370" s="30" t="s">
        <v>26939</v>
      </c>
      <c r="F14370" s="34" t="n">
        <f aca="false">IFERROR(VLOOKUP($A14370,'319'!$B:$H,7,0),0)</f>
        <v>0</v>
      </c>
      <c r="G14370" s="34" t="n">
        <f aca="false">SUMIFS('12.326ana'!$C:$C,'12.326ana'!$M:$M,redes!A14370)</f>
        <v>0</v>
      </c>
    </row>
    <row r="14371" customFormat="false" ht="14.4" hidden="true" customHeight="false" outlineLevel="0" collapsed="false">
      <c r="A14371" s="34" t="n">
        <v>20039487000123</v>
      </c>
      <c r="B14371" s="34" t="s">
        <v>26940</v>
      </c>
      <c r="C14371" s="34" t="s">
        <v>77</v>
      </c>
      <c r="E14371" s="30" t="s">
        <v>26941</v>
      </c>
      <c r="F14371" s="34" t="n">
        <f aca="false">IFERROR(VLOOKUP($A14371,'319'!$B:$H,7,0),0)</f>
        <v>0</v>
      </c>
      <c r="G14371" s="34" t="n">
        <f aca="false">SUMIFS('12.326ana'!$C:$C,'12.326ana'!$M:$M,redes!A14371)</f>
        <v>0</v>
      </c>
    </row>
    <row r="14372" customFormat="false" ht="14.4" hidden="true" customHeight="false" outlineLevel="0" collapsed="false">
      <c r="A14372" s="34" t="n">
        <v>20040030000139</v>
      </c>
      <c r="B14372" s="34" t="s">
        <v>936</v>
      </c>
      <c r="C14372" s="34" t="s">
        <v>309</v>
      </c>
      <c r="E14372" s="30" t="s">
        <v>11808</v>
      </c>
      <c r="F14372" s="34" t="n">
        <f aca="false">IFERROR(VLOOKUP($A14372,'319'!$B:$H,7,0),0)</f>
        <v>1227.51</v>
      </c>
      <c r="G14372" s="34" t="n">
        <f aca="false">SUMIFS('12.326ana'!$C:$C,'12.326ana'!$M:$M,redes!A14372)</f>
        <v>0</v>
      </c>
    </row>
    <row r="14373" customFormat="false" ht="14.4" hidden="true" customHeight="false" outlineLevel="0" collapsed="false">
      <c r="A14373" s="34" t="n">
        <v>20041640000157</v>
      </c>
      <c r="B14373" s="34" t="s">
        <v>26942</v>
      </c>
      <c r="C14373" s="34" t="s">
        <v>139</v>
      </c>
      <c r="E14373" s="30" t="s">
        <v>26943</v>
      </c>
      <c r="F14373" s="34" t="n">
        <f aca="false">IFERROR(VLOOKUP($A14373,'319'!$B:$H,7,0),0)</f>
        <v>0</v>
      </c>
      <c r="G14373" s="34" t="n">
        <f aca="false">SUMIFS('12.326ana'!$C:$C,'12.326ana'!$M:$M,redes!A14373)</f>
        <v>0</v>
      </c>
    </row>
    <row r="14374" customFormat="false" ht="14.4" hidden="true" customHeight="false" outlineLevel="0" collapsed="false">
      <c r="A14374" s="34" t="n">
        <v>20043000000186</v>
      </c>
      <c r="B14374" s="34" t="s">
        <v>1860</v>
      </c>
      <c r="C14374" s="34" t="s">
        <v>1591</v>
      </c>
      <c r="E14374" s="30" t="s">
        <v>26944</v>
      </c>
      <c r="F14374" s="34" t="n">
        <f aca="false">IFERROR(VLOOKUP($A14374,'319'!$B:$H,7,0),0)</f>
        <v>-10663.91</v>
      </c>
      <c r="G14374" s="34" t="n">
        <f aca="false">SUMIFS('12.326ana'!$C:$C,'12.326ana'!$M:$M,redes!A14374)</f>
        <v>0</v>
      </c>
    </row>
    <row r="14375" customFormat="false" ht="14.4" hidden="true" customHeight="false" outlineLevel="0" collapsed="false">
      <c r="A14375" s="34" t="n">
        <v>20044759000183</v>
      </c>
      <c r="B14375" s="34" t="s">
        <v>26945</v>
      </c>
      <c r="C14375" s="34" t="s">
        <v>77</v>
      </c>
      <c r="E14375" s="30" t="s">
        <v>5149</v>
      </c>
      <c r="F14375" s="34" t="n">
        <f aca="false">IFERROR(VLOOKUP($A14375,'319'!$B:$H,7,0),0)</f>
        <v>0</v>
      </c>
      <c r="G14375" s="34" t="n">
        <f aca="false">SUMIFS('12.326ana'!$C:$C,'12.326ana'!$M:$M,redes!A14375)</f>
        <v>0</v>
      </c>
    </row>
    <row r="14376" customFormat="false" ht="14.4" hidden="true" customHeight="false" outlineLevel="0" collapsed="false">
      <c r="A14376" s="34" t="n">
        <v>20055606000131</v>
      </c>
      <c r="B14376" s="34" t="s">
        <v>26946</v>
      </c>
      <c r="C14376" s="34" t="s">
        <v>1272</v>
      </c>
      <c r="E14376" s="30" t="s">
        <v>26947</v>
      </c>
      <c r="F14376" s="34" t="n">
        <f aca="false">IFERROR(VLOOKUP($A14376,'319'!$B:$H,7,0),0)</f>
        <v>0</v>
      </c>
      <c r="G14376" s="34" t="n">
        <f aca="false">SUMIFS('12.326ana'!$C:$C,'12.326ana'!$M:$M,redes!A14376)</f>
        <v>0</v>
      </c>
    </row>
    <row r="14377" customFormat="false" ht="14.4" hidden="true" customHeight="false" outlineLevel="0" collapsed="false">
      <c r="A14377" s="34" t="n">
        <v>20064302000130</v>
      </c>
      <c r="B14377" s="34" t="s">
        <v>329</v>
      </c>
      <c r="C14377" s="34" t="s">
        <v>336</v>
      </c>
      <c r="E14377" s="30" t="s">
        <v>26948</v>
      </c>
      <c r="F14377" s="34" t="n">
        <f aca="false">IFERROR(VLOOKUP($A14377,'319'!$B:$H,7,0),0)</f>
        <v>125.86</v>
      </c>
      <c r="G14377" s="34" t="n">
        <f aca="false">SUMIFS('12.326ana'!$C:$C,'12.326ana'!$M:$M,redes!A14377)</f>
        <v>123.12</v>
      </c>
    </row>
    <row r="14378" customFormat="false" ht="14.4" hidden="true" customHeight="false" outlineLevel="0" collapsed="false">
      <c r="A14378" s="34" t="n">
        <v>20076897000144</v>
      </c>
      <c r="B14378" s="34" t="s">
        <v>26949</v>
      </c>
      <c r="C14378" s="34" t="s">
        <v>77</v>
      </c>
      <c r="E14378" s="30" t="s">
        <v>26950</v>
      </c>
      <c r="F14378" s="34" t="n">
        <f aca="false">IFERROR(VLOOKUP($A14378,'319'!$B:$H,7,0),0)</f>
        <v>0</v>
      </c>
      <c r="G14378" s="34" t="n">
        <f aca="false">SUMIFS('12.326ana'!$C:$C,'12.326ana'!$M:$M,redes!A14378)</f>
        <v>0</v>
      </c>
    </row>
    <row r="14379" customFormat="false" ht="14.4" hidden="true" customHeight="false" outlineLevel="0" collapsed="false">
      <c r="A14379" s="34" t="n">
        <v>20077809000129</v>
      </c>
      <c r="B14379" s="34" t="s">
        <v>26951</v>
      </c>
      <c r="C14379" s="34" t="s">
        <v>680</v>
      </c>
      <c r="E14379" s="30" t="s">
        <v>26952</v>
      </c>
      <c r="F14379" s="34" t="n">
        <f aca="false">IFERROR(VLOOKUP($A14379,'319'!$B:$H,7,0),0)</f>
        <v>0</v>
      </c>
      <c r="G14379" s="34" t="n">
        <f aca="false">SUMIFS('12.326ana'!$C:$C,'12.326ana'!$M:$M,redes!A14379)</f>
        <v>0</v>
      </c>
    </row>
    <row r="14380" customFormat="false" ht="14.4" hidden="true" customHeight="false" outlineLevel="0" collapsed="false">
      <c r="A14380" s="34" t="n">
        <v>20079785000147</v>
      </c>
      <c r="B14380" s="34" t="s">
        <v>26953</v>
      </c>
      <c r="C14380" s="34" t="s">
        <v>107</v>
      </c>
      <c r="E14380" s="30" t="s">
        <v>26954</v>
      </c>
      <c r="F14380" s="34" t="n">
        <f aca="false">IFERROR(VLOOKUP($A14380,'319'!$B:$H,7,0),0)</f>
        <v>0</v>
      </c>
      <c r="G14380" s="34" t="n">
        <f aca="false">SUMIFS('12.326ana'!$C:$C,'12.326ana'!$M:$M,redes!A14380)</f>
        <v>0</v>
      </c>
    </row>
    <row r="14381" customFormat="false" ht="14.4" hidden="true" customHeight="false" outlineLevel="0" collapsed="false">
      <c r="A14381" s="34" t="n">
        <v>20079819000101</v>
      </c>
      <c r="B14381" s="34" t="s">
        <v>26955</v>
      </c>
      <c r="C14381" s="34" t="s">
        <v>139</v>
      </c>
      <c r="E14381" s="30" t="s">
        <v>26956</v>
      </c>
      <c r="F14381" s="34" t="n">
        <f aca="false">IFERROR(VLOOKUP($A14381,'319'!$B:$H,7,0),0)</f>
        <v>0</v>
      </c>
      <c r="G14381" s="34" t="n">
        <f aca="false">SUMIFS('12.326ana'!$C:$C,'12.326ana'!$M:$M,redes!A14381)</f>
        <v>0</v>
      </c>
    </row>
    <row r="14382" customFormat="false" ht="14.4" hidden="true" customHeight="false" outlineLevel="0" collapsed="false">
      <c r="A14382" s="34" t="n">
        <v>20088430000114</v>
      </c>
      <c r="B14382" s="34" t="s">
        <v>26957</v>
      </c>
      <c r="C14382" s="34" t="s">
        <v>721</v>
      </c>
      <c r="E14382" s="30" t="s">
        <v>26958</v>
      </c>
      <c r="F14382" s="34" t="n">
        <f aca="false">IFERROR(VLOOKUP($A14382,'319'!$B:$H,7,0),0)</f>
        <v>0</v>
      </c>
      <c r="G14382" s="34" t="n">
        <f aca="false">SUMIFS('12.326ana'!$C:$C,'12.326ana'!$M:$M,redes!A14382)</f>
        <v>0</v>
      </c>
    </row>
    <row r="14383" customFormat="false" ht="14.4" hidden="true" customHeight="false" outlineLevel="0" collapsed="false">
      <c r="A14383" s="34" t="n">
        <v>20088796000193</v>
      </c>
      <c r="B14383" s="34" t="s">
        <v>26959</v>
      </c>
      <c r="C14383" s="34" t="s">
        <v>77</v>
      </c>
      <c r="E14383" s="30" t="s">
        <v>26403</v>
      </c>
      <c r="F14383" s="34" t="n">
        <f aca="false">IFERROR(VLOOKUP($A14383,'319'!$B:$H,7,0),0)</f>
        <v>0</v>
      </c>
      <c r="G14383" s="34" t="n">
        <f aca="false">SUMIFS('12.326ana'!$C:$C,'12.326ana'!$M:$M,redes!A14383)</f>
        <v>0</v>
      </c>
    </row>
    <row r="14384" customFormat="false" ht="14.4" hidden="true" customHeight="false" outlineLevel="0" collapsed="false">
      <c r="A14384" s="34" t="n">
        <v>20102077000180</v>
      </c>
      <c r="B14384" s="34" t="s">
        <v>26960</v>
      </c>
      <c r="C14384" s="34" t="s">
        <v>117</v>
      </c>
      <c r="E14384" s="30" t="s">
        <v>26961</v>
      </c>
      <c r="F14384" s="34" t="n">
        <f aca="false">IFERROR(VLOOKUP($A14384,'319'!$B:$H,7,0),0)</f>
        <v>0</v>
      </c>
      <c r="G14384" s="34" t="n">
        <f aca="false">SUMIFS('12.326ana'!$C:$C,'12.326ana'!$M:$M,redes!A14384)</f>
        <v>0</v>
      </c>
    </row>
    <row r="14385" customFormat="false" ht="14.4" hidden="true" customHeight="false" outlineLevel="0" collapsed="false">
      <c r="A14385" s="34" t="n">
        <v>20107225000159</v>
      </c>
      <c r="B14385" s="34" t="s">
        <v>26962</v>
      </c>
      <c r="C14385" s="34" t="s">
        <v>139</v>
      </c>
      <c r="E14385" s="30" t="s">
        <v>26963</v>
      </c>
      <c r="F14385" s="34" t="n">
        <f aca="false">IFERROR(VLOOKUP($A14385,'319'!$B:$H,7,0),0)</f>
        <v>0</v>
      </c>
      <c r="G14385" s="34" t="n">
        <f aca="false">SUMIFS('12.326ana'!$C:$C,'12.326ana'!$M:$M,redes!A14385)</f>
        <v>0</v>
      </c>
    </row>
    <row r="14386" customFormat="false" ht="14.4" hidden="true" customHeight="false" outlineLevel="0" collapsed="false">
      <c r="A14386" s="34" t="n">
        <v>20111130000109</v>
      </c>
      <c r="B14386" s="34" t="s">
        <v>26964</v>
      </c>
      <c r="C14386" s="34" t="s">
        <v>117</v>
      </c>
      <c r="E14386" s="30" t="s">
        <v>26965</v>
      </c>
      <c r="F14386" s="34" t="n">
        <f aca="false">IFERROR(VLOOKUP($A14386,'319'!$B:$H,7,0),0)</f>
        <v>0</v>
      </c>
      <c r="G14386" s="34" t="n">
        <f aca="false">SUMIFS('12.326ana'!$C:$C,'12.326ana'!$M:$M,redes!A14386)</f>
        <v>0</v>
      </c>
    </row>
    <row r="14387" customFormat="false" ht="14.4" hidden="true" customHeight="false" outlineLevel="0" collapsed="false">
      <c r="A14387" s="34" t="n">
        <v>20112677000129</v>
      </c>
      <c r="B14387" s="34" t="s">
        <v>26966</v>
      </c>
      <c r="C14387" s="34" t="s">
        <v>77</v>
      </c>
      <c r="E14387" s="30" t="s">
        <v>26967</v>
      </c>
      <c r="F14387" s="34" t="n">
        <f aca="false">IFERROR(VLOOKUP($A14387,'319'!$B:$H,7,0),0)</f>
        <v>0</v>
      </c>
      <c r="G14387" s="34" t="n">
        <f aca="false">SUMIFS('12.326ana'!$C:$C,'12.326ana'!$M:$M,redes!A14387)</f>
        <v>0</v>
      </c>
    </row>
    <row r="14388" customFormat="false" ht="14.4" hidden="true" customHeight="false" outlineLevel="0" collapsed="false">
      <c r="A14388" s="34" t="n">
        <v>20119949000112</v>
      </c>
      <c r="B14388" s="34" t="s">
        <v>26968</v>
      </c>
      <c r="C14388" s="34" t="s">
        <v>77</v>
      </c>
      <c r="E14388" s="30" t="s">
        <v>22495</v>
      </c>
      <c r="F14388" s="34" t="n">
        <f aca="false">IFERROR(VLOOKUP($A14388,'319'!$B:$H,7,0),0)</f>
        <v>0</v>
      </c>
      <c r="G14388" s="34" t="n">
        <f aca="false">SUMIFS('12.326ana'!$C:$C,'12.326ana'!$M:$M,redes!A14388)</f>
        <v>0</v>
      </c>
    </row>
    <row r="14389" customFormat="false" ht="14.4" hidden="true" customHeight="false" outlineLevel="0" collapsed="false">
      <c r="A14389" s="34" t="n">
        <v>20121390000165</v>
      </c>
      <c r="B14389" s="34" t="s">
        <v>26969</v>
      </c>
      <c r="C14389" s="34" t="s">
        <v>139</v>
      </c>
      <c r="E14389" s="30" t="s">
        <v>26970</v>
      </c>
      <c r="F14389" s="34" t="n">
        <f aca="false">IFERROR(VLOOKUP($A14389,'319'!$B:$H,7,0),0)</f>
        <v>0</v>
      </c>
      <c r="G14389" s="34" t="n">
        <f aca="false">SUMIFS('12.326ana'!$C:$C,'12.326ana'!$M:$M,redes!A14389)</f>
        <v>0</v>
      </c>
    </row>
    <row r="14390" customFormat="false" ht="14.4" hidden="true" customHeight="false" outlineLevel="0" collapsed="false">
      <c r="A14390" s="34" t="n">
        <v>20129754000153</v>
      </c>
      <c r="B14390" s="34" t="s">
        <v>26971</v>
      </c>
      <c r="C14390" s="34" t="s">
        <v>89</v>
      </c>
      <c r="E14390" s="30" t="s">
        <v>26972</v>
      </c>
      <c r="F14390" s="34" t="n">
        <f aca="false">IFERROR(VLOOKUP($A14390,'319'!$B:$H,7,0),0)</f>
        <v>0</v>
      </c>
      <c r="G14390" s="34" t="n">
        <f aca="false">SUMIFS('12.326ana'!$C:$C,'12.326ana'!$M:$M,redes!A14390)</f>
        <v>0</v>
      </c>
    </row>
    <row r="14391" customFormat="false" ht="14.4" hidden="true" customHeight="false" outlineLevel="0" collapsed="false">
      <c r="A14391" s="34" t="n">
        <v>20139194000118</v>
      </c>
      <c r="B14391" s="34" t="s">
        <v>26973</v>
      </c>
      <c r="C14391" s="34" t="s">
        <v>478</v>
      </c>
      <c r="E14391" s="30" t="s">
        <v>26974</v>
      </c>
      <c r="F14391" s="34" t="n">
        <f aca="false">IFERROR(VLOOKUP($A14391,'319'!$B:$H,7,0),0)</f>
        <v>0</v>
      </c>
      <c r="G14391" s="34" t="n">
        <f aca="false">SUMIFS('12.326ana'!$C:$C,'12.326ana'!$M:$M,redes!A14391)</f>
        <v>0</v>
      </c>
    </row>
    <row r="14392" customFormat="false" ht="14.4" hidden="true" customHeight="false" outlineLevel="0" collapsed="false">
      <c r="A14392" s="34" t="n">
        <v>20148166000167</v>
      </c>
      <c r="B14392" s="34" t="s">
        <v>26975</v>
      </c>
      <c r="C14392" s="34" t="s">
        <v>77</v>
      </c>
      <c r="E14392" s="30" t="s">
        <v>26976</v>
      </c>
      <c r="F14392" s="34" t="n">
        <f aca="false">IFERROR(VLOOKUP($A14392,'319'!$B:$H,7,0),0)</f>
        <v>0</v>
      </c>
      <c r="G14392" s="34" t="n">
        <f aca="false">SUMIFS('12.326ana'!$C:$C,'12.326ana'!$M:$M,redes!A14392)</f>
        <v>0</v>
      </c>
    </row>
    <row r="14393" customFormat="false" ht="14.4" hidden="true" customHeight="false" outlineLevel="0" collapsed="false">
      <c r="A14393" s="34" t="n">
        <v>20148324000189</v>
      </c>
      <c r="B14393" s="34" t="s">
        <v>26977</v>
      </c>
      <c r="C14393" s="34" t="s">
        <v>77</v>
      </c>
      <c r="E14393" s="30" t="s">
        <v>26978</v>
      </c>
      <c r="F14393" s="34" t="n">
        <f aca="false">IFERROR(VLOOKUP($A14393,'319'!$B:$H,7,0),0)</f>
        <v>0</v>
      </c>
      <c r="G14393" s="34" t="n">
        <f aca="false">SUMIFS('12.326ana'!$C:$C,'12.326ana'!$M:$M,redes!A14393)</f>
        <v>0</v>
      </c>
    </row>
    <row r="14394" customFormat="false" ht="14.4" hidden="true" customHeight="false" outlineLevel="0" collapsed="false">
      <c r="A14394" s="34" t="n">
        <v>20150079000144</v>
      </c>
      <c r="B14394" s="34" t="s">
        <v>26979</v>
      </c>
      <c r="C14394" s="34" t="s">
        <v>107</v>
      </c>
      <c r="E14394" s="30" t="s">
        <v>26980</v>
      </c>
      <c r="F14394" s="34" t="n">
        <f aca="false">IFERROR(VLOOKUP($A14394,'319'!$B:$H,7,0),0)</f>
        <v>0</v>
      </c>
      <c r="G14394" s="34" t="n">
        <f aca="false">SUMIFS('12.326ana'!$C:$C,'12.326ana'!$M:$M,redes!A14394)</f>
        <v>0</v>
      </c>
    </row>
    <row r="14395" customFormat="false" ht="14.4" hidden="true" customHeight="false" outlineLevel="0" collapsed="false">
      <c r="A14395" s="34" t="n">
        <v>20150457000190</v>
      </c>
      <c r="B14395" s="34" t="s">
        <v>26981</v>
      </c>
      <c r="C14395" s="34" t="s">
        <v>213</v>
      </c>
      <c r="E14395" s="30" t="s">
        <v>26982</v>
      </c>
      <c r="F14395" s="34" t="n">
        <f aca="false">IFERROR(VLOOKUP($A14395,'319'!$B:$H,7,0),0)</f>
        <v>0</v>
      </c>
      <c r="G14395" s="34" t="n">
        <f aca="false">SUMIFS('12.326ana'!$C:$C,'12.326ana'!$M:$M,redes!A14395)</f>
        <v>0</v>
      </c>
    </row>
    <row r="14396" customFormat="false" ht="14.4" hidden="true" customHeight="false" outlineLevel="0" collapsed="false">
      <c r="A14396" s="34" t="n">
        <v>20155700000162</v>
      </c>
      <c r="B14396" s="34" t="s">
        <v>26983</v>
      </c>
      <c r="C14396" s="34" t="s">
        <v>77</v>
      </c>
      <c r="E14396" s="30" t="s">
        <v>26984</v>
      </c>
      <c r="F14396" s="34" t="n">
        <f aca="false">IFERROR(VLOOKUP($A14396,'319'!$B:$H,7,0),0)</f>
        <v>0</v>
      </c>
      <c r="G14396" s="34" t="n">
        <f aca="false">SUMIFS('12.326ana'!$C:$C,'12.326ana'!$M:$M,redes!A14396)</f>
        <v>0</v>
      </c>
    </row>
    <row r="14397" customFormat="false" ht="14.4" hidden="true" customHeight="false" outlineLevel="0" collapsed="false">
      <c r="A14397" s="34" t="n">
        <v>20156544000154</v>
      </c>
      <c r="B14397" s="34" t="s">
        <v>26985</v>
      </c>
      <c r="C14397" s="34" t="s">
        <v>139</v>
      </c>
      <c r="E14397" s="30" t="s">
        <v>26986</v>
      </c>
      <c r="F14397" s="34" t="n">
        <f aca="false">IFERROR(VLOOKUP($A14397,'319'!$B:$H,7,0),0)</f>
        <v>0</v>
      </c>
      <c r="G14397" s="34" t="n">
        <f aca="false">SUMIFS('12.326ana'!$C:$C,'12.326ana'!$M:$M,redes!A14397)</f>
        <v>0</v>
      </c>
    </row>
    <row r="14398" customFormat="false" ht="14.4" hidden="true" customHeight="false" outlineLevel="0" collapsed="false">
      <c r="A14398" s="34" t="n">
        <v>20161192000125</v>
      </c>
      <c r="B14398" s="34" t="s">
        <v>26987</v>
      </c>
      <c r="C14398" s="34" t="s">
        <v>77</v>
      </c>
      <c r="E14398" s="30" t="s">
        <v>26988</v>
      </c>
      <c r="F14398" s="34" t="n">
        <f aca="false">IFERROR(VLOOKUP($A14398,'319'!$B:$H,7,0),0)</f>
        <v>0</v>
      </c>
      <c r="G14398" s="34" t="n">
        <f aca="false">SUMIFS('12.326ana'!$C:$C,'12.326ana'!$M:$M,redes!A14398)</f>
        <v>0</v>
      </c>
    </row>
    <row r="14399" customFormat="false" ht="14.4" hidden="true" customHeight="false" outlineLevel="0" collapsed="false">
      <c r="A14399" s="34" t="n">
        <v>20161192000206</v>
      </c>
      <c r="B14399" s="34" t="s">
        <v>26989</v>
      </c>
      <c r="C14399" s="34" t="s">
        <v>77</v>
      </c>
      <c r="E14399" s="30" t="s">
        <v>26990</v>
      </c>
      <c r="F14399" s="34" t="n">
        <f aca="false">IFERROR(VLOOKUP($A14399,'319'!$B:$H,7,0),0)</f>
        <v>0</v>
      </c>
      <c r="G14399" s="34" t="n">
        <f aca="false">SUMIFS('12.326ana'!$C:$C,'12.326ana'!$M:$M,redes!A14399)</f>
        <v>0</v>
      </c>
    </row>
    <row r="14400" customFormat="false" ht="14.4" hidden="true" customHeight="false" outlineLevel="0" collapsed="false">
      <c r="A14400" s="34" t="n">
        <v>20161925000121</v>
      </c>
      <c r="B14400" s="34" t="s">
        <v>26991</v>
      </c>
      <c r="C14400" s="34" t="s">
        <v>89</v>
      </c>
      <c r="E14400" s="30" t="s">
        <v>4362</v>
      </c>
      <c r="F14400" s="34" t="n">
        <f aca="false">IFERROR(VLOOKUP($A14400,'319'!$B:$H,7,0),0)</f>
        <v>0</v>
      </c>
      <c r="G14400" s="34" t="n">
        <f aca="false">SUMIFS('12.326ana'!$C:$C,'12.326ana'!$M:$M,redes!A14400)</f>
        <v>0</v>
      </c>
    </row>
    <row r="14401" customFormat="false" ht="14.4" hidden="true" customHeight="false" outlineLevel="0" collapsed="false">
      <c r="A14401" s="34" t="n">
        <v>20164329000103</v>
      </c>
      <c r="B14401" s="34" t="s">
        <v>26992</v>
      </c>
      <c r="C14401" s="34" t="s">
        <v>77</v>
      </c>
      <c r="E14401" s="30" t="s">
        <v>26993</v>
      </c>
      <c r="F14401" s="34" t="n">
        <f aca="false">IFERROR(VLOOKUP($A14401,'319'!$B:$H,7,0),0)</f>
        <v>0</v>
      </c>
      <c r="G14401" s="34" t="n">
        <f aca="false">SUMIFS('12.326ana'!$C:$C,'12.326ana'!$M:$M,redes!A14401)</f>
        <v>0</v>
      </c>
    </row>
    <row r="14402" customFormat="false" ht="14.4" hidden="true" customHeight="false" outlineLevel="0" collapsed="false">
      <c r="A14402" s="34" t="n">
        <v>20167203000184</v>
      </c>
      <c r="B14402" s="34" t="s">
        <v>26994</v>
      </c>
      <c r="C14402" s="34" t="s">
        <v>77</v>
      </c>
      <c r="E14402" s="30" t="s">
        <v>4010</v>
      </c>
      <c r="F14402" s="34" t="n">
        <f aca="false">IFERROR(VLOOKUP($A14402,'319'!$B:$H,7,0),0)</f>
        <v>0</v>
      </c>
      <c r="G14402" s="34" t="n">
        <f aca="false">SUMIFS('12.326ana'!$C:$C,'12.326ana'!$M:$M,redes!A14402)</f>
        <v>0</v>
      </c>
    </row>
    <row r="14403" customFormat="false" ht="14.4" hidden="true" customHeight="false" outlineLevel="0" collapsed="false">
      <c r="A14403" s="34" t="n">
        <v>20167216000153</v>
      </c>
      <c r="B14403" s="34" t="s">
        <v>26995</v>
      </c>
      <c r="C14403" s="34" t="s">
        <v>299</v>
      </c>
      <c r="E14403" s="30" t="s">
        <v>5725</v>
      </c>
      <c r="F14403" s="34" t="n">
        <f aca="false">IFERROR(VLOOKUP($A14403,'319'!$B:$H,7,0),0)</f>
        <v>0</v>
      </c>
      <c r="G14403" s="34" t="n">
        <f aca="false">SUMIFS('12.326ana'!$C:$C,'12.326ana'!$M:$M,redes!A14403)</f>
        <v>0</v>
      </c>
    </row>
    <row r="14404" customFormat="false" ht="14.4" hidden="true" customHeight="false" outlineLevel="0" collapsed="false">
      <c r="A14404" s="34" t="n">
        <v>20169842000189</v>
      </c>
      <c r="B14404" s="34" t="s">
        <v>26996</v>
      </c>
      <c r="C14404" s="34" t="s">
        <v>77</v>
      </c>
      <c r="E14404" s="30" t="s">
        <v>26997</v>
      </c>
      <c r="F14404" s="34" t="n">
        <f aca="false">IFERROR(VLOOKUP($A14404,'319'!$B:$H,7,0),0)</f>
        <v>0</v>
      </c>
      <c r="G14404" s="34" t="n">
        <f aca="false">SUMIFS('12.326ana'!$C:$C,'12.326ana'!$M:$M,redes!A14404)</f>
        <v>0</v>
      </c>
    </row>
    <row r="14405" customFormat="false" ht="14.4" hidden="true" customHeight="false" outlineLevel="0" collapsed="false">
      <c r="A14405" s="34" t="n">
        <v>20171728000193</v>
      </c>
      <c r="B14405" s="34" t="s">
        <v>26998</v>
      </c>
      <c r="C14405" s="34" t="s">
        <v>77</v>
      </c>
      <c r="E14405" s="30" t="s">
        <v>26999</v>
      </c>
      <c r="F14405" s="34" t="n">
        <f aca="false">IFERROR(VLOOKUP($A14405,'319'!$B:$H,7,0),0)</f>
        <v>0</v>
      </c>
      <c r="G14405" s="34" t="n">
        <f aca="false">SUMIFS('12.326ana'!$C:$C,'12.326ana'!$M:$M,redes!A14405)</f>
        <v>0</v>
      </c>
    </row>
    <row r="14406" customFormat="false" ht="14.4" hidden="true" customHeight="false" outlineLevel="0" collapsed="false">
      <c r="A14406" s="34" t="n">
        <v>20177552000187</v>
      </c>
      <c r="B14406" s="34" t="s">
        <v>27000</v>
      </c>
      <c r="C14406" s="34" t="s">
        <v>77</v>
      </c>
      <c r="E14406" s="30" t="s">
        <v>27001</v>
      </c>
      <c r="F14406" s="34" t="n">
        <f aca="false">IFERROR(VLOOKUP($A14406,'319'!$B:$H,7,0),0)</f>
        <v>0</v>
      </c>
      <c r="G14406" s="34" t="n">
        <f aca="false">SUMIFS('12.326ana'!$C:$C,'12.326ana'!$M:$M,redes!A14406)</f>
        <v>0</v>
      </c>
    </row>
    <row r="14407" customFormat="false" ht="14.4" hidden="true" customHeight="false" outlineLevel="0" collapsed="false">
      <c r="A14407" s="34" t="n">
        <v>20189869000133</v>
      </c>
      <c r="B14407" s="34" t="s">
        <v>27002</v>
      </c>
      <c r="C14407" s="34" t="s">
        <v>77</v>
      </c>
      <c r="E14407" s="30" t="s">
        <v>27003</v>
      </c>
      <c r="F14407" s="34" t="n">
        <f aca="false">IFERROR(VLOOKUP($A14407,'319'!$B:$H,7,0),0)</f>
        <v>0</v>
      </c>
      <c r="G14407" s="34" t="n">
        <f aca="false">SUMIFS('12.326ana'!$C:$C,'12.326ana'!$M:$M,redes!A14407)</f>
        <v>0</v>
      </c>
    </row>
    <row r="14408" customFormat="false" ht="14.4" hidden="true" customHeight="false" outlineLevel="0" collapsed="false">
      <c r="A14408" s="34" t="n">
        <v>20191170000108</v>
      </c>
      <c r="B14408" s="34" t="s">
        <v>27004</v>
      </c>
      <c r="C14408" s="34" t="s">
        <v>737</v>
      </c>
      <c r="E14408" s="30" t="s">
        <v>22516</v>
      </c>
      <c r="F14408" s="34" t="n">
        <f aca="false">IFERROR(VLOOKUP($A14408,'319'!$B:$H,7,0),0)</f>
        <v>0</v>
      </c>
      <c r="G14408" s="34" t="n">
        <f aca="false">SUMIFS('12.326ana'!$C:$C,'12.326ana'!$M:$M,redes!A14408)</f>
        <v>0</v>
      </c>
    </row>
    <row r="14409" customFormat="false" ht="14.4" hidden="true" customHeight="false" outlineLevel="0" collapsed="false">
      <c r="A14409" s="34" t="n">
        <v>20196124000100</v>
      </c>
      <c r="B14409" s="34" t="s">
        <v>27005</v>
      </c>
      <c r="C14409" s="34" t="s">
        <v>706</v>
      </c>
      <c r="E14409" s="30" t="s">
        <v>27006</v>
      </c>
      <c r="F14409" s="34" t="n">
        <f aca="false">IFERROR(VLOOKUP($A14409,'319'!$B:$H,7,0),0)</f>
        <v>0</v>
      </c>
      <c r="G14409" s="34" t="n">
        <f aca="false">SUMIFS('12.326ana'!$C:$C,'12.326ana'!$M:$M,redes!A14409)</f>
        <v>0</v>
      </c>
    </row>
    <row r="14410" customFormat="false" ht="14.4" hidden="true" customHeight="false" outlineLevel="0" collapsed="false">
      <c r="A14410" s="34" t="n">
        <v>20199317000106</v>
      </c>
      <c r="B14410" s="34" t="s">
        <v>27007</v>
      </c>
      <c r="C14410" s="34" t="s">
        <v>77</v>
      </c>
      <c r="E14410" s="30" t="s">
        <v>27008</v>
      </c>
      <c r="F14410" s="34" t="n">
        <f aca="false">IFERROR(VLOOKUP($A14410,'319'!$B:$H,7,0),0)</f>
        <v>0</v>
      </c>
      <c r="G14410" s="34" t="n">
        <f aca="false">SUMIFS('12.326ana'!$C:$C,'12.326ana'!$M:$M,redes!A14410)</f>
        <v>0</v>
      </c>
    </row>
    <row r="14411" customFormat="false" ht="14.4" hidden="true" customHeight="false" outlineLevel="0" collapsed="false">
      <c r="A14411" s="34" t="n">
        <v>20202733000116</v>
      </c>
      <c r="B14411" s="34" t="s">
        <v>27009</v>
      </c>
      <c r="C14411" s="34" t="s">
        <v>463</v>
      </c>
      <c r="E14411" s="30" t="s">
        <v>27010</v>
      </c>
      <c r="F14411" s="34" t="n">
        <f aca="false">IFERROR(VLOOKUP($A14411,'319'!$B:$H,7,0),0)</f>
        <v>0</v>
      </c>
      <c r="G14411" s="34" t="n">
        <f aca="false">SUMIFS('12.326ana'!$C:$C,'12.326ana'!$M:$M,redes!A14411)</f>
        <v>0</v>
      </c>
    </row>
    <row r="14412" customFormat="false" ht="14.4" hidden="true" customHeight="false" outlineLevel="0" collapsed="false">
      <c r="A14412" s="34" t="n">
        <v>20210352000189</v>
      </c>
      <c r="B14412" s="34" t="s">
        <v>27011</v>
      </c>
      <c r="C14412" s="34" t="s">
        <v>77</v>
      </c>
      <c r="E14412" s="30" t="s">
        <v>27012</v>
      </c>
      <c r="F14412" s="34" t="n">
        <f aca="false">IFERROR(VLOOKUP($A14412,'319'!$B:$H,7,0),0)</f>
        <v>0</v>
      </c>
      <c r="G14412" s="34" t="n">
        <f aca="false">SUMIFS('12.326ana'!$C:$C,'12.326ana'!$M:$M,redes!A14412)</f>
        <v>0</v>
      </c>
    </row>
    <row r="14413" customFormat="false" ht="14.4" hidden="true" customHeight="false" outlineLevel="0" collapsed="false">
      <c r="A14413" s="34" t="n">
        <v>20211471000156</v>
      </c>
      <c r="B14413" s="34" t="s">
        <v>27013</v>
      </c>
      <c r="C14413" s="34" t="s">
        <v>309</v>
      </c>
      <c r="E14413" s="30" t="s">
        <v>27014</v>
      </c>
      <c r="F14413" s="34" t="n">
        <f aca="false">IFERROR(VLOOKUP($A14413,'319'!$B:$H,7,0),0)</f>
        <v>0</v>
      </c>
      <c r="G14413" s="34" t="n">
        <f aca="false">SUMIFS('12.326ana'!$C:$C,'12.326ana'!$M:$M,redes!A14413)</f>
        <v>0</v>
      </c>
    </row>
    <row r="14414" customFormat="false" ht="14.4" hidden="true" customHeight="false" outlineLevel="0" collapsed="false">
      <c r="A14414" s="34" t="n">
        <v>20213916000137</v>
      </c>
      <c r="B14414" s="34" t="s">
        <v>27015</v>
      </c>
      <c r="C14414" s="34" t="s">
        <v>309</v>
      </c>
      <c r="E14414" s="30" t="s">
        <v>27016</v>
      </c>
      <c r="F14414" s="34" t="n">
        <f aca="false">IFERROR(VLOOKUP($A14414,'319'!$B:$H,7,0),0)</f>
        <v>0</v>
      </c>
      <c r="G14414" s="34" t="n">
        <f aca="false">SUMIFS('12.326ana'!$C:$C,'12.326ana'!$M:$M,redes!A14414)</f>
        <v>0</v>
      </c>
    </row>
    <row r="14415" customFormat="false" ht="14.4" hidden="true" customHeight="false" outlineLevel="0" collapsed="false">
      <c r="A14415" s="34" t="n">
        <v>20216505000103</v>
      </c>
      <c r="B14415" s="34" t="s">
        <v>27017</v>
      </c>
      <c r="C14415" s="34" t="s">
        <v>103</v>
      </c>
      <c r="E14415" s="30" t="s">
        <v>10932</v>
      </c>
      <c r="F14415" s="34" t="n">
        <f aca="false">IFERROR(VLOOKUP($A14415,'319'!$B:$H,7,0),0)</f>
        <v>0</v>
      </c>
      <c r="G14415" s="34" t="n">
        <f aca="false">SUMIFS('12.326ana'!$C:$C,'12.326ana'!$M:$M,redes!A14415)</f>
        <v>0</v>
      </c>
    </row>
    <row r="14416" customFormat="false" ht="14.4" hidden="true" customHeight="false" outlineLevel="0" collapsed="false">
      <c r="A14416" s="34" t="n">
        <v>20235641000132</v>
      </c>
      <c r="B14416" s="34" t="s">
        <v>27018</v>
      </c>
      <c r="C14416" s="34" t="s">
        <v>154</v>
      </c>
      <c r="E14416" s="30" t="s">
        <v>27019</v>
      </c>
      <c r="F14416" s="34" t="n">
        <f aca="false">IFERROR(VLOOKUP($A14416,'319'!$B:$H,7,0),0)</f>
        <v>0</v>
      </c>
      <c r="G14416" s="34" t="n">
        <f aca="false">SUMIFS('12.326ana'!$C:$C,'12.326ana'!$M:$M,redes!A14416)</f>
        <v>0</v>
      </c>
    </row>
    <row r="14417" customFormat="false" ht="14.4" hidden="true" customHeight="false" outlineLevel="0" collapsed="false">
      <c r="A14417" s="34" t="n">
        <v>20235690000175</v>
      </c>
      <c r="B14417" s="34" t="s">
        <v>27020</v>
      </c>
      <c r="C14417" s="34" t="s">
        <v>77</v>
      </c>
      <c r="E14417" s="30" t="s">
        <v>27020</v>
      </c>
      <c r="F14417" s="34" t="n">
        <f aca="false">IFERROR(VLOOKUP($A14417,'319'!$B:$H,7,0),0)</f>
        <v>0</v>
      </c>
      <c r="G14417" s="34" t="n">
        <f aca="false">SUMIFS('12.326ana'!$C:$C,'12.326ana'!$M:$M,redes!A14417)</f>
        <v>0</v>
      </c>
    </row>
    <row r="14418" customFormat="false" ht="14.4" hidden="true" customHeight="false" outlineLevel="0" collapsed="false">
      <c r="A14418" s="34" t="n">
        <v>20249214000103</v>
      </c>
      <c r="B14418" s="34" t="s">
        <v>27021</v>
      </c>
      <c r="C14418" s="34" t="s">
        <v>107</v>
      </c>
      <c r="E14418" s="30" t="s">
        <v>8635</v>
      </c>
      <c r="F14418" s="34" t="n">
        <f aca="false">IFERROR(VLOOKUP($A14418,'319'!$B:$H,7,0),0)</f>
        <v>0</v>
      </c>
      <c r="G14418" s="34" t="n">
        <f aca="false">SUMIFS('12.326ana'!$C:$C,'12.326ana'!$M:$M,redes!A14418)</f>
        <v>0</v>
      </c>
    </row>
    <row r="14419" customFormat="false" ht="14.4" hidden="true" customHeight="false" outlineLevel="0" collapsed="false">
      <c r="A14419" s="34" t="n">
        <v>20249290000119</v>
      </c>
      <c r="B14419" s="34" t="s">
        <v>27022</v>
      </c>
      <c r="C14419" s="34" t="s">
        <v>77</v>
      </c>
      <c r="E14419" s="30" t="s">
        <v>27023</v>
      </c>
      <c r="F14419" s="34" t="n">
        <f aca="false">IFERROR(VLOOKUP($A14419,'319'!$B:$H,7,0),0)</f>
        <v>0</v>
      </c>
      <c r="G14419" s="34" t="n">
        <f aca="false">SUMIFS('12.326ana'!$C:$C,'12.326ana'!$M:$M,redes!A14419)</f>
        <v>0</v>
      </c>
    </row>
    <row r="14420" customFormat="false" ht="14.4" hidden="true" customHeight="false" outlineLevel="0" collapsed="false">
      <c r="A14420" s="34" t="n">
        <v>20258621000187</v>
      </c>
      <c r="B14420" s="34" t="s">
        <v>27024</v>
      </c>
      <c r="C14420" s="34" t="s">
        <v>139</v>
      </c>
      <c r="E14420" s="30" t="s">
        <v>27025</v>
      </c>
      <c r="F14420" s="34" t="n">
        <f aca="false">IFERROR(VLOOKUP($A14420,'319'!$B:$H,7,0),0)</f>
        <v>0</v>
      </c>
      <c r="G14420" s="34" t="n">
        <f aca="false">SUMIFS('12.326ana'!$C:$C,'12.326ana'!$M:$M,redes!A14420)</f>
        <v>0</v>
      </c>
    </row>
    <row r="14421" customFormat="false" ht="14.4" hidden="true" customHeight="false" outlineLevel="0" collapsed="false">
      <c r="A14421" s="34" t="n">
        <v>20267366000139</v>
      </c>
      <c r="B14421" s="34" t="s">
        <v>27026</v>
      </c>
      <c r="C14421" s="34" t="s">
        <v>139</v>
      </c>
      <c r="E14421" s="30" t="s">
        <v>6944</v>
      </c>
      <c r="F14421" s="34" t="n">
        <f aca="false">IFERROR(VLOOKUP($A14421,'319'!$B:$H,7,0),0)</f>
        <v>0</v>
      </c>
      <c r="G14421" s="34" t="n">
        <f aca="false">SUMIFS('12.326ana'!$C:$C,'12.326ana'!$M:$M,redes!A14421)</f>
        <v>0</v>
      </c>
    </row>
    <row r="14422" customFormat="false" ht="14.4" hidden="true" customHeight="false" outlineLevel="0" collapsed="false">
      <c r="A14422" s="34" t="n">
        <v>20276597000109</v>
      </c>
      <c r="B14422" s="34" t="s">
        <v>27027</v>
      </c>
      <c r="C14422" s="34" t="s">
        <v>77</v>
      </c>
      <c r="E14422" s="30" t="s">
        <v>27028</v>
      </c>
      <c r="F14422" s="34" t="n">
        <f aca="false">IFERROR(VLOOKUP($A14422,'319'!$B:$H,7,0),0)</f>
        <v>0</v>
      </c>
      <c r="G14422" s="34" t="n">
        <f aca="false">SUMIFS('12.326ana'!$C:$C,'12.326ana'!$M:$M,redes!A14422)</f>
        <v>0</v>
      </c>
    </row>
    <row r="14423" customFormat="false" ht="14.4" hidden="true" customHeight="false" outlineLevel="0" collapsed="false">
      <c r="A14423" s="34" t="n">
        <v>20277023000155</v>
      </c>
      <c r="B14423" s="34" t="s">
        <v>27029</v>
      </c>
      <c r="C14423" s="34" t="s">
        <v>107</v>
      </c>
      <c r="D14423" s="34" t="s">
        <v>20721</v>
      </c>
      <c r="E14423" s="30" t="s">
        <v>27030</v>
      </c>
      <c r="F14423" s="34" t="n">
        <f aca="false">IFERROR(VLOOKUP($A14423,'319'!$B:$H,7,0),0)</f>
        <v>0</v>
      </c>
      <c r="G14423" s="34" t="n">
        <f aca="false">SUMIFS('12.326ana'!$C:$C,'12.326ana'!$M:$M,redes!A14423)</f>
        <v>0</v>
      </c>
    </row>
    <row r="14424" customFormat="false" ht="14.4" hidden="true" customHeight="false" outlineLevel="0" collapsed="false">
      <c r="A14424" s="34" t="n">
        <v>20277148000185</v>
      </c>
      <c r="B14424" s="34" t="s">
        <v>27031</v>
      </c>
      <c r="C14424" s="34" t="s">
        <v>77</v>
      </c>
      <c r="E14424" s="30" t="s">
        <v>27032</v>
      </c>
      <c r="F14424" s="34" t="n">
        <f aca="false">IFERROR(VLOOKUP($A14424,'319'!$B:$H,7,0),0)</f>
        <v>0</v>
      </c>
      <c r="G14424" s="34" t="n">
        <f aca="false">SUMIFS('12.326ana'!$C:$C,'12.326ana'!$M:$M,redes!A14424)</f>
        <v>0</v>
      </c>
    </row>
    <row r="14425" customFormat="false" ht="14.4" hidden="true" customHeight="false" outlineLevel="0" collapsed="false">
      <c r="A14425" s="34" t="n">
        <v>20279101000150</v>
      </c>
      <c r="B14425" s="34" t="s">
        <v>27033</v>
      </c>
      <c r="C14425" s="34" t="s">
        <v>881</v>
      </c>
      <c r="E14425" s="30" t="s">
        <v>27034</v>
      </c>
      <c r="F14425" s="34" t="n">
        <f aca="false">IFERROR(VLOOKUP($A14425,'319'!$B:$H,7,0),0)</f>
        <v>0</v>
      </c>
      <c r="G14425" s="34" t="n">
        <f aca="false">SUMIFS('12.326ana'!$C:$C,'12.326ana'!$M:$M,redes!A14425)</f>
        <v>0</v>
      </c>
    </row>
    <row r="14426" customFormat="false" ht="14.4" hidden="true" customHeight="false" outlineLevel="0" collapsed="false">
      <c r="A14426" s="34" t="n">
        <v>20282552000147</v>
      </c>
      <c r="B14426" s="34" t="s">
        <v>27035</v>
      </c>
      <c r="C14426" s="34" t="s">
        <v>107</v>
      </c>
      <c r="E14426" s="30" t="s">
        <v>27036</v>
      </c>
      <c r="F14426" s="34" t="n">
        <f aca="false">IFERROR(VLOOKUP($A14426,'319'!$B:$H,7,0),0)</f>
        <v>0</v>
      </c>
      <c r="G14426" s="34" t="n">
        <f aca="false">SUMIFS('12.326ana'!$C:$C,'12.326ana'!$M:$M,redes!A14426)</f>
        <v>0</v>
      </c>
    </row>
    <row r="14427" customFormat="false" ht="14.4" hidden="true" customHeight="false" outlineLevel="0" collapsed="false">
      <c r="A14427" s="34" t="n">
        <v>20288898000152</v>
      </c>
      <c r="B14427" s="34" t="s">
        <v>27037</v>
      </c>
      <c r="C14427" s="34" t="s">
        <v>377</v>
      </c>
      <c r="E14427" s="30" t="s">
        <v>27038</v>
      </c>
      <c r="F14427" s="34" t="n">
        <f aca="false">IFERROR(VLOOKUP($A14427,'319'!$B:$H,7,0),0)</f>
        <v>0</v>
      </c>
      <c r="G14427" s="34" t="n">
        <f aca="false">SUMIFS('12.326ana'!$C:$C,'12.326ana'!$M:$M,redes!A14427)</f>
        <v>0</v>
      </c>
    </row>
    <row r="14428" customFormat="false" ht="14.4" hidden="true" customHeight="false" outlineLevel="0" collapsed="false">
      <c r="A14428" s="34" t="n">
        <v>20289707000177</v>
      </c>
      <c r="B14428" s="34" t="s">
        <v>27039</v>
      </c>
      <c r="C14428" s="34" t="s">
        <v>77</v>
      </c>
      <c r="E14428" s="30" t="s">
        <v>27040</v>
      </c>
      <c r="F14428" s="34" t="n">
        <f aca="false">IFERROR(VLOOKUP($A14428,'319'!$B:$H,7,0),0)</f>
        <v>0</v>
      </c>
      <c r="G14428" s="34" t="n">
        <f aca="false">SUMIFS('12.326ana'!$C:$C,'12.326ana'!$M:$M,redes!A14428)</f>
        <v>0</v>
      </c>
    </row>
    <row r="14429" customFormat="false" ht="14.4" hidden="true" customHeight="false" outlineLevel="0" collapsed="false">
      <c r="A14429" s="34" t="n">
        <v>20290981000166</v>
      </c>
      <c r="B14429" s="34" t="s">
        <v>27041</v>
      </c>
      <c r="C14429" s="34" t="s">
        <v>935</v>
      </c>
      <c r="E14429" s="30" t="s">
        <v>5434</v>
      </c>
      <c r="F14429" s="34" t="n">
        <f aca="false">IFERROR(VLOOKUP($A14429,'319'!$B:$H,7,0),0)</f>
        <v>0</v>
      </c>
      <c r="G14429" s="34" t="n">
        <f aca="false">SUMIFS('12.326ana'!$C:$C,'12.326ana'!$M:$M,redes!A14429)</f>
        <v>0</v>
      </c>
    </row>
    <row r="14430" customFormat="false" ht="14.4" hidden="true" customHeight="false" outlineLevel="0" collapsed="false">
      <c r="A14430" s="34" t="n">
        <v>20296209000151</v>
      </c>
      <c r="B14430" s="34" t="s">
        <v>27042</v>
      </c>
      <c r="C14430" s="34" t="s">
        <v>309</v>
      </c>
      <c r="E14430" s="30" t="s">
        <v>27042</v>
      </c>
      <c r="F14430" s="34" t="n">
        <f aca="false">IFERROR(VLOOKUP($A14430,'319'!$B:$H,7,0),0)</f>
        <v>0</v>
      </c>
      <c r="G14430" s="34" t="n">
        <f aca="false">SUMIFS('12.326ana'!$C:$C,'12.326ana'!$M:$M,redes!A14430)</f>
        <v>0</v>
      </c>
    </row>
    <row r="14431" customFormat="false" ht="14.4" hidden="true" customHeight="false" outlineLevel="0" collapsed="false">
      <c r="A14431" s="34" t="n">
        <v>20297237000193</v>
      </c>
      <c r="B14431" s="34" t="s">
        <v>27043</v>
      </c>
      <c r="C14431" s="34" t="s">
        <v>979</v>
      </c>
      <c r="E14431" s="30" t="s">
        <v>3001</v>
      </c>
      <c r="F14431" s="34" t="n">
        <f aca="false">IFERROR(VLOOKUP($A14431,'319'!$B:$H,7,0),0)</f>
        <v>0</v>
      </c>
      <c r="G14431" s="34" t="n">
        <f aca="false">SUMIFS('12.326ana'!$C:$C,'12.326ana'!$M:$M,redes!A14431)</f>
        <v>0</v>
      </c>
    </row>
    <row r="14432" customFormat="false" ht="14.4" hidden="true" customHeight="false" outlineLevel="0" collapsed="false">
      <c r="A14432" s="34" t="n">
        <v>20298701000166</v>
      </c>
      <c r="B14432" s="34" t="s">
        <v>27044</v>
      </c>
      <c r="C14432" s="34" t="s">
        <v>77</v>
      </c>
      <c r="E14432" s="30" t="s">
        <v>22153</v>
      </c>
      <c r="F14432" s="34" t="n">
        <f aca="false">IFERROR(VLOOKUP($A14432,'319'!$B:$H,7,0),0)</f>
        <v>0</v>
      </c>
      <c r="G14432" s="34" t="n">
        <f aca="false">SUMIFS('12.326ana'!$C:$C,'12.326ana'!$M:$M,redes!A14432)</f>
        <v>0</v>
      </c>
    </row>
    <row r="14433" customFormat="false" ht="14.4" hidden="true" customHeight="false" outlineLevel="0" collapsed="false">
      <c r="A14433" s="34" t="n">
        <v>20315276000176</v>
      </c>
      <c r="B14433" s="34" t="s">
        <v>27045</v>
      </c>
      <c r="C14433" s="34" t="s">
        <v>336</v>
      </c>
      <c r="E14433" s="30" t="s">
        <v>3777</v>
      </c>
      <c r="F14433" s="34" t="n">
        <f aca="false">IFERROR(VLOOKUP($A14433,'319'!$B:$H,7,0),0)</f>
        <v>0</v>
      </c>
      <c r="G14433" s="34" t="n">
        <f aca="false">SUMIFS('12.326ana'!$C:$C,'12.326ana'!$M:$M,redes!A14433)</f>
        <v>0</v>
      </c>
    </row>
    <row r="14434" customFormat="false" ht="14.4" hidden="true" customHeight="false" outlineLevel="0" collapsed="false">
      <c r="A14434" s="34" t="n">
        <v>20324140000122</v>
      </c>
      <c r="B14434" s="34" t="s">
        <v>27046</v>
      </c>
      <c r="C14434" s="34" t="s">
        <v>77</v>
      </c>
      <c r="E14434" s="30" t="s">
        <v>27047</v>
      </c>
      <c r="F14434" s="34" t="n">
        <f aca="false">IFERROR(VLOOKUP($A14434,'319'!$B:$H,7,0),0)</f>
        <v>0</v>
      </c>
      <c r="G14434" s="34" t="n">
        <f aca="false">SUMIFS('12.326ana'!$C:$C,'12.326ana'!$M:$M,redes!A14434)</f>
        <v>0</v>
      </c>
    </row>
    <row r="14435" customFormat="false" ht="14.4" hidden="true" customHeight="false" outlineLevel="0" collapsed="false">
      <c r="A14435" s="34" t="n">
        <v>20328003000166</v>
      </c>
      <c r="B14435" s="34" t="s">
        <v>27048</v>
      </c>
      <c r="C14435" s="34" t="s">
        <v>77</v>
      </c>
      <c r="E14435" s="30" t="s">
        <v>27049</v>
      </c>
      <c r="F14435" s="34" t="n">
        <f aca="false">IFERROR(VLOOKUP($A14435,'319'!$B:$H,7,0),0)</f>
        <v>0</v>
      </c>
      <c r="G14435" s="34" t="n">
        <f aca="false">SUMIFS('12.326ana'!$C:$C,'12.326ana'!$M:$M,redes!A14435)</f>
        <v>0</v>
      </c>
    </row>
    <row r="14436" customFormat="false" ht="14.4" hidden="true" customHeight="false" outlineLevel="0" collapsed="false">
      <c r="A14436" s="34" t="n">
        <v>20335148000194</v>
      </c>
      <c r="B14436" s="34" t="s">
        <v>502</v>
      </c>
      <c r="C14436" s="34" t="s">
        <v>103</v>
      </c>
      <c r="D14436" s="34" t="s">
        <v>23</v>
      </c>
      <c r="E14436" s="30" t="s">
        <v>2951</v>
      </c>
      <c r="F14436" s="34" t="n">
        <f aca="false">IFERROR(VLOOKUP($A14436,'319'!$B:$H,7,0),0)</f>
        <v>113356.7</v>
      </c>
      <c r="G14436" s="34" t="n">
        <f aca="false">SUMIFS('12.326ana'!$C:$C,'12.326ana'!$M:$M,redes!A14436)</f>
        <v>2993.06</v>
      </c>
    </row>
    <row r="14437" customFormat="false" ht="14.4" hidden="true" customHeight="false" outlineLevel="0" collapsed="false">
      <c r="A14437" s="34" t="n">
        <v>20335148000275</v>
      </c>
      <c r="B14437" s="34" t="s">
        <v>502</v>
      </c>
      <c r="C14437" s="34" t="s">
        <v>103</v>
      </c>
      <c r="D14437" s="34" t="s">
        <v>23</v>
      </c>
      <c r="E14437" s="30" t="s">
        <v>2952</v>
      </c>
      <c r="F14437" s="34" t="n">
        <f aca="false">IFERROR(VLOOKUP($A14437,'319'!$B:$H,7,0),0)</f>
        <v>105295.06</v>
      </c>
      <c r="G14437" s="34" t="n">
        <f aca="false">SUMIFS('12.326ana'!$C:$C,'12.326ana'!$M:$M,redes!A14437)</f>
        <v>2993.06</v>
      </c>
    </row>
    <row r="14438" customFormat="false" ht="14.4" hidden="true" customHeight="false" outlineLevel="0" collapsed="false">
      <c r="A14438" s="34" t="n">
        <v>20335148000356</v>
      </c>
      <c r="B14438" s="34" t="s">
        <v>2953</v>
      </c>
      <c r="C14438" s="34" t="s">
        <v>103</v>
      </c>
      <c r="D14438" s="34" t="s">
        <v>23</v>
      </c>
      <c r="E14438" s="30" t="s">
        <v>2951</v>
      </c>
      <c r="F14438" s="34" t="n">
        <f aca="false">IFERROR(VLOOKUP($A14438,'319'!$B:$H,7,0),0)</f>
        <v>0</v>
      </c>
      <c r="G14438" s="34" t="n">
        <f aca="false">SUMIFS('12.326ana'!$C:$C,'12.326ana'!$M:$M,redes!A14438)</f>
        <v>0</v>
      </c>
    </row>
    <row r="14439" customFormat="false" ht="14.4" hidden="true" customHeight="false" outlineLevel="0" collapsed="false">
      <c r="A14439" s="34" t="n">
        <v>20335148000607</v>
      </c>
      <c r="B14439" s="34" t="s">
        <v>502</v>
      </c>
      <c r="C14439" s="34" t="s">
        <v>103</v>
      </c>
      <c r="D14439" s="34" t="s">
        <v>23</v>
      </c>
      <c r="E14439" s="30" t="s">
        <v>2954</v>
      </c>
      <c r="F14439" s="34" t="n">
        <f aca="false">IFERROR(VLOOKUP($A14439,'319'!$B:$H,7,0),0)</f>
        <v>-242.94</v>
      </c>
      <c r="G14439" s="34" t="n">
        <f aca="false">SUMIFS('12.326ana'!$C:$C,'12.326ana'!$M:$M,redes!A14439)</f>
        <v>0</v>
      </c>
    </row>
    <row r="14440" customFormat="false" ht="14.4" hidden="true" customHeight="false" outlineLevel="0" collapsed="false">
      <c r="A14440" s="34" t="n">
        <v>20335148000780</v>
      </c>
      <c r="B14440" s="34" t="s">
        <v>502</v>
      </c>
      <c r="C14440" s="34" t="s">
        <v>107</v>
      </c>
      <c r="D14440" s="34" t="s">
        <v>23</v>
      </c>
      <c r="E14440" s="30" t="s">
        <v>2955</v>
      </c>
      <c r="F14440" s="34" t="n">
        <f aca="false">IFERROR(VLOOKUP($A14440,'319'!$B:$H,7,0),0)</f>
        <v>0</v>
      </c>
      <c r="G14440" s="34" t="n">
        <f aca="false">SUMIFS('12.326ana'!$C:$C,'12.326ana'!$M:$M,redes!A14440)</f>
        <v>0</v>
      </c>
    </row>
    <row r="14441" customFormat="false" ht="14.4" hidden="true" customHeight="false" outlineLevel="0" collapsed="false">
      <c r="A14441" s="34" t="n">
        <v>20336879000154</v>
      </c>
      <c r="B14441" s="34" t="s">
        <v>27050</v>
      </c>
      <c r="C14441" s="34" t="s">
        <v>10103</v>
      </c>
      <c r="E14441" s="30" t="s">
        <v>22469</v>
      </c>
      <c r="F14441" s="34" t="n">
        <f aca="false">IFERROR(VLOOKUP($A14441,'319'!$B:$H,7,0),0)</f>
        <v>0</v>
      </c>
      <c r="G14441" s="34" t="n">
        <f aca="false">SUMIFS('12.326ana'!$C:$C,'12.326ana'!$M:$M,redes!A14441)</f>
        <v>0</v>
      </c>
    </row>
    <row r="14442" customFormat="false" ht="14.4" hidden="true" customHeight="false" outlineLevel="0" collapsed="false">
      <c r="A14442" s="34" t="n">
        <v>20340893000121</v>
      </c>
      <c r="B14442" s="34" t="s">
        <v>27051</v>
      </c>
      <c r="C14442" s="34" t="s">
        <v>77</v>
      </c>
      <c r="E14442" s="30" t="s">
        <v>27052</v>
      </c>
      <c r="F14442" s="34" t="n">
        <f aca="false">IFERROR(VLOOKUP($A14442,'319'!$B:$H,7,0),0)</f>
        <v>0</v>
      </c>
      <c r="G14442" s="34" t="n">
        <f aca="false">SUMIFS('12.326ana'!$C:$C,'12.326ana'!$M:$M,redes!A14442)</f>
        <v>0</v>
      </c>
    </row>
    <row r="14443" customFormat="false" ht="14.4" hidden="true" customHeight="false" outlineLevel="0" collapsed="false">
      <c r="A14443" s="34" t="n">
        <v>20345761000192</v>
      </c>
      <c r="B14443" s="34" t="s">
        <v>27053</v>
      </c>
      <c r="C14443" s="34" t="s">
        <v>77</v>
      </c>
      <c r="E14443" s="30" t="s">
        <v>27054</v>
      </c>
      <c r="F14443" s="34" t="n">
        <f aca="false">IFERROR(VLOOKUP($A14443,'319'!$B:$H,7,0),0)</f>
        <v>0</v>
      </c>
      <c r="G14443" s="34" t="n">
        <f aca="false">SUMIFS('12.326ana'!$C:$C,'12.326ana'!$M:$M,redes!A14443)</f>
        <v>0</v>
      </c>
    </row>
    <row r="14444" customFormat="false" ht="14.4" hidden="true" customHeight="false" outlineLevel="0" collapsed="false">
      <c r="A14444" s="34" t="n">
        <v>20346179000140</v>
      </c>
      <c r="B14444" s="34" t="s">
        <v>27055</v>
      </c>
      <c r="C14444" s="34" t="s">
        <v>77</v>
      </c>
      <c r="E14444" s="30" t="s">
        <v>27055</v>
      </c>
      <c r="F14444" s="34" t="n">
        <f aca="false">IFERROR(VLOOKUP($A14444,'319'!$B:$H,7,0),0)</f>
        <v>0</v>
      </c>
      <c r="G14444" s="34" t="n">
        <f aca="false">SUMIFS('12.326ana'!$C:$C,'12.326ana'!$M:$M,redes!A14444)</f>
        <v>0</v>
      </c>
    </row>
    <row r="14445" customFormat="false" ht="14.4" hidden="true" customHeight="false" outlineLevel="0" collapsed="false">
      <c r="A14445" s="34" t="n">
        <v>20361667000127</v>
      </c>
      <c r="B14445" s="34" t="s">
        <v>27056</v>
      </c>
      <c r="C14445" s="34" t="s">
        <v>129</v>
      </c>
      <c r="E14445" s="30" t="s">
        <v>2958</v>
      </c>
      <c r="F14445" s="34" t="n">
        <f aca="false">IFERROR(VLOOKUP($A14445,'319'!$B:$H,7,0),0)</f>
        <v>0</v>
      </c>
      <c r="G14445" s="34" t="n">
        <f aca="false">SUMIFS('12.326ana'!$C:$C,'12.326ana'!$M:$M,redes!A14445)</f>
        <v>0</v>
      </c>
    </row>
    <row r="14446" customFormat="false" ht="14.4" hidden="true" customHeight="false" outlineLevel="0" collapsed="false">
      <c r="A14446" s="34" t="n">
        <v>20363711000138</v>
      </c>
      <c r="B14446" s="34" t="s">
        <v>27057</v>
      </c>
      <c r="C14446" s="34" t="s">
        <v>154</v>
      </c>
      <c r="E14446" s="30" t="s">
        <v>27058</v>
      </c>
      <c r="F14446" s="34" t="n">
        <f aca="false">IFERROR(VLOOKUP($A14446,'319'!$B:$H,7,0),0)</f>
        <v>0</v>
      </c>
      <c r="G14446" s="34" t="n">
        <f aca="false">SUMIFS('12.326ana'!$C:$C,'12.326ana'!$M:$M,redes!A14446)</f>
        <v>0</v>
      </c>
    </row>
    <row r="14447" customFormat="false" ht="14.4" hidden="true" customHeight="false" outlineLevel="0" collapsed="false">
      <c r="A14447" s="34" t="n">
        <v>20367703000160</v>
      </c>
      <c r="B14447" s="34" t="s">
        <v>27059</v>
      </c>
      <c r="C14447" s="34" t="s">
        <v>77</v>
      </c>
      <c r="E14447" s="30" t="s">
        <v>9895</v>
      </c>
      <c r="F14447" s="34" t="n">
        <f aca="false">IFERROR(VLOOKUP($A14447,'319'!$B:$H,7,0),0)</f>
        <v>0</v>
      </c>
      <c r="G14447" s="34" t="n">
        <f aca="false">SUMIFS('12.326ana'!$C:$C,'12.326ana'!$M:$M,redes!A14447)</f>
        <v>0</v>
      </c>
    </row>
    <row r="14448" customFormat="false" ht="14.4" hidden="true" customHeight="false" outlineLevel="0" collapsed="false">
      <c r="A14448" s="34" t="n">
        <v>20369721000180</v>
      </c>
      <c r="B14448" s="34" t="s">
        <v>27060</v>
      </c>
      <c r="C14448" s="34" t="s">
        <v>77</v>
      </c>
      <c r="E14448" s="30" t="s">
        <v>27061</v>
      </c>
      <c r="F14448" s="34" t="n">
        <f aca="false">IFERROR(VLOOKUP($A14448,'319'!$B:$H,7,0),0)</f>
        <v>0</v>
      </c>
      <c r="G14448" s="34" t="n">
        <f aca="false">SUMIFS('12.326ana'!$C:$C,'12.326ana'!$M:$M,redes!A14448)</f>
        <v>0</v>
      </c>
    </row>
    <row r="14449" customFormat="false" ht="14.4" hidden="true" customHeight="false" outlineLevel="0" collapsed="false">
      <c r="A14449" s="34" t="n">
        <v>20373597000127</v>
      </c>
      <c r="B14449" s="34" t="s">
        <v>27062</v>
      </c>
      <c r="C14449" s="34" t="s">
        <v>107</v>
      </c>
      <c r="E14449" s="30" t="s">
        <v>27063</v>
      </c>
      <c r="F14449" s="34" t="n">
        <f aca="false">IFERROR(VLOOKUP($A14449,'319'!$B:$H,7,0),0)</f>
        <v>0</v>
      </c>
      <c r="G14449" s="34" t="n">
        <f aca="false">SUMIFS('12.326ana'!$C:$C,'12.326ana'!$M:$M,redes!A14449)</f>
        <v>0</v>
      </c>
    </row>
    <row r="14450" customFormat="false" ht="14.4" hidden="true" customHeight="false" outlineLevel="0" collapsed="false">
      <c r="A14450" s="34" t="n">
        <v>20373669000136</v>
      </c>
      <c r="B14450" s="34" t="s">
        <v>27064</v>
      </c>
      <c r="C14450" s="34" t="s">
        <v>197</v>
      </c>
      <c r="E14450" s="30" t="s">
        <v>23389</v>
      </c>
      <c r="F14450" s="34" t="n">
        <f aca="false">IFERROR(VLOOKUP($A14450,'319'!$B:$H,7,0),0)</f>
        <v>0</v>
      </c>
      <c r="G14450" s="34" t="n">
        <f aca="false">SUMIFS('12.326ana'!$C:$C,'12.326ana'!$M:$M,redes!A14450)</f>
        <v>0</v>
      </c>
    </row>
    <row r="14451" customFormat="false" ht="14.4" hidden="true" customHeight="false" outlineLevel="0" collapsed="false">
      <c r="A14451" s="34" t="n">
        <v>20389950000167</v>
      </c>
      <c r="B14451" s="34" t="s">
        <v>27065</v>
      </c>
      <c r="C14451" s="34" t="s">
        <v>7250</v>
      </c>
      <c r="E14451" s="30" t="s">
        <v>27066</v>
      </c>
      <c r="F14451" s="34" t="n">
        <f aca="false">IFERROR(VLOOKUP($A14451,'319'!$B:$H,7,0),0)</f>
        <v>0</v>
      </c>
      <c r="G14451" s="34" t="n">
        <f aca="false">SUMIFS('12.326ana'!$C:$C,'12.326ana'!$M:$M,redes!A14451)</f>
        <v>0</v>
      </c>
    </row>
    <row r="14452" customFormat="false" ht="14.4" hidden="true" customHeight="false" outlineLevel="0" collapsed="false">
      <c r="A14452" s="34" t="n">
        <v>20392907000150</v>
      </c>
      <c r="B14452" s="34" t="s">
        <v>27067</v>
      </c>
      <c r="C14452" s="34" t="s">
        <v>77</v>
      </c>
      <c r="E14452" s="30" t="s">
        <v>27068</v>
      </c>
      <c r="F14452" s="34" t="n">
        <f aca="false">IFERROR(VLOOKUP($A14452,'319'!$B:$H,7,0),0)</f>
        <v>0</v>
      </c>
      <c r="G14452" s="34" t="n">
        <f aca="false">SUMIFS('12.326ana'!$C:$C,'12.326ana'!$M:$M,redes!A14452)</f>
        <v>0</v>
      </c>
    </row>
    <row r="14453" customFormat="false" ht="14.4" hidden="true" customHeight="false" outlineLevel="0" collapsed="false">
      <c r="A14453" s="34" t="n">
        <v>20401129000119</v>
      </c>
      <c r="B14453" s="34" t="s">
        <v>27069</v>
      </c>
      <c r="C14453" s="34" t="s">
        <v>3594</v>
      </c>
      <c r="E14453" s="30" t="s">
        <v>3712</v>
      </c>
      <c r="F14453" s="34" t="n">
        <f aca="false">IFERROR(VLOOKUP($A14453,'319'!$B:$H,7,0),0)</f>
        <v>0</v>
      </c>
      <c r="G14453" s="34" t="n">
        <f aca="false">SUMIFS('12.326ana'!$C:$C,'12.326ana'!$M:$M,redes!A14453)</f>
        <v>0</v>
      </c>
    </row>
    <row r="14454" customFormat="false" ht="14.4" hidden="true" customHeight="false" outlineLevel="0" collapsed="false">
      <c r="A14454" s="34" t="n">
        <v>20401195000199</v>
      </c>
      <c r="B14454" s="34" t="s">
        <v>27070</v>
      </c>
      <c r="C14454" s="34" t="s">
        <v>342</v>
      </c>
      <c r="E14454" s="30" t="s">
        <v>27071</v>
      </c>
      <c r="F14454" s="34" t="n">
        <f aca="false">IFERROR(VLOOKUP($A14454,'319'!$B:$H,7,0),0)</f>
        <v>0</v>
      </c>
      <c r="G14454" s="34" t="n">
        <f aca="false">SUMIFS('12.326ana'!$C:$C,'12.326ana'!$M:$M,redes!A14454)</f>
        <v>0</v>
      </c>
    </row>
    <row r="14455" customFormat="false" ht="14.4" hidden="true" customHeight="false" outlineLevel="0" collapsed="false">
      <c r="A14455" s="34" t="n">
        <v>20409880000161</v>
      </c>
      <c r="B14455" s="34" t="s">
        <v>27072</v>
      </c>
      <c r="C14455" s="34" t="s">
        <v>89</v>
      </c>
      <c r="E14455" s="30" t="s">
        <v>27073</v>
      </c>
      <c r="F14455" s="34" t="n">
        <f aca="false">IFERROR(VLOOKUP($A14455,'319'!$B:$H,7,0),0)</f>
        <v>0</v>
      </c>
      <c r="G14455" s="34" t="n">
        <f aca="false">SUMIFS('12.326ana'!$C:$C,'12.326ana'!$M:$M,redes!A14455)</f>
        <v>0</v>
      </c>
    </row>
    <row r="14456" customFormat="false" ht="14.4" hidden="true" customHeight="false" outlineLevel="0" collapsed="false">
      <c r="A14456" s="34" t="n">
        <v>20415180000180</v>
      </c>
      <c r="B14456" s="34" t="s">
        <v>27074</v>
      </c>
      <c r="C14456" s="34" t="s">
        <v>103</v>
      </c>
      <c r="E14456" s="30" t="s">
        <v>27075</v>
      </c>
      <c r="F14456" s="34" t="n">
        <f aca="false">IFERROR(VLOOKUP($A14456,'319'!$B:$H,7,0),0)</f>
        <v>0</v>
      </c>
      <c r="G14456" s="34" t="n">
        <f aca="false">SUMIFS('12.326ana'!$C:$C,'12.326ana'!$M:$M,redes!A14456)</f>
        <v>0</v>
      </c>
    </row>
    <row r="14457" customFormat="false" ht="14.4" hidden="true" customHeight="false" outlineLevel="0" collapsed="false">
      <c r="A14457" s="34" t="n">
        <v>20418586000116</v>
      </c>
      <c r="B14457" s="34" t="s">
        <v>27076</v>
      </c>
      <c r="C14457" s="34" t="s">
        <v>107</v>
      </c>
      <c r="E14457" s="30" t="s">
        <v>27077</v>
      </c>
      <c r="F14457" s="34" t="n">
        <f aca="false">IFERROR(VLOOKUP($A14457,'319'!$B:$H,7,0),0)</f>
        <v>250.33</v>
      </c>
      <c r="G14457" s="34" t="n">
        <f aca="false">SUMIFS('12.326ana'!$C:$C,'12.326ana'!$M:$M,redes!A14457)</f>
        <v>0</v>
      </c>
    </row>
    <row r="14458" customFormat="false" ht="14.4" hidden="true" customHeight="false" outlineLevel="0" collapsed="false">
      <c r="A14458" s="34" t="n">
        <v>20425324000189</v>
      </c>
      <c r="B14458" s="34" t="s">
        <v>27078</v>
      </c>
      <c r="C14458" s="34" t="s">
        <v>463</v>
      </c>
      <c r="E14458" s="30" t="s">
        <v>27079</v>
      </c>
      <c r="F14458" s="34" t="n">
        <f aca="false">IFERROR(VLOOKUP($A14458,'319'!$B:$H,7,0),0)</f>
        <v>0</v>
      </c>
      <c r="G14458" s="34" t="n">
        <f aca="false">SUMIFS('12.326ana'!$C:$C,'12.326ana'!$M:$M,redes!A14458)</f>
        <v>0</v>
      </c>
    </row>
    <row r="14459" customFormat="false" ht="14.4" hidden="true" customHeight="false" outlineLevel="0" collapsed="false">
      <c r="A14459" s="34" t="n">
        <v>20427627000130</v>
      </c>
      <c r="B14459" s="34" t="s">
        <v>3165</v>
      </c>
      <c r="C14459" s="34" t="s">
        <v>77</v>
      </c>
      <c r="E14459" s="30" t="s">
        <v>3165</v>
      </c>
      <c r="F14459" s="34" t="n">
        <f aca="false">IFERROR(VLOOKUP($A14459,'319'!$B:$H,7,0),0)</f>
        <v>0</v>
      </c>
      <c r="G14459" s="34" t="n">
        <f aca="false">SUMIFS('12.326ana'!$C:$C,'12.326ana'!$M:$M,redes!A14459)</f>
        <v>0</v>
      </c>
    </row>
    <row r="14460" customFormat="false" ht="14.4" hidden="true" customHeight="false" outlineLevel="0" collapsed="false">
      <c r="A14460" s="34" t="n">
        <v>20435537000191</v>
      </c>
      <c r="B14460" s="34" t="s">
        <v>27080</v>
      </c>
      <c r="C14460" s="34" t="s">
        <v>77</v>
      </c>
      <c r="E14460" s="30" t="s">
        <v>27081</v>
      </c>
      <c r="F14460" s="34" t="n">
        <f aca="false">IFERROR(VLOOKUP($A14460,'319'!$B:$H,7,0),0)</f>
        <v>0</v>
      </c>
      <c r="G14460" s="34" t="n">
        <f aca="false">SUMIFS('12.326ana'!$C:$C,'12.326ana'!$M:$M,redes!A14460)</f>
        <v>0</v>
      </c>
    </row>
    <row r="14461" customFormat="false" ht="14.4" hidden="true" customHeight="false" outlineLevel="0" collapsed="false">
      <c r="A14461" s="34" t="n">
        <v>20436696000100</v>
      </c>
      <c r="B14461" s="34" t="s">
        <v>27082</v>
      </c>
      <c r="C14461" s="34" t="s">
        <v>192</v>
      </c>
      <c r="E14461" s="30" t="s">
        <v>4689</v>
      </c>
      <c r="F14461" s="34" t="n">
        <f aca="false">IFERROR(VLOOKUP($A14461,'319'!$B:$H,7,0),0)</f>
        <v>0</v>
      </c>
      <c r="G14461" s="34" t="n">
        <f aca="false">SUMIFS('12.326ana'!$C:$C,'12.326ana'!$M:$M,redes!A14461)</f>
        <v>0</v>
      </c>
    </row>
    <row r="14462" customFormat="false" ht="14.4" hidden="true" customHeight="false" outlineLevel="0" collapsed="false">
      <c r="A14462" s="34" t="n">
        <v>20438482000173</v>
      </c>
      <c r="B14462" s="34" t="s">
        <v>27083</v>
      </c>
      <c r="C14462" s="34" t="s">
        <v>139</v>
      </c>
      <c r="E14462" s="30" t="s">
        <v>27084</v>
      </c>
      <c r="F14462" s="34" t="n">
        <f aca="false">IFERROR(VLOOKUP($A14462,'319'!$B:$H,7,0),0)</f>
        <v>0</v>
      </c>
      <c r="G14462" s="34" t="n">
        <f aca="false">SUMIFS('12.326ana'!$C:$C,'12.326ana'!$M:$M,redes!A14462)</f>
        <v>0</v>
      </c>
    </row>
    <row r="14463" customFormat="false" ht="14.4" hidden="true" customHeight="false" outlineLevel="0" collapsed="false">
      <c r="A14463" s="34" t="n">
        <v>20444662000168</v>
      </c>
      <c r="B14463" s="34" t="s">
        <v>27085</v>
      </c>
      <c r="C14463" s="34" t="s">
        <v>3594</v>
      </c>
      <c r="E14463" s="30" t="s">
        <v>27086</v>
      </c>
      <c r="F14463" s="34" t="n">
        <f aca="false">IFERROR(VLOOKUP($A14463,'319'!$B:$H,7,0),0)</f>
        <v>0</v>
      </c>
      <c r="G14463" s="34" t="n">
        <f aca="false">SUMIFS('12.326ana'!$C:$C,'12.326ana'!$M:$M,redes!A14463)</f>
        <v>0</v>
      </c>
    </row>
    <row r="14464" customFormat="false" ht="14.4" hidden="true" customHeight="false" outlineLevel="0" collapsed="false">
      <c r="A14464" s="34" t="n">
        <v>20446117000100</v>
      </c>
      <c r="B14464" s="34" t="s">
        <v>27087</v>
      </c>
      <c r="C14464" s="34" t="s">
        <v>737</v>
      </c>
      <c r="E14464" s="30" t="s">
        <v>3066</v>
      </c>
      <c r="F14464" s="34" t="n">
        <f aca="false">IFERROR(VLOOKUP($A14464,'319'!$B:$H,7,0),0)</f>
        <v>0</v>
      </c>
      <c r="G14464" s="34" t="n">
        <f aca="false">SUMIFS('12.326ana'!$C:$C,'12.326ana'!$M:$M,redes!A14464)</f>
        <v>0</v>
      </c>
    </row>
    <row r="14465" customFormat="false" ht="14.4" hidden="true" customHeight="false" outlineLevel="0" collapsed="false">
      <c r="A14465" s="34" t="n">
        <v>20454132000109</v>
      </c>
      <c r="B14465" s="34" t="s">
        <v>27088</v>
      </c>
      <c r="C14465" s="34" t="s">
        <v>77</v>
      </c>
      <c r="E14465" s="30" t="s">
        <v>27089</v>
      </c>
      <c r="F14465" s="34" t="n">
        <f aca="false">IFERROR(VLOOKUP($A14465,'319'!$B:$H,7,0),0)</f>
        <v>0</v>
      </c>
      <c r="G14465" s="34" t="n">
        <f aca="false">SUMIFS('12.326ana'!$C:$C,'12.326ana'!$M:$M,redes!A14465)</f>
        <v>0</v>
      </c>
    </row>
    <row r="14466" customFormat="false" ht="14.4" hidden="true" customHeight="false" outlineLevel="0" collapsed="false">
      <c r="A14466" s="34" t="n">
        <v>20469585000109</v>
      </c>
      <c r="B14466" s="34" t="s">
        <v>27090</v>
      </c>
      <c r="C14466" s="34" t="s">
        <v>213</v>
      </c>
      <c r="E14466" s="30" t="s">
        <v>14679</v>
      </c>
      <c r="F14466" s="34" t="n">
        <f aca="false">IFERROR(VLOOKUP($A14466,'319'!$B:$H,7,0),0)</f>
        <v>0</v>
      </c>
      <c r="G14466" s="34" t="n">
        <f aca="false">SUMIFS('12.326ana'!$C:$C,'12.326ana'!$M:$M,redes!A14466)</f>
        <v>0</v>
      </c>
    </row>
    <row r="14467" customFormat="false" ht="14.4" hidden="true" customHeight="false" outlineLevel="0" collapsed="false">
      <c r="A14467" s="34" t="n">
        <v>20483440000154</v>
      </c>
      <c r="B14467" s="34" t="s">
        <v>27091</v>
      </c>
      <c r="C14467" s="34" t="s">
        <v>107</v>
      </c>
      <c r="E14467" s="30" t="s">
        <v>27092</v>
      </c>
      <c r="F14467" s="34" t="n">
        <f aca="false">IFERROR(VLOOKUP($A14467,'319'!$B:$H,7,0),0)</f>
        <v>0</v>
      </c>
      <c r="G14467" s="34" t="n">
        <f aca="false">SUMIFS('12.326ana'!$C:$C,'12.326ana'!$M:$M,redes!A14467)</f>
        <v>0</v>
      </c>
    </row>
    <row r="14468" customFormat="false" ht="14.4" hidden="true" customHeight="false" outlineLevel="0" collapsed="false">
      <c r="A14468" s="34" t="n">
        <v>20485974000110</v>
      </c>
      <c r="B14468" s="34" t="s">
        <v>27093</v>
      </c>
      <c r="C14468" s="34" t="s">
        <v>954</v>
      </c>
      <c r="E14468" s="30" t="s">
        <v>27094</v>
      </c>
      <c r="F14468" s="34" t="n">
        <f aca="false">IFERROR(VLOOKUP($A14468,'319'!$B:$H,7,0),0)</f>
        <v>0</v>
      </c>
      <c r="G14468" s="34" t="n">
        <f aca="false">SUMIFS('12.326ana'!$C:$C,'12.326ana'!$M:$M,redes!A14468)</f>
        <v>0</v>
      </c>
    </row>
    <row r="14469" customFormat="false" ht="14.4" hidden="true" customHeight="false" outlineLevel="0" collapsed="false">
      <c r="A14469" s="34" t="n">
        <v>20497906000170</v>
      </c>
      <c r="B14469" s="34" t="s">
        <v>27095</v>
      </c>
      <c r="C14469" s="34" t="s">
        <v>565</v>
      </c>
      <c r="E14469" s="30" t="s">
        <v>27096</v>
      </c>
      <c r="F14469" s="34" t="n">
        <f aca="false">IFERROR(VLOOKUP($A14469,'319'!$B:$H,7,0),0)</f>
        <v>0</v>
      </c>
      <c r="G14469" s="34" t="n">
        <f aca="false">SUMIFS('12.326ana'!$C:$C,'12.326ana'!$M:$M,redes!A14469)</f>
        <v>0</v>
      </c>
    </row>
    <row r="14470" customFormat="false" ht="14.4" hidden="true" customHeight="false" outlineLevel="0" collapsed="false">
      <c r="A14470" s="34" t="n">
        <v>20506612000168</v>
      </c>
      <c r="B14470" s="34" t="s">
        <v>27097</v>
      </c>
      <c r="C14470" s="34" t="s">
        <v>598</v>
      </c>
      <c r="E14470" s="30" t="s">
        <v>27098</v>
      </c>
      <c r="F14470" s="34" t="n">
        <f aca="false">IFERROR(VLOOKUP($A14470,'319'!$B:$H,7,0),0)</f>
        <v>0</v>
      </c>
      <c r="G14470" s="34" t="n">
        <f aca="false">SUMIFS('12.326ana'!$C:$C,'12.326ana'!$M:$M,redes!A14470)</f>
        <v>0</v>
      </c>
    </row>
    <row r="14471" customFormat="false" ht="14.4" hidden="true" customHeight="false" outlineLevel="0" collapsed="false">
      <c r="A14471" s="34" t="n">
        <v>20523696000148</v>
      </c>
      <c r="B14471" s="34" t="s">
        <v>27099</v>
      </c>
      <c r="C14471" s="34" t="s">
        <v>77</v>
      </c>
      <c r="E14471" s="30" t="s">
        <v>27100</v>
      </c>
      <c r="F14471" s="34" t="n">
        <f aca="false">IFERROR(VLOOKUP($A14471,'319'!$B:$H,7,0),0)</f>
        <v>0</v>
      </c>
      <c r="G14471" s="34" t="n">
        <f aca="false">SUMIFS('12.326ana'!$C:$C,'12.326ana'!$M:$M,redes!A14471)</f>
        <v>0</v>
      </c>
    </row>
    <row r="14472" customFormat="false" ht="14.4" hidden="true" customHeight="false" outlineLevel="0" collapsed="false">
      <c r="A14472" s="34" t="n">
        <v>20533401000114</v>
      </c>
      <c r="B14472" s="34" t="s">
        <v>27101</v>
      </c>
      <c r="C14472" s="34" t="s">
        <v>77</v>
      </c>
      <c r="E14472" s="30" t="s">
        <v>27102</v>
      </c>
      <c r="F14472" s="34" t="n">
        <f aca="false">IFERROR(VLOOKUP($A14472,'319'!$B:$H,7,0),0)</f>
        <v>0</v>
      </c>
      <c r="G14472" s="34" t="n">
        <f aca="false">SUMIFS('12.326ana'!$C:$C,'12.326ana'!$M:$M,redes!A14472)</f>
        <v>0</v>
      </c>
    </row>
    <row r="14473" customFormat="false" ht="14.4" hidden="true" customHeight="false" outlineLevel="0" collapsed="false">
      <c r="A14473" s="34" t="n">
        <v>20538408000129</v>
      </c>
      <c r="B14473" s="34" t="s">
        <v>27103</v>
      </c>
      <c r="C14473" s="34" t="s">
        <v>103</v>
      </c>
      <c r="E14473" s="30" t="s">
        <v>22658</v>
      </c>
      <c r="F14473" s="34" t="n">
        <f aca="false">IFERROR(VLOOKUP($A14473,'319'!$B:$H,7,0),0)</f>
        <v>0</v>
      </c>
      <c r="G14473" s="34" t="n">
        <f aca="false">SUMIFS('12.326ana'!$C:$C,'12.326ana'!$M:$M,redes!A14473)</f>
        <v>0</v>
      </c>
    </row>
    <row r="14474" customFormat="false" ht="14.4" hidden="true" customHeight="false" outlineLevel="0" collapsed="false">
      <c r="A14474" s="34" t="n">
        <v>20542881000180</v>
      </c>
      <c r="B14474" s="34" t="s">
        <v>27104</v>
      </c>
      <c r="C14474" s="34" t="s">
        <v>463</v>
      </c>
      <c r="E14474" s="30" t="s">
        <v>27105</v>
      </c>
      <c r="F14474" s="34" t="n">
        <f aca="false">IFERROR(VLOOKUP($A14474,'319'!$B:$H,7,0),0)</f>
        <v>0</v>
      </c>
      <c r="G14474" s="34" t="n">
        <f aca="false">SUMIFS('12.326ana'!$C:$C,'12.326ana'!$M:$M,redes!A14474)</f>
        <v>0</v>
      </c>
    </row>
    <row r="14475" customFormat="false" ht="14.4" hidden="true" customHeight="false" outlineLevel="0" collapsed="false">
      <c r="A14475" s="34" t="n">
        <v>20544843000166</v>
      </c>
      <c r="B14475" s="34" t="s">
        <v>27106</v>
      </c>
      <c r="C14475" s="34" t="s">
        <v>77</v>
      </c>
      <c r="E14475" s="30" t="s">
        <v>10068</v>
      </c>
      <c r="F14475" s="34" t="n">
        <f aca="false">IFERROR(VLOOKUP($A14475,'319'!$B:$H,7,0),0)</f>
        <v>0</v>
      </c>
      <c r="G14475" s="34" t="n">
        <f aca="false">SUMIFS('12.326ana'!$C:$C,'12.326ana'!$M:$M,redes!A14475)</f>
        <v>0</v>
      </c>
    </row>
    <row r="14476" customFormat="false" ht="14.4" hidden="true" customHeight="false" outlineLevel="0" collapsed="false">
      <c r="A14476" s="34" t="n">
        <v>20549865000119</v>
      </c>
      <c r="B14476" s="34" t="s">
        <v>27107</v>
      </c>
      <c r="C14476" s="34" t="s">
        <v>979</v>
      </c>
      <c r="E14476" s="30" t="s">
        <v>27108</v>
      </c>
      <c r="F14476" s="34" t="n">
        <f aca="false">IFERROR(VLOOKUP($A14476,'319'!$B:$H,7,0),0)</f>
        <v>0</v>
      </c>
      <c r="G14476" s="34" t="n">
        <f aca="false">SUMIFS('12.326ana'!$C:$C,'12.326ana'!$M:$M,redes!A14476)</f>
        <v>0</v>
      </c>
    </row>
    <row r="14477" customFormat="false" ht="14.4" hidden="true" customHeight="false" outlineLevel="0" collapsed="false">
      <c r="A14477" s="34" t="n">
        <v>20585424000172</v>
      </c>
      <c r="B14477" s="34" t="s">
        <v>27109</v>
      </c>
      <c r="C14477" s="34" t="s">
        <v>129</v>
      </c>
      <c r="E14477" s="30" t="s">
        <v>27110</v>
      </c>
      <c r="F14477" s="34" t="n">
        <f aca="false">IFERROR(VLOOKUP($A14477,'319'!$B:$H,7,0),0)</f>
        <v>0</v>
      </c>
      <c r="G14477" s="34" t="n">
        <f aca="false">SUMIFS('12.326ana'!$C:$C,'12.326ana'!$M:$M,redes!A14477)</f>
        <v>0</v>
      </c>
    </row>
    <row r="14478" customFormat="false" ht="14.4" hidden="true" customHeight="false" outlineLevel="0" collapsed="false">
      <c r="A14478" s="34" t="n">
        <v>20587738000104</v>
      </c>
      <c r="B14478" s="34" t="s">
        <v>27111</v>
      </c>
      <c r="C14478" s="34" t="s">
        <v>77</v>
      </c>
      <c r="E14478" s="30" t="s">
        <v>27112</v>
      </c>
      <c r="F14478" s="34" t="n">
        <f aca="false">IFERROR(VLOOKUP($A14478,'319'!$B:$H,7,0),0)</f>
        <v>0</v>
      </c>
      <c r="G14478" s="34" t="n">
        <f aca="false">SUMIFS('12.326ana'!$C:$C,'12.326ana'!$M:$M,redes!A14478)</f>
        <v>0</v>
      </c>
    </row>
    <row r="14479" customFormat="false" ht="14.4" hidden="true" customHeight="false" outlineLevel="0" collapsed="false">
      <c r="A14479" s="34" t="n">
        <v>20605970000128</v>
      </c>
      <c r="B14479" s="34" t="s">
        <v>27113</v>
      </c>
      <c r="C14479" s="34" t="s">
        <v>77</v>
      </c>
      <c r="E14479" s="30" t="s">
        <v>27114</v>
      </c>
      <c r="F14479" s="34" t="n">
        <f aca="false">IFERROR(VLOOKUP($A14479,'319'!$B:$H,7,0),0)</f>
        <v>0</v>
      </c>
      <c r="G14479" s="34" t="n">
        <f aca="false">SUMIFS('12.326ana'!$C:$C,'12.326ana'!$M:$M,redes!A14479)</f>
        <v>0</v>
      </c>
    </row>
    <row r="14480" customFormat="false" ht="14.4" hidden="true" customHeight="false" outlineLevel="0" collapsed="false">
      <c r="A14480" s="34" t="n">
        <v>20608114000126</v>
      </c>
      <c r="B14480" s="34" t="s">
        <v>27115</v>
      </c>
      <c r="C14480" s="34" t="s">
        <v>77</v>
      </c>
      <c r="E14480" s="30" t="s">
        <v>27116</v>
      </c>
      <c r="F14480" s="34" t="n">
        <f aca="false">IFERROR(VLOOKUP($A14480,'319'!$B:$H,7,0),0)</f>
        <v>0</v>
      </c>
      <c r="G14480" s="34" t="n">
        <f aca="false">SUMIFS('12.326ana'!$C:$C,'12.326ana'!$M:$M,redes!A14480)</f>
        <v>0</v>
      </c>
    </row>
    <row r="14481" customFormat="false" ht="14.4" hidden="true" customHeight="false" outlineLevel="0" collapsed="false">
      <c r="A14481" s="34" t="n">
        <v>20617871000166</v>
      </c>
      <c r="B14481" s="34" t="s">
        <v>27117</v>
      </c>
      <c r="C14481" s="34" t="s">
        <v>77</v>
      </c>
      <c r="E14481" s="30" t="s">
        <v>27118</v>
      </c>
      <c r="F14481" s="34" t="n">
        <f aca="false">IFERROR(VLOOKUP($A14481,'319'!$B:$H,7,0),0)</f>
        <v>0</v>
      </c>
      <c r="G14481" s="34" t="n">
        <f aca="false">SUMIFS('12.326ana'!$C:$C,'12.326ana'!$M:$M,redes!A14481)</f>
        <v>0</v>
      </c>
    </row>
    <row r="14482" customFormat="false" ht="14.4" hidden="true" customHeight="false" outlineLevel="0" collapsed="false">
      <c r="A14482" s="34" t="n">
        <v>20629392000160</v>
      </c>
      <c r="B14482" s="34" t="s">
        <v>27119</v>
      </c>
      <c r="C14482" s="34" t="s">
        <v>565</v>
      </c>
      <c r="E14482" s="30" t="s">
        <v>27120</v>
      </c>
      <c r="F14482" s="34" t="n">
        <f aca="false">IFERROR(VLOOKUP($A14482,'319'!$B:$H,7,0),0)</f>
        <v>0</v>
      </c>
      <c r="G14482" s="34" t="n">
        <f aca="false">SUMIFS('12.326ana'!$C:$C,'12.326ana'!$M:$M,redes!A14482)</f>
        <v>0</v>
      </c>
    </row>
    <row r="14483" customFormat="false" ht="14.4" hidden="true" customHeight="false" outlineLevel="0" collapsed="false">
      <c r="A14483" s="34" t="n">
        <v>20637844000155</v>
      </c>
      <c r="B14483" s="34" t="s">
        <v>1233</v>
      </c>
      <c r="C14483" s="34" t="s">
        <v>77</v>
      </c>
      <c r="E14483" s="30" t="s">
        <v>27121</v>
      </c>
      <c r="F14483" s="34" t="n">
        <f aca="false">IFERROR(VLOOKUP($A14483,'319'!$B:$H,7,0),0)</f>
        <v>300.68</v>
      </c>
      <c r="G14483" s="34" t="n">
        <f aca="false">SUMIFS('12.326ana'!$C:$C,'12.326ana'!$M:$M,redes!A14483)</f>
        <v>0</v>
      </c>
    </row>
    <row r="14484" customFormat="false" ht="14.4" hidden="true" customHeight="false" outlineLevel="0" collapsed="false">
      <c r="A14484" s="34" t="n">
        <v>20654146000168</v>
      </c>
      <c r="B14484" s="34" t="s">
        <v>27122</v>
      </c>
      <c r="C14484" s="34" t="s">
        <v>77</v>
      </c>
      <c r="E14484" s="30" t="s">
        <v>27123</v>
      </c>
      <c r="F14484" s="34" t="n">
        <f aca="false">IFERROR(VLOOKUP($A14484,'319'!$B:$H,7,0),0)</f>
        <v>0</v>
      </c>
      <c r="G14484" s="34" t="n">
        <f aca="false">SUMIFS('12.326ana'!$C:$C,'12.326ana'!$M:$M,redes!A14484)</f>
        <v>0</v>
      </c>
    </row>
    <row r="14485" customFormat="false" ht="14.4" hidden="true" customHeight="false" outlineLevel="0" collapsed="false">
      <c r="A14485" s="34" t="n">
        <v>20662049000117</v>
      </c>
      <c r="B14485" s="34" t="s">
        <v>27124</v>
      </c>
      <c r="C14485" s="34" t="s">
        <v>881</v>
      </c>
      <c r="E14485" s="30" t="s">
        <v>27125</v>
      </c>
      <c r="F14485" s="34" t="n">
        <f aca="false">IFERROR(VLOOKUP($A14485,'319'!$B:$H,7,0),0)</f>
        <v>0</v>
      </c>
      <c r="G14485" s="34" t="n">
        <f aca="false">SUMIFS('12.326ana'!$C:$C,'12.326ana'!$M:$M,redes!A14485)</f>
        <v>0</v>
      </c>
    </row>
    <row r="14486" customFormat="false" ht="14.4" hidden="true" customHeight="false" outlineLevel="0" collapsed="false">
      <c r="A14486" s="34" t="n">
        <v>20672189000176</v>
      </c>
      <c r="B14486" s="34" t="s">
        <v>27126</v>
      </c>
      <c r="C14486" s="34" t="s">
        <v>475</v>
      </c>
      <c r="E14486" s="30" t="s">
        <v>27127</v>
      </c>
      <c r="F14486" s="34" t="n">
        <f aca="false">IFERROR(VLOOKUP($A14486,'319'!$B:$H,7,0),0)</f>
        <v>0</v>
      </c>
      <c r="G14486" s="34" t="n">
        <f aca="false">SUMIFS('12.326ana'!$C:$C,'12.326ana'!$M:$M,redes!A14486)</f>
        <v>0</v>
      </c>
    </row>
    <row r="14487" customFormat="false" ht="14.4" hidden="true" customHeight="false" outlineLevel="0" collapsed="false">
      <c r="A14487" s="34" t="n">
        <v>20674280000120</v>
      </c>
      <c r="B14487" s="34" t="s">
        <v>27128</v>
      </c>
      <c r="C14487" s="34" t="s">
        <v>192</v>
      </c>
      <c r="E14487" s="30" t="s">
        <v>27129</v>
      </c>
      <c r="F14487" s="34" t="n">
        <f aca="false">IFERROR(VLOOKUP($A14487,'319'!$B:$H,7,0),0)</f>
        <v>0</v>
      </c>
      <c r="G14487" s="34" t="n">
        <f aca="false">SUMIFS('12.326ana'!$C:$C,'12.326ana'!$M:$M,redes!A14487)</f>
        <v>0</v>
      </c>
    </row>
    <row r="14488" customFormat="false" ht="14.4" hidden="true" customHeight="false" outlineLevel="0" collapsed="false">
      <c r="A14488" s="34" t="n">
        <v>20690390000186</v>
      </c>
      <c r="B14488" s="34" t="s">
        <v>27130</v>
      </c>
      <c r="C14488" s="34" t="s">
        <v>680</v>
      </c>
      <c r="D14488" s="34" t="s">
        <v>26797</v>
      </c>
      <c r="E14488" s="30" t="s">
        <v>22516</v>
      </c>
      <c r="F14488" s="34" t="n">
        <f aca="false">IFERROR(VLOOKUP($A14488,'319'!$B:$H,7,0),0)</f>
        <v>0</v>
      </c>
      <c r="G14488" s="34" t="n">
        <f aca="false">SUMIFS('12.326ana'!$C:$C,'12.326ana'!$M:$M,redes!A14488)</f>
        <v>0</v>
      </c>
    </row>
    <row r="14489" customFormat="false" ht="14.4" hidden="true" customHeight="false" outlineLevel="0" collapsed="false">
      <c r="A14489" s="34" t="n">
        <v>20690390000267</v>
      </c>
      <c r="B14489" s="34" t="s">
        <v>27131</v>
      </c>
      <c r="C14489" s="34" t="s">
        <v>680</v>
      </c>
      <c r="D14489" s="34" t="s">
        <v>26797</v>
      </c>
      <c r="E14489" s="30" t="s">
        <v>22516</v>
      </c>
      <c r="F14489" s="34" t="n">
        <f aca="false">IFERROR(VLOOKUP($A14489,'319'!$B:$H,7,0),0)</f>
        <v>0</v>
      </c>
      <c r="G14489" s="34" t="n">
        <f aca="false">SUMIFS('12.326ana'!$C:$C,'12.326ana'!$M:$M,redes!A14489)</f>
        <v>0</v>
      </c>
    </row>
    <row r="14490" customFormat="false" ht="14.4" hidden="true" customHeight="false" outlineLevel="0" collapsed="false">
      <c r="A14490" s="34" t="n">
        <v>20710068000171</v>
      </c>
      <c r="B14490" s="34" t="s">
        <v>27132</v>
      </c>
      <c r="C14490" s="34" t="s">
        <v>117</v>
      </c>
      <c r="E14490" s="30" t="s">
        <v>27133</v>
      </c>
      <c r="F14490" s="34" t="n">
        <f aca="false">IFERROR(VLOOKUP($A14490,'319'!$B:$H,7,0),0)</f>
        <v>0</v>
      </c>
      <c r="G14490" s="34" t="n">
        <f aca="false">SUMIFS('12.326ana'!$C:$C,'12.326ana'!$M:$M,redes!A14490)</f>
        <v>0</v>
      </c>
    </row>
    <row r="14491" customFormat="false" ht="14.4" hidden="true" customHeight="false" outlineLevel="0" collapsed="false">
      <c r="A14491" s="34" t="n">
        <v>20710545000107</v>
      </c>
      <c r="B14491" s="34" t="s">
        <v>27134</v>
      </c>
      <c r="C14491" s="34" t="s">
        <v>77</v>
      </c>
      <c r="E14491" s="30" t="s">
        <v>27135</v>
      </c>
      <c r="F14491" s="34" t="n">
        <f aca="false">IFERROR(VLOOKUP($A14491,'319'!$B:$H,7,0),0)</f>
        <v>0</v>
      </c>
      <c r="G14491" s="34" t="n">
        <f aca="false">SUMIFS('12.326ana'!$C:$C,'12.326ana'!$M:$M,redes!A14491)</f>
        <v>0</v>
      </c>
    </row>
    <row r="14492" customFormat="false" ht="14.4" hidden="true" customHeight="false" outlineLevel="0" collapsed="false">
      <c r="A14492" s="34" t="n">
        <v>20718662000109</v>
      </c>
      <c r="B14492" s="34" t="s">
        <v>19852</v>
      </c>
      <c r="C14492" s="34" t="s">
        <v>631</v>
      </c>
      <c r="E14492" s="30" t="s">
        <v>21454</v>
      </c>
      <c r="F14492" s="34" t="n">
        <f aca="false">IFERROR(VLOOKUP($A14492,'319'!$B:$H,7,0),0)</f>
        <v>0</v>
      </c>
      <c r="G14492" s="34" t="n">
        <f aca="false">SUMIFS('12.326ana'!$C:$C,'12.326ana'!$M:$M,redes!A14492)</f>
        <v>0</v>
      </c>
    </row>
    <row r="14493" customFormat="false" ht="14.4" hidden="true" customHeight="false" outlineLevel="0" collapsed="false">
      <c r="A14493" s="34" t="n">
        <v>20743017000146</v>
      </c>
      <c r="B14493" s="34" t="s">
        <v>27136</v>
      </c>
      <c r="C14493" s="34" t="s">
        <v>77</v>
      </c>
      <c r="E14493" s="30" t="s">
        <v>27137</v>
      </c>
      <c r="F14493" s="34" t="n">
        <f aca="false">IFERROR(VLOOKUP($A14493,'319'!$B:$H,7,0),0)</f>
        <v>0</v>
      </c>
      <c r="G14493" s="34" t="n">
        <f aca="false">SUMIFS('12.326ana'!$C:$C,'12.326ana'!$M:$M,redes!A14493)</f>
        <v>0</v>
      </c>
    </row>
    <row r="14494" customFormat="false" ht="14.4" hidden="true" customHeight="false" outlineLevel="0" collapsed="false">
      <c r="A14494" s="34" t="n">
        <v>20745396000103</v>
      </c>
      <c r="B14494" s="34" t="s">
        <v>27138</v>
      </c>
      <c r="C14494" s="34" t="s">
        <v>103</v>
      </c>
      <c r="E14494" s="30" t="s">
        <v>27139</v>
      </c>
      <c r="F14494" s="34" t="n">
        <f aca="false">IFERROR(VLOOKUP($A14494,'319'!$B:$H,7,0),0)</f>
        <v>0</v>
      </c>
      <c r="G14494" s="34" t="n">
        <f aca="false">SUMIFS('12.326ana'!$C:$C,'12.326ana'!$M:$M,redes!A14494)</f>
        <v>0</v>
      </c>
    </row>
    <row r="14495" customFormat="false" ht="14.4" hidden="true" customHeight="false" outlineLevel="0" collapsed="false">
      <c r="A14495" s="34" t="n">
        <v>20747039000184</v>
      </c>
      <c r="B14495" s="34" t="s">
        <v>27140</v>
      </c>
      <c r="C14495" s="34" t="s">
        <v>77</v>
      </c>
      <c r="E14495" s="30" t="s">
        <v>27141</v>
      </c>
      <c r="F14495" s="34" t="n">
        <f aca="false">IFERROR(VLOOKUP($A14495,'319'!$B:$H,7,0),0)</f>
        <v>0</v>
      </c>
      <c r="G14495" s="34" t="n">
        <f aca="false">SUMIFS('12.326ana'!$C:$C,'12.326ana'!$M:$M,redes!A14495)</f>
        <v>0</v>
      </c>
    </row>
    <row r="14496" customFormat="false" ht="14.4" hidden="true" customHeight="false" outlineLevel="0" collapsed="false">
      <c r="A14496" s="34" t="n">
        <v>20750641000170</v>
      </c>
      <c r="B14496" s="34" t="s">
        <v>27142</v>
      </c>
      <c r="C14496" s="34" t="s">
        <v>604</v>
      </c>
      <c r="E14496" s="30" t="s">
        <v>27143</v>
      </c>
      <c r="F14496" s="34" t="n">
        <f aca="false">IFERROR(VLOOKUP($A14496,'319'!$B:$H,7,0),0)</f>
        <v>0</v>
      </c>
      <c r="G14496" s="34" t="n">
        <f aca="false">SUMIFS('12.326ana'!$C:$C,'12.326ana'!$M:$M,redes!A14496)</f>
        <v>0</v>
      </c>
    </row>
    <row r="14497" customFormat="false" ht="14.4" hidden="true" customHeight="false" outlineLevel="0" collapsed="false">
      <c r="A14497" s="34" t="n">
        <v>20754167000155</v>
      </c>
      <c r="B14497" s="34" t="s">
        <v>27144</v>
      </c>
      <c r="C14497" s="34" t="s">
        <v>309</v>
      </c>
      <c r="E14497" s="30" t="s">
        <v>3096</v>
      </c>
      <c r="F14497" s="34" t="n">
        <f aca="false">IFERROR(VLOOKUP($A14497,'319'!$B:$H,7,0),0)</f>
        <v>0</v>
      </c>
      <c r="G14497" s="34" t="n">
        <f aca="false">SUMIFS('12.326ana'!$C:$C,'12.326ana'!$M:$M,redes!A14497)</f>
        <v>0</v>
      </c>
    </row>
    <row r="14498" customFormat="false" ht="14.4" hidden="true" customHeight="false" outlineLevel="0" collapsed="false">
      <c r="A14498" s="34" t="n">
        <v>20763673000100</v>
      </c>
      <c r="B14498" s="34" t="s">
        <v>27145</v>
      </c>
      <c r="C14498" s="34" t="s">
        <v>89</v>
      </c>
      <c r="E14498" s="30" t="s">
        <v>1405</v>
      </c>
      <c r="F14498" s="34" t="n">
        <f aca="false">IFERROR(VLOOKUP($A14498,'319'!$B:$H,7,0),0)</f>
        <v>228.18</v>
      </c>
      <c r="G14498" s="34" t="n">
        <f aca="false">SUMIFS('12.326ana'!$C:$C,'12.326ana'!$M:$M,redes!A14498)</f>
        <v>0</v>
      </c>
    </row>
    <row r="14499" customFormat="false" ht="14.4" hidden="true" customHeight="false" outlineLevel="0" collapsed="false">
      <c r="A14499" s="34" t="n">
        <v>20763673000291</v>
      </c>
      <c r="B14499" s="34" t="s">
        <v>27146</v>
      </c>
      <c r="C14499" s="34" t="s">
        <v>89</v>
      </c>
      <c r="E14499" s="30" t="s">
        <v>1010</v>
      </c>
      <c r="F14499" s="34" t="n">
        <f aca="false">IFERROR(VLOOKUP($A14499,'319'!$B:$H,7,0),0)</f>
        <v>943.13</v>
      </c>
      <c r="G14499" s="34" t="n">
        <f aca="false">SUMIFS('12.326ana'!$C:$C,'12.326ana'!$M:$M,redes!A14499)</f>
        <v>0</v>
      </c>
    </row>
    <row r="14500" customFormat="false" ht="14.4" hidden="true" customHeight="false" outlineLevel="0" collapsed="false">
      <c r="A14500" s="34" t="n">
        <v>20771478000122</v>
      </c>
      <c r="B14500" s="34" t="s">
        <v>27147</v>
      </c>
      <c r="C14500" s="34" t="s">
        <v>473</v>
      </c>
      <c r="E14500" s="30" t="s">
        <v>27148</v>
      </c>
      <c r="F14500" s="34" t="n">
        <f aca="false">IFERROR(VLOOKUP($A14500,'319'!$B:$H,7,0),0)</f>
        <v>0</v>
      </c>
      <c r="G14500" s="34" t="n">
        <f aca="false">SUMIFS('12.326ana'!$C:$C,'12.326ana'!$M:$M,redes!A14500)</f>
        <v>0</v>
      </c>
    </row>
    <row r="14501" customFormat="false" ht="14.4" hidden="true" customHeight="false" outlineLevel="0" collapsed="false">
      <c r="A14501" s="34" t="n">
        <v>20772358000140</v>
      </c>
      <c r="B14501" s="34" t="s">
        <v>1407</v>
      </c>
      <c r="C14501" s="34" t="s">
        <v>296</v>
      </c>
      <c r="E14501" s="30" t="s">
        <v>27149</v>
      </c>
      <c r="F14501" s="34" t="n">
        <f aca="false">IFERROR(VLOOKUP($A14501,'319'!$B:$H,7,0),0)</f>
        <v>226.45</v>
      </c>
      <c r="G14501" s="34" t="n">
        <f aca="false">SUMIFS('12.326ana'!$C:$C,'12.326ana'!$M:$M,redes!A14501)</f>
        <v>0</v>
      </c>
    </row>
    <row r="14502" customFormat="false" ht="14.4" hidden="true" customHeight="false" outlineLevel="0" collapsed="false">
      <c r="A14502" s="34" t="n">
        <v>20773036000115</v>
      </c>
      <c r="B14502" s="34" t="s">
        <v>27150</v>
      </c>
      <c r="C14502" s="34" t="s">
        <v>473</v>
      </c>
      <c r="E14502" s="30" t="s">
        <v>27151</v>
      </c>
      <c r="F14502" s="34" t="n">
        <f aca="false">IFERROR(VLOOKUP($A14502,'319'!$B:$H,7,0),0)</f>
        <v>64.72</v>
      </c>
      <c r="G14502" s="34" t="n">
        <f aca="false">SUMIFS('12.326ana'!$C:$C,'12.326ana'!$M:$M,redes!A14502)</f>
        <v>0</v>
      </c>
    </row>
    <row r="14503" customFormat="false" ht="14.4" hidden="true" customHeight="false" outlineLevel="0" collapsed="false">
      <c r="A14503" s="34" t="n">
        <v>20773549000126</v>
      </c>
      <c r="B14503" s="34" t="s">
        <v>27152</v>
      </c>
      <c r="C14503" s="34" t="s">
        <v>562</v>
      </c>
      <c r="E14503" s="30" t="s">
        <v>27153</v>
      </c>
      <c r="F14503" s="34" t="n">
        <f aca="false">IFERROR(VLOOKUP($A14503,'319'!$B:$H,7,0),0)</f>
        <v>0</v>
      </c>
      <c r="G14503" s="34" t="n">
        <f aca="false">SUMIFS('12.326ana'!$C:$C,'12.326ana'!$M:$M,redes!A14503)</f>
        <v>0</v>
      </c>
    </row>
    <row r="14504" customFormat="false" ht="14.4" hidden="true" customHeight="false" outlineLevel="0" collapsed="false">
      <c r="A14504" s="34" t="n">
        <v>20775296000120</v>
      </c>
      <c r="B14504" s="34" t="s">
        <v>27154</v>
      </c>
      <c r="C14504" s="34" t="s">
        <v>139</v>
      </c>
      <c r="E14504" s="30" t="s">
        <v>27155</v>
      </c>
      <c r="F14504" s="34" t="n">
        <f aca="false">IFERROR(VLOOKUP($A14504,'319'!$B:$H,7,0),0)</f>
        <v>0</v>
      </c>
      <c r="G14504" s="34" t="n">
        <f aca="false">SUMIFS('12.326ana'!$C:$C,'12.326ana'!$M:$M,redes!A14504)</f>
        <v>0</v>
      </c>
    </row>
    <row r="14505" customFormat="false" ht="14.4" hidden="true" customHeight="false" outlineLevel="0" collapsed="false">
      <c r="A14505" s="34" t="n">
        <v>20775301000102</v>
      </c>
      <c r="B14505" s="34" t="s">
        <v>27156</v>
      </c>
      <c r="C14505" s="34" t="s">
        <v>77</v>
      </c>
      <c r="E14505" s="30" t="s">
        <v>27157</v>
      </c>
      <c r="F14505" s="34" t="n">
        <f aca="false">IFERROR(VLOOKUP($A14505,'319'!$B:$H,7,0),0)</f>
        <v>0</v>
      </c>
      <c r="G14505" s="34" t="n">
        <f aca="false">SUMIFS('12.326ana'!$C:$C,'12.326ana'!$M:$M,redes!A14505)</f>
        <v>0</v>
      </c>
    </row>
    <row r="14506" customFormat="false" ht="14.4" hidden="true" customHeight="false" outlineLevel="0" collapsed="false">
      <c r="A14506" s="34" t="n">
        <v>20787921000153</v>
      </c>
      <c r="B14506" s="34" t="s">
        <v>27158</v>
      </c>
      <c r="C14506" s="34" t="s">
        <v>299</v>
      </c>
      <c r="E14506" s="30" t="s">
        <v>27158</v>
      </c>
      <c r="F14506" s="34" t="n">
        <f aca="false">IFERROR(VLOOKUP($A14506,'319'!$B:$H,7,0),0)</f>
        <v>0</v>
      </c>
      <c r="G14506" s="34" t="n">
        <f aca="false">SUMIFS('12.326ana'!$C:$C,'12.326ana'!$M:$M,redes!A14506)</f>
        <v>0</v>
      </c>
    </row>
    <row r="14507" customFormat="false" ht="14.4" hidden="true" customHeight="false" outlineLevel="0" collapsed="false">
      <c r="A14507" s="34" t="n">
        <v>20793247000110</v>
      </c>
      <c r="B14507" s="34" t="s">
        <v>27159</v>
      </c>
      <c r="C14507" s="34" t="s">
        <v>478</v>
      </c>
      <c r="E14507" s="30" t="s">
        <v>27160</v>
      </c>
      <c r="F14507" s="34" t="n">
        <f aca="false">IFERROR(VLOOKUP($A14507,'319'!$B:$H,7,0),0)</f>
        <v>0</v>
      </c>
      <c r="G14507" s="34" t="n">
        <f aca="false">SUMIFS('12.326ana'!$C:$C,'12.326ana'!$M:$M,redes!A14507)</f>
        <v>0</v>
      </c>
    </row>
    <row r="14508" customFormat="false" ht="14.4" hidden="true" customHeight="false" outlineLevel="0" collapsed="false">
      <c r="A14508" s="34" t="n">
        <v>20793487000114</v>
      </c>
      <c r="B14508" s="34" t="s">
        <v>27161</v>
      </c>
      <c r="C14508" s="34" t="s">
        <v>77</v>
      </c>
      <c r="E14508" s="30" t="s">
        <v>27162</v>
      </c>
      <c r="F14508" s="34" t="n">
        <f aca="false">IFERROR(VLOOKUP($A14508,'319'!$B:$H,7,0),0)</f>
        <v>0</v>
      </c>
      <c r="G14508" s="34" t="n">
        <f aca="false">SUMIFS('12.326ana'!$C:$C,'12.326ana'!$M:$M,redes!A14508)</f>
        <v>0</v>
      </c>
    </row>
    <row r="14509" customFormat="false" ht="14.4" hidden="true" customHeight="false" outlineLevel="0" collapsed="false">
      <c r="A14509" s="34" t="n">
        <v>20802462000130</v>
      </c>
      <c r="B14509" s="34" t="s">
        <v>27163</v>
      </c>
      <c r="C14509" s="34" t="s">
        <v>77</v>
      </c>
      <c r="E14509" s="30" t="s">
        <v>27164</v>
      </c>
      <c r="F14509" s="34" t="n">
        <f aca="false">IFERROR(VLOOKUP($A14509,'319'!$B:$H,7,0),0)</f>
        <v>0</v>
      </c>
      <c r="G14509" s="34" t="n">
        <f aca="false">SUMIFS('12.326ana'!$C:$C,'12.326ana'!$M:$M,redes!A14509)</f>
        <v>0</v>
      </c>
    </row>
    <row r="14510" customFormat="false" ht="14.4" hidden="true" customHeight="false" outlineLevel="0" collapsed="false">
      <c r="A14510" s="34" t="n">
        <v>20812568000114</v>
      </c>
      <c r="B14510" s="34" t="s">
        <v>27165</v>
      </c>
      <c r="C14510" s="34" t="s">
        <v>77</v>
      </c>
      <c r="E14510" s="30" t="s">
        <v>27166</v>
      </c>
      <c r="F14510" s="34" t="n">
        <f aca="false">IFERROR(VLOOKUP($A14510,'319'!$B:$H,7,0),0)</f>
        <v>0</v>
      </c>
      <c r="G14510" s="34" t="n">
        <f aca="false">SUMIFS('12.326ana'!$C:$C,'12.326ana'!$M:$M,redes!A14510)</f>
        <v>0</v>
      </c>
    </row>
    <row r="14511" customFormat="false" ht="14.4" hidden="true" customHeight="false" outlineLevel="0" collapsed="false">
      <c r="A14511" s="34" t="n">
        <v>20815462000174</v>
      </c>
      <c r="B14511" s="34" t="s">
        <v>27167</v>
      </c>
      <c r="C14511" s="34" t="s">
        <v>197</v>
      </c>
      <c r="E14511" s="30" t="s">
        <v>27168</v>
      </c>
      <c r="F14511" s="34" t="n">
        <f aca="false">IFERROR(VLOOKUP($A14511,'319'!$B:$H,7,0),0)</f>
        <v>0</v>
      </c>
      <c r="G14511" s="34" t="n">
        <f aca="false">SUMIFS('12.326ana'!$C:$C,'12.326ana'!$M:$M,redes!A14511)</f>
        <v>0</v>
      </c>
    </row>
    <row r="14512" customFormat="false" ht="14.4" hidden="true" customHeight="false" outlineLevel="0" collapsed="false">
      <c r="A14512" s="34" t="n">
        <v>20829168000111</v>
      </c>
      <c r="B14512" s="34" t="s">
        <v>27169</v>
      </c>
      <c r="C14512" s="34" t="s">
        <v>77</v>
      </c>
      <c r="E14512" s="30" t="s">
        <v>12434</v>
      </c>
      <c r="F14512" s="34" t="n">
        <f aca="false">IFERROR(VLOOKUP($A14512,'319'!$B:$H,7,0),0)</f>
        <v>0</v>
      </c>
      <c r="G14512" s="34" t="n">
        <f aca="false">SUMIFS('12.326ana'!$C:$C,'12.326ana'!$M:$M,redes!A14512)</f>
        <v>0</v>
      </c>
    </row>
    <row r="14513" customFormat="false" ht="14.4" hidden="true" customHeight="false" outlineLevel="0" collapsed="false">
      <c r="A14513" s="34" t="n">
        <v>20832338000117</v>
      </c>
      <c r="B14513" s="34" t="s">
        <v>27170</v>
      </c>
      <c r="C14513" s="34" t="s">
        <v>77</v>
      </c>
      <c r="E14513" s="30" t="s">
        <v>3927</v>
      </c>
      <c r="F14513" s="34" t="n">
        <f aca="false">IFERROR(VLOOKUP($A14513,'319'!$B:$H,7,0),0)</f>
        <v>0</v>
      </c>
      <c r="G14513" s="34" t="n">
        <f aca="false">SUMIFS('12.326ana'!$C:$C,'12.326ana'!$M:$M,redes!A14513)</f>
        <v>0</v>
      </c>
    </row>
    <row r="14514" customFormat="false" ht="14.4" hidden="true" customHeight="false" outlineLevel="0" collapsed="false">
      <c r="A14514" s="34" t="n">
        <v>20843480000160</v>
      </c>
      <c r="B14514" s="34" t="s">
        <v>27171</v>
      </c>
      <c r="C14514" s="34" t="s">
        <v>129</v>
      </c>
      <c r="E14514" s="30" t="s">
        <v>3078</v>
      </c>
      <c r="F14514" s="34" t="n">
        <f aca="false">IFERROR(VLOOKUP($A14514,'319'!$B:$H,7,0),0)</f>
        <v>0</v>
      </c>
      <c r="G14514" s="34" t="n">
        <f aca="false">SUMIFS('12.326ana'!$C:$C,'12.326ana'!$M:$M,redes!A14514)</f>
        <v>0</v>
      </c>
    </row>
    <row r="14515" customFormat="false" ht="14.4" hidden="true" customHeight="false" outlineLevel="0" collapsed="false">
      <c r="A14515" s="34" t="n">
        <v>20847236000175</v>
      </c>
      <c r="B14515" s="34" t="s">
        <v>27172</v>
      </c>
      <c r="C14515" s="34" t="s">
        <v>89</v>
      </c>
      <c r="E14515" s="30" t="s">
        <v>27173</v>
      </c>
      <c r="F14515" s="34" t="n">
        <f aca="false">IFERROR(VLOOKUP($A14515,'319'!$B:$H,7,0),0)</f>
        <v>0</v>
      </c>
      <c r="G14515" s="34" t="n">
        <f aca="false">SUMIFS('12.326ana'!$C:$C,'12.326ana'!$M:$M,redes!A14515)</f>
        <v>0</v>
      </c>
    </row>
    <row r="14516" customFormat="false" ht="14.4" hidden="true" customHeight="false" outlineLevel="0" collapsed="false">
      <c r="A14516" s="34" t="n">
        <v>20847236000256</v>
      </c>
      <c r="B14516" s="34" t="s">
        <v>27174</v>
      </c>
      <c r="C14516" s="34" t="s">
        <v>89</v>
      </c>
      <c r="E14516" s="30" t="s">
        <v>27175</v>
      </c>
      <c r="F14516" s="34" t="n">
        <f aca="false">IFERROR(VLOOKUP($A14516,'319'!$B:$H,7,0),0)</f>
        <v>160.67</v>
      </c>
      <c r="G14516" s="34" t="n">
        <f aca="false">SUMIFS('12.326ana'!$C:$C,'12.326ana'!$M:$M,redes!A14516)</f>
        <v>0</v>
      </c>
    </row>
    <row r="14517" customFormat="false" ht="14.4" hidden="true" customHeight="false" outlineLevel="0" collapsed="false">
      <c r="A14517" s="34" t="n">
        <v>20847816000162</v>
      </c>
      <c r="B14517" s="34" t="s">
        <v>27176</v>
      </c>
      <c r="C14517" s="34" t="s">
        <v>631</v>
      </c>
      <c r="E14517" s="30" t="s">
        <v>27177</v>
      </c>
      <c r="F14517" s="34" t="n">
        <f aca="false">IFERROR(VLOOKUP($A14517,'319'!$B:$H,7,0),0)</f>
        <v>0</v>
      </c>
      <c r="G14517" s="34" t="n">
        <f aca="false">SUMIFS('12.326ana'!$C:$C,'12.326ana'!$M:$M,redes!A14517)</f>
        <v>0</v>
      </c>
    </row>
    <row r="14518" customFormat="false" ht="14.4" hidden="true" customHeight="false" outlineLevel="0" collapsed="false">
      <c r="A14518" s="34" t="n">
        <v>20855231000194</v>
      </c>
      <c r="B14518" s="34" t="s">
        <v>27178</v>
      </c>
      <c r="C14518" s="34" t="s">
        <v>842</v>
      </c>
      <c r="E14518" s="30" t="s">
        <v>27179</v>
      </c>
      <c r="F14518" s="34" t="n">
        <f aca="false">IFERROR(VLOOKUP($A14518,'319'!$B:$H,7,0),0)</f>
        <v>0</v>
      </c>
      <c r="G14518" s="34" t="n">
        <f aca="false">SUMIFS('12.326ana'!$C:$C,'12.326ana'!$M:$M,redes!A14518)</f>
        <v>0</v>
      </c>
    </row>
    <row r="14519" customFormat="false" ht="14.4" hidden="true" customHeight="false" outlineLevel="0" collapsed="false">
      <c r="A14519" s="34" t="n">
        <v>20890591000127</v>
      </c>
      <c r="B14519" s="34" t="s">
        <v>7192</v>
      </c>
      <c r="C14519" s="34" t="s">
        <v>604</v>
      </c>
      <c r="E14519" s="30" t="s">
        <v>7193</v>
      </c>
      <c r="F14519" s="34" t="n">
        <f aca="false">IFERROR(VLOOKUP($A14519,'319'!$B:$H,7,0),0)</f>
        <v>0</v>
      </c>
      <c r="G14519" s="34" t="n">
        <f aca="false">SUMIFS('12.326ana'!$C:$C,'12.326ana'!$M:$M,redes!A14519)</f>
        <v>0</v>
      </c>
    </row>
    <row r="14520" customFormat="false" ht="14.4" hidden="true" customHeight="false" outlineLevel="0" collapsed="false">
      <c r="A14520" s="34" t="n">
        <v>20891194000170</v>
      </c>
      <c r="B14520" s="34" t="s">
        <v>887</v>
      </c>
      <c r="C14520" s="34" t="s">
        <v>764</v>
      </c>
      <c r="E14520" s="30" t="s">
        <v>27180</v>
      </c>
      <c r="F14520" s="34" t="n">
        <f aca="false">IFERROR(VLOOKUP($A14520,'319'!$B:$H,7,0),0)</f>
        <v>1626.33</v>
      </c>
      <c r="G14520" s="34" t="n">
        <f aca="false">SUMIFS('12.326ana'!$C:$C,'12.326ana'!$M:$M,redes!A14520)</f>
        <v>0</v>
      </c>
    </row>
    <row r="14521" customFormat="false" ht="14.4" hidden="true" customHeight="false" outlineLevel="0" collapsed="false">
      <c r="A14521" s="34" t="n">
        <v>20894327000161</v>
      </c>
      <c r="B14521" s="34" t="s">
        <v>27181</v>
      </c>
      <c r="C14521" s="34" t="s">
        <v>77</v>
      </c>
      <c r="E14521" s="30" t="s">
        <v>27182</v>
      </c>
      <c r="F14521" s="34" t="n">
        <f aca="false">IFERROR(VLOOKUP($A14521,'319'!$B:$H,7,0),0)</f>
        <v>0</v>
      </c>
      <c r="G14521" s="34" t="n">
        <f aca="false">SUMIFS('12.326ana'!$C:$C,'12.326ana'!$M:$M,redes!A14521)</f>
        <v>0</v>
      </c>
    </row>
    <row r="14522" customFormat="false" ht="14.4" hidden="true" customHeight="false" outlineLevel="0" collapsed="false">
      <c r="A14522" s="34" t="n">
        <v>20902160000133</v>
      </c>
      <c r="B14522" s="34" t="s">
        <v>27183</v>
      </c>
      <c r="C14522" s="34" t="s">
        <v>994</v>
      </c>
      <c r="E14522" s="30" t="s">
        <v>27184</v>
      </c>
      <c r="F14522" s="34" t="n">
        <f aca="false">IFERROR(VLOOKUP($A14522,'319'!$B:$H,7,0),0)</f>
        <v>0</v>
      </c>
      <c r="G14522" s="34" t="n">
        <f aca="false">SUMIFS('12.326ana'!$C:$C,'12.326ana'!$M:$M,redes!A14522)</f>
        <v>0</v>
      </c>
    </row>
    <row r="14523" customFormat="false" ht="14.4" hidden="true" customHeight="false" outlineLevel="0" collapsed="false">
      <c r="A14523" s="34" t="n">
        <v>20907455000100</v>
      </c>
      <c r="B14523" s="34" t="s">
        <v>27185</v>
      </c>
      <c r="C14523" s="34" t="s">
        <v>967</v>
      </c>
      <c r="E14523" s="30" t="s">
        <v>27186</v>
      </c>
      <c r="F14523" s="34" t="n">
        <f aca="false">IFERROR(VLOOKUP($A14523,'319'!$B:$H,7,0),0)</f>
        <v>0</v>
      </c>
      <c r="G14523" s="34" t="n">
        <f aca="false">SUMIFS('12.326ana'!$C:$C,'12.326ana'!$M:$M,redes!A14523)</f>
        <v>0</v>
      </c>
    </row>
    <row r="14524" customFormat="false" ht="14.4" hidden="true" customHeight="false" outlineLevel="0" collapsed="false">
      <c r="A14524" s="34" t="n">
        <v>20908709000105</v>
      </c>
      <c r="B14524" s="34" t="s">
        <v>27187</v>
      </c>
      <c r="C14524" s="34" t="s">
        <v>781</v>
      </c>
      <c r="E14524" s="30" t="s">
        <v>13794</v>
      </c>
      <c r="F14524" s="34" t="n">
        <f aca="false">IFERROR(VLOOKUP($A14524,'319'!$B:$H,7,0),0)</f>
        <v>0</v>
      </c>
      <c r="G14524" s="34" t="n">
        <f aca="false">SUMIFS('12.326ana'!$C:$C,'12.326ana'!$M:$M,redes!A14524)</f>
        <v>0</v>
      </c>
    </row>
    <row r="14525" customFormat="false" ht="14.4" hidden="true" customHeight="false" outlineLevel="0" collapsed="false">
      <c r="A14525" s="34" t="n">
        <v>20920177000113</v>
      </c>
      <c r="B14525" s="34" t="s">
        <v>27188</v>
      </c>
      <c r="C14525" s="34" t="s">
        <v>213</v>
      </c>
      <c r="E14525" s="30"/>
      <c r="F14525" s="34" t="n">
        <f aca="false">IFERROR(VLOOKUP($A14525,'319'!$B:$H,7,0),0)</f>
        <v>0</v>
      </c>
      <c r="G14525" s="34" t="n">
        <f aca="false">SUMIFS('12.326ana'!$C:$C,'12.326ana'!$M:$M,redes!A14525)</f>
        <v>0</v>
      </c>
    </row>
    <row r="14526" customFormat="false" ht="14.4" hidden="true" customHeight="false" outlineLevel="0" collapsed="false">
      <c r="A14526" s="34" t="n">
        <v>20928345000117</v>
      </c>
      <c r="B14526" s="34" t="s">
        <v>27189</v>
      </c>
      <c r="C14526" s="34" t="s">
        <v>89</v>
      </c>
      <c r="E14526" s="30" t="s">
        <v>27190</v>
      </c>
      <c r="F14526" s="34" t="n">
        <f aca="false">IFERROR(VLOOKUP($A14526,'319'!$B:$H,7,0),0)</f>
        <v>72.68</v>
      </c>
      <c r="G14526" s="34" t="n">
        <f aca="false">SUMIFS('12.326ana'!$C:$C,'12.326ana'!$M:$M,redes!A14526)</f>
        <v>0</v>
      </c>
    </row>
    <row r="14527" customFormat="false" ht="14.4" hidden="true" customHeight="false" outlineLevel="0" collapsed="false">
      <c r="A14527" s="34" t="n">
        <v>20936694000180</v>
      </c>
      <c r="B14527" s="34" t="s">
        <v>27191</v>
      </c>
      <c r="C14527" s="34" t="s">
        <v>77</v>
      </c>
      <c r="E14527" s="30" t="s">
        <v>27192</v>
      </c>
      <c r="F14527" s="34" t="n">
        <f aca="false">IFERROR(VLOOKUP($A14527,'319'!$B:$H,7,0),0)</f>
        <v>0</v>
      </c>
      <c r="G14527" s="34" t="n">
        <f aca="false">SUMIFS('12.326ana'!$C:$C,'12.326ana'!$M:$M,redes!A14527)</f>
        <v>0</v>
      </c>
    </row>
    <row r="14528" customFormat="false" ht="14.4" hidden="true" customHeight="false" outlineLevel="0" collapsed="false">
      <c r="A14528" s="34" t="n">
        <v>20937477000105</v>
      </c>
      <c r="B14528" s="34" t="s">
        <v>27193</v>
      </c>
      <c r="C14528" s="34" t="s">
        <v>89</v>
      </c>
      <c r="E14528" s="30" t="s">
        <v>27194</v>
      </c>
      <c r="F14528" s="34" t="n">
        <f aca="false">IFERROR(VLOOKUP($A14528,'319'!$B:$H,7,0),0)</f>
        <v>0</v>
      </c>
      <c r="G14528" s="34" t="n">
        <f aca="false">SUMIFS('12.326ana'!$C:$C,'12.326ana'!$M:$M,redes!A14528)</f>
        <v>0</v>
      </c>
    </row>
    <row r="14529" customFormat="false" ht="14.4" hidden="true" customHeight="false" outlineLevel="0" collapsed="false">
      <c r="A14529" s="34" t="n">
        <v>20946907000155</v>
      </c>
      <c r="B14529" s="34" t="s">
        <v>27195</v>
      </c>
      <c r="C14529" s="34" t="s">
        <v>473</v>
      </c>
      <c r="E14529" s="30" t="s">
        <v>27196</v>
      </c>
      <c r="F14529" s="34" t="n">
        <f aca="false">IFERROR(VLOOKUP($A14529,'319'!$B:$H,7,0),0)</f>
        <v>0</v>
      </c>
      <c r="G14529" s="34" t="n">
        <f aca="false">SUMIFS('12.326ana'!$C:$C,'12.326ana'!$M:$M,redes!A14529)</f>
        <v>0</v>
      </c>
    </row>
    <row r="14530" customFormat="false" ht="14.4" hidden="true" customHeight="false" outlineLevel="0" collapsed="false">
      <c r="A14530" s="34" t="n">
        <v>20947194000144</v>
      </c>
      <c r="B14530" s="34" t="s">
        <v>27197</v>
      </c>
      <c r="C14530" s="34" t="s">
        <v>103</v>
      </c>
      <c r="E14530" s="30" t="s">
        <v>27198</v>
      </c>
      <c r="F14530" s="34" t="n">
        <f aca="false">IFERROR(VLOOKUP($A14530,'319'!$B:$H,7,0),0)</f>
        <v>0</v>
      </c>
      <c r="G14530" s="34" t="n">
        <f aca="false">SUMIFS('12.326ana'!$C:$C,'12.326ana'!$M:$M,redes!A14530)</f>
        <v>0</v>
      </c>
    </row>
    <row r="14531" customFormat="false" ht="14.4" hidden="true" customHeight="false" outlineLevel="0" collapsed="false">
      <c r="A14531" s="34" t="n">
        <v>20947414000130</v>
      </c>
      <c r="B14531" s="34" t="s">
        <v>27199</v>
      </c>
      <c r="C14531" s="34" t="s">
        <v>107</v>
      </c>
      <c r="E14531" s="30" t="s">
        <v>27200</v>
      </c>
      <c r="F14531" s="34" t="n">
        <f aca="false">IFERROR(VLOOKUP($A14531,'319'!$B:$H,7,0),0)</f>
        <v>0</v>
      </c>
      <c r="G14531" s="34" t="n">
        <f aca="false">SUMIFS('12.326ana'!$C:$C,'12.326ana'!$M:$M,redes!A14531)</f>
        <v>0</v>
      </c>
    </row>
    <row r="14532" customFormat="false" ht="14.4" hidden="true" customHeight="false" outlineLevel="0" collapsed="false">
      <c r="A14532" s="34" t="n">
        <v>20950925000100</v>
      </c>
      <c r="B14532" s="34" t="s">
        <v>27201</v>
      </c>
      <c r="C14532" s="34" t="s">
        <v>1306</v>
      </c>
      <c r="E14532" s="30" t="s">
        <v>27202</v>
      </c>
      <c r="F14532" s="34" t="n">
        <f aca="false">IFERROR(VLOOKUP($A14532,'319'!$B:$H,7,0),0)</f>
        <v>0</v>
      </c>
      <c r="G14532" s="34" t="n">
        <f aca="false">SUMIFS('12.326ana'!$C:$C,'12.326ana'!$M:$M,redes!A14532)</f>
        <v>0</v>
      </c>
    </row>
    <row r="14533" customFormat="false" ht="14.4" hidden="true" customHeight="false" outlineLevel="0" collapsed="false">
      <c r="A14533" s="34" t="n">
        <v>20951577000196</v>
      </c>
      <c r="B14533" s="34" t="s">
        <v>27203</v>
      </c>
      <c r="C14533" s="34" t="s">
        <v>77</v>
      </c>
      <c r="E14533" s="30" t="s">
        <v>27203</v>
      </c>
      <c r="F14533" s="34" t="n">
        <f aca="false">IFERROR(VLOOKUP($A14533,'319'!$B:$H,7,0),0)</f>
        <v>0</v>
      </c>
      <c r="G14533" s="34" t="n">
        <f aca="false">SUMIFS('12.326ana'!$C:$C,'12.326ana'!$M:$M,redes!A14533)</f>
        <v>0</v>
      </c>
    </row>
    <row r="14534" customFormat="false" ht="14.4" hidden="true" customHeight="false" outlineLevel="0" collapsed="false">
      <c r="A14534" s="34" t="n">
        <v>20956795000113</v>
      </c>
      <c r="B14534" s="34" t="s">
        <v>27204</v>
      </c>
      <c r="C14534" s="34" t="s">
        <v>77</v>
      </c>
      <c r="E14534" s="30" t="s">
        <v>27204</v>
      </c>
      <c r="F14534" s="34" t="n">
        <f aca="false">IFERROR(VLOOKUP($A14534,'319'!$B:$H,7,0),0)</f>
        <v>0</v>
      </c>
      <c r="G14534" s="34" t="n">
        <f aca="false">SUMIFS('12.326ana'!$C:$C,'12.326ana'!$M:$M,redes!A14534)</f>
        <v>0</v>
      </c>
    </row>
    <row r="14535" customFormat="false" ht="14.4" hidden="true" customHeight="false" outlineLevel="0" collapsed="false">
      <c r="A14535" s="34" t="n">
        <v>20969252000130</v>
      </c>
      <c r="B14535" s="34" t="s">
        <v>27205</v>
      </c>
      <c r="C14535" s="34" t="s">
        <v>77</v>
      </c>
      <c r="E14535" s="30" t="s">
        <v>27206</v>
      </c>
      <c r="F14535" s="34" t="n">
        <f aca="false">IFERROR(VLOOKUP($A14535,'319'!$B:$H,7,0),0)</f>
        <v>0</v>
      </c>
      <c r="G14535" s="34" t="n">
        <f aca="false">SUMIFS('12.326ana'!$C:$C,'12.326ana'!$M:$M,redes!A14535)</f>
        <v>0</v>
      </c>
    </row>
    <row r="14536" customFormat="false" ht="14.4" hidden="true" customHeight="false" outlineLevel="0" collapsed="false">
      <c r="A14536" s="34" t="n">
        <v>20975994000179</v>
      </c>
      <c r="B14536" s="34" t="s">
        <v>27207</v>
      </c>
      <c r="C14536" s="34" t="s">
        <v>89</v>
      </c>
      <c r="E14536" s="30" t="s">
        <v>9747</v>
      </c>
      <c r="F14536" s="34" t="n">
        <f aca="false">IFERROR(VLOOKUP($A14536,'319'!$B:$H,7,0),0)</f>
        <v>600.93</v>
      </c>
      <c r="G14536" s="34" t="n">
        <f aca="false">SUMIFS('12.326ana'!$C:$C,'12.326ana'!$M:$M,redes!A14536)</f>
        <v>0</v>
      </c>
    </row>
    <row r="14537" customFormat="false" ht="14.4" hidden="true" customHeight="false" outlineLevel="0" collapsed="false">
      <c r="A14537" s="34" t="n">
        <v>20981215000148</v>
      </c>
      <c r="B14537" s="34" t="s">
        <v>27208</v>
      </c>
      <c r="C14537" s="34" t="s">
        <v>89</v>
      </c>
      <c r="E14537" s="30" t="s">
        <v>27209</v>
      </c>
      <c r="F14537" s="34" t="n">
        <f aca="false">IFERROR(VLOOKUP($A14537,'319'!$B:$H,7,0),0)</f>
        <v>0</v>
      </c>
      <c r="G14537" s="34" t="n">
        <f aca="false">SUMIFS('12.326ana'!$C:$C,'12.326ana'!$M:$M,redes!A14537)</f>
        <v>0</v>
      </c>
    </row>
    <row r="14538" customFormat="false" ht="14.4" hidden="true" customHeight="false" outlineLevel="0" collapsed="false">
      <c r="A14538" s="34" t="n">
        <v>20981708000188</v>
      </c>
      <c r="B14538" s="34" t="s">
        <v>27210</v>
      </c>
      <c r="C14538" s="34" t="s">
        <v>89</v>
      </c>
      <c r="E14538" s="30" t="s">
        <v>27211</v>
      </c>
      <c r="F14538" s="34" t="n">
        <f aca="false">IFERROR(VLOOKUP($A14538,'319'!$B:$H,7,0),0)</f>
        <v>0</v>
      </c>
      <c r="G14538" s="34" t="n">
        <f aca="false">SUMIFS('12.326ana'!$C:$C,'12.326ana'!$M:$M,redes!A14538)</f>
        <v>0</v>
      </c>
    </row>
    <row r="14539" customFormat="false" ht="14.4" hidden="true" customHeight="false" outlineLevel="0" collapsed="false">
      <c r="A14539" s="34" t="n">
        <v>20984201000188</v>
      </c>
      <c r="B14539" s="34" t="s">
        <v>27212</v>
      </c>
      <c r="C14539" s="34" t="s">
        <v>328</v>
      </c>
      <c r="E14539" s="30" t="s">
        <v>4674</v>
      </c>
      <c r="F14539" s="34" t="n">
        <f aca="false">IFERROR(VLOOKUP($A14539,'319'!$B:$H,7,0),0)</f>
        <v>228.93</v>
      </c>
      <c r="G14539" s="34" t="n">
        <f aca="false">SUMIFS('12.326ana'!$C:$C,'12.326ana'!$M:$M,redes!A14539)</f>
        <v>0</v>
      </c>
    </row>
    <row r="14540" customFormat="false" ht="14.4" hidden="true" customHeight="false" outlineLevel="0" collapsed="false">
      <c r="A14540" s="34" t="n">
        <v>20992914000193</v>
      </c>
      <c r="B14540" s="34" t="s">
        <v>27213</v>
      </c>
      <c r="C14540" s="34" t="s">
        <v>107</v>
      </c>
      <c r="E14540" s="30"/>
      <c r="F14540" s="34" t="n">
        <f aca="false">IFERROR(VLOOKUP($A14540,'319'!$B:$H,7,0),0)</f>
        <v>0</v>
      </c>
      <c r="G14540" s="34" t="n">
        <f aca="false">SUMIFS('12.326ana'!$C:$C,'12.326ana'!$M:$M,redes!A14540)</f>
        <v>0</v>
      </c>
    </row>
    <row r="14541" customFormat="false" ht="14.4" hidden="true" customHeight="false" outlineLevel="0" collapsed="false">
      <c r="A14541" s="34" t="n">
        <v>20997688000133</v>
      </c>
      <c r="B14541" s="34" t="s">
        <v>27214</v>
      </c>
      <c r="C14541" s="34" t="s">
        <v>107</v>
      </c>
      <c r="E14541" s="30" t="s">
        <v>27215</v>
      </c>
      <c r="F14541" s="34" t="n">
        <f aca="false">IFERROR(VLOOKUP($A14541,'319'!$B:$H,7,0),0)</f>
        <v>0</v>
      </c>
      <c r="G14541" s="34" t="n">
        <f aca="false">SUMIFS('12.326ana'!$C:$C,'12.326ana'!$M:$M,redes!A14541)</f>
        <v>0</v>
      </c>
    </row>
    <row r="14542" customFormat="false" ht="14.4" hidden="true" customHeight="false" outlineLevel="0" collapsed="false">
      <c r="A14542" s="34" t="n">
        <v>20999155000190</v>
      </c>
      <c r="B14542" s="34" t="s">
        <v>27216</v>
      </c>
      <c r="C14542" s="34" t="s">
        <v>848</v>
      </c>
      <c r="E14542" s="30" t="s">
        <v>3337</v>
      </c>
      <c r="F14542" s="34" t="n">
        <f aca="false">IFERROR(VLOOKUP($A14542,'319'!$B:$H,7,0),0)</f>
        <v>0</v>
      </c>
      <c r="G14542" s="34" t="n">
        <f aca="false">SUMIFS('12.326ana'!$C:$C,'12.326ana'!$M:$M,redes!A14542)</f>
        <v>0</v>
      </c>
    </row>
    <row r="14543" customFormat="false" ht="14.4" hidden="true" customHeight="false" outlineLevel="0" collapsed="false">
      <c r="A14543" s="34" t="n">
        <v>21004182000149</v>
      </c>
      <c r="B14543" s="34" t="s">
        <v>27217</v>
      </c>
      <c r="C14543" s="34" t="s">
        <v>89</v>
      </c>
      <c r="E14543" s="30" t="s">
        <v>27218</v>
      </c>
      <c r="F14543" s="34" t="n">
        <f aca="false">IFERROR(VLOOKUP($A14543,'319'!$B:$H,7,0),0)</f>
        <v>0</v>
      </c>
      <c r="G14543" s="34" t="n">
        <f aca="false">SUMIFS('12.326ana'!$C:$C,'12.326ana'!$M:$M,redes!A14543)</f>
        <v>0</v>
      </c>
    </row>
    <row r="14544" customFormat="false" ht="14.4" hidden="true" customHeight="false" outlineLevel="0" collapsed="false">
      <c r="A14544" s="34" t="n">
        <v>21005720000110</v>
      </c>
      <c r="B14544" s="34" t="s">
        <v>27219</v>
      </c>
      <c r="C14544" s="34" t="s">
        <v>77</v>
      </c>
      <c r="E14544" s="30" t="s">
        <v>27220</v>
      </c>
      <c r="F14544" s="34" t="n">
        <f aca="false">IFERROR(VLOOKUP($A14544,'319'!$B:$H,7,0),0)</f>
        <v>0</v>
      </c>
      <c r="G14544" s="34" t="n">
        <f aca="false">SUMIFS('12.326ana'!$C:$C,'12.326ana'!$M:$M,redes!A14544)</f>
        <v>0</v>
      </c>
    </row>
    <row r="14545" customFormat="false" ht="14.4" hidden="true" customHeight="false" outlineLevel="0" collapsed="false">
      <c r="A14545" s="34" t="n">
        <v>21008783000120</v>
      </c>
      <c r="B14545" s="34" t="s">
        <v>1318</v>
      </c>
      <c r="C14545" s="34" t="s">
        <v>77</v>
      </c>
      <c r="E14545" s="30" t="s">
        <v>17105</v>
      </c>
      <c r="F14545" s="34" t="n">
        <f aca="false">IFERROR(VLOOKUP($A14545,'319'!$B:$H,7,0),0)</f>
        <v>253.51</v>
      </c>
      <c r="G14545" s="34" t="n">
        <f aca="false">SUMIFS('12.326ana'!$C:$C,'12.326ana'!$M:$M,redes!A14545)</f>
        <v>0</v>
      </c>
    </row>
    <row r="14546" customFormat="false" ht="14.4" hidden="true" customHeight="false" outlineLevel="0" collapsed="false">
      <c r="A14546" s="34" t="n">
        <v>21033997000156</v>
      </c>
      <c r="B14546" s="34" t="s">
        <v>27221</v>
      </c>
      <c r="C14546" s="34" t="s">
        <v>213</v>
      </c>
      <c r="E14546" s="30" t="s">
        <v>27222</v>
      </c>
      <c r="F14546" s="34" t="n">
        <f aca="false">IFERROR(VLOOKUP($A14546,'319'!$B:$H,7,0),0)</f>
        <v>0</v>
      </c>
      <c r="G14546" s="34" t="n">
        <f aca="false">SUMIFS('12.326ana'!$C:$C,'12.326ana'!$M:$M,redes!A14546)</f>
        <v>0</v>
      </c>
    </row>
    <row r="14547" customFormat="false" ht="14.4" hidden="true" customHeight="false" outlineLevel="0" collapsed="false">
      <c r="A14547" s="34" t="n">
        <v>21035565000184</v>
      </c>
      <c r="B14547" s="34" t="s">
        <v>27144</v>
      </c>
      <c r="C14547" s="34" t="s">
        <v>77</v>
      </c>
      <c r="E14547" s="30" t="s">
        <v>27144</v>
      </c>
      <c r="F14547" s="34" t="n">
        <f aca="false">IFERROR(VLOOKUP($A14547,'319'!$B:$H,7,0),0)</f>
        <v>0</v>
      </c>
      <c r="G14547" s="34" t="n">
        <f aca="false">SUMIFS('12.326ana'!$C:$C,'12.326ana'!$M:$M,redes!A14547)</f>
        <v>0</v>
      </c>
    </row>
    <row r="14548" customFormat="false" ht="14.4" hidden="true" customHeight="false" outlineLevel="0" collapsed="false">
      <c r="A14548" s="34" t="n">
        <v>21046975000120</v>
      </c>
      <c r="B14548" s="34" t="s">
        <v>27223</v>
      </c>
      <c r="C14548" s="34" t="s">
        <v>631</v>
      </c>
      <c r="E14548" s="30" t="s">
        <v>27224</v>
      </c>
      <c r="F14548" s="34" t="n">
        <f aca="false">IFERROR(VLOOKUP($A14548,'319'!$B:$H,7,0),0)</f>
        <v>0</v>
      </c>
      <c r="G14548" s="34" t="n">
        <f aca="false">SUMIFS('12.326ana'!$C:$C,'12.326ana'!$M:$M,redes!A14548)</f>
        <v>0</v>
      </c>
    </row>
    <row r="14549" customFormat="false" ht="14.4" hidden="true" customHeight="false" outlineLevel="0" collapsed="false">
      <c r="A14549" s="34" t="n">
        <v>21048885000179</v>
      </c>
      <c r="B14549" s="34" t="s">
        <v>27225</v>
      </c>
      <c r="C14549" s="34" t="s">
        <v>7250</v>
      </c>
      <c r="E14549" s="30" t="s">
        <v>27226</v>
      </c>
      <c r="F14549" s="34" t="n">
        <f aca="false">IFERROR(VLOOKUP($A14549,'319'!$B:$H,7,0),0)</f>
        <v>0</v>
      </c>
      <c r="G14549" s="34" t="n">
        <f aca="false">SUMIFS('12.326ana'!$C:$C,'12.326ana'!$M:$M,redes!A14549)</f>
        <v>0</v>
      </c>
    </row>
    <row r="14550" customFormat="false" ht="14.4" hidden="true" customHeight="false" outlineLevel="0" collapsed="false">
      <c r="A14550" s="34" t="n">
        <v>21050135000131</v>
      </c>
      <c r="B14550" s="34" t="s">
        <v>27227</v>
      </c>
      <c r="C14550" s="34" t="s">
        <v>129</v>
      </c>
      <c r="E14550" s="30" t="s">
        <v>27228</v>
      </c>
      <c r="F14550" s="34" t="n">
        <f aca="false">IFERROR(VLOOKUP($A14550,'319'!$B:$H,7,0),0)</f>
        <v>0</v>
      </c>
      <c r="G14550" s="34" t="n">
        <f aca="false">SUMIFS('12.326ana'!$C:$C,'12.326ana'!$M:$M,redes!A14550)</f>
        <v>0</v>
      </c>
    </row>
    <row r="14551" customFormat="false" ht="14.4" hidden="true" customHeight="false" outlineLevel="0" collapsed="false">
      <c r="A14551" s="34" t="n">
        <v>21051449000159</v>
      </c>
      <c r="B14551" s="34" t="s">
        <v>27229</v>
      </c>
      <c r="C14551" s="34" t="s">
        <v>77</v>
      </c>
      <c r="E14551" s="30" t="s">
        <v>27230</v>
      </c>
      <c r="F14551" s="34" t="n">
        <f aca="false">IFERROR(VLOOKUP($A14551,'319'!$B:$H,7,0),0)</f>
        <v>0</v>
      </c>
      <c r="G14551" s="34" t="n">
        <f aca="false">SUMIFS('12.326ana'!$C:$C,'12.326ana'!$M:$M,redes!A14551)</f>
        <v>0</v>
      </c>
    </row>
    <row r="14552" customFormat="false" ht="14.4" hidden="true" customHeight="false" outlineLevel="0" collapsed="false">
      <c r="A14552" s="34" t="n">
        <v>21072669000240</v>
      </c>
      <c r="B14552" s="34" t="s">
        <v>27231</v>
      </c>
      <c r="C14552" s="34" t="s">
        <v>27232</v>
      </c>
      <c r="E14552" s="30" t="s">
        <v>27233</v>
      </c>
      <c r="F14552" s="34" t="n">
        <f aca="false">IFERROR(VLOOKUP($A14552,'319'!$B:$H,7,0),0)</f>
        <v>0</v>
      </c>
      <c r="G14552" s="34" t="n">
        <f aca="false">SUMIFS('12.326ana'!$C:$C,'12.326ana'!$M:$M,redes!A14552)</f>
        <v>0</v>
      </c>
    </row>
    <row r="14553" customFormat="false" ht="14.4" hidden="true" customHeight="false" outlineLevel="0" collapsed="false">
      <c r="A14553" s="34" t="n">
        <v>21073224000101</v>
      </c>
      <c r="B14553" s="34" t="s">
        <v>27234</v>
      </c>
      <c r="C14553" s="34" t="s">
        <v>342</v>
      </c>
      <c r="E14553" s="30" t="s">
        <v>27235</v>
      </c>
      <c r="F14553" s="34" t="n">
        <f aca="false">IFERROR(VLOOKUP($A14553,'319'!$B:$H,7,0),0)</f>
        <v>0</v>
      </c>
      <c r="G14553" s="34" t="n">
        <f aca="false">SUMIFS('12.326ana'!$C:$C,'12.326ana'!$M:$M,redes!A14553)</f>
        <v>0</v>
      </c>
    </row>
    <row r="14554" customFormat="false" ht="14.4" hidden="true" customHeight="false" outlineLevel="0" collapsed="false">
      <c r="A14554" s="34" t="n">
        <v>21074884000107</v>
      </c>
      <c r="B14554" s="34" t="s">
        <v>27236</v>
      </c>
      <c r="C14554" s="34" t="s">
        <v>154</v>
      </c>
      <c r="E14554" s="30" t="s">
        <v>27237</v>
      </c>
      <c r="F14554" s="34" t="n">
        <f aca="false">IFERROR(VLOOKUP($A14554,'319'!$B:$H,7,0),0)</f>
        <v>0</v>
      </c>
      <c r="G14554" s="34" t="n">
        <f aca="false">SUMIFS('12.326ana'!$C:$C,'12.326ana'!$M:$M,redes!A14554)</f>
        <v>0</v>
      </c>
    </row>
    <row r="14555" customFormat="false" ht="14.4" hidden="true" customHeight="false" outlineLevel="0" collapsed="false">
      <c r="A14555" s="34" t="n">
        <v>21079933000196</v>
      </c>
      <c r="B14555" s="34" t="s">
        <v>27238</v>
      </c>
      <c r="C14555" s="34" t="s">
        <v>994</v>
      </c>
      <c r="E14555" s="30" t="s">
        <v>4776</v>
      </c>
      <c r="F14555" s="34" t="n">
        <f aca="false">IFERROR(VLOOKUP($A14555,'319'!$B:$H,7,0),0)</f>
        <v>0</v>
      </c>
      <c r="G14555" s="34" t="n">
        <f aca="false">SUMIFS('12.326ana'!$C:$C,'12.326ana'!$M:$M,redes!A14555)</f>
        <v>0</v>
      </c>
    </row>
    <row r="14556" customFormat="false" ht="14.4" hidden="true" customHeight="false" outlineLevel="0" collapsed="false">
      <c r="A14556" s="34" t="n">
        <v>21081503000109</v>
      </c>
      <c r="B14556" s="34" t="s">
        <v>27239</v>
      </c>
      <c r="C14556" s="34" t="s">
        <v>881</v>
      </c>
      <c r="E14556" s="30" t="s">
        <v>26041</v>
      </c>
      <c r="F14556" s="34" t="n">
        <f aca="false">IFERROR(VLOOKUP($A14556,'319'!$B:$H,7,0),0)</f>
        <v>0</v>
      </c>
      <c r="G14556" s="34" t="n">
        <f aca="false">SUMIFS('12.326ana'!$C:$C,'12.326ana'!$M:$M,redes!A14556)</f>
        <v>0</v>
      </c>
    </row>
    <row r="14557" customFormat="false" ht="14.4" hidden="true" customHeight="false" outlineLevel="0" collapsed="false">
      <c r="A14557" s="34" t="n">
        <v>21085241000150</v>
      </c>
      <c r="B14557" s="34" t="s">
        <v>11158</v>
      </c>
      <c r="C14557" s="34" t="s">
        <v>154</v>
      </c>
      <c r="E14557" s="30" t="s">
        <v>3001</v>
      </c>
      <c r="F14557" s="34" t="n">
        <f aca="false">IFERROR(VLOOKUP($A14557,'319'!$B:$H,7,0),0)</f>
        <v>0</v>
      </c>
      <c r="G14557" s="34" t="n">
        <f aca="false">SUMIFS('12.326ana'!$C:$C,'12.326ana'!$M:$M,redes!A14557)</f>
        <v>0</v>
      </c>
    </row>
    <row r="14558" customFormat="false" ht="14.4" hidden="true" customHeight="false" outlineLevel="0" collapsed="false">
      <c r="A14558" s="34" t="n">
        <v>21091538000129</v>
      </c>
      <c r="B14558" s="34" t="s">
        <v>27240</v>
      </c>
      <c r="C14558" s="34" t="s">
        <v>77</v>
      </c>
      <c r="E14558" s="30" t="s">
        <v>27241</v>
      </c>
      <c r="F14558" s="34" t="n">
        <f aca="false">IFERROR(VLOOKUP($A14558,'319'!$B:$H,7,0),0)</f>
        <v>0</v>
      </c>
      <c r="G14558" s="34" t="n">
        <f aca="false">SUMIFS('12.326ana'!$C:$C,'12.326ana'!$M:$M,redes!A14558)</f>
        <v>0</v>
      </c>
    </row>
    <row r="14559" customFormat="false" ht="14.4" hidden="true" customHeight="false" outlineLevel="0" collapsed="false">
      <c r="A14559" s="34" t="n">
        <v>21092128000100</v>
      </c>
      <c r="B14559" s="34" t="s">
        <v>27242</v>
      </c>
      <c r="C14559" s="34" t="s">
        <v>129</v>
      </c>
      <c r="E14559" s="30" t="s">
        <v>27243</v>
      </c>
      <c r="F14559" s="34" t="n">
        <f aca="false">IFERROR(VLOOKUP($A14559,'319'!$B:$H,7,0),0)</f>
        <v>0</v>
      </c>
      <c r="G14559" s="34" t="n">
        <f aca="false">SUMIFS('12.326ana'!$C:$C,'12.326ana'!$M:$M,redes!A14559)</f>
        <v>0</v>
      </c>
    </row>
    <row r="14560" customFormat="false" ht="14.4" hidden="true" customHeight="false" outlineLevel="0" collapsed="false">
      <c r="A14560" s="34" t="n">
        <v>21094408000140</v>
      </c>
      <c r="B14560" s="34" t="s">
        <v>27244</v>
      </c>
      <c r="C14560" s="34" t="s">
        <v>103</v>
      </c>
      <c r="E14560" s="30" t="s">
        <v>6169</v>
      </c>
      <c r="F14560" s="34" t="n">
        <f aca="false">IFERROR(VLOOKUP($A14560,'319'!$B:$H,7,0),0)</f>
        <v>0</v>
      </c>
      <c r="G14560" s="34" t="n">
        <f aca="false">SUMIFS('12.326ana'!$C:$C,'12.326ana'!$M:$M,redes!A14560)</f>
        <v>0</v>
      </c>
    </row>
    <row r="14561" customFormat="false" ht="14.4" hidden="true" customHeight="false" outlineLevel="0" collapsed="false">
      <c r="A14561" s="34" t="n">
        <v>21099175000178</v>
      </c>
      <c r="B14561" s="34" t="s">
        <v>27245</v>
      </c>
      <c r="C14561" s="34" t="s">
        <v>77</v>
      </c>
      <c r="E14561" s="30" t="s">
        <v>27246</v>
      </c>
      <c r="F14561" s="34" t="n">
        <f aca="false">IFERROR(VLOOKUP($A14561,'319'!$B:$H,7,0),0)</f>
        <v>0</v>
      </c>
      <c r="G14561" s="34" t="n">
        <f aca="false">SUMIFS('12.326ana'!$C:$C,'12.326ana'!$M:$M,redes!A14561)</f>
        <v>0</v>
      </c>
    </row>
    <row r="14562" customFormat="false" ht="14.4" hidden="true" customHeight="false" outlineLevel="0" collapsed="false">
      <c r="A14562" s="34" t="n">
        <v>21100905000103</v>
      </c>
      <c r="B14562" s="34" t="s">
        <v>1072</v>
      </c>
      <c r="C14562" s="34" t="s">
        <v>848</v>
      </c>
      <c r="E14562" s="30" t="s">
        <v>27247</v>
      </c>
      <c r="F14562" s="34" t="n">
        <f aca="false">IFERROR(VLOOKUP($A14562,'319'!$B:$H,7,0),0)</f>
        <v>648.46</v>
      </c>
      <c r="G14562" s="34" t="n">
        <f aca="false">SUMIFS('12.326ana'!$C:$C,'12.326ana'!$M:$M,redes!A14562)</f>
        <v>0</v>
      </c>
    </row>
    <row r="14563" customFormat="false" ht="14.4" hidden="true" customHeight="false" outlineLevel="0" collapsed="false">
      <c r="A14563" s="34" t="n">
        <v>21107760000172</v>
      </c>
      <c r="B14563" s="34" t="s">
        <v>27248</v>
      </c>
      <c r="C14563" s="34" t="s">
        <v>77</v>
      </c>
      <c r="E14563" s="30" t="s">
        <v>27249</v>
      </c>
      <c r="F14563" s="34" t="n">
        <f aca="false">IFERROR(VLOOKUP($A14563,'319'!$B:$H,7,0),0)</f>
        <v>0</v>
      </c>
      <c r="G14563" s="34" t="n">
        <f aca="false">SUMIFS('12.326ana'!$C:$C,'12.326ana'!$M:$M,redes!A14563)</f>
        <v>0</v>
      </c>
    </row>
    <row r="14564" customFormat="false" ht="14.4" hidden="true" customHeight="false" outlineLevel="0" collapsed="false">
      <c r="A14564" s="34" t="n">
        <v>21109365000129</v>
      </c>
      <c r="B14564" s="34" t="s">
        <v>27250</v>
      </c>
      <c r="C14564" s="34" t="s">
        <v>77</v>
      </c>
      <c r="E14564" s="30" t="s">
        <v>27251</v>
      </c>
      <c r="F14564" s="34" t="n">
        <f aca="false">IFERROR(VLOOKUP($A14564,'319'!$B:$H,7,0),0)</f>
        <v>0</v>
      </c>
      <c r="G14564" s="34" t="n">
        <f aca="false">SUMIFS('12.326ana'!$C:$C,'12.326ana'!$M:$M,redes!A14564)</f>
        <v>0</v>
      </c>
    </row>
    <row r="14565" customFormat="false" ht="14.4" hidden="true" customHeight="false" outlineLevel="0" collapsed="false">
      <c r="A14565" s="34" t="n">
        <v>21113922000185</v>
      </c>
      <c r="B14565" s="34" t="s">
        <v>1531</v>
      </c>
      <c r="C14565" s="34" t="s">
        <v>107</v>
      </c>
      <c r="E14565" s="30" t="s">
        <v>27252</v>
      </c>
      <c r="F14565" s="34" t="n">
        <f aca="false">IFERROR(VLOOKUP($A14565,'319'!$B:$H,7,0),0)</f>
        <v>123.1</v>
      </c>
      <c r="G14565" s="34" t="n">
        <f aca="false">SUMIFS('12.326ana'!$C:$C,'12.326ana'!$M:$M,redes!A14565)</f>
        <v>0</v>
      </c>
    </row>
    <row r="14566" customFormat="false" ht="14.4" hidden="true" customHeight="false" outlineLevel="0" collapsed="false">
      <c r="A14566" s="34" t="n">
        <v>21119198000105</v>
      </c>
      <c r="B14566" s="34" t="s">
        <v>27253</v>
      </c>
      <c r="C14566" s="34" t="s">
        <v>77</v>
      </c>
      <c r="E14566" s="30" t="s">
        <v>27254</v>
      </c>
      <c r="F14566" s="34" t="n">
        <f aca="false">IFERROR(VLOOKUP($A14566,'319'!$B:$H,7,0),0)</f>
        <v>0</v>
      </c>
      <c r="G14566" s="34" t="n">
        <f aca="false">SUMIFS('12.326ana'!$C:$C,'12.326ana'!$M:$M,redes!A14566)</f>
        <v>0</v>
      </c>
    </row>
    <row r="14567" customFormat="false" ht="14.4" hidden="true" customHeight="false" outlineLevel="0" collapsed="false">
      <c r="A14567" s="34" t="n">
        <v>21121152000112</v>
      </c>
      <c r="B14567" s="34" t="s">
        <v>27255</v>
      </c>
      <c r="C14567" s="34" t="s">
        <v>77</v>
      </c>
      <c r="E14567" s="30" t="s">
        <v>27256</v>
      </c>
      <c r="F14567" s="34" t="n">
        <f aca="false">IFERROR(VLOOKUP($A14567,'319'!$B:$H,7,0),0)</f>
        <v>0</v>
      </c>
      <c r="G14567" s="34" t="n">
        <f aca="false">SUMIFS('12.326ana'!$C:$C,'12.326ana'!$M:$M,redes!A14567)</f>
        <v>0</v>
      </c>
    </row>
    <row r="14568" customFormat="false" ht="14.4" hidden="true" customHeight="false" outlineLevel="0" collapsed="false">
      <c r="A14568" s="34" t="n">
        <v>21128883000190</v>
      </c>
      <c r="B14568" s="34" t="s">
        <v>27257</v>
      </c>
      <c r="C14568" s="34" t="s">
        <v>994</v>
      </c>
      <c r="E14568" s="30" t="s">
        <v>27258</v>
      </c>
      <c r="F14568" s="34" t="n">
        <f aca="false">IFERROR(VLOOKUP($A14568,'319'!$B:$H,7,0),0)</f>
        <v>0</v>
      </c>
      <c r="G14568" s="34" t="n">
        <f aca="false">SUMIFS('12.326ana'!$C:$C,'12.326ana'!$M:$M,redes!A14568)</f>
        <v>0</v>
      </c>
    </row>
    <row r="14569" customFormat="false" ht="14.4" hidden="true" customHeight="false" outlineLevel="0" collapsed="false">
      <c r="A14569" s="34" t="n">
        <v>21135021000194</v>
      </c>
      <c r="B14569" s="34" t="s">
        <v>27259</v>
      </c>
      <c r="C14569" s="34" t="s">
        <v>77</v>
      </c>
      <c r="E14569" s="30" t="s">
        <v>27260</v>
      </c>
      <c r="F14569" s="34" t="n">
        <f aca="false">IFERROR(VLOOKUP($A14569,'319'!$B:$H,7,0),0)</f>
        <v>0</v>
      </c>
      <c r="G14569" s="34" t="n">
        <f aca="false">SUMIFS('12.326ana'!$C:$C,'12.326ana'!$M:$M,redes!A14569)</f>
        <v>0</v>
      </c>
    </row>
    <row r="14570" customFormat="false" ht="14.4" hidden="true" customHeight="false" outlineLevel="0" collapsed="false">
      <c r="A14570" s="34" t="n">
        <v>21146080000168</v>
      </c>
      <c r="B14570" s="34" t="s">
        <v>27261</v>
      </c>
      <c r="C14570" s="34" t="s">
        <v>463</v>
      </c>
      <c r="E14570" s="30" t="s">
        <v>27262</v>
      </c>
      <c r="F14570" s="34" t="n">
        <f aca="false">IFERROR(VLOOKUP($A14570,'319'!$B:$H,7,0),0)</f>
        <v>0</v>
      </c>
      <c r="G14570" s="34" t="n">
        <f aca="false">SUMIFS('12.326ana'!$C:$C,'12.326ana'!$M:$M,redes!A14570)</f>
        <v>0</v>
      </c>
    </row>
    <row r="14571" customFormat="false" ht="14.4" hidden="true" customHeight="false" outlineLevel="0" collapsed="false">
      <c r="A14571" s="34" t="n">
        <v>21148666000161</v>
      </c>
      <c r="B14571" s="34" t="s">
        <v>27263</v>
      </c>
      <c r="C14571" s="34" t="s">
        <v>781</v>
      </c>
      <c r="E14571" s="30" t="s">
        <v>27264</v>
      </c>
      <c r="F14571" s="34" t="n">
        <f aca="false">IFERROR(VLOOKUP($A14571,'319'!$B:$H,7,0),0)</f>
        <v>0</v>
      </c>
      <c r="G14571" s="34" t="n">
        <f aca="false">SUMIFS('12.326ana'!$C:$C,'12.326ana'!$M:$M,redes!A14571)</f>
        <v>0</v>
      </c>
    </row>
    <row r="14572" customFormat="false" ht="14.4" hidden="true" customHeight="false" outlineLevel="0" collapsed="false">
      <c r="A14572" s="34" t="n">
        <v>21172867000102</v>
      </c>
      <c r="B14572" s="34" t="s">
        <v>27265</v>
      </c>
      <c r="C14572" s="34" t="s">
        <v>77</v>
      </c>
      <c r="E14572" s="30" t="s">
        <v>27266</v>
      </c>
      <c r="F14572" s="34" t="n">
        <f aca="false">IFERROR(VLOOKUP($A14572,'319'!$B:$H,7,0),0)</f>
        <v>0</v>
      </c>
      <c r="G14572" s="34" t="n">
        <f aca="false">SUMIFS('12.326ana'!$C:$C,'12.326ana'!$M:$M,redes!A14572)</f>
        <v>0</v>
      </c>
    </row>
    <row r="14573" customFormat="false" ht="14.4" hidden="true" customHeight="false" outlineLevel="0" collapsed="false">
      <c r="A14573" s="34" t="n">
        <v>21177585000190</v>
      </c>
      <c r="B14573" s="34" t="s">
        <v>27267</v>
      </c>
      <c r="C14573" s="34" t="s">
        <v>77</v>
      </c>
      <c r="E14573" s="30" t="s">
        <v>27268</v>
      </c>
      <c r="F14573" s="34" t="n">
        <f aca="false">IFERROR(VLOOKUP($A14573,'319'!$B:$H,7,0),0)</f>
        <v>0</v>
      </c>
      <c r="G14573" s="34" t="n">
        <f aca="false">SUMIFS('12.326ana'!$C:$C,'12.326ana'!$M:$M,redes!A14573)</f>
        <v>0</v>
      </c>
    </row>
    <row r="14574" customFormat="false" ht="14.4" hidden="true" customHeight="false" outlineLevel="0" collapsed="false">
      <c r="A14574" s="34" t="n">
        <v>21186131000185</v>
      </c>
      <c r="B14574" s="34" t="s">
        <v>27269</v>
      </c>
      <c r="C14574" s="34" t="s">
        <v>77</v>
      </c>
      <c r="E14574" s="30" t="s">
        <v>27270</v>
      </c>
      <c r="F14574" s="34" t="n">
        <f aca="false">IFERROR(VLOOKUP($A14574,'319'!$B:$H,7,0),0)</f>
        <v>0</v>
      </c>
      <c r="G14574" s="34" t="n">
        <f aca="false">SUMIFS('12.326ana'!$C:$C,'12.326ana'!$M:$M,redes!A14574)</f>
        <v>0</v>
      </c>
    </row>
    <row r="14575" customFormat="false" ht="14.4" hidden="true" customHeight="false" outlineLevel="0" collapsed="false">
      <c r="A14575" s="34" t="n">
        <v>21203001000103</v>
      </c>
      <c r="B14575" s="34" t="s">
        <v>27271</v>
      </c>
      <c r="C14575" s="34" t="s">
        <v>77</v>
      </c>
      <c r="E14575" s="30" t="s">
        <v>27272</v>
      </c>
      <c r="F14575" s="34" t="n">
        <f aca="false">IFERROR(VLOOKUP($A14575,'319'!$B:$H,7,0),0)</f>
        <v>0</v>
      </c>
      <c r="G14575" s="34" t="n">
        <f aca="false">SUMIFS('12.326ana'!$C:$C,'12.326ana'!$M:$M,redes!A14575)</f>
        <v>0</v>
      </c>
    </row>
    <row r="14576" customFormat="false" ht="14.4" hidden="true" customHeight="false" outlineLevel="0" collapsed="false">
      <c r="A14576" s="34" t="n">
        <v>21203033000109</v>
      </c>
      <c r="B14576" s="34" t="s">
        <v>27273</v>
      </c>
      <c r="C14576" s="34" t="s">
        <v>77</v>
      </c>
      <c r="E14576" s="30" t="s">
        <v>27274</v>
      </c>
      <c r="F14576" s="34" t="n">
        <f aca="false">IFERROR(VLOOKUP($A14576,'319'!$B:$H,7,0),0)</f>
        <v>64.72</v>
      </c>
      <c r="G14576" s="34" t="n">
        <f aca="false">SUMIFS('12.326ana'!$C:$C,'12.326ana'!$M:$M,redes!A14576)</f>
        <v>0</v>
      </c>
    </row>
    <row r="14577" customFormat="false" ht="14.4" hidden="true" customHeight="false" outlineLevel="0" collapsed="false">
      <c r="A14577" s="34" t="n">
        <v>21204263000192</v>
      </c>
      <c r="B14577" s="34" t="s">
        <v>27275</v>
      </c>
      <c r="C14577" s="34" t="s">
        <v>77</v>
      </c>
      <c r="E14577" s="30" t="s">
        <v>8440</v>
      </c>
      <c r="F14577" s="34" t="n">
        <f aca="false">IFERROR(VLOOKUP($A14577,'319'!$B:$H,7,0),0)</f>
        <v>0</v>
      </c>
      <c r="G14577" s="34" t="n">
        <f aca="false">SUMIFS('12.326ana'!$C:$C,'12.326ana'!$M:$M,redes!A14577)</f>
        <v>0</v>
      </c>
    </row>
    <row r="14578" customFormat="false" ht="14.4" hidden="true" customHeight="false" outlineLevel="0" collapsed="false">
      <c r="A14578" s="34" t="n">
        <v>21228319000149</v>
      </c>
      <c r="B14578" s="34" t="s">
        <v>27276</v>
      </c>
      <c r="C14578" s="34" t="s">
        <v>463</v>
      </c>
      <c r="E14578" s="30" t="s">
        <v>27277</v>
      </c>
      <c r="F14578" s="34" t="n">
        <f aca="false">IFERROR(VLOOKUP($A14578,'319'!$B:$H,7,0),0)</f>
        <v>0</v>
      </c>
      <c r="G14578" s="34" t="n">
        <f aca="false">SUMIFS('12.326ana'!$C:$C,'12.326ana'!$M:$M,redes!A14578)</f>
        <v>0</v>
      </c>
    </row>
    <row r="14579" customFormat="false" ht="14.4" hidden="true" customHeight="false" outlineLevel="0" collapsed="false">
      <c r="A14579" s="34" t="n">
        <v>21250045000194</v>
      </c>
      <c r="B14579" s="34" t="s">
        <v>27278</v>
      </c>
      <c r="C14579" s="34" t="s">
        <v>77</v>
      </c>
      <c r="E14579" s="30" t="s">
        <v>27279</v>
      </c>
      <c r="F14579" s="34" t="n">
        <f aca="false">IFERROR(VLOOKUP($A14579,'319'!$B:$H,7,0),0)</f>
        <v>0</v>
      </c>
      <c r="G14579" s="34" t="n">
        <f aca="false">SUMIFS('12.326ana'!$C:$C,'12.326ana'!$M:$M,redes!A14579)</f>
        <v>0</v>
      </c>
    </row>
    <row r="14580" customFormat="false" ht="14.4" hidden="true" customHeight="false" outlineLevel="0" collapsed="false">
      <c r="A14580" s="34" t="n">
        <v>21250297000113</v>
      </c>
      <c r="B14580" s="34" t="s">
        <v>4750</v>
      </c>
      <c r="C14580" s="34" t="s">
        <v>154</v>
      </c>
      <c r="E14580" s="30" t="s">
        <v>27280</v>
      </c>
      <c r="F14580" s="34" t="n">
        <f aca="false">IFERROR(VLOOKUP($A14580,'319'!$B:$H,7,0),0)</f>
        <v>0</v>
      </c>
      <c r="G14580" s="34" t="n">
        <f aca="false">SUMIFS('12.326ana'!$C:$C,'12.326ana'!$M:$M,redes!A14580)</f>
        <v>0</v>
      </c>
    </row>
    <row r="14581" customFormat="false" ht="14.4" hidden="true" customHeight="false" outlineLevel="0" collapsed="false">
      <c r="A14581" s="34" t="n">
        <v>21262328000156</v>
      </c>
      <c r="B14581" s="34" t="s">
        <v>27281</v>
      </c>
      <c r="C14581" s="34" t="s">
        <v>351</v>
      </c>
      <c r="E14581" s="30" t="s">
        <v>27282</v>
      </c>
      <c r="F14581" s="34" t="n">
        <f aca="false">IFERROR(VLOOKUP($A14581,'319'!$B:$H,7,0),0)</f>
        <v>280.83</v>
      </c>
      <c r="G14581" s="34" t="n">
        <f aca="false">SUMIFS('12.326ana'!$C:$C,'12.326ana'!$M:$M,redes!A14581)</f>
        <v>0</v>
      </c>
    </row>
    <row r="14582" customFormat="false" ht="14.4" hidden="true" customHeight="false" outlineLevel="0" collapsed="false">
      <c r="A14582" s="34" t="n">
        <v>21264011000159</v>
      </c>
      <c r="B14582" s="34" t="s">
        <v>27283</v>
      </c>
      <c r="C14582" s="34" t="s">
        <v>77</v>
      </c>
      <c r="E14582" s="30" t="s">
        <v>27284</v>
      </c>
      <c r="F14582" s="34" t="n">
        <f aca="false">IFERROR(VLOOKUP($A14582,'319'!$B:$H,7,0),0)</f>
        <v>0</v>
      </c>
      <c r="G14582" s="34" t="n">
        <f aca="false">SUMIFS('12.326ana'!$C:$C,'12.326ana'!$M:$M,redes!A14582)</f>
        <v>0</v>
      </c>
    </row>
    <row r="14583" customFormat="false" ht="14.4" hidden="true" customHeight="false" outlineLevel="0" collapsed="false">
      <c r="A14583" s="34" t="n">
        <v>21268716000144</v>
      </c>
      <c r="B14583" s="34" t="s">
        <v>27285</v>
      </c>
      <c r="C14583" s="34" t="s">
        <v>77</v>
      </c>
      <c r="E14583" s="30" t="s">
        <v>27286</v>
      </c>
      <c r="F14583" s="34" t="n">
        <f aca="false">IFERROR(VLOOKUP($A14583,'319'!$B:$H,7,0),0)</f>
        <v>0</v>
      </c>
      <c r="G14583" s="34" t="n">
        <f aca="false">SUMIFS('12.326ana'!$C:$C,'12.326ana'!$M:$M,redes!A14583)</f>
        <v>0</v>
      </c>
    </row>
    <row r="14584" customFormat="false" ht="14.4" hidden="true" customHeight="false" outlineLevel="0" collapsed="false">
      <c r="A14584" s="34" t="n">
        <v>21268851000190</v>
      </c>
      <c r="B14584" s="34" t="s">
        <v>27287</v>
      </c>
      <c r="C14584" s="34" t="s">
        <v>77</v>
      </c>
      <c r="E14584" s="30" t="s">
        <v>3536</v>
      </c>
      <c r="F14584" s="34" t="n">
        <f aca="false">IFERROR(VLOOKUP($A14584,'319'!$B:$H,7,0),0)</f>
        <v>0</v>
      </c>
      <c r="G14584" s="34" t="n">
        <f aca="false">SUMIFS('12.326ana'!$C:$C,'12.326ana'!$M:$M,redes!A14584)</f>
        <v>0</v>
      </c>
    </row>
    <row r="14585" customFormat="false" ht="14.4" hidden="true" customHeight="false" outlineLevel="0" collapsed="false">
      <c r="A14585" s="34" t="n">
        <v>21269233000164</v>
      </c>
      <c r="B14585" s="34" t="s">
        <v>27288</v>
      </c>
      <c r="C14585" s="34" t="s">
        <v>328</v>
      </c>
      <c r="E14585" s="30" t="s">
        <v>14917</v>
      </c>
      <c r="F14585" s="34" t="n">
        <f aca="false">IFERROR(VLOOKUP($A14585,'319'!$B:$H,7,0),0)</f>
        <v>0</v>
      </c>
      <c r="G14585" s="34" t="n">
        <f aca="false">SUMIFS('12.326ana'!$C:$C,'12.326ana'!$M:$M,redes!A14585)</f>
        <v>0</v>
      </c>
    </row>
    <row r="14586" customFormat="false" ht="14.4" hidden="true" customHeight="false" outlineLevel="0" collapsed="false">
      <c r="A14586" s="34" t="n">
        <v>21271068000185</v>
      </c>
      <c r="B14586" s="34" t="s">
        <v>27289</v>
      </c>
      <c r="C14586" s="34" t="s">
        <v>127</v>
      </c>
      <c r="E14586" s="30" t="s">
        <v>27290</v>
      </c>
      <c r="F14586" s="34" t="n">
        <f aca="false">IFERROR(VLOOKUP($A14586,'319'!$B:$H,7,0),0)</f>
        <v>0</v>
      </c>
      <c r="G14586" s="34" t="n">
        <f aca="false">SUMIFS('12.326ana'!$C:$C,'12.326ana'!$M:$M,redes!A14586)</f>
        <v>0</v>
      </c>
    </row>
    <row r="14587" customFormat="false" ht="14.4" hidden="true" customHeight="false" outlineLevel="0" collapsed="false">
      <c r="A14587" s="34" t="n">
        <v>21280598000190</v>
      </c>
      <c r="B14587" s="34" t="s">
        <v>27291</v>
      </c>
      <c r="C14587" s="34" t="s">
        <v>77</v>
      </c>
      <c r="E14587" s="30" t="s">
        <v>4276</v>
      </c>
      <c r="F14587" s="34" t="n">
        <f aca="false">IFERROR(VLOOKUP($A14587,'319'!$B:$H,7,0),0)</f>
        <v>0</v>
      </c>
      <c r="G14587" s="34" t="n">
        <f aca="false">SUMIFS('12.326ana'!$C:$C,'12.326ana'!$M:$M,redes!A14587)</f>
        <v>0</v>
      </c>
    </row>
    <row r="14588" customFormat="false" ht="14.4" hidden="true" customHeight="false" outlineLevel="0" collapsed="false">
      <c r="A14588" s="34" t="n">
        <v>21287037000112</v>
      </c>
      <c r="B14588" s="34" t="s">
        <v>27292</v>
      </c>
      <c r="C14588" s="34" t="s">
        <v>562</v>
      </c>
      <c r="E14588" s="30" t="s">
        <v>27293</v>
      </c>
      <c r="F14588" s="34" t="n">
        <f aca="false">IFERROR(VLOOKUP($A14588,'319'!$B:$H,7,0),0)</f>
        <v>0</v>
      </c>
      <c r="G14588" s="34" t="n">
        <f aca="false">SUMIFS('12.326ana'!$C:$C,'12.326ana'!$M:$M,redes!A14588)</f>
        <v>0</v>
      </c>
    </row>
    <row r="14589" customFormat="false" ht="14.4" hidden="true" customHeight="false" outlineLevel="0" collapsed="false">
      <c r="A14589" s="34" t="n">
        <v>21287106000198</v>
      </c>
      <c r="B14589" s="34" t="s">
        <v>27294</v>
      </c>
      <c r="C14589" s="34" t="s">
        <v>107</v>
      </c>
      <c r="E14589" s="30" t="s">
        <v>5266</v>
      </c>
      <c r="F14589" s="34" t="n">
        <f aca="false">IFERROR(VLOOKUP($A14589,'319'!$B:$H,7,0),0)</f>
        <v>0</v>
      </c>
      <c r="G14589" s="34" t="n">
        <f aca="false">SUMIFS('12.326ana'!$C:$C,'12.326ana'!$M:$M,redes!A14589)</f>
        <v>0</v>
      </c>
    </row>
    <row r="14590" customFormat="false" ht="14.4" hidden="true" customHeight="false" outlineLevel="0" collapsed="false">
      <c r="A14590" s="34" t="n">
        <v>21287137000149</v>
      </c>
      <c r="B14590" s="34" t="s">
        <v>27295</v>
      </c>
      <c r="C14590" s="34" t="s">
        <v>107</v>
      </c>
      <c r="E14590" s="30" t="s">
        <v>27296</v>
      </c>
      <c r="F14590" s="34" t="n">
        <f aca="false">IFERROR(VLOOKUP($A14590,'319'!$B:$H,7,0),0)</f>
        <v>0</v>
      </c>
      <c r="G14590" s="34" t="n">
        <f aca="false">SUMIFS('12.326ana'!$C:$C,'12.326ana'!$M:$M,redes!A14590)</f>
        <v>0</v>
      </c>
    </row>
    <row r="14591" customFormat="false" ht="14.4" hidden="true" customHeight="false" outlineLevel="0" collapsed="false">
      <c r="A14591" s="34" t="n">
        <v>21306731000130</v>
      </c>
      <c r="B14591" s="34" t="s">
        <v>27297</v>
      </c>
      <c r="C14591" s="34" t="s">
        <v>336</v>
      </c>
      <c r="E14591" s="30" t="s">
        <v>27298</v>
      </c>
      <c r="F14591" s="34" t="n">
        <f aca="false">IFERROR(VLOOKUP($A14591,'319'!$B:$H,7,0),0)</f>
        <v>0</v>
      </c>
      <c r="G14591" s="34" t="n">
        <f aca="false">SUMIFS('12.326ana'!$C:$C,'12.326ana'!$M:$M,redes!A14591)</f>
        <v>0</v>
      </c>
    </row>
    <row r="14592" customFormat="false" ht="14.4" hidden="true" customHeight="false" outlineLevel="0" collapsed="false">
      <c r="A14592" s="34" t="n">
        <v>21316721000185</v>
      </c>
      <c r="B14592" s="34" t="s">
        <v>27299</v>
      </c>
      <c r="C14592" s="34" t="s">
        <v>77</v>
      </c>
      <c r="E14592" s="30" t="s">
        <v>27300</v>
      </c>
      <c r="F14592" s="34" t="n">
        <f aca="false">IFERROR(VLOOKUP($A14592,'319'!$B:$H,7,0),0)</f>
        <v>0</v>
      </c>
      <c r="G14592" s="34" t="n">
        <f aca="false">SUMIFS('12.326ana'!$C:$C,'12.326ana'!$M:$M,redes!A14592)</f>
        <v>0</v>
      </c>
    </row>
    <row r="14593" customFormat="false" ht="14.4" hidden="true" customHeight="false" outlineLevel="0" collapsed="false">
      <c r="A14593" s="34" t="n">
        <v>21320654000172</v>
      </c>
      <c r="B14593" s="34" t="s">
        <v>27301</v>
      </c>
      <c r="C14593" s="34" t="s">
        <v>192</v>
      </c>
      <c r="E14593" s="30" t="s">
        <v>27302</v>
      </c>
      <c r="F14593" s="34" t="n">
        <f aca="false">IFERROR(VLOOKUP($A14593,'319'!$B:$H,7,0),0)</f>
        <v>0</v>
      </c>
      <c r="G14593" s="34" t="n">
        <f aca="false">SUMIFS('12.326ana'!$C:$C,'12.326ana'!$M:$M,redes!A14593)</f>
        <v>0</v>
      </c>
    </row>
    <row r="14594" customFormat="false" ht="14.4" hidden="true" customHeight="false" outlineLevel="0" collapsed="false">
      <c r="A14594" s="34" t="n">
        <v>21329481000153</v>
      </c>
      <c r="B14594" s="34" t="s">
        <v>27303</v>
      </c>
      <c r="C14594" s="34" t="s">
        <v>77</v>
      </c>
      <c r="E14594" s="30" t="s">
        <v>27304</v>
      </c>
      <c r="F14594" s="34" t="n">
        <f aca="false">IFERROR(VLOOKUP($A14594,'319'!$B:$H,7,0),0)</f>
        <v>0</v>
      </c>
      <c r="G14594" s="34" t="n">
        <f aca="false">SUMIFS('12.326ana'!$C:$C,'12.326ana'!$M:$M,redes!A14594)</f>
        <v>0</v>
      </c>
    </row>
    <row r="14595" customFormat="false" ht="14.4" hidden="true" customHeight="false" outlineLevel="0" collapsed="false">
      <c r="A14595" s="34" t="n">
        <v>21335471000120</v>
      </c>
      <c r="B14595" s="34" t="s">
        <v>27305</v>
      </c>
      <c r="C14595" s="34" t="s">
        <v>357</v>
      </c>
      <c r="E14595" s="30" t="s">
        <v>27306</v>
      </c>
      <c r="F14595" s="34" t="n">
        <f aca="false">IFERROR(VLOOKUP($A14595,'319'!$B:$H,7,0),0)</f>
        <v>0</v>
      </c>
      <c r="G14595" s="34" t="n">
        <f aca="false">SUMIFS('12.326ana'!$C:$C,'12.326ana'!$M:$M,redes!A14595)</f>
        <v>0</v>
      </c>
    </row>
    <row r="14596" customFormat="false" ht="14.4" hidden="true" customHeight="false" outlineLevel="0" collapsed="false">
      <c r="A14596" s="34" t="n">
        <v>21338416000194</v>
      </c>
      <c r="B14596" s="34" t="s">
        <v>27307</v>
      </c>
      <c r="C14596" s="34" t="s">
        <v>377</v>
      </c>
      <c r="E14596" s="30" t="s">
        <v>3194</v>
      </c>
      <c r="F14596" s="34" t="n">
        <f aca="false">IFERROR(VLOOKUP($A14596,'319'!$B:$H,7,0),0)</f>
        <v>0</v>
      </c>
      <c r="G14596" s="34" t="n">
        <f aca="false">SUMIFS('12.326ana'!$C:$C,'12.326ana'!$M:$M,redes!A14596)</f>
        <v>0</v>
      </c>
    </row>
    <row r="14597" customFormat="false" ht="14.4" hidden="true" customHeight="false" outlineLevel="0" collapsed="false">
      <c r="A14597" s="34" t="n">
        <v>21342052000116</v>
      </c>
      <c r="B14597" s="34" t="s">
        <v>27308</v>
      </c>
      <c r="C14597" s="34" t="s">
        <v>77</v>
      </c>
      <c r="E14597" s="30" t="s">
        <v>27309</v>
      </c>
      <c r="F14597" s="34" t="n">
        <f aca="false">IFERROR(VLOOKUP($A14597,'319'!$B:$H,7,0),0)</f>
        <v>0</v>
      </c>
      <c r="G14597" s="34" t="n">
        <f aca="false">SUMIFS('12.326ana'!$C:$C,'12.326ana'!$M:$M,redes!A14597)</f>
        <v>0</v>
      </c>
    </row>
    <row r="14598" customFormat="false" ht="14.4" hidden="true" customHeight="false" outlineLevel="0" collapsed="false">
      <c r="A14598" s="34" t="n">
        <v>21365132000197</v>
      </c>
      <c r="B14598" s="34" t="s">
        <v>27310</v>
      </c>
      <c r="C14598" s="34" t="s">
        <v>89</v>
      </c>
      <c r="E14598" s="30" t="s">
        <v>3001</v>
      </c>
      <c r="F14598" s="34" t="n">
        <f aca="false">IFERROR(VLOOKUP($A14598,'319'!$B:$H,7,0),0)</f>
        <v>0</v>
      </c>
      <c r="G14598" s="34" t="n">
        <f aca="false">SUMIFS('12.326ana'!$C:$C,'12.326ana'!$M:$M,redes!A14598)</f>
        <v>0</v>
      </c>
    </row>
    <row r="14599" customFormat="false" ht="14.4" hidden="true" customHeight="false" outlineLevel="0" collapsed="false">
      <c r="A14599" s="34" t="n">
        <v>21369532000170</v>
      </c>
      <c r="B14599" s="34" t="s">
        <v>27311</v>
      </c>
      <c r="C14599" s="34" t="s">
        <v>7250</v>
      </c>
      <c r="E14599" s="30" t="s">
        <v>27312</v>
      </c>
      <c r="F14599" s="34" t="n">
        <f aca="false">IFERROR(VLOOKUP($A14599,'319'!$B:$H,7,0),0)</f>
        <v>0</v>
      </c>
      <c r="G14599" s="34" t="n">
        <f aca="false">SUMIFS('12.326ana'!$C:$C,'12.326ana'!$M:$M,redes!A14599)</f>
        <v>0</v>
      </c>
    </row>
    <row r="14600" customFormat="false" ht="14.4" hidden="true" customHeight="false" outlineLevel="0" collapsed="false">
      <c r="A14600" s="34" t="n">
        <v>21372791000150</v>
      </c>
      <c r="B14600" s="34" t="s">
        <v>27313</v>
      </c>
      <c r="C14600" s="34" t="s">
        <v>473</v>
      </c>
      <c r="E14600" s="30" t="s">
        <v>27314</v>
      </c>
      <c r="F14600" s="34" t="n">
        <f aca="false">IFERROR(VLOOKUP($A14600,'319'!$B:$H,7,0),0)</f>
        <v>0</v>
      </c>
      <c r="G14600" s="34" t="n">
        <f aca="false">SUMIFS('12.326ana'!$C:$C,'12.326ana'!$M:$M,redes!A14600)</f>
        <v>0</v>
      </c>
    </row>
    <row r="14601" customFormat="false" ht="14.4" hidden="true" customHeight="false" outlineLevel="0" collapsed="false">
      <c r="A14601" s="34" t="n">
        <v>21380343000107</v>
      </c>
      <c r="B14601" s="34" t="s">
        <v>27315</v>
      </c>
      <c r="C14601" s="34" t="s">
        <v>103</v>
      </c>
      <c r="E14601" s="30" t="s">
        <v>27316</v>
      </c>
      <c r="F14601" s="34" t="n">
        <f aca="false">IFERROR(VLOOKUP($A14601,'319'!$B:$H,7,0),0)</f>
        <v>0</v>
      </c>
      <c r="G14601" s="34" t="n">
        <f aca="false">SUMIFS('12.326ana'!$C:$C,'12.326ana'!$M:$M,redes!A14601)</f>
        <v>0</v>
      </c>
    </row>
    <row r="14602" customFormat="false" ht="14.4" hidden="true" customHeight="false" outlineLevel="0" collapsed="false">
      <c r="A14602" s="34" t="n">
        <v>21381903000130</v>
      </c>
      <c r="B14602" s="34" t="s">
        <v>27317</v>
      </c>
      <c r="C14602" s="34" t="s">
        <v>328</v>
      </c>
      <c r="E14602" s="30" t="s">
        <v>27318</v>
      </c>
      <c r="F14602" s="34" t="n">
        <f aca="false">IFERROR(VLOOKUP($A14602,'319'!$B:$H,7,0),0)</f>
        <v>0</v>
      </c>
      <c r="G14602" s="34" t="n">
        <f aca="false">SUMIFS('12.326ana'!$C:$C,'12.326ana'!$M:$M,redes!A14602)</f>
        <v>0</v>
      </c>
    </row>
    <row r="14603" customFormat="false" ht="14.4" hidden="true" customHeight="false" outlineLevel="0" collapsed="false">
      <c r="A14603" s="34" t="n">
        <v>21382489000183</v>
      </c>
      <c r="B14603" s="34" t="s">
        <v>27319</v>
      </c>
      <c r="C14603" s="34" t="s">
        <v>77</v>
      </c>
      <c r="E14603" s="30" t="s">
        <v>3959</v>
      </c>
      <c r="F14603" s="34" t="n">
        <f aca="false">IFERROR(VLOOKUP($A14603,'319'!$B:$H,7,0),0)</f>
        <v>0</v>
      </c>
      <c r="G14603" s="34" t="n">
        <f aca="false">SUMIFS('12.326ana'!$C:$C,'12.326ana'!$M:$M,redes!A14603)</f>
        <v>0</v>
      </c>
    </row>
    <row r="14604" customFormat="false" ht="14.4" hidden="true" customHeight="false" outlineLevel="0" collapsed="false">
      <c r="A14604" s="34" t="n">
        <v>21397934000189</v>
      </c>
      <c r="B14604" s="34" t="s">
        <v>27320</v>
      </c>
      <c r="C14604" s="34" t="s">
        <v>77</v>
      </c>
      <c r="E14604" s="30" t="s">
        <v>27321</v>
      </c>
      <c r="F14604" s="34" t="n">
        <f aca="false">IFERROR(VLOOKUP($A14604,'319'!$B:$H,7,0),0)</f>
        <v>0</v>
      </c>
      <c r="G14604" s="34" t="n">
        <f aca="false">SUMIFS('12.326ana'!$C:$C,'12.326ana'!$M:$M,redes!A14604)</f>
        <v>0</v>
      </c>
    </row>
    <row r="14605" customFormat="false" ht="14.4" hidden="true" customHeight="false" outlineLevel="0" collapsed="false">
      <c r="A14605" s="34" t="n">
        <v>21402517000187</v>
      </c>
      <c r="B14605" s="34" t="s">
        <v>27322</v>
      </c>
      <c r="C14605" s="34" t="s">
        <v>89</v>
      </c>
      <c r="E14605" s="30" t="s">
        <v>27323</v>
      </c>
      <c r="F14605" s="34" t="n">
        <f aca="false">IFERROR(VLOOKUP($A14605,'319'!$B:$H,7,0),0)</f>
        <v>0</v>
      </c>
      <c r="G14605" s="34" t="n">
        <f aca="false">SUMIFS('12.326ana'!$C:$C,'12.326ana'!$M:$M,redes!A14605)</f>
        <v>0</v>
      </c>
    </row>
    <row r="14606" customFormat="false" ht="14.4" hidden="true" customHeight="false" outlineLevel="0" collapsed="false">
      <c r="A14606" s="34" t="n">
        <v>21403505000177</v>
      </c>
      <c r="B14606" s="34" t="s">
        <v>27324</v>
      </c>
      <c r="C14606" s="34" t="s">
        <v>994</v>
      </c>
      <c r="E14606" s="30" t="s">
        <v>27325</v>
      </c>
      <c r="F14606" s="34" t="n">
        <f aca="false">IFERROR(VLOOKUP($A14606,'319'!$B:$H,7,0),0)</f>
        <v>0</v>
      </c>
      <c r="G14606" s="34" t="n">
        <f aca="false">SUMIFS('12.326ana'!$C:$C,'12.326ana'!$M:$M,redes!A14606)</f>
        <v>0</v>
      </c>
    </row>
    <row r="14607" customFormat="false" ht="14.4" hidden="true" customHeight="false" outlineLevel="0" collapsed="false">
      <c r="A14607" s="34" t="n">
        <v>21406986000174</v>
      </c>
      <c r="B14607" s="34" t="s">
        <v>1794</v>
      </c>
      <c r="C14607" s="34" t="s">
        <v>139</v>
      </c>
      <c r="E14607" s="30" t="s">
        <v>27326</v>
      </c>
      <c r="F14607" s="34" t="n">
        <f aca="false">IFERROR(VLOOKUP($A14607,'319'!$B:$H,7,0),0)</f>
        <v>-127.07</v>
      </c>
      <c r="G14607" s="34" t="n">
        <f aca="false">SUMIFS('12.326ana'!$C:$C,'12.326ana'!$M:$M,redes!A14607)</f>
        <v>0</v>
      </c>
    </row>
    <row r="14608" customFormat="false" ht="14.4" hidden="true" customHeight="false" outlineLevel="0" collapsed="false">
      <c r="A14608" s="34" t="n">
        <v>21408603000105</v>
      </c>
      <c r="B14608" s="34" t="s">
        <v>24737</v>
      </c>
      <c r="C14608" s="34" t="s">
        <v>107</v>
      </c>
      <c r="E14608" s="30" t="s">
        <v>24737</v>
      </c>
      <c r="F14608" s="34" t="n">
        <f aca="false">IFERROR(VLOOKUP($A14608,'319'!$B:$H,7,0),0)</f>
        <v>0</v>
      </c>
      <c r="G14608" s="34" t="n">
        <f aca="false">SUMIFS('12.326ana'!$C:$C,'12.326ana'!$M:$M,redes!A14608)</f>
        <v>0</v>
      </c>
    </row>
    <row r="14609" customFormat="false" ht="14.4" hidden="true" customHeight="false" outlineLevel="0" collapsed="false">
      <c r="A14609" s="34" t="n">
        <v>21415201000120</v>
      </c>
      <c r="B14609" s="34" t="s">
        <v>27327</v>
      </c>
      <c r="C14609" s="34" t="s">
        <v>631</v>
      </c>
      <c r="E14609" s="30" t="s">
        <v>27328</v>
      </c>
      <c r="F14609" s="34" t="n">
        <f aca="false">IFERROR(VLOOKUP($A14609,'319'!$B:$H,7,0),0)</f>
        <v>0</v>
      </c>
      <c r="G14609" s="34" t="n">
        <f aca="false">SUMIFS('12.326ana'!$C:$C,'12.326ana'!$M:$M,redes!A14609)</f>
        <v>0</v>
      </c>
    </row>
    <row r="14610" customFormat="false" ht="14.4" hidden="true" customHeight="false" outlineLevel="0" collapsed="false">
      <c r="A14610" s="34" t="n">
        <v>21417204000100</v>
      </c>
      <c r="B14610" s="34" t="s">
        <v>27329</v>
      </c>
      <c r="C14610" s="34" t="s">
        <v>107</v>
      </c>
      <c r="E14610" s="30" t="s">
        <v>27330</v>
      </c>
      <c r="F14610" s="34" t="n">
        <f aca="false">IFERROR(VLOOKUP($A14610,'319'!$B:$H,7,0),0)</f>
        <v>0</v>
      </c>
      <c r="G14610" s="34" t="n">
        <f aca="false">SUMIFS('12.326ana'!$C:$C,'12.326ana'!$M:$M,redes!A14610)</f>
        <v>0</v>
      </c>
    </row>
    <row r="14611" customFormat="false" ht="14.4" hidden="true" customHeight="false" outlineLevel="0" collapsed="false">
      <c r="A14611" s="34" t="n">
        <v>21424706000150</v>
      </c>
      <c r="B14611" s="34" t="s">
        <v>27331</v>
      </c>
      <c r="C14611" s="34" t="s">
        <v>77</v>
      </c>
      <c r="E14611" s="30" t="s">
        <v>3927</v>
      </c>
      <c r="F14611" s="34" t="n">
        <f aca="false">IFERROR(VLOOKUP($A14611,'319'!$B:$H,7,0),0)</f>
        <v>0</v>
      </c>
      <c r="G14611" s="34" t="n">
        <f aca="false">SUMIFS('12.326ana'!$C:$C,'12.326ana'!$M:$M,redes!A14611)</f>
        <v>0</v>
      </c>
    </row>
    <row r="14612" customFormat="false" ht="14.4" hidden="true" customHeight="false" outlineLevel="0" collapsed="false">
      <c r="A14612" s="34" t="n">
        <v>21429849000155</v>
      </c>
      <c r="B14612" s="34" t="s">
        <v>27332</v>
      </c>
      <c r="C14612" s="34" t="s">
        <v>89</v>
      </c>
      <c r="E14612" s="30" t="s">
        <v>27333</v>
      </c>
      <c r="F14612" s="34" t="n">
        <f aca="false">IFERROR(VLOOKUP($A14612,'319'!$B:$H,7,0),0)</f>
        <v>0</v>
      </c>
      <c r="G14612" s="34" t="n">
        <f aca="false">SUMIFS('12.326ana'!$C:$C,'12.326ana'!$M:$M,redes!A14612)</f>
        <v>0</v>
      </c>
    </row>
    <row r="14613" customFormat="false" ht="14.4" hidden="true" customHeight="false" outlineLevel="0" collapsed="false">
      <c r="A14613" s="34" t="n">
        <v>21443057000135</v>
      </c>
      <c r="B14613" s="34" t="s">
        <v>27334</v>
      </c>
      <c r="C14613" s="34" t="s">
        <v>478</v>
      </c>
      <c r="E14613" s="30" t="s">
        <v>27335</v>
      </c>
      <c r="F14613" s="34" t="n">
        <f aca="false">IFERROR(VLOOKUP($A14613,'319'!$B:$H,7,0),0)</f>
        <v>0</v>
      </c>
      <c r="G14613" s="34" t="n">
        <f aca="false">SUMIFS('12.326ana'!$C:$C,'12.326ana'!$M:$M,redes!A14613)</f>
        <v>0</v>
      </c>
    </row>
    <row r="14614" customFormat="false" ht="14.4" hidden="true" customHeight="false" outlineLevel="0" collapsed="false">
      <c r="A14614" s="34" t="n">
        <v>21451135000143</v>
      </c>
      <c r="B14614" s="34" t="s">
        <v>27336</v>
      </c>
      <c r="C14614" s="34" t="s">
        <v>309</v>
      </c>
      <c r="E14614" s="30" t="s">
        <v>27337</v>
      </c>
      <c r="F14614" s="34" t="n">
        <f aca="false">IFERROR(VLOOKUP($A14614,'319'!$B:$H,7,0),0)</f>
        <v>0</v>
      </c>
      <c r="G14614" s="34" t="n">
        <f aca="false">SUMIFS('12.326ana'!$C:$C,'12.326ana'!$M:$M,redes!A14614)</f>
        <v>0</v>
      </c>
    </row>
    <row r="14615" customFormat="false" ht="14.4" hidden="true" customHeight="false" outlineLevel="0" collapsed="false">
      <c r="A14615" s="34" t="n">
        <v>21451386000128</v>
      </c>
      <c r="B14615" s="34" t="s">
        <v>27338</v>
      </c>
      <c r="C14615" s="34" t="s">
        <v>77</v>
      </c>
      <c r="E14615" s="30" t="s">
        <v>27339</v>
      </c>
      <c r="F14615" s="34" t="n">
        <f aca="false">IFERROR(VLOOKUP($A14615,'319'!$B:$H,7,0),0)</f>
        <v>0</v>
      </c>
      <c r="G14615" s="34" t="n">
        <f aca="false">SUMIFS('12.326ana'!$C:$C,'12.326ana'!$M:$M,redes!A14615)</f>
        <v>0</v>
      </c>
    </row>
    <row r="14616" customFormat="false" ht="14.4" hidden="true" customHeight="false" outlineLevel="0" collapsed="false">
      <c r="A14616" s="34" t="n">
        <v>21458026000158</v>
      </c>
      <c r="B14616" s="34" t="s">
        <v>27340</v>
      </c>
      <c r="C14616" s="34" t="s">
        <v>77</v>
      </c>
      <c r="E14616" s="30" t="s">
        <v>27341</v>
      </c>
      <c r="F14616" s="34" t="n">
        <f aca="false">IFERROR(VLOOKUP($A14616,'319'!$B:$H,7,0),0)</f>
        <v>0</v>
      </c>
      <c r="G14616" s="34" t="n">
        <f aca="false">SUMIFS('12.326ana'!$C:$C,'12.326ana'!$M:$M,redes!A14616)</f>
        <v>0</v>
      </c>
    </row>
    <row r="14617" customFormat="false" ht="14.4" hidden="true" customHeight="false" outlineLevel="0" collapsed="false">
      <c r="A14617" s="34" t="n">
        <v>21465460000165</v>
      </c>
      <c r="B14617" s="34" t="s">
        <v>27342</v>
      </c>
      <c r="C14617" s="34" t="s">
        <v>129</v>
      </c>
      <c r="E14617" s="30" t="s">
        <v>4499</v>
      </c>
      <c r="F14617" s="34" t="n">
        <f aca="false">IFERROR(VLOOKUP($A14617,'319'!$B:$H,7,0),0)</f>
        <v>0</v>
      </c>
      <c r="G14617" s="34" t="n">
        <f aca="false">SUMIFS('12.326ana'!$C:$C,'12.326ana'!$M:$M,redes!A14617)</f>
        <v>0</v>
      </c>
    </row>
    <row r="14618" customFormat="false" ht="14.4" hidden="true" customHeight="false" outlineLevel="0" collapsed="false">
      <c r="A14618" s="34" t="n">
        <v>21467384000127</v>
      </c>
      <c r="B14618" s="34" t="s">
        <v>27343</v>
      </c>
      <c r="C14618" s="34" t="s">
        <v>197</v>
      </c>
      <c r="E14618" s="30" t="s">
        <v>27344</v>
      </c>
      <c r="F14618" s="34" t="n">
        <f aca="false">IFERROR(VLOOKUP($A14618,'319'!$B:$H,7,0),0)</f>
        <v>0</v>
      </c>
      <c r="G14618" s="34" t="n">
        <f aca="false">SUMIFS('12.326ana'!$C:$C,'12.326ana'!$M:$M,redes!A14618)</f>
        <v>0</v>
      </c>
    </row>
    <row r="14619" customFormat="false" ht="14.4" hidden="true" customHeight="false" outlineLevel="0" collapsed="false">
      <c r="A14619" s="34" t="n">
        <v>21477261000177</v>
      </c>
      <c r="B14619" s="34" t="s">
        <v>27345</v>
      </c>
      <c r="C14619" s="34" t="s">
        <v>994</v>
      </c>
      <c r="E14619" s="30" t="s">
        <v>3664</v>
      </c>
      <c r="F14619" s="34" t="n">
        <f aca="false">IFERROR(VLOOKUP($A14619,'319'!$B:$H,7,0),0)</f>
        <v>0</v>
      </c>
      <c r="G14619" s="34" t="n">
        <f aca="false">SUMIFS('12.326ana'!$C:$C,'12.326ana'!$M:$M,redes!A14619)</f>
        <v>0</v>
      </c>
    </row>
    <row r="14620" customFormat="false" ht="14.4" hidden="true" customHeight="false" outlineLevel="0" collapsed="false">
      <c r="A14620" s="34" t="n">
        <v>21477442000101</v>
      </c>
      <c r="B14620" s="34" t="s">
        <v>27346</v>
      </c>
      <c r="C14620" s="34" t="s">
        <v>77</v>
      </c>
      <c r="E14620" s="30"/>
      <c r="F14620" s="34" t="n">
        <f aca="false">IFERROR(VLOOKUP($A14620,'319'!$B:$H,7,0),0)</f>
        <v>0</v>
      </c>
      <c r="G14620" s="34" t="n">
        <f aca="false">SUMIFS('12.326ana'!$C:$C,'12.326ana'!$M:$M,redes!A14620)</f>
        <v>0</v>
      </c>
    </row>
    <row r="14621" customFormat="false" ht="14.4" hidden="true" customHeight="false" outlineLevel="0" collapsed="false">
      <c r="A14621" s="34" t="n">
        <v>21479772000128</v>
      </c>
      <c r="B14621" s="34" t="s">
        <v>27347</v>
      </c>
      <c r="C14621" s="34" t="s">
        <v>77</v>
      </c>
      <c r="E14621" s="30" t="s">
        <v>27348</v>
      </c>
      <c r="F14621" s="34" t="n">
        <f aca="false">IFERROR(VLOOKUP($A14621,'319'!$B:$H,7,0),0)</f>
        <v>0</v>
      </c>
      <c r="G14621" s="34" t="n">
        <f aca="false">SUMIFS('12.326ana'!$C:$C,'12.326ana'!$M:$M,redes!A14621)</f>
        <v>0</v>
      </c>
    </row>
    <row r="14622" customFormat="false" ht="14.4" hidden="true" customHeight="false" outlineLevel="0" collapsed="false">
      <c r="A14622" s="34" t="n">
        <v>21481323000114</v>
      </c>
      <c r="B14622" s="34" t="s">
        <v>27349</v>
      </c>
      <c r="C14622" s="34" t="s">
        <v>213</v>
      </c>
      <c r="E14622" s="30" t="s">
        <v>27350</v>
      </c>
      <c r="F14622" s="34" t="n">
        <f aca="false">IFERROR(VLOOKUP($A14622,'319'!$B:$H,7,0),0)</f>
        <v>0</v>
      </c>
      <c r="G14622" s="34" t="n">
        <f aca="false">SUMIFS('12.326ana'!$C:$C,'12.326ana'!$M:$M,redes!A14622)</f>
        <v>0</v>
      </c>
    </row>
    <row r="14623" customFormat="false" ht="14.4" hidden="true" customHeight="false" outlineLevel="0" collapsed="false">
      <c r="A14623" s="34" t="n">
        <v>21481969000100</v>
      </c>
      <c r="B14623" s="34" t="s">
        <v>27351</v>
      </c>
      <c r="C14623" s="34" t="s">
        <v>2998</v>
      </c>
      <c r="E14623" s="30" t="s">
        <v>27352</v>
      </c>
      <c r="F14623" s="34" t="n">
        <f aca="false">IFERROR(VLOOKUP($A14623,'319'!$B:$H,7,0),0)</f>
        <v>0</v>
      </c>
      <c r="G14623" s="34" t="n">
        <f aca="false">SUMIFS('12.326ana'!$C:$C,'12.326ana'!$M:$M,redes!A14623)</f>
        <v>0</v>
      </c>
    </row>
    <row r="14624" customFormat="false" ht="14.4" hidden="true" customHeight="false" outlineLevel="0" collapsed="false">
      <c r="A14624" s="34" t="n">
        <v>21487579000139</v>
      </c>
      <c r="B14624" s="34" t="s">
        <v>27353</v>
      </c>
      <c r="C14624" s="34" t="s">
        <v>4139</v>
      </c>
      <c r="E14624" s="30" t="s">
        <v>27354</v>
      </c>
      <c r="F14624" s="34" t="n">
        <f aca="false">IFERROR(VLOOKUP($A14624,'319'!$B:$H,7,0),0)</f>
        <v>0</v>
      </c>
      <c r="G14624" s="34" t="n">
        <f aca="false">SUMIFS('12.326ana'!$C:$C,'12.326ana'!$M:$M,redes!A14624)</f>
        <v>0</v>
      </c>
    </row>
    <row r="14625" customFormat="false" ht="14.4" hidden="true" customHeight="false" outlineLevel="0" collapsed="false">
      <c r="A14625" s="34" t="n">
        <v>21496626000100</v>
      </c>
      <c r="B14625" s="34" t="s">
        <v>27355</v>
      </c>
      <c r="C14625" s="34" t="s">
        <v>77</v>
      </c>
      <c r="E14625" s="30" t="s">
        <v>27355</v>
      </c>
      <c r="F14625" s="34" t="n">
        <f aca="false">IFERROR(VLOOKUP($A14625,'319'!$B:$H,7,0),0)</f>
        <v>0</v>
      </c>
      <c r="G14625" s="34" t="n">
        <f aca="false">SUMIFS('12.326ana'!$C:$C,'12.326ana'!$M:$M,redes!A14625)</f>
        <v>0</v>
      </c>
    </row>
    <row r="14626" customFormat="false" ht="14.4" hidden="true" customHeight="false" outlineLevel="0" collapsed="false">
      <c r="A14626" s="34" t="n">
        <v>21501935000121</v>
      </c>
      <c r="B14626" s="34" t="s">
        <v>27356</v>
      </c>
      <c r="C14626" s="34" t="s">
        <v>77</v>
      </c>
      <c r="E14626" s="30" t="s">
        <v>27357</v>
      </c>
      <c r="F14626" s="34" t="n">
        <f aca="false">IFERROR(VLOOKUP($A14626,'319'!$B:$H,7,0),0)</f>
        <v>0</v>
      </c>
      <c r="G14626" s="34" t="n">
        <f aca="false">SUMIFS('12.326ana'!$C:$C,'12.326ana'!$M:$M,redes!A14626)</f>
        <v>0</v>
      </c>
    </row>
    <row r="14627" customFormat="false" ht="14.4" hidden="true" customHeight="false" outlineLevel="0" collapsed="false">
      <c r="A14627" s="34" t="n">
        <v>21508884000160</v>
      </c>
      <c r="B14627" s="34" t="s">
        <v>27358</v>
      </c>
      <c r="C14627" s="34" t="s">
        <v>77</v>
      </c>
      <c r="E14627" s="30" t="s">
        <v>5226</v>
      </c>
      <c r="F14627" s="34" t="n">
        <f aca="false">IFERROR(VLOOKUP($A14627,'319'!$B:$H,7,0),0)</f>
        <v>0</v>
      </c>
      <c r="G14627" s="34" t="n">
        <f aca="false">SUMIFS('12.326ana'!$C:$C,'12.326ana'!$M:$M,redes!A14627)</f>
        <v>0</v>
      </c>
    </row>
    <row r="14628" customFormat="false" ht="14.4" hidden="true" customHeight="false" outlineLevel="0" collapsed="false">
      <c r="A14628" s="34" t="n">
        <v>21510780000190</v>
      </c>
      <c r="B14628" s="34" t="s">
        <v>27359</v>
      </c>
      <c r="C14628" s="34" t="s">
        <v>77</v>
      </c>
      <c r="E14628" s="30" t="s">
        <v>3066</v>
      </c>
      <c r="F14628" s="34" t="n">
        <f aca="false">IFERROR(VLOOKUP($A14628,'319'!$B:$H,7,0),0)</f>
        <v>0</v>
      </c>
      <c r="G14628" s="34" t="n">
        <f aca="false">SUMIFS('12.326ana'!$C:$C,'12.326ana'!$M:$M,redes!A14628)</f>
        <v>0</v>
      </c>
    </row>
    <row r="14629" customFormat="false" ht="14.4" hidden="true" customHeight="false" outlineLevel="0" collapsed="false">
      <c r="A14629" s="34" t="n">
        <v>21514634000132</v>
      </c>
      <c r="B14629" s="34" t="s">
        <v>27360</v>
      </c>
      <c r="C14629" s="34" t="s">
        <v>77</v>
      </c>
      <c r="E14629" s="30" t="s">
        <v>4098</v>
      </c>
      <c r="F14629" s="34" t="n">
        <f aca="false">IFERROR(VLOOKUP($A14629,'319'!$B:$H,7,0),0)</f>
        <v>0</v>
      </c>
      <c r="G14629" s="34" t="n">
        <f aca="false">SUMIFS('12.326ana'!$C:$C,'12.326ana'!$M:$M,redes!A14629)</f>
        <v>0</v>
      </c>
    </row>
    <row r="14630" customFormat="false" ht="14.4" hidden="true" customHeight="false" outlineLevel="0" collapsed="false">
      <c r="A14630" s="34" t="n">
        <v>21519424000137</v>
      </c>
      <c r="B14630" s="34" t="s">
        <v>27361</v>
      </c>
      <c r="C14630" s="34" t="s">
        <v>139</v>
      </c>
      <c r="E14630" s="30" t="s">
        <v>27362</v>
      </c>
      <c r="F14630" s="34" t="n">
        <f aca="false">IFERROR(VLOOKUP($A14630,'319'!$B:$H,7,0),0)</f>
        <v>0</v>
      </c>
      <c r="G14630" s="34" t="n">
        <f aca="false">SUMIFS('12.326ana'!$C:$C,'12.326ana'!$M:$M,redes!A14630)</f>
        <v>0</v>
      </c>
    </row>
    <row r="14631" customFormat="false" ht="14.4" hidden="true" customHeight="false" outlineLevel="0" collapsed="false">
      <c r="A14631" s="34" t="n">
        <v>21551013000129</v>
      </c>
      <c r="B14631" s="34" t="s">
        <v>27363</v>
      </c>
      <c r="C14631" s="34" t="s">
        <v>680</v>
      </c>
      <c r="E14631" s="30" t="s">
        <v>27364</v>
      </c>
      <c r="F14631" s="34" t="n">
        <f aca="false">IFERROR(VLOOKUP($A14631,'319'!$B:$H,7,0),0)</f>
        <v>0</v>
      </c>
      <c r="G14631" s="34" t="n">
        <f aca="false">SUMIFS('12.326ana'!$C:$C,'12.326ana'!$M:$M,redes!A14631)</f>
        <v>0</v>
      </c>
    </row>
    <row r="14632" customFormat="false" ht="14.4" hidden="true" customHeight="false" outlineLevel="0" collapsed="false">
      <c r="A14632" s="34" t="n">
        <v>21552037000100</v>
      </c>
      <c r="B14632" s="34" t="s">
        <v>27365</v>
      </c>
      <c r="C14632" s="34" t="s">
        <v>139</v>
      </c>
      <c r="E14632" s="30" t="s">
        <v>27366</v>
      </c>
      <c r="F14632" s="34" t="n">
        <f aca="false">IFERROR(VLOOKUP($A14632,'319'!$B:$H,7,0),0)</f>
        <v>0</v>
      </c>
      <c r="G14632" s="34" t="n">
        <f aca="false">SUMIFS('12.326ana'!$C:$C,'12.326ana'!$M:$M,redes!A14632)</f>
        <v>0</v>
      </c>
    </row>
    <row r="14633" customFormat="false" ht="14.4" hidden="true" customHeight="false" outlineLevel="0" collapsed="false">
      <c r="A14633" s="34" t="n">
        <v>21552037000283</v>
      </c>
      <c r="B14633" s="34" t="s">
        <v>27367</v>
      </c>
      <c r="C14633" s="34" t="s">
        <v>680</v>
      </c>
      <c r="E14633" s="30" t="s">
        <v>27366</v>
      </c>
      <c r="F14633" s="34" t="n">
        <f aca="false">IFERROR(VLOOKUP($A14633,'319'!$B:$H,7,0),0)</f>
        <v>0</v>
      </c>
      <c r="G14633" s="34" t="n">
        <f aca="false">SUMIFS('12.326ana'!$C:$C,'12.326ana'!$M:$M,redes!A14633)</f>
        <v>0</v>
      </c>
    </row>
    <row r="14634" customFormat="false" ht="14.4" hidden="true" customHeight="false" outlineLevel="0" collapsed="false">
      <c r="A14634" s="34" t="n">
        <v>21558491000160</v>
      </c>
      <c r="B14634" s="34" t="s">
        <v>27368</v>
      </c>
      <c r="C14634" s="34" t="s">
        <v>976</v>
      </c>
      <c r="E14634" s="30" t="s">
        <v>27369</v>
      </c>
      <c r="F14634" s="34" t="n">
        <f aca="false">IFERROR(VLOOKUP($A14634,'319'!$B:$H,7,0),0)</f>
        <v>0</v>
      </c>
      <c r="G14634" s="34" t="n">
        <f aca="false">SUMIFS('12.326ana'!$C:$C,'12.326ana'!$M:$M,redes!A14634)</f>
        <v>0</v>
      </c>
    </row>
    <row r="14635" customFormat="false" ht="14.4" hidden="true" customHeight="false" outlineLevel="0" collapsed="false">
      <c r="A14635" s="34" t="n">
        <v>21560913000132</v>
      </c>
      <c r="B14635" s="34" t="s">
        <v>27370</v>
      </c>
      <c r="C14635" s="34" t="s">
        <v>473</v>
      </c>
      <c r="E14635" s="30" t="s">
        <v>27371</v>
      </c>
      <c r="F14635" s="34" t="n">
        <f aca="false">IFERROR(VLOOKUP($A14635,'319'!$B:$H,7,0),0)</f>
        <v>0</v>
      </c>
      <c r="G14635" s="34" t="n">
        <f aca="false">SUMIFS('12.326ana'!$C:$C,'12.326ana'!$M:$M,redes!A14635)</f>
        <v>0</v>
      </c>
    </row>
    <row r="14636" customFormat="false" ht="14.4" hidden="true" customHeight="false" outlineLevel="0" collapsed="false">
      <c r="A14636" s="34" t="n">
        <v>21563096000176</v>
      </c>
      <c r="B14636" s="34" t="s">
        <v>27372</v>
      </c>
      <c r="C14636" s="34" t="s">
        <v>107</v>
      </c>
      <c r="E14636" s="30" t="s">
        <v>27373</v>
      </c>
      <c r="F14636" s="34" t="n">
        <f aca="false">IFERROR(VLOOKUP($A14636,'319'!$B:$H,7,0),0)</f>
        <v>0</v>
      </c>
      <c r="G14636" s="34" t="n">
        <f aca="false">SUMIFS('12.326ana'!$C:$C,'12.326ana'!$M:$M,redes!A14636)</f>
        <v>0</v>
      </c>
    </row>
    <row r="14637" customFormat="false" ht="14.4" hidden="true" customHeight="false" outlineLevel="0" collapsed="false">
      <c r="A14637" s="34" t="n">
        <v>21572876000182</v>
      </c>
      <c r="B14637" s="34" t="s">
        <v>27374</v>
      </c>
      <c r="C14637" s="34" t="s">
        <v>77</v>
      </c>
      <c r="E14637" s="30" t="s">
        <v>5190</v>
      </c>
      <c r="F14637" s="34" t="n">
        <f aca="false">IFERROR(VLOOKUP($A14637,'319'!$B:$H,7,0),0)</f>
        <v>0</v>
      </c>
      <c r="G14637" s="34" t="n">
        <f aca="false">SUMIFS('12.326ana'!$C:$C,'12.326ana'!$M:$M,redes!A14637)</f>
        <v>0</v>
      </c>
    </row>
    <row r="14638" customFormat="false" ht="14.4" hidden="true" customHeight="false" outlineLevel="0" collapsed="false">
      <c r="A14638" s="34" t="n">
        <v>21581924000107</v>
      </c>
      <c r="B14638" s="34" t="s">
        <v>27375</v>
      </c>
      <c r="C14638" s="34" t="s">
        <v>77</v>
      </c>
      <c r="E14638" s="30" t="s">
        <v>27376</v>
      </c>
      <c r="F14638" s="34" t="n">
        <f aca="false">IFERROR(VLOOKUP($A14638,'319'!$B:$H,7,0),0)</f>
        <v>0</v>
      </c>
      <c r="G14638" s="34" t="n">
        <f aca="false">SUMIFS('12.326ana'!$C:$C,'12.326ana'!$M:$M,redes!A14638)</f>
        <v>0</v>
      </c>
    </row>
    <row r="14639" customFormat="false" ht="14.4" hidden="true" customHeight="false" outlineLevel="0" collapsed="false">
      <c r="A14639" s="34" t="n">
        <v>21583587000189</v>
      </c>
      <c r="B14639" s="34" t="s">
        <v>27377</v>
      </c>
      <c r="C14639" s="34" t="s">
        <v>77</v>
      </c>
      <c r="E14639" s="30" t="s">
        <v>27378</v>
      </c>
      <c r="F14639" s="34" t="n">
        <f aca="false">IFERROR(VLOOKUP($A14639,'319'!$B:$H,7,0),0)</f>
        <v>0</v>
      </c>
      <c r="G14639" s="34" t="n">
        <f aca="false">SUMIFS('12.326ana'!$C:$C,'12.326ana'!$M:$M,redes!A14639)</f>
        <v>0</v>
      </c>
    </row>
    <row r="14640" customFormat="false" ht="14.4" hidden="true" customHeight="false" outlineLevel="0" collapsed="false">
      <c r="A14640" s="34" t="n">
        <v>21583626000148</v>
      </c>
      <c r="B14640" s="34" t="s">
        <v>27379</v>
      </c>
      <c r="C14640" s="34" t="s">
        <v>77</v>
      </c>
      <c r="E14640" s="30" t="s">
        <v>2846</v>
      </c>
      <c r="F14640" s="34" t="n">
        <f aca="false">IFERROR(VLOOKUP($A14640,'319'!$B:$H,7,0),0)</f>
        <v>0</v>
      </c>
      <c r="G14640" s="34" t="n">
        <f aca="false">SUMIFS('12.326ana'!$C:$C,'12.326ana'!$M:$M,redes!A14640)</f>
        <v>0</v>
      </c>
    </row>
    <row r="14641" customFormat="false" ht="14.4" hidden="true" customHeight="false" outlineLevel="0" collapsed="false">
      <c r="A14641" s="34" t="n">
        <v>21590707000175</v>
      </c>
      <c r="B14641" s="34" t="s">
        <v>27380</v>
      </c>
      <c r="C14641" s="34" t="s">
        <v>77</v>
      </c>
      <c r="E14641" s="30" t="s">
        <v>27381</v>
      </c>
      <c r="F14641" s="34" t="n">
        <f aca="false">IFERROR(VLOOKUP($A14641,'319'!$B:$H,7,0),0)</f>
        <v>0</v>
      </c>
      <c r="G14641" s="34" t="n">
        <f aca="false">SUMIFS('12.326ana'!$C:$C,'12.326ana'!$M:$M,redes!A14641)</f>
        <v>0</v>
      </c>
    </row>
    <row r="14642" customFormat="false" ht="14.4" hidden="true" customHeight="false" outlineLevel="0" collapsed="false">
      <c r="A14642" s="34" t="n">
        <v>21595886000133</v>
      </c>
      <c r="B14642" s="34" t="s">
        <v>27382</v>
      </c>
      <c r="C14642" s="34" t="s">
        <v>463</v>
      </c>
      <c r="E14642" s="30" t="s">
        <v>27383</v>
      </c>
      <c r="F14642" s="34" t="n">
        <f aca="false">IFERROR(VLOOKUP($A14642,'319'!$B:$H,7,0),0)</f>
        <v>0</v>
      </c>
      <c r="G14642" s="34" t="n">
        <f aca="false">SUMIFS('12.326ana'!$C:$C,'12.326ana'!$M:$M,redes!A14642)</f>
        <v>0</v>
      </c>
    </row>
    <row r="14643" customFormat="false" ht="14.4" hidden="true" customHeight="false" outlineLevel="0" collapsed="false">
      <c r="A14643" s="34" t="n">
        <v>21597342000100</v>
      </c>
      <c r="B14643" s="34" t="s">
        <v>27384</v>
      </c>
      <c r="C14643" s="34" t="s">
        <v>77</v>
      </c>
      <c r="E14643" s="30" t="s">
        <v>27385</v>
      </c>
      <c r="F14643" s="34" t="n">
        <f aca="false">IFERROR(VLOOKUP($A14643,'319'!$B:$H,7,0),0)</f>
        <v>0</v>
      </c>
      <c r="G14643" s="34" t="n">
        <f aca="false">SUMIFS('12.326ana'!$C:$C,'12.326ana'!$M:$M,redes!A14643)</f>
        <v>0</v>
      </c>
    </row>
    <row r="14644" customFormat="false" ht="14.4" hidden="true" customHeight="false" outlineLevel="0" collapsed="false">
      <c r="A14644" s="34" t="n">
        <v>21599362000110</v>
      </c>
      <c r="B14644" s="34" t="s">
        <v>27386</v>
      </c>
      <c r="C14644" s="34" t="s">
        <v>77</v>
      </c>
      <c r="E14644" s="30" t="s">
        <v>27387</v>
      </c>
      <c r="F14644" s="34" t="n">
        <f aca="false">IFERROR(VLOOKUP($A14644,'319'!$B:$H,7,0),0)</f>
        <v>0</v>
      </c>
      <c r="G14644" s="34" t="n">
        <f aca="false">SUMIFS('12.326ana'!$C:$C,'12.326ana'!$M:$M,redes!A14644)</f>
        <v>0</v>
      </c>
    </row>
    <row r="14645" customFormat="false" ht="14.4" hidden="true" customHeight="false" outlineLevel="0" collapsed="false">
      <c r="A14645" s="34" t="n">
        <v>21601892000156</v>
      </c>
      <c r="B14645" s="34" t="s">
        <v>27388</v>
      </c>
      <c r="C14645" s="34" t="s">
        <v>598</v>
      </c>
      <c r="E14645" s="30" t="s">
        <v>27389</v>
      </c>
      <c r="F14645" s="34" t="n">
        <f aca="false">IFERROR(VLOOKUP($A14645,'319'!$B:$H,7,0),0)</f>
        <v>2123.38</v>
      </c>
      <c r="G14645" s="34" t="n">
        <f aca="false">SUMIFS('12.326ana'!$C:$C,'12.326ana'!$M:$M,redes!A14645)</f>
        <v>0</v>
      </c>
    </row>
    <row r="14646" customFormat="false" ht="14.4" hidden="true" customHeight="false" outlineLevel="0" collapsed="false">
      <c r="A14646" s="34" t="n">
        <v>21602082000114</v>
      </c>
      <c r="B14646" s="34" t="s">
        <v>27390</v>
      </c>
      <c r="C14646" s="34" t="s">
        <v>77</v>
      </c>
      <c r="E14646" s="30" t="s">
        <v>27391</v>
      </c>
      <c r="F14646" s="34" t="n">
        <f aca="false">IFERROR(VLOOKUP($A14646,'319'!$B:$H,7,0),0)</f>
        <v>0</v>
      </c>
      <c r="G14646" s="34" t="n">
        <f aca="false">SUMIFS('12.326ana'!$C:$C,'12.326ana'!$M:$M,redes!A14646)</f>
        <v>0</v>
      </c>
    </row>
    <row r="14647" customFormat="false" ht="14.4" hidden="true" customHeight="false" outlineLevel="0" collapsed="false">
      <c r="A14647" s="34" t="n">
        <v>21606217000110</v>
      </c>
      <c r="B14647" s="34" t="s">
        <v>27392</v>
      </c>
      <c r="C14647" s="34" t="s">
        <v>77</v>
      </c>
      <c r="E14647" s="30" t="s">
        <v>13549</v>
      </c>
      <c r="F14647" s="34" t="n">
        <f aca="false">IFERROR(VLOOKUP($A14647,'319'!$B:$H,7,0),0)</f>
        <v>0</v>
      </c>
      <c r="G14647" s="34" t="n">
        <f aca="false">SUMIFS('12.326ana'!$C:$C,'12.326ana'!$M:$M,redes!A14647)</f>
        <v>0</v>
      </c>
    </row>
    <row r="14648" customFormat="false" ht="14.4" hidden="true" customHeight="false" outlineLevel="0" collapsed="false">
      <c r="A14648" s="34" t="n">
        <v>21620452000146</v>
      </c>
      <c r="B14648" s="34" t="s">
        <v>27393</v>
      </c>
      <c r="C14648" s="34" t="s">
        <v>77</v>
      </c>
      <c r="E14648" s="30" t="s">
        <v>27394</v>
      </c>
      <c r="F14648" s="34" t="n">
        <f aca="false">IFERROR(VLOOKUP($A14648,'319'!$B:$H,7,0),0)</f>
        <v>0</v>
      </c>
      <c r="G14648" s="34" t="n">
        <f aca="false">SUMIFS('12.326ana'!$C:$C,'12.326ana'!$M:$M,redes!A14648)</f>
        <v>0</v>
      </c>
    </row>
    <row r="14649" customFormat="false" ht="14.4" hidden="true" customHeight="false" outlineLevel="0" collapsed="false">
      <c r="A14649" s="34" t="n">
        <v>21633587000146</v>
      </c>
      <c r="B14649" s="34" t="s">
        <v>27395</v>
      </c>
      <c r="C14649" s="34" t="s">
        <v>77</v>
      </c>
      <c r="E14649" s="30"/>
      <c r="F14649" s="34" t="n">
        <f aca="false">IFERROR(VLOOKUP($A14649,'319'!$B:$H,7,0),0)</f>
        <v>0</v>
      </c>
      <c r="G14649" s="34" t="n">
        <f aca="false">SUMIFS('12.326ana'!$C:$C,'12.326ana'!$M:$M,redes!A14649)</f>
        <v>0</v>
      </c>
    </row>
    <row r="14650" customFormat="false" ht="14.4" hidden="true" customHeight="false" outlineLevel="0" collapsed="false">
      <c r="A14650" s="34" t="n">
        <v>21636301000186</v>
      </c>
      <c r="B14650" s="34" t="s">
        <v>9008</v>
      </c>
      <c r="C14650" s="34" t="s">
        <v>463</v>
      </c>
      <c r="E14650" s="30" t="s">
        <v>11297</v>
      </c>
      <c r="F14650" s="34" t="n">
        <f aca="false">IFERROR(VLOOKUP($A14650,'319'!$B:$H,7,0),0)</f>
        <v>0</v>
      </c>
      <c r="G14650" s="34" t="n">
        <f aca="false">SUMIFS('12.326ana'!$C:$C,'12.326ana'!$M:$M,redes!A14650)</f>
        <v>0</v>
      </c>
    </row>
    <row r="14651" customFormat="false" ht="14.4" hidden="true" customHeight="false" outlineLevel="0" collapsed="false">
      <c r="A14651" s="34" t="n">
        <v>21654992000140</v>
      </c>
      <c r="B14651" s="34" t="s">
        <v>27396</v>
      </c>
      <c r="C14651" s="34" t="s">
        <v>764</v>
      </c>
      <c r="E14651" s="30" t="s">
        <v>27397</v>
      </c>
      <c r="F14651" s="34" t="n">
        <f aca="false">IFERROR(VLOOKUP($A14651,'319'!$B:$H,7,0),0)</f>
        <v>0</v>
      </c>
      <c r="G14651" s="34" t="n">
        <f aca="false">SUMIFS('12.326ana'!$C:$C,'12.326ana'!$M:$M,redes!A14651)</f>
        <v>0</v>
      </c>
    </row>
    <row r="14652" customFormat="false" ht="14.4" hidden="true" customHeight="false" outlineLevel="0" collapsed="false">
      <c r="A14652" s="34" t="n">
        <v>21663293000167</v>
      </c>
      <c r="B14652" s="34" t="s">
        <v>27398</v>
      </c>
      <c r="C14652" s="34" t="s">
        <v>77</v>
      </c>
      <c r="E14652" s="30" t="s">
        <v>27399</v>
      </c>
      <c r="F14652" s="34" t="n">
        <f aca="false">IFERROR(VLOOKUP($A14652,'319'!$B:$H,7,0),0)</f>
        <v>0</v>
      </c>
      <c r="G14652" s="34" t="n">
        <f aca="false">SUMIFS('12.326ana'!$C:$C,'12.326ana'!$M:$M,redes!A14652)</f>
        <v>0</v>
      </c>
    </row>
    <row r="14653" customFormat="false" ht="14.4" hidden="true" customHeight="false" outlineLevel="0" collapsed="false">
      <c r="A14653" s="34" t="n">
        <v>21664710000196</v>
      </c>
      <c r="B14653" s="34" t="s">
        <v>27400</v>
      </c>
      <c r="C14653" s="34" t="s">
        <v>77</v>
      </c>
      <c r="E14653" s="30" t="s">
        <v>27401</v>
      </c>
      <c r="F14653" s="34" t="n">
        <f aca="false">IFERROR(VLOOKUP($A14653,'319'!$B:$H,7,0),0)</f>
        <v>0</v>
      </c>
      <c r="G14653" s="34" t="n">
        <f aca="false">SUMIFS('12.326ana'!$C:$C,'12.326ana'!$M:$M,redes!A14653)</f>
        <v>0</v>
      </c>
    </row>
    <row r="14654" customFormat="false" ht="14.4" hidden="true" customHeight="false" outlineLevel="0" collapsed="false">
      <c r="A14654" s="34" t="n">
        <v>21671183000147</v>
      </c>
      <c r="B14654" s="34" t="s">
        <v>27402</v>
      </c>
      <c r="C14654" s="34" t="s">
        <v>77</v>
      </c>
      <c r="E14654" s="30" t="s">
        <v>27403</v>
      </c>
      <c r="F14654" s="34" t="n">
        <f aca="false">IFERROR(VLOOKUP($A14654,'319'!$B:$H,7,0),0)</f>
        <v>0</v>
      </c>
      <c r="G14654" s="34" t="n">
        <f aca="false">SUMIFS('12.326ana'!$C:$C,'12.326ana'!$M:$M,redes!A14654)</f>
        <v>0</v>
      </c>
    </row>
    <row r="14655" customFormat="false" ht="14.4" hidden="true" customHeight="false" outlineLevel="0" collapsed="false">
      <c r="A14655" s="34" t="n">
        <v>21681231000188</v>
      </c>
      <c r="B14655" s="34" t="s">
        <v>27404</v>
      </c>
      <c r="C14655" s="34" t="s">
        <v>4139</v>
      </c>
      <c r="E14655" s="30" t="s">
        <v>27405</v>
      </c>
      <c r="F14655" s="34" t="n">
        <f aca="false">IFERROR(VLOOKUP($A14655,'319'!$B:$H,7,0),0)</f>
        <v>0</v>
      </c>
      <c r="G14655" s="34" t="n">
        <f aca="false">SUMIFS('12.326ana'!$C:$C,'12.326ana'!$M:$M,redes!A14655)</f>
        <v>0</v>
      </c>
    </row>
    <row r="14656" customFormat="false" ht="14.4" hidden="true" customHeight="false" outlineLevel="0" collapsed="false">
      <c r="A14656" s="34" t="n">
        <v>21706827000195</v>
      </c>
      <c r="B14656" s="34" t="s">
        <v>27406</v>
      </c>
      <c r="C14656" s="34" t="s">
        <v>77</v>
      </c>
      <c r="E14656" s="30" t="s">
        <v>27407</v>
      </c>
      <c r="F14656" s="34" t="n">
        <f aca="false">IFERROR(VLOOKUP($A14656,'319'!$B:$H,7,0),0)</f>
        <v>0</v>
      </c>
      <c r="G14656" s="34" t="n">
        <f aca="false">SUMIFS('12.326ana'!$C:$C,'12.326ana'!$M:$M,redes!A14656)</f>
        <v>0</v>
      </c>
    </row>
    <row r="14657" customFormat="false" ht="14.4" hidden="true" customHeight="false" outlineLevel="0" collapsed="false">
      <c r="A14657" s="34" t="n">
        <v>21715625000100</v>
      </c>
      <c r="B14657" s="34" t="s">
        <v>27408</v>
      </c>
      <c r="C14657" s="34" t="s">
        <v>357</v>
      </c>
      <c r="E14657" s="30" t="s">
        <v>27409</v>
      </c>
      <c r="F14657" s="34" t="n">
        <f aca="false">IFERROR(VLOOKUP($A14657,'319'!$B:$H,7,0),0)</f>
        <v>0</v>
      </c>
      <c r="G14657" s="34" t="n">
        <f aca="false">SUMIFS('12.326ana'!$C:$C,'12.326ana'!$M:$M,redes!A14657)</f>
        <v>0</v>
      </c>
    </row>
    <row r="14658" customFormat="false" ht="14.4" hidden="true" customHeight="false" outlineLevel="0" collapsed="false">
      <c r="A14658" s="34" t="n">
        <v>21716749000100</v>
      </c>
      <c r="B14658" s="34" t="s">
        <v>27410</v>
      </c>
      <c r="C14658" s="34" t="s">
        <v>77</v>
      </c>
      <c r="E14658" s="30" t="s">
        <v>27411</v>
      </c>
      <c r="F14658" s="34" t="n">
        <f aca="false">IFERROR(VLOOKUP($A14658,'319'!$B:$H,7,0),0)</f>
        <v>0</v>
      </c>
      <c r="G14658" s="34" t="n">
        <f aca="false">SUMIFS('12.326ana'!$C:$C,'12.326ana'!$M:$M,redes!A14658)</f>
        <v>0</v>
      </c>
    </row>
    <row r="14659" customFormat="false" ht="14.4" hidden="true" customHeight="false" outlineLevel="0" collapsed="false">
      <c r="A14659" s="34" t="n">
        <v>21716749000290</v>
      </c>
      <c r="B14659" s="34" t="s">
        <v>27410</v>
      </c>
      <c r="C14659" s="34" t="s">
        <v>77</v>
      </c>
      <c r="E14659" s="30" t="s">
        <v>27412</v>
      </c>
      <c r="F14659" s="34" t="n">
        <f aca="false">IFERROR(VLOOKUP($A14659,'319'!$B:$H,7,0),0)</f>
        <v>0</v>
      </c>
      <c r="G14659" s="34" t="n">
        <f aca="false">SUMIFS('12.326ana'!$C:$C,'12.326ana'!$M:$M,redes!A14659)</f>
        <v>0</v>
      </c>
    </row>
    <row r="14660" customFormat="false" ht="14.4" hidden="true" customHeight="false" outlineLevel="0" collapsed="false">
      <c r="A14660" s="34" t="n">
        <v>21725088000189</v>
      </c>
      <c r="B14660" s="34" t="s">
        <v>27413</v>
      </c>
      <c r="C14660" s="34" t="s">
        <v>77</v>
      </c>
      <c r="E14660" s="30" t="s">
        <v>27414</v>
      </c>
      <c r="F14660" s="34" t="n">
        <f aca="false">IFERROR(VLOOKUP($A14660,'319'!$B:$H,7,0),0)</f>
        <v>0</v>
      </c>
      <c r="G14660" s="34" t="n">
        <f aca="false">SUMIFS('12.326ana'!$C:$C,'12.326ana'!$M:$M,redes!A14660)</f>
        <v>0</v>
      </c>
    </row>
    <row r="14661" customFormat="false" ht="14.4" hidden="true" customHeight="false" outlineLevel="0" collapsed="false">
      <c r="A14661" s="34" t="n">
        <v>21727040000100</v>
      </c>
      <c r="B14661" s="34" t="s">
        <v>27415</v>
      </c>
      <c r="C14661" s="34" t="s">
        <v>213</v>
      </c>
      <c r="E14661" s="30" t="s">
        <v>27416</v>
      </c>
      <c r="F14661" s="34" t="n">
        <f aca="false">IFERROR(VLOOKUP($A14661,'319'!$B:$H,7,0),0)</f>
        <v>0</v>
      </c>
      <c r="G14661" s="34" t="n">
        <f aca="false">SUMIFS('12.326ana'!$C:$C,'12.326ana'!$M:$M,redes!A14661)</f>
        <v>0</v>
      </c>
    </row>
    <row r="14662" customFormat="false" ht="14.4" hidden="true" customHeight="false" outlineLevel="0" collapsed="false">
      <c r="A14662" s="34" t="n">
        <v>21746114000155</v>
      </c>
      <c r="B14662" s="34" t="s">
        <v>27417</v>
      </c>
      <c r="C14662" s="34" t="s">
        <v>213</v>
      </c>
      <c r="E14662" s="30" t="s">
        <v>27418</v>
      </c>
      <c r="F14662" s="34" t="n">
        <f aca="false">IFERROR(VLOOKUP($A14662,'319'!$B:$H,7,0),0)</f>
        <v>0</v>
      </c>
      <c r="G14662" s="34" t="n">
        <f aca="false">SUMIFS('12.326ana'!$C:$C,'12.326ana'!$M:$M,redes!A14662)</f>
        <v>0</v>
      </c>
    </row>
    <row r="14663" customFormat="false" ht="14.4" hidden="true" customHeight="false" outlineLevel="0" collapsed="false">
      <c r="A14663" s="34" t="n">
        <v>21747140000106</v>
      </c>
      <c r="B14663" s="34" t="s">
        <v>27419</v>
      </c>
      <c r="C14663" s="34" t="s">
        <v>604</v>
      </c>
      <c r="E14663" s="30" t="s">
        <v>27420</v>
      </c>
      <c r="F14663" s="34" t="n">
        <f aca="false">IFERROR(VLOOKUP($A14663,'319'!$B:$H,7,0),0)</f>
        <v>0</v>
      </c>
      <c r="G14663" s="34" t="n">
        <f aca="false">SUMIFS('12.326ana'!$C:$C,'12.326ana'!$M:$M,redes!A14663)</f>
        <v>0</v>
      </c>
    </row>
    <row r="14664" customFormat="false" ht="14.4" hidden="true" customHeight="false" outlineLevel="0" collapsed="false">
      <c r="A14664" s="34" t="n">
        <v>21750784000145</v>
      </c>
      <c r="B14664" s="34" t="s">
        <v>27421</v>
      </c>
      <c r="C14664" s="34" t="s">
        <v>473</v>
      </c>
      <c r="E14664" s="30"/>
      <c r="F14664" s="34" t="n">
        <f aca="false">IFERROR(VLOOKUP($A14664,'319'!$B:$H,7,0),0)</f>
        <v>0</v>
      </c>
      <c r="G14664" s="34" t="n">
        <f aca="false">SUMIFS('12.326ana'!$C:$C,'12.326ana'!$M:$M,redes!A14664)</f>
        <v>0</v>
      </c>
    </row>
    <row r="14665" customFormat="false" ht="14.4" hidden="true" customHeight="false" outlineLevel="0" collapsed="false">
      <c r="A14665" s="34" t="n">
        <v>21752997000106</v>
      </c>
      <c r="B14665" s="34" t="s">
        <v>27422</v>
      </c>
      <c r="C14665" s="34" t="s">
        <v>77</v>
      </c>
      <c r="E14665" s="30" t="s">
        <v>27423</v>
      </c>
      <c r="F14665" s="34" t="n">
        <f aca="false">IFERROR(VLOOKUP($A14665,'319'!$B:$H,7,0),0)</f>
        <v>0</v>
      </c>
      <c r="G14665" s="34" t="n">
        <f aca="false">SUMIFS('12.326ana'!$C:$C,'12.326ana'!$M:$M,redes!A14665)</f>
        <v>0</v>
      </c>
    </row>
    <row r="14666" customFormat="false" ht="14.4" hidden="true" customHeight="false" outlineLevel="0" collapsed="false">
      <c r="A14666" s="34" t="n">
        <v>21753040000184</v>
      </c>
      <c r="B14666" s="34" t="s">
        <v>27424</v>
      </c>
      <c r="C14666" s="34" t="s">
        <v>77</v>
      </c>
      <c r="E14666" s="30" t="s">
        <v>27425</v>
      </c>
      <c r="F14666" s="34" t="n">
        <f aca="false">IFERROR(VLOOKUP($A14666,'319'!$B:$H,7,0),0)</f>
        <v>0</v>
      </c>
      <c r="G14666" s="34" t="n">
        <f aca="false">SUMIFS('12.326ana'!$C:$C,'12.326ana'!$M:$M,redes!A14666)</f>
        <v>0</v>
      </c>
    </row>
    <row r="14667" customFormat="false" ht="14.4" hidden="true" customHeight="false" outlineLevel="0" collapsed="false">
      <c r="A14667" s="34" t="n">
        <v>21759112000109</v>
      </c>
      <c r="B14667" s="34" t="s">
        <v>27426</v>
      </c>
      <c r="C14667" s="34" t="s">
        <v>1680</v>
      </c>
      <c r="E14667" s="30" t="s">
        <v>27427</v>
      </c>
      <c r="F14667" s="34" t="n">
        <f aca="false">IFERROR(VLOOKUP($A14667,'319'!$B:$H,7,0),0)</f>
        <v>0</v>
      </c>
      <c r="G14667" s="34" t="n">
        <f aca="false">SUMIFS('12.326ana'!$C:$C,'12.326ana'!$M:$M,redes!A14667)</f>
        <v>0</v>
      </c>
    </row>
    <row r="14668" customFormat="false" ht="14.4" hidden="true" customHeight="false" outlineLevel="0" collapsed="false">
      <c r="A14668" s="34" t="n">
        <v>21766026000115</v>
      </c>
      <c r="B14668" s="34" t="s">
        <v>27428</v>
      </c>
      <c r="C14668" s="34" t="s">
        <v>1341</v>
      </c>
      <c r="E14668" s="30" t="s">
        <v>27429</v>
      </c>
      <c r="F14668" s="34" t="n">
        <f aca="false">IFERROR(VLOOKUP($A14668,'319'!$B:$H,7,0),0)</f>
        <v>0</v>
      </c>
      <c r="G14668" s="34" t="n">
        <f aca="false">SUMIFS('12.326ana'!$C:$C,'12.326ana'!$M:$M,redes!A14668)</f>
        <v>0</v>
      </c>
    </row>
    <row r="14669" customFormat="false" ht="14.4" hidden="true" customHeight="false" outlineLevel="0" collapsed="false">
      <c r="A14669" s="34" t="n">
        <v>21766633000185</v>
      </c>
      <c r="B14669" s="34" t="s">
        <v>27430</v>
      </c>
      <c r="C14669" s="34" t="s">
        <v>77</v>
      </c>
      <c r="E14669" s="30" t="s">
        <v>27431</v>
      </c>
      <c r="F14669" s="34" t="n">
        <f aca="false">IFERROR(VLOOKUP($A14669,'319'!$B:$H,7,0),0)</f>
        <v>0</v>
      </c>
      <c r="G14669" s="34" t="n">
        <f aca="false">SUMIFS('12.326ana'!$C:$C,'12.326ana'!$M:$M,redes!A14669)</f>
        <v>0</v>
      </c>
    </row>
    <row r="14670" customFormat="false" ht="14.4" hidden="true" customHeight="false" outlineLevel="0" collapsed="false">
      <c r="A14670" s="34" t="n">
        <v>21774458000178</v>
      </c>
      <c r="B14670" s="34" t="s">
        <v>27432</v>
      </c>
      <c r="C14670" s="34" t="s">
        <v>107</v>
      </c>
      <c r="E14670" s="30" t="s">
        <v>27433</v>
      </c>
      <c r="F14670" s="34" t="n">
        <f aca="false">IFERROR(VLOOKUP($A14670,'319'!$B:$H,7,0),0)</f>
        <v>0</v>
      </c>
      <c r="G14670" s="34" t="n">
        <f aca="false">SUMIFS('12.326ana'!$C:$C,'12.326ana'!$M:$M,redes!A14670)</f>
        <v>0</v>
      </c>
    </row>
    <row r="14671" customFormat="false" ht="14.4" hidden="true" customHeight="false" outlineLevel="0" collapsed="false">
      <c r="A14671" s="34" t="n">
        <v>21780444000167</v>
      </c>
      <c r="B14671" s="34" t="s">
        <v>27434</v>
      </c>
      <c r="C14671" s="34" t="s">
        <v>357</v>
      </c>
      <c r="E14671" s="30" t="s">
        <v>27435</v>
      </c>
      <c r="F14671" s="34" t="n">
        <f aca="false">IFERROR(VLOOKUP($A14671,'319'!$B:$H,7,0),0)</f>
        <v>0</v>
      </c>
      <c r="G14671" s="34" t="n">
        <f aca="false">SUMIFS('12.326ana'!$C:$C,'12.326ana'!$M:$M,redes!A14671)</f>
        <v>0</v>
      </c>
    </row>
    <row r="14672" customFormat="false" ht="14.4" hidden="true" customHeight="false" outlineLevel="0" collapsed="false">
      <c r="A14672" s="34" t="n">
        <v>21784054000165</v>
      </c>
      <c r="B14672" s="34" t="s">
        <v>27436</v>
      </c>
      <c r="C14672" s="34" t="s">
        <v>1680</v>
      </c>
      <c r="E14672" s="30" t="s">
        <v>27437</v>
      </c>
      <c r="F14672" s="34" t="n">
        <f aca="false">IFERROR(VLOOKUP($A14672,'319'!$B:$H,7,0),0)</f>
        <v>0</v>
      </c>
      <c r="G14672" s="34" t="n">
        <f aca="false">SUMIFS('12.326ana'!$C:$C,'12.326ana'!$M:$M,redes!A14672)</f>
        <v>0</v>
      </c>
    </row>
    <row r="14673" customFormat="false" ht="14.4" hidden="true" customHeight="false" outlineLevel="0" collapsed="false">
      <c r="A14673" s="34" t="n">
        <v>21793077000136</v>
      </c>
      <c r="B14673" s="34" t="s">
        <v>27438</v>
      </c>
      <c r="C14673" s="34" t="s">
        <v>473</v>
      </c>
      <c r="E14673" s="30" t="s">
        <v>27439</v>
      </c>
      <c r="F14673" s="34" t="n">
        <f aca="false">IFERROR(VLOOKUP($A14673,'319'!$B:$H,7,0),0)</f>
        <v>0</v>
      </c>
      <c r="G14673" s="34" t="n">
        <f aca="false">SUMIFS('12.326ana'!$C:$C,'12.326ana'!$M:$M,redes!A14673)</f>
        <v>0</v>
      </c>
    </row>
    <row r="14674" customFormat="false" ht="14.4" hidden="true" customHeight="false" outlineLevel="0" collapsed="false">
      <c r="A14674" s="34" t="n">
        <v>21804226000115</v>
      </c>
      <c r="B14674" s="34" t="s">
        <v>27440</v>
      </c>
      <c r="C14674" s="34" t="s">
        <v>89</v>
      </c>
      <c r="E14674" s="30" t="s">
        <v>27441</v>
      </c>
      <c r="F14674" s="34" t="n">
        <f aca="false">IFERROR(VLOOKUP($A14674,'319'!$B:$H,7,0),0)</f>
        <v>0</v>
      </c>
      <c r="G14674" s="34" t="n">
        <f aca="false">SUMIFS('12.326ana'!$C:$C,'12.326ana'!$M:$M,redes!A14674)</f>
        <v>0</v>
      </c>
    </row>
    <row r="14675" customFormat="false" ht="14.4" hidden="true" customHeight="false" outlineLevel="0" collapsed="false">
      <c r="A14675" s="34" t="n">
        <v>21806199000110</v>
      </c>
      <c r="B14675" s="34" t="s">
        <v>27442</v>
      </c>
      <c r="C14675" s="34" t="s">
        <v>77</v>
      </c>
      <c r="E14675" s="30" t="s">
        <v>27443</v>
      </c>
      <c r="F14675" s="34" t="n">
        <f aca="false">IFERROR(VLOOKUP($A14675,'319'!$B:$H,7,0),0)</f>
        <v>0</v>
      </c>
      <c r="G14675" s="34" t="n">
        <f aca="false">SUMIFS('12.326ana'!$C:$C,'12.326ana'!$M:$M,redes!A14675)</f>
        <v>0</v>
      </c>
    </row>
    <row r="14676" customFormat="false" ht="14.4" hidden="true" customHeight="false" outlineLevel="0" collapsed="false">
      <c r="A14676" s="34" t="n">
        <v>21813158000150</v>
      </c>
      <c r="B14676" s="34" t="s">
        <v>1451</v>
      </c>
      <c r="C14676" s="34" t="s">
        <v>604</v>
      </c>
      <c r="E14676" s="30" t="s">
        <v>27444</v>
      </c>
      <c r="F14676" s="34" t="n">
        <f aca="false">IFERROR(VLOOKUP($A14676,'319'!$B:$H,7,0),0)</f>
        <v>178.15</v>
      </c>
      <c r="G14676" s="34" t="n">
        <f aca="false">SUMIFS('12.326ana'!$C:$C,'12.326ana'!$M:$M,redes!A14676)</f>
        <v>0</v>
      </c>
    </row>
    <row r="14677" customFormat="false" ht="14.4" hidden="true" customHeight="false" outlineLevel="0" collapsed="false">
      <c r="A14677" s="34" t="n">
        <v>21826421000146</v>
      </c>
      <c r="B14677" s="34" t="s">
        <v>27445</v>
      </c>
      <c r="C14677" s="34" t="s">
        <v>89</v>
      </c>
      <c r="E14677" s="30" t="s">
        <v>27446</v>
      </c>
      <c r="F14677" s="34" t="n">
        <f aca="false">IFERROR(VLOOKUP($A14677,'319'!$B:$H,7,0),0)</f>
        <v>0</v>
      </c>
      <c r="G14677" s="34" t="n">
        <f aca="false">SUMIFS('12.326ana'!$C:$C,'12.326ana'!$M:$M,redes!A14677)</f>
        <v>0</v>
      </c>
    </row>
    <row r="14678" customFormat="false" ht="14.4" hidden="true" customHeight="false" outlineLevel="0" collapsed="false">
      <c r="A14678" s="34" t="n">
        <v>21829513000180</v>
      </c>
      <c r="B14678" s="34" t="s">
        <v>27447</v>
      </c>
      <c r="C14678" s="34" t="s">
        <v>77</v>
      </c>
      <c r="E14678" s="30" t="s">
        <v>9504</v>
      </c>
      <c r="F14678" s="34" t="n">
        <f aca="false">IFERROR(VLOOKUP($A14678,'319'!$B:$H,7,0),0)</f>
        <v>0</v>
      </c>
      <c r="G14678" s="34" t="n">
        <f aca="false">SUMIFS('12.326ana'!$C:$C,'12.326ana'!$M:$M,redes!A14678)</f>
        <v>0</v>
      </c>
    </row>
    <row r="14679" customFormat="false" ht="14.4" hidden="true" customHeight="false" outlineLevel="0" collapsed="false">
      <c r="A14679" s="34" t="n">
        <v>21831113000109</v>
      </c>
      <c r="B14679" s="34" t="s">
        <v>27448</v>
      </c>
      <c r="C14679" s="34" t="s">
        <v>107</v>
      </c>
      <c r="E14679" s="30" t="s">
        <v>27449</v>
      </c>
      <c r="F14679" s="34" t="n">
        <f aca="false">IFERROR(VLOOKUP($A14679,'319'!$B:$H,7,0),0)</f>
        <v>0</v>
      </c>
      <c r="G14679" s="34" t="n">
        <f aca="false">SUMIFS('12.326ana'!$C:$C,'12.326ana'!$M:$M,redes!A14679)</f>
        <v>0</v>
      </c>
    </row>
    <row r="14680" customFormat="false" ht="14.4" hidden="true" customHeight="false" outlineLevel="0" collapsed="false">
      <c r="A14680" s="34" t="n">
        <v>21834092000185</v>
      </c>
      <c r="B14680" s="34" t="s">
        <v>1401</v>
      </c>
      <c r="C14680" s="34" t="s">
        <v>1306</v>
      </c>
      <c r="E14680" s="30" t="s">
        <v>27450</v>
      </c>
      <c r="F14680" s="34" t="n">
        <f aca="false">IFERROR(VLOOKUP($A14680,'319'!$B:$H,7,0),0)</f>
        <v>229.32</v>
      </c>
      <c r="G14680" s="34" t="n">
        <f aca="false">SUMIFS('12.326ana'!$C:$C,'12.326ana'!$M:$M,redes!A14680)</f>
        <v>0</v>
      </c>
    </row>
    <row r="14681" customFormat="false" ht="14.4" hidden="true" customHeight="false" outlineLevel="0" collapsed="false">
      <c r="A14681" s="34" t="n">
        <v>21851460000101</v>
      </c>
      <c r="B14681" s="34" t="s">
        <v>27451</v>
      </c>
      <c r="C14681" s="34" t="s">
        <v>77</v>
      </c>
      <c r="E14681" s="30" t="s">
        <v>27452</v>
      </c>
      <c r="F14681" s="34" t="n">
        <f aca="false">IFERROR(VLOOKUP($A14681,'319'!$B:$H,7,0),0)</f>
        <v>0</v>
      </c>
      <c r="G14681" s="34" t="n">
        <f aca="false">SUMIFS('12.326ana'!$C:$C,'12.326ana'!$M:$M,redes!A14681)</f>
        <v>0</v>
      </c>
    </row>
    <row r="14682" customFormat="false" ht="14.4" hidden="true" customHeight="false" outlineLevel="0" collapsed="false">
      <c r="A14682" s="34" t="n">
        <v>21855437000187</v>
      </c>
      <c r="B14682" s="34" t="s">
        <v>27453</v>
      </c>
      <c r="C14682" s="34" t="s">
        <v>77</v>
      </c>
      <c r="E14682" s="30" t="s">
        <v>27454</v>
      </c>
      <c r="F14682" s="34" t="n">
        <f aca="false">IFERROR(VLOOKUP($A14682,'319'!$B:$H,7,0),0)</f>
        <v>0</v>
      </c>
      <c r="G14682" s="34" t="n">
        <f aca="false">SUMIFS('12.326ana'!$C:$C,'12.326ana'!$M:$M,redes!A14682)</f>
        <v>0</v>
      </c>
    </row>
    <row r="14683" customFormat="false" ht="14.4" hidden="true" customHeight="false" outlineLevel="0" collapsed="false">
      <c r="A14683" s="34" t="n">
        <v>21863524000186</v>
      </c>
      <c r="B14683" s="34" t="s">
        <v>27455</v>
      </c>
      <c r="C14683" s="34" t="s">
        <v>463</v>
      </c>
      <c r="E14683" s="30" t="s">
        <v>27456</v>
      </c>
      <c r="F14683" s="34" t="n">
        <f aca="false">IFERROR(VLOOKUP($A14683,'319'!$B:$H,7,0),0)</f>
        <v>0</v>
      </c>
      <c r="G14683" s="34" t="n">
        <f aca="false">SUMIFS('12.326ana'!$C:$C,'12.326ana'!$M:$M,redes!A14683)</f>
        <v>0</v>
      </c>
    </row>
    <row r="14684" customFormat="false" ht="14.4" hidden="true" customHeight="false" outlineLevel="0" collapsed="false">
      <c r="A14684" s="34" t="n">
        <v>21864203000104</v>
      </c>
      <c r="B14684" s="34" t="s">
        <v>27457</v>
      </c>
      <c r="C14684" s="34" t="s">
        <v>77</v>
      </c>
      <c r="E14684" s="30" t="s">
        <v>27458</v>
      </c>
      <c r="F14684" s="34" t="n">
        <f aca="false">IFERROR(VLOOKUP($A14684,'319'!$B:$H,7,0),0)</f>
        <v>0</v>
      </c>
      <c r="G14684" s="34" t="n">
        <f aca="false">SUMIFS('12.326ana'!$C:$C,'12.326ana'!$M:$M,redes!A14684)</f>
        <v>0</v>
      </c>
    </row>
    <row r="14685" customFormat="false" ht="14.4" hidden="true" customHeight="false" outlineLevel="0" collapsed="false">
      <c r="A14685" s="34" t="n">
        <v>21866634000100</v>
      </c>
      <c r="B14685" s="34" t="s">
        <v>27459</v>
      </c>
      <c r="C14685" s="34" t="s">
        <v>77</v>
      </c>
      <c r="E14685" s="30" t="s">
        <v>27460</v>
      </c>
      <c r="F14685" s="34" t="n">
        <f aca="false">IFERROR(VLOOKUP($A14685,'319'!$B:$H,7,0),0)</f>
        <v>0</v>
      </c>
      <c r="G14685" s="34" t="n">
        <f aca="false">SUMIFS('12.326ana'!$C:$C,'12.326ana'!$M:$M,redes!A14685)</f>
        <v>0</v>
      </c>
    </row>
    <row r="14686" customFormat="false" ht="14.4" hidden="true" customHeight="false" outlineLevel="0" collapsed="false">
      <c r="A14686" s="34" t="n">
        <v>21876035000169</v>
      </c>
      <c r="B14686" s="34" t="s">
        <v>27461</v>
      </c>
      <c r="C14686" s="34" t="s">
        <v>77</v>
      </c>
      <c r="E14686" s="30" t="s">
        <v>22153</v>
      </c>
      <c r="F14686" s="34" t="n">
        <f aca="false">IFERROR(VLOOKUP($A14686,'319'!$B:$H,7,0),0)</f>
        <v>0</v>
      </c>
      <c r="G14686" s="34" t="n">
        <f aca="false">SUMIFS('12.326ana'!$C:$C,'12.326ana'!$M:$M,redes!A14686)</f>
        <v>0</v>
      </c>
    </row>
    <row r="14687" customFormat="false" ht="14.4" hidden="true" customHeight="false" outlineLevel="0" collapsed="false">
      <c r="A14687" s="34" t="n">
        <v>21879733000118</v>
      </c>
      <c r="B14687" s="34" t="s">
        <v>27462</v>
      </c>
      <c r="C14687" s="34" t="s">
        <v>77</v>
      </c>
      <c r="E14687" s="30" t="s">
        <v>27463</v>
      </c>
      <c r="F14687" s="34" t="n">
        <f aca="false">IFERROR(VLOOKUP($A14687,'319'!$B:$H,7,0),0)</f>
        <v>250.33</v>
      </c>
      <c r="G14687" s="34" t="n">
        <f aca="false">SUMIFS('12.326ana'!$C:$C,'12.326ana'!$M:$M,redes!A14687)</f>
        <v>0</v>
      </c>
    </row>
    <row r="14688" customFormat="false" ht="14.4" hidden="true" customHeight="false" outlineLevel="0" collapsed="false">
      <c r="A14688" s="34" t="n">
        <v>21880278000170</v>
      </c>
      <c r="B14688" s="34" t="s">
        <v>27464</v>
      </c>
      <c r="C14688" s="34" t="s">
        <v>139</v>
      </c>
      <c r="E14688" s="30" t="s">
        <v>27465</v>
      </c>
      <c r="F14688" s="34" t="n">
        <f aca="false">IFERROR(VLOOKUP($A14688,'319'!$B:$H,7,0),0)</f>
        <v>0</v>
      </c>
      <c r="G14688" s="34" t="n">
        <f aca="false">SUMIFS('12.326ana'!$C:$C,'12.326ana'!$M:$M,redes!A14688)</f>
        <v>0</v>
      </c>
    </row>
    <row r="14689" customFormat="false" ht="14.4" hidden="true" customHeight="false" outlineLevel="0" collapsed="false">
      <c r="A14689" s="34" t="n">
        <v>21880535000174</v>
      </c>
      <c r="B14689" s="34" t="s">
        <v>27466</v>
      </c>
      <c r="C14689" s="34" t="s">
        <v>631</v>
      </c>
      <c r="E14689" s="30" t="s">
        <v>27467</v>
      </c>
      <c r="F14689" s="34" t="n">
        <f aca="false">IFERROR(VLOOKUP($A14689,'319'!$B:$H,7,0),0)</f>
        <v>0</v>
      </c>
      <c r="G14689" s="34" t="n">
        <f aca="false">SUMIFS('12.326ana'!$C:$C,'12.326ana'!$M:$M,redes!A14689)</f>
        <v>0</v>
      </c>
    </row>
    <row r="14690" customFormat="false" ht="14.4" hidden="true" customHeight="false" outlineLevel="0" collapsed="false">
      <c r="A14690" s="34" t="n">
        <v>21887707000131</v>
      </c>
      <c r="B14690" s="34" t="s">
        <v>27468</v>
      </c>
      <c r="C14690" s="34" t="s">
        <v>464</v>
      </c>
      <c r="E14690" s="30" t="s">
        <v>27469</v>
      </c>
      <c r="F14690" s="34" t="n">
        <f aca="false">IFERROR(VLOOKUP($A14690,'319'!$B:$H,7,0),0)</f>
        <v>0</v>
      </c>
      <c r="G14690" s="34" t="n">
        <f aca="false">SUMIFS('12.326ana'!$C:$C,'12.326ana'!$M:$M,redes!A14690)</f>
        <v>0</v>
      </c>
    </row>
    <row r="14691" customFormat="false" ht="14.4" hidden="true" customHeight="false" outlineLevel="0" collapsed="false">
      <c r="A14691" s="34" t="n">
        <v>21887813000115</v>
      </c>
      <c r="B14691" s="34" t="s">
        <v>1717</v>
      </c>
      <c r="C14691" s="34" t="s">
        <v>464</v>
      </c>
      <c r="E14691" s="30" t="s">
        <v>3194</v>
      </c>
      <c r="F14691" s="34" t="n">
        <f aca="false">IFERROR(VLOOKUP($A14691,'319'!$B:$H,7,0),0)</f>
        <v>32.33</v>
      </c>
      <c r="G14691" s="34" t="n">
        <f aca="false">SUMIFS('12.326ana'!$C:$C,'12.326ana'!$M:$M,redes!A14691)</f>
        <v>0</v>
      </c>
    </row>
    <row r="14692" customFormat="false" ht="14.4" hidden="true" customHeight="false" outlineLevel="0" collapsed="false">
      <c r="A14692" s="34" t="n">
        <v>21891477000184</v>
      </c>
      <c r="B14692" s="34" t="s">
        <v>27470</v>
      </c>
      <c r="C14692" s="34" t="s">
        <v>631</v>
      </c>
      <c r="E14692" s="30" t="s">
        <v>27471</v>
      </c>
      <c r="F14692" s="34" t="n">
        <f aca="false">IFERROR(VLOOKUP($A14692,'319'!$B:$H,7,0),0)</f>
        <v>0</v>
      </c>
      <c r="G14692" s="34" t="n">
        <f aca="false">SUMIFS('12.326ana'!$C:$C,'12.326ana'!$M:$M,redes!A14692)</f>
        <v>0</v>
      </c>
    </row>
    <row r="14693" customFormat="false" ht="14.4" hidden="true" customHeight="false" outlineLevel="0" collapsed="false">
      <c r="A14693" s="34" t="n">
        <v>21898661000156</v>
      </c>
      <c r="B14693" s="34" t="s">
        <v>27472</v>
      </c>
      <c r="C14693" s="34" t="s">
        <v>139</v>
      </c>
      <c r="E14693" s="30" t="s">
        <v>27473</v>
      </c>
      <c r="F14693" s="34" t="n">
        <f aca="false">IFERROR(VLOOKUP($A14693,'319'!$B:$H,7,0),0)</f>
        <v>0</v>
      </c>
      <c r="G14693" s="34" t="n">
        <f aca="false">SUMIFS('12.326ana'!$C:$C,'12.326ana'!$M:$M,redes!A14693)</f>
        <v>0</v>
      </c>
    </row>
    <row r="14694" customFormat="false" ht="14.4" hidden="true" customHeight="false" outlineLevel="0" collapsed="false">
      <c r="A14694" s="34" t="n">
        <v>21899442000191</v>
      </c>
      <c r="B14694" s="34" t="s">
        <v>27474</v>
      </c>
      <c r="C14694" s="34" t="s">
        <v>77</v>
      </c>
      <c r="E14694" s="30" t="s">
        <v>27475</v>
      </c>
      <c r="F14694" s="34" t="n">
        <f aca="false">IFERROR(VLOOKUP($A14694,'319'!$B:$H,7,0),0)</f>
        <v>0</v>
      </c>
      <c r="G14694" s="34" t="n">
        <f aca="false">SUMIFS('12.326ana'!$C:$C,'12.326ana'!$M:$M,redes!A14694)</f>
        <v>0</v>
      </c>
    </row>
    <row r="14695" customFormat="false" ht="14.4" hidden="true" customHeight="false" outlineLevel="0" collapsed="false">
      <c r="A14695" s="34" t="n">
        <v>21900041000104</v>
      </c>
      <c r="B14695" s="34" t="s">
        <v>27476</v>
      </c>
      <c r="C14695" s="34" t="s">
        <v>139</v>
      </c>
      <c r="E14695" s="30" t="s">
        <v>27477</v>
      </c>
      <c r="F14695" s="34" t="n">
        <f aca="false">IFERROR(VLOOKUP($A14695,'319'!$B:$H,7,0),0)</f>
        <v>0</v>
      </c>
      <c r="G14695" s="34" t="n">
        <f aca="false">SUMIFS('12.326ana'!$C:$C,'12.326ana'!$M:$M,redes!A14695)</f>
        <v>0</v>
      </c>
    </row>
    <row r="14696" customFormat="false" ht="14.4" hidden="true" customHeight="false" outlineLevel="0" collapsed="false">
      <c r="A14696" s="34" t="n">
        <v>21909498000180</v>
      </c>
      <c r="B14696" s="34" t="s">
        <v>1160</v>
      </c>
      <c r="C14696" s="34" t="s">
        <v>139</v>
      </c>
      <c r="E14696" s="30" t="s">
        <v>27478</v>
      </c>
      <c r="F14696" s="34" t="n">
        <f aca="false">IFERROR(VLOOKUP($A14696,'319'!$B:$H,7,0),0)</f>
        <v>421.92</v>
      </c>
      <c r="G14696" s="34" t="n">
        <f aca="false">SUMIFS('12.326ana'!$C:$C,'12.326ana'!$M:$M,redes!A14696)</f>
        <v>0</v>
      </c>
    </row>
    <row r="14697" customFormat="false" ht="14.4" hidden="true" customHeight="false" outlineLevel="0" collapsed="false">
      <c r="A14697" s="34" t="n">
        <v>21909913000103</v>
      </c>
      <c r="B14697" s="34" t="s">
        <v>27479</v>
      </c>
      <c r="C14697" s="34" t="s">
        <v>77</v>
      </c>
      <c r="E14697" s="30" t="s">
        <v>27480</v>
      </c>
      <c r="F14697" s="34" t="n">
        <f aca="false">IFERROR(VLOOKUP($A14697,'319'!$B:$H,7,0),0)</f>
        <v>0</v>
      </c>
      <c r="G14697" s="34" t="n">
        <f aca="false">SUMIFS('12.326ana'!$C:$C,'12.326ana'!$M:$M,redes!A14697)</f>
        <v>0</v>
      </c>
    </row>
    <row r="14698" customFormat="false" ht="14.4" hidden="true" customHeight="false" outlineLevel="0" collapsed="false">
      <c r="A14698" s="34" t="n">
        <v>21912157000163</v>
      </c>
      <c r="B14698" s="34" t="s">
        <v>27481</v>
      </c>
      <c r="C14698" s="34" t="s">
        <v>77</v>
      </c>
      <c r="E14698" s="30" t="s">
        <v>3507</v>
      </c>
      <c r="F14698" s="34" t="n">
        <f aca="false">IFERROR(VLOOKUP($A14698,'319'!$B:$H,7,0),0)</f>
        <v>0</v>
      </c>
      <c r="G14698" s="34" t="n">
        <f aca="false">SUMIFS('12.326ana'!$C:$C,'12.326ana'!$M:$M,redes!A14698)</f>
        <v>0</v>
      </c>
    </row>
    <row r="14699" customFormat="false" ht="14.4" hidden="true" customHeight="false" outlineLevel="0" collapsed="false">
      <c r="A14699" s="34" t="n">
        <v>21930564000101</v>
      </c>
      <c r="B14699" s="34" t="s">
        <v>27482</v>
      </c>
      <c r="C14699" s="34" t="s">
        <v>77</v>
      </c>
      <c r="E14699" s="30" t="s">
        <v>27483</v>
      </c>
      <c r="F14699" s="34" t="n">
        <f aca="false">IFERROR(VLOOKUP($A14699,'319'!$B:$H,7,0),0)</f>
        <v>0</v>
      </c>
      <c r="G14699" s="34" t="n">
        <f aca="false">SUMIFS('12.326ana'!$C:$C,'12.326ana'!$M:$M,redes!A14699)</f>
        <v>0</v>
      </c>
    </row>
    <row r="14700" customFormat="false" ht="14.4" hidden="true" customHeight="false" outlineLevel="0" collapsed="false">
      <c r="A14700" s="34" t="n">
        <v>21937667000195</v>
      </c>
      <c r="B14700" s="34" t="s">
        <v>27484</v>
      </c>
      <c r="C14700" s="34" t="s">
        <v>77</v>
      </c>
      <c r="E14700" s="30" t="s">
        <v>27485</v>
      </c>
      <c r="F14700" s="34" t="n">
        <f aca="false">IFERROR(VLOOKUP($A14700,'319'!$B:$H,7,0),0)</f>
        <v>0</v>
      </c>
      <c r="G14700" s="34" t="n">
        <f aca="false">SUMIFS('12.326ana'!$C:$C,'12.326ana'!$M:$M,redes!A14700)</f>
        <v>0</v>
      </c>
    </row>
    <row r="14701" customFormat="false" ht="14.4" hidden="true" customHeight="false" outlineLevel="0" collapsed="false">
      <c r="A14701" s="34" t="n">
        <v>21938698000160</v>
      </c>
      <c r="B14701" s="34" t="s">
        <v>27486</v>
      </c>
      <c r="C14701" s="34" t="s">
        <v>336</v>
      </c>
      <c r="E14701" s="30" t="s">
        <v>27487</v>
      </c>
      <c r="F14701" s="34" t="n">
        <f aca="false">IFERROR(VLOOKUP($A14701,'319'!$B:$H,7,0),0)</f>
        <v>0</v>
      </c>
      <c r="G14701" s="34" t="n">
        <f aca="false">SUMIFS('12.326ana'!$C:$C,'12.326ana'!$M:$M,redes!A14701)</f>
        <v>0</v>
      </c>
    </row>
    <row r="14702" customFormat="false" ht="14.4" hidden="true" customHeight="false" outlineLevel="0" collapsed="false">
      <c r="A14702" s="34" t="n">
        <v>21939693000152</v>
      </c>
      <c r="B14702" s="34" t="s">
        <v>27488</v>
      </c>
      <c r="C14702" s="34" t="s">
        <v>478</v>
      </c>
      <c r="E14702" s="30" t="s">
        <v>27489</v>
      </c>
      <c r="F14702" s="34" t="n">
        <f aca="false">IFERROR(VLOOKUP($A14702,'319'!$B:$H,7,0),0)</f>
        <v>0</v>
      </c>
      <c r="G14702" s="34" t="n">
        <f aca="false">SUMIFS('12.326ana'!$C:$C,'12.326ana'!$M:$M,redes!A14702)</f>
        <v>0</v>
      </c>
    </row>
    <row r="14703" customFormat="false" ht="14.4" hidden="true" customHeight="false" outlineLevel="0" collapsed="false">
      <c r="A14703" s="34" t="n">
        <v>21940083000179</v>
      </c>
      <c r="B14703" s="34" t="s">
        <v>27490</v>
      </c>
      <c r="C14703" s="34" t="s">
        <v>565</v>
      </c>
      <c r="E14703" s="30" t="s">
        <v>27491</v>
      </c>
      <c r="F14703" s="34" t="n">
        <f aca="false">IFERROR(VLOOKUP($A14703,'319'!$B:$H,7,0),0)</f>
        <v>0</v>
      </c>
      <c r="G14703" s="34" t="n">
        <f aca="false">SUMIFS('12.326ana'!$C:$C,'12.326ana'!$M:$M,redes!A14703)</f>
        <v>0</v>
      </c>
    </row>
    <row r="14704" customFormat="false" ht="14.4" hidden="true" customHeight="false" outlineLevel="0" collapsed="false">
      <c r="A14704" s="34" t="n">
        <v>21940799000176</v>
      </c>
      <c r="B14704" s="34" t="s">
        <v>27492</v>
      </c>
      <c r="C14704" s="34" t="s">
        <v>4462</v>
      </c>
      <c r="E14704" s="30" t="s">
        <v>27493</v>
      </c>
      <c r="F14704" s="34" t="n">
        <f aca="false">IFERROR(VLOOKUP($A14704,'319'!$B:$H,7,0),0)</f>
        <v>0</v>
      </c>
      <c r="G14704" s="34" t="n">
        <f aca="false">SUMIFS('12.326ana'!$C:$C,'12.326ana'!$M:$M,redes!A14704)</f>
        <v>0</v>
      </c>
    </row>
    <row r="14705" customFormat="false" ht="14.4" hidden="true" customHeight="false" outlineLevel="0" collapsed="false">
      <c r="A14705" s="34" t="n">
        <v>21945239000104</v>
      </c>
      <c r="B14705" s="34" t="s">
        <v>27494</v>
      </c>
      <c r="C14705" s="34" t="s">
        <v>737</v>
      </c>
      <c r="E14705" s="30" t="s">
        <v>27495</v>
      </c>
      <c r="F14705" s="34" t="n">
        <f aca="false">IFERROR(VLOOKUP($A14705,'319'!$B:$H,7,0),0)</f>
        <v>0</v>
      </c>
      <c r="G14705" s="34" t="n">
        <f aca="false">SUMIFS('12.326ana'!$C:$C,'12.326ana'!$M:$M,redes!A14705)</f>
        <v>0</v>
      </c>
    </row>
    <row r="14706" customFormat="false" ht="14.4" hidden="true" customHeight="false" outlineLevel="0" collapsed="false">
      <c r="A14706" s="34" t="n">
        <v>21947952000197</v>
      </c>
      <c r="B14706" s="34" t="s">
        <v>27496</v>
      </c>
      <c r="C14706" s="34" t="s">
        <v>463</v>
      </c>
      <c r="E14706" s="30" t="s">
        <v>27497</v>
      </c>
      <c r="F14706" s="34" t="n">
        <f aca="false">IFERROR(VLOOKUP($A14706,'319'!$B:$H,7,0),0)</f>
        <v>0</v>
      </c>
      <c r="G14706" s="34" t="n">
        <f aca="false">SUMIFS('12.326ana'!$C:$C,'12.326ana'!$M:$M,redes!A14706)</f>
        <v>0</v>
      </c>
    </row>
    <row r="14707" customFormat="false" ht="14.4" hidden="true" customHeight="false" outlineLevel="0" collapsed="false">
      <c r="A14707" s="34" t="n">
        <v>21951381000164</v>
      </c>
      <c r="B14707" s="34" t="s">
        <v>27498</v>
      </c>
      <c r="C14707" s="34" t="s">
        <v>77</v>
      </c>
      <c r="E14707" s="30" t="s">
        <v>6376</v>
      </c>
      <c r="F14707" s="34" t="n">
        <f aca="false">IFERROR(VLOOKUP($A14707,'319'!$B:$H,7,0),0)</f>
        <v>0</v>
      </c>
      <c r="G14707" s="34" t="n">
        <f aca="false">SUMIFS('12.326ana'!$C:$C,'12.326ana'!$M:$M,redes!A14707)</f>
        <v>0</v>
      </c>
    </row>
    <row r="14708" customFormat="false" ht="14.4" hidden="true" customHeight="false" outlineLevel="0" collapsed="false">
      <c r="A14708" s="34" t="n">
        <v>21959759000176</v>
      </c>
      <c r="B14708" s="34" t="s">
        <v>27499</v>
      </c>
      <c r="C14708" s="34" t="s">
        <v>77</v>
      </c>
      <c r="E14708" s="30" t="s">
        <v>27500</v>
      </c>
      <c r="F14708" s="34" t="n">
        <f aca="false">IFERROR(VLOOKUP($A14708,'319'!$B:$H,7,0),0)</f>
        <v>0</v>
      </c>
      <c r="G14708" s="34" t="n">
        <f aca="false">SUMIFS('12.326ana'!$C:$C,'12.326ana'!$M:$M,redes!A14708)</f>
        <v>0</v>
      </c>
    </row>
    <row r="14709" customFormat="false" ht="14.4" hidden="true" customHeight="false" outlineLevel="0" collapsed="false">
      <c r="A14709" s="34" t="n">
        <v>21969195000152</v>
      </c>
      <c r="B14709" s="34" t="s">
        <v>27501</v>
      </c>
      <c r="C14709" s="34" t="s">
        <v>107</v>
      </c>
      <c r="E14709" s="30" t="s">
        <v>9719</v>
      </c>
      <c r="F14709" s="34" t="n">
        <f aca="false">IFERROR(VLOOKUP($A14709,'319'!$B:$H,7,0),0)</f>
        <v>0</v>
      </c>
      <c r="G14709" s="34" t="n">
        <f aca="false">SUMIFS('12.326ana'!$C:$C,'12.326ana'!$M:$M,redes!A14709)</f>
        <v>0</v>
      </c>
    </row>
    <row r="14710" customFormat="false" ht="14.4" hidden="true" customHeight="false" outlineLevel="0" collapsed="false">
      <c r="A14710" s="34" t="n">
        <v>21969478000102</v>
      </c>
      <c r="B14710" s="34" t="s">
        <v>27502</v>
      </c>
      <c r="C14710" s="34" t="s">
        <v>77</v>
      </c>
      <c r="E14710" s="30" t="s">
        <v>27503</v>
      </c>
      <c r="F14710" s="34" t="n">
        <f aca="false">IFERROR(VLOOKUP($A14710,'319'!$B:$H,7,0),0)</f>
        <v>0</v>
      </c>
      <c r="G14710" s="34" t="n">
        <f aca="false">SUMIFS('12.326ana'!$C:$C,'12.326ana'!$M:$M,redes!A14710)</f>
        <v>0</v>
      </c>
    </row>
    <row r="14711" customFormat="false" ht="14.4" hidden="true" customHeight="false" outlineLevel="0" collapsed="false">
      <c r="A14711" s="34" t="n">
        <v>21972992000199</v>
      </c>
      <c r="B14711" s="34" t="s">
        <v>7291</v>
      </c>
      <c r="C14711" s="34" t="s">
        <v>475</v>
      </c>
      <c r="E14711" s="30" t="s">
        <v>7292</v>
      </c>
      <c r="F14711" s="34" t="n">
        <f aca="false">IFERROR(VLOOKUP($A14711,'319'!$B:$H,7,0),0)</f>
        <v>0</v>
      </c>
      <c r="G14711" s="34" t="n">
        <f aca="false">SUMIFS('12.326ana'!$C:$C,'12.326ana'!$M:$M,redes!A14711)</f>
        <v>0</v>
      </c>
    </row>
    <row r="14712" customFormat="false" ht="14.4" hidden="true" customHeight="false" outlineLevel="0" collapsed="false">
      <c r="A14712" s="34" t="n">
        <v>21987208000116</v>
      </c>
      <c r="B14712" s="34" t="s">
        <v>27504</v>
      </c>
      <c r="C14712" s="34" t="s">
        <v>1341</v>
      </c>
      <c r="E14712" s="30" t="s">
        <v>20527</v>
      </c>
      <c r="F14712" s="34" t="n">
        <f aca="false">IFERROR(VLOOKUP($A14712,'319'!$B:$H,7,0),0)</f>
        <v>0</v>
      </c>
      <c r="G14712" s="34" t="n">
        <f aca="false">SUMIFS('12.326ana'!$C:$C,'12.326ana'!$M:$M,redes!A14712)</f>
        <v>0</v>
      </c>
    </row>
    <row r="14713" customFormat="false" ht="14.4" hidden="true" customHeight="false" outlineLevel="0" collapsed="false">
      <c r="A14713" s="34" t="n">
        <v>21992946000151</v>
      </c>
      <c r="B14713" s="34" t="s">
        <v>27505</v>
      </c>
      <c r="C14713" s="34" t="s">
        <v>1359</v>
      </c>
      <c r="E14713" s="30" t="s">
        <v>27506</v>
      </c>
      <c r="F14713" s="34" t="n">
        <f aca="false">IFERROR(VLOOKUP($A14713,'319'!$B:$H,7,0),0)</f>
        <v>0</v>
      </c>
      <c r="G14713" s="34" t="n">
        <f aca="false">SUMIFS('12.326ana'!$C:$C,'12.326ana'!$M:$M,redes!A14713)</f>
        <v>0</v>
      </c>
    </row>
    <row r="14714" customFormat="false" ht="14.4" hidden="true" customHeight="false" outlineLevel="0" collapsed="false">
      <c r="A14714" s="34" t="n">
        <v>21996240000168</v>
      </c>
      <c r="B14714" s="34" t="s">
        <v>27507</v>
      </c>
      <c r="C14714" s="34" t="s">
        <v>604</v>
      </c>
      <c r="E14714" s="30" t="s">
        <v>27508</v>
      </c>
      <c r="F14714" s="34" t="n">
        <f aca="false">IFERROR(VLOOKUP($A14714,'319'!$B:$H,7,0),0)</f>
        <v>0</v>
      </c>
      <c r="G14714" s="34" t="n">
        <f aca="false">SUMIFS('12.326ana'!$C:$C,'12.326ana'!$M:$M,redes!A14714)</f>
        <v>0</v>
      </c>
    </row>
    <row r="14715" customFormat="false" ht="14.4" hidden="true" customHeight="false" outlineLevel="0" collapsed="false">
      <c r="A14715" s="34" t="n">
        <v>21998706000164</v>
      </c>
      <c r="B14715" s="34" t="s">
        <v>27509</v>
      </c>
      <c r="C14715" s="34" t="s">
        <v>77</v>
      </c>
      <c r="E14715" s="30" t="s">
        <v>27509</v>
      </c>
      <c r="F14715" s="34" t="n">
        <f aca="false">IFERROR(VLOOKUP($A14715,'319'!$B:$H,7,0),0)</f>
        <v>0</v>
      </c>
      <c r="G14715" s="34" t="n">
        <f aca="false">SUMIFS('12.326ana'!$C:$C,'12.326ana'!$M:$M,redes!A14715)</f>
        <v>0</v>
      </c>
    </row>
    <row r="14716" customFormat="false" ht="14.4" hidden="true" customHeight="false" outlineLevel="0" collapsed="false">
      <c r="A14716" s="34" t="n">
        <v>21998957000149</v>
      </c>
      <c r="B14716" s="34" t="s">
        <v>27510</v>
      </c>
      <c r="C14716" s="34" t="s">
        <v>103</v>
      </c>
      <c r="E14716" s="30" t="s">
        <v>27511</v>
      </c>
      <c r="F14716" s="34" t="n">
        <f aca="false">IFERROR(VLOOKUP($A14716,'319'!$B:$H,7,0),0)</f>
        <v>0</v>
      </c>
      <c r="G14716" s="34" t="n">
        <f aca="false">SUMIFS('12.326ana'!$C:$C,'12.326ana'!$M:$M,redes!A14716)</f>
        <v>0</v>
      </c>
    </row>
    <row r="14717" customFormat="false" ht="14.4" hidden="true" customHeight="false" outlineLevel="0" collapsed="false">
      <c r="A14717" s="34" t="n">
        <v>22001106000142</v>
      </c>
      <c r="B14717" s="34" t="s">
        <v>27512</v>
      </c>
      <c r="C14717" s="34" t="s">
        <v>192</v>
      </c>
      <c r="E14717" s="30" t="s">
        <v>7828</v>
      </c>
      <c r="F14717" s="34" t="n">
        <f aca="false">IFERROR(VLOOKUP($A14717,'319'!$B:$H,7,0),0)</f>
        <v>0</v>
      </c>
      <c r="G14717" s="34" t="n">
        <f aca="false">SUMIFS('12.326ana'!$C:$C,'12.326ana'!$M:$M,redes!A14717)</f>
        <v>0</v>
      </c>
    </row>
    <row r="14718" customFormat="false" ht="14.4" hidden="true" customHeight="false" outlineLevel="0" collapsed="false">
      <c r="A14718" s="34" t="n">
        <v>22004406000185</v>
      </c>
      <c r="B14718" s="34" t="s">
        <v>27513</v>
      </c>
      <c r="C14718" s="34" t="s">
        <v>631</v>
      </c>
      <c r="E14718" s="30" t="s">
        <v>26655</v>
      </c>
      <c r="F14718" s="34" t="n">
        <f aca="false">IFERROR(VLOOKUP($A14718,'319'!$B:$H,7,0),0)</f>
        <v>0</v>
      </c>
      <c r="G14718" s="34" t="n">
        <f aca="false">SUMIFS('12.326ana'!$C:$C,'12.326ana'!$M:$M,redes!A14718)</f>
        <v>0</v>
      </c>
    </row>
    <row r="14719" customFormat="false" ht="14.4" hidden="true" customHeight="false" outlineLevel="0" collapsed="false">
      <c r="A14719" s="34" t="n">
        <v>22017283000117</v>
      </c>
      <c r="B14719" s="34" t="s">
        <v>27514</v>
      </c>
      <c r="C14719" s="34" t="s">
        <v>935</v>
      </c>
      <c r="E14719" s="30" t="s">
        <v>27515</v>
      </c>
      <c r="F14719" s="34" t="n">
        <f aca="false">IFERROR(VLOOKUP($A14719,'319'!$B:$H,7,0),0)</f>
        <v>0</v>
      </c>
      <c r="G14719" s="34" t="n">
        <f aca="false">SUMIFS('12.326ana'!$C:$C,'12.326ana'!$M:$M,redes!A14719)</f>
        <v>0</v>
      </c>
    </row>
    <row r="14720" customFormat="false" ht="14.4" hidden="true" customHeight="false" outlineLevel="0" collapsed="false">
      <c r="A14720" s="34" t="n">
        <v>22017731000182</v>
      </c>
      <c r="B14720" s="34" t="s">
        <v>27516</v>
      </c>
      <c r="C14720" s="34" t="s">
        <v>77</v>
      </c>
      <c r="E14720" s="30" t="s">
        <v>27517</v>
      </c>
      <c r="F14720" s="34" t="n">
        <f aca="false">IFERROR(VLOOKUP($A14720,'319'!$B:$H,7,0),0)</f>
        <v>0</v>
      </c>
      <c r="G14720" s="34" t="n">
        <f aca="false">SUMIFS('12.326ana'!$C:$C,'12.326ana'!$M:$M,redes!A14720)</f>
        <v>0</v>
      </c>
    </row>
    <row r="14721" customFormat="false" ht="14.4" hidden="true" customHeight="false" outlineLevel="0" collapsed="false">
      <c r="A14721" s="34" t="n">
        <v>22027714000126</v>
      </c>
      <c r="B14721" s="34" t="s">
        <v>27518</v>
      </c>
      <c r="C14721" s="34" t="s">
        <v>77</v>
      </c>
      <c r="E14721" s="30" t="s">
        <v>27519</v>
      </c>
      <c r="F14721" s="34" t="n">
        <f aca="false">IFERROR(VLOOKUP($A14721,'319'!$B:$H,7,0),0)</f>
        <v>0</v>
      </c>
      <c r="G14721" s="34" t="n">
        <f aca="false">SUMIFS('12.326ana'!$C:$C,'12.326ana'!$M:$M,redes!A14721)</f>
        <v>0</v>
      </c>
    </row>
    <row r="14722" customFormat="false" ht="14.4" hidden="true" customHeight="false" outlineLevel="0" collapsed="false">
      <c r="A14722" s="34" t="n">
        <v>22043247000128</v>
      </c>
      <c r="B14722" s="34" t="s">
        <v>27520</v>
      </c>
      <c r="C14722" s="34" t="s">
        <v>77</v>
      </c>
      <c r="E14722" s="30" t="s">
        <v>7582</v>
      </c>
      <c r="F14722" s="34" t="n">
        <f aca="false">IFERROR(VLOOKUP($A14722,'319'!$B:$H,7,0),0)</f>
        <v>0</v>
      </c>
      <c r="G14722" s="34" t="n">
        <f aca="false">SUMIFS('12.326ana'!$C:$C,'12.326ana'!$M:$M,redes!A14722)</f>
        <v>0</v>
      </c>
    </row>
    <row r="14723" customFormat="false" ht="14.4" hidden="true" customHeight="false" outlineLevel="0" collapsed="false">
      <c r="A14723" s="34" t="n">
        <v>22045361000197</v>
      </c>
      <c r="B14723" s="34" t="s">
        <v>27521</v>
      </c>
      <c r="C14723" s="34" t="s">
        <v>1272</v>
      </c>
      <c r="E14723" s="30" t="s">
        <v>27522</v>
      </c>
      <c r="F14723" s="34" t="n">
        <f aca="false">IFERROR(VLOOKUP($A14723,'319'!$B:$H,7,0),0)</f>
        <v>0</v>
      </c>
      <c r="G14723" s="34" t="n">
        <f aca="false">SUMIFS('12.326ana'!$C:$C,'12.326ana'!$M:$M,redes!A14723)</f>
        <v>0</v>
      </c>
    </row>
    <row r="14724" customFormat="false" ht="14.4" hidden="true" customHeight="false" outlineLevel="0" collapsed="false">
      <c r="A14724" s="34" t="n">
        <v>22045361000278</v>
      </c>
      <c r="B14724" s="34" t="s">
        <v>1271</v>
      </c>
      <c r="C14724" s="34" t="s">
        <v>1272</v>
      </c>
      <c r="E14724" s="30" t="s">
        <v>27523</v>
      </c>
      <c r="F14724" s="34" t="n">
        <f aca="false">IFERROR(VLOOKUP($A14724,'319'!$B:$H,7,0),0)</f>
        <v>278.5</v>
      </c>
      <c r="G14724" s="34" t="n">
        <f aca="false">SUMIFS('12.326ana'!$C:$C,'12.326ana'!$M:$M,redes!A14724)</f>
        <v>0</v>
      </c>
    </row>
    <row r="14725" customFormat="false" ht="14.4" hidden="true" customHeight="false" outlineLevel="0" collapsed="false">
      <c r="A14725" s="34" t="n">
        <v>22061736000293</v>
      </c>
      <c r="B14725" s="34" t="s">
        <v>27524</v>
      </c>
      <c r="C14725" s="34" t="s">
        <v>77</v>
      </c>
      <c r="E14725" s="30" t="s">
        <v>27524</v>
      </c>
      <c r="F14725" s="34" t="n">
        <f aca="false">IFERROR(VLOOKUP($A14725,'319'!$B:$H,7,0),0)</f>
        <v>0</v>
      </c>
      <c r="G14725" s="34" t="n">
        <f aca="false">SUMIFS('12.326ana'!$C:$C,'12.326ana'!$M:$M,redes!A14725)</f>
        <v>0</v>
      </c>
    </row>
    <row r="14726" customFormat="false" ht="14.4" hidden="true" customHeight="false" outlineLevel="0" collapsed="false">
      <c r="A14726" s="34" t="n">
        <v>22072859000149</v>
      </c>
      <c r="B14726" s="34" t="s">
        <v>27525</v>
      </c>
      <c r="C14726" s="34" t="s">
        <v>463</v>
      </c>
      <c r="E14726" s="30" t="s">
        <v>27526</v>
      </c>
      <c r="F14726" s="34" t="n">
        <f aca="false">IFERROR(VLOOKUP($A14726,'319'!$B:$H,7,0),0)</f>
        <v>0</v>
      </c>
      <c r="G14726" s="34" t="n">
        <f aca="false">SUMIFS('12.326ana'!$C:$C,'12.326ana'!$M:$M,redes!A14726)</f>
        <v>0</v>
      </c>
    </row>
    <row r="14727" customFormat="false" ht="14.4" hidden="true" customHeight="false" outlineLevel="0" collapsed="false">
      <c r="A14727" s="34" t="n">
        <v>22075362000184</v>
      </c>
      <c r="B14727" s="34" t="s">
        <v>27527</v>
      </c>
      <c r="C14727" s="34" t="s">
        <v>77</v>
      </c>
      <c r="E14727" s="30" t="s">
        <v>10068</v>
      </c>
      <c r="F14727" s="34" t="n">
        <f aca="false">IFERROR(VLOOKUP($A14727,'319'!$B:$H,7,0),0)</f>
        <v>0</v>
      </c>
      <c r="G14727" s="34" t="n">
        <f aca="false">SUMIFS('12.326ana'!$C:$C,'12.326ana'!$M:$M,redes!A14727)</f>
        <v>0</v>
      </c>
    </row>
    <row r="14728" customFormat="false" ht="14.4" hidden="true" customHeight="false" outlineLevel="0" collapsed="false">
      <c r="A14728" s="34" t="n">
        <v>22076104000112</v>
      </c>
      <c r="B14728" s="34" t="s">
        <v>27528</v>
      </c>
      <c r="C14728" s="34" t="s">
        <v>848</v>
      </c>
      <c r="E14728" s="30" t="s">
        <v>27529</v>
      </c>
      <c r="F14728" s="34" t="n">
        <f aca="false">IFERROR(VLOOKUP($A14728,'319'!$B:$H,7,0),0)</f>
        <v>0</v>
      </c>
      <c r="G14728" s="34" t="n">
        <f aca="false">SUMIFS('12.326ana'!$C:$C,'12.326ana'!$M:$M,redes!A14728)</f>
        <v>0</v>
      </c>
    </row>
    <row r="14729" customFormat="false" ht="14.4" hidden="true" customHeight="false" outlineLevel="0" collapsed="false">
      <c r="A14729" s="34" t="n">
        <v>22081300000185</v>
      </c>
      <c r="B14729" s="34" t="s">
        <v>27530</v>
      </c>
      <c r="C14729" s="34" t="s">
        <v>77</v>
      </c>
      <c r="E14729" s="30" t="s">
        <v>27531</v>
      </c>
      <c r="F14729" s="34" t="n">
        <f aca="false">IFERROR(VLOOKUP($A14729,'319'!$B:$H,7,0),0)</f>
        <v>0</v>
      </c>
      <c r="G14729" s="34" t="n">
        <f aca="false">SUMIFS('12.326ana'!$C:$C,'12.326ana'!$M:$M,redes!A14729)</f>
        <v>0</v>
      </c>
    </row>
    <row r="14730" customFormat="false" ht="14.4" hidden="true" customHeight="false" outlineLevel="0" collapsed="false">
      <c r="A14730" s="34" t="n">
        <v>22090125000192</v>
      </c>
      <c r="B14730" s="34" t="s">
        <v>27532</v>
      </c>
      <c r="C14730" s="34" t="s">
        <v>197</v>
      </c>
      <c r="E14730" s="30" t="s">
        <v>27533</v>
      </c>
      <c r="F14730" s="34" t="n">
        <f aca="false">IFERROR(VLOOKUP($A14730,'319'!$B:$H,7,0),0)</f>
        <v>0</v>
      </c>
      <c r="G14730" s="34" t="n">
        <f aca="false">SUMIFS('12.326ana'!$C:$C,'12.326ana'!$M:$M,redes!A14730)</f>
        <v>0</v>
      </c>
    </row>
    <row r="14731" customFormat="false" ht="14.4" hidden="true" customHeight="false" outlineLevel="0" collapsed="false">
      <c r="A14731" s="34" t="n">
        <v>22093484000284</v>
      </c>
      <c r="B14731" s="34" t="s">
        <v>27534</v>
      </c>
      <c r="C14731" s="34" t="s">
        <v>12298</v>
      </c>
      <c r="E14731" s="30" t="s">
        <v>27535</v>
      </c>
      <c r="F14731" s="34" t="n">
        <f aca="false">IFERROR(VLOOKUP($A14731,'319'!$B:$H,7,0),0)</f>
        <v>0</v>
      </c>
      <c r="G14731" s="34" t="n">
        <f aca="false">SUMIFS('12.326ana'!$C:$C,'12.326ana'!$M:$M,redes!A14731)</f>
        <v>0</v>
      </c>
    </row>
    <row r="14732" customFormat="false" ht="14.4" hidden="true" customHeight="false" outlineLevel="0" collapsed="false">
      <c r="A14732" s="34" t="n">
        <v>22103991000170</v>
      </c>
      <c r="B14732" s="34" t="s">
        <v>27536</v>
      </c>
      <c r="C14732" s="34" t="s">
        <v>1602</v>
      </c>
      <c r="E14732" s="30" t="s">
        <v>27537</v>
      </c>
      <c r="F14732" s="34" t="n">
        <f aca="false">IFERROR(VLOOKUP($A14732,'319'!$B:$H,7,0),0)</f>
        <v>0</v>
      </c>
      <c r="G14732" s="34" t="n">
        <f aca="false">SUMIFS('12.326ana'!$C:$C,'12.326ana'!$M:$M,redes!A14732)</f>
        <v>0</v>
      </c>
    </row>
    <row r="14733" customFormat="false" ht="14.4" hidden="true" customHeight="false" outlineLevel="0" collapsed="false">
      <c r="A14733" s="34" t="n">
        <v>22111263000100</v>
      </c>
      <c r="B14733" s="34" t="s">
        <v>27538</v>
      </c>
      <c r="C14733" s="34" t="s">
        <v>77</v>
      </c>
      <c r="E14733" s="30" t="s">
        <v>27539</v>
      </c>
      <c r="F14733" s="34" t="n">
        <f aca="false">IFERROR(VLOOKUP($A14733,'319'!$B:$H,7,0),0)</f>
        <v>287.51</v>
      </c>
      <c r="G14733" s="34" t="n">
        <f aca="false">SUMIFS('12.326ana'!$C:$C,'12.326ana'!$M:$M,redes!A14733)</f>
        <v>0</v>
      </c>
    </row>
    <row r="14734" customFormat="false" ht="14.4" hidden="true" customHeight="false" outlineLevel="0" collapsed="false">
      <c r="A14734" s="34" t="n">
        <v>22121846000112</v>
      </c>
      <c r="B14734" s="34" t="s">
        <v>27540</v>
      </c>
      <c r="C14734" s="34" t="s">
        <v>77</v>
      </c>
      <c r="E14734" s="30" t="s">
        <v>27541</v>
      </c>
      <c r="F14734" s="34" t="n">
        <f aca="false">IFERROR(VLOOKUP($A14734,'319'!$B:$H,7,0),0)</f>
        <v>0</v>
      </c>
      <c r="G14734" s="34" t="n">
        <f aca="false">SUMIFS('12.326ana'!$C:$C,'12.326ana'!$M:$M,redes!A14734)</f>
        <v>0</v>
      </c>
    </row>
    <row r="14735" customFormat="false" ht="14.4" hidden="true" customHeight="false" outlineLevel="0" collapsed="false">
      <c r="A14735" s="34" t="n">
        <v>22127289000147</v>
      </c>
      <c r="B14735" s="34" t="s">
        <v>27542</v>
      </c>
      <c r="C14735" s="34" t="s">
        <v>77</v>
      </c>
      <c r="E14735" s="30" t="s">
        <v>27543</v>
      </c>
      <c r="F14735" s="34" t="n">
        <f aca="false">IFERROR(VLOOKUP($A14735,'319'!$B:$H,7,0),0)</f>
        <v>0</v>
      </c>
      <c r="G14735" s="34" t="n">
        <f aca="false">SUMIFS('12.326ana'!$C:$C,'12.326ana'!$M:$M,redes!A14735)</f>
        <v>0</v>
      </c>
    </row>
    <row r="14736" customFormat="false" ht="14.4" hidden="true" customHeight="false" outlineLevel="0" collapsed="false">
      <c r="A14736" s="34" t="n">
        <v>22132154000170</v>
      </c>
      <c r="B14736" s="34" t="s">
        <v>27544</v>
      </c>
      <c r="C14736" s="34" t="s">
        <v>77</v>
      </c>
      <c r="E14736" s="30" t="s">
        <v>27545</v>
      </c>
      <c r="F14736" s="34" t="n">
        <f aca="false">IFERROR(VLOOKUP($A14736,'319'!$B:$H,7,0),0)</f>
        <v>0</v>
      </c>
      <c r="G14736" s="34" t="n">
        <f aca="false">SUMIFS('12.326ana'!$C:$C,'12.326ana'!$M:$M,redes!A14736)</f>
        <v>0</v>
      </c>
    </row>
    <row r="14737" customFormat="false" ht="14.4" hidden="true" customHeight="false" outlineLevel="0" collapsed="false">
      <c r="A14737" s="34" t="n">
        <v>22138894000113</v>
      </c>
      <c r="B14737" s="34" t="s">
        <v>27546</v>
      </c>
      <c r="C14737" s="34" t="s">
        <v>737</v>
      </c>
      <c r="E14737" s="30" t="s">
        <v>27547</v>
      </c>
      <c r="F14737" s="34" t="n">
        <f aca="false">IFERROR(VLOOKUP($A14737,'319'!$B:$H,7,0),0)</f>
        <v>0</v>
      </c>
      <c r="G14737" s="34" t="n">
        <f aca="false">SUMIFS('12.326ana'!$C:$C,'12.326ana'!$M:$M,redes!A14737)</f>
        <v>0</v>
      </c>
    </row>
    <row r="14738" customFormat="false" ht="14.4" hidden="true" customHeight="false" outlineLevel="0" collapsed="false">
      <c r="A14738" s="34" t="n">
        <v>22140801000195</v>
      </c>
      <c r="B14738" s="34" t="s">
        <v>27548</v>
      </c>
      <c r="C14738" s="34" t="s">
        <v>77</v>
      </c>
      <c r="E14738" s="30" t="s">
        <v>27549</v>
      </c>
      <c r="F14738" s="34" t="n">
        <f aca="false">IFERROR(VLOOKUP($A14738,'319'!$B:$H,7,0),0)</f>
        <v>0</v>
      </c>
      <c r="G14738" s="34" t="n">
        <f aca="false">SUMIFS('12.326ana'!$C:$C,'12.326ana'!$M:$M,redes!A14738)</f>
        <v>0</v>
      </c>
    </row>
    <row r="14739" customFormat="false" ht="14.4" hidden="true" customHeight="false" outlineLevel="0" collapsed="false">
      <c r="A14739" s="34" t="n">
        <v>22146602000194</v>
      </c>
      <c r="B14739" s="34" t="s">
        <v>27550</v>
      </c>
      <c r="C14739" s="34" t="s">
        <v>77</v>
      </c>
      <c r="E14739" s="30" t="s">
        <v>27550</v>
      </c>
      <c r="F14739" s="34" t="n">
        <f aca="false">IFERROR(VLOOKUP($A14739,'319'!$B:$H,7,0),0)</f>
        <v>0</v>
      </c>
      <c r="G14739" s="34" t="n">
        <f aca="false">SUMIFS('12.326ana'!$C:$C,'12.326ana'!$M:$M,redes!A14739)</f>
        <v>0</v>
      </c>
    </row>
    <row r="14740" customFormat="false" ht="14.4" hidden="true" customHeight="false" outlineLevel="0" collapsed="false">
      <c r="A14740" s="34" t="n">
        <v>22156625000180</v>
      </c>
      <c r="B14740" s="34" t="s">
        <v>27551</v>
      </c>
      <c r="C14740" s="34" t="s">
        <v>213</v>
      </c>
      <c r="E14740" s="30" t="s">
        <v>27552</v>
      </c>
      <c r="F14740" s="34" t="n">
        <f aca="false">IFERROR(VLOOKUP($A14740,'319'!$B:$H,7,0),0)</f>
        <v>0</v>
      </c>
      <c r="G14740" s="34" t="n">
        <f aca="false">SUMIFS('12.326ana'!$C:$C,'12.326ana'!$M:$M,redes!A14740)</f>
        <v>0</v>
      </c>
    </row>
    <row r="14741" customFormat="false" ht="14.4" hidden="true" customHeight="false" outlineLevel="0" collapsed="false">
      <c r="A14741" s="34" t="n">
        <v>22167223000180</v>
      </c>
      <c r="B14741" s="34" t="s">
        <v>27553</v>
      </c>
      <c r="C14741" s="34" t="s">
        <v>77</v>
      </c>
      <c r="E14741" s="30" t="s">
        <v>23531</v>
      </c>
      <c r="F14741" s="34" t="n">
        <f aca="false">IFERROR(VLOOKUP($A14741,'319'!$B:$H,7,0),0)</f>
        <v>0</v>
      </c>
      <c r="G14741" s="34" t="n">
        <f aca="false">SUMIFS('12.326ana'!$C:$C,'12.326ana'!$M:$M,redes!A14741)</f>
        <v>0</v>
      </c>
    </row>
    <row r="14742" customFormat="false" ht="14.4" hidden="true" customHeight="false" outlineLevel="0" collapsed="false">
      <c r="A14742" s="34" t="n">
        <v>22172794000103</v>
      </c>
      <c r="B14742" s="34" t="s">
        <v>27554</v>
      </c>
      <c r="C14742" s="34" t="s">
        <v>77</v>
      </c>
      <c r="E14742" s="30" t="s">
        <v>27555</v>
      </c>
      <c r="F14742" s="34" t="n">
        <f aca="false">IFERROR(VLOOKUP($A14742,'319'!$B:$H,7,0),0)</f>
        <v>0</v>
      </c>
      <c r="G14742" s="34" t="n">
        <f aca="false">SUMIFS('12.326ana'!$C:$C,'12.326ana'!$M:$M,redes!A14742)</f>
        <v>0</v>
      </c>
    </row>
    <row r="14743" customFormat="false" ht="14.4" hidden="true" customHeight="false" outlineLevel="0" collapsed="false">
      <c r="A14743" s="34" t="n">
        <v>22174867000368</v>
      </c>
      <c r="B14743" s="34" t="s">
        <v>27556</v>
      </c>
      <c r="C14743" s="34" t="s">
        <v>77</v>
      </c>
      <c r="E14743" s="30" t="s">
        <v>27557</v>
      </c>
      <c r="F14743" s="34" t="n">
        <f aca="false">IFERROR(VLOOKUP($A14743,'319'!$B:$H,7,0),0)</f>
        <v>0</v>
      </c>
      <c r="G14743" s="34" t="n">
        <f aca="false">SUMIFS('12.326ana'!$C:$C,'12.326ana'!$M:$M,redes!A14743)</f>
        <v>0</v>
      </c>
    </row>
    <row r="14744" customFormat="false" ht="14.4" hidden="true" customHeight="false" outlineLevel="0" collapsed="false">
      <c r="A14744" s="34" t="n">
        <v>22191189000180</v>
      </c>
      <c r="B14744" s="34" t="s">
        <v>27558</v>
      </c>
      <c r="C14744" s="34" t="s">
        <v>463</v>
      </c>
      <c r="E14744" s="30" t="s">
        <v>27559</v>
      </c>
      <c r="F14744" s="34" t="n">
        <f aca="false">IFERROR(VLOOKUP($A14744,'319'!$B:$H,7,0),0)</f>
        <v>0</v>
      </c>
      <c r="G14744" s="34" t="n">
        <f aca="false">SUMIFS('12.326ana'!$C:$C,'12.326ana'!$M:$M,redes!A14744)</f>
        <v>0</v>
      </c>
    </row>
    <row r="14745" customFormat="false" ht="14.4" hidden="true" customHeight="false" outlineLevel="0" collapsed="false">
      <c r="A14745" s="34" t="n">
        <v>22191309000149</v>
      </c>
      <c r="B14745" s="34" t="s">
        <v>27560</v>
      </c>
      <c r="C14745" s="34" t="s">
        <v>207</v>
      </c>
      <c r="E14745" s="30" t="s">
        <v>27561</v>
      </c>
      <c r="F14745" s="34" t="n">
        <f aca="false">IFERROR(VLOOKUP($A14745,'319'!$B:$H,7,0),0)</f>
        <v>0</v>
      </c>
      <c r="G14745" s="34" t="n">
        <f aca="false">SUMIFS('12.326ana'!$C:$C,'12.326ana'!$M:$M,redes!A14745)</f>
        <v>0</v>
      </c>
    </row>
    <row r="14746" customFormat="false" ht="14.4" hidden="true" customHeight="false" outlineLevel="0" collapsed="false">
      <c r="A14746" s="34" t="n">
        <v>22206207000150</v>
      </c>
      <c r="B14746" s="34" t="s">
        <v>27562</v>
      </c>
      <c r="C14746" s="34" t="s">
        <v>604</v>
      </c>
      <c r="E14746" s="30" t="s">
        <v>27563</v>
      </c>
      <c r="F14746" s="34" t="n">
        <f aca="false">IFERROR(VLOOKUP($A14746,'319'!$B:$H,7,0),0)</f>
        <v>0</v>
      </c>
      <c r="G14746" s="34" t="n">
        <f aca="false">SUMIFS('12.326ana'!$C:$C,'12.326ana'!$M:$M,redes!A14746)</f>
        <v>0</v>
      </c>
    </row>
    <row r="14747" customFormat="false" ht="14.4" hidden="true" customHeight="false" outlineLevel="0" collapsed="false">
      <c r="A14747" s="34" t="n">
        <v>22208297000118</v>
      </c>
      <c r="B14747" s="34" t="s">
        <v>27564</v>
      </c>
      <c r="C14747" s="34" t="s">
        <v>192</v>
      </c>
      <c r="E14747" s="30" t="s">
        <v>27565</v>
      </c>
      <c r="F14747" s="34" t="n">
        <f aca="false">IFERROR(VLOOKUP($A14747,'319'!$B:$H,7,0),0)</f>
        <v>0</v>
      </c>
      <c r="G14747" s="34" t="n">
        <f aca="false">SUMIFS('12.326ana'!$C:$C,'12.326ana'!$M:$M,redes!A14747)</f>
        <v>0</v>
      </c>
    </row>
    <row r="14748" customFormat="false" ht="14.4" hidden="true" customHeight="false" outlineLevel="0" collapsed="false">
      <c r="A14748" s="34" t="n">
        <v>22216540000140</v>
      </c>
      <c r="B14748" s="34" t="s">
        <v>27566</v>
      </c>
      <c r="C14748" s="34" t="s">
        <v>77</v>
      </c>
      <c r="E14748" s="30" t="s">
        <v>27567</v>
      </c>
      <c r="F14748" s="34" t="n">
        <f aca="false">IFERROR(VLOOKUP($A14748,'319'!$B:$H,7,0),0)</f>
        <v>0</v>
      </c>
      <c r="G14748" s="34" t="n">
        <f aca="false">SUMIFS('12.326ana'!$C:$C,'12.326ana'!$M:$M,redes!A14748)</f>
        <v>0</v>
      </c>
    </row>
    <row r="14749" customFormat="false" ht="14.4" hidden="true" customHeight="false" outlineLevel="0" collapsed="false">
      <c r="A14749" s="34" t="n">
        <v>22225939000197</v>
      </c>
      <c r="B14749" s="34" t="s">
        <v>27568</v>
      </c>
      <c r="C14749" s="34" t="s">
        <v>139</v>
      </c>
      <c r="E14749" s="30" t="s">
        <v>27569</v>
      </c>
      <c r="F14749" s="34" t="n">
        <f aca="false">IFERROR(VLOOKUP($A14749,'319'!$B:$H,7,0),0)</f>
        <v>0</v>
      </c>
      <c r="G14749" s="34" t="n">
        <f aca="false">SUMIFS('12.326ana'!$C:$C,'12.326ana'!$M:$M,redes!A14749)</f>
        <v>0</v>
      </c>
    </row>
    <row r="14750" customFormat="false" ht="14.4" hidden="true" customHeight="false" outlineLevel="0" collapsed="false">
      <c r="A14750" s="34" t="n">
        <v>22234816000112</v>
      </c>
      <c r="B14750" s="34" t="s">
        <v>27570</v>
      </c>
      <c r="C14750" s="34" t="s">
        <v>377</v>
      </c>
      <c r="E14750" s="30" t="s">
        <v>27571</v>
      </c>
      <c r="F14750" s="34" t="n">
        <f aca="false">IFERROR(VLOOKUP($A14750,'319'!$B:$H,7,0),0)</f>
        <v>0</v>
      </c>
      <c r="G14750" s="34" t="n">
        <f aca="false">SUMIFS('12.326ana'!$C:$C,'12.326ana'!$M:$M,redes!A14750)</f>
        <v>0</v>
      </c>
    </row>
    <row r="14751" customFormat="false" ht="14.4" hidden="true" customHeight="false" outlineLevel="0" collapsed="false">
      <c r="A14751" s="34" t="n">
        <v>22243891000140</v>
      </c>
      <c r="B14751" s="34" t="s">
        <v>27572</v>
      </c>
      <c r="C14751" s="34" t="s">
        <v>103</v>
      </c>
      <c r="E14751" s="30" t="s">
        <v>27573</v>
      </c>
      <c r="F14751" s="34" t="n">
        <f aca="false">IFERROR(VLOOKUP($A14751,'319'!$B:$H,7,0),0)</f>
        <v>0</v>
      </c>
      <c r="G14751" s="34" t="n">
        <f aca="false">SUMIFS('12.326ana'!$C:$C,'12.326ana'!$M:$M,redes!A14751)</f>
        <v>0</v>
      </c>
    </row>
    <row r="14752" customFormat="false" ht="14.4" hidden="true" customHeight="false" outlineLevel="0" collapsed="false">
      <c r="A14752" s="34" t="n">
        <v>22257154000104</v>
      </c>
      <c r="B14752" s="34" t="s">
        <v>27574</v>
      </c>
      <c r="C14752" s="34" t="s">
        <v>77</v>
      </c>
      <c r="E14752" s="30" t="s">
        <v>27575</v>
      </c>
      <c r="F14752" s="34" t="n">
        <f aca="false">IFERROR(VLOOKUP($A14752,'319'!$B:$H,7,0),0)</f>
        <v>0</v>
      </c>
      <c r="G14752" s="34" t="n">
        <f aca="false">SUMIFS('12.326ana'!$C:$C,'12.326ana'!$M:$M,redes!A14752)</f>
        <v>0</v>
      </c>
    </row>
    <row r="14753" customFormat="false" ht="14.4" hidden="true" customHeight="false" outlineLevel="0" collapsed="false">
      <c r="A14753" s="34" t="n">
        <v>22263878000152</v>
      </c>
      <c r="B14753" s="34" t="s">
        <v>27576</v>
      </c>
      <c r="C14753" s="34" t="s">
        <v>103</v>
      </c>
      <c r="E14753" s="30" t="s">
        <v>27577</v>
      </c>
      <c r="F14753" s="34" t="n">
        <f aca="false">IFERROR(VLOOKUP($A14753,'319'!$B:$H,7,0),0)</f>
        <v>0</v>
      </c>
      <c r="G14753" s="34" t="n">
        <f aca="false">SUMIFS('12.326ana'!$C:$C,'12.326ana'!$M:$M,redes!A14753)</f>
        <v>0</v>
      </c>
    </row>
    <row r="14754" customFormat="false" ht="14.4" hidden="true" customHeight="false" outlineLevel="0" collapsed="false">
      <c r="A14754" s="34" t="n">
        <v>22275397000167</v>
      </c>
      <c r="B14754" s="34" t="s">
        <v>4572</v>
      </c>
      <c r="C14754" s="34" t="s">
        <v>77</v>
      </c>
      <c r="E14754" s="30" t="s">
        <v>4572</v>
      </c>
      <c r="F14754" s="34" t="n">
        <f aca="false">IFERROR(VLOOKUP($A14754,'319'!$B:$H,7,0),0)</f>
        <v>0</v>
      </c>
      <c r="G14754" s="34" t="n">
        <f aca="false">SUMIFS('12.326ana'!$C:$C,'12.326ana'!$M:$M,redes!A14754)</f>
        <v>0</v>
      </c>
    </row>
    <row r="14755" customFormat="false" ht="14.4" hidden="true" customHeight="false" outlineLevel="0" collapsed="false">
      <c r="A14755" s="34" t="n">
        <v>22275923000199</v>
      </c>
      <c r="B14755" s="34" t="s">
        <v>27578</v>
      </c>
      <c r="C14755" s="34" t="s">
        <v>77</v>
      </c>
      <c r="E14755" s="30" t="s">
        <v>27579</v>
      </c>
      <c r="F14755" s="34" t="n">
        <f aca="false">IFERROR(VLOOKUP($A14755,'319'!$B:$H,7,0),0)</f>
        <v>0</v>
      </c>
      <c r="G14755" s="34" t="n">
        <f aca="false">SUMIFS('12.326ana'!$C:$C,'12.326ana'!$M:$M,redes!A14755)</f>
        <v>0</v>
      </c>
    </row>
    <row r="14756" customFormat="false" ht="14.4" hidden="true" customHeight="false" outlineLevel="0" collapsed="false">
      <c r="A14756" s="34" t="n">
        <v>22275923000270</v>
      </c>
      <c r="B14756" s="34" t="s">
        <v>27580</v>
      </c>
      <c r="C14756" s="34" t="s">
        <v>77</v>
      </c>
      <c r="E14756" s="30" t="s">
        <v>27579</v>
      </c>
      <c r="F14756" s="34" t="n">
        <f aca="false">IFERROR(VLOOKUP($A14756,'319'!$B:$H,7,0),0)</f>
        <v>0</v>
      </c>
      <c r="G14756" s="34" t="n">
        <f aca="false">SUMIFS('12.326ana'!$C:$C,'12.326ana'!$M:$M,redes!A14756)</f>
        <v>0</v>
      </c>
    </row>
    <row r="14757" customFormat="false" ht="14.4" hidden="true" customHeight="false" outlineLevel="0" collapsed="false">
      <c r="A14757" s="34" t="n">
        <v>22275923000350</v>
      </c>
      <c r="B14757" s="34" t="s">
        <v>27578</v>
      </c>
      <c r="C14757" s="34" t="s">
        <v>77</v>
      </c>
      <c r="E14757" s="30" t="s">
        <v>27579</v>
      </c>
      <c r="F14757" s="34" t="n">
        <f aca="false">IFERROR(VLOOKUP($A14757,'319'!$B:$H,7,0),0)</f>
        <v>0</v>
      </c>
      <c r="G14757" s="34" t="n">
        <f aca="false">SUMIFS('12.326ana'!$C:$C,'12.326ana'!$M:$M,redes!A14757)</f>
        <v>0</v>
      </c>
    </row>
    <row r="14758" customFormat="false" ht="14.4" hidden="true" customHeight="false" outlineLevel="0" collapsed="false">
      <c r="A14758" s="34" t="n">
        <v>22275923000431</v>
      </c>
      <c r="B14758" s="34" t="s">
        <v>27578</v>
      </c>
      <c r="C14758" s="34" t="s">
        <v>77</v>
      </c>
      <c r="E14758" s="30" t="s">
        <v>27579</v>
      </c>
      <c r="F14758" s="34" t="n">
        <f aca="false">IFERROR(VLOOKUP($A14758,'319'!$B:$H,7,0),0)</f>
        <v>0</v>
      </c>
      <c r="G14758" s="34" t="n">
        <f aca="false">SUMIFS('12.326ana'!$C:$C,'12.326ana'!$M:$M,redes!A14758)</f>
        <v>0</v>
      </c>
    </row>
    <row r="14759" customFormat="false" ht="14.4" hidden="true" customHeight="false" outlineLevel="0" collapsed="false">
      <c r="A14759" s="34" t="n">
        <v>22275923000512</v>
      </c>
      <c r="B14759" s="34" t="s">
        <v>27578</v>
      </c>
      <c r="C14759" s="34" t="s">
        <v>77</v>
      </c>
      <c r="E14759" s="30" t="s">
        <v>27579</v>
      </c>
      <c r="F14759" s="34" t="n">
        <f aca="false">IFERROR(VLOOKUP($A14759,'319'!$B:$H,7,0),0)</f>
        <v>0</v>
      </c>
      <c r="G14759" s="34" t="n">
        <f aca="false">SUMIFS('12.326ana'!$C:$C,'12.326ana'!$M:$M,redes!A14759)</f>
        <v>0</v>
      </c>
    </row>
    <row r="14760" customFormat="false" ht="14.4" hidden="true" customHeight="false" outlineLevel="0" collapsed="false">
      <c r="A14760" s="34" t="n">
        <v>22279470000179</v>
      </c>
      <c r="B14760" s="34" t="s">
        <v>27581</v>
      </c>
      <c r="C14760" s="34" t="s">
        <v>478</v>
      </c>
      <c r="E14760" s="30" t="s">
        <v>27582</v>
      </c>
      <c r="F14760" s="34" t="n">
        <f aca="false">IFERROR(VLOOKUP($A14760,'319'!$B:$H,7,0),0)</f>
        <v>0</v>
      </c>
      <c r="G14760" s="34" t="n">
        <f aca="false">SUMIFS('12.326ana'!$C:$C,'12.326ana'!$M:$M,redes!A14760)</f>
        <v>0</v>
      </c>
    </row>
    <row r="14761" customFormat="false" ht="14.4" hidden="true" customHeight="false" outlineLevel="0" collapsed="false">
      <c r="A14761" s="34" t="n">
        <v>22289301000110</v>
      </c>
      <c r="B14761" s="34" t="s">
        <v>9800</v>
      </c>
      <c r="C14761" s="34" t="s">
        <v>1680</v>
      </c>
      <c r="E14761" s="30" t="s">
        <v>27583</v>
      </c>
      <c r="F14761" s="34" t="n">
        <f aca="false">IFERROR(VLOOKUP($A14761,'319'!$B:$H,7,0),0)</f>
        <v>63.08</v>
      </c>
      <c r="G14761" s="34" t="n">
        <f aca="false">SUMIFS('12.326ana'!$C:$C,'12.326ana'!$M:$M,redes!A14761)</f>
        <v>0</v>
      </c>
    </row>
    <row r="14762" customFormat="false" ht="14.4" hidden="true" customHeight="false" outlineLevel="0" collapsed="false">
      <c r="A14762" s="34" t="n">
        <v>22296548000163</v>
      </c>
      <c r="B14762" s="34" t="s">
        <v>27584</v>
      </c>
      <c r="C14762" s="34" t="s">
        <v>197</v>
      </c>
      <c r="E14762" s="30" t="s">
        <v>27585</v>
      </c>
      <c r="F14762" s="34" t="n">
        <f aca="false">IFERROR(VLOOKUP($A14762,'319'!$B:$H,7,0),0)</f>
        <v>0</v>
      </c>
      <c r="G14762" s="34" t="n">
        <f aca="false">SUMIFS('12.326ana'!$C:$C,'12.326ana'!$M:$M,redes!A14762)</f>
        <v>0</v>
      </c>
    </row>
    <row r="14763" customFormat="false" ht="14.4" hidden="true" customHeight="false" outlineLevel="0" collapsed="false">
      <c r="A14763" s="34" t="n">
        <v>22305550000151</v>
      </c>
      <c r="B14763" s="34" t="s">
        <v>27586</v>
      </c>
      <c r="C14763" s="34" t="s">
        <v>77</v>
      </c>
      <c r="E14763" s="30" t="s">
        <v>5134</v>
      </c>
      <c r="F14763" s="34" t="n">
        <f aca="false">IFERROR(VLOOKUP($A14763,'319'!$B:$H,7,0),0)</f>
        <v>0</v>
      </c>
      <c r="G14763" s="34" t="n">
        <f aca="false">SUMIFS('12.326ana'!$C:$C,'12.326ana'!$M:$M,redes!A14763)</f>
        <v>0</v>
      </c>
    </row>
    <row r="14764" customFormat="false" ht="14.4" hidden="true" customHeight="false" outlineLevel="0" collapsed="false">
      <c r="A14764" s="34" t="n">
        <v>22305763000183</v>
      </c>
      <c r="B14764" s="34" t="s">
        <v>27587</v>
      </c>
      <c r="C14764" s="34" t="s">
        <v>77</v>
      </c>
      <c r="E14764" s="30" t="s">
        <v>27588</v>
      </c>
      <c r="F14764" s="34" t="n">
        <f aca="false">IFERROR(VLOOKUP($A14764,'319'!$B:$H,7,0),0)</f>
        <v>0</v>
      </c>
      <c r="G14764" s="34" t="n">
        <f aca="false">SUMIFS('12.326ana'!$C:$C,'12.326ana'!$M:$M,redes!A14764)</f>
        <v>0</v>
      </c>
    </row>
    <row r="14765" customFormat="false" ht="14.4" hidden="true" customHeight="false" outlineLevel="0" collapsed="false">
      <c r="A14765" s="34" t="n">
        <v>22307120000179</v>
      </c>
      <c r="B14765" s="34" t="s">
        <v>27589</v>
      </c>
      <c r="C14765" s="34" t="s">
        <v>954</v>
      </c>
      <c r="E14765" s="30" t="s">
        <v>27590</v>
      </c>
      <c r="F14765" s="34" t="n">
        <f aca="false">IFERROR(VLOOKUP($A14765,'319'!$B:$H,7,0),0)</f>
        <v>0</v>
      </c>
      <c r="G14765" s="34" t="n">
        <f aca="false">SUMIFS('12.326ana'!$C:$C,'12.326ana'!$M:$M,redes!A14765)</f>
        <v>0</v>
      </c>
    </row>
    <row r="14766" customFormat="false" ht="14.4" hidden="true" customHeight="false" outlineLevel="0" collapsed="false">
      <c r="A14766" s="34" t="n">
        <v>22311746000159</v>
      </c>
      <c r="B14766" s="34" t="s">
        <v>27591</v>
      </c>
      <c r="C14766" s="34" t="s">
        <v>77</v>
      </c>
      <c r="E14766" s="30" t="s">
        <v>27592</v>
      </c>
      <c r="F14766" s="34" t="n">
        <f aca="false">IFERROR(VLOOKUP($A14766,'319'!$B:$H,7,0),0)</f>
        <v>0</v>
      </c>
      <c r="G14766" s="34" t="n">
        <f aca="false">SUMIFS('12.326ana'!$C:$C,'12.326ana'!$M:$M,redes!A14766)</f>
        <v>0</v>
      </c>
    </row>
    <row r="14767" customFormat="false" ht="14.4" hidden="true" customHeight="false" outlineLevel="0" collapsed="false">
      <c r="A14767" s="34" t="n">
        <v>22313107000122</v>
      </c>
      <c r="B14767" s="34" t="s">
        <v>27593</v>
      </c>
      <c r="C14767" s="34" t="s">
        <v>139</v>
      </c>
      <c r="E14767" s="30" t="s">
        <v>27594</v>
      </c>
      <c r="F14767" s="34" t="n">
        <f aca="false">IFERROR(VLOOKUP($A14767,'319'!$B:$H,7,0),0)</f>
        <v>0</v>
      </c>
      <c r="G14767" s="34" t="n">
        <f aca="false">SUMIFS('12.326ana'!$C:$C,'12.326ana'!$M:$M,redes!A14767)</f>
        <v>0</v>
      </c>
    </row>
    <row r="14768" customFormat="false" ht="14.4" hidden="true" customHeight="false" outlineLevel="0" collapsed="false">
      <c r="A14768" s="34" t="n">
        <v>22313277000107</v>
      </c>
      <c r="B14768" s="34" t="s">
        <v>27595</v>
      </c>
      <c r="C14768" s="34" t="s">
        <v>103</v>
      </c>
      <c r="E14768" s="30" t="s">
        <v>3788</v>
      </c>
      <c r="F14768" s="34" t="n">
        <f aca="false">IFERROR(VLOOKUP($A14768,'319'!$B:$H,7,0),0)</f>
        <v>0</v>
      </c>
      <c r="G14768" s="34" t="n">
        <f aca="false">SUMIFS('12.326ana'!$C:$C,'12.326ana'!$M:$M,redes!A14768)</f>
        <v>0</v>
      </c>
    </row>
    <row r="14769" customFormat="false" ht="14.4" hidden="true" customHeight="false" outlineLevel="0" collapsed="false">
      <c r="A14769" s="34" t="n">
        <v>22313301000108</v>
      </c>
      <c r="B14769" s="34" t="s">
        <v>27596</v>
      </c>
      <c r="C14769" s="34" t="s">
        <v>103</v>
      </c>
      <c r="E14769" s="30" t="s">
        <v>21809</v>
      </c>
      <c r="F14769" s="34" t="n">
        <f aca="false">IFERROR(VLOOKUP($A14769,'319'!$B:$H,7,0),0)</f>
        <v>0</v>
      </c>
      <c r="G14769" s="34" t="n">
        <f aca="false">SUMIFS('12.326ana'!$C:$C,'12.326ana'!$M:$M,redes!A14769)</f>
        <v>0</v>
      </c>
    </row>
    <row r="14770" customFormat="false" ht="14.4" hidden="true" customHeight="false" outlineLevel="0" collapsed="false">
      <c r="A14770" s="34" t="n">
        <v>22327036000117</v>
      </c>
      <c r="B14770" s="34" t="s">
        <v>27597</v>
      </c>
      <c r="C14770" s="34" t="s">
        <v>77</v>
      </c>
      <c r="E14770" s="30" t="s">
        <v>27598</v>
      </c>
      <c r="F14770" s="34" t="n">
        <f aca="false">IFERROR(VLOOKUP($A14770,'319'!$B:$H,7,0),0)</f>
        <v>0</v>
      </c>
      <c r="G14770" s="34" t="n">
        <f aca="false">SUMIFS('12.326ana'!$C:$C,'12.326ana'!$M:$M,redes!A14770)</f>
        <v>0</v>
      </c>
    </row>
    <row r="14771" customFormat="false" ht="14.4" hidden="true" customHeight="false" outlineLevel="0" collapsed="false">
      <c r="A14771" s="34" t="n">
        <v>22329590000133</v>
      </c>
      <c r="B14771" s="34" t="s">
        <v>27599</v>
      </c>
      <c r="C14771" s="34" t="s">
        <v>77</v>
      </c>
      <c r="E14771" s="30" t="s">
        <v>27600</v>
      </c>
      <c r="F14771" s="34" t="n">
        <f aca="false">IFERROR(VLOOKUP($A14771,'319'!$B:$H,7,0),0)</f>
        <v>0</v>
      </c>
      <c r="G14771" s="34" t="n">
        <f aca="false">SUMIFS('12.326ana'!$C:$C,'12.326ana'!$M:$M,redes!A14771)</f>
        <v>0</v>
      </c>
    </row>
    <row r="14772" customFormat="false" ht="14.4" hidden="true" customHeight="false" outlineLevel="0" collapsed="false">
      <c r="A14772" s="34" t="n">
        <v>22338319000164</v>
      </c>
      <c r="B14772" s="34" t="s">
        <v>27601</v>
      </c>
      <c r="C14772" s="34" t="s">
        <v>994</v>
      </c>
      <c r="E14772" s="30" t="s">
        <v>27602</v>
      </c>
      <c r="F14772" s="34" t="n">
        <f aca="false">IFERROR(VLOOKUP($A14772,'319'!$B:$H,7,0),0)</f>
        <v>0</v>
      </c>
      <c r="G14772" s="34" t="n">
        <f aca="false">SUMIFS('12.326ana'!$C:$C,'12.326ana'!$M:$M,redes!A14772)</f>
        <v>0</v>
      </c>
    </row>
    <row r="14773" customFormat="false" ht="14.4" hidden="true" customHeight="false" outlineLevel="0" collapsed="false">
      <c r="A14773" s="34" t="n">
        <v>22356633000170</v>
      </c>
      <c r="B14773" s="34" t="s">
        <v>27603</v>
      </c>
      <c r="C14773" s="34" t="s">
        <v>357</v>
      </c>
      <c r="E14773" s="30" t="s">
        <v>27604</v>
      </c>
      <c r="F14773" s="34" t="n">
        <f aca="false">IFERROR(VLOOKUP($A14773,'319'!$B:$H,7,0),0)</f>
        <v>0</v>
      </c>
      <c r="G14773" s="34" t="n">
        <f aca="false">SUMIFS('12.326ana'!$C:$C,'12.326ana'!$M:$M,redes!A14773)</f>
        <v>0</v>
      </c>
    </row>
    <row r="14774" customFormat="false" ht="14.4" hidden="true" customHeight="false" outlineLevel="0" collapsed="false">
      <c r="A14774" s="34" t="n">
        <v>22362517000163</v>
      </c>
      <c r="B14774" s="34" t="s">
        <v>27605</v>
      </c>
      <c r="C14774" s="34" t="s">
        <v>77</v>
      </c>
      <c r="E14774" s="30" t="s">
        <v>27606</v>
      </c>
      <c r="F14774" s="34" t="n">
        <f aca="false">IFERROR(VLOOKUP($A14774,'319'!$B:$H,7,0),0)</f>
        <v>0</v>
      </c>
      <c r="G14774" s="34" t="n">
        <f aca="false">SUMIFS('12.326ana'!$C:$C,'12.326ana'!$M:$M,redes!A14774)</f>
        <v>0</v>
      </c>
    </row>
    <row r="14775" customFormat="false" ht="14.4" hidden="true" customHeight="false" outlineLevel="0" collapsed="false">
      <c r="A14775" s="34" t="n">
        <v>22368430000101</v>
      </c>
      <c r="B14775" s="34" t="s">
        <v>27607</v>
      </c>
      <c r="C14775" s="34" t="s">
        <v>336</v>
      </c>
      <c r="E14775" s="30" t="s">
        <v>3194</v>
      </c>
      <c r="F14775" s="34" t="n">
        <f aca="false">IFERROR(VLOOKUP($A14775,'319'!$B:$H,7,0),0)</f>
        <v>0</v>
      </c>
      <c r="G14775" s="34" t="n">
        <f aca="false">SUMIFS('12.326ana'!$C:$C,'12.326ana'!$M:$M,redes!A14775)</f>
        <v>0</v>
      </c>
    </row>
    <row r="14776" customFormat="false" ht="14.4" hidden="true" customHeight="false" outlineLevel="0" collapsed="false">
      <c r="A14776" s="34" t="n">
        <v>22398173000142</v>
      </c>
      <c r="B14776" s="34" t="s">
        <v>27608</v>
      </c>
      <c r="C14776" s="34" t="s">
        <v>848</v>
      </c>
      <c r="E14776" s="30" t="s">
        <v>27609</v>
      </c>
      <c r="F14776" s="34" t="n">
        <f aca="false">IFERROR(VLOOKUP($A14776,'319'!$B:$H,7,0),0)</f>
        <v>0</v>
      </c>
      <c r="G14776" s="34" t="n">
        <f aca="false">SUMIFS('12.326ana'!$C:$C,'12.326ana'!$M:$M,redes!A14776)</f>
        <v>0</v>
      </c>
    </row>
    <row r="14777" customFormat="false" ht="14.4" hidden="true" customHeight="false" outlineLevel="0" collapsed="false">
      <c r="A14777" s="34" t="n">
        <v>22404880000102</v>
      </c>
      <c r="B14777" s="34" t="s">
        <v>27610</v>
      </c>
      <c r="C14777" s="34" t="s">
        <v>994</v>
      </c>
      <c r="E14777" s="30" t="s">
        <v>27611</v>
      </c>
      <c r="F14777" s="34" t="n">
        <f aca="false">IFERROR(VLOOKUP($A14777,'319'!$B:$H,7,0),0)</f>
        <v>0</v>
      </c>
      <c r="G14777" s="34" t="n">
        <f aca="false">SUMIFS('12.326ana'!$C:$C,'12.326ana'!$M:$M,redes!A14777)</f>
        <v>0</v>
      </c>
    </row>
    <row r="14778" customFormat="false" ht="14.4" hidden="true" customHeight="false" outlineLevel="0" collapsed="false">
      <c r="A14778" s="34" t="n">
        <v>22406088000189</v>
      </c>
      <c r="B14778" s="34" t="s">
        <v>27612</v>
      </c>
      <c r="C14778" s="34" t="s">
        <v>77</v>
      </c>
      <c r="E14778" s="30" t="s">
        <v>27613</v>
      </c>
      <c r="F14778" s="34" t="n">
        <f aca="false">IFERROR(VLOOKUP($A14778,'319'!$B:$H,7,0),0)</f>
        <v>0</v>
      </c>
      <c r="G14778" s="34" t="n">
        <f aca="false">SUMIFS('12.326ana'!$C:$C,'12.326ana'!$M:$M,redes!A14778)</f>
        <v>0</v>
      </c>
    </row>
    <row r="14779" customFormat="false" ht="14.4" hidden="true" customHeight="false" outlineLevel="0" collapsed="false">
      <c r="A14779" s="34" t="n">
        <v>22406491000108</v>
      </c>
      <c r="B14779" s="34" t="s">
        <v>27614</v>
      </c>
      <c r="C14779" s="34" t="s">
        <v>89</v>
      </c>
      <c r="E14779" s="30" t="s">
        <v>27615</v>
      </c>
      <c r="F14779" s="34" t="n">
        <f aca="false">IFERROR(VLOOKUP($A14779,'319'!$B:$H,7,0),0)</f>
        <v>0</v>
      </c>
      <c r="G14779" s="34" t="n">
        <f aca="false">SUMIFS('12.326ana'!$C:$C,'12.326ana'!$M:$M,redes!A14779)</f>
        <v>0</v>
      </c>
    </row>
    <row r="14780" customFormat="false" ht="14.4" hidden="true" customHeight="false" outlineLevel="0" collapsed="false">
      <c r="A14780" s="34" t="n">
        <v>22407382000105</v>
      </c>
      <c r="B14780" s="34" t="s">
        <v>27616</v>
      </c>
      <c r="C14780" s="34" t="s">
        <v>77</v>
      </c>
      <c r="E14780" s="30" t="s">
        <v>27617</v>
      </c>
      <c r="F14780" s="34" t="n">
        <f aca="false">IFERROR(VLOOKUP($A14780,'319'!$B:$H,7,0),0)</f>
        <v>0</v>
      </c>
      <c r="G14780" s="34" t="n">
        <f aca="false">SUMIFS('12.326ana'!$C:$C,'12.326ana'!$M:$M,redes!A14780)</f>
        <v>0</v>
      </c>
    </row>
    <row r="14781" customFormat="false" ht="14.4" hidden="true" customHeight="false" outlineLevel="0" collapsed="false">
      <c r="A14781" s="34" t="n">
        <v>22417580000150</v>
      </c>
      <c r="B14781" s="34" t="s">
        <v>27618</v>
      </c>
      <c r="C14781" s="34" t="s">
        <v>562</v>
      </c>
      <c r="E14781" s="30" t="s">
        <v>27619</v>
      </c>
      <c r="F14781" s="34" t="n">
        <f aca="false">IFERROR(VLOOKUP($A14781,'319'!$B:$H,7,0),0)</f>
        <v>0</v>
      </c>
      <c r="G14781" s="34" t="n">
        <f aca="false">SUMIFS('12.326ana'!$C:$C,'12.326ana'!$M:$M,redes!A14781)</f>
        <v>0</v>
      </c>
    </row>
    <row r="14782" customFormat="false" ht="14.4" hidden="true" customHeight="false" outlineLevel="0" collapsed="false">
      <c r="A14782" s="34" t="n">
        <v>22422052000199</v>
      </c>
      <c r="B14782" s="34" t="s">
        <v>27620</v>
      </c>
      <c r="C14782" s="34" t="s">
        <v>357</v>
      </c>
      <c r="E14782" s="30" t="s">
        <v>27621</v>
      </c>
      <c r="F14782" s="34" t="n">
        <f aca="false">IFERROR(VLOOKUP($A14782,'319'!$B:$H,7,0),0)</f>
        <v>0</v>
      </c>
      <c r="G14782" s="34" t="n">
        <f aca="false">SUMIFS('12.326ana'!$C:$C,'12.326ana'!$M:$M,redes!A14782)</f>
        <v>0</v>
      </c>
    </row>
    <row r="14783" customFormat="false" ht="14.4" hidden="true" customHeight="false" outlineLevel="0" collapsed="false">
      <c r="A14783" s="34" t="n">
        <v>22431721000199</v>
      </c>
      <c r="B14783" s="34" t="s">
        <v>27622</v>
      </c>
      <c r="C14783" s="34" t="s">
        <v>192</v>
      </c>
      <c r="E14783" s="30" t="s">
        <v>21481</v>
      </c>
      <c r="F14783" s="34" t="n">
        <f aca="false">IFERROR(VLOOKUP($A14783,'319'!$B:$H,7,0),0)</f>
        <v>0</v>
      </c>
      <c r="G14783" s="34" t="n">
        <f aca="false">SUMIFS('12.326ana'!$C:$C,'12.326ana'!$M:$M,redes!A14783)</f>
        <v>0</v>
      </c>
    </row>
    <row r="14784" customFormat="false" ht="14.4" hidden="true" customHeight="false" outlineLevel="0" collapsed="false">
      <c r="A14784" s="34" t="n">
        <v>22437189000117</v>
      </c>
      <c r="B14784" s="34" t="s">
        <v>27623</v>
      </c>
      <c r="C14784" s="34" t="s">
        <v>4829</v>
      </c>
      <c r="E14784" s="30" t="s">
        <v>27624</v>
      </c>
      <c r="F14784" s="34" t="n">
        <f aca="false">IFERROR(VLOOKUP($A14784,'319'!$B:$H,7,0),0)</f>
        <v>0</v>
      </c>
      <c r="G14784" s="34" t="n">
        <f aca="false">SUMIFS('12.326ana'!$C:$C,'12.326ana'!$M:$M,redes!A14784)</f>
        <v>0</v>
      </c>
    </row>
    <row r="14785" customFormat="false" ht="14.4" hidden="true" customHeight="false" outlineLevel="0" collapsed="false">
      <c r="A14785" s="34" t="n">
        <v>22441041000156</v>
      </c>
      <c r="B14785" s="34" t="s">
        <v>27625</v>
      </c>
      <c r="C14785" s="34" t="s">
        <v>77</v>
      </c>
      <c r="E14785" s="30" t="s">
        <v>27625</v>
      </c>
      <c r="F14785" s="34" t="n">
        <f aca="false">IFERROR(VLOOKUP($A14785,'319'!$B:$H,7,0),0)</f>
        <v>0</v>
      </c>
      <c r="G14785" s="34" t="n">
        <f aca="false">SUMIFS('12.326ana'!$C:$C,'12.326ana'!$M:$M,redes!A14785)</f>
        <v>0</v>
      </c>
    </row>
    <row r="14786" customFormat="false" ht="14.4" hidden="true" customHeight="false" outlineLevel="0" collapsed="false">
      <c r="A14786" s="34" t="n">
        <v>22454658000106</v>
      </c>
      <c r="B14786" s="34" t="s">
        <v>5000</v>
      </c>
      <c r="C14786" s="34" t="s">
        <v>77</v>
      </c>
      <c r="E14786" s="30" t="s">
        <v>27626</v>
      </c>
      <c r="F14786" s="34" t="n">
        <f aca="false">IFERROR(VLOOKUP($A14786,'319'!$B:$H,7,0),0)</f>
        <v>0</v>
      </c>
      <c r="G14786" s="34" t="n">
        <f aca="false">SUMIFS('12.326ana'!$C:$C,'12.326ana'!$M:$M,redes!A14786)</f>
        <v>0</v>
      </c>
    </row>
    <row r="14787" customFormat="false" ht="14.4" hidden="true" customHeight="false" outlineLevel="0" collapsed="false">
      <c r="A14787" s="34" t="n">
        <v>22486637000172</v>
      </c>
      <c r="B14787" s="34" t="s">
        <v>27627</v>
      </c>
      <c r="C14787" s="34" t="s">
        <v>139</v>
      </c>
      <c r="E14787" s="30" t="s">
        <v>27628</v>
      </c>
      <c r="F14787" s="34" t="n">
        <f aca="false">IFERROR(VLOOKUP($A14787,'319'!$B:$H,7,0),0)</f>
        <v>0</v>
      </c>
      <c r="G14787" s="34" t="n">
        <f aca="false">SUMIFS('12.326ana'!$C:$C,'12.326ana'!$M:$M,redes!A14787)</f>
        <v>0</v>
      </c>
    </row>
    <row r="14788" customFormat="false" ht="14.4" hidden="true" customHeight="false" outlineLevel="0" collapsed="false">
      <c r="A14788" s="34" t="n">
        <v>22489683000125</v>
      </c>
      <c r="B14788" s="34" t="s">
        <v>23509</v>
      </c>
      <c r="C14788" s="34" t="s">
        <v>107</v>
      </c>
      <c r="E14788" s="30" t="s">
        <v>27629</v>
      </c>
      <c r="F14788" s="34" t="n">
        <f aca="false">IFERROR(VLOOKUP($A14788,'319'!$B:$H,7,0),0)</f>
        <v>0</v>
      </c>
      <c r="G14788" s="34" t="n">
        <f aca="false">SUMIFS('12.326ana'!$C:$C,'12.326ana'!$M:$M,redes!A14788)</f>
        <v>0</v>
      </c>
    </row>
    <row r="14789" customFormat="false" ht="14.4" hidden="true" customHeight="false" outlineLevel="0" collapsed="false">
      <c r="A14789" s="34" t="n">
        <v>22491972000169</v>
      </c>
      <c r="B14789" s="34" t="s">
        <v>27630</v>
      </c>
      <c r="C14789" s="34" t="s">
        <v>77</v>
      </c>
      <c r="E14789" s="30" t="s">
        <v>27198</v>
      </c>
      <c r="F14789" s="34" t="n">
        <f aca="false">IFERROR(VLOOKUP($A14789,'319'!$B:$H,7,0),0)</f>
        <v>0</v>
      </c>
      <c r="G14789" s="34" t="n">
        <f aca="false">SUMIFS('12.326ana'!$C:$C,'12.326ana'!$M:$M,redes!A14789)</f>
        <v>0</v>
      </c>
    </row>
    <row r="14790" customFormat="false" ht="14.4" hidden="true" customHeight="false" outlineLevel="0" collapsed="false">
      <c r="A14790" s="34" t="n">
        <v>22498069000120</v>
      </c>
      <c r="B14790" s="34" t="s">
        <v>27631</v>
      </c>
      <c r="C14790" s="34" t="s">
        <v>77</v>
      </c>
      <c r="E14790" s="30" t="s">
        <v>27632</v>
      </c>
      <c r="F14790" s="34" t="n">
        <f aca="false">IFERROR(VLOOKUP($A14790,'319'!$B:$H,7,0),0)</f>
        <v>0</v>
      </c>
      <c r="G14790" s="34" t="n">
        <f aca="false">SUMIFS('12.326ana'!$C:$C,'12.326ana'!$M:$M,redes!A14790)</f>
        <v>0</v>
      </c>
    </row>
    <row r="14791" customFormat="false" ht="14.4" hidden="true" customHeight="false" outlineLevel="0" collapsed="false">
      <c r="A14791" s="34" t="n">
        <v>22517400000101</v>
      </c>
      <c r="B14791" s="34" t="s">
        <v>27633</v>
      </c>
      <c r="C14791" s="34" t="s">
        <v>77</v>
      </c>
      <c r="E14791" s="30" t="s">
        <v>14178</v>
      </c>
      <c r="F14791" s="34" t="n">
        <f aca="false">IFERROR(VLOOKUP($A14791,'319'!$B:$H,7,0),0)</f>
        <v>0</v>
      </c>
      <c r="G14791" s="34" t="n">
        <f aca="false">SUMIFS('12.326ana'!$C:$C,'12.326ana'!$M:$M,redes!A14791)</f>
        <v>0</v>
      </c>
    </row>
    <row r="14792" customFormat="false" ht="14.4" hidden="true" customHeight="false" outlineLevel="0" collapsed="false">
      <c r="A14792" s="34" t="n">
        <v>22524472000186</v>
      </c>
      <c r="B14792" s="34" t="s">
        <v>27634</v>
      </c>
      <c r="C14792" s="34" t="s">
        <v>77</v>
      </c>
      <c r="E14792" s="30" t="s">
        <v>27635</v>
      </c>
      <c r="F14792" s="34" t="n">
        <f aca="false">IFERROR(VLOOKUP($A14792,'319'!$B:$H,7,0),0)</f>
        <v>0</v>
      </c>
      <c r="G14792" s="34" t="n">
        <f aca="false">SUMIFS('12.326ana'!$C:$C,'12.326ana'!$M:$M,redes!A14792)</f>
        <v>0</v>
      </c>
    </row>
    <row r="14793" customFormat="false" ht="14.4" hidden="true" customHeight="false" outlineLevel="0" collapsed="false">
      <c r="A14793" s="34" t="n">
        <v>22527221000155</v>
      </c>
      <c r="B14793" s="34" t="s">
        <v>27636</v>
      </c>
      <c r="C14793" s="34" t="s">
        <v>77</v>
      </c>
      <c r="E14793" s="30" t="s">
        <v>27637</v>
      </c>
      <c r="F14793" s="34" t="n">
        <f aca="false">IFERROR(VLOOKUP($A14793,'319'!$B:$H,7,0),0)</f>
        <v>0</v>
      </c>
      <c r="G14793" s="34" t="n">
        <f aca="false">SUMIFS('12.326ana'!$C:$C,'12.326ana'!$M:$M,redes!A14793)</f>
        <v>0</v>
      </c>
    </row>
    <row r="14794" customFormat="false" ht="14.4" hidden="true" customHeight="false" outlineLevel="0" collapsed="false">
      <c r="A14794" s="34" t="n">
        <v>22527580000102</v>
      </c>
      <c r="B14794" s="34" t="s">
        <v>27638</v>
      </c>
      <c r="C14794" s="34" t="s">
        <v>107</v>
      </c>
      <c r="E14794" s="30" t="s">
        <v>4010</v>
      </c>
      <c r="F14794" s="34" t="n">
        <f aca="false">IFERROR(VLOOKUP($A14794,'319'!$B:$H,7,0),0)</f>
        <v>0</v>
      </c>
      <c r="G14794" s="34" t="n">
        <f aca="false">SUMIFS('12.326ana'!$C:$C,'12.326ana'!$M:$M,redes!A14794)</f>
        <v>0</v>
      </c>
    </row>
    <row r="14795" customFormat="false" ht="14.4" hidden="true" customHeight="false" outlineLevel="0" collapsed="false">
      <c r="A14795" s="34" t="n">
        <v>22528058000145</v>
      </c>
      <c r="B14795" s="34" t="s">
        <v>27639</v>
      </c>
      <c r="C14795" s="34" t="s">
        <v>1054</v>
      </c>
      <c r="E14795" s="30" t="s">
        <v>7584</v>
      </c>
      <c r="F14795" s="34" t="n">
        <f aca="false">IFERROR(VLOOKUP($A14795,'319'!$B:$H,7,0),0)</f>
        <v>0</v>
      </c>
      <c r="G14795" s="34" t="n">
        <f aca="false">SUMIFS('12.326ana'!$C:$C,'12.326ana'!$M:$M,redes!A14795)</f>
        <v>0</v>
      </c>
    </row>
    <row r="14796" customFormat="false" ht="14.4" hidden="true" customHeight="false" outlineLevel="0" collapsed="false">
      <c r="A14796" s="34" t="n">
        <v>22528397000121</v>
      </c>
      <c r="B14796" s="34" t="s">
        <v>27640</v>
      </c>
      <c r="C14796" s="34" t="s">
        <v>77</v>
      </c>
      <c r="E14796" s="30" t="s">
        <v>27641</v>
      </c>
      <c r="F14796" s="34" t="n">
        <f aca="false">IFERROR(VLOOKUP($A14796,'319'!$B:$H,7,0),0)</f>
        <v>0</v>
      </c>
      <c r="G14796" s="34" t="n">
        <f aca="false">SUMIFS('12.326ana'!$C:$C,'12.326ana'!$M:$M,redes!A14796)</f>
        <v>0</v>
      </c>
    </row>
    <row r="14797" customFormat="false" ht="14.4" hidden="true" customHeight="false" outlineLevel="0" collapsed="false">
      <c r="A14797" s="34" t="n">
        <v>22528895000174</v>
      </c>
      <c r="B14797" s="34" t="s">
        <v>27642</v>
      </c>
      <c r="C14797" s="34" t="s">
        <v>594</v>
      </c>
      <c r="E14797" s="30" t="s">
        <v>27643</v>
      </c>
      <c r="F14797" s="34" t="n">
        <f aca="false">IFERROR(VLOOKUP($A14797,'319'!$B:$H,7,0),0)</f>
        <v>0</v>
      </c>
      <c r="G14797" s="34" t="n">
        <f aca="false">SUMIFS('12.326ana'!$C:$C,'12.326ana'!$M:$M,redes!A14797)</f>
        <v>0</v>
      </c>
    </row>
    <row r="14798" customFormat="false" ht="14.4" hidden="true" customHeight="false" outlineLevel="0" collapsed="false">
      <c r="A14798" s="34" t="n">
        <v>22537043000143</v>
      </c>
      <c r="B14798" s="34" t="s">
        <v>27644</v>
      </c>
      <c r="C14798" s="34" t="s">
        <v>107</v>
      </c>
      <c r="E14798" s="30" t="s">
        <v>27645</v>
      </c>
      <c r="F14798" s="34" t="n">
        <f aca="false">IFERROR(VLOOKUP($A14798,'319'!$B:$H,7,0),0)</f>
        <v>0</v>
      </c>
      <c r="G14798" s="34" t="n">
        <f aca="false">SUMIFS('12.326ana'!$C:$C,'12.326ana'!$M:$M,redes!A14798)</f>
        <v>0</v>
      </c>
    </row>
    <row r="14799" customFormat="false" ht="14.4" hidden="true" customHeight="false" outlineLevel="0" collapsed="false">
      <c r="A14799" s="34" t="n">
        <v>22537727000145</v>
      </c>
      <c r="B14799" s="34" t="s">
        <v>27646</v>
      </c>
      <c r="C14799" s="34" t="s">
        <v>77</v>
      </c>
      <c r="E14799" s="30" t="s">
        <v>27647</v>
      </c>
      <c r="F14799" s="34" t="n">
        <f aca="false">IFERROR(VLOOKUP($A14799,'319'!$B:$H,7,0),0)</f>
        <v>0</v>
      </c>
      <c r="G14799" s="34" t="n">
        <f aca="false">SUMIFS('12.326ana'!$C:$C,'12.326ana'!$M:$M,redes!A14799)</f>
        <v>0</v>
      </c>
    </row>
    <row r="14800" customFormat="false" ht="14.4" hidden="true" customHeight="false" outlineLevel="0" collapsed="false">
      <c r="A14800" s="34" t="n">
        <v>22547205000124</v>
      </c>
      <c r="B14800" s="34" t="s">
        <v>27648</v>
      </c>
      <c r="C14800" s="34" t="s">
        <v>463</v>
      </c>
      <c r="E14800" s="30" t="s">
        <v>27649</v>
      </c>
      <c r="F14800" s="34" t="n">
        <f aca="false">IFERROR(VLOOKUP($A14800,'319'!$B:$H,7,0),0)</f>
        <v>0</v>
      </c>
      <c r="G14800" s="34" t="n">
        <f aca="false">SUMIFS('12.326ana'!$C:$C,'12.326ana'!$M:$M,redes!A14800)</f>
        <v>0</v>
      </c>
    </row>
    <row r="14801" customFormat="false" ht="14.4" hidden="true" customHeight="false" outlineLevel="0" collapsed="false">
      <c r="A14801" s="34" t="n">
        <v>22552635000134</v>
      </c>
      <c r="B14801" s="34" t="s">
        <v>27650</v>
      </c>
      <c r="C14801" s="34" t="s">
        <v>77</v>
      </c>
      <c r="E14801" s="30" t="s">
        <v>23972</v>
      </c>
      <c r="F14801" s="34" t="n">
        <f aca="false">IFERROR(VLOOKUP($A14801,'319'!$B:$H,7,0),0)</f>
        <v>0</v>
      </c>
      <c r="G14801" s="34" t="n">
        <f aca="false">SUMIFS('12.326ana'!$C:$C,'12.326ana'!$M:$M,redes!A14801)</f>
        <v>0</v>
      </c>
    </row>
    <row r="14802" customFormat="false" ht="14.4" hidden="true" customHeight="false" outlineLevel="0" collapsed="false">
      <c r="A14802" s="34" t="n">
        <v>22556115000108</v>
      </c>
      <c r="B14802" s="34" t="s">
        <v>946</v>
      </c>
      <c r="C14802" s="34" t="s">
        <v>77</v>
      </c>
      <c r="E14802" s="30" t="s">
        <v>27651</v>
      </c>
      <c r="F14802" s="34" t="n">
        <f aca="false">IFERROR(VLOOKUP($A14802,'319'!$B:$H,7,0),0)</f>
        <v>1166.82</v>
      </c>
      <c r="G14802" s="34" t="n">
        <f aca="false">SUMIFS('12.326ana'!$C:$C,'12.326ana'!$M:$M,redes!A14802)</f>
        <v>0</v>
      </c>
    </row>
    <row r="14803" customFormat="false" ht="14.4" hidden="true" customHeight="false" outlineLevel="0" collapsed="false">
      <c r="A14803" s="34" t="n">
        <v>22581017000112</v>
      </c>
      <c r="B14803" s="34" t="s">
        <v>27652</v>
      </c>
      <c r="C14803" s="34" t="s">
        <v>463</v>
      </c>
      <c r="E14803" s="30" t="s">
        <v>27653</v>
      </c>
      <c r="F14803" s="34" t="n">
        <f aca="false">IFERROR(VLOOKUP($A14803,'319'!$B:$H,7,0),0)</f>
        <v>0</v>
      </c>
      <c r="G14803" s="34" t="n">
        <f aca="false">SUMIFS('12.326ana'!$C:$C,'12.326ana'!$M:$M,redes!A14803)</f>
        <v>0</v>
      </c>
    </row>
    <row r="14804" customFormat="false" ht="14.4" hidden="true" customHeight="false" outlineLevel="0" collapsed="false">
      <c r="A14804" s="34" t="n">
        <v>22587739000184</v>
      </c>
      <c r="B14804" s="34" t="s">
        <v>27654</v>
      </c>
      <c r="C14804" s="34" t="s">
        <v>604</v>
      </c>
      <c r="E14804" s="30" t="s">
        <v>3337</v>
      </c>
      <c r="F14804" s="34" t="n">
        <f aca="false">IFERROR(VLOOKUP($A14804,'319'!$B:$H,7,0),0)</f>
        <v>0</v>
      </c>
      <c r="G14804" s="34" t="n">
        <f aca="false">SUMIFS('12.326ana'!$C:$C,'12.326ana'!$M:$M,redes!A14804)</f>
        <v>0</v>
      </c>
    </row>
    <row r="14805" customFormat="false" ht="14.4" hidden="true" customHeight="false" outlineLevel="0" collapsed="false">
      <c r="A14805" s="34" t="n">
        <v>22590154000113</v>
      </c>
      <c r="B14805" s="34" t="s">
        <v>27655</v>
      </c>
      <c r="C14805" s="34" t="s">
        <v>107</v>
      </c>
      <c r="E14805" s="30" t="s">
        <v>27656</v>
      </c>
      <c r="F14805" s="34" t="n">
        <f aca="false">IFERROR(VLOOKUP($A14805,'319'!$B:$H,7,0),0)</f>
        <v>0</v>
      </c>
      <c r="G14805" s="34" t="n">
        <f aca="false">SUMIFS('12.326ana'!$C:$C,'12.326ana'!$M:$M,redes!A14805)</f>
        <v>0</v>
      </c>
    </row>
    <row r="14806" customFormat="false" ht="14.4" hidden="true" customHeight="false" outlineLevel="0" collapsed="false">
      <c r="A14806" s="34" t="n">
        <v>22590573000155</v>
      </c>
      <c r="B14806" s="34" t="s">
        <v>27657</v>
      </c>
      <c r="C14806" s="34" t="s">
        <v>77</v>
      </c>
      <c r="E14806" s="30" t="s">
        <v>27658</v>
      </c>
      <c r="F14806" s="34" t="n">
        <f aca="false">IFERROR(VLOOKUP($A14806,'319'!$B:$H,7,0),0)</f>
        <v>0</v>
      </c>
      <c r="G14806" s="34" t="n">
        <f aca="false">SUMIFS('12.326ana'!$C:$C,'12.326ana'!$M:$M,redes!A14806)</f>
        <v>0</v>
      </c>
    </row>
    <row r="14807" customFormat="false" ht="14.4" hidden="true" customHeight="false" outlineLevel="0" collapsed="false">
      <c r="A14807" s="34" t="n">
        <v>22593712000102</v>
      </c>
      <c r="B14807" s="34" t="s">
        <v>1386</v>
      </c>
      <c r="C14807" s="34" t="s">
        <v>103</v>
      </c>
      <c r="E14807" s="30" t="s">
        <v>3090</v>
      </c>
      <c r="F14807" s="34" t="n">
        <f aca="false">IFERROR(VLOOKUP($A14807,'319'!$B:$H,7,0),0)</f>
        <v>246.63</v>
      </c>
      <c r="G14807" s="34" t="n">
        <f aca="false">SUMIFS('12.326ana'!$C:$C,'12.326ana'!$M:$M,redes!A14807)</f>
        <v>0</v>
      </c>
    </row>
    <row r="14808" customFormat="false" ht="14.4" hidden="true" customHeight="false" outlineLevel="0" collapsed="false">
      <c r="A14808" s="34" t="n">
        <v>22596882000132</v>
      </c>
      <c r="B14808" s="34" t="s">
        <v>27659</v>
      </c>
      <c r="C14808" s="34" t="s">
        <v>1272</v>
      </c>
      <c r="E14808" s="30" t="s">
        <v>23024</v>
      </c>
      <c r="F14808" s="34" t="n">
        <f aca="false">IFERROR(VLOOKUP($A14808,'319'!$B:$H,7,0),0)</f>
        <v>0</v>
      </c>
      <c r="G14808" s="34" t="n">
        <f aca="false">SUMIFS('12.326ana'!$C:$C,'12.326ana'!$M:$M,redes!A14808)</f>
        <v>0</v>
      </c>
    </row>
    <row r="14809" customFormat="false" ht="14.4" hidden="true" customHeight="false" outlineLevel="0" collapsed="false">
      <c r="A14809" s="34" t="n">
        <v>22597912000125</v>
      </c>
      <c r="B14809" s="34" t="s">
        <v>27660</v>
      </c>
      <c r="C14809" s="34" t="s">
        <v>89</v>
      </c>
      <c r="E14809" s="30" t="s">
        <v>27661</v>
      </c>
      <c r="F14809" s="34" t="n">
        <f aca="false">IFERROR(VLOOKUP($A14809,'319'!$B:$H,7,0),0)</f>
        <v>0</v>
      </c>
      <c r="G14809" s="34" t="n">
        <f aca="false">SUMIFS('12.326ana'!$C:$C,'12.326ana'!$M:$M,redes!A14809)</f>
        <v>0</v>
      </c>
    </row>
    <row r="14810" customFormat="false" ht="14.4" hidden="true" customHeight="false" outlineLevel="0" collapsed="false">
      <c r="A14810" s="34" t="n">
        <v>22604535000104</v>
      </c>
      <c r="B14810" s="34" t="s">
        <v>27662</v>
      </c>
      <c r="C14810" s="34" t="s">
        <v>107</v>
      </c>
      <c r="E14810" s="30" t="s">
        <v>27663</v>
      </c>
      <c r="F14810" s="34" t="n">
        <f aca="false">IFERROR(VLOOKUP($A14810,'319'!$B:$H,7,0),0)</f>
        <v>0</v>
      </c>
      <c r="G14810" s="34" t="n">
        <f aca="false">SUMIFS('12.326ana'!$C:$C,'12.326ana'!$M:$M,redes!A14810)</f>
        <v>0</v>
      </c>
    </row>
    <row r="14811" customFormat="false" ht="14.4" hidden="true" customHeight="false" outlineLevel="0" collapsed="false">
      <c r="A14811" s="34" t="n">
        <v>22607579000198</v>
      </c>
      <c r="B14811" s="34" t="s">
        <v>27664</v>
      </c>
      <c r="C14811" s="34" t="s">
        <v>107</v>
      </c>
      <c r="E14811" s="30" t="s">
        <v>27665</v>
      </c>
      <c r="F14811" s="34" t="n">
        <f aca="false">IFERROR(VLOOKUP($A14811,'319'!$B:$H,7,0),0)</f>
        <v>0</v>
      </c>
      <c r="G14811" s="34" t="n">
        <f aca="false">SUMIFS('12.326ana'!$C:$C,'12.326ana'!$M:$M,redes!A14811)</f>
        <v>0</v>
      </c>
    </row>
    <row r="14812" customFormat="false" ht="14.4" hidden="true" customHeight="false" outlineLevel="0" collapsed="false">
      <c r="A14812" s="34" t="n">
        <v>22608660000192</v>
      </c>
      <c r="B14812" s="34" t="s">
        <v>27666</v>
      </c>
      <c r="C14812" s="34" t="s">
        <v>781</v>
      </c>
      <c r="E14812" s="30" t="s">
        <v>27667</v>
      </c>
      <c r="F14812" s="34" t="n">
        <f aca="false">IFERROR(VLOOKUP($A14812,'319'!$B:$H,7,0),0)</f>
        <v>0</v>
      </c>
      <c r="G14812" s="34" t="n">
        <f aca="false">SUMIFS('12.326ana'!$C:$C,'12.326ana'!$M:$M,redes!A14812)</f>
        <v>0</v>
      </c>
    </row>
    <row r="14813" customFormat="false" ht="14.4" hidden="true" customHeight="false" outlineLevel="0" collapsed="false">
      <c r="A14813" s="34" t="n">
        <v>22635565000188</v>
      </c>
      <c r="B14813" s="34" t="s">
        <v>27668</v>
      </c>
      <c r="C14813" s="34" t="s">
        <v>478</v>
      </c>
      <c r="E14813" s="30" t="s">
        <v>27669</v>
      </c>
      <c r="F14813" s="34" t="n">
        <f aca="false">IFERROR(VLOOKUP($A14813,'319'!$B:$H,7,0),0)</f>
        <v>0</v>
      </c>
      <c r="G14813" s="34" t="n">
        <f aca="false">SUMIFS('12.326ana'!$C:$C,'12.326ana'!$M:$M,redes!A14813)</f>
        <v>0</v>
      </c>
    </row>
    <row r="14814" customFormat="false" ht="14.4" hidden="true" customHeight="false" outlineLevel="0" collapsed="false">
      <c r="A14814" s="34" t="n">
        <v>22645384000132</v>
      </c>
      <c r="B14814" s="34" t="s">
        <v>27670</v>
      </c>
      <c r="C14814" s="34" t="s">
        <v>463</v>
      </c>
      <c r="E14814" s="30" t="s">
        <v>27671</v>
      </c>
      <c r="F14814" s="34" t="n">
        <f aca="false">IFERROR(VLOOKUP($A14814,'319'!$B:$H,7,0),0)</f>
        <v>0</v>
      </c>
      <c r="G14814" s="34" t="n">
        <f aca="false">SUMIFS('12.326ana'!$C:$C,'12.326ana'!$M:$M,redes!A14814)</f>
        <v>0</v>
      </c>
    </row>
    <row r="14815" customFormat="false" ht="14.4" hidden="true" customHeight="false" outlineLevel="0" collapsed="false">
      <c r="A14815" s="34" t="n">
        <v>22646643000140</v>
      </c>
      <c r="B14815" s="34" t="s">
        <v>27672</v>
      </c>
      <c r="C14815" s="34" t="s">
        <v>299</v>
      </c>
      <c r="E14815" s="30" t="s">
        <v>27673</v>
      </c>
      <c r="F14815" s="34" t="n">
        <f aca="false">IFERROR(VLOOKUP($A14815,'319'!$B:$H,7,0),0)</f>
        <v>0</v>
      </c>
      <c r="G14815" s="34" t="n">
        <f aca="false">SUMIFS('12.326ana'!$C:$C,'12.326ana'!$M:$M,redes!A14815)</f>
        <v>0</v>
      </c>
    </row>
    <row r="14816" customFormat="false" ht="14.4" hidden="true" customHeight="false" outlineLevel="0" collapsed="false">
      <c r="A14816" s="34" t="n">
        <v>22673810000141</v>
      </c>
      <c r="B14816" s="34" t="s">
        <v>27674</v>
      </c>
      <c r="C14816" s="34" t="s">
        <v>631</v>
      </c>
      <c r="E14816" s="30" t="s">
        <v>27675</v>
      </c>
      <c r="F14816" s="34" t="n">
        <f aca="false">IFERROR(VLOOKUP($A14816,'319'!$B:$H,7,0),0)</f>
        <v>0</v>
      </c>
      <c r="G14816" s="34" t="n">
        <f aca="false">SUMIFS('12.326ana'!$C:$C,'12.326ana'!$M:$M,redes!A14816)</f>
        <v>0</v>
      </c>
    </row>
    <row r="14817" customFormat="false" ht="14.4" hidden="true" customHeight="false" outlineLevel="0" collapsed="false">
      <c r="A14817" s="34" t="n">
        <v>22685215000126</v>
      </c>
      <c r="B14817" s="34" t="s">
        <v>27676</v>
      </c>
      <c r="C14817" s="34" t="s">
        <v>77</v>
      </c>
      <c r="E14817" s="30" t="s">
        <v>27677</v>
      </c>
      <c r="F14817" s="34" t="n">
        <f aca="false">IFERROR(VLOOKUP($A14817,'319'!$B:$H,7,0),0)</f>
        <v>0</v>
      </c>
      <c r="G14817" s="34" t="n">
        <f aca="false">SUMIFS('12.326ana'!$C:$C,'12.326ana'!$M:$M,redes!A14817)</f>
        <v>0</v>
      </c>
    </row>
    <row r="14818" customFormat="false" ht="14.4" hidden="true" customHeight="false" outlineLevel="0" collapsed="false">
      <c r="A14818" s="34" t="n">
        <v>22686020000109</v>
      </c>
      <c r="B14818" s="34" t="s">
        <v>27678</v>
      </c>
      <c r="C14818" s="34" t="s">
        <v>107</v>
      </c>
      <c r="E14818" s="30" t="s">
        <v>19987</v>
      </c>
      <c r="F14818" s="34" t="n">
        <f aca="false">IFERROR(VLOOKUP($A14818,'319'!$B:$H,7,0),0)</f>
        <v>0</v>
      </c>
      <c r="G14818" s="34" t="n">
        <f aca="false">SUMIFS('12.326ana'!$C:$C,'12.326ana'!$M:$M,redes!A14818)</f>
        <v>0</v>
      </c>
    </row>
    <row r="14819" customFormat="false" ht="14.4" hidden="true" customHeight="false" outlineLevel="0" collapsed="false">
      <c r="A14819" s="34" t="n">
        <v>22689217000193</v>
      </c>
      <c r="B14819" s="34" t="s">
        <v>27679</v>
      </c>
      <c r="C14819" s="34" t="s">
        <v>565</v>
      </c>
      <c r="E14819" s="30" t="s">
        <v>27680</v>
      </c>
      <c r="F14819" s="34" t="n">
        <f aca="false">IFERROR(VLOOKUP($A14819,'319'!$B:$H,7,0),0)</f>
        <v>0</v>
      </c>
      <c r="G14819" s="34" t="n">
        <f aca="false">SUMIFS('12.326ana'!$C:$C,'12.326ana'!$M:$M,redes!A14819)</f>
        <v>0</v>
      </c>
    </row>
    <row r="14820" customFormat="false" ht="14.4" hidden="true" customHeight="false" outlineLevel="0" collapsed="false">
      <c r="A14820" s="34" t="n">
        <v>22698026000198</v>
      </c>
      <c r="B14820" s="34" t="s">
        <v>27681</v>
      </c>
      <c r="C14820" s="34" t="s">
        <v>89</v>
      </c>
      <c r="E14820" s="30" t="s">
        <v>27682</v>
      </c>
      <c r="F14820" s="34" t="n">
        <f aca="false">IFERROR(VLOOKUP($A14820,'319'!$B:$H,7,0),0)</f>
        <v>0</v>
      </c>
      <c r="G14820" s="34" t="n">
        <f aca="false">SUMIFS('12.326ana'!$C:$C,'12.326ana'!$M:$M,redes!A14820)</f>
        <v>0</v>
      </c>
    </row>
    <row r="14821" customFormat="false" ht="14.4" hidden="true" customHeight="false" outlineLevel="0" collapsed="false">
      <c r="A14821" s="34" t="n">
        <v>22698330000135</v>
      </c>
      <c r="B14821" s="34" t="s">
        <v>27683</v>
      </c>
      <c r="C14821" s="34" t="s">
        <v>77</v>
      </c>
      <c r="E14821" s="30" t="s">
        <v>4731</v>
      </c>
      <c r="F14821" s="34" t="n">
        <f aca="false">IFERROR(VLOOKUP($A14821,'319'!$B:$H,7,0),0)</f>
        <v>0</v>
      </c>
      <c r="G14821" s="34" t="n">
        <f aca="false">SUMIFS('12.326ana'!$C:$C,'12.326ana'!$M:$M,redes!A14821)</f>
        <v>0</v>
      </c>
    </row>
    <row r="14822" customFormat="false" ht="14.4" hidden="true" customHeight="false" outlineLevel="0" collapsed="false">
      <c r="A14822" s="34" t="n">
        <v>22702586000179</v>
      </c>
      <c r="B14822" s="34" t="s">
        <v>27684</v>
      </c>
      <c r="C14822" s="34" t="s">
        <v>139</v>
      </c>
      <c r="E14822" s="30" t="s">
        <v>27685</v>
      </c>
      <c r="F14822" s="34" t="n">
        <f aca="false">IFERROR(VLOOKUP($A14822,'319'!$B:$H,7,0),0)</f>
        <v>0</v>
      </c>
      <c r="G14822" s="34" t="n">
        <f aca="false">SUMIFS('12.326ana'!$C:$C,'12.326ana'!$M:$M,redes!A14822)</f>
        <v>0</v>
      </c>
    </row>
    <row r="14823" customFormat="false" ht="14.4" hidden="true" customHeight="false" outlineLevel="0" collapsed="false">
      <c r="A14823" s="34" t="n">
        <v>22706381000161</v>
      </c>
      <c r="B14823" s="34" t="s">
        <v>27686</v>
      </c>
      <c r="C14823" s="34" t="s">
        <v>77</v>
      </c>
      <c r="E14823" s="30" t="s">
        <v>27687</v>
      </c>
      <c r="F14823" s="34" t="n">
        <f aca="false">IFERROR(VLOOKUP($A14823,'319'!$B:$H,7,0),0)</f>
        <v>0</v>
      </c>
      <c r="G14823" s="34" t="n">
        <f aca="false">SUMIFS('12.326ana'!$C:$C,'12.326ana'!$M:$M,redes!A14823)</f>
        <v>0</v>
      </c>
    </row>
    <row r="14824" customFormat="false" ht="14.4" hidden="true" customHeight="false" outlineLevel="0" collapsed="false">
      <c r="A14824" s="34" t="n">
        <v>22721462000130</v>
      </c>
      <c r="B14824" s="34" t="s">
        <v>27688</v>
      </c>
      <c r="C14824" s="34" t="s">
        <v>781</v>
      </c>
      <c r="E14824" s="30" t="s">
        <v>27689</v>
      </c>
      <c r="F14824" s="34" t="n">
        <f aca="false">IFERROR(VLOOKUP($A14824,'319'!$B:$H,7,0),0)</f>
        <v>0</v>
      </c>
      <c r="G14824" s="34" t="n">
        <f aca="false">SUMIFS('12.326ana'!$C:$C,'12.326ana'!$M:$M,redes!A14824)</f>
        <v>0</v>
      </c>
    </row>
    <row r="14825" customFormat="false" ht="14.4" hidden="true" customHeight="false" outlineLevel="0" collapsed="false">
      <c r="A14825" s="34" t="n">
        <v>22723726000195</v>
      </c>
      <c r="B14825" s="34" t="s">
        <v>27690</v>
      </c>
      <c r="C14825" s="34" t="s">
        <v>107</v>
      </c>
      <c r="E14825" s="30" t="s">
        <v>27691</v>
      </c>
      <c r="F14825" s="34" t="n">
        <f aca="false">IFERROR(VLOOKUP($A14825,'319'!$B:$H,7,0),0)</f>
        <v>0</v>
      </c>
      <c r="G14825" s="34" t="n">
        <f aca="false">SUMIFS('12.326ana'!$C:$C,'12.326ana'!$M:$M,redes!A14825)</f>
        <v>0</v>
      </c>
    </row>
    <row r="14826" customFormat="false" ht="14.4" hidden="true" customHeight="false" outlineLevel="0" collapsed="false">
      <c r="A14826" s="34" t="n">
        <v>22730680000131</v>
      </c>
      <c r="B14826" s="34" t="s">
        <v>27692</v>
      </c>
      <c r="C14826" s="34" t="s">
        <v>139</v>
      </c>
      <c r="E14826" s="30" t="s">
        <v>27693</v>
      </c>
      <c r="F14826" s="34" t="n">
        <f aca="false">IFERROR(VLOOKUP($A14826,'319'!$B:$H,7,0),0)</f>
        <v>0</v>
      </c>
      <c r="G14826" s="34" t="n">
        <f aca="false">SUMIFS('12.326ana'!$C:$C,'12.326ana'!$M:$M,redes!A14826)</f>
        <v>0</v>
      </c>
    </row>
    <row r="14827" customFormat="false" ht="14.4" hidden="true" customHeight="false" outlineLevel="0" collapsed="false">
      <c r="A14827" s="34" t="n">
        <v>22732466000114</v>
      </c>
      <c r="B14827" s="34" t="s">
        <v>27694</v>
      </c>
      <c r="C14827" s="34" t="s">
        <v>1272</v>
      </c>
      <c r="E14827" s="30" t="s">
        <v>7730</v>
      </c>
      <c r="F14827" s="34" t="n">
        <f aca="false">IFERROR(VLOOKUP($A14827,'319'!$B:$H,7,0),0)</f>
        <v>0</v>
      </c>
      <c r="G14827" s="34" t="n">
        <f aca="false">SUMIFS('12.326ana'!$C:$C,'12.326ana'!$M:$M,redes!A14827)</f>
        <v>0</v>
      </c>
    </row>
    <row r="14828" customFormat="false" ht="14.4" hidden="true" customHeight="false" outlineLevel="0" collapsed="false">
      <c r="A14828" s="34" t="n">
        <v>22748161000109</v>
      </c>
      <c r="B14828" s="34" t="s">
        <v>27695</v>
      </c>
      <c r="C14828" s="34" t="s">
        <v>1306</v>
      </c>
      <c r="E14828" s="30" t="s">
        <v>27450</v>
      </c>
      <c r="F14828" s="34" t="n">
        <f aca="false">IFERROR(VLOOKUP($A14828,'319'!$B:$H,7,0),0)</f>
        <v>0</v>
      </c>
      <c r="G14828" s="34" t="n">
        <f aca="false">SUMIFS('12.326ana'!$C:$C,'12.326ana'!$M:$M,redes!A14828)</f>
        <v>0</v>
      </c>
    </row>
    <row r="14829" customFormat="false" ht="14.4" hidden="true" customHeight="false" outlineLevel="0" collapsed="false">
      <c r="A14829" s="34" t="n">
        <v>22760740000169</v>
      </c>
      <c r="B14829" s="34" t="s">
        <v>27696</v>
      </c>
      <c r="C14829" s="34" t="s">
        <v>848</v>
      </c>
      <c r="E14829" s="30" t="s">
        <v>27697</v>
      </c>
      <c r="F14829" s="34" t="n">
        <f aca="false">IFERROR(VLOOKUP($A14829,'319'!$B:$H,7,0),0)</f>
        <v>0</v>
      </c>
      <c r="G14829" s="34" t="n">
        <f aca="false">SUMIFS('12.326ana'!$C:$C,'12.326ana'!$M:$M,redes!A14829)</f>
        <v>0</v>
      </c>
    </row>
    <row r="14830" customFormat="false" ht="14.4" hidden="true" customHeight="false" outlineLevel="0" collapsed="false">
      <c r="A14830" s="34" t="n">
        <v>22771088000188</v>
      </c>
      <c r="B14830" s="34" t="s">
        <v>27698</v>
      </c>
      <c r="C14830" s="34" t="s">
        <v>107</v>
      </c>
      <c r="E14830" s="30" t="s">
        <v>27699</v>
      </c>
      <c r="F14830" s="34" t="n">
        <f aca="false">IFERROR(VLOOKUP($A14830,'319'!$B:$H,7,0),0)</f>
        <v>0</v>
      </c>
      <c r="G14830" s="34" t="n">
        <f aca="false">SUMIFS('12.326ana'!$C:$C,'12.326ana'!$M:$M,redes!A14830)</f>
        <v>0</v>
      </c>
    </row>
    <row r="14831" customFormat="false" ht="14.4" hidden="true" customHeight="false" outlineLevel="0" collapsed="false">
      <c r="A14831" s="34" t="n">
        <v>22788354000185</v>
      </c>
      <c r="B14831" s="34" t="s">
        <v>27700</v>
      </c>
      <c r="C14831" s="34" t="s">
        <v>594</v>
      </c>
      <c r="E14831" s="30" t="s">
        <v>3660</v>
      </c>
      <c r="F14831" s="34" t="n">
        <f aca="false">IFERROR(VLOOKUP($A14831,'319'!$B:$H,7,0),0)</f>
        <v>0</v>
      </c>
      <c r="G14831" s="34" t="n">
        <f aca="false">SUMIFS('12.326ana'!$C:$C,'12.326ana'!$M:$M,redes!A14831)</f>
        <v>0</v>
      </c>
    </row>
    <row r="14832" customFormat="false" ht="14.4" hidden="true" customHeight="false" outlineLevel="0" collapsed="false">
      <c r="A14832" s="34" t="n">
        <v>22790409000191</v>
      </c>
      <c r="B14832" s="34" t="s">
        <v>27701</v>
      </c>
      <c r="C14832" s="34" t="s">
        <v>77</v>
      </c>
      <c r="E14832" s="30" t="s">
        <v>27702</v>
      </c>
      <c r="F14832" s="34" t="n">
        <f aca="false">IFERROR(VLOOKUP($A14832,'319'!$B:$H,7,0),0)</f>
        <v>0</v>
      </c>
      <c r="G14832" s="34" t="n">
        <f aca="false">SUMIFS('12.326ana'!$C:$C,'12.326ana'!$M:$M,redes!A14832)</f>
        <v>0</v>
      </c>
    </row>
    <row r="14833" customFormat="false" ht="14.4" hidden="true" customHeight="false" outlineLevel="0" collapsed="false">
      <c r="A14833" s="34" t="n">
        <v>22794794000145</v>
      </c>
      <c r="B14833" s="34" t="s">
        <v>27703</v>
      </c>
      <c r="C14833" s="34" t="s">
        <v>139</v>
      </c>
      <c r="E14833" s="30" t="s">
        <v>27704</v>
      </c>
      <c r="F14833" s="34" t="n">
        <f aca="false">IFERROR(VLOOKUP($A14833,'319'!$B:$H,7,0),0)</f>
        <v>0</v>
      </c>
      <c r="G14833" s="34" t="n">
        <f aca="false">SUMIFS('12.326ana'!$C:$C,'12.326ana'!$M:$M,redes!A14833)</f>
        <v>0</v>
      </c>
    </row>
    <row r="14834" customFormat="false" ht="14.4" hidden="true" customHeight="false" outlineLevel="0" collapsed="false">
      <c r="A14834" s="34" t="n">
        <v>22815811000183</v>
      </c>
      <c r="B14834" s="34" t="s">
        <v>27705</v>
      </c>
      <c r="C14834" s="34" t="s">
        <v>77</v>
      </c>
      <c r="E14834" s="30" t="s">
        <v>27706</v>
      </c>
      <c r="F14834" s="34" t="n">
        <f aca="false">IFERROR(VLOOKUP($A14834,'319'!$B:$H,7,0),0)</f>
        <v>0</v>
      </c>
      <c r="G14834" s="34" t="n">
        <f aca="false">SUMIFS('12.326ana'!$C:$C,'12.326ana'!$M:$M,redes!A14834)</f>
        <v>0</v>
      </c>
    </row>
    <row r="14835" customFormat="false" ht="14.4" hidden="true" customHeight="false" outlineLevel="0" collapsed="false">
      <c r="A14835" s="34" t="n">
        <v>22816513000108</v>
      </c>
      <c r="B14835" s="34" t="s">
        <v>27707</v>
      </c>
      <c r="C14835" s="34" t="s">
        <v>357</v>
      </c>
      <c r="E14835" s="30" t="s">
        <v>27708</v>
      </c>
      <c r="F14835" s="34" t="n">
        <f aca="false">IFERROR(VLOOKUP($A14835,'319'!$B:$H,7,0),0)</f>
        <v>0</v>
      </c>
      <c r="G14835" s="34" t="n">
        <f aca="false">SUMIFS('12.326ana'!$C:$C,'12.326ana'!$M:$M,redes!A14835)</f>
        <v>0</v>
      </c>
    </row>
    <row r="14836" customFormat="false" ht="14.4" hidden="true" customHeight="false" outlineLevel="0" collapsed="false">
      <c r="A14836" s="34" t="n">
        <v>22820300000150</v>
      </c>
      <c r="B14836" s="34" t="s">
        <v>27709</v>
      </c>
      <c r="C14836" s="34" t="s">
        <v>631</v>
      </c>
      <c r="E14836" s="30" t="s">
        <v>27710</v>
      </c>
      <c r="F14836" s="34" t="n">
        <f aca="false">IFERROR(VLOOKUP($A14836,'319'!$B:$H,7,0),0)</f>
        <v>0</v>
      </c>
      <c r="G14836" s="34" t="n">
        <f aca="false">SUMIFS('12.326ana'!$C:$C,'12.326ana'!$M:$M,redes!A14836)</f>
        <v>0</v>
      </c>
    </row>
    <row r="14837" customFormat="false" ht="14.4" hidden="true" customHeight="false" outlineLevel="0" collapsed="false">
      <c r="A14837" s="34" t="n">
        <v>22835210000132</v>
      </c>
      <c r="B14837" s="34" t="s">
        <v>27711</v>
      </c>
      <c r="C14837" s="34" t="s">
        <v>77</v>
      </c>
      <c r="E14837" s="30" t="s">
        <v>27712</v>
      </c>
      <c r="F14837" s="34" t="n">
        <f aca="false">IFERROR(VLOOKUP($A14837,'319'!$B:$H,7,0),0)</f>
        <v>0</v>
      </c>
      <c r="G14837" s="34" t="n">
        <f aca="false">SUMIFS('12.326ana'!$C:$C,'12.326ana'!$M:$M,redes!A14837)</f>
        <v>0</v>
      </c>
    </row>
    <row r="14838" customFormat="false" ht="14.4" hidden="true" customHeight="false" outlineLevel="0" collapsed="false">
      <c r="A14838" s="34" t="n">
        <v>22842029000153</v>
      </c>
      <c r="B14838" s="34" t="s">
        <v>27713</v>
      </c>
      <c r="C14838" s="34" t="s">
        <v>464</v>
      </c>
      <c r="E14838" s="30" t="s">
        <v>27714</v>
      </c>
      <c r="F14838" s="34" t="n">
        <f aca="false">IFERROR(VLOOKUP($A14838,'319'!$B:$H,7,0),0)</f>
        <v>0</v>
      </c>
      <c r="G14838" s="34" t="n">
        <f aca="false">SUMIFS('12.326ana'!$C:$C,'12.326ana'!$M:$M,redes!A14838)</f>
        <v>0</v>
      </c>
    </row>
    <row r="14839" customFormat="false" ht="14.4" hidden="true" customHeight="false" outlineLevel="0" collapsed="false">
      <c r="A14839" s="34" t="n">
        <v>22842091000145</v>
      </c>
      <c r="B14839" s="34" t="s">
        <v>27715</v>
      </c>
      <c r="C14839" s="34" t="s">
        <v>737</v>
      </c>
      <c r="E14839" s="30" t="s">
        <v>18803</v>
      </c>
      <c r="F14839" s="34" t="n">
        <f aca="false">IFERROR(VLOOKUP($A14839,'319'!$B:$H,7,0),0)</f>
        <v>0</v>
      </c>
      <c r="G14839" s="34" t="n">
        <f aca="false">SUMIFS('12.326ana'!$C:$C,'12.326ana'!$M:$M,redes!A14839)</f>
        <v>0</v>
      </c>
    </row>
    <row r="14840" customFormat="false" ht="14.4" hidden="true" customHeight="false" outlineLevel="0" collapsed="false">
      <c r="A14840" s="34" t="n">
        <v>22848934000110</v>
      </c>
      <c r="B14840" s="34" t="s">
        <v>27716</v>
      </c>
      <c r="C14840" s="34" t="s">
        <v>139</v>
      </c>
      <c r="E14840" s="30" t="s">
        <v>27717</v>
      </c>
      <c r="F14840" s="34" t="n">
        <f aca="false">IFERROR(VLOOKUP($A14840,'319'!$B:$H,7,0),0)</f>
        <v>0</v>
      </c>
      <c r="G14840" s="34" t="n">
        <f aca="false">SUMIFS('12.326ana'!$C:$C,'12.326ana'!$M:$M,redes!A14840)</f>
        <v>0</v>
      </c>
    </row>
    <row r="14841" customFormat="false" ht="14.4" hidden="true" customHeight="false" outlineLevel="0" collapsed="false">
      <c r="A14841" s="34" t="n">
        <v>22852470000116</v>
      </c>
      <c r="B14841" s="34" t="s">
        <v>27718</v>
      </c>
      <c r="C14841" s="34" t="s">
        <v>89</v>
      </c>
      <c r="E14841" s="30" t="s">
        <v>27719</v>
      </c>
      <c r="F14841" s="34" t="n">
        <f aca="false">IFERROR(VLOOKUP($A14841,'319'!$B:$H,7,0),0)</f>
        <v>0</v>
      </c>
      <c r="G14841" s="34" t="n">
        <f aca="false">SUMIFS('12.326ana'!$C:$C,'12.326ana'!$M:$M,redes!A14841)</f>
        <v>0</v>
      </c>
    </row>
    <row r="14842" customFormat="false" ht="14.4" hidden="true" customHeight="false" outlineLevel="0" collapsed="false">
      <c r="A14842" s="34" t="n">
        <v>22853216000132</v>
      </c>
      <c r="B14842" s="34" t="s">
        <v>27720</v>
      </c>
      <c r="C14842" s="34" t="s">
        <v>107</v>
      </c>
      <c r="E14842" s="30" t="s">
        <v>27721</v>
      </c>
      <c r="F14842" s="34" t="n">
        <f aca="false">IFERROR(VLOOKUP($A14842,'319'!$B:$H,7,0),0)</f>
        <v>0</v>
      </c>
      <c r="G14842" s="34" t="n">
        <f aca="false">SUMIFS('12.326ana'!$C:$C,'12.326ana'!$M:$M,redes!A14842)</f>
        <v>0</v>
      </c>
    </row>
    <row r="14843" customFormat="false" ht="14.4" hidden="true" customHeight="false" outlineLevel="0" collapsed="false">
      <c r="A14843" s="34" t="n">
        <v>22866770000154</v>
      </c>
      <c r="B14843" s="34" t="s">
        <v>27722</v>
      </c>
      <c r="C14843" s="34" t="s">
        <v>594</v>
      </c>
      <c r="E14843" s="30" t="s">
        <v>21025</v>
      </c>
      <c r="F14843" s="34" t="n">
        <f aca="false">IFERROR(VLOOKUP($A14843,'319'!$B:$H,7,0),0)</f>
        <v>253.51</v>
      </c>
      <c r="G14843" s="34" t="n">
        <f aca="false">SUMIFS('12.326ana'!$C:$C,'12.326ana'!$M:$M,redes!A14843)</f>
        <v>0</v>
      </c>
    </row>
    <row r="14844" customFormat="false" ht="14.4" hidden="true" customHeight="false" outlineLevel="0" collapsed="false">
      <c r="A14844" s="34" t="n">
        <v>22871392000105</v>
      </c>
      <c r="B14844" s="34" t="s">
        <v>27723</v>
      </c>
      <c r="C14844" s="34" t="s">
        <v>77</v>
      </c>
      <c r="E14844" s="30" t="s">
        <v>27724</v>
      </c>
      <c r="F14844" s="34" t="n">
        <f aca="false">IFERROR(VLOOKUP($A14844,'319'!$B:$H,7,0),0)</f>
        <v>0</v>
      </c>
      <c r="G14844" s="34" t="n">
        <f aca="false">SUMIFS('12.326ana'!$C:$C,'12.326ana'!$M:$M,redes!A14844)</f>
        <v>0</v>
      </c>
    </row>
    <row r="14845" customFormat="false" ht="14.4" hidden="true" customHeight="false" outlineLevel="0" collapsed="false">
      <c r="A14845" s="34" t="n">
        <v>22892066000176</v>
      </c>
      <c r="B14845" s="34" t="s">
        <v>27725</v>
      </c>
      <c r="C14845" s="34" t="s">
        <v>594</v>
      </c>
      <c r="E14845" s="30" t="s">
        <v>27726</v>
      </c>
      <c r="F14845" s="34" t="n">
        <f aca="false">IFERROR(VLOOKUP($A14845,'319'!$B:$H,7,0),0)</f>
        <v>0</v>
      </c>
      <c r="G14845" s="34" t="n">
        <f aca="false">SUMIFS('12.326ana'!$C:$C,'12.326ana'!$M:$M,redes!A14845)</f>
        <v>0</v>
      </c>
    </row>
    <row r="14846" customFormat="false" ht="14.4" hidden="true" customHeight="false" outlineLevel="0" collapsed="false">
      <c r="A14846" s="34" t="n">
        <v>22908465000188</v>
      </c>
      <c r="B14846" s="34" t="s">
        <v>27727</v>
      </c>
      <c r="C14846" s="34" t="s">
        <v>77</v>
      </c>
      <c r="E14846" s="30" t="s">
        <v>27727</v>
      </c>
      <c r="F14846" s="34" t="n">
        <f aca="false">IFERROR(VLOOKUP($A14846,'319'!$B:$H,7,0),0)</f>
        <v>0</v>
      </c>
      <c r="G14846" s="34" t="n">
        <f aca="false">SUMIFS('12.326ana'!$C:$C,'12.326ana'!$M:$M,redes!A14846)</f>
        <v>0</v>
      </c>
    </row>
    <row r="14847" customFormat="false" ht="14.4" hidden="true" customHeight="false" outlineLevel="0" collapsed="false">
      <c r="A14847" s="34" t="n">
        <v>22910998000102</v>
      </c>
      <c r="B14847" s="34" t="s">
        <v>7985</v>
      </c>
      <c r="C14847" s="34" t="s">
        <v>77</v>
      </c>
      <c r="E14847" s="30" t="s">
        <v>23196</v>
      </c>
      <c r="F14847" s="34" t="n">
        <f aca="false">IFERROR(VLOOKUP($A14847,'319'!$B:$H,7,0),0)</f>
        <v>0</v>
      </c>
      <c r="G14847" s="34" t="n">
        <f aca="false">SUMIFS('12.326ana'!$C:$C,'12.326ana'!$M:$M,redes!A14847)</f>
        <v>0</v>
      </c>
    </row>
    <row r="14848" customFormat="false" ht="14.4" hidden="true" customHeight="false" outlineLevel="0" collapsed="false">
      <c r="A14848" s="34" t="n">
        <v>22912132000122</v>
      </c>
      <c r="B14848" s="34" t="s">
        <v>27728</v>
      </c>
      <c r="C14848" s="34" t="s">
        <v>192</v>
      </c>
      <c r="E14848" s="30" t="s">
        <v>5240</v>
      </c>
      <c r="F14848" s="34" t="n">
        <f aca="false">IFERROR(VLOOKUP($A14848,'319'!$B:$H,7,0),0)</f>
        <v>0</v>
      </c>
      <c r="G14848" s="34" t="n">
        <f aca="false">SUMIFS('12.326ana'!$C:$C,'12.326ana'!$M:$M,redes!A14848)</f>
        <v>0</v>
      </c>
    </row>
    <row r="14849" customFormat="false" ht="14.4" hidden="true" customHeight="false" outlineLevel="0" collapsed="false">
      <c r="A14849" s="34" t="n">
        <v>22915655000122</v>
      </c>
      <c r="B14849" s="34" t="s">
        <v>27729</v>
      </c>
      <c r="C14849" s="34" t="s">
        <v>77</v>
      </c>
      <c r="E14849" s="30" t="s">
        <v>27730</v>
      </c>
      <c r="F14849" s="34" t="n">
        <f aca="false">IFERROR(VLOOKUP($A14849,'319'!$B:$H,7,0),0)</f>
        <v>0</v>
      </c>
      <c r="G14849" s="34" t="n">
        <f aca="false">SUMIFS('12.326ana'!$C:$C,'12.326ana'!$M:$M,redes!A14849)</f>
        <v>0</v>
      </c>
    </row>
    <row r="14850" customFormat="false" ht="14.4" hidden="true" customHeight="false" outlineLevel="0" collapsed="false">
      <c r="A14850" s="34" t="n">
        <v>22917964000131</v>
      </c>
      <c r="B14850" s="34" t="s">
        <v>27731</v>
      </c>
      <c r="C14850" s="34" t="s">
        <v>77</v>
      </c>
      <c r="E14850" s="30" t="s">
        <v>27732</v>
      </c>
      <c r="F14850" s="34" t="n">
        <f aca="false">IFERROR(VLOOKUP($A14850,'319'!$B:$H,7,0),0)</f>
        <v>0</v>
      </c>
      <c r="G14850" s="34" t="n">
        <f aca="false">SUMIFS('12.326ana'!$C:$C,'12.326ana'!$M:$M,redes!A14850)</f>
        <v>0</v>
      </c>
    </row>
    <row r="14851" customFormat="false" ht="14.4" hidden="true" customHeight="false" outlineLevel="0" collapsed="false">
      <c r="A14851" s="34" t="n">
        <v>22929093000176</v>
      </c>
      <c r="B14851" s="34" t="s">
        <v>27733</v>
      </c>
      <c r="C14851" s="34" t="s">
        <v>77</v>
      </c>
      <c r="E14851" s="30" t="s">
        <v>24958</v>
      </c>
      <c r="F14851" s="34" t="n">
        <f aca="false">IFERROR(VLOOKUP($A14851,'319'!$B:$H,7,0),0)</f>
        <v>0</v>
      </c>
      <c r="G14851" s="34" t="n">
        <f aca="false">SUMIFS('12.326ana'!$C:$C,'12.326ana'!$M:$M,redes!A14851)</f>
        <v>0</v>
      </c>
    </row>
    <row r="14852" customFormat="false" ht="14.4" hidden="true" customHeight="false" outlineLevel="0" collapsed="false">
      <c r="A14852" s="34" t="n">
        <v>22930745000192</v>
      </c>
      <c r="B14852" s="34" t="s">
        <v>27734</v>
      </c>
      <c r="C14852" s="34" t="s">
        <v>357</v>
      </c>
      <c r="E14852" s="30" t="s">
        <v>27735</v>
      </c>
      <c r="F14852" s="34" t="n">
        <f aca="false">IFERROR(VLOOKUP($A14852,'319'!$B:$H,7,0),0)</f>
        <v>111.69</v>
      </c>
      <c r="G14852" s="34" t="n">
        <f aca="false">SUMIFS('12.326ana'!$C:$C,'12.326ana'!$M:$M,redes!A14852)</f>
        <v>0</v>
      </c>
    </row>
    <row r="14853" customFormat="false" ht="14.4" hidden="true" customHeight="false" outlineLevel="0" collapsed="false">
      <c r="A14853" s="34" t="n">
        <v>22931330000133</v>
      </c>
      <c r="B14853" s="34" t="s">
        <v>27736</v>
      </c>
      <c r="C14853" s="34" t="s">
        <v>77</v>
      </c>
      <c r="E14853" s="30" t="s">
        <v>27737</v>
      </c>
      <c r="F14853" s="34" t="n">
        <f aca="false">IFERROR(VLOOKUP($A14853,'319'!$B:$H,7,0),0)</f>
        <v>0</v>
      </c>
      <c r="G14853" s="34" t="n">
        <f aca="false">SUMIFS('12.326ana'!$C:$C,'12.326ana'!$M:$M,redes!A14853)</f>
        <v>0</v>
      </c>
    </row>
    <row r="14854" customFormat="false" ht="14.4" hidden="true" customHeight="false" outlineLevel="0" collapsed="false">
      <c r="A14854" s="34" t="n">
        <v>22945536000112</v>
      </c>
      <c r="B14854" s="34" t="s">
        <v>27738</v>
      </c>
      <c r="C14854" s="34" t="s">
        <v>463</v>
      </c>
      <c r="E14854" s="30" t="s">
        <v>8534</v>
      </c>
      <c r="F14854" s="34" t="n">
        <f aca="false">IFERROR(VLOOKUP($A14854,'319'!$B:$H,7,0),0)</f>
        <v>0</v>
      </c>
      <c r="G14854" s="34" t="n">
        <f aca="false">SUMIFS('12.326ana'!$C:$C,'12.326ana'!$M:$M,redes!A14854)</f>
        <v>0</v>
      </c>
    </row>
    <row r="14855" customFormat="false" ht="14.4" hidden="true" customHeight="false" outlineLevel="0" collapsed="false">
      <c r="A14855" s="34" t="n">
        <v>22957557000158</v>
      </c>
      <c r="B14855" s="34" t="s">
        <v>27739</v>
      </c>
      <c r="C14855" s="34" t="s">
        <v>107</v>
      </c>
      <c r="E14855" s="30" t="s">
        <v>27739</v>
      </c>
      <c r="F14855" s="34" t="n">
        <f aca="false">IFERROR(VLOOKUP($A14855,'319'!$B:$H,7,0),0)</f>
        <v>0</v>
      </c>
      <c r="G14855" s="34" t="n">
        <f aca="false">SUMIFS('12.326ana'!$C:$C,'12.326ana'!$M:$M,redes!A14855)</f>
        <v>0</v>
      </c>
    </row>
    <row r="14856" customFormat="false" ht="14.4" hidden="true" customHeight="false" outlineLevel="0" collapsed="false">
      <c r="A14856" s="34" t="n">
        <v>22959790000170</v>
      </c>
      <c r="B14856" s="34" t="s">
        <v>27740</v>
      </c>
      <c r="C14856" s="34" t="s">
        <v>562</v>
      </c>
      <c r="E14856" s="30" t="s">
        <v>27741</v>
      </c>
      <c r="F14856" s="34" t="n">
        <f aca="false">IFERROR(VLOOKUP($A14856,'319'!$B:$H,7,0),0)</f>
        <v>996.15</v>
      </c>
      <c r="G14856" s="34" t="n">
        <f aca="false">SUMIFS('12.326ana'!$C:$C,'12.326ana'!$M:$M,redes!A14856)</f>
        <v>0</v>
      </c>
    </row>
    <row r="14857" customFormat="false" ht="14.4" hidden="true" customHeight="false" outlineLevel="0" collapsed="false">
      <c r="A14857" s="34" t="n">
        <v>22965953000127</v>
      </c>
      <c r="B14857" s="34" t="s">
        <v>1796</v>
      </c>
      <c r="C14857" s="34" t="s">
        <v>631</v>
      </c>
      <c r="E14857" s="30" t="s">
        <v>27742</v>
      </c>
      <c r="F14857" s="34" t="n">
        <f aca="false">IFERROR(VLOOKUP($A14857,'319'!$B:$H,7,0),0)</f>
        <v>-136.52</v>
      </c>
      <c r="G14857" s="34" t="n">
        <f aca="false">SUMIFS('12.326ana'!$C:$C,'12.326ana'!$M:$M,redes!A14857)</f>
        <v>0</v>
      </c>
    </row>
    <row r="14858" customFormat="false" ht="14.4" hidden="true" customHeight="false" outlineLevel="0" collapsed="false">
      <c r="A14858" s="34" t="n">
        <v>22969185000180</v>
      </c>
      <c r="B14858" s="34" t="s">
        <v>27743</v>
      </c>
      <c r="C14858" s="34" t="s">
        <v>7250</v>
      </c>
      <c r="E14858" s="30" t="s">
        <v>27744</v>
      </c>
      <c r="F14858" s="34" t="n">
        <f aca="false">IFERROR(VLOOKUP($A14858,'319'!$B:$H,7,0),0)</f>
        <v>0</v>
      </c>
      <c r="G14858" s="34" t="n">
        <f aca="false">SUMIFS('12.326ana'!$C:$C,'12.326ana'!$M:$M,redes!A14858)</f>
        <v>0</v>
      </c>
    </row>
    <row r="14859" customFormat="false" ht="14.4" hidden="true" customHeight="false" outlineLevel="0" collapsed="false">
      <c r="A14859" s="34" t="n">
        <v>22984001000150</v>
      </c>
      <c r="B14859" s="34" t="s">
        <v>27745</v>
      </c>
      <c r="C14859" s="34" t="s">
        <v>77</v>
      </c>
      <c r="E14859" s="30" t="s">
        <v>27746</v>
      </c>
      <c r="F14859" s="34" t="n">
        <f aca="false">IFERROR(VLOOKUP($A14859,'319'!$B:$H,7,0),0)</f>
        <v>0</v>
      </c>
      <c r="G14859" s="34" t="n">
        <f aca="false">SUMIFS('12.326ana'!$C:$C,'12.326ana'!$M:$M,redes!A14859)</f>
        <v>0</v>
      </c>
    </row>
    <row r="14860" customFormat="false" ht="14.4" hidden="true" customHeight="false" outlineLevel="0" collapsed="false">
      <c r="A14860" s="34" t="n">
        <v>22995589000148</v>
      </c>
      <c r="B14860" s="34" t="s">
        <v>27747</v>
      </c>
      <c r="C14860" s="34" t="s">
        <v>213</v>
      </c>
      <c r="E14860" s="30" t="s">
        <v>27748</v>
      </c>
      <c r="F14860" s="34" t="n">
        <f aca="false">IFERROR(VLOOKUP($A14860,'319'!$B:$H,7,0),0)</f>
        <v>0</v>
      </c>
      <c r="G14860" s="34" t="n">
        <f aca="false">SUMIFS('12.326ana'!$C:$C,'12.326ana'!$M:$M,redes!A14860)</f>
        <v>0</v>
      </c>
    </row>
    <row r="14861" customFormat="false" ht="14.4" hidden="true" customHeight="false" outlineLevel="0" collapsed="false">
      <c r="A14861" s="34" t="n">
        <v>23007070000177</v>
      </c>
      <c r="B14861" s="34" t="s">
        <v>27749</v>
      </c>
      <c r="C14861" s="34" t="s">
        <v>842</v>
      </c>
      <c r="E14861" s="30" t="s">
        <v>27750</v>
      </c>
      <c r="F14861" s="34" t="n">
        <f aca="false">IFERROR(VLOOKUP($A14861,'319'!$B:$H,7,0),0)</f>
        <v>0</v>
      </c>
      <c r="G14861" s="34" t="n">
        <f aca="false">SUMIFS('12.326ana'!$C:$C,'12.326ana'!$M:$M,redes!A14861)</f>
        <v>0</v>
      </c>
    </row>
    <row r="14862" customFormat="false" ht="14.4" hidden="true" customHeight="false" outlineLevel="0" collapsed="false">
      <c r="A14862" s="34" t="n">
        <v>23025405000180</v>
      </c>
      <c r="B14862" s="34" t="s">
        <v>27751</v>
      </c>
      <c r="C14862" s="34" t="s">
        <v>77</v>
      </c>
      <c r="E14862" s="30"/>
      <c r="F14862" s="34" t="n">
        <f aca="false">IFERROR(VLOOKUP($A14862,'319'!$B:$H,7,0),0)</f>
        <v>0</v>
      </c>
      <c r="G14862" s="34" t="n">
        <f aca="false">SUMIFS('12.326ana'!$C:$C,'12.326ana'!$M:$M,redes!A14862)</f>
        <v>0</v>
      </c>
    </row>
    <row r="14863" customFormat="false" ht="14.4" hidden="true" customHeight="false" outlineLevel="0" collapsed="false">
      <c r="A14863" s="34" t="n">
        <v>23032827000182</v>
      </c>
      <c r="B14863" s="34" t="s">
        <v>27752</v>
      </c>
      <c r="C14863" s="34" t="s">
        <v>77</v>
      </c>
      <c r="E14863" s="30" t="s">
        <v>6726</v>
      </c>
      <c r="F14863" s="34" t="n">
        <f aca="false">IFERROR(VLOOKUP($A14863,'319'!$B:$H,7,0),0)</f>
        <v>0</v>
      </c>
      <c r="G14863" s="34" t="n">
        <f aca="false">SUMIFS('12.326ana'!$C:$C,'12.326ana'!$M:$M,redes!A14863)</f>
        <v>0</v>
      </c>
    </row>
    <row r="14864" customFormat="false" ht="14.4" hidden="true" customHeight="false" outlineLevel="0" collapsed="false">
      <c r="A14864" s="34" t="n">
        <v>23033110000155</v>
      </c>
      <c r="B14864" s="34" t="s">
        <v>27753</v>
      </c>
      <c r="C14864" s="34" t="s">
        <v>77</v>
      </c>
      <c r="E14864" s="30" t="s">
        <v>27754</v>
      </c>
      <c r="F14864" s="34" t="n">
        <f aca="false">IFERROR(VLOOKUP($A14864,'319'!$B:$H,7,0),0)</f>
        <v>0</v>
      </c>
      <c r="G14864" s="34" t="n">
        <f aca="false">SUMIFS('12.326ana'!$C:$C,'12.326ana'!$M:$M,redes!A14864)</f>
        <v>0</v>
      </c>
    </row>
    <row r="14865" customFormat="false" ht="14.4" hidden="true" customHeight="false" outlineLevel="0" collapsed="false">
      <c r="A14865" s="34" t="n">
        <v>23033857000103</v>
      </c>
      <c r="B14865" s="34" t="s">
        <v>27755</v>
      </c>
      <c r="C14865" s="34" t="s">
        <v>764</v>
      </c>
      <c r="E14865" s="30" t="s">
        <v>27756</v>
      </c>
      <c r="F14865" s="34" t="n">
        <f aca="false">IFERROR(VLOOKUP($A14865,'319'!$B:$H,7,0),0)</f>
        <v>0</v>
      </c>
      <c r="G14865" s="34" t="n">
        <f aca="false">SUMIFS('12.326ana'!$C:$C,'12.326ana'!$M:$M,redes!A14865)</f>
        <v>0</v>
      </c>
    </row>
    <row r="14866" customFormat="false" ht="14.4" hidden="true" customHeight="false" outlineLevel="0" collapsed="false">
      <c r="A14866" s="34" t="n">
        <v>23036414000176</v>
      </c>
      <c r="B14866" s="34" t="s">
        <v>27757</v>
      </c>
      <c r="C14866" s="34" t="s">
        <v>463</v>
      </c>
      <c r="E14866" s="30" t="s">
        <v>4504</v>
      </c>
      <c r="F14866" s="34" t="n">
        <f aca="false">IFERROR(VLOOKUP($A14866,'319'!$B:$H,7,0),0)</f>
        <v>0</v>
      </c>
      <c r="G14866" s="34" t="n">
        <f aca="false">SUMIFS('12.326ana'!$C:$C,'12.326ana'!$M:$M,redes!A14866)</f>
        <v>0</v>
      </c>
    </row>
    <row r="14867" customFormat="false" ht="14.4" hidden="true" customHeight="false" outlineLevel="0" collapsed="false">
      <c r="A14867" s="34" t="n">
        <v>23037668000109</v>
      </c>
      <c r="B14867" s="34" t="s">
        <v>27758</v>
      </c>
      <c r="C14867" s="34" t="s">
        <v>77</v>
      </c>
      <c r="E14867" s="30" t="s">
        <v>4965</v>
      </c>
      <c r="F14867" s="34" t="n">
        <f aca="false">IFERROR(VLOOKUP($A14867,'319'!$B:$H,7,0),0)</f>
        <v>0</v>
      </c>
      <c r="G14867" s="34" t="n">
        <f aca="false">SUMIFS('12.326ana'!$C:$C,'12.326ana'!$M:$M,redes!A14867)</f>
        <v>0</v>
      </c>
    </row>
    <row r="14868" customFormat="false" ht="14.4" hidden="true" customHeight="false" outlineLevel="0" collapsed="false">
      <c r="A14868" s="34" t="n">
        <v>23041210000123</v>
      </c>
      <c r="B14868" s="34" t="s">
        <v>27759</v>
      </c>
      <c r="C14868" s="34" t="s">
        <v>77</v>
      </c>
      <c r="E14868" s="30" t="s">
        <v>3841</v>
      </c>
      <c r="F14868" s="34" t="n">
        <f aca="false">IFERROR(VLOOKUP($A14868,'319'!$B:$H,7,0),0)</f>
        <v>0</v>
      </c>
      <c r="G14868" s="34" t="n">
        <f aca="false">SUMIFS('12.326ana'!$C:$C,'12.326ana'!$M:$M,redes!A14868)</f>
        <v>0</v>
      </c>
    </row>
    <row r="14869" customFormat="false" ht="14.4" hidden="true" customHeight="false" outlineLevel="0" collapsed="false">
      <c r="A14869" s="34" t="n">
        <v>23043167000135</v>
      </c>
      <c r="B14869" s="34" t="s">
        <v>27760</v>
      </c>
      <c r="C14869" s="34" t="s">
        <v>475</v>
      </c>
      <c r="E14869" s="30" t="s">
        <v>27761</v>
      </c>
      <c r="F14869" s="34" t="n">
        <f aca="false">IFERROR(VLOOKUP($A14869,'319'!$B:$H,7,0),0)</f>
        <v>0</v>
      </c>
      <c r="G14869" s="34" t="n">
        <f aca="false">SUMIFS('12.326ana'!$C:$C,'12.326ana'!$M:$M,redes!A14869)</f>
        <v>0</v>
      </c>
    </row>
    <row r="14870" customFormat="false" ht="14.4" hidden="true" customHeight="false" outlineLevel="0" collapsed="false">
      <c r="A14870" s="34" t="n">
        <v>23047195000120</v>
      </c>
      <c r="B14870" s="34" t="s">
        <v>27762</v>
      </c>
      <c r="C14870" s="34" t="s">
        <v>107</v>
      </c>
      <c r="E14870" s="30" t="s">
        <v>27763</v>
      </c>
      <c r="F14870" s="34" t="n">
        <f aca="false">IFERROR(VLOOKUP($A14870,'319'!$B:$H,7,0),0)</f>
        <v>0</v>
      </c>
      <c r="G14870" s="34" t="n">
        <f aca="false">SUMIFS('12.326ana'!$C:$C,'12.326ana'!$M:$M,redes!A14870)</f>
        <v>0</v>
      </c>
    </row>
    <row r="14871" customFormat="false" ht="14.4" hidden="true" customHeight="false" outlineLevel="0" collapsed="false">
      <c r="A14871" s="34" t="n">
        <v>23047222000165</v>
      </c>
      <c r="B14871" s="34" t="s">
        <v>27764</v>
      </c>
      <c r="C14871" s="34" t="s">
        <v>107</v>
      </c>
      <c r="E14871" s="30" t="s">
        <v>27765</v>
      </c>
      <c r="F14871" s="34" t="n">
        <f aca="false">IFERROR(VLOOKUP($A14871,'319'!$B:$H,7,0),0)</f>
        <v>0</v>
      </c>
      <c r="G14871" s="34" t="n">
        <f aca="false">SUMIFS('12.326ana'!$C:$C,'12.326ana'!$M:$M,redes!A14871)</f>
        <v>0</v>
      </c>
    </row>
    <row r="14872" customFormat="false" ht="14.4" hidden="true" customHeight="false" outlineLevel="0" collapsed="false">
      <c r="A14872" s="34" t="n">
        <v>23078840000172</v>
      </c>
      <c r="B14872" s="34" t="s">
        <v>27766</v>
      </c>
      <c r="C14872" s="34" t="s">
        <v>107</v>
      </c>
      <c r="E14872" s="30" t="s">
        <v>27766</v>
      </c>
      <c r="F14872" s="34" t="n">
        <f aca="false">IFERROR(VLOOKUP($A14872,'319'!$B:$H,7,0),0)</f>
        <v>0</v>
      </c>
      <c r="G14872" s="34" t="n">
        <f aca="false">SUMIFS('12.326ana'!$C:$C,'12.326ana'!$M:$M,redes!A14872)</f>
        <v>0</v>
      </c>
    </row>
    <row r="14873" customFormat="false" ht="14.4" hidden="true" customHeight="false" outlineLevel="0" collapsed="false">
      <c r="A14873" s="34" t="n">
        <v>23080949000144</v>
      </c>
      <c r="B14873" s="34" t="s">
        <v>27767</v>
      </c>
      <c r="C14873" s="34" t="s">
        <v>77</v>
      </c>
      <c r="E14873" s="30" t="s">
        <v>27768</v>
      </c>
      <c r="F14873" s="34" t="n">
        <f aca="false">IFERROR(VLOOKUP($A14873,'319'!$B:$H,7,0),0)</f>
        <v>0</v>
      </c>
      <c r="G14873" s="34" t="n">
        <f aca="false">SUMIFS('12.326ana'!$C:$C,'12.326ana'!$M:$M,redes!A14873)</f>
        <v>0</v>
      </c>
    </row>
    <row r="14874" customFormat="false" ht="14.4" hidden="true" customHeight="false" outlineLevel="0" collapsed="false">
      <c r="A14874" s="34" t="n">
        <v>23085955000194</v>
      </c>
      <c r="B14874" s="34" t="s">
        <v>27769</v>
      </c>
      <c r="C14874" s="34" t="s">
        <v>357</v>
      </c>
      <c r="E14874" s="30" t="s">
        <v>27770</v>
      </c>
      <c r="F14874" s="34" t="n">
        <f aca="false">IFERROR(VLOOKUP($A14874,'319'!$B:$H,7,0),0)</f>
        <v>0</v>
      </c>
      <c r="G14874" s="34" t="n">
        <f aca="false">SUMIFS('12.326ana'!$C:$C,'12.326ana'!$M:$M,redes!A14874)</f>
        <v>0</v>
      </c>
    </row>
    <row r="14875" customFormat="false" ht="14.4" hidden="true" customHeight="false" outlineLevel="0" collapsed="false">
      <c r="A14875" s="34" t="n">
        <v>23093997000177</v>
      </c>
      <c r="B14875" s="34" t="s">
        <v>27771</v>
      </c>
      <c r="C14875" s="34" t="s">
        <v>2998</v>
      </c>
      <c r="E14875" s="30" t="s">
        <v>27772</v>
      </c>
      <c r="F14875" s="34" t="n">
        <f aca="false">IFERROR(VLOOKUP($A14875,'319'!$B:$H,7,0),0)</f>
        <v>0</v>
      </c>
      <c r="G14875" s="34" t="n">
        <f aca="false">SUMIFS('12.326ana'!$C:$C,'12.326ana'!$M:$M,redes!A14875)</f>
        <v>0</v>
      </c>
    </row>
    <row r="14876" customFormat="false" ht="14.4" hidden="true" customHeight="false" outlineLevel="0" collapsed="false">
      <c r="A14876" s="34" t="n">
        <v>23096567000109</v>
      </c>
      <c r="B14876" s="34" t="s">
        <v>27773</v>
      </c>
      <c r="C14876" s="34" t="s">
        <v>77</v>
      </c>
      <c r="E14876" s="30" t="s">
        <v>27774</v>
      </c>
      <c r="F14876" s="34" t="n">
        <f aca="false">IFERROR(VLOOKUP($A14876,'319'!$B:$H,7,0),0)</f>
        <v>0</v>
      </c>
      <c r="G14876" s="34" t="n">
        <f aca="false">SUMIFS('12.326ana'!$C:$C,'12.326ana'!$M:$M,redes!A14876)</f>
        <v>0</v>
      </c>
    </row>
    <row r="14877" customFormat="false" ht="14.4" hidden="true" customHeight="false" outlineLevel="0" collapsed="false">
      <c r="A14877" s="34" t="n">
        <v>23099184000194</v>
      </c>
      <c r="B14877" s="34" t="s">
        <v>27775</v>
      </c>
      <c r="C14877" s="34" t="s">
        <v>89</v>
      </c>
      <c r="E14877" s="30" t="s">
        <v>27776</v>
      </c>
      <c r="F14877" s="34" t="n">
        <f aca="false">IFERROR(VLOOKUP($A14877,'319'!$B:$H,7,0),0)</f>
        <v>0</v>
      </c>
      <c r="G14877" s="34" t="n">
        <f aca="false">SUMIFS('12.326ana'!$C:$C,'12.326ana'!$M:$M,redes!A14877)</f>
        <v>0</v>
      </c>
    </row>
    <row r="14878" customFormat="false" ht="14.4" hidden="true" customHeight="false" outlineLevel="0" collapsed="false">
      <c r="A14878" s="34" t="n">
        <v>23103156000101</v>
      </c>
      <c r="B14878" s="34" t="s">
        <v>27777</v>
      </c>
      <c r="C14878" s="34" t="s">
        <v>881</v>
      </c>
      <c r="E14878" s="30" t="s">
        <v>27778</v>
      </c>
      <c r="F14878" s="34" t="n">
        <f aca="false">IFERROR(VLOOKUP($A14878,'319'!$B:$H,7,0),0)</f>
        <v>0</v>
      </c>
      <c r="G14878" s="34" t="n">
        <f aca="false">SUMIFS('12.326ana'!$C:$C,'12.326ana'!$M:$M,redes!A14878)</f>
        <v>0</v>
      </c>
    </row>
    <row r="14879" customFormat="false" ht="14.4" hidden="true" customHeight="false" outlineLevel="0" collapsed="false">
      <c r="A14879" s="34" t="n">
        <v>23104781000160</v>
      </c>
      <c r="B14879" s="34" t="s">
        <v>27779</v>
      </c>
      <c r="C14879" s="34" t="s">
        <v>154</v>
      </c>
      <c r="E14879" s="30" t="s">
        <v>27780</v>
      </c>
      <c r="F14879" s="34" t="n">
        <f aca="false">IFERROR(VLOOKUP($A14879,'319'!$B:$H,7,0),0)</f>
        <v>0</v>
      </c>
      <c r="G14879" s="34" t="n">
        <f aca="false">SUMIFS('12.326ana'!$C:$C,'12.326ana'!$M:$M,redes!A14879)</f>
        <v>0</v>
      </c>
    </row>
    <row r="14880" customFormat="false" ht="14.4" hidden="true" customHeight="false" outlineLevel="0" collapsed="false">
      <c r="A14880" s="34" t="n">
        <v>23105004000130</v>
      </c>
      <c r="B14880" s="34" t="s">
        <v>27781</v>
      </c>
      <c r="C14880" s="34" t="s">
        <v>935</v>
      </c>
      <c r="E14880" s="30" t="s">
        <v>6310</v>
      </c>
      <c r="F14880" s="34" t="n">
        <f aca="false">IFERROR(VLOOKUP($A14880,'319'!$B:$H,7,0),0)</f>
        <v>0</v>
      </c>
      <c r="G14880" s="34" t="n">
        <f aca="false">SUMIFS('12.326ana'!$C:$C,'12.326ana'!$M:$M,redes!A14880)</f>
        <v>0</v>
      </c>
    </row>
    <row r="14881" customFormat="false" ht="14.4" hidden="true" customHeight="false" outlineLevel="0" collapsed="false">
      <c r="A14881" s="34" t="n">
        <v>23106790000190</v>
      </c>
      <c r="B14881" s="34" t="s">
        <v>27782</v>
      </c>
      <c r="C14881" s="34" t="s">
        <v>77</v>
      </c>
      <c r="E14881" s="30" t="s">
        <v>5492</v>
      </c>
      <c r="F14881" s="34" t="n">
        <f aca="false">IFERROR(VLOOKUP($A14881,'319'!$B:$H,7,0),0)</f>
        <v>0</v>
      </c>
      <c r="G14881" s="34" t="n">
        <f aca="false">SUMIFS('12.326ana'!$C:$C,'12.326ana'!$M:$M,redes!A14881)</f>
        <v>0</v>
      </c>
    </row>
    <row r="14882" customFormat="false" ht="14.4" hidden="true" customHeight="false" outlineLevel="0" collapsed="false">
      <c r="A14882" s="34" t="n">
        <v>23114695000138</v>
      </c>
      <c r="B14882" s="34" t="s">
        <v>27783</v>
      </c>
      <c r="C14882" s="34" t="s">
        <v>139</v>
      </c>
      <c r="E14882" s="30" t="s">
        <v>27784</v>
      </c>
      <c r="F14882" s="34" t="n">
        <f aca="false">IFERROR(VLOOKUP($A14882,'319'!$B:$H,7,0),0)</f>
        <v>0</v>
      </c>
      <c r="G14882" s="34" t="n">
        <f aca="false">SUMIFS('12.326ana'!$C:$C,'12.326ana'!$M:$M,redes!A14882)</f>
        <v>0</v>
      </c>
    </row>
    <row r="14883" customFormat="false" ht="14.4" hidden="true" customHeight="false" outlineLevel="0" collapsed="false">
      <c r="A14883" s="34" t="n">
        <v>23131976000107</v>
      </c>
      <c r="B14883" s="34" t="s">
        <v>27785</v>
      </c>
      <c r="C14883" s="34" t="s">
        <v>377</v>
      </c>
      <c r="E14883" s="30" t="s">
        <v>27786</v>
      </c>
      <c r="F14883" s="34" t="n">
        <f aca="false">IFERROR(VLOOKUP($A14883,'319'!$B:$H,7,0),0)</f>
        <v>0</v>
      </c>
      <c r="G14883" s="34" t="n">
        <f aca="false">SUMIFS('12.326ana'!$C:$C,'12.326ana'!$M:$M,redes!A14883)</f>
        <v>0</v>
      </c>
    </row>
    <row r="14884" customFormat="false" ht="14.4" hidden="true" customHeight="false" outlineLevel="0" collapsed="false">
      <c r="A14884" s="34" t="n">
        <v>23148084000100</v>
      </c>
      <c r="B14884" s="34" t="s">
        <v>27787</v>
      </c>
      <c r="C14884" s="34" t="s">
        <v>107</v>
      </c>
      <c r="E14884" s="30" t="s">
        <v>27788</v>
      </c>
      <c r="F14884" s="34" t="n">
        <f aca="false">IFERROR(VLOOKUP($A14884,'319'!$B:$H,7,0),0)</f>
        <v>0</v>
      </c>
      <c r="G14884" s="34" t="n">
        <f aca="false">SUMIFS('12.326ana'!$C:$C,'12.326ana'!$M:$M,redes!A14884)</f>
        <v>0</v>
      </c>
    </row>
    <row r="14885" customFormat="false" ht="14.4" hidden="true" customHeight="false" outlineLevel="0" collapsed="false">
      <c r="A14885" s="34" t="n">
        <v>23157446000120</v>
      </c>
      <c r="B14885" s="34" t="s">
        <v>27789</v>
      </c>
      <c r="C14885" s="34" t="s">
        <v>77</v>
      </c>
      <c r="E14885" s="30" t="s">
        <v>27790</v>
      </c>
      <c r="F14885" s="34" t="n">
        <f aca="false">IFERROR(VLOOKUP($A14885,'319'!$B:$H,7,0),0)</f>
        <v>0</v>
      </c>
      <c r="G14885" s="34" t="n">
        <f aca="false">SUMIFS('12.326ana'!$C:$C,'12.326ana'!$M:$M,redes!A14885)</f>
        <v>0</v>
      </c>
    </row>
    <row r="14886" customFormat="false" ht="14.4" hidden="true" customHeight="false" outlineLevel="0" collapsed="false">
      <c r="A14886" s="34" t="n">
        <v>23162608000118</v>
      </c>
      <c r="B14886" s="34" t="s">
        <v>27791</v>
      </c>
      <c r="C14886" s="34" t="s">
        <v>192</v>
      </c>
      <c r="E14886" s="30" t="s">
        <v>27792</v>
      </c>
      <c r="F14886" s="34" t="n">
        <f aca="false">IFERROR(VLOOKUP($A14886,'319'!$B:$H,7,0),0)</f>
        <v>0</v>
      </c>
      <c r="G14886" s="34" t="n">
        <f aca="false">SUMIFS('12.326ana'!$C:$C,'12.326ana'!$M:$M,redes!A14886)</f>
        <v>0</v>
      </c>
    </row>
    <row r="14887" customFormat="false" ht="14.4" hidden="true" customHeight="false" outlineLevel="0" collapsed="false">
      <c r="A14887" s="34" t="n">
        <v>23166760000179</v>
      </c>
      <c r="B14887" s="34" t="s">
        <v>27793</v>
      </c>
      <c r="C14887" s="34" t="s">
        <v>77</v>
      </c>
      <c r="E14887" s="30" t="s">
        <v>27794</v>
      </c>
      <c r="F14887" s="34" t="n">
        <f aca="false">IFERROR(VLOOKUP($A14887,'319'!$B:$H,7,0),0)</f>
        <v>0</v>
      </c>
      <c r="G14887" s="34" t="n">
        <f aca="false">SUMIFS('12.326ana'!$C:$C,'12.326ana'!$M:$M,redes!A14887)</f>
        <v>0</v>
      </c>
    </row>
    <row r="14888" customFormat="false" ht="14.4" hidden="true" customHeight="false" outlineLevel="0" collapsed="false">
      <c r="A14888" s="34" t="n">
        <v>23166786000117</v>
      </c>
      <c r="B14888" s="34" t="s">
        <v>27795</v>
      </c>
      <c r="C14888" s="34" t="s">
        <v>154</v>
      </c>
      <c r="E14888" s="30" t="s">
        <v>11474</v>
      </c>
      <c r="F14888" s="34" t="n">
        <f aca="false">IFERROR(VLOOKUP($A14888,'319'!$B:$H,7,0),0)</f>
        <v>0</v>
      </c>
      <c r="G14888" s="34" t="n">
        <f aca="false">SUMIFS('12.326ana'!$C:$C,'12.326ana'!$M:$M,redes!A14888)</f>
        <v>0</v>
      </c>
    </row>
    <row r="14889" customFormat="false" ht="14.4" hidden="true" customHeight="false" outlineLevel="0" collapsed="false">
      <c r="A14889" s="34" t="n">
        <v>23168496000102</v>
      </c>
      <c r="B14889" s="34" t="s">
        <v>27796</v>
      </c>
      <c r="C14889" s="34" t="s">
        <v>309</v>
      </c>
      <c r="E14889" s="30" t="s">
        <v>27797</v>
      </c>
      <c r="F14889" s="34" t="n">
        <f aca="false">IFERROR(VLOOKUP($A14889,'319'!$B:$H,7,0),0)</f>
        <v>0</v>
      </c>
      <c r="G14889" s="34" t="n">
        <f aca="false">SUMIFS('12.326ana'!$C:$C,'12.326ana'!$M:$M,redes!A14889)</f>
        <v>0</v>
      </c>
    </row>
    <row r="14890" customFormat="false" ht="14.4" hidden="true" customHeight="false" outlineLevel="0" collapsed="false">
      <c r="A14890" s="34" t="n">
        <v>23171067000194</v>
      </c>
      <c r="B14890" s="34" t="s">
        <v>27798</v>
      </c>
      <c r="C14890" s="34" t="s">
        <v>77</v>
      </c>
      <c r="E14890" s="30" t="s">
        <v>27799</v>
      </c>
      <c r="F14890" s="34" t="n">
        <f aca="false">IFERROR(VLOOKUP($A14890,'319'!$B:$H,7,0),0)</f>
        <v>0</v>
      </c>
      <c r="G14890" s="34" t="n">
        <f aca="false">SUMIFS('12.326ana'!$C:$C,'12.326ana'!$M:$M,redes!A14890)</f>
        <v>0</v>
      </c>
    </row>
    <row r="14891" customFormat="false" ht="14.4" hidden="true" customHeight="false" outlineLevel="0" collapsed="false">
      <c r="A14891" s="34" t="n">
        <v>23190679000124</v>
      </c>
      <c r="B14891" s="34" t="s">
        <v>27800</v>
      </c>
      <c r="C14891" s="34" t="s">
        <v>107</v>
      </c>
      <c r="E14891" s="30" t="s">
        <v>27801</v>
      </c>
      <c r="F14891" s="34" t="n">
        <f aca="false">IFERROR(VLOOKUP($A14891,'319'!$B:$H,7,0),0)</f>
        <v>0</v>
      </c>
      <c r="G14891" s="34" t="n">
        <f aca="false">SUMIFS('12.326ana'!$C:$C,'12.326ana'!$M:$M,redes!A14891)</f>
        <v>0</v>
      </c>
    </row>
    <row r="14892" customFormat="false" ht="14.4" hidden="true" customHeight="false" outlineLevel="0" collapsed="false">
      <c r="A14892" s="34" t="n">
        <v>23196516000159</v>
      </c>
      <c r="B14892" s="34" t="s">
        <v>27802</v>
      </c>
      <c r="C14892" s="34" t="s">
        <v>103</v>
      </c>
      <c r="E14892" s="30" t="s">
        <v>27803</v>
      </c>
      <c r="F14892" s="34" t="n">
        <f aca="false">IFERROR(VLOOKUP($A14892,'319'!$B:$H,7,0),0)</f>
        <v>0</v>
      </c>
      <c r="G14892" s="34" t="n">
        <f aca="false">SUMIFS('12.326ana'!$C:$C,'12.326ana'!$M:$M,redes!A14892)</f>
        <v>0</v>
      </c>
    </row>
    <row r="14893" customFormat="false" ht="14.4" hidden="true" customHeight="false" outlineLevel="0" collapsed="false">
      <c r="A14893" s="34" t="n">
        <v>23196556000109</v>
      </c>
      <c r="B14893" s="34" t="s">
        <v>27804</v>
      </c>
      <c r="C14893" s="34" t="s">
        <v>77</v>
      </c>
      <c r="E14893" s="30" t="s">
        <v>27805</v>
      </c>
      <c r="F14893" s="34" t="n">
        <f aca="false">IFERROR(VLOOKUP($A14893,'319'!$B:$H,7,0),0)</f>
        <v>0</v>
      </c>
      <c r="G14893" s="34" t="n">
        <f aca="false">SUMIFS('12.326ana'!$C:$C,'12.326ana'!$M:$M,redes!A14893)</f>
        <v>0</v>
      </c>
    </row>
    <row r="14894" customFormat="false" ht="14.4" hidden="true" customHeight="false" outlineLevel="0" collapsed="false">
      <c r="A14894" s="34" t="n">
        <v>23197082000101</v>
      </c>
      <c r="B14894" s="34" t="s">
        <v>27806</v>
      </c>
      <c r="C14894" s="34" t="s">
        <v>328</v>
      </c>
      <c r="E14894" s="30" t="s">
        <v>27807</v>
      </c>
      <c r="F14894" s="34" t="n">
        <f aca="false">IFERROR(VLOOKUP($A14894,'319'!$B:$H,7,0),0)</f>
        <v>0</v>
      </c>
      <c r="G14894" s="34" t="n">
        <f aca="false">SUMIFS('12.326ana'!$C:$C,'12.326ana'!$M:$M,redes!A14894)</f>
        <v>0</v>
      </c>
    </row>
    <row r="14895" customFormat="false" ht="14.4" hidden="true" customHeight="false" outlineLevel="0" collapsed="false">
      <c r="A14895" s="34" t="n">
        <v>23204006000186</v>
      </c>
      <c r="B14895" s="34" t="s">
        <v>27808</v>
      </c>
      <c r="C14895" s="34" t="s">
        <v>89</v>
      </c>
      <c r="E14895" s="30" t="s">
        <v>27809</v>
      </c>
      <c r="F14895" s="34" t="n">
        <f aca="false">IFERROR(VLOOKUP($A14895,'319'!$B:$H,7,0),0)</f>
        <v>0</v>
      </c>
      <c r="G14895" s="34" t="n">
        <f aca="false">SUMIFS('12.326ana'!$C:$C,'12.326ana'!$M:$M,redes!A14895)</f>
        <v>0</v>
      </c>
    </row>
    <row r="14896" customFormat="false" ht="14.4" hidden="true" customHeight="false" outlineLevel="0" collapsed="false">
      <c r="A14896" s="34" t="n">
        <v>23213372000100</v>
      </c>
      <c r="B14896" s="34" t="s">
        <v>1279</v>
      </c>
      <c r="C14896" s="34" t="s">
        <v>139</v>
      </c>
      <c r="E14896" s="30" t="s">
        <v>27810</v>
      </c>
      <c r="F14896" s="34" t="n">
        <f aca="false">IFERROR(VLOOKUP($A14896,'319'!$B:$H,7,0),0)</f>
        <v>271.24</v>
      </c>
      <c r="G14896" s="34" t="n">
        <f aca="false">SUMIFS('12.326ana'!$C:$C,'12.326ana'!$M:$M,redes!A14896)</f>
        <v>0</v>
      </c>
    </row>
    <row r="14897" customFormat="false" ht="14.4" hidden="true" customHeight="false" outlineLevel="0" collapsed="false">
      <c r="A14897" s="34" t="n">
        <v>23215328000120</v>
      </c>
      <c r="B14897" s="34" t="s">
        <v>27811</v>
      </c>
      <c r="C14897" s="34" t="s">
        <v>197</v>
      </c>
      <c r="E14897" s="30" t="s">
        <v>27812</v>
      </c>
      <c r="F14897" s="34" t="n">
        <f aca="false">IFERROR(VLOOKUP($A14897,'319'!$B:$H,7,0),0)</f>
        <v>0</v>
      </c>
      <c r="G14897" s="34" t="n">
        <f aca="false">SUMIFS('12.326ana'!$C:$C,'12.326ana'!$M:$M,redes!A14897)</f>
        <v>0</v>
      </c>
    </row>
    <row r="14898" customFormat="false" ht="14.4" hidden="true" customHeight="false" outlineLevel="0" collapsed="false">
      <c r="A14898" s="34" t="n">
        <v>23226784000176</v>
      </c>
      <c r="B14898" s="34" t="s">
        <v>27813</v>
      </c>
      <c r="C14898" s="34" t="s">
        <v>192</v>
      </c>
      <c r="E14898" s="30" t="s">
        <v>27814</v>
      </c>
      <c r="F14898" s="34" t="n">
        <f aca="false">IFERROR(VLOOKUP($A14898,'319'!$B:$H,7,0),0)</f>
        <v>0</v>
      </c>
      <c r="G14898" s="34" t="n">
        <f aca="false">SUMIFS('12.326ana'!$C:$C,'12.326ana'!$M:$M,redes!A14898)</f>
        <v>0</v>
      </c>
    </row>
    <row r="14899" customFormat="false" ht="14.4" hidden="true" customHeight="false" outlineLevel="0" collapsed="false">
      <c r="A14899" s="34" t="n">
        <v>23229534000190</v>
      </c>
      <c r="B14899" s="34" t="s">
        <v>27815</v>
      </c>
      <c r="C14899" s="34" t="s">
        <v>713</v>
      </c>
      <c r="E14899" s="30" t="s">
        <v>27816</v>
      </c>
      <c r="F14899" s="34" t="n">
        <f aca="false">IFERROR(VLOOKUP($A14899,'319'!$B:$H,7,0),0)</f>
        <v>0</v>
      </c>
      <c r="G14899" s="34" t="n">
        <f aca="false">SUMIFS('12.326ana'!$C:$C,'12.326ana'!$M:$M,redes!A14899)</f>
        <v>0</v>
      </c>
    </row>
    <row r="14900" customFormat="false" ht="14.4" hidden="true" customHeight="false" outlineLevel="0" collapsed="false">
      <c r="A14900" s="34" t="n">
        <v>23234519000130</v>
      </c>
      <c r="B14900" s="34" t="s">
        <v>27817</v>
      </c>
      <c r="C14900" s="34" t="s">
        <v>89</v>
      </c>
      <c r="E14900" s="30" t="s">
        <v>27818</v>
      </c>
      <c r="F14900" s="34" t="n">
        <f aca="false">IFERROR(VLOOKUP($A14900,'319'!$B:$H,7,0),0)</f>
        <v>0</v>
      </c>
      <c r="G14900" s="34" t="n">
        <f aca="false">SUMIFS('12.326ana'!$C:$C,'12.326ana'!$M:$M,redes!A14900)</f>
        <v>0</v>
      </c>
    </row>
    <row r="14901" customFormat="false" ht="14.4" hidden="true" customHeight="false" outlineLevel="0" collapsed="false">
      <c r="A14901" s="34" t="n">
        <v>23238236000166</v>
      </c>
      <c r="B14901" s="34" t="s">
        <v>27819</v>
      </c>
      <c r="C14901" s="34" t="s">
        <v>680</v>
      </c>
      <c r="E14901" s="30" t="s">
        <v>27820</v>
      </c>
      <c r="F14901" s="34" t="n">
        <f aca="false">IFERROR(VLOOKUP($A14901,'319'!$B:$H,7,0),0)</f>
        <v>0</v>
      </c>
      <c r="G14901" s="34" t="n">
        <f aca="false">SUMIFS('12.326ana'!$C:$C,'12.326ana'!$M:$M,redes!A14901)</f>
        <v>0</v>
      </c>
    </row>
    <row r="14902" customFormat="false" ht="14.4" hidden="true" customHeight="false" outlineLevel="0" collapsed="false">
      <c r="A14902" s="34" t="n">
        <v>23246199000138</v>
      </c>
      <c r="B14902" s="34" t="s">
        <v>27821</v>
      </c>
      <c r="C14902" s="34" t="s">
        <v>129</v>
      </c>
      <c r="D14902" s="34" t="s">
        <v>20482</v>
      </c>
      <c r="E14902" s="30" t="s">
        <v>4678</v>
      </c>
      <c r="F14902" s="34" t="n">
        <f aca="false">IFERROR(VLOOKUP($A14902,'319'!$B:$H,7,0),0)</f>
        <v>0</v>
      </c>
      <c r="G14902" s="34" t="n">
        <f aca="false">SUMIFS('12.326ana'!$C:$C,'12.326ana'!$M:$M,redes!A14902)</f>
        <v>0</v>
      </c>
    </row>
    <row r="14903" customFormat="false" ht="14.4" hidden="true" customHeight="false" outlineLevel="0" collapsed="false">
      <c r="A14903" s="34" t="n">
        <v>23253934000130</v>
      </c>
      <c r="B14903" s="34" t="s">
        <v>3453</v>
      </c>
      <c r="C14903" s="34" t="s">
        <v>77</v>
      </c>
      <c r="E14903" s="30" t="s">
        <v>27822</v>
      </c>
      <c r="F14903" s="34" t="n">
        <f aca="false">IFERROR(VLOOKUP($A14903,'319'!$B:$H,7,0),0)</f>
        <v>0</v>
      </c>
      <c r="G14903" s="34" t="n">
        <f aca="false">SUMIFS('12.326ana'!$C:$C,'12.326ana'!$M:$M,redes!A14903)</f>
        <v>0</v>
      </c>
    </row>
    <row r="14904" customFormat="false" ht="14.4" hidden="true" customHeight="false" outlineLevel="0" collapsed="false">
      <c r="A14904" s="34" t="n">
        <v>23264016000107</v>
      </c>
      <c r="B14904" s="34" t="s">
        <v>27823</v>
      </c>
      <c r="C14904" s="34" t="s">
        <v>848</v>
      </c>
      <c r="E14904" s="30" t="s">
        <v>27824</v>
      </c>
      <c r="F14904" s="34" t="n">
        <f aca="false">IFERROR(VLOOKUP($A14904,'319'!$B:$H,7,0),0)</f>
        <v>0</v>
      </c>
      <c r="G14904" s="34" t="n">
        <f aca="false">SUMIFS('12.326ana'!$C:$C,'12.326ana'!$M:$M,redes!A14904)</f>
        <v>0</v>
      </c>
    </row>
    <row r="14905" customFormat="false" ht="14.4" hidden="true" customHeight="false" outlineLevel="0" collapsed="false">
      <c r="A14905" s="34" t="n">
        <v>23266904000169</v>
      </c>
      <c r="B14905" s="34" t="s">
        <v>27825</v>
      </c>
      <c r="C14905" s="34" t="s">
        <v>1602</v>
      </c>
      <c r="E14905" s="30" t="s">
        <v>27826</v>
      </c>
      <c r="F14905" s="34" t="n">
        <f aca="false">IFERROR(VLOOKUP($A14905,'319'!$B:$H,7,0),0)</f>
        <v>0</v>
      </c>
      <c r="G14905" s="34" t="n">
        <f aca="false">SUMIFS('12.326ana'!$C:$C,'12.326ana'!$M:$M,redes!A14905)</f>
        <v>0</v>
      </c>
    </row>
    <row r="14906" customFormat="false" ht="14.4" hidden="true" customHeight="false" outlineLevel="0" collapsed="false">
      <c r="A14906" s="34" t="n">
        <v>23274802000195</v>
      </c>
      <c r="B14906" s="34" t="s">
        <v>27827</v>
      </c>
      <c r="C14906" s="34" t="s">
        <v>139</v>
      </c>
      <c r="E14906" s="30" t="s">
        <v>27828</v>
      </c>
      <c r="F14906" s="34" t="n">
        <f aca="false">IFERROR(VLOOKUP($A14906,'319'!$B:$H,7,0),0)</f>
        <v>0</v>
      </c>
      <c r="G14906" s="34" t="n">
        <f aca="false">SUMIFS('12.326ana'!$C:$C,'12.326ana'!$M:$M,redes!A14906)</f>
        <v>0</v>
      </c>
    </row>
    <row r="14907" customFormat="false" ht="14.4" hidden="true" customHeight="false" outlineLevel="0" collapsed="false">
      <c r="A14907" s="34" t="n">
        <v>23276650000160</v>
      </c>
      <c r="B14907" s="34" t="s">
        <v>27829</v>
      </c>
      <c r="C14907" s="34" t="s">
        <v>77</v>
      </c>
      <c r="E14907" s="30" t="s">
        <v>27237</v>
      </c>
      <c r="F14907" s="34" t="n">
        <f aca="false">IFERROR(VLOOKUP($A14907,'319'!$B:$H,7,0),0)</f>
        <v>0</v>
      </c>
      <c r="G14907" s="34" t="n">
        <f aca="false">SUMIFS('12.326ana'!$C:$C,'12.326ana'!$M:$M,redes!A14907)</f>
        <v>0</v>
      </c>
    </row>
    <row r="14908" customFormat="false" ht="14.4" hidden="true" customHeight="false" outlineLevel="0" collapsed="false">
      <c r="A14908" s="34" t="n">
        <v>23281149000191</v>
      </c>
      <c r="B14908" s="34" t="s">
        <v>27830</v>
      </c>
      <c r="C14908" s="34" t="s">
        <v>107</v>
      </c>
      <c r="E14908" s="30" t="s">
        <v>27831</v>
      </c>
      <c r="F14908" s="34" t="n">
        <f aca="false">IFERROR(VLOOKUP($A14908,'319'!$B:$H,7,0),0)</f>
        <v>0</v>
      </c>
      <c r="G14908" s="34" t="n">
        <f aca="false">SUMIFS('12.326ana'!$C:$C,'12.326ana'!$M:$M,redes!A14908)</f>
        <v>0</v>
      </c>
    </row>
    <row r="14909" customFormat="false" ht="14.4" hidden="true" customHeight="false" outlineLevel="0" collapsed="false">
      <c r="A14909" s="34" t="n">
        <v>23285386000120</v>
      </c>
      <c r="B14909" s="34" t="s">
        <v>27832</v>
      </c>
      <c r="C14909" s="34" t="s">
        <v>77</v>
      </c>
      <c r="E14909" s="30" t="s">
        <v>27833</v>
      </c>
      <c r="F14909" s="34" t="n">
        <f aca="false">IFERROR(VLOOKUP($A14909,'319'!$B:$H,7,0),0)</f>
        <v>0</v>
      </c>
      <c r="G14909" s="34" t="n">
        <f aca="false">SUMIFS('12.326ana'!$C:$C,'12.326ana'!$M:$M,redes!A14909)</f>
        <v>0</v>
      </c>
    </row>
    <row r="14910" customFormat="false" ht="14.4" hidden="true" customHeight="false" outlineLevel="0" collapsed="false">
      <c r="A14910" s="34" t="n">
        <v>23300377000161</v>
      </c>
      <c r="B14910" s="34" t="s">
        <v>27834</v>
      </c>
      <c r="C14910" s="34" t="s">
        <v>139</v>
      </c>
      <c r="E14910" s="30" t="s">
        <v>8888</v>
      </c>
      <c r="F14910" s="34" t="n">
        <f aca="false">IFERROR(VLOOKUP($A14910,'319'!$B:$H,7,0),0)</f>
        <v>0</v>
      </c>
      <c r="G14910" s="34" t="n">
        <f aca="false">SUMIFS('12.326ana'!$C:$C,'12.326ana'!$M:$M,redes!A14910)</f>
        <v>0</v>
      </c>
    </row>
    <row r="14911" customFormat="false" ht="14.4" hidden="true" customHeight="false" outlineLevel="0" collapsed="false">
      <c r="A14911" s="34" t="n">
        <v>23317219000114</v>
      </c>
      <c r="B14911" s="34" t="s">
        <v>27835</v>
      </c>
      <c r="C14911" s="34" t="s">
        <v>77</v>
      </c>
      <c r="E14911" s="30" t="s">
        <v>27836</v>
      </c>
      <c r="F14911" s="34" t="n">
        <f aca="false">IFERROR(VLOOKUP($A14911,'319'!$B:$H,7,0),0)</f>
        <v>0</v>
      </c>
      <c r="G14911" s="34" t="n">
        <f aca="false">SUMIFS('12.326ana'!$C:$C,'12.326ana'!$M:$M,redes!A14911)</f>
        <v>0</v>
      </c>
    </row>
    <row r="14912" customFormat="false" ht="14.4" hidden="true" customHeight="false" outlineLevel="0" collapsed="false">
      <c r="A14912" s="34" t="n">
        <v>23318341000105</v>
      </c>
      <c r="B14912" s="34" t="s">
        <v>27837</v>
      </c>
      <c r="C14912" s="34" t="s">
        <v>351</v>
      </c>
      <c r="E14912" s="30" t="s">
        <v>27838</v>
      </c>
      <c r="F14912" s="34" t="n">
        <f aca="false">IFERROR(VLOOKUP($A14912,'319'!$B:$H,7,0),0)</f>
        <v>0</v>
      </c>
      <c r="G14912" s="34" t="n">
        <f aca="false">SUMIFS('12.326ana'!$C:$C,'12.326ana'!$M:$M,redes!A14912)</f>
        <v>0</v>
      </c>
    </row>
    <row r="14913" customFormat="false" ht="14.4" hidden="true" customHeight="false" outlineLevel="0" collapsed="false">
      <c r="A14913" s="34" t="n">
        <v>23318522000131</v>
      </c>
      <c r="B14913" s="34" t="s">
        <v>27839</v>
      </c>
      <c r="C14913" s="34" t="s">
        <v>7250</v>
      </c>
      <c r="E14913" s="30" t="s">
        <v>27840</v>
      </c>
      <c r="F14913" s="34" t="n">
        <f aca="false">IFERROR(VLOOKUP($A14913,'319'!$B:$H,7,0),0)</f>
        <v>0</v>
      </c>
      <c r="G14913" s="34" t="n">
        <f aca="false">SUMIFS('12.326ana'!$C:$C,'12.326ana'!$M:$M,redes!A14913)</f>
        <v>0</v>
      </c>
    </row>
    <row r="14914" customFormat="false" ht="14.4" hidden="true" customHeight="false" outlineLevel="0" collapsed="false">
      <c r="A14914" s="34" t="n">
        <v>23322188000190</v>
      </c>
      <c r="B14914" s="34" t="s">
        <v>27841</v>
      </c>
      <c r="C14914" s="34" t="s">
        <v>1272</v>
      </c>
      <c r="E14914" s="30" t="s">
        <v>3066</v>
      </c>
      <c r="F14914" s="34" t="n">
        <f aca="false">IFERROR(VLOOKUP($A14914,'319'!$B:$H,7,0),0)</f>
        <v>0</v>
      </c>
      <c r="G14914" s="34" t="n">
        <f aca="false">SUMIFS('12.326ana'!$C:$C,'12.326ana'!$M:$M,redes!A14914)</f>
        <v>0</v>
      </c>
    </row>
    <row r="14915" customFormat="false" ht="14.4" hidden="true" customHeight="false" outlineLevel="0" collapsed="false">
      <c r="A14915" s="34" t="n">
        <v>23322619000118</v>
      </c>
      <c r="B14915" s="34" t="s">
        <v>27842</v>
      </c>
      <c r="C14915" s="34" t="s">
        <v>342</v>
      </c>
      <c r="E14915" s="30" t="s">
        <v>27843</v>
      </c>
      <c r="F14915" s="34" t="n">
        <f aca="false">IFERROR(VLOOKUP($A14915,'319'!$B:$H,7,0),0)</f>
        <v>0</v>
      </c>
      <c r="G14915" s="34" t="n">
        <f aca="false">SUMIFS('12.326ana'!$C:$C,'12.326ana'!$M:$M,redes!A14915)</f>
        <v>0</v>
      </c>
    </row>
    <row r="14916" customFormat="false" ht="14.4" hidden="true" customHeight="false" outlineLevel="0" collapsed="false">
      <c r="A14916" s="34" t="n">
        <v>23322918000152</v>
      </c>
      <c r="B14916" s="34" t="s">
        <v>27844</v>
      </c>
      <c r="C14916" s="34" t="s">
        <v>77</v>
      </c>
      <c r="E14916" s="30" t="s">
        <v>27845</v>
      </c>
      <c r="F14916" s="34" t="n">
        <f aca="false">IFERROR(VLOOKUP($A14916,'319'!$B:$H,7,0),0)</f>
        <v>0</v>
      </c>
      <c r="G14916" s="34" t="n">
        <f aca="false">SUMIFS('12.326ana'!$C:$C,'12.326ana'!$M:$M,redes!A14916)</f>
        <v>0</v>
      </c>
    </row>
    <row r="14917" customFormat="false" ht="14.4" hidden="true" customHeight="false" outlineLevel="0" collapsed="false">
      <c r="A14917" s="34" t="n">
        <v>23323960000198</v>
      </c>
      <c r="B14917" s="34" t="s">
        <v>27846</v>
      </c>
      <c r="C14917" s="34" t="s">
        <v>604</v>
      </c>
      <c r="E14917" s="30" t="s">
        <v>27847</v>
      </c>
      <c r="F14917" s="34" t="n">
        <f aca="false">IFERROR(VLOOKUP($A14917,'319'!$B:$H,7,0),0)</f>
        <v>0</v>
      </c>
      <c r="G14917" s="34" t="n">
        <f aca="false">SUMIFS('12.326ana'!$C:$C,'12.326ana'!$M:$M,redes!A14917)</f>
        <v>0</v>
      </c>
    </row>
    <row r="14918" customFormat="false" ht="14.4" hidden="true" customHeight="false" outlineLevel="0" collapsed="false">
      <c r="A14918" s="34" t="n">
        <v>23341633000169</v>
      </c>
      <c r="B14918" s="34" t="s">
        <v>27848</v>
      </c>
      <c r="C14918" s="34" t="s">
        <v>357</v>
      </c>
      <c r="E14918" s="30" t="s">
        <v>27849</v>
      </c>
      <c r="F14918" s="34" t="n">
        <f aca="false">IFERROR(VLOOKUP($A14918,'319'!$B:$H,7,0),0)</f>
        <v>0</v>
      </c>
      <c r="G14918" s="34" t="n">
        <f aca="false">SUMIFS('12.326ana'!$C:$C,'12.326ana'!$M:$M,redes!A14918)</f>
        <v>0</v>
      </c>
    </row>
    <row r="14919" customFormat="false" ht="14.4" hidden="true" customHeight="false" outlineLevel="0" collapsed="false">
      <c r="A14919" s="34" t="n">
        <v>23349216000162</v>
      </c>
      <c r="B14919" s="34" t="s">
        <v>27850</v>
      </c>
      <c r="C14919" s="34" t="s">
        <v>463</v>
      </c>
      <c r="E14919" s="30" t="s">
        <v>27851</v>
      </c>
      <c r="F14919" s="34" t="n">
        <f aca="false">IFERROR(VLOOKUP($A14919,'319'!$B:$H,7,0),0)</f>
        <v>0</v>
      </c>
      <c r="G14919" s="34" t="n">
        <f aca="false">SUMIFS('12.326ana'!$C:$C,'12.326ana'!$M:$M,redes!A14919)</f>
        <v>0</v>
      </c>
    </row>
    <row r="14920" customFormat="false" ht="14.4" hidden="true" customHeight="false" outlineLevel="0" collapsed="false">
      <c r="A14920" s="34" t="n">
        <v>23350836000111</v>
      </c>
      <c r="B14920" s="34" t="s">
        <v>27852</v>
      </c>
      <c r="C14920" s="34" t="s">
        <v>77</v>
      </c>
      <c r="E14920" s="30" t="s">
        <v>27852</v>
      </c>
      <c r="F14920" s="34" t="n">
        <f aca="false">IFERROR(VLOOKUP($A14920,'319'!$B:$H,7,0),0)</f>
        <v>0</v>
      </c>
      <c r="G14920" s="34" t="n">
        <f aca="false">SUMIFS('12.326ana'!$C:$C,'12.326ana'!$M:$M,redes!A14920)</f>
        <v>0</v>
      </c>
    </row>
    <row r="14921" customFormat="false" ht="14.4" hidden="true" customHeight="false" outlineLevel="0" collapsed="false">
      <c r="A14921" s="34" t="n">
        <v>23358629000103</v>
      </c>
      <c r="B14921" s="34" t="s">
        <v>27853</v>
      </c>
      <c r="C14921" s="34" t="s">
        <v>296</v>
      </c>
      <c r="E14921" s="30" t="s">
        <v>27854</v>
      </c>
      <c r="F14921" s="34" t="n">
        <f aca="false">IFERROR(VLOOKUP($A14921,'319'!$B:$H,7,0),0)</f>
        <v>0</v>
      </c>
      <c r="G14921" s="34" t="n">
        <f aca="false">SUMIFS('12.326ana'!$C:$C,'12.326ana'!$M:$M,redes!A14921)</f>
        <v>0</v>
      </c>
    </row>
    <row r="14922" customFormat="false" ht="14.4" hidden="true" customHeight="false" outlineLevel="0" collapsed="false">
      <c r="A14922" s="34" t="n">
        <v>23361020000193</v>
      </c>
      <c r="B14922" s="34" t="s">
        <v>9152</v>
      </c>
      <c r="C14922" s="34" t="s">
        <v>77</v>
      </c>
      <c r="E14922" s="30" t="s">
        <v>27855</v>
      </c>
      <c r="F14922" s="34" t="n">
        <f aca="false">IFERROR(VLOOKUP($A14922,'319'!$B:$H,7,0),0)</f>
        <v>0</v>
      </c>
      <c r="G14922" s="34" t="n">
        <f aca="false">SUMIFS('12.326ana'!$C:$C,'12.326ana'!$M:$M,redes!A14922)</f>
        <v>0</v>
      </c>
    </row>
    <row r="14923" customFormat="false" ht="14.4" hidden="true" customHeight="false" outlineLevel="0" collapsed="false">
      <c r="A14923" s="34" t="n">
        <v>23372168000123</v>
      </c>
      <c r="B14923" s="34" t="s">
        <v>27856</v>
      </c>
      <c r="C14923" s="34" t="s">
        <v>342</v>
      </c>
      <c r="D14923" s="34" t="s">
        <v>27857</v>
      </c>
      <c r="E14923" s="30" t="s">
        <v>27858</v>
      </c>
      <c r="F14923" s="34" t="n">
        <f aca="false">IFERROR(VLOOKUP($A14923,'319'!$B:$H,7,0),0)</f>
        <v>1023.58</v>
      </c>
      <c r="G14923" s="34" t="n">
        <f aca="false">SUMIFS('12.326ana'!$C:$C,'12.326ana'!$M:$M,redes!A14923)</f>
        <v>0</v>
      </c>
    </row>
    <row r="14924" customFormat="false" ht="14.4" hidden="true" customHeight="false" outlineLevel="0" collapsed="false">
      <c r="A14924" s="34" t="n">
        <v>23372168000204</v>
      </c>
      <c r="B14924" s="34" t="s">
        <v>27859</v>
      </c>
      <c r="C14924" s="34" t="s">
        <v>342</v>
      </c>
      <c r="D14924" s="34" t="s">
        <v>27857</v>
      </c>
      <c r="E14924" s="30" t="s">
        <v>27860</v>
      </c>
      <c r="F14924" s="34" t="n">
        <f aca="false">IFERROR(VLOOKUP($A14924,'319'!$B:$H,7,0),0)</f>
        <v>1406.75</v>
      </c>
      <c r="G14924" s="34" t="n">
        <f aca="false">SUMIFS('12.326ana'!$C:$C,'12.326ana'!$M:$M,redes!A14924)</f>
        <v>0</v>
      </c>
    </row>
    <row r="14925" customFormat="false" ht="14.4" hidden="true" customHeight="false" outlineLevel="0" collapsed="false">
      <c r="A14925" s="34" t="n">
        <v>23378799000150</v>
      </c>
      <c r="B14925" s="34" t="s">
        <v>27861</v>
      </c>
      <c r="C14925" s="34" t="s">
        <v>562</v>
      </c>
      <c r="E14925" s="30" t="s">
        <v>27862</v>
      </c>
      <c r="F14925" s="34" t="n">
        <f aca="false">IFERROR(VLOOKUP($A14925,'319'!$B:$H,7,0),0)</f>
        <v>0</v>
      </c>
      <c r="G14925" s="34" t="n">
        <f aca="false">SUMIFS('12.326ana'!$C:$C,'12.326ana'!$M:$M,redes!A14925)</f>
        <v>0</v>
      </c>
    </row>
    <row r="14926" customFormat="false" ht="14.4" hidden="true" customHeight="false" outlineLevel="0" collapsed="false">
      <c r="A14926" s="34" t="n">
        <v>23387207000166</v>
      </c>
      <c r="B14926" s="34" t="s">
        <v>27863</v>
      </c>
      <c r="C14926" s="34" t="s">
        <v>77</v>
      </c>
      <c r="E14926" s="30" t="s">
        <v>14440</v>
      </c>
      <c r="F14926" s="34" t="n">
        <f aca="false">IFERROR(VLOOKUP($A14926,'319'!$B:$H,7,0),0)</f>
        <v>0</v>
      </c>
      <c r="G14926" s="34" t="n">
        <f aca="false">SUMIFS('12.326ana'!$C:$C,'12.326ana'!$M:$M,redes!A14926)</f>
        <v>0</v>
      </c>
    </row>
    <row r="14927" customFormat="false" ht="14.4" hidden="true" customHeight="false" outlineLevel="0" collapsed="false">
      <c r="A14927" s="34" t="n">
        <v>23387424000156</v>
      </c>
      <c r="B14927" s="34" t="s">
        <v>27864</v>
      </c>
      <c r="C14927" s="34" t="s">
        <v>77</v>
      </c>
      <c r="E14927" s="30" t="s">
        <v>27865</v>
      </c>
      <c r="F14927" s="34" t="n">
        <f aca="false">IFERROR(VLOOKUP($A14927,'319'!$B:$H,7,0),0)</f>
        <v>0</v>
      </c>
      <c r="G14927" s="34" t="n">
        <f aca="false">SUMIFS('12.326ana'!$C:$C,'12.326ana'!$M:$M,redes!A14927)</f>
        <v>0</v>
      </c>
    </row>
    <row r="14928" customFormat="false" ht="14.4" hidden="true" customHeight="false" outlineLevel="0" collapsed="false">
      <c r="A14928" s="34" t="n">
        <v>23410498000166</v>
      </c>
      <c r="B14928" s="34" t="s">
        <v>27866</v>
      </c>
      <c r="C14928" s="34" t="s">
        <v>299</v>
      </c>
      <c r="E14928" s="30" t="s">
        <v>27867</v>
      </c>
      <c r="F14928" s="34" t="n">
        <f aca="false">IFERROR(VLOOKUP($A14928,'319'!$B:$H,7,0),0)</f>
        <v>0</v>
      </c>
      <c r="G14928" s="34" t="n">
        <f aca="false">SUMIFS('12.326ana'!$C:$C,'12.326ana'!$M:$M,redes!A14928)</f>
        <v>0</v>
      </c>
    </row>
    <row r="14929" customFormat="false" ht="14.4" hidden="true" customHeight="false" outlineLevel="0" collapsed="false">
      <c r="A14929" s="34" t="n">
        <v>23410911000192</v>
      </c>
      <c r="B14929" s="34" t="s">
        <v>27868</v>
      </c>
      <c r="C14929" s="34" t="s">
        <v>77</v>
      </c>
      <c r="E14929" s="30" t="s">
        <v>27869</v>
      </c>
      <c r="F14929" s="34" t="n">
        <f aca="false">IFERROR(VLOOKUP($A14929,'319'!$B:$H,7,0),0)</f>
        <v>0</v>
      </c>
      <c r="G14929" s="34" t="n">
        <f aca="false">SUMIFS('12.326ana'!$C:$C,'12.326ana'!$M:$M,redes!A14929)</f>
        <v>0</v>
      </c>
    </row>
    <row r="14930" customFormat="false" ht="14.4" hidden="true" customHeight="false" outlineLevel="0" collapsed="false">
      <c r="A14930" s="34" t="n">
        <v>23417175000102</v>
      </c>
      <c r="B14930" s="34" t="s">
        <v>27870</v>
      </c>
      <c r="C14930" s="34" t="s">
        <v>809</v>
      </c>
      <c r="E14930" s="30" t="s">
        <v>27871</v>
      </c>
      <c r="F14930" s="34" t="n">
        <f aca="false">IFERROR(VLOOKUP($A14930,'319'!$B:$H,7,0),0)</f>
        <v>0</v>
      </c>
      <c r="G14930" s="34" t="n">
        <f aca="false">SUMIFS('12.326ana'!$C:$C,'12.326ana'!$M:$M,redes!A14930)</f>
        <v>0</v>
      </c>
    </row>
    <row r="14931" customFormat="false" ht="14.4" hidden="true" customHeight="false" outlineLevel="0" collapsed="false">
      <c r="A14931" s="34" t="n">
        <v>23417437000120</v>
      </c>
      <c r="B14931" s="34" t="s">
        <v>27872</v>
      </c>
      <c r="C14931" s="34" t="s">
        <v>737</v>
      </c>
      <c r="E14931" s="30" t="s">
        <v>27873</v>
      </c>
      <c r="F14931" s="34" t="n">
        <f aca="false">IFERROR(VLOOKUP($A14931,'319'!$B:$H,7,0),0)</f>
        <v>0</v>
      </c>
      <c r="G14931" s="34" t="n">
        <f aca="false">SUMIFS('12.326ana'!$C:$C,'12.326ana'!$M:$M,redes!A14931)</f>
        <v>0</v>
      </c>
    </row>
    <row r="14932" customFormat="false" ht="14.4" hidden="true" customHeight="false" outlineLevel="0" collapsed="false">
      <c r="A14932" s="34" t="n">
        <v>23418432000112</v>
      </c>
      <c r="B14932" s="34" t="s">
        <v>27874</v>
      </c>
      <c r="C14932" s="34" t="s">
        <v>197</v>
      </c>
      <c r="E14932" s="30" t="s">
        <v>27875</v>
      </c>
      <c r="F14932" s="34" t="n">
        <f aca="false">IFERROR(VLOOKUP($A14932,'319'!$B:$H,7,0),0)</f>
        <v>0</v>
      </c>
      <c r="G14932" s="34" t="n">
        <f aca="false">SUMIFS('12.326ana'!$C:$C,'12.326ana'!$M:$M,redes!A14932)</f>
        <v>0</v>
      </c>
    </row>
    <row r="14933" customFormat="false" ht="14.4" hidden="true" customHeight="false" outlineLevel="0" collapsed="false">
      <c r="A14933" s="34" t="n">
        <v>23426610000157</v>
      </c>
      <c r="B14933" s="34" t="s">
        <v>27876</v>
      </c>
      <c r="C14933" s="34" t="s">
        <v>2998</v>
      </c>
      <c r="E14933" s="30" t="s">
        <v>22153</v>
      </c>
      <c r="F14933" s="34" t="n">
        <f aca="false">IFERROR(VLOOKUP($A14933,'319'!$B:$H,7,0),0)</f>
        <v>0</v>
      </c>
      <c r="G14933" s="34" t="n">
        <f aca="false">SUMIFS('12.326ana'!$C:$C,'12.326ana'!$M:$M,redes!A14933)</f>
        <v>0</v>
      </c>
    </row>
    <row r="14934" customFormat="false" ht="14.4" hidden="true" customHeight="false" outlineLevel="0" collapsed="false">
      <c r="A14934" s="34" t="n">
        <v>23430217000137</v>
      </c>
      <c r="B14934" s="34" t="s">
        <v>27877</v>
      </c>
      <c r="C14934" s="34" t="s">
        <v>77</v>
      </c>
      <c r="E14934" s="30" t="s">
        <v>27878</v>
      </c>
      <c r="F14934" s="34" t="n">
        <f aca="false">IFERROR(VLOOKUP($A14934,'319'!$B:$H,7,0),0)</f>
        <v>0</v>
      </c>
      <c r="G14934" s="34" t="n">
        <f aca="false">SUMIFS('12.326ana'!$C:$C,'12.326ana'!$M:$M,redes!A14934)</f>
        <v>0</v>
      </c>
    </row>
    <row r="14935" customFormat="false" ht="14.4" hidden="true" customHeight="false" outlineLevel="0" collapsed="false">
      <c r="A14935" s="34" t="n">
        <v>23438032000179</v>
      </c>
      <c r="B14935" s="34" t="s">
        <v>27879</v>
      </c>
      <c r="C14935" s="34" t="s">
        <v>77</v>
      </c>
      <c r="E14935" s="30" t="s">
        <v>27880</v>
      </c>
      <c r="F14935" s="34" t="n">
        <f aca="false">IFERROR(VLOOKUP($A14935,'319'!$B:$H,7,0),0)</f>
        <v>0</v>
      </c>
      <c r="G14935" s="34" t="n">
        <f aca="false">SUMIFS('12.326ana'!$C:$C,'12.326ana'!$M:$M,redes!A14935)</f>
        <v>0</v>
      </c>
    </row>
    <row r="14936" customFormat="false" ht="14.4" hidden="true" customHeight="false" outlineLevel="0" collapsed="false">
      <c r="A14936" s="34" t="n">
        <v>23439150000100</v>
      </c>
      <c r="B14936" s="34" t="s">
        <v>27881</v>
      </c>
      <c r="C14936" s="34" t="s">
        <v>107</v>
      </c>
      <c r="E14936" s="30" t="s">
        <v>27882</v>
      </c>
      <c r="F14936" s="34" t="n">
        <f aca="false">IFERROR(VLOOKUP($A14936,'319'!$B:$H,7,0),0)</f>
        <v>0</v>
      </c>
      <c r="G14936" s="34" t="n">
        <f aca="false">SUMIFS('12.326ana'!$C:$C,'12.326ana'!$M:$M,redes!A14936)</f>
        <v>0</v>
      </c>
    </row>
    <row r="14937" customFormat="false" ht="14.4" hidden="true" customHeight="false" outlineLevel="0" collapsed="false">
      <c r="A14937" s="34" t="n">
        <v>23446152000118</v>
      </c>
      <c r="B14937" s="34" t="s">
        <v>27883</v>
      </c>
      <c r="C14937" s="34" t="s">
        <v>192</v>
      </c>
      <c r="E14937" s="30" t="s">
        <v>3194</v>
      </c>
      <c r="F14937" s="34" t="n">
        <f aca="false">IFERROR(VLOOKUP($A14937,'319'!$B:$H,7,0),0)</f>
        <v>0</v>
      </c>
      <c r="G14937" s="34" t="n">
        <f aca="false">SUMIFS('12.326ana'!$C:$C,'12.326ana'!$M:$M,redes!A14937)</f>
        <v>0</v>
      </c>
    </row>
    <row r="14938" customFormat="false" ht="14.4" hidden="true" customHeight="false" outlineLevel="0" collapsed="false">
      <c r="A14938" s="34" t="n">
        <v>23450821000125</v>
      </c>
      <c r="B14938" s="34" t="s">
        <v>27884</v>
      </c>
      <c r="C14938" s="34" t="s">
        <v>139</v>
      </c>
      <c r="E14938" s="30" t="s">
        <v>27884</v>
      </c>
      <c r="F14938" s="34" t="n">
        <f aca="false">IFERROR(VLOOKUP($A14938,'319'!$B:$H,7,0),0)</f>
        <v>0</v>
      </c>
      <c r="G14938" s="34" t="n">
        <f aca="false">SUMIFS('12.326ana'!$C:$C,'12.326ana'!$M:$M,redes!A14938)</f>
        <v>0</v>
      </c>
    </row>
    <row r="14939" customFormat="false" ht="14.4" hidden="true" customHeight="false" outlineLevel="0" collapsed="false">
      <c r="A14939" s="34" t="n">
        <v>23466551000140</v>
      </c>
      <c r="B14939" s="34" t="s">
        <v>27885</v>
      </c>
      <c r="C14939" s="34" t="s">
        <v>77</v>
      </c>
      <c r="E14939" s="30" t="s">
        <v>7071</v>
      </c>
      <c r="F14939" s="34" t="n">
        <f aca="false">IFERROR(VLOOKUP($A14939,'319'!$B:$H,7,0),0)</f>
        <v>226.45</v>
      </c>
      <c r="G14939" s="34" t="n">
        <f aca="false">SUMIFS('12.326ana'!$C:$C,'12.326ana'!$M:$M,redes!A14939)</f>
        <v>0</v>
      </c>
    </row>
    <row r="14940" customFormat="false" ht="14.4" hidden="true" customHeight="false" outlineLevel="0" collapsed="false">
      <c r="A14940" s="34" t="n">
        <v>23467040000143</v>
      </c>
      <c r="B14940" s="34" t="s">
        <v>27886</v>
      </c>
      <c r="C14940" s="34" t="s">
        <v>154</v>
      </c>
      <c r="E14940" s="30" t="s">
        <v>27887</v>
      </c>
      <c r="F14940" s="34" t="n">
        <f aca="false">IFERROR(VLOOKUP($A14940,'319'!$B:$H,7,0),0)</f>
        <v>0</v>
      </c>
      <c r="G14940" s="34" t="n">
        <f aca="false">SUMIFS('12.326ana'!$C:$C,'12.326ana'!$M:$M,redes!A14940)</f>
        <v>0</v>
      </c>
    </row>
    <row r="14941" customFormat="false" ht="14.4" hidden="true" customHeight="false" outlineLevel="0" collapsed="false">
      <c r="A14941" s="34" t="n">
        <v>23467253000175</v>
      </c>
      <c r="B14941" s="34" t="s">
        <v>27888</v>
      </c>
      <c r="C14941" s="34" t="s">
        <v>594</v>
      </c>
      <c r="E14941" s="30" t="s">
        <v>25858</v>
      </c>
      <c r="F14941" s="34" t="n">
        <f aca="false">IFERROR(VLOOKUP($A14941,'319'!$B:$H,7,0),0)</f>
        <v>0</v>
      </c>
      <c r="G14941" s="34" t="n">
        <f aca="false">SUMIFS('12.326ana'!$C:$C,'12.326ana'!$M:$M,redes!A14941)</f>
        <v>0</v>
      </c>
    </row>
    <row r="14942" customFormat="false" ht="14.4" hidden="true" customHeight="false" outlineLevel="0" collapsed="false">
      <c r="A14942" s="34" t="n">
        <v>23474980000160</v>
      </c>
      <c r="B14942" s="34" t="s">
        <v>830</v>
      </c>
      <c r="C14942" s="34" t="s">
        <v>103</v>
      </c>
      <c r="E14942" s="30" t="s">
        <v>27889</v>
      </c>
      <c r="F14942" s="34" t="n">
        <f aca="false">IFERROR(VLOOKUP($A14942,'319'!$B:$H,7,0),0)</f>
        <v>2248.96</v>
      </c>
      <c r="G14942" s="34" t="n">
        <f aca="false">SUMIFS('12.326ana'!$C:$C,'12.326ana'!$M:$M,redes!A14942)</f>
        <v>0</v>
      </c>
    </row>
    <row r="14943" customFormat="false" ht="14.4" hidden="true" customHeight="false" outlineLevel="0" collapsed="false">
      <c r="A14943" s="34" t="n">
        <v>23511327000123</v>
      </c>
      <c r="B14943" s="34" t="s">
        <v>27890</v>
      </c>
      <c r="C14943" s="34" t="s">
        <v>77</v>
      </c>
      <c r="E14943" s="30" t="s">
        <v>27891</v>
      </c>
      <c r="F14943" s="34" t="n">
        <f aca="false">IFERROR(VLOOKUP($A14943,'319'!$B:$H,7,0),0)</f>
        <v>0</v>
      </c>
      <c r="G14943" s="34" t="n">
        <f aca="false">SUMIFS('12.326ana'!$C:$C,'12.326ana'!$M:$M,redes!A14943)</f>
        <v>0</v>
      </c>
    </row>
    <row r="14944" customFormat="false" ht="14.4" hidden="true" customHeight="false" outlineLevel="0" collapsed="false">
      <c r="A14944" s="34" t="n">
        <v>23511358000184</v>
      </c>
      <c r="B14944" s="34" t="s">
        <v>27892</v>
      </c>
      <c r="C14944" s="34" t="s">
        <v>77</v>
      </c>
      <c r="E14944" s="30" t="s">
        <v>27893</v>
      </c>
      <c r="F14944" s="34" t="n">
        <f aca="false">IFERROR(VLOOKUP($A14944,'319'!$B:$H,7,0),0)</f>
        <v>0</v>
      </c>
      <c r="G14944" s="34" t="n">
        <f aca="false">SUMIFS('12.326ana'!$C:$C,'12.326ana'!$M:$M,redes!A14944)</f>
        <v>0</v>
      </c>
    </row>
    <row r="14945" customFormat="false" ht="14.4" hidden="true" customHeight="false" outlineLevel="0" collapsed="false">
      <c r="A14945" s="34" t="n">
        <v>23511358000265</v>
      </c>
      <c r="B14945" s="34" t="s">
        <v>27892</v>
      </c>
      <c r="C14945" s="34" t="s">
        <v>77</v>
      </c>
      <c r="E14945" s="30" t="s">
        <v>27894</v>
      </c>
      <c r="F14945" s="34" t="n">
        <f aca="false">IFERROR(VLOOKUP($A14945,'319'!$B:$H,7,0),0)</f>
        <v>0</v>
      </c>
      <c r="G14945" s="34" t="n">
        <f aca="false">SUMIFS('12.326ana'!$C:$C,'12.326ana'!$M:$M,redes!A14945)</f>
        <v>0</v>
      </c>
    </row>
    <row r="14946" customFormat="false" ht="14.4" hidden="true" customHeight="false" outlineLevel="0" collapsed="false">
      <c r="A14946" s="34" t="n">
        <v>23511760000169</v>
      </c>
      <c r="B14946" s="34" t="s">
        <v>26404</v>
      </c>
      <c r="C14946" s="34" t="s">
        <v>139</v>
      </c>
      <c r="E14946" s="30" t="s">
        <v>27895</v>
      </c>
      <c r="F14946" s="34" t="n">
        <f aca="false">IFERROR(VLOOKUP($A14946,'319'!$B:$H,7,0),0)</f>
        <v>0</v>
      </c>
      <c r="G14946" s="34" t="n">
        <f aca="false">SUMIFS('12.326ana'!$C:$C,'12.326ana'!$M:$M,redes!A14946)</f>
        <v>0</v>
      </c>
    </row>
    <row r="14947" customFormat="false" ht="14.4" hidden="true" customHeight="false" outlineLevel="0" collapsed="false">
      <c r="A14947" s="34" t="n">
        <v>23513008000157</v>
      </c>
      <c r="B14947" s="34" t="s">
        <v>27896</v>
      </c>
      <c r="C14947" s="34" t="s">
        <v>565</v>
      </c>
      <c r="E14947" s="30" t="s">
        <v>27897</v>
      </c>
      <c r="F14947" s="34" t="n">
        <f aca="false">IFERROR(VLOOKUP($A14947,'319'!$B:$H,7,0),0)</f>
        <v>0</v>
      </c>
      <c r="G14947" s="34" t="n">
        <f aca="false">SUMIFS('12.326ana'!$C:$C,'12.326ana'!$M:$M,redes!A14947)</f>
        <v>0</v>
      </c>
    </row>
    <row r="14948" customFormat="false" ht="14.4" hidden="true" customHeight="false" outlineLevel="0" collapsed="false">
      <c r="A14948" s="34" t="n">
        <v>23516535000115</v>
      </c>
      <c r="B14948" s="34" t="s">
        <v>27898</v>
      </c>
      <c r="C14948" s="34" t="s">
        <v>77</v>
      </c>
      <c r="E14948" s="30" t="s">
        <v>6461</v>
      </c>
      <c r="F14948" s="34" t="n">
        <f aca="false">IFERROR(VLOOKUP($A14948,'319'!$B:$H,7,0),0)</f>
        <v>0</v>
      </c>
      <c r="G14948" s="34" t="n">
        <f aca="false">SUMIFS('12.326ana'!$C:$C,'12.326ana'!$M:$M,redes!A14948)</f>
        <v>0</v>
      </c>
    </row>
    <row r="14949" customFormat="false" ht="14.4" hidden="true" customHeight="false" outlineLevel="0" collapsed="false">
      <c r="A14949" s="34" t="n">
        <v>23518311000142</v>
      </c>
      <c r="B14949" s="34" t="s">
        <v>27899</v>
      </c>
      <c r="C14949" s="34" t="s">
        <v>77</v>
      </c>
      <c r="E14949" s="30" t="s">
        <v>27900</v>
      </c>
      <c r="F14949" s="34" t="n">
        <f aca="false">IFERROR(VLOOKUP($A14949,'319'!$B:$H,7,0),0)</f>
        <v>0</v>
      </c>
      <c r="G14949" s="34" t="n">
        <f aca="false">SUMIFS('12.326ana'!$C:$C,'12.326ana'!$M:$M,redes!A14949)</f>
        <v>0</v>
      </c>
    </row>
    <row r="14950" customFormat="false" ht="14.4" hidden="true" customHeight="false" outlineLevel="0" collapsed="false">
      <c r="A14950" s="34" t="n">
        <v>23521150000146</v>
      </c>
      <c r="B14950" s="34" t="s">
        <v>27901</v>
      </c>
      <c r="C14950" s="34" t="s">
        <v>309</v>
      </c>
      <c r="E14950" s="30" t="s">
        <v>27902</v>
      </c>
      <c r="F14950" s="34" t="n">
        <f aca="false">IFERROR(VLOOKUP($A14950,'319'!$B:$H,7,0),0)</f>
        <v>0</v>
      </c>
      <c r="G14950" s="34" t="n">
        <f aca="false">SUMIFS('12.326ana'!$C:$C,'12.326ana'!$M:$M,redes!A14950)</f>
        <v>0</v>
      </c>
    </row>
    <row r="14951" customFormat="false" ht="14.4" hidden="true" customHeight="false" outlineLevel="0" collapsed="false">
      <c r="A14951" s="34" t="n">
        <v>23530787000107</v>
      </c>
      <c r="B14951" s="34" t="s">
        <v>27903</v>
      </c>
      <c r="C14951" s="34" t="s">
        <v>1272</v>
      </c>
      <c r="E14951" s="30" t="s">
        <v>27904</v>
      </c>
      <c r="F14951" s="34" t="n">
        <f aca="false">IFERROR(VLOOKUP($A14951,'319'!$B:$H,7,0),0)</f>
        <v>0</v>
      </c>
      <c r="G14951" s="34" t="n">
        <f aca="false">SUMIFS('12.326ana'!$C:$C,'12.326ana'!$M:$M,redes!A14951)</f>
        <v>0</v>
      </c>
    </row>
    <row r="14952" customFormat="false" ht="14.4" hidden="true" customHeight="false" outlineLevel="0" collapsed="false">
      <c r="A14952" s="34" t="n">
        <v>23538298000193</v>
      </c>
      <c r="B14952" s="34" t="s">
        <v>27905</v>
      </c>
      <c r="C14952" s="34" t="s">
        <v>192</v>
      </c>
      <c r="E14952" s="30" t="s">
        <v>15629</v>
      </c>
      <c r="F14952" s="34" t="n">
        <f aca="false">IFERROR(VLOOKUP($A14952,'319'!$B:$H,7,0),0)</f>
        <v>0</v>
      </c>
      <c r="G14952" s="34" t="n">
        <f aca="false">SUMIFS('12.326ana'!$C:$C,'12.326ana'!$M:$M,redes!A14952)</f>
        <v>0</v>
      </c>
    </row>
    <row r="14953" customFormat="false" ht="14.4" hidden="true" customHeight="false" outlineLevel="0" collapsed="false">
      <c r="A14953" s="34" t="n">
        <v>23538421000257</v>
      </c>
      <c r="B14953" s="34" t="s">
        <v>27906</v>
      </c>
      <c r="C14953" s="34" t="s">
        <v>207</v>
      </c>
      <c r="E14953" s="30" t="s">
        <v>27907</v>
      </c>
      <c r="F14953" s="34" t="n">
        <f aca="false">IFERROR(VLOOKUP($A14953,'319'!$B:$H,7,0),0)</f>
        <v>0</v>
      </c>
      <c r="G14953" s="34" t="n">
        <f aca="false">SUMIFS('12.326ana'!$C:$C,'12.326ana'!$M:$M,redes!A14953)</f>
        <v>0</v>
      </c>
    </row>
    <row r="14954" customFormat="false" ht="14.4" hidden="true" customHeight="false" outlineLevel="0" collapsed="false">
      <c r="A14954" s="34" t="n">
        <v>23539697000179</v>
      </c>
      <c r="B14954" s="34" t="s">
        <v>27908</v>
      </c>
      <c r="C14954" s="34" t="s">
        <v>562</v>
      </c>
      <c r="E14954" s="30" t="s">
        <v>27909</v>
      </c>
      <c r="F14954" s="34" t="n">
        <f aca="false">IFERROR(VLOOKUP($A14954,'319'!$B:$H,7,0),0)</f>
        <v>0</v>
      </c>
      <c r="G14954" s="34" t="n">
        <f aca="false">SUMIFS('12.326ana'!$C:$C,'12.326ana'!$M:$M,redes!A14954)</f>
        <v>0</v>
      </c>
    </row>
    <row r="14955" customFormat="false" ht="14.4" hidden="true" customHeight="false" outlineLevel="0" collapsed="false">
      <c r="A14955" s="34" t="n">
        <v>23541299000197</v>
      </c>
      <c r="B14955" s="34" t="s">
        <v>27910</v>
      </c>
      <c r="C14955" s="34" t="s">
        <v>77</v>
      </c>
      <c r="E14955" s="30" t="s">
        <v>27911</v>
      </c>
      <c r="F14955" s="34" t="n">
        <f aca="false">IFERROR(VLOOKUP($A14955,'319'!$B:$H,7,0),0)</f>
        <v>0</v>
      </c>
      <c r="G14955" s="34" t="n">
        <f aca="false">SUMIFS('12.326ana'!$C:$C,'12.326ana'!$M:$M,redes!A14955)</f>
        <v>0</v>
      </c>
    </row>
    <row r="14956" customFormat="false" ht="14.4" hidden="true" customHeight="false" outlineLevel="0" collapsed="false">
      <c r="A14956" s="34" t="n">
        <v>23545498000173</v>
      </c>
      <c r="B14956" s="34" t="s">
        <v>27912</v>
      </c>
      <c r="C14956" s="34" t="s">
        <v>77</v>
      </c>
      <c r="E14956" s="30" t="s">
        <v>27913</v>
      </c>
      <c r="F14956" s="34" t="n">
        <f aca="false">IFERROR(VLOOKUP($A14956,'319'!$B:$H,7,0),0)</f>
        <v>0</v>
      </c>
      <c r="G14956" s="34" t="n">
        <f aca="false">SUMIFS('12.326ana'!$C:$C,'12.326ana'!$M:$M,redes!A14956)</f>
        <v>0</v>
      </c>
    </row>
    <row r="14957" customFormat="false" ht="14.4" hidden="true" customHeight="false" outlineLevel="0" collapsed="false">
      <c r="A14957" s="34" t="n">
        <v>23554501000115</v>
      </c>
      <c r="B14957" s="34" t="s">
        <v>27914</v>
      </c>
      <c r="C14957" s="34" t="s">
        <v>77</v>
      </c>
      <c r="E14957" s="30" t="s">
        <v>27915</v>
      </c>
      <c r="F14957" s="34" t="n">
        <f aca="false">IFERROR(VLOOKUP($A14957,'319'!$B:$H,7,0),0)</f>
        <v>0</v>
      </c>
      <c r="G14957" s="34" t="n">
        <f aca="false">SUMIFS('12.326ana'!$C:$C,'12.326ana'!$M:$M,redes!A14957)</f>
        <v>0</v>
      </c>
    </row>
    <row r="14958" customFormat="false" ht="14.4" hidden="true" customHeight="false" outlineLevel="0" collapsed="false">
      <c r="A14958" s="34" t="n">
        <v>23556359000145</v>
      </c>
      <c r="B14958" s="34" t="s">
        <v>27916</v>
      </c>
      <c r="C14958" s="34" t="s">
        <v>389</v>
      </c>
      <c r="E14958" s="30" t="s">
        <v>27917</v>
      </c>
      <c r="F14958" s="34" t="n">
        <f aca="false">IFERROR(VLOOKUP($A14958,'319'!$B:$H,7,0),0)</f>
        <v>0</v>
      </c>
      <c r="G14958" s="34" t="n">
        <f aca="false">SUMIFS('12.326ana'!$C:$C,'12.326ana'!$M:$M,redes!A14958)</f>
        <v>0</v>
      </c>
    </row>
    <row r="14959" customFormat="false" ht="14.4" hidden="true" customHeight="false" outlineLevel="0" collapsed="false">
      <c r="A14959" s="34" t="n">
        <v>23556428000110</v>
      </c>
      <c r="B14959" s="34" t="s">
        <v>27918</v>
      </c>
      <c r="C14959" s="34" t="s">
        <v>77</v>
      </c>
      <c r="E14959" s="30" t="s">
        <v>27919</v>
      </c>
      <c r="F14959" s="34" t="n">
        <f aca="false">IFERROR(VLOOKUP($A14959,'319'!$B:$H,7,0),0)</f>
        <v>0</v>
      </c>
      <c r="G14959" s="34" t="n">
        <f aca="false">SUMIFS('12.326ana'!$C:$C,'12.326ana'!$M:$M,redes!A14959)</f>
        <v>0</v>
      </c>
    </row>
    <row r="14960" customFormat="false" ht="14.4" hidden="true" customHeight="false" outlineLevel="0" collapsed="false">
      <c r="A14960" s="34" t="n">
        <v>23556448000191</v>
      </c>
      <c r="B14960" s="34" t="s">
        <v>27920</v>
      </c>
      <c r="C14960" s="34" t="s">
        <v>77</v>
      </c>
      <c r="E14960" s="30" t="s">
        <v>27920</v>
      </c>
      <c r="F14960" s="34" t="n">
        <f aca="false">IFERROR(VLOOKUP($A14960,'319'!$B:$H,7,0),0)</f>
        <v>0</v>
      </c>
      <c r="G14960" s="34" t="n">
        <f aca="false">SUMIFS('12.326ana'!$C:$C,'12.326ana'!$M:$M,redes!A14960)</f>
        <v>0</v>
      </c>
    </row>
    <row r="14961" customFormat="false" ht="14.4" hidden="true" customHeight="false" outlineLevel="0" collapsed="false">
      <c r="A14961" s="34" t="n">
        <v>23557009000101</v>
      </c>
      <c r="B14961" s="34" t="s">
        <v>27921</v>
      </c>
      <c r="C14961" s="34" t="s">
        <v>207</v>
      </c>
      <c r="E14961" s="30" t="s">
        <v>27922</v>
      </c>
      <c r="F14961" s="34" t="n">
        <f aca="false">IFERROR(VLOOKUP($A14961,'319'!$B:$H,7,0),0)</f>
        <v>0</v>
      </c>
      <c r="G14961" s="34" t="n">
        <f aca="false">SUMIFS('12.326ana'!$C:$C,'12.326ana'!$M:$M,redes!A14961)</f>
        <v>0</v>
      </c>
    </row>
    <row r="14962" customFormat="false" ht="14.4" hidden="true" customHeight="false" outlineLevel="0" collapsed="false">
      <c r="A14962" s="34" t="n">
        <v>23564774000140</v>
      </c>
      <c r="B14962" s="34" t="s">
        <v>27923</v>
      </c>
      <c r="C14962" s="34" t="s">
        <v>77</v>
      </c>
      <c r="E14962" s="30" t="s">
        <v>27924</v>
      </c>
      <c r="F14962" s="34" t="n">
        <f aca="false">IFERROR(VLOOKUP($A14962,'319'!$B:$H,7,0),0)</f>
        <v>0</v>
      </c>
      <c r="G14962" s="34" t="n">
        <f aca="false">SUMIFS('12.326ana'!$C:$C,'12.326ana'!$M:$M,redes!A14962)</f>
        <v>0</v>
      </c>
    </row>
    <row r="14963" customFormat="false" ht="14.4" hidden="true" customHeight="false" outlineLevel="0" collapsed="false">
      <c r="A14963" s="34" t="n">
        <v>23566695000179</v>
      </c>
      <c r="B14963" s="34" t="s">
        <v>27925</v>
      </c>
      <c r="C14963" s="34" t="s">
        <v>737</v>
      </c>
      <c r="E14963" s="30" t="s">
        <v>19444</v>
      </c>
      <c r="F14963" s="34" t="n">
        <f aca="false">IFERROR(VLOOKUP($A14963,'319'!$B:$H,7,0),0)</f>
        <v>0</v>
      </c>
      <c r="G14963" s="34" t="n">
        <f aca="false">SUMIFS('12.326ana'!$C:$C,'12.326ana'!$M:$M,redes!A14963)</f>
        <v>0</v>
      </c>
    </row>
    <row r="14964" customFormat="false" ht="14.4" hidden="true" customHeight="false" outlineLevel="0" collapsed="false">
      <c r="A14964" s="34" t="n">
        <v>23566963000152</v>
      </c>
      <c r="B14964" s="34" t="s">
        <v>27926</v>
      </c>
      <c r="C14964" s="34" t="s">
        <v>309</v>
      </c>
      <c r="E14964" s="30" t="s">
        <v>4387</v>
      </c>
      <c r="F14964" s="34" t="n">
        <f aca="false">IFERROR(VLOOKUP($A14964,'319'!$B:$H,7,0),0)</f>
        <v>0</v>
      </c>
      <c r="G14964" s="34" t="n">
        <f aca="false">SUMIFS('12.326ana'!$C:$C,'12.326ana'!$M:$M,redes!A14964)</f>
        <v>0</v>
      </c>
    </row>
    <row r="14965" customFormat="false" ht="14.4" hidden="true" customHeight="false" outlineLevel="0" collapsed="false">
      <c r="A14965" s="34" t="n">
        <v>23575076000140</v>
      </c>
      <c r="B14965" s="34" t="s">
        <v>27927</v>
      </c>
      <c r="C14965" s="34" t="s">
        <v>77</v>
      </c>
      <c r="E14965" s="30" t="s">
        <v>27928</v>
      </c>
      <c r="F14965" s="34" t="n">
        <f aca="false">IFERROR(VLOOKUP($A14965,'319'!$B:$H,7,0),0)</f>
        <v>0</v>
      </c>
      <c r="G14965" s="34" t="n">
        <f aca="false">SUMIFS('12.326ana'!$C:$C,'12.326ana'!$M:$M,redes!A14965)</f>
        <v>0</v>
      </c>
    </row>
    <row r="14966" customFormat="false" ht="14.4" hidden="true" customHeight="false" outlineLevel="0" collapsed="false">
      <c r="A14966" s="34" t="n">
        <v>23592229000168</v>
      </c>
      <c r="B14966" s="34" t="s">
        <v>27929</v>
      </c>
      <c r="C14966" s="34" t="s">
        <v>77</v>
      </c>
      <c r="E14966" s="30" t="s">
        <v>27930</v>
      </c>
      <c r="F14966" s="34" t="n">
        <f aca="false">IFERROR(VLOOKUP($A14966,'319'!$B:$H,7,0),0)</f>
        <v>0</v>
      </c>
      <c r="G14966" s="34" t="n">
        <f aca="false">SUMIFS('12.326ana'!$C:$C,'12.326ana'!$M:$M,redes!A14966)</f>
        <v>0</v>
      </c>
    </row>
    <row r="14967" customFormat="false" ht="14.4" hidden="true" customHeight="false" outlineLevel="0" collapsed="false">
      <c r="A14967" s="34" t="n">
        <v>23594984000181</v>
      </c>
      <c r="B14967" s="34" t="s">
        <v>27931</v>
      </c>
      <c r="C14967" s="34" t="s">
        <v>598</v>
      </c>
      <c r="E14967" s="30" t="s">
        <v>27932</v>
      </c>
      <c r="F14967" s="34" t="n">
        <f aca="false">IFERROR(VLOOKUP($A14967,'319'!$B:$H,7,0),0)</f>
        <v>0</v>
      </c>
      <c r="G14967" s="34" t="n">
        <f aca="false">SUMIFS('12.326ana'!$C:$C,'12.326ana'!$M:$M,redes!A14967)</f>
        <v>0</v>
      </c>
    </row>
    <row r="14968" customFormat="false" ht="14.4" hidden="true" customHeight="false" outlineLevel="0" collapsed="false">
      <c r="A14968" s="34" t="n">
        <v>23605828000179</v>
      </c>
      <c r="B14968" s="34" t="s">
        <v>27933</v>
      </c>
      <c r="C14968" s="34" t="s">
        <v>336</v>
      </c>
      <c r="E14968" s="30" t="s">
        <v>18803</v>
      </c>
      <c r="F14968" s="34" t="n">
        <f aca="false">IFERROR(VLOOKUP($A14968,'319'!$B:$H,7,0),0)</f>
        <v>0</v>
      </c>
      <c r="G14968" s="34" t="n">
        <f aca="false">SUMIFS('12.326ana'!$C:$C,'12.326ana'!$M:$M,redes!A14968)</f>
        <v>0</v>
      </c>
    </row>
    <row r="14969" customFormat="false" ht="14.4" hidden="true" customHeight="false" outlineLevel="0" collapsed="false">
      <c r="A14969" s="34" t="n">
        <v>23609636000130</v>
      </c>
      <c r="B14969" s="34" t="s">
        <v>27934</v>
      </c>
      <c r="C14969" s="34" t="s">
        <v>77</v>
      </c>
      <c r="E14969" s="30" t="s">
        <v>27935</v>
      </c>
      <c r="F14969" s="34" t="n">
        <f aca="false">IFERROR(VLOOKUP($A14969,'319'!$B:$H,7,0),0)</f>
        <v>0</v>
      </c>
      <c r="G14969" s="34" t="n">
        <f aca="false">SUMIFS('12.326ana'!$C:$C,'12.326ana'!$M:$M,redes!A14969)</f>
        <v>0</v>
      </c>
    </row>
    <row r="14970" customFormat="false" ht="14.4" hidden="true" customHeight="false" outlineLevel="0" collapsed="false">
      <c r="A14970" s="34" t="n">
        <v>23610302000187</v>
      </c>
      <c r="B14970" s="34" t="s">
        <v>27936</v>
      </c>
      <c r="C14970" s="34" t="s">
        <v>192</v>
      </c>
      <c r="E14970" s="30" t="s">
        <v>27937</v>
      </c>
      <c r="F14970" s="34" t="n">
        <f aca="false">IFERROR(VLOOKUP($A14970,'319'!$B:$H,7,0),0)</f>
        <v>0</v>
      </c>
      <c r="G14970" s="34" t="n">
        <f aca="false">SUMIFS('12.326ana'!$C:$C,'12.326ana'!$M:$M,redes!A14970)</f>
        <v>0</v>
      </c>
    </row>
    <row r="14971" customFormat="false" ht="14.4" hidden="true" customHeight="false" outlineLevel="0" collapsed="false">
      <c r="A14971" s="34" t="n">
        <v>23613159000187</v>
      </c>
      <c r="B14971" s="34" t="s">
        <v>27938</v>
      </c>
      <c r="C14971" s="34" t="s">
        <v>2998</v>
      </c>
      <c r="E14971" s="30" t="s">
        <v>27939</v>
      </c>
      <c r="F14971" s="34" t="n">
        <f aca="false">IFERROR(VLOOKUP($A14971,'319'!$B:$H,7,0),0)</f>
        <v>0</v>
      </c>
      <c r="G14971" s="34" t="n">
        <f aca="false">SUMIFS('12.326ana'!$C:$C,'12.326ana'!$M:$M,redes!A14971)</f>
        <v>0</v>
      </c>
    </row>
    <row r="14972" customFormat="false" ht="14.4" hidden="true" customHeight="false" outlineLevel="0" collapsed="false">
      <c r="A14972" s="34" t="n">
        <v>23622022000199</v>
      </c>
      <c r="B14972" s="34" t="s">
        <v>27940</v>
      </c>
      <c r="C14972" s="34" t="s">
        <v>77</v>
      </c>
      <c r="E14972" s="30" t="s">
        <v>27941</v>
      </c>
      <c r="F14972" s="34" t="n">
        <f aca="false">IFERROR(VLOOKUP($A14972,'319'!$B:$H,7,0),0)</f>
        <v>0</v>
      </c>
      <c r="G14972" s="34" t="n">
        <f aca="false">SUMIFS('12.326ana'!$C:$C,'12.326ana'!$M:$M,redes!A14972)</f>
        <v>0</v>
      </c>
    </row>
    <row r="14973" customFormat="false" ht="14.4" hidden="true" customHeight="false" outlineLevel="0" collapsed="false">
      <c r="A14973" s="34" t="n">
        <v>23631652000120</v>
      </c>
      <c r="B14973" s="34" t="s">
        <v>27942</v>
      </c>
      <c r="C14973" s="34" t="s">
        <v>77</v>
      </c>
      <c r="E14973" s="30" t="s">
        <v>27943</v>
      </c>
      <c r="F14973" s="34" t="n">
        <f aca="false">IFERROR(VLOOKUP($A14973,'319'!$B:$H,7,0),0)</f>
        <v>0</v>
      </c>
      <c r="G14973" s="34" t="n">
        <f aca="false">SUMIFS('12.326ana'!$C:$C,'12.326ana'!$M:$M,redes!A14973)</f>
        <v>0</v>
      </c>
    </row>
    <row r="14974" customFormat="false" ht="14.4" hidden="true" customHeight="false" outlineLevel="0" collapsed="false">
      <c r="A14974" s="34" t="n">
        <v>23632152000102</v>
      </c>
      <c r="B14974" s="34" t="s">
        <v>27944</v>
      </c>
      <c r="C14974" s="34" t="s">
        <v>631</v>
      </c>
      <c r="E14974" s="30" t="s">
        <v>27945</v>
      </c>
      <c r="F14974" s="34" t="n">
        <f aca="false">IFERROR(VLOOKUP($A14974,'319'!$B:$H,7,0),0)</f>
        <v>0</v>
      </c>
      <c r="G14974" s="34" t="n">
        <f aca="false">SUMIFS('12.326ana'!$C:$C,'12.326ana'!$M:$M,redes!A14974)</f>
        <v>0</v>
      </c>
    </row>
    <row r="14975" customFormat="false" ht="14.4" hidden="true" customHeight="false" outlineLevel="0" collapsed="false">
      <c r="A14975" s="34" t="n">
        <v>23634730000140</v>
      </c>
      <c r="B14975" s="34" t="s">
        <v>27946</v>
      </c>
      <c r="C14975" s="34" t="s">
        <v>706</v>
      </c>
      <c r="E14975" s="30" t="s">
        <v>27947</v>
      </c>
      <c r="F14975" s="34" t="n">
        <f aca="false">IFERROR(VLOOKUP($A14975,'319'!$B:$H,7,0),0)</f>
        <v>0</v>
      </c>
      <c r="G14975" s="34" t="n">
        <f aca="false">SUMIFS('12.326ana'!$C:$C,'12.326ana'!$M:$M,redes!A14975)</f>
        <v>0</v>
      </c>
    </row>
    <row r="14976" customFormat="false" ht="14.4" hidden="true" customHeight="false" outlineLevel="0" collapsed="false">
      <c r="A14976" s="34" t="n">
        <v>23637449000160</v>
      </c>
      <c r="B14976" s="34" t="s">
        <v>27948</v>
      </c>
      <c r="C14976" s="34" t="s">
        <v>77</v>
      </c>
      <c r="E14976" s="30" t="s">
        <v>27949</v>
      </c>
      <c r="F14976" s="34" t="n">
        <f aca="false">IFERROR(VLOOKUP($A14976,'319'!$B:$H,7,0),0)</f>
        <v>0</v>
      </c>
      <c r="G14976" s="34" t="n">
        <f aca="false">SUMIFS('12.326ana'!$C:$C,'12.326ana'!$M:$M,redes!A14976)</f>
        <v>0</v>
      </c>
    </row>
    <row r="14977" customFormat="false" ht="14.4" hidden="true" customHeight="false" outlineLevel="0" collapsed="false">
      <c r="A14977" s="34" t="n">
        <v>23642902000127</v>
      </c>
      <c r="B14977" s="34" t="s">
        <v>27950</v>
      </c>
      <c r="C14977" s="34" t="s">
        <v>1591</v>
      </c>
      <c r="E14977" s="30" t="s">
        <v>27951</v>
      </c>
      <c r="F14977" s="34" t="n">
        <f aca="false">IFERROR(VLOOKUP($A14977,'319'!$B:$H,7,0),0)</f>
        <v>0</v>
      </c>
      <c r="G14977" s="34" t="n">
        <f aca="false">SUMIFS('12.326ana'!$C:$C,'12.326ana'!$M:$M,redes!A14977)</f>
        <v>0</v>
      </c>
    </row>
    <row r="14978" customFormat="false" ht="14.4" hidden="true" customHeight="false" outlineLevel="0" collapsed="false">
      <c r="A14978" s="34" t="n">
        <v>23651812000100</v>
      </c>
      <c r="B14978" s="34" t="s">
        <v>27952</v>
      </c>
      <c r="C14978" s="34" t="s">
        <v>77</v>
      </c>
      <c r="E14978" s="30" t="s">
        <v>27953</v>
      </c>
      <c r="F14978" s="34" t="n">
        <f aca="false">IFERROR(VLOOKUP($A14978,'319'!$B:$H,7,0),0)</f>
        <v>65.52</v>
      </c>
      <c r="G14978" s="34" t="n">
        <f aca="false">SUMIFS('12.326ana'!$C:$C,'12.326ana'!$M:$M,redes!A14978)</f>
        <v>0</v>
      </c>
    </row>
    <row r="14979" customFormat="false" ht="14.4" hidden="true" customHeight="false" outlineLevel="0" collapsed="false">
      <c r="A14979" s="34" t="n">
        <v>23652549000166</v>
      </c>
      <c r="B14979" s="34" t="s">
        <v>27954</v>
      </c>
      <c r="C14979" s="34" t="s">
        <v>139</v>
      </c>
      <c r="E14979" s="30" t="s">
        <v>27955</v>
      </c>
      <c r="F14979" s="34" t="n">
        <f aca="false">IFERROR(VLOOKUP($A14979,'319'!$B:$H,7,0),0)</f>
        <v>0</v>
      </c>
      <c r="G14979" s="34" t="n">
        <f aca="false">SUMIFS('12.326ana'!$C:$C,'12.326ana'!$M:$M,redes!A14979)</f>
        <v>0</v>
      </c>
    </row>
    <row r="14980" customFormat="false" ht="14.4" hidden="true" customHeight="false" outlineLevel="0" collapsed="false">
      <c r="A14980" s="34" t="n">
        <v>23657758000100</v>
      </c>
      <c r="B14980" s="34" t="s">
        <v>27956</v>
      </c>
      <c r="C14980" s="34" t="s">
        <v>77</v>
      </c>
      <c r="E14980" s="30" t="s">
        <v>27957</v>
      </c>
      <c r="F14980" s="34" t="n">
        <f aca="false">IFERROR(VLOOKUP($A14980,'319'!$B:$H,7,0),0)</f>
        <v>0</v>
      </c>
      <c r="G14980" s="34" t="n">
        <f aca="false">SUMIFS('12.326ana'!$C:$C,'12.326ana'!$M:$M,redes!A14980)</f>
        <v>0</v>
      </c>
    </row>
    <row r="14981" customFormat="false" ht="14.4" hidden="true" customHeight="false" outlineLevel="0" collapsed="false">
      <c r="A14981" s="34" t="n">
        <v>23659175000100</v>
      </c>
      <c r="B14981" s="34" t="s">
        <v>27958</v>
      </c>
      <c r="C14981" s="34" t="s">
        <v>107</v>
      </c>
      <c r="E14981" s="30" t="s">
        <v>27959</v>
      </c>
      <c r="F14981" s="34" t="n">
        <f aca="false">IFERROR(VLOOKUP($A14981,'319'!$B:$H,7,0),0)</f>
        <v>0</v>
      </c>
      <c r="G14981" s="34" t="n">
        <f aca="false">SUMIFS('12.326ana'!$C:$C,'12.326ana'!$M:$M,redes!A14981)</f>
        <v>0</v>
      </c>
    </row>
    <row r="14982" customFormat="false" ht="14.4" hidden="true" customHeight="false" outlineLevel="0" collapsed="false">
      <c r="A14982" s="34" t="n">
        <v>23659961000108</v>
      </c>
      <c r="B14982" s="34" t="s">
        <v>27960</v>
      </c>
      <c r="C14982" s="34" t="s">
        <v>328</v>
      </c>
      <c r="E14982" s="30" t="s">
        <v>3194</v>
      </c>
      <c r="F14982" s="34" t="n">
        <f aca="false">IFERROR(VLOOKUP($A14982,'319'!$B:$H,7,0),0)</f>
        <v>0</v>
      </c>
      <c r="G14982" s="34" t="n">
        <f aca="false">SUMIFS('12.326ana'!$C:$C,'12.326ana'!$M:$M,redes!A14982)</f>
        <v>0</v>
      </c>
    </row>
    <row r="14983" customFormat="false" ht="14.4" hidden="true" customHeight="false" outlineLevel="0" collapsed="false">
      <c r="A14983" s="34" t="n">
        <v>23675987000140</v>
      </c>
      <c r="B14983" s="34" t="s">
        <v>27961</v>
      </c>
      <c r="C14983" s="34" t="s">
        <v>139</v>
      </c>
      <c r="E14983" s="30" t="s">
        <v>26963</v>
      </c>
      <c r="F14983" s="34" t="n">
        <f aca="false">IFERROR(VLOOKUP($A14983,'319'!$B:$H,7,0),0)</f>
        <v>0</v>
      </c>
      <c r="G14983" s="34" t="n">
        <f aca="false">SUMIFS('12.326ana'!$C:$C,'12.326ana'!$M:$M,redes!A14983)</f>
        <v>0</v>
      </c>
    </row>
    <row r="14984" customFormat="false" ht="14.4" hidden="true" customHeight="false" outlineLevel="0" collapsed="false">
      <c r="A14984" s="34" t="n">
        <v>23678670000167</v>
      </c>
      <c r="B14984" s="34" t="s">
        <v>27962</v>
      </c>
      <c r="C14984" s="34" t="s">
        <v>192</v>
      </c>
      <c r="E14984" s="30" t="s">
        <v>27963</v>
      </c>
      <c r="F14984" s="34" t="n">
        <f aca="false">IFERROR(VLOOKUP($A14984,'319'!$B:$H,7,0),0)</f>
        <v>0</v>
      </c>
      <c r="G14984" s="34" t="n">
        <f aca="false">SUMIFS('12.326ana'!$C:$C,'12.326ana'!$M:$M,redes!A14984)</f>
        <v>0</v>
      </c>
    </row>
    <row r="14985" customFormat="false" ht="14.4" hidden="true" customHeight="false" outlineLevel="0" collapsed="false">
      <c r="A14985" s="34" t="n">
        <v>23689751000162</v>
      </c>
      <c r="B14985" s="34" t="s">
        <v>27964</v>
      </c>
      <c r="C14985" s="34" t="s">
        <v>842</v>
      </c>
      <c r="E14985" s="30" t="s">
        <v>27965</v>
      </c>
      <c r="F14985" s="34" t="n">
        <f aca="false">IFERROR(VLOOKUP($A14985,'319'!$B:$H,7,0),0)</f>
        <v>0</v>
      </c>
      <c r="G14985" s="34" t="n">
        <f aca="false">SUMIFS('12.326ana'!$C:$C,'12.326ana'!$M:$M,redes!A14985)</f>
        <v>0</v>
      </c>
    </row>
    <row r="14986" customFormat="false" ht="14.4" hidden="true" customHeight="false" outlineLevel="0" collapsed="false">
      <c r="A14986" s="34" t="n">
        <v>23709856000136</v>
      </c>
      <c r="B14986" s="34" t="s">
        <v>27966</v>
      </c>
      <c r="C14986" s="34" t="s">
        <v>89</v>
      </c>
      <c r="E14986" s="30" t="s">
        <v>22144</v>
      </c>
      <c r="F14986" s="34" t="n">
        <f aca="false">IFERROR(VLOOKUP($A14986,'319'!$B:$H,7,0),0)</f>
        <v>0</v>
      </c>
      <c r="G14986" s="34" t="n">
        <f aca="false">SUMIFS('12.326ana'!$C:$C,'12.326ana'!$M:$M,redes!A14986)</f>
        <v>0</v>
      </c>
    </row>
    <row r="14987" customFormat="false" ht="14.4" hidden="true" customHeight="false" outlineLevel="0" collapsed="false">
      <c r="A14987" s="34" t="n">
        <v>23713325000117</v>
      </c>
      <c r="B14987" s="34" t="s">
        <v>27967</v>
      </c>
      <c r="C14987" s="34" t="s">
        <v>207</v>
      </c>
      <c r="E14987" s="30" t="s">
        <v>23320</v>
      </c>
      <c r="F14987" s="34" t="n">
        <f aca="false">IFERROR(VLOOKUP($A14987,'319'!$B:$H,7,0),0)</f>
        <v>0</v>
      </c>
      <c r="G14987" s="34" t="n">
        <f aca="false">SUMIFS('12.326ana'!$C:$C,'12.326ana'!$M:$M,redes!A14987)</f>
        <v>0</v>
      </c>
    </row>
    <row r="14988" customFormat="false" ht="14.4" hidden="true" customHeight="false" outlineLevel="0" collapsed="false">
      <c r="A14988" s="34" t="n">
        <v>23714651000149</v>
      </c>
      <c r="B14988" s="34" t="s">
        <v>27968</v>
      </c>
      <c r="C14988" s="34" t="s">
        <v>89</v>
      </c>
      <c r="E14988" s="30" t="s">
        <v>27969</v>
      </c>
      <c r="F14988" s="34" t="n">
        <f aca="false">IFERROR(VLOOKUP($A14988,'319'!$B:$H,7,0),0)</f>
        <v>0</v>
      </c>
      <c r="G14988" s="34" t="n">
        <f aca="false">SUMIFS('12.326ana'!$C:$C,'12.326ana'!$M:$M,redes!A14988)</f>
        <v>0</v>
      </c>
    </row>
    <row r="14989" customFormat="false" ht="14.4" hidden="true" customHeight="false" outlineLevel="0" collapsed="false">
      <c r="A14989" s="34" t="n">
        <v>23718268000169</v>
      </c>
      <c r="B14989" s="34" t="s">
        <v>27970</v>
      </c>
      <c r="C14989" s="34" t="s">
        <v>473</v>
      </c>
      <c r="E14989" s="30" t="s">
        <v>8653</v>
      </c>
      <c r="F14989" s="34" t="n">
        <f aca="false">IFERROR(VLOOKUP($A14989,'319'!$B:$H,7,0),0)</f>
        <v>0</v>
      </c>
      <c r="G14989" s="34" t="n">
        <f aca="false">SUMIFS('12.326ana'!$C:$C,'12.326ana'!$M:$M,redes!A14989)</f>
        <v>0</v>
      </c>
    </row>
    <row r="14990" customFormat="false" ht="14.4" hidden="true" customHeight="false" outlineLevel="0" collapsed="false">
      <c r="A14990" s="34" t="n">
        <v>23728608000132</v>
      </c>
      <c r="B14990" s="34" t="s">
        <v>27971</v>
      </c>
      <c r="C14990" s="34" t="s">
        <v>77</v>
      </c>
      <c r="E14990" s="30" t="s">
        <v>27972</v>
      </c>
      <c r="F14990" s="34" t="n">
        <f aca="false">IFERROR(VLOOKUP($A14990,'319'!$B:$H,7,0),0)</f>
        <v>0</v>
      </c>
      <c r="G14990" s="34" t="n">
        <f aca="false">SUMIFS('12.326ana'!$C:$C,'12.326ana'!$M:$M,redes!A14990)</f>
        <v>0</v>
      </c>
    </row>
    <row r="14991" customFormat="false" ht="14.4" hidden="true" customHeight="false" outlineLevel="0" collapsed="false">
      <c r="A14991" s="34" t="n">
        <v>23740461000104</v>
      </c>
      <c r="B14991" s="34" t="s">
        <v>27973</v>
      </c>
      <c r="C14991" s="34" t="s">
        <v>979</v>
      </c>
      <c r="E14991" s="30" t="s">
        <v>27974</v>
      </c>
      <c r="F14991" s="34" t="n">
        <f aca="false">IFERROR(VLOOKUP($A14991,'319'!$B:$H,7,0),0)</f>
        <v>0</v>
      </c>
      <c r="G14991" s="34" t="n">
        <f aca="false">SUMIFS('12.326ana'!$C:$C,'12.326ana'!$M:$M,redes!A14991)</f>
        <v>0</v>
      </c>
    </row>
    <row r="14992" customFormat="false" ht="14.4" hidden="true" customHeight="false" outlineLevel="0" collapsed="false">
      <c r="A14992" s="34" t="n">
        <v>23741335000166</v>
      </c>
      <c r="B14992" s="34" t="s">
        <v>27975</v>
      </c>
      <c r="C14992" s="34" t="s">
        <v>296</v>
      </c>
      <c r="E14992" s="30" t="s">
        <v>14090</v>
      </c>
      <c r="F14992" s="34" t="n">
        <f aca="false">IFERROR(VLOOKUP($A14992,'319'!$B:$H,7,0),0)</f>
        <v>0</v>
      </c>
      <c r="G14992" s="34" t="n">
        <f aca="false">SUMIFS('12.326ana'!$C:$C,'12.326ana'!$M:$M,redes!A14992)</f>
        <v>0</v>
      </c>
    </row>
    <row r="14993" customFormat="false" ht="14.4" hidden="true" customHeight="false" outlineLevel="0" collapsed="false">
      <c r="A14993" s="34" t="n">
        <v>23743575000108</v>
      </c>
      <c r="B14993" s="34" t="s">
        <v>27976</v>
      </c>
      <c r="C14993" s="34" t="s">
        <v>103</v>
      </c>
      <c r="E14993" s="30" t="s">
        <v>27976</v>
      </c>
      <c r="F14993" s="34" t="n">
        <f aca="false">IFERROR(VLOOKUP($A14993,'319'!$B:$H,7,0),0)</f>
        <v>0</v>
      </c>
      <c r="G14993" s="34" t="n">
        <f aca="false">SUMIFS('12.326ana'!$C:$C,'12.326ana'!$M:$M,redes!A14993)</f>
        <v>0</v>
      </c>
    </row>
    <row r="14994" customFormat="false" ht="14.4" hidden="true" customHeight="false" outlineLevel="0" collapsed="false">
      <c r="A14994" s="34" t="n">
        <v>23766764000198</v>
      </c>
      <c r="B14994" s="34" t="s">
        <v>27977</v>
      </c>
      <c r="C14994" s="34" t="s">
        <v>107</v>
      </c>
      <c r="E14994" s="30" t="s">
        <v>27978</v>
      </c>
      <c r="F14994" s="34" t="n">
        <f aca="false">IFERROR(VLOOKUP($A14994,'319'!$B:$H,7,0),0)</f>
        <v>0</v>
      </c>
      <c r="G14994" s="34" t="n">
        <f aca="false">SUMIFS('12.326ana'!$C:$C,'12.326ana'!$M:$M,redes!A14994)</f>
        <v>0</v>
      </c>
    </row>
    <row r="14995" customFormat="false" ht="14.4" hidden="true" customHeight="false" outlineLevel="0" collapsed="false">
      <c r="A14995" s="34" t="n">
        <v>23784138000124</v>
      </c>
      <c r="B14995" s="34" t="s">
        <v>27979</v>
      </c>
      <c r="C14995" s="34" t="s">
        <v>192</v>
      </c>
      <c r="E14995" s="30" t="s">
        <v>27980</v>
      </c>
      <c r="F14995" s="34" t="n">
        <f aca="false">IFERROR(VLOOKUP($A14995,'319'!$B:$H,7,0),0)</f>
        <v>0</v>
      </c>
      <c r="G14995" s="34" t="n">
        <f aca="false">SUMIFS('12.326ana'!$C:$C,'12.326ana'!$M:$M,redes!A14995)</f>
        <v>0</v>
      </c>
    </row>
    <row r="14996" customFormat="false" ht="14.4" hidden="true" customHeight="false" outlineLevel="0" collapsed="false">
      <c r="A14996" s="34" t="n">
        <v>23789269000102</v>
      </c>
      <c r="B14996" s="34" t="s">
        <v>4605</v>
      </c>
      <c r="C14996" s="34" t="s">
        <v>463</v>
      </c>
      <c r="E14996" s="30" t="s">
        <v>3247</v>
      </c>
      <c r="F14996" s="34" t="n">
        <f aca="false">IFERROR(VLOOKUP($A14996,'319'!$B:$H,7,0),0)</f>
        <v>0</v>
      </c>
      <c r="G14996" s="34" t="n">
        <f aca="false">SUMIFS('12.326ana'!$C:$C,'12.326ana'!$M:$M,redes!A14996)</f>
        <v>0</v>
      </c>
    </row>
    <row r="14997" customFormat="false" ht="14.4" hidden="true" customHeight="false" outlineLevel="0" collapsed="false">
      <c r="A14997" s="34" t="n">
        <v>23791489000162</v>
      </c>
      <c r="B14997" s="34" t="s">
        <v>27981</v>
      </c>
      <c r="C14997" s="34" t="s">
        <v>192</v>
      </c>
      <c r="E14997" s="30" t="s">
        <v>27982</v>
      </c>
      <c r="F14997" s="34" t="n">
        <f aca="false">IFERROR(VLOOKUP($A14997,'319'!$B:$H,7,0),0)</f>
        <v>0</v>
      </c>
      <c r="G14997" s="34" t="n">
        <f aca="false">SUMIFS('12.326ana'!$C:$C,'12.326ana'!$M:$M,redes!A14997)</f>
        <v>0</v>
      </c>
    </row>
    <row r="14998" customFormat="false" ht="14.4" hidden="true" customHeight="false" outlineLevel="0" collapsed="false">
      <c r="A14998" s="34" t="n">
        <v>23807158000173</v>
      </c>
      <c r="B14998" s="34" t="s">
        <v>27983</v>
      </c>
      <c r="C14998" s="34" t="s">
        <v>463</v>
      </c>
      <c r="E14998" s="30" t="s">
        <v>27984</v>
      </c>
      <c r="F14998" s="34" t="n">
        <f aca="false">IFERROR(VLOOKUP($A14998,'319'!$B:$H,7,0),0)</f>
        <v>0</v>
      </c>
      <c r="G14998" s="34" t="n">
        <f aca="false">SUMIFS('12.326ana'!$C:$C,'12.326ana'!$M:$M,redes!A14998)</f>
        <v>0</v>
      </c>
    </row>
    <row r="14999" customFormat="false" ht="14.4" hidden="true" customHeight="false" outlineLevel="0" collapsed="false">
      <c r="A14999" s="34" t="n">
        <v>23828388000119</v>
      </c>
      <c r="B14999" s="34" t="s">
        <v>27985</v>
      </c>
      <c r="C14999" s="34" t="s">
        <v>89</v>
      </c>
      <c r="E14999" s="30" t="s">
        <v>27986</v>
      </c>
      <c r="F14999" s="34" t="n">
        <f aca="false">IFERROR(VLOOKUP($A14999,'319'!$B:$H,7,0),0)</f>
        <v>0</v>
      </c>
      <c r="G14999" s="34" t="n">
        <f aca="false">SUMIFS('12.326ana'!$C:$C,'12.326ana'!$M:$M,redes!A14999)</f>
        <v>0</v>
      </c>
    </row>
    <row r="15000" customFormat="false" ht="14.4" hidden="true" customHeight="false" outlineLevel="0" collapsed="false">
      <c r="A15000" s="34" t="n">
        <v>23831055000149</v>
      </c>
      <c r="B15000" s="34" t="s">
        <v>27987</v>
      </c>
      <c r="C15000" s="34" t="s">
        <v>77</v>
      </c>
      <c r="E15000" s="30" t="s">
        <v>27988</v>
      </c>
      <c r="F15000" s="34" t="n">
        <f aca="false">IFERROR(VLOOKUP($A15000,'319'!$B:$H,7,0),0)</f>
        <v>0</v>
      </c>
      <c r="G15000" s="34" t="n">
        <f aca="false">SUMIFS('12.326ana'!$C:$C,'12.326ana'!$M:$M,redes!A15000)</f>
        <v>0</v>
      </c>
    </row>
    <row r="15001" customFormat="false" ht="14.4" hidden="true" customHeight="false" outlineLevel="0" collapsed="false">
      <c r="A15001" s="34" t="n">
        <v>23837491000125</v>
      </c>
      <c r="B15001" s="34" t="s">
        <v>27989</v>
      </c>
      <c r="C15001" s="34" t="s">
        <v>77</v>
      </c>
      <c r="E15001" s="30" t="s">
        <v>27990</v>
      </c>
      <c r="F15001" s="34" t="n">
        <f aca="false">IFERROR(VLOOKUP($A15001,'319'!$B:$H,7,0),0)</f>
        <v>0</v>
      </c>
      <c r="G15001" s="34" t="n">
        <f aca="false">SUMIFS('12.326ana'!$C:$C,'12.326ana'!$M:$M,redes!A15001)</f>
        <v>0</v>
      </c>
    </row>
    <row r="15002" customFormat="false" ht="14.4" hidden="true" customHeight="false" outlineLevel="0" collapsed="false">
      <c r="A15002" s="34" t="n">
        <v>23857064000109</v>
      </c>
      <c r="B15002" s="34" t="s">
        <v>27991</v>
      </c>
      <c r="C15002" s="34" t="s">
        <v>89</v>
      </c>
      <c r="E15002" s="30" t="s">
        <v>26805</v>
      </c>
      <c r="F15002" s="34" t="n">
        <f aca="false">IFERROR(VLOOKUP($A15002,'319'!$B:$H,7,0),0)</f>
        <v>0</v>
      </c>
      <c r="G15002" s="34" t="n">
        <f aca="false">SUMIFS('12.326ana'!$C:$C,'12.326ana'!$M:$M,redes!A15002)</f>
        <v>0</v>
      </c>
    </row>
    <row r="15003" customFormat="false" ht="14.4" hidden="true" customHeight="false" outlineLevel="0" collapsed="false">
      <c r="A15003" s="34" t="n">
        <v>23857149000197</v>
      </c>
      <c r="B15003" s="34" t="s">
        <v>27992</v>
      </c>
      <c r="C15003" s="34" t="s">
        <v>631</v>
      </c>
      <c r="E15003" s="30" t="s">
        <v>27545</v>
      </c>
      <c r="F15003" s="34" t="n">
        <f aca="false">IFERROR(VLOOKUP($A15003,'319'!$B:$H,7,0),0)</f>
        <v>0</v>
      </c>
      <c r="G15003" s="34" t="n">
        <f aca="false">SUMIFS('12.326ana'!$C:$C,'12.326ana'!$M:$M,redes!A15003)</f>
        <v>0</v>
      </c>
    </row>
    <row r="15004" customFormat="false" ht="14.4" hidden="true" customHeight="false" outlineLevel="0" collapsed="false">
      <c r="A15004" s="34" t="n">
        <v>23858334000104</v>
      </c>
      <c r="B15004" s="34" t="s">
        <v>27993</v>
      </c>
      <c r="C15004" s="34" t="s">
        <v>680</v>
      </c>
      <c r="E15004" s="30" t="s">
        <v>27994</v>
      </c>
      <c r="F15004" s="34" t="n">
        <f aca="false">IFERROR(VLOOKUP($A15004,'319'!$B:$H,7,0),0)</f>
        <v>0</v>
      </c>
      <c r="G15004" s="34" t="n">
        <f aca="false">SUMIFS('12.326ana'!$C:$C,'12.326ana'!$M:$M,redes!A15004)</f>
        <v>0</v>
      </c>
    </row>
    <row r="15005" customFormat="false" ht="14.4" hidden="true" customHeight="false" outlineLevel="0" collapsed="false">
      <c r="A15005" s="34" t="n">
        <v>23863532000158</v>
      </c>
      <c r="B15005" s="34" t="s">
        <v>4548</v>
      </c>
      <c r="C15005" s="34" t="s">
        <v>77</v>
      </c>
      <c r="E15005" s="30" t="s">
        <v>4262</v>
      </c>
      <c r="F15005" s="34" t="n">
        <f aca="false">IFERROR(VLOOKUP($A15005,'319'!$B:$H,7,0),0)</f>
        <v>0</v>
      </c>
      <c r="G15005" s="34" t="n">
        <f aca="false">SUMIFS('12.326ana'!$C:$C,'12.326ana'!$M:$M,redes!A15005)</f>
        <v>0</v>
      </c>
    </row>
    <row r="15006" customFormat="false" ht="14.4" hidden="true" customHeight="false" outlineLevel="0" collapsed="false">
      <c r="A15006" s="34" t="n">
        <v>23863852000108</v>
      </c>
      <c r="B15006" s="34" t="s">
        <v>27995</v>
      </c>
      <c r="C15006" s="34" t="s">
        <v>357</v>
      </c>
      <c r="E15006" s="30" t="s">
        <v>27996</v>
      </c>
      <c r="F15006" s="34" t="n">
        <f aca="false">IFERROR(VLOOKUP($A15006,'319'!$B:$H,7,0),0)</f>
        <v>0</v>
      </c>
      <c r="G15006" s="34" t="n">
        <f aca="false">SUMIFS('12.326ana'!$C:$C,'12.326ana'!$M:$M,redes!A15006)</f>
        <v>0</v>
      </c>
    </row>
    <row r="15007" customFormat="false" ht="14.4" hidden="true" customHeight="false" outlineLevel="0" collapsed="false">
      <c r="A15007" s="34" t="n">
        <v>23866334000148</v>
      </c>
      <c r="B15007" s="34" t="s">
        <v>27997</v>
      </c>
      <c r="C15007" s="34" t="s">
        <v>604</v>
      </c>
      <c r="E15007" s="30" t="s">
        <v>27998</v>
      </c>
      <c r="F15007" s="34" t="n">
        <f aca="false">IFERROR(VLOOKUP($A15007,'319'!$B:$H,7,0),0)</f>
        <v>250.33</v>
      </c>
      <c r="G15007" s="34" t="n">
        <f aca="false">SUMIFS('12.326ana'!$C:$C,'12.326ana'!$M:$M,redes!A15007)</f>
        <v>0</v>
      </c>
    </row>
    <row r="15008" customFormat="false" ht="14.4" hidden="true" customHeight="false" outlineLevel="0" collapsed="false">
      <c r="A15008" s="34" t="n">
        <v>23869617000143</v>
      </c>
      <c r="B15008" s="34" t="s">
        <v>27999</v>
      </c>
      <c r="C15008" s="34" t="s">
        <v>473</v>
      </c>
      <c r="E15008" s="30" t="s">
        <v>4140</v>
      </c>
      <c r="F15008" s="34" t="n">
        <f aca="false">IFERROR(VLOOKUP($A15008,'319'!$B:$H,7,0),0)</f>
        <v>0</v>
      </c>
      <c r="G15008" s="34" t="n">
        <f aca="false">SUMIFS('12.326ana'!$C:$C,'12.326ana'!$M:$M,redes!A15008)</f>
        <v>0</v>
      </c>
    </row>
    <row r="15009" customFormat="false" ht="14.4" hidden="true" customHeight="false" outlineLevel="0" collapsed="false">
      <c r="A15009" s="34" t="n">
        <v>23875830000168</v>
      </c>
      <c r="B15009" s="34" t="s">
        <v>28000</v>
      </c>
      <c r="C15009" s="34" t="s">
        <v>139</v>
      </c>
      <c r="E15009" s="30" t="s">
        <v>28001</v>
      </c>
      <c r="F15009" s="34" t="n">
        <f aca="false">IFERROR(VLOOKUP($A15009,'319'!$B:$H,7,0),0)</f>
        <v>0</v>
      </c>
      <c r="G15009" s="34" t="n">
        <f aca="false">SUMIFS('12.326ana'!$C:$C,'12.326ana'!$M:$M,redes!A15009)</f>
        <v>0</v>
      </c>
    </row>
    <row r="15010" customFormat="false" ht="14.4" hidden="true" customHeight="false" outlineLevel="0" collapsed="false">
      <c r="A15010" s="34" t="n">
        <v>23877501000156</v>
      </c>
      <c r="B15010" s="34" t="s">
        <v>28002</v>
      </c>
      <c r="C15010" s="34" t="s">
        <v>89</v>
      </c>
      <c r="E15010" s="30" t="s">
        <v>28003</v>
      </c>
      <c r="F15010" s="34" t="n">
        <f aca="false">IFERROR(VLOOKUP($A15010,'319'!$B:$H,7,0),0)</f>
        <v>0</v>
      </c>
      <c r="G15010" s="34" t="n">
        <f aca="false">SUMIFS('12.326ana'!$C:$C,'12.326ana'!$M:$M,redes!A15010)</f>
        <v>0</v>
      </c>
    </row>
    <row r="15011" customFormat="false" ht="14.4" hidden="true" customHeight="false" outlineLevel="0" collapsed="false">
      <c r="A15011" s="34" t="n">
        <v>23916053000152</v>
      </c>
      <c r="B15011" s="34" t="s">
        <v>28004</v>
      </c>
      <c r="C15011" s="34" t="s">
        <v>77</v>
      </c>
      <c r="E15011" s="30" t="s">
        <v>28005</v>
      </c>
      <c r="F15011" s="34" t="n">
        <f aca="false">IFERROR(VLOOKUP($A15011,'319'!$B:$H,7,0),0)</f>
        <v>0</v>
      </c>
      <c r="G15011" s="34" t="n">
        <f aca="false">SUMIFS('12.326ana'!$C:$C,'12.326ana'!$M:$M,redes!A15011)</f>
        <v>0</v>
      </c>
    </row>
    <row r="15012" customFormat="false" ht="14.4" hidden="true" customHeight="false" outlineLevel="0" collapsed="false">
      <c r="A15012" s="34" t="n">
        <v>23920899000166</v>
      </c>
      <c r="B15012" s="34" t="s">
        <v>28006</v>
      </c>
      <c r="C15012" s="34" t="s">
        <v>89</v>
      </c>
      <c r="E15012" s="30" t="s">
        <v>28007</v>
      </c>
      <c r="F15012" s="34" t="n">
        <f aca="false">IFERROR(VLOOKUP($A15012,'319'!$B:$H,7,0),0)</f>
        <v>0</v>
      </c>
      <c r="G15012" s="34" t="n">
        <f aca="false">SUMIFS('12.326ana'!$C:$C,'12.326ana'!$M:$M,redes!A15012)</f>
        <v>0</v>
      </c>
    </row>
    <row r="15013" customFormat="false" ht="14.4" hidden="true" customHeight="false" outlineLevel="0" collapsed="false">
      <c r="A15013" s="34" t="n">
        <v>23937234000165</v>
      </c>
      <c r="B15013" s="34" t="s">
        <v>28008</v>
      </c>
      <c r="C15013" s="34" t="s">
        <v>77</v>
      </c>
      <c r="E15013" s="30" t="s">
        <v>3072</v>
      </c>
      <c r="F15013" s="34" t="n">
        <f aca="false">IFERROR(VLOOKUP($A15013,'319'!$B:$H,7,0),0)</f>
        <v>0</v>
      </c>
      <c r="G15013" s="34" t="n">
        <f aca="false">SUMIFS('12.326ana'!$C:$C,'12.326ana'!$M:$M,redes!A15013)</f>
        <v>0</v>
      </c>
    </row>
    <row r="15014" customFormat="false" ht="14.4" hidden="true" customHeight="false" outlineLevel="0" collapsed="false">
      <c r="A15014" s="34" t="n">
        <v>23965721000131</v>
      </c>
      <c r="B15014" s="34" t="s">
        <v>28009</v>
      </c>
      <c r="C15014" s="34" t="s">
        <v>77</v>
      </c>
      <c r="E15014" s="30" t="s">
        <v>28010</v>
      </c>
      <c r="F15014" s="34" t="n">
        <f aca="false">IFERROR(VLOOKUP($A15014,'319'!$B:$H,7,0),0)</f>
        <v>0</v>
      </c>
      <c r="G15014" s="34" t="n">
        <f aca="false">SUMIFS('12.326ana'!$C:$C,'12.326ana'!$M:$M,redes!A15014)</f>
        <v>0</v>
      </c>
    </row>
    <row r="15015" customFormat="false" ht="14.4" hidden="true" customHeight="false" outlineLevel="0" collapsed="false">
      <c r="A15015" s="34" t="n">
        <v>23971432000145</v>
      </c>
      <c r="B15015" s="34" t="s">
        <v>28011</v>
      </c>
      <c r="C15015" s="34" t="s">
        <v>336</v>
      </c>
      <c r="E15015" s="30" t="s">
        <v>28012</v>
      </c>
      <c r="F15015" s="34" t="n">
        <f aca="false">IFERROR(VLOOKUP($A15015,'319'!$B:$H,7,0),0)</f>
        <v>0</v>
      </c>
      <c r="G15015" s="34" t="n">
        <f aca="false">SUMIFS('12.326ana'!$C:$C,'12.326ana'!$M:$M,redes!A15015)</f>
        <v>0</v>
      </c>
    </row>
    <row r="15016" customFormat="false" ht="14.4" hidden="true" customHeight="false" outlineLevel="0" collapsed="false">
      <c r="A15016" s="34" t="n">
        <v>23991059000194</v>
      </c>
      <c r="B15016" s="34" t="s">
        <v>28013</v>
      </c>
      <c r="C15016" s="34" t="s">
        <v>77</v>
      </c>
      <c r="E15016" s="30" t="s">
        <v>28014</v>
      </c>
      <c r="F15016" s="34" t="n">
        <f aca="false">IFERROR(VLOOKUP($A15016,'319'!$B:$H,7,0),0)</f>
        <v>0</v>
      </c>
      <c r="G15016" s="34" t="n">
        <f aca="false">SUMIFS('12.326ana'!$C:$C,'12.326ana'!$M:$M,redes!A15016)</f>
        <v>0</v>
      </c>
    </row>
    <row r="15017" customFormat="false" ht="14.4" hidden="true" customHeight="false" outlineLevel="0" collapsed="false">
      <c r="A15017" s="34" t="n">
        <v>23991651000196</v>
      </c>
      <c r="B15017" s="34" t="s">
        <v>28015</v>
      </c>
      <c r="C15017" s="34" t="s">
        <v>475</v>
      </c>
      <c r="E15017" s="30" t="s">
        <v>28016</v>
      </c>
      <c r="F15017" s="34" t="n">
        <f aca="false">IFERROR(VLOOKUP($A15017,'319'!$B:$H,7,0),0)</f>
        <v>0</v>
      </c>
      <c r="G15017" s="34" t="n">
        <f aca="false">SUMIFS('12.326ana'!$C:$C,'12.326ana'!$M:$M,redes!A15017)</f>
        <v>0</v>
      </c>
    </row>
    <row r="15018" customFormat="false" ht="14.4" hidden="true" customHeight="false" outlineLevel="0" collapsed="false">
      <c r="A15018" s="34" t="n">
        <v>23991701000135</v>
      </c>
      <c r="B15018" s="34" t="s">
        <v>28017</v>
      </c>
      <c r="C15018" s="34" t="s">
        <v>77</v>
      </c>
      <c r="E15018" s="30" t="s">
        <v>28017</v>
      </c>
      <c r="F15018" s="34" t="n">
        <f aca="false">IFERROR(VLOOKUP($A15018,'319'!$B:$H,7,0),0)</f>
        <v>0</v>
      </c>
      <c r="G15018" s="34" t="n">
        <f aca="false">SUMIFS('12.326ana'!$C:$C,'12.326ana'!$M:$M,redes!A15018)</f>
        <v>0</v>
      </c>
    </row>
    <row r="15019" customFormat="false" ht="14.4" hidden="true" customHeight="false" outlineLevel="0" collapsed="false">
      <c r="A15019" s="34" t="n">
        <v>24001991000195</v>
      </c>
      <c r="B15019" s="34" t="s">
        <v>28018</v>
      </c>
      <c r="C15019" s="34" t="s">
        <v>77</v>
      </c>
      <c r="E15019" s="30" t="s">
        <v>28019</v>
      </c>
      <c r="F15019" s="34" t="n">
        <f aca="false">IFERROR(VLOOKUP($A15019,'319'!$B:$H,7,0),0)</f>
        <v>0</v>
      </c>
      <c r="G15019" s="34" t="n">
        <f aca="false">SUMIFS('12.326ana'!$C:$C,'12.326ana'!$M:$M,redes!A15019)</f>
        <v>0</v>
      </c>
    </row>
    <row r="15020" customFormat="false" ht="14.4" hidden="true" customHeight="false" outlineLevel="0" collapsed="false">
      <c r="A15020" s="34" t="n">
        <v>24007816000105</v>
      </c>
      <c r="B15020" s="34" t="s">
        <v>28020</v>
      </c>
      <c r="C15020" s="34" t="s">
        <v>77</v>
      </c>
      <c r="E15020" s="30" t="s">
        <v>10914</v>
      </c>
      <c r="F15020" s="34" t="n">
        <f aca="false">IFERROR(VLOOKUP($A15020,'319'!$B:$H,7,0),0)</f>
        <v>0</v>
      </c>
      <c r="G15020" s="34" t="n">
        <f aca="false">SUMIFS('12.326ana'!$C:$C,'12.326ana'!$M:$M,redes!A15020)</f>
        <v>0</v>
      </c>
    </row>
    <row r="15021" customFormat="false" ht="14.4" hidden="true" customHeight="false" outlineLevel="0" collapsed="false">
      <c r="A15021" s="34" t="n">
        <v>24009541000149</v>
      </c>
      <c r="B15021" s="34" t="s">
        <v>28021</v>
      </c>
      <c r="C15021" s="34" t="s">
        <v>464</v>
      </c>
      <c r="E15021" s="30" t="s">
        <v>28022</v>
      </c>
      <c r="F15021" s="34" t="n">
        <f aca="false">IFERROR(VLOOKUP($A15021,'319'!$B:$H,7,0),0)</f>
        <v>171.65</v>
      </c>
      <c r="G15021" s="34" t="n">
        <f aca="false">SUMIFS('12.326ana'!$C:$C,'12.326ana'!$M:$M,redes!A15021)</f>
        <v>0</v>
      </c>
    </row>
    <row r="15022" customFormat="false" ht="14.4" hidden="true" customHeight="false" outlineLevel="0" collapsed="false">
      <c r="A15022" s="34" t="n">
        <v>24015801000199</v>
      </c>
      <c r="B15022" s="34" t="s">
        <v>28023</v>
      </c>
      <c r="C15022" s="34" t="s">
        <v>463</v>
      </c>
      <c r="E15022" s="30" t="s">
        <v>28023</v>
      </c>
      <c r="F15022" s="34" t="n">
        <f aca="false">IFERROR(VLOOKUP($A15022,'319'!$B:$H,7,0),0)</f>
        <v>0</v>
      </c>
      <c r="G15022" s="34" t="n">
        <f aca="false">SUMIFS('12.326ana'!$C:$C,'12.326ana'!$M:$M,redes!A15022)</f>
        <v>0</v>
      </c>
    </row>
    <row r="15023" customFormat="false" ht="14.4" hidden="true" customHeight="false" outlineLevel="0" collapsed="false">
      <c r="A15023" s="34" t="n">
        <v>24022175000168</v>
      </c>
      <c r="B15023" s="34" t="s">
        <v>28024</v>
      </c>
      <c r="C15023" s="34" t="s">
        <v>103</v>
      </c>
      <c r="E15023" s="30" t="s">
        <v>28025</v>
      </c>
      <c r="F15023" s="34" t="n">
        <f aca="false">IFERROR(VLOOKUP($A15023,'319'!$B:$H,7,0),0)</f>
        <v>0</v>
      </c>
      <c r="G15023" s="34" t="n">
        <f aca="false">SUMIFS('12.326ana'!$C:$C,'12.326ana'!$M:$M,redes!A15023)</f>
        <v>0</v>
      </c>
    </row>
    <row r="15024" customFormat="false" ht="14.4" hidden="true" customHeight="false" outlineLevel="0" collapsed="false">
      <c r="A15024" s="34" t="n">
        <v>24030368000160</v>
      </c>
      <c r="B15024" s="34" t="s">
        <v>28026</v>
      </c>
      <c r="C15024" s="34" t="s">
        <v>809</v>
      </c>
      <c r="E15024" s="30" t="s">
        <v>23626</v>
      </c>
      <c r="F15024" s="34" t="n">
        <f aca="false">IFERROR(VLOOKUP($A15024,'319'!$B:$H,7,0),0)</f>
        <v>0</v>
      </c>
      <c r="G15024" s="34" t="n">
        <f aca="false">SUMIFS('12.326ana'!$C:$C,'12.326ana'!$M:$M,redes!A15024)</f>
        <v>0</v>
      </c>
    </row>
    <row r="15025" customFormat="false" ht="14.4" hidden="true" customHeight="false" outlineLevel="0" collapsed="false">
      <c r="A15025" s="34" t="n">
        <v>24030854000189</v>
      </c>
      <c r="B15025" s="34" t="s">
        <v>28027</v>
      </c>
      <c r="C15025" s="34" t="s">
        <v>89</v>
      </c>
      <c r="E15025" s="30" t="s">
        <v>28027</v>
      </c>
      <c r="F15025" s="34" t="n">
        <f aca="false">IFERROR(VLOOKUP($A15025,'319'!$B:$H,7,0),0)</f>
        <v>0</v>
      </c>
      <c r="G15025" s="34" t="n">
        <f aca="false">SUMIFS('12.326ana'!$C:$C,'12.326ana'!$M:$M,redes!A15025)</f>
        <v>0</v>
      </c>
    </row>
    <row r="15026" customFormat="false" ht="14.4" hidden="true" customHeight="false" outlineLevel="0" collapsed="false">
      <c r="A15026" s="34" t="n">
        <v>24033662000126</v>
      </c>
      <c r="B15026" s="34" t="s">
        <v>28028</v>
      </c>
      <c r="C15026" s="34" t="s">
        <v>77</v>
      </c>
      <c r="E15026" s="30" t="s">
        <v>28029</v>
      </c>
      <c r="F15026" s="34" t="n">
        <f aca="false">IFERROR(VLOOKUP($A15026,'319'!$B:$H,7,0),0)</f>
        <v>0</v>
      </c>
      <c r="G15026" s="34" t="n">
        <f aca="false">SUMIFS('12.326ana'!$C:$C,'12.326ana'!$M:$M,redes!A15026)</f>
        <v>0</v>
      </c>
    </row>
    <row r="15027" customFormat="false" ht="14.4" hidden="true" customHeight="false" outlineLevel="0" collapsed="false">
      <c r="A15027" s="34" t="n">
        <v>24051537000149</v>
      </c>
      <c r="B15027" s="34" t="s">
        <v>28030</v>
      </c>
      <c r="C15027" s="34" t="s">
        <v>77</v>
      </c>
      <c r="E15027" s="30" t="s">
        <v>28031</v>
      </c>
      <c r="F15027" s="34" t="n">
        <f aca="false">IFERROR(VLOOKUP($A15027,'319'!$B:$H,7,0),0)</f>
        <v>0</v>
      </c>
      <c r="G15027" s="34" t="n">
        <f aca="false">SUMIFS('12.326ana'!$C:$C,'12.326ana'!$M:$M,redes!A15027)</f>
        <v>0</v>
      </c>
    </row>
    <row r="15028" customFormat="false" ht="14.4" hidden="true" customHeight="false" outlineLevel="0" collapsed="false">
      <c r="A15028" s="34" t="n">
        <v>24052951000172</v>
      </c>
      <c r="B15028" s="34" t="s">
        <v>28032</v>
      </c>
      <c r="C15028" s="34" t="s">
        <v>77</v>
      </c>
      <c r="E15028" s="30" t="s">
        <v>28032</v>
      </c>
      <c r="F15028" s="34" t="n">
        <f aca="false">IFERROR(VLOOKUP($A15028,'319'!$B:$H,7,0),0)</f>
        <v>0</v>
      </c>
      <c r="G15028" s="34" t="n">
        <f aca="false">SUMIFS('12.326ana'!$C:$C,'12.326ana'!$M:$M,redes!A15028)</f>
        <v>0</v>
      </c>
    </row>
    <row r="15029" customFormat="false" ht="14.4" hidden="true" customHeight="false" outlineLevel="0" collapsed="false">
      <c r="A15029" s="34" t="n">
        <v>24062709000180</v>
      </c>
      <c r="B15029" s="34" t="s">
        <v>28033</v>
      </c>
      <c r="C15029" s="34" t="s">
        <v>77</v>
      </c>
      <c r="D15029" s="34" t="s">
        <v>17007</v>
      </c>
      <c r="E15029" s="30" t="s">
        <v>28034</v>
      </c>
      <c r="F15029" s="34" t="n">
        <f aca="false">IFERROR(VLOOKUP($A15029,'319'!$B:$H,7,0),0)</f>
        <v>85.42</v>
      </c>
      <c r="G15029" s="34" t="n">
        <f aca="false">SUMIFS('12.326ana'!$C:$C,'12.326ana'!$M:$M,redes!A15029)</f>
        <v>0</v>
      </c>
    </row>
    <row r="15030" customFormat="false" ht="14.4" hidden="true" customHeight="false" outlineLevel="0" collapsed="false">
      <c r="A15030" s="34" t="n">
        <v>24065264000191</v>
      </c>
      <c r="B15030" s="34" t="s">
        <v>28035</v>
      </c>
      <c r="C15030" s="34" t="s">
        <v>77</v>
      </c>
      <c r="E15030" s="30" t="s">
        <v>28036</v>
      </c>
      <c r="F15030" s="34" t="n">
        <f aca="false">IFERROR(VLOOKUP($A15030,'319'!$B:$H,7,0),0)</f>
        <v>0</v>
      </c>
      <c r="G15030" s="34" t="n">
        <f aca="false">SUMIFS('12.326ana'!$C:$C,'12.326ana'!$M:$M,redes!A15030)</f>
        <v>0</v>
      </c>
    </row>
    <row r="15031" customFormat="false" ht="14.4" hidden="true" customHeight="false" outlineLevel="0" collapsed="false">
      <c r="A15031" s="34" t="n">
        <v>24071073000132</v>
      </c>
      <c r="B15031" s="34" t="s">
        <v>28037</v>
      </c>
      <c r="C15031" s="34" t="s">
        <v>77</v>
      </c>
      <c r="E15031" s="30" t="s">
        <v>3931</v>
      </c>
      <c r="F15031" s="34" t="n">
        <f aca="false">IFERROR(VLOOKUP($A15031,'319'!$B:$H,7,0),0)</f>
        <v>0</v>
      </c>
      <c r="G15031" s="34" t="n">
        <f aca="false">SUMIFS('12.326ana'!$C:$C,'12.326ana'!$M:$M,redes!A15031)</f>
        <v>0</v>
      </c>
    </row>
    <row r="15032" customFormat="false" ht="14.4" hidden="true" customHeight="false" outlineLevel="0" collapsed="false">
      <c r="A15032" s="34" t="n">
        <v>24078672000188</v>
      </c>
      <c r="B15032" s="34" t="s">
        <v>28038</v>
      </c>
      <c r="C15032" s="34" t="s">
        <v>764</v>
      </c>
      <c r="E15032" s="30" t="s">
        <v>3391</v>
      </c>
      <c r="F15032" s="34" t="n">
        <f aca="false">IFERROR(VLOOKUP($A15032,'319'!$B:$H,7,0),0)</f>
        <v>1669.05</v>
      </c>
      <c r="G15032" s="34" t="n">
        <f aca="false">SUMIFS('12.326ana'!$C:$C,'12.326ana'!$M:$M,redes!A15032)</f>
        <v>0</v>
      </c>
    </row>
    <row r="15033" customFormat="false" ht="14.4" hidden="true" customHeight="false" outlineLevel="0" collapsed="false">
      <c r="A15033" s="34" t="n">
        <v>24081088000181</v>
      </c>
      <c r="B15033" s="34" t="s">
        <v>28039</v>
      </c>
      <c r="C15033" s="34" t="s">
        <v>299</v>
      </c>
      <c r="E15033" s="30" t="s">
        <v>4010</v>
      </c>
      <c r="F15033" s="34" t="n">
        <f aca="false">IFERROR(VLOOKUP($A15033,'319'!$B:$H,7,0),0)</f>
        <v>0</v>
      </c>
      <c r="G15033" s="34" t="n">
        <f aca="false">SUMIFS('12.326ana'!$C:$C,'12.326ana'!$M:$M,redes!A15033)</f>
        <v>0</v>
      </c>
    </row>
    <row r="15034" customFormat="false" ht="14.4" hidden="true" customHeight="false" outlineLevel="0" collapsed="false">
      <c r="A15034" s="34" t="n">
        <v>24092185000170</v>
      </c>
      <c r="B15034" s="34" t="s">
        <v>28040</v>
      </c>
      <c r="C15034" s="34" t="s">
        <v>77</v>
      </c>
      <c r="E15034" s="30" t="s">
        <v>8351</v>
      </c>
      <c r="F15034" s="34" t="n">
        <f aca="false">IFERROR(VLOOKUP($A15034,'319'!$B:$H,7,0),0)</f>
        <v>0</v>
      </c>
      <c r="G15034" s="34" t="n">
        <f aca="false">SUMIFS('12.326ana'!$C:$C,'12.326ana'!$M:$M,redes!A15034)</f>
        <v>0</v>
      </c>
    </row>
    <row r="15035" customFormat="false" ht="14.4" hidden="true" customHeight="false" outlineLevel="0" collapsed="false">
      <c r="A15035" s="34" t="n">
        <v>24099880000163</v>
      </c>
      <c r="B15035" s="34" t="s">
        <v>28041</v>
      </c>
      <c r="C15035" s="34" t="s">
        <v>377</v>
      </c>
      <c r="E15035" s="30" t="s">
        <v>28042</v>
      </c>
      <c r="F15035" s="34" t="n">
        <f aca="false">IFERROR(VLOOKUP($A15035,'319'!$B:$H,7,0),0)</f>
        <v>0</v>
      </c>
      <c r="G15035" s="34" t="n">
        <f aca="false">SUMIFS('12.326ana'!$C:$C,'12.326ana'!$M:$M,redes!A15035)</f>
        <v>0</v>
      </c>
    </row>
    <row r="15036" customFormat="false" ht="14.4" hidden="true" customHeight="false" outlineLevel="0" collapsed="false">
      <c r="A15036" s="34" t="n">
        <v>24104714000108</v>
      </c>
      <c r="B15036" s="34" t="s">
        <v>28043</v>
      </c>
      <c r="C15036" s="34" t="s">
        <v>77</v>
      </c>
      <c r="E15036" s="30" t="s">
        <v>28044</v>
      </c>
      <c r="F15036" s="34" t="n">
        <f aca="false">IFERROR(VLOOKUP($A15036,'319'!$B:$H,7,0),0)</f>
        <v>0</v>
      </c>
      <c r="G15036" s="34" t="n">
        <f aca="false">SUMIFS('12.326ana'!$C:$C,'12.326ana'!$M:$M,redes!A15036)</f>
        <v>0</v>
      </c>
    </row>
    <row r="15037" customFormat="false" ht="14.4" hidden="true" customHeight="false" outlineLevel="0" collapsed="false">
      <c r="A15037" s="34" t="n">
        <v>24104757000193</v>
      </c>
      <c r="B15037" s="34" t="s">
        <v>28045</v>
      </c>
      <c r="C15037" s="34" t="s">
        <v>77</v>
      </c>
      <c r="E15037" s="30" t="s">
        <v>15204</v>
      </c>
      <c r="F15037" s="34" t="n">
        <f aca="false">IFERROR(VLOOKUP($A15037,'319'!$B:$H,7,0),0)</f>
        <v>0</v>
      </c>
      <c r="G15037" s="34" t="n">
        <f aca="false">SUMIFS('12.326ana'!$C:$C,'12.326ana'!$M:$M,redes!A15037)</f>
        <v>0</v>
      </c>
    </row>
    <row r="15038" customFormat="false" ht="14.4" hidden="true" customHeight="false" outlineLevel="0" collapsed="false">
      <c r="A15038" s="34" t="n">
        <v>24109960000152</v>
      </c>
      <c r="B15038" s="34" t="s">
        <v>28046</v>
      </c>
      <c r="C15038" s="34" t="s">
        <v>77</v>
      </c>
      <c r="D15038" s="34" t="s">
        <v>28047</v>
      </c>
      <c r="E15038" s="30" t="s">
        <v>23461</v>
      </c>
      <c r="F15038" s="34" t="n">
        <f aca="false">IFERROR(VLOOKUP($A15038,'319'!$B:$H,7,0),0)</f>
        <v>0</v>
      </c>
      <c r="G15038" s="34" t="n">
        <f aca="false">SUMIFS('12.326ana'!$C:$C,'12.326ana'!$M:$M,redes!A15038)</f>
        <v>0</v>
      </c>
    </row>
    <row r="15039" customFormat="false" ht="14.4" hidden="true" customHeight="false" outlineLevel="0" collapsed="false">
      <c r="A15039" s="34" t="n">
        <v>24109960000233</v>
      </c>
      <c r="B15039" s="34" t="s">
        <v>28046</v>
      </c>
      <c r="C15039" s="34" t="s">
        <v>77</v>
      </c>
      <c r="D15039" s="34" t="s">
        <v>28047</v>
      </c>
      <c r="E15039" s="30" t="s">
        <v>6838</v>
      </c>
      <c r="F15039" s="34" t="n">
        <f aca="false">IFERROR(VLOOKUP($A15039,'319'!$B:$H,7,0),0)</f>
        <v>0</v>
      </c>
      <c r="G15039" s="34" t="n">
        <f aca="false">SUMIFS('12.326ana'!$C:$C,'12.326ana'!$M:$M,redes!A15039)</f>
        <v>0</v>
      </c>
    </row>
    <row r="15040" customFormat="false" ht="14.4" hidden="true" customHeight="false" outlineLevel="0" collapsed="false">
      <c r="A15040" s="34" t="n">
        <v>24109960000314</v>
      </c>
      <c r="B15040" s="34" t="s">
        <v>28046</v>
      </c>
      <c r="C15040" s="34" t="s">
        <v>77</v>
      </c>
      <c r="D15040" s="34" t="s">
        <v>28047</v>
      </c>
      <c r="E15040" s="30" t="s">
        <v>23461</v>
      </c>
      <c r="F15040" s="34" t="n">
        <f aca="false">IFERROR(VLOOKUP($A15040,'319'!$B:$H,7,0),0)</f>
        <v>0</v>
      </c>
      <c r="G15040" s="34" t="n">
        <f aca="false">SUMIFS('12.326ana'!$C:$C,'12.326ana'!$M:$M,redes!A15040)</f>
        <v>0</v>
      </c>
    </row>
    <row r="15041" customFormat="false" ht="14.4" hidden="true" customHeight="false" outlineLevel="0" collapsed="false">
      <c r="A15041" s="34" t="n">
        <v>24109960000403</v>
      </c>
      <c r="B15041" s="34" t="s">
        <v>28048</v>
      </c>
      <c r="C15041" s="34" t="s">
        <v>77</v>
      </c>
      <c r="D15041" s="34" t="s">
        <v>28047</v>
      </c>
      <c r="E15041" s="30" t="s">
        <v>28049</v>
      </c>
      <c r="F15041" s="34" t="n">
        <f aca="false">IFERROR(VLOOKUP($A15041,'319'!$B:$H,7,0),0)</f>
        <v>0</v>
      </c>
      <c r="G15041" s="34" t="n">
        <f aca="false">SUMIFS('12.326ana'!$C:$C,'12.326ana'!$M:$M,redes!A15041)</f>
        <v>0</v>
      </c>
    </row>
    <row r="15042" customFormat="false" ht="14.4" hidden="true" customHeight="false" outlineLevel="0" collapsed="false">
      <c r="A15042" s="34" t="n">
        <v>24109960000586</v>
      </c>
      <c r="B15042" s="34" t="s">
        <v>28048</v>
      </c>
      <c r="C15042" s="34" t="s">
        <v>77</v>
      </c>
      <c r="D15042" s="34" t="s">
        <v>28047</v>
      </c>
      <c r="E15042" s="30" t="s">
        <v>23461</v>
      </c>
      <c r="F15042" s="34" t="n">
        <f aca="false">IFERROR(VLOOKUP($A15042,'319'!$B:$H,7,0),0)</f>
        <v>0</v>
      </c>
      <c r="G15042" s="34" t="n">
        <f aca="false">SUMIFS('12.326ana'!$C:$C,'12.326ana'!$M:$M,redes!A15042)</f>
        <v>0</v>
      </c>
    </row>
    <row r="15043" customFormat="false" ht="14.4" hidden="true" customHeight="false" outlineLevel="0" collapsed="false">
      <c r="A15043" s="34" t="n">
        <v>24109960000667</v>
      </c>
      <c r="B15043" s="34" t="s">
        <v>28048</v>
      </c>
      <c r="C15043" s="34" t="s">
        <v>77</v>
      </c>
      <c r="E15043" s="30" t="s">
        <v>28050</v>
      </c>
      <c r="F15043" s="34" t="n">
        <f aca="false">IFERROR(VLOOKUP($A15043,'319'!$B:$H,7,0),0)</f>
        <v>0</v>
      </c>
      <c r="G15043" s="34" t="n">
        <f aca="false">SUMIFS('12.326ana'!$C:$C,'12.326ana'!$M:$M,redes!A15043)</f>
        <v>0</v>
      </c>
    </row>
    <row r="15044" customFormat="false" ht="14.4" hidden="true" customHeight="false" outlineLevel="0" collapsed="false">
      <c r="A15044" s="34" t="n">
        <v>24110320000162</v>
      </c>
      <c r="B15044" s="34" t="s">
        <v>28051</v>
      </c>
      <c r="C15044" s="34" t="s">
        <v>77</v>
      </c>
      <c r="E15044" s="30" t="s">
        <v>28052</v>
      </c>
      <c r="F15044" s="34" t="n">
        <f aca="false">IFERROR(VLOOKUP($A15044,'319'!$B:$H,7,0),0)</f>
        <v>0</v>
      </c>
      <c r="G15044" s="34" t="n">
        <f aca="false">SUMIFS('12.326ana'!$C:$C,'12.326ana'!$M:$M,redes!A15044)</f>
        <v>0</v>
      </c>
    </row>
    <row r="15045" customFormat="false" ht="14.4" hidden="true" customHeight="false" outlineLevel="0" collapsed="false">
      <c r="A15045" s="34" t="n">
        <v>24113103000126</v>
      </c>
      <c r="B15045" s="34" t="s">
        <v>28053</v>
      </c>
      <c r="C15045" s="34" t="s">
        <v>213</v>
      </c>
      <c r="E15045" s="30" t="s">
        <v>28054</v>
      </c>
      <c r="F15045" s="34" t="n">
        <f aca="false">IFERROR(VLOOKUP($A15045,'319'!$B:$H,7,0),0)</f>
        <v>0</v>
      </c>
      <c r="G15045" s="34" t="n">
        <f aca="false">SUMIFS('12.326ana'!$C:$C,'12.326ana'!$M:$M,redes!A15045)</f>
        <v>0</v>
      </c>
    </row>
    <row r="15046" customFormat="false" ht="14.4" hidden="true" customHeight="false" outlineLevel="0" collapsed="false">
      <c r="A15046" s="34" t="n">
        <v>24113930000110</v>
      </c>
      <c r="B15046" s="34" t="s">
        <v>28055</v>
      </c>
      <c r="C15046" s="34" t="s">
        <v>77</v>
      </c>
      <c r="E15046" s="30" t="s">
        <v>28056</v>
      </c>
      <c r="F15046" s="34" t="n">
        <f aca="false">IFERROR(VLOOKUP($A15046,'319'!$B:$H,7,0),0)</f>
        <v>0</v>
      </c>
      <c r="G15046" s="34" t="n">
        <f aca="false">SUMIFS('12.326ana'!$C:$C,'12.326ana'!$M:$M,redes!A15046)</f>
        <v>0</v>
      </c>
    </row>
    <row r="15047" customFormat="false" ht="14.4" hidden="true" customHeight="false" outlineLevel="0" collapsed="false">
      <c r="A15047" s="34" t="n">
        <v>24119850000171</v>
      </c>
      <c r="B15047" s="34" t="s">
        <v>28057</v>
      </c>
      <c r="C15047" s="34" t="s">
        <v>1272</v>
      </c>
      <c r="E15047" s="30" t="s">
        <v>28058</v>
      </c>
      <c r="F15047" s="34" t="n">
        <f aca="false">IFERROR(VLOOKUP($A15047,'319'!$B:$H,7,0),0)</f>
        <v>0</v>
      </c>
      <c r="G15047" s="34" t="n">
        <f aca="false">SUMIFS('12.326ana'!$C:$C,'12.326ana'!$M:$M,redes!A15047)</f>
        <v>0</v>
      </c>
    </row>
    <row r="15048" customFormat="false" ht="14.4" hidden="true" customHeight="false" outlineLevel="0" collapsed="false">
      <c r="A15048" s="34" t="n">
        <v>24128081000178</v>
      </c>
      <c r="B15048" s="34" t="s">
        <v>28059</v>
      </c>
      <c r="C15048" s="34" t="s">
        <v>77</v>
      </c>
      <c r="E15048" s="30" t="s">
        <v>21230</v>
      </c>
      <c r="F15048" s="34" t="n">
        <f aca="false">IFERROR(VLOOKUP($A15048,'319'!$B:$H,7,0),0)</f>
        <v>0</v>
      </c>
      <c r="G15048" s="34" t="n">
        <f aca="false">SUMIFS('12.326ana'!$C:$C,'12.326ana'!$M:$M,redes!A15048)</f>
        <v>0</v>
      </c>
    </row>
    <row r="15049" customFormat="false" ht="14.4" hidden="true" customHeight="false" outlineLevel="0" collapsed="false">
      <c r="A15049" s="34" t="n">
        <v>24137180000116</v>
      </c>
      <c r="B15049" s="34" t="s">
        <v>28060</v>
      </c>
      <c r="C15049" s="34" t="s">
        <v>77</v>
      </c>
      <c r="E15049" s="30" t="s">
        <v>28061</v>
      </c>
      <c r="F15049" s="34" t="n">
        <f aca="false">IFERROR(VLOOKUP($A15049,'319'!$B:$H,7,0),0)</f>
        <v>0</v>
      </c>
      <c r="G15049" s="34" t="n">
        <f aca="false">SUMIFS('12.326ana'!$C:$C,'12.326ana'!$M:$M,redes!A15049)</f>
        <v>0</v>
      </c>
    </row>
    <row r="15050" customFormat="false" ht="14.4" hidden="true" customHeight="false" outlineLevel="0" collapsed="false">
      <c r="A15050" s="34" t="n">
        <v>24145824000118</v>
      </c>
      <c r="B15050" s="34" t="s">
        <v>28062</v>
      </c>
      <c r="C15050" s="34" t="s">
        <v>89</v>
      </c>
      <c r="E15050" s="30" t="s">
        <v>28063</v>
      </c>
      <c r="F15050" s="34" t="n">
        <f aca="false">IFERROR(VLOOKUP($A15050,'319'!$B:$H,7,0),0)</f>
        <v>0</v>
      </c>
      <c r="G15050" s="34" t="n">
        <f aca="false">SUMIFS('12.326ana'!$C:$C,'12.326ana'!$M:$M,redes!A15050)</f>
        <v>0</v>
      </c>
    </row>
    <row r="15051" customFormat="false" ht="14.4" hidden="true" customHeight="false" outlineLevel="0" collapsed="false">
      <c r="A15051" s="34" t="n">
        <v>24167099000189</v>
      </c>
      <c r="B15051" s="34" t="s">
        <v>28064</v>
      </c>
      <c r="C15051" s="34" t="s">
        <v>594</v>
      </c>
      <c r="E15051" s="30" t="s">
        <v>5646</v>
      </c>
      <c r="F15051" s="34" t="n">
        <f aca="false">IFERROR(VLOOKUP($A15051,'319'!$B:$H,7,0),0)</f>
        <v>0</v>
      </c>
      <c r="G15051" s="34" t="n">
        <f aca="false">SUMIFS('12.326ana'!$C:$C,'12.326ana'!$M:$M,redes!A15051)</f>
        <v>0</v>
      </c>
    </row>
    <row r="15052" customFormat="false" ht="14.4" hidden="true" customHeight="false" outlineLevel="0" collapsed="false">
      <c r="A15052" s="34" t="n">
        <v>24167915000154</v>
      </c>
      <c r="B15052" s="34" t="s">
        <v>28065</v>
      </c>
      <c r="C15052" s="34" t="s">
        <v>377</v>
      </c>
      <c r="E15052" s="30" t="s">
        <v>4638</v>
      </c>
      <c r="F15052" s="34" t="n">
        <f aca="false">IFERROR(VLOOKUP($A15052,'319'!$B:$H,7,0),0)</f>
        <v>0</v>
      </c>
      <c r="G15052" s="34" t="n">
        <f aca="false">SUMIFS('12.326ana'!$C:$C,'12.326ana'!$M:$M,redes!A15052)</f>
        <v>0</v>
      </c>
    </row>
    <row r="15053" customFormat="false" ht="14.4" hidden="true" customHeight="false" outlineLevel="0" collapsed="false">
      <c r="A15053" s="34" t="n">
        <v>24177257000181</v>
      </c>
      <c r="B15053" s="34" t="s">
        <v>28066</v>
      </c>
      <c r="C15053" s="34" t="s">
        <v>342</v>
      </c>
      <c r="E15053" s="30" t="s">
        <v>28067</v>
      </c>
      <c r="F15053" s="34" t="n">
        <f aca="false">IFERROR(VLOOKUP($A15053,'319'!$B:$H,7,0),0)</f>
        <v>0</v>
      </c>
      <c r="G15053" s="34" t="n">
        <f aca="false">SUMIFS('12.326ana'!$C:$C,'12.326ana'!$M:$M,redes!A15053)</f>
        <v>0</v>
      </c>
    </row>
    <row r="15054" customFormat="false" ht="14.4" hidden="true" customHeight="false" outlineLevel="0" collapsed="false">
      <c r="A15054" s="34" t="n">
        <v>24183621000116</v>
      </c>
      <c r="B15054" s="34" t="s">
        <v>28068</v>
      </c>
      <c r="C15054" s="34" t="s">
        <v>89</v>
      </c>
      <c r="E15054" s="30" t="s">
        <v>3045</v>
      </c>
      <c r="F15054" s="34" t="n">
        <f aca="false">IFERROR(VLOOKUP($A15054,'319'!$B:$H,7,0),0)</f>
        <v>0</v>
      </c>
      <c r="G15054" s="34" t="n">
        <f aca="false">SUMIFS('12.326ana'!$C:$C,'12.326ana'!$M:$M,redes!A15054)</f>
        <v>0</v>
      </c>
    </row>
    <row r="15055" customFormat="false" ht="14.4" hidden="true" customHeight="false" outlineLevel="0" collapsed="false">
      <c r="A15055" s="34" t="n">
        <v>24186374000101</v>
      </c>
      <c r="B15055" s="34" t="s">
        <v>28069</v>
      </c>
      <c r="C15055" s="34" t="s">
        <v>77</v>
      </c>
      <c r="E15055" s="30" t="s">
        <v>28070</v>
      </c>
      <c r="F15055" s="34" t="n">
        <f aca="false">IFERROR(VLOOKUP($A15055,'319'!$B:$H,7,0),0)</f>
        <v>0</v>
      </c>
      <c r="G15055" s="34" t="n">
        <f aca="false">SUMIFS('12.326ana'!$C:$C,'12.326ana'!$M:$M,redes!A15055)</f>
        <v>0</v>
      </c>
    </row>
    <row r="15056" customFormat="false" ht="14.4" hidden="true" customHeight="false" outlineLevel="0" collapsed="false">
      <c r="A15056" s="34" t="n">
        <v>24191707000190</v>
      </c>
      <c r="B15056" s="34" t="s">
        <v>28071</v>
      </c>
      <c r="C15056" s="34" t="s">
        <v>89</v>
      </c>
      <c r="E15056" s="30" t="s">
        <v>28072</v>
      </c>
      <c r="F15056" s="34" t="n">
        <f aca="false">IFERROR(VLOOKUP($A15056,'319'!$B:$H,7,0),0)</f>
        <v>0</v>
      </c>
      <c r="G15056" s="34" t="n">
        <f aca="false">SUMIFS('12.326ana'!$C:$C,'12.326ana'!$M:$M,redes!A15056)</f>
        <v>0</v>
      </c>
    </row>
    <row r="15057" customFormat="false" ht="14.4" hidden="true" customHeight="false" outlineLevel="0" collapsed="false">
      <c r="A15057" s="34" t="n">
        <v>24194119000100</v>
      </c>
      <c r="B15057" s="34" t="s">
        <v>28073</v>
      </c>
      <c r="C15057" s="34" t="s">
        <v>89</v>
      </c>
      <c r="E15057" s="30" t="s">
        <v>28074</v>
      </c>
      <c r="F15057" s="34" t="n">
        <f aca="false">IFERROR(VLOOKUP($A15057,'319'!$B:$H,7,0),0)</f>
        <v>0</v>
      </c>
      <c r="G15057" s="34" t="n">
        <f aca="false">SUMIFS('12.326ana'!$C:$C,'12.326ana'!$M:$M,redes!A15057)</f>
        <v>0</v>
      </c>
    </row>
    <row r="15058" customFormat="false" ht="14.4" hidden="true" customHeight="false" outlineLevel="0" collapsed="false">
      <c r="A15058" s="34" t="n">
        <v>24196029000159</v>
      </c>
      <c r="B15058" s="34" t="s">
        <v>28075</v>
      </c>
      <c r="C15058" s="34" t="s">
        <v>357</v>
      </c>
      <c r="E15058" s="30" t="s">
        <v>28076</v>
      </c>
      <c r="F15058" s="34" t="n">
        <f aca="false">IFERROR(VLOOKUP($A15058,'319'!$B:$H,7,0),0)</f>
        <v>58.57</v>
      </c>
      <c r="G15058" s="34" t="n">
        <f aca="false">SUMIFS('12.326ana'!$C:$C,'12.326ana'!$M:$M,redes!A15058)</f>
        <v>57.1</v>
      </c>
    </row>
    <row r="15059" customFormat="false" ht="14.4" hidden="true" customHeight="false" outlineLevel="0" collapsed="false">
      <c r="A15059" s="34" t="n">
        <v>24197871000105</v>
      </c>
      <c r="B15059" s="34" t="s">
        <v>28077</v>
      </c>
      <c r="C15059" s="34" t="s">
        <v>107</v>
      </c>
      <c r="E15059" s="30" t="s">
        <v>28078</v>
      </c>
      <c r="F15059" s="34" t="n">
        <f aca="false">IFERROR(VLOOKUP($A15059,'319'!$B:$H,7,0),0)</f>
        <v>0</v>
      </c>
      <c r="G15059" s="34" t="n">
        <f aca="false">SUMIFS('12.326ana'!$C:$C,'12.326ana'!$M:$M,redes!A15059)</f>
        <v>0</v>
      </c>
    </row>
    <row r="15060" customFormat="false" ht="14.4" hidden="true" customHeight="false" outlineLevel="0" collapsed="false">
      <c r="A15060" s="34" t="n">
        <v>24207539000184</v>
      </c>
      <c r="B15060" s="34" t="s">
        <v>28079</v>
      </c>
      <c r="C15060" s="34" t="s">
        <v>744</v>
      </c>
      <c r="E15060" s="30" t="s">
        <v>28080</v>
      </c>
      <c r="F15060" s="34" t="n">
        <f aca="false">IFERROR(VLOOKUP($A15060,'319'!$B:$H,7,0),0)</f>
        <v>0</v>
      </c>
      <c r="G15060" s="34" t="n">
        <f aca="false">SUMIFS('12.326ana'!$C:$C,'12.326ana'!$M:$M,redes!A15060)</f>
        <v>0</v>
      </c>
    </row>
    <row r="15061" customFormat="false" ht="14.4" hidden="true" customHeight="false" outlineLevel="0" collapsed="false">
      <c r="A15061" s="34" t="n">
        <v>24217251000190</v>
      </c>
      <c r="B15061" s="34" t="s">
        <v>1291</v>
      </c>
      <c r="C15061" s="34" t="s">
        <v>737</v>
      </c>
      <c r="E15061" s="30" t="s">
        <v>5305</v>
      </c>
      <c r="F15061" s="34" t="n">
        <f aca="false">IFERROR(VLOOKUP($A15061,'319'!$B:$H,7,0),0)</f>
        <v>259.13</v>
      </c>
      <c r="G15061" s="34" t="n">
        <f aca="false">SUMIFS('12.326ana'!$C:$C,'12.326ana'!$M:$M,redes!A15061)</f>
        <v>0</v>
      </c>
    </row>
    <row r="15062" customFormat="false" ht="14.4" hidden="true" customHeight="false" outlineLevel="0" collapsed="false">
      <c r="A15062" s="34" t="n">
        <v>24224340000164</v>
      </c>
      <c r="B15062" s="34" t="s">
        <v>28081</v>
      </c>
      <c r="C15062" s="34" t="s">
        <v>107</v>
      </c>
      <c r="E15062" s="30" t="s">
        <v>4676</v>
      </c>
      <c r="F15062" s="34" t="n">
        <f aca="false">IFERROR(VLOOKUP($A15062,'319'!$B:$H,7,0),0)</f>
        <v>0</v>
      </c>
      <c r="G15062" s="34" t="n">
        <f aca="false">SUMIFS('12.326ana'!$C:$C,'12.326ana'!$M:$M,redes!A15062)</f>
        <v>0</v>
      </c>
    </row>
    <row r="15063" customFormat="false" ht="14.4" hidden="true" customHeight="false" outlineLevel="0" collapsed="false">
      <c r="A15063" s="34" t="n">
        <v>24226819000130</v>
      </c>
      <c r="B15063" s="34" t="s">
        <v>28082</v>
      </c>
      <c r="C15063" s="34" t="s">
        <v>89</v>
      </c>
      <c r="E15063" s="30" t="s">
        <v>28083</v>
      </c>
      <c r="F15063" s="34" t="n">
        <f aca="false">IFERROR(VLOOKUP($A15063,'319'!$B:$H,7,0),0)</f>
        <v>209.45</v>
      </c>
      <c r="G15063" s="34" t="n">
        <f aca="false">SUMIFS('12.326ana'!$C:$C,'12.326ana'!$M:$M,redes!A15063)</f>
        <v>0</v>
      </c>
    </row>
    <row r="15064" customFormat="false" ht="14.4" hidden="true" customHeight="false" outlineLevel="0" collapsed="false">
      <c r="A15064" s="34" t="n">
        <v>24228550000120</v>
      </c>
      <c r="B15064" s="34" t="s">
        <v>28084</v>
      </c>
      <c r="C15064" s="34" t="s">
        <v>139</v>
      </c>
      <c r="E15064" s="30"/>
      <c r="F15064" s="34" t="n">
        <f aca="false">IFERROR(VLOOKUP($A15064,'319'!$B:$H,7,0),0)</f>
        <v>0</v>
      </c>
      <c r="G15064" s="34" t="n">
        <f aca="false">SUMIFS('12.326ana'!$C:$C,'12.326ana'!$M:$M,redes!A15064)</f>
        <v>0</v>
      </c>
    </row>
    <row r="15065" customFormat="false" ht="14.4" hidden="true" customHeight="false" outlineLevel="0" collapsed="false">
      <c r="A15065" s="34" t="n">
        <v>24239433000162</v>
      </c>
      <c r="B15065" s="34" t="s">
        <v>28085</v>
      </c>
      <c r="C15065" s="34" t="s">
        <v>967</v>
      </c>
      <c r="E15065" s="30" t="s">
        <v>28086</v>
      </c>
      <c r="F15065" s="34" t="n">
        <f aca="false">IFERROR(VLOOKUP($A15065,'319'!$B:$H,7,0),0)</f>
        <v>0</v>
      </c>
      <c r="G15065" s="34" t="n">
        <f aca="false">SUMIFS('12.326ana'!$C:$C,'12.326ana'!$M:$M,redes!A15065)</f>
        <v>0</v>
      </c>
    </row>
    <row r="15066" customFormat="false" ht="14.4" hidden="true" customHeight="false" outlineLevel="0" collapsed="false">
      <c r="A15066" s="34" t="n">
        <v>24239845000100</v>
      </c>
      <c r="B15066" s="34" t="s">
        <v>3087</v>
      </c>
      <c r="C15066" s="34" t="s">
        <v>77</v>
      </c>
      <c r="E15066" s="30" t="s">
        <v>28087</v>
      </c>
      <c r="F15066" s="34" t="n">
        <f aca="false">IFERROR(VLOOKUP($A15066,'319'!$B:$H,7,0),0)</f>
        <v>0</v>
      </c>
      <c r="G15066" s="34" t="n">
        <f aca="false">SUMIFS('12.326ana'!$C:$C,'12.326ana'!$M:$M,redes!A15066)</f>
        <v>0</v>
      </c>
    </row>
    <row r="15067" customFormat="false" ht="14.4" hidden="true" customHeight="false" outlineLevel="0" collapsed="false">
      <c r="A15067" s="34" t="n">
        <v>24239990000183</v>
      </c>
      <c r="B15067" s="34" t="s">
        <v>28088</v>
      </c>
      <c r="C15067" s="34" t="s">
        <v>10103</v>
      </c>
      <c r="E15067" s="30" t="s">
        <v>28089</v>
      </c>
      <c r="F15067" s="34" t="n">
        <f aca="false">IFERROR(VLOOKUP($A15067,'319'!$B:$H,7,0),0)</f>
        <v>0</v>
      </c>
      <c r="G15067" s="34" t="n">
        <f aca="false">SUMIFS('12.326ana'!$C:$C,'12.326ana'!$M:$M,redes!A15067)</f>
        <v>0</v>
      </c>
    </row>
    <row r="15068" customFormat="false" ht="14.4" hidden="true" customHeight="false" outlineLevel="0" collapsed="false">
      <c r="A15068" s="34" t="n">
        <v>24242633000174</v>
      </c>
      <c r="B15068" s="34" t="s">
        <v>28090</v>
      </c>
      <c r="C15068" s="34" t="s">
        <v>192</v>
      </c>
      <c r="E15068" s="30" t="s">
        <v>28091</v>
      </c>
      <c r="F15068" s="34" t="n">
        <f aca="false">IFERROR(VLOOKUP($A15068,'319'!$B:$H,7,0),0)</f>
        <v>0</v>
      </c>
      <c r="G15068" s="34" t="n">
        <f aca="false">SUMIFS('12.326ana'!$C:$C,'12.326ana'!$M:$M,redes!A15068)</f>
        <v>0</v>
      </c>
    </row>
    <row r="15069" customFormat="false" ht="14.4" hidden="true" customHeight="false" outlineLevel="0" collapsed="false">
      <c r="A15069" s="34" t="n">
        <v>24248641000128</v>
      </c>
      <c r="B15069" s="34" t="s">
        <v>28092</v>
      </c>
      <c r="C15069" s="34" t="s">
        <v>89</v>
      </c>
      <c r="E15069" s="30" t="s">
        <v>28093</v>
      </c>
      <c r="F15069" s="34" t="n">
        <f aca="false">IFERROR(VLOOKUP($A15069,'319'!$B:$H,7,0),0)</f>
        <v>0</v>
      </c>
      <c r="G15069" s="34" t="n">
        <f aca="false">SUMIFS('12.326ana'!$C:$C,'12.326ana'!$M:$M,redes!A15069)</f>
        <v>0</v>
      </c>
    </row>
    <row r="15070" customFormat="false" ht="14.4" hidden="true" customHeight="false" outlineLevel="0" collapsed="false">
      <c r="A15070" s="34" t="n">
        <v>24259043000154</v>
      </c>
      <c r="B15070" s="34" t="s">
        <v>28094</v>
      </c>
      <c r="C15070" s="34" t="s">
        <v>77</v>
      </c>
      <c r="E15070" s="30" t="s">
        <v>28095</v>
      </c>
      <c r="F15070" s="34" t="n">
        <f aca="false">IFERROR(VLOOKUP($A15070,'319'!$B:$H,7,0),0)</f>
        <v>0</v>
      </c>
      <c r="G15070" s="34" t="n">
        <f aca="false">SUMIFS('12.326ana'!$C:$C,'12.326ana'!$M:$M,redes!A15070)</f>
        <v>0</v>
      </c>
    </row>
    <row r="15071" customFormat="false" ht="14.4" hidden="true" customHeight="false" outlineLevel="0" collapsed="false">
      <c r="A15071" s="34" t="n">
        <v>24280013000120</v>
      </c>
      <c r="B15071" s="34" t="s">
        <v>28096</v>
      </c>
      <c r="C15071" s="34" t="s">
        <v>77</v>
      </c>
      <c r="E15071" s="30" t="s">
        <v>28097</v>
      </c>
      <c r="F15071" s="34" t="n">
        <f aca="false">IFERROR(VLOOKUP($A15071,'319'!$B:$H,7,0),0)</f>
        <v>0</v>
      </c>
      <c r="G15071" s="34" t="n">
        <f aca="false">SUMIFS('12.326ana'!$C:$C,'12.326ana'!$M:$M,redes!A15071)</f>
        <v>0</v>
      </c>
    </row>
    <row r="15072" customFormat="false" ht="14.4" hidden="true" customHeight="false" outlineLevel="0" collapsed="false">
      <c r="A15072" s="34" t="n">
        <v>24283121000156</v>
      </c>
      <c r="B15072" s="34" t="s">
        <v>28098</v>
      </c>
      <c r="C15072" s="34" t="s">
        <v>4418</v>
      </c>
      <c r="E15072" s="30" t="s">
        <v>28099</v>
      </c>
      <c r="F15072" s="34" t="n">
        <f aca="false">IFERROR(VLOOKUP($A15072,'319'!$B:$H,7,0),0)</f>
        <v>0</v>
      </c>
      <c r="G15072" s="34" t="n">
        <f aca="false">SUMIFS('12.326ana'!$C:$C,'12.326ana'!$M:$M,redes!A15072)</f>
        <v>0</v>
      </c>
    </row>
    <row r="15073" customFormat="false" ht="14.4" hidden="true" customHeight="false" outlineLevel="0" collapsed="false">
      <c r="A15073" s="34" t="n">
        <v>24283850000102</v>
      </c>
      <c r="B15073" s="34" t="s">
        <v>28100</v>
      </c>
      <c r="C15073" s="34" t="s">
        <v>103</v>
      </c>
      <c r="E15073" s="30" t="s">
        <v>28101</v>
      </c>
      <c r="F15073" s="34" t="n">
        <f aca="false">IFERROR(VLOOKUP($A15073,'319'!$B:$H,7,0),0)</f>
        <v>0</v>
      </c>
      <c r="G15073" s="34" t="n">
        <f aca="false">SUMIFS('12.326ana'!$C:$C,'12.326ana'!$M:$M,redes!A15073)</f>
        <v>0</v>
      </c>
    </row>
    <row r="15074" customFormat="false" ht="14.4" hidden="true" customHeight="false" outlineLevel="0" collapsed="false">
      <c r="A15074" s="34" t="n">
        <v>24290049000194</v>
      </c>
      <c r="B15074" s="34" t="s">
        <v>5525</v>
      </c>
      <c r="C15074" s="34" t="s">
        <v>77</v>
      </c>
      <c r="E15074" s="30" t="s">
        <v>28102</v>
      </c>
      <c r="F15074" s="34" t="n">
        <f aca="false">IFERROR(VLOOKUP($A15074,'319'!$B:$H,7,0),0)</f>
        <v>0</v>
      </c>
      <c r="G15074" s="34" t="n">
        <f aca="false">SUMIFS('12.326ana'!$C:$C,'12.326ana'!$M:$M,redes!A15074)</f>
        <v>0</v>
      </c>
    </row>
    <row r="15075" customFormat="false" ht="14.4" hidden="true" customHeight="false" outlineLevel="0" collapsed="false">
      <c r="A15075" s="34" t="n">
        <v>24293280000131</v>
      </c>
      <c r="B15075" s="34" t="s">
        <v>1750</v>
      </c>
      <c r="C15075" s="34" t="s">
        <v>154</v>
      </c>
      <c r="E15075" s="30" t="s">
        <v>4181</v>
      </c>
      <c r="F15075" s="34" t="n">
        <f aca="false">IFERROR(VLOOKUP($A15075,'319'!$B:$H,7,0),0)</f>
        <v>-9.99</v>
      </c>
      <c r="G15075" s="34" t="n">
        <f aca="false">SUMIFS('12.326ana'!$C:$C,'12.326ana'!$M:$M,redes!A15075)</f>
        <v>0</v>
      </c>
    </row>
    <row r="15076" customFormat="false" ht="14.4" hidden="true" customHeight="false" outlineLevel="0" collapsed="false">
      <c r="A15076" s="34" t="n">
        <v>24298488000143</v>
      </c>
      <c r="B15076" s="34" t="s">
        <v>28103</v>
      </c>
      <c r="C15076" s="34" t="s">
        <v>77</v>
      </c>
      <c r="E15076" s="30" t="s">
        <v>28104</v>
      </c>
      <c r="F15076" s="34" t="n">
        <f aca="false">IFERROR(VLOOKUP($A15076,'319'!$B:$H,7,0),0)</f>
        <v>0</v>
      </c>
      <c r="G15076" s="34" t="n">
        <f aca="false">SUMIFS('12.326ana'!$C:$C,'12.326ana'!$M:$M,redes!A15076)</f>
        <v>0</v>
      </c>
    </row>
    <row r="15077" customFormat="false" ht="14.4" hidden="true" customHeight="false" outlineLevel="0" collapsed="false">
      <c r="A15077" s="34" t="n">
        <v>24307682000148</v>
      </c>
      <c r="B15077" s="34" t="s">
        <v>28105</v>
      </c>
      <c r="C15077" s="34" t="s">
        <v>77</v>
      </c>
      <c r="E15077" s="30" t="s">
        <v>28106</v>
      </c>
      <c r="F15077" s="34" t="n">
        <f aca="false">IFERROR(VLOOKUP($A15077,'319'!$B:$H,7,0),0)</f>
        <v>0</v>
      </c>
      <c r="G15077" s="34" t="n">
        <f aca="false">SUMIFS('12.326ana'!$C:$C,'12.326ana'!$M:$M,redes!A15077)</f>
        <v>0</v>
      </c>
    </row>
    <row r="15078" customFormat="false" ht="14.4" hidden="true" customHeight="false" outlineLevel="0" collapsed="false">
      <c r="A15078" s="34" t="n">
        <v>24309793000193</v>
      </c>
      <c r="B15078" s="34" t="s">
        <v>28107</v>
      </c>
      <c r="C15078" s="34" t="s">
        <v>77</v>
      </c>
      <c r="E15078" s="30" t="s">
        <v>3664</v>
      </c>
      <c r="F15078" s="34" t="n">
        <f aca="false">IFERROR(VLOOKUP($A15078,'319'!$B:$H,7,0),0)</f>
        <v>0</v>
      </c>
      <c r="G15078" s="34" t="n">
        <f aca="false">SUMIFS('12.326ana'!$C:$C,'12.326ana'!$M:$M,redes!A15078)</f>
        <v>0</v>
      </c>
    </row>
    <row r="15079" customFormat="false" ht="14.4" hidden="true" customHeight="false" outlineLevel="0" collapsed="false">
      <c r="A15079" s="34" t="n">
        <v>24315623000111</v>
      </c>
      <c r="B15079" s="34" t="s">
        <v>28108</v>
      </c>
      <c r="C15079" s="34" t="s">
        <v>197</v>
      </c>
      <c r="E15079" s="30" t="s">
        <v>4157</v>
      </c>
      <c r="F15079" s="34" t="n">
        <f aca="false">IFERROR(VLOOKUP($A15079,'319'!$B:$H,7,0),0)</f>
        <v>0</v>
      </c>
      <c r="G15079" s="34" t="n">
        <f aca="false">SUMIFS('12.326ana'!$C:$C,'12.326ana'!$M:$M,redes!A15079)</f>
        <v>0</v>
      </c>
    </row>
    <row r="15080" customFormat="false" ht="14.4" hidden="true" customHeight="false" outlineLevel="0" collapsed="false">
      <c r="A15080" s="34" t="n">
        <v>24332557000198</v>
      </c>
      <c r="B15080" s="34" t="s">
        <v>28109</v>
      </c>
      <c r="C15080" s="34" t="s">
        <v>107</v>
      </c>
      <c r="E15080" s="30" t="s">
        <v>3428</v>
      </c>
      <c r="F15080" s="34" t="n">
        <f aca="false">IFERROR(VLOOKUP($A15080,'319'!$B:$H,7,0),0)</f>
        <v>0</v>
      </c>
      <c r="G15080" s="34" t="n">
        <f aca="false">SUMIFS('12.326ana'!$C:$C,'12.326ana'!$M:$M,redes!A15080)</f>
        <v>0</v>
      </c>
    </row>
    <row r="15081" customFormat="false" ht="14.4" hidden="true" customHeight="false" outlineLevel="0" collapsed="false">
      <c r="A15081" s="34" t="n">
        <v>24333371000153</v>
      </c>
      <c r="B15081" s="34" t="s">
        <v>28110</v>
      </c>
      <c r="C15081" s="34" t="s">
        <v>139</v>
      </c>
      <c r="E15081" s="30" t="s">
        <v>28111</v>
      </c>
      <c r="F15081" s="34" t="n">
        <f aca="false">IFERROR(VLOOKUP($A15081,'319'!$B:$H,7,0),0)</f>
        <v>0</v>
      </c>
      <c r="G15081" s="34" t="n">
        <f aca="false">SUMIFS('12.326ana'!$C:$C,'12.326ana'!$M:$M,redes!A15081)</f>
        <v>0</v>
      </c>
    </row>
    <row r="15082" customFormat="false" ht="14.4" hidden="true" customHeight="false" outlineLevel="0" collapsed="false">
      <c r="A15082" s="34" t="n">
        <v>24353802000143</v>
      </c>
      <c r="B15082" s="34" t="s">
        <v>28112</v>
      </c>
      <c r="C15082" s="34" t="s">
        <v>107</v>
      </c>
      <c r="D15082" s="34" t="s">
        <v>28113</v>
      </c>
      <c r="E15082" s="30" t="s">
        <v>28114</v>
      </c>
      <c r="F15082" s="34" t="n">
        <f aca="false">IFERROR(VLOOKUP($A15082,'319'!$B:$H,7,0),0)</f>
        <v>0</v>
      </c>
      <c r="G15082" s="34" t="n">
        <f aca="false">SUMIFS('12.326ana'!$C:$C,'12.326ana'!$M:$M,redes!A15082)</f>
        <v>0</v>
      </c>
    </row>
    <row r="15083" customFormat="false" ht="14.4" hidden="true" customHeight="false" outlineLevel="0" collapsed="false">
      <c r="A15083" s="34" t="n">
        <v>24353802000224</v>
      </c>
      <c r="B15083" s="34" t="s">
        <v>28112</v>
      </c>
      <c r="C15083" s="34" t="s">
        <v>107</v>
      </c>
      <c r="D15083" s="34" t="s">
        <v>28113</v>
      </c>
      <c r="E15083" s="30" t="s">
        <v>28114</v>
      </c>
      <c r="F15083" s="34" t="n">
        <f aca="false">IFERROR(VLOOKUP($A15083,'319'!$B:$H,7,0),0)</f>
        <v>0</v>
      </c>
      <c r="G15083" s="34" t="n">
        <f aca="false">SUMIFS('12.326ana'!$C:$C,'12.326ana'!$M:$M,redes!A15083)</f>
        <v>0</v>
      </c>
    </row>
    <row r="15084" customFormat="false" ht="14.4" hidden="true" customHeight="false" outlineLevel="0" collapsed="false">
      <c r="A15084" s="34" t="n">
        <v>24353980000174</v>
      </c>
      <c r="B15084" s="34" t="s">
        <v>28115</v>
      </c>
      <c r="C15084" s="34" t="s">
        <v>463</v>
      </c>
      <c r="E15084" s="30" t="s">
        <v>28116</v>
      </c>
      <c r="F15084" s="34" t="n">
        <f aca="false">IFERROR(VLOOKUP($A15084,'319'!$B:$H,7,0),0)</f>
        <v>0</v>
      </c>
      <c r="G15084" s="34" t="n">
        <f aca="false">SUMIFS('12.326ana'!$C:$C,'12.326ana'!$M:$M,redes!A15084)</f>
        <v>0</v>
      </c>
    </row>
    <row r="15085" customFormat="false" ht="14.4" hidden="true" customHeight="false" outlineLevel="0" collapsed="false">
      <c r="A15085" s="34" t="n">
        <v>24363510000191</v>
      </c>
      <c r="B15085" s="34" t="s">
        <v>28117</v>
      </c>
      <c r="C15085" s="34" t="s">
        <v>342</v>
      </c>
      <c r="E15085" s="30" t="s">
        <v>28118</v>
      </c>
      <c r="F15085" s="34" t="n">
        <f aca="false">IFERROR(VLOOKUP($A15085,'319'!$B:$H,7,0),0)</f>
        <v>0</v>
      </c>
      <c r="G15085" s="34" t="n">
        <f aca="false">SUMIFS('12.326ana'!$C:$C,'12.326ana'!$M:$M,redes!A15085)</f>
        <v>0</v>
      </c>
    </row>
    <row r="15086" customFormat="false" ht="14.4" hidden="true" customHeight="false" outlineLevel="0" collapsed="false">
      <c r="A15086" s="34" t="n">
        <v>24368150000110</v>
      </c>
      <c r="B15086" s="34" t="s">
        <v>28119</v>
      </c>
      <c r="C15086" s="34" t="s">
        <v>192</v>
      </c>
      <c r="E15086" s="30" t="s">
        <v>28120</v>
      </c>
      <c r="F15086" s="34" t="n">
        <f aca="false">IFERROR(VLOOKUP($A15086,'319'!$B:$H,7,0),0)</f>
        <v>0</v>
      </c>
      <c r="G15086" s="34" t="n">
        <f aca="false">SUMIFS('12.326ana'!$C:$C,'12.326ana'!$M:$M,redes!A15086)</f>
        <v>0</v>
      </c>
    </row>
    <row r="15087" customFormat="false" ht="14.4" hidden="true" customHeight="false" outlineLevel="0" collapsed="false">
      <c r="A15087" s="34" t="n">
        <v>24386348000127</v>
      </c>
      <c r="B15087" s="34" t="s">
        <v>28121</v>
      </c>
      <c r="C15087" s="34" t="s">
        <v>77</v>
      </c>
      <c r="E15087" s="30" t="s">
        <v>28122</v>
      </c>
      <c r="F15087" s="34" t="n">
        <f aca="false">IFERROR(VLOOKUP($A15087,'319'!$B:$H,7,0),0)</f>
        <v>0</v>
      </c>
      <c r="G15087" s="34" t="n">
        <f aca="false">SUMIFS('12.326ana'!$C:$C,'12.326ana'!$M:$M,redes!A15087)</f>
        <v>0</v>
      </c>
    </row>
    <row r="15088" customFormat="false" ht="14.4" hidden="true" customHeight="false" outlineLevel="0" collapsed="false">
      <c r="A15088" s="34" t="n">
        <v>24394863000159</v>
      </c>
      <c r="B15088" s="34" t="s">
        <v>28123</v>
      </c>
      <c r="C15088" s="34" t="s">
        <v>475</v>
      </c>
      <c r="E15088" s="30" t="s">
        <v>12450</v>
      </c>
      <c r="F15088" s="34" t="n">
        <f aca="false">IFERROR(VLOOKUP($A15088,'319'!$B:$H,7,0),0)</f>
        <v>0</v>
      </c>
      <c r="G15088" s="34" t="n">
        <f aca="false">SUMIFS('12.326ana'!$C:$C,'12.326ana'!$M:$M,redes!A15088)</f>
        <v>0</v>
      </c>
    </row>
    <row r="15089" customFormat="false" ht="14.4" hidden="true" customHeight="false" outlineLevel="0" collapsed="false">
      <c r="A15089" s="34" t="n">
        <v>24395194000130</v>
      </c>
      <c r="B15089" s="34" t="s">
        <v>28124</v>
      </c>
      <c r="C15089" s="34" t="s">
        <v>77</v>
      </c>
      <c r="E15089" s="30" t="s">
        <v>12931</v>
      </c>
      <c r="F15089" s="34" t="n">
        <f aca="false">IFERROR(VLOOKUP($A15089,'319'!$B:$H,7,0),0)</f>
        <v>0</v>
      </c>
      <c r="G15089" s="34" t="n">
        <f aca="false">SUMIFS('12.326ana'!$C:$C,'12.326ana'!$M:$M,redes!A15089)</f>
        <v>0</v>
      </c>
    </row>
    <row r="15090" customFormat="false" ht="14.4" hidden="true" customHeight="false" outlineLevel="0" collapsed="false">
      <c r="A15090" s="34" t="n">
        <v>24396567000197</v>
      </c>
      <c r="B15090" s="34" t="s">
        <v>21410</v>
      </c>
      <c r="C15090" s="34" t="s">
        <v>804</v>
      </c>
      <c r="E15090" s="30" t="s">
        <v>28125</v>
      </c>
      <c r="F15090" s="34" t="n">
        <f aca="false">IFERROR(VLOOKUP($A15090,'319'!$B:$H,7,0),0)</f>
        <v>0</v>
      </c>
      <c r="G15090" s="34" t="n">
        <f aca="false">SUMIFS('12.326ana'!$C:$C,'12.326ana'!$M:$M,redes!A15090)</f>
        <v>0</v>
      </c>
    </row>
    <row r="15091" customFormat="false" ht="14.4" hidden="true" customHeight="false" outlineLevel="0" collapsed="false">
      <c r="A15091" s="34" t="n">
        <v>24397411000120</v>
      </c>
      <c r="B15091" s="34" t="s">
        <v>22990</v>
      </c>
      <c r="C15091" s="34" t="s">
        <v>342</v>
      </c>
      <c r="E15091" s="30" t="s">
        <v>22991</v>
      </c>
      <c r="F15091" s="34" t="n">
        <f aca="false">IFERROR(VLOOKUP($A15091,'319'!$B:$H,7,0),0)</f>
        <v>3306.1</v>
      </c>
      <c r="G15091" s="34" t="n">
        <f aca="false">SUMIFS('12.326ana'!$C:$C,'12.326ana'!$M:$M,redes!A15091)</f>
        <v>0</v>
      </c>
    </row>
    <row r="15092" customFormat="false" ht="14.4" hidden="true" customHeight="false" outlineLevel="0" collapsed="false">
      <c r="A15092" s="34" t="n">
        <v>24404581000195</v>
      </c>
      <c r="B15092" s="34" t="s">
        <v>28126</v>
      </c>
      <c r="C15092" s="34" t="s">
        <v>357</v>
      </c>
      <c r="E15092" s="30" t="s">
        <v>7199</v>
      </c>
      <c r="F15092" s="34" t="n">
        <f aca="false">IFERROR(VLOOKUP($A15092,'319'!$B:$H,7,0),0)</f>
        <v>0</v>
      </c>
      <c r="G15092" s="34" t="n">
        <f aca="false">SUMIFS('12.326ana'!$C:$C,'12.326ana'!$M:$M,redes!A15092)</f>
        <v>0</v>
      </c>
    </row>
    <row r="15093" customFormat="false" ht="14.4" hidden="true" customHeight="false" outlineLevel="0" collapsed="false">
      <c r="A15093" s="34" t="n">
        <v>24419666000147</v>
      </c>
      <c r="B15093" s="34" t="s">
        <v>28127</v>
      </c>
      <c r="C15093" s="34" t="s">
        <v>77</v>
      </c>
      <c r="E15093" s="30" t="s">
        <v>28128</v>
      </c>
      <c r="F15093" s="34" t="n">
        <f aca="false">IFERROR(VLOOKUP($A15093,'319'!$B:$H,7,0),0)</f>
        <v>0</v>
      </c>
      <c r="G15093" s="34" t="n">
        <f aca="false">SUMIFS('12.326ana'!$C:$C,'12.326ana'!$M:$M,redes!A15093)</f>
        <v>0</v>
      </c>
    </row>
    <row r="15094" customFormat="false" ht="14.4" hidden="true" customHeight="false" outlineLevel="0" collapsed="false">
      <c r="A15094" s="34" t="n">
        <v>24425301000125</v>
      </c>
      <c r="B15094" s="34" t="s">
        <v>28129</v>
      </c>
      <c r="C15094" s="34" t="s">
        <v>139</v>
      </c>
      <c r="E15094" s="30" t="s">
        <v>28130</v>
      </c>
      <c r="F15094" s="34" t="n">
        <f aca="false">IFERROR(VLOOKUP($A15094,'319'!$B:$H,7,0),0)</f>
        <v>0</v>
      </c>
      <c r="G15094" s="34" t="n">
        <f aca="false">SUMIFS('12.326ana'!$C:$C,'12.326ana'!$M:$M,redes!A15094)</f>
        <v>0</v>
      </c>
    </row>
    <row r="15095" customFormat="false" ht="14.4" hidden="true" customHeight="false" outlineLevel="0" collapsed="false">
      <c r="A15095" s="34" t="n">
        <v>24436700000191</v>
      </c>
      <c r="B15095" s="34" t="s">
        <v>28131</v>
      </c>
      <c r="C15095" s="34" t="s">
        <v>192</v>
      </c>
      <c r="E15095" s="30" t="s">
        <v>28131</v>
      </c>
      <c r="F15095" s="34" t="n">
        <f aca="false">IFERROR(VLOOKUP($A15095,'319'!$B:$H,7,0),0)</f>
        <v>0</v>
      </c>
      <c r="G15095" s="34" t="n">
        <f aca="false">SUMIFS('12.326ana'!$C:$C,'12.326ana'!$M:$M,redes!A15095)</f>
        <v>0</v>
      </c>
    </row>
    <row r="15096" customFormat="false" ht="14.4" hidden="true" customHeight="false" outlineLevel="0" collapsed="false">
      <c r="A15096" s="34" t="n">
        <v>24437271000177</v>
      </c>
      <c r="B15096" s="34" t="s">
        <v>28132</v>
      </c>
      <c r="C15096" s="34" t="s">
        <v>299</v>
      </c>
      <c r="E15096" s="30" t="s">
        <v>21454</v>
      </c>
      <c r="F15096" s="34" t="n">
        <f aca="false">IFERROR(VLOOKUP($A15096,'319'!$B:$H,7,0),0)</f>
        <v>0</v>
      </c>
      <c r="G15096" s="34" t="n">
        <f aca="false">SUMIFS('12.326ana'!$C:$C,'12.326ana'!$M:$M,redes!A15096)</f>
        <v>0</v>
      </c>
    </row>
    <row r="15097" customFormat="false" ht="14.4" hidden="true" customHeight="false" outlineLevel="0" collapsed="false">
      <c r="A15097" s="34" t="n">
        <v>24447180000112</v>
      </c>
      <c r="B15097" s="34" t="s">
        <v>28133</v>
      </c>
      <c r="C15097" s="34" t="s">
        <v>89</v>
      </c>
      <c r="E15097" s="30" t="s">
        <v>21811</v>
      </c>
      <c r="F15097" s="34" t="n">
        <f aca="false">IFERROR(VLOOKUP($A15097,'319'!$B:$H,7,0),0)</f>
        <v>0</v>
      </c>
      <c r="G15097" s="34" t="n">
        <f aca="false">SUMIFS('12.326ana'!$C:$C,'12.326ana'!$M:$M,redes!A15097)</f>
        <v>0</v>
      </c>
    </row>
    <row r="15098" customFormat="false" ht="14.4" hidden="true" customHeight="false" outlineLevel="0" collapsed="false">
      <c r="A15098" s="34" t="n">
        <v>24447231000106</v>
      </c>
      <c r="B15098" s="34" t="s">
        <v>28134</v>
      </c>
      <c r="C15098" s="34" t="s">
        <v>192</v>
      </c>
      <c r="E15098" s="30" t="s">
        <v>28135</v>
      </c>
      <c r="F15098" s="34" t="n">
        <f aca="false">IFERROR(VLOOKUP($A15098,'319'!$B:$H,7,0),0)</f>
        <v>0</v>
      </c>
      <c r="G15098" s="34" t="n">
        <f aca="false">SUMIFS('12.326ana'!$C:$C,'12.326ana'!$M:$M,redes!A15098)</f>
        <v>0</v>
      </c>
    </row>
    <row r="15099" customFormat="false" ht="14.4" hidden="true" customHeight="false" outlineLevel="0" collapsed="false">
      <c r="A15099" s="34" t="n">
        <v>24448252000146</v>
      </c>
      <c r="B15099" s="34" t="s">
        <v>28136</v>
      </c>
      <c r="C15099" s="34" t="s">
        <v>478</v>
      </c>
      <c r="E15099" s="30" t="s">
        <v>28137</v>
      </c>
      <c r="F15099" s="34" t="n">
        <f aca="false">IFERROR(VLOOKUP($A15099,'319'!$B:$H,7,0),0)</f>
        <v>0</v>
      </c>
      <c r="G15099" s="34" t="n">
        <f aca="false">SUMIFS('12.326ana'!$C:$C,'12.326ana'!$M:$M,redes!A15099)</f>
        <v>0</v>
      </c>
    </row>
    <row r="15100" customFormat="false" ht="14.4" hidden="true" customHeight="false" outlineLevel="0" collapsed="false">
      <c r="A15100" s="34" t="n">
        <v>24453756000154</v>
      </c>
      <c r="B15100" s="34" t="s">
        <v>28138</v>
      </c>
      <c r="C15100" s="34" t="s">
        <v>77</v>
      </c>
      <c r="E15100" s="30" t="s">
        <v>28139</v>
      </c>
      <c r="F15100" s="34" t="n">
        <f aca="false">IFERROR(VLOOKUP($A15100,'319'!$B:$H,7,0),0)</f>
        <v>0</v>
      </c>
      <c r="G15100" s="34" t="n">
        <f aca="false">SUMIFS('12.326ana'!$C:$C,'12.326ana'!$M:$M,redes!A15100)</f>
        <v>0</v>
      </c>
    </row>
    <row r="15101" customFormat="false" ht="14.4" hidden="true" customHeight="false" outlineLevel="0" collapsed="false">
      <c r="A15101" s="34" t="n">
        <v>24455633000152</v>
      </c>
      <c r="B15101" s="34" t="s">
        <v>28140</v>
      </c>
      <c r="C15101" s="34" t="s">
        <v>129</v>
      </c>
      <c r="E15101" s="30" t="s">
        <v>28141</v>
      </c>
      <c r="F15101" s="34" t="n">
        <f aca="false">IFERROR(VLOOKUP($A15101,'319'!$B:$H,7,0),0)</f>
        <v>0</v>
      </c>
      <c r="G15101" s="34" t="n">
        <f aca="false">SUMIFS('12.326ana'!$C:$C,'12.326ana'!$M:$M,redes!A15101)</f>
        <v>0</v>
      </c>
    </row>
    <row r="15102" customFormat="false" ht="14.4" hidden="true" customHeight="false" outlineLevel="0" collapsed="false">
      <c r="A15102" s="34" t="n">
        <v>24456432000170</v>
      </c>
      <c r="B15102" s="34" t="s">
        <v>28142</v>
      </c>
      <c r="C15102" s="34" t="s">
        <v>103</v>
      </c>
      <c r="E15102" s="30" t="s">
        <v>24111</v>
      </c>
      <c r="F15102" s="34" t="n">
        <f aca="false">IFERROR(VLOOKUP($A15102,'319'!$B:$H,7,0),0)</f>
        <v>0</v>
      </c>
      <c r="G15102" s="34" t="n">
        <f aca="false">SUMIFS('12.326ana'!$C:$C,'12.326ana'!$M:$M,redes!A15102)</f>
        <v>0</v>
      </c>
    </row>
    <row r="15103" customFormat="false" ht="14.4" hidden="true" customHeight="false" outlineLevel="0" collapsed="false">
      <c r="A15103" s="34" t="n">
        <v>24459494000135</v>
      </c>
      <c r="B15103" s="34" t="s">
        <v>28143</v>
      </c>
      <c r="C15103" s="34" t="s">
        <v>631</v>
      </c>
      <c r="E15103" s="30" t="s">
        <v>11527</v>
      </c>
      <c r="F15103" s="34" t="n">
        <f aca="false">IFERROR(VLOOKUP($A15103,'319'!$B:$H,7,0),0)</f>
        <v>0</v>
      </c>
      <c r="G15103" s="34" t="n">
        <f aca="false">SUMIFS('12.326ana'!$C:$C,'12.326ana'!$M:$M,redes!A15103)</f>
        <v>0</v>
      </c>
    </row>
    <row r="15104" customFormat="false" ht="14.4" hidden="true" customHeight="false" outlineLevel="0" collapsed="false">
      <c r="A15104" s="34" t="n">
        <v>24463906000100</v>
      </c>
      <c r="B15104" s="34" t="s">
        <v>28144</v>
      </c>
      <c r="C15104" s="34" t="s">
        <v>139</v>
      </c>
      <c r="E15104" s="30" t="s">
        <v>15773</v>
      </c>
      <c r="F15104" s="34" t="n">
        <f aca="false">IFERROR(VLOOKUP($A15104,'319'!$B:$H,7,0),0)</f>
        <v>0</v>
      </c>
      <c r="G15104" s="34" t="n">
        <f aca="false">SUMIFS('12.326ana'!$C:$C,'12.326ana'!$M:$M,redes!A15104)</f>
        <v>0</v>
      </c>
    </row>
    <row r="15105" customFormat="false" ht="14.4" hidden="true" customHeight="false" outlineLevel="0" collapsed="false">
      <c r="A15105" s="34" t="n">
        <v>24465094000132</v>
      </c>
      <c r="B15105" s="34" t="s">
        <v>28145</v>
      </c>
      <c r="C15105" s="34" t="s">
        <v>77</v>
      </c>
      <c r="E15105" s="30" t="s">
        <v>28146</v>
      </c>
      <c r="F15105" s="34" t="n">
        <f aca="false">IFERROR(VLOOKUP($A15105,'319'!$B:$H,7,0),0)</f>
        <v>0</v>
      </c>
      <c r="G15105" s="34" t="n">
        <f aca="false">SUMIFS('12.326ana'!$C:$C,'12.326ana'!$M:$M,redes!A15105)</f>
        <v>0</v>
      </c>
    </row>
    <row r="15106" customFormat="false" ht="14.4" hidden="true" customHeight="false" outlineLevel="0" collapsed="false">
      <c r="A15106" s="34" t="n">
        <v>24465559000155</v>
      </c>
      <c r="B15106" s="34" t="s">
        <v>28147</v>
      </c>
      <c r="C15106" s="34" t="s">
        <v>309</v>
      </c>
      <c r="E15106" s="30" t="s">
        <v>28148</v>
      </c>
      <c r="F15106" s="34" t="n">
        <f aca="false">IFERROR(VLOOKUP($A15106,'319'!$B:$H,7,0),0)</f>
        <v>0</v>
      </c>
      <c r="G15106" s="34" t="n">
        <f aca="false">SUMIFS('12.326ana'!$C:$C,'12.326ana'!$M:$M,redes!A15106)</f>
        <v>0</v>
      </c>
    </row>
    <row r="15107" customFormat="false" ht="14.4" hidden="true" customHeight="false" outlineLevel="0" collapsed="false">
      <c r="A15107" s="34" t="n">
        <v>24474184000190</v>
      </c>
      <c r="B15107" s="34" t="s">
        <v>28149</v>
      </c>
      <c r="C15107" s="34" t="s">
        <v>478</v>
      </c>
      <c r="E15107" s="30" t="s">
        <v>28149</v>
      </c>
      <c r="F15107" s="34" t="n">
        <f aca="false">IFERROR(VLOOKUP($A15107,'319'!$B:$H,7,0),0)</f>
        <v>0</v>
      </c>
      <c r="G15107" s="34" t="n">
        <f aca="false">SUMIFS('12.326ana'!$C:$C,'12.326ana'!$M:$M,redes!A15107)</f>
        <v>0</v>
      </c>
    </row>
    <row r="15108" customFormat="false" ht="14.4" hidden="true" customHeight="false" outlineLevel="0" collapsed="false">
      <c r="A15108" s="34" t="n">
        <v>24474821000128</v>
      </c>
      <c r="B15108" s="34" t="s">
        <v>28150</v>
      </c>
      <c r="C15108" s="34" t="s">
        <v>139</v>
      </c>
      <c r="E15108" s="30" t="s">
        <v>28151</v>
      </c>
      <c r="F15108" s="34" t="n">
        <f aca="false">IFERROR(VLOOKUP($A15108,'319'!$B:$H,7,0),0)</f>
        <v>0</v>
      </c>
      <c r="G15108" s="34" t="n">
        <f aca="false">SUMIFS('12.326ana'!$C:$C,'12.326ana'!$M:$M,redes!A15108)</f>
        <v>0</v>
      </c>
    </row>
    <row r="15109" customFormat="false" ht="14.4" hidden="true" customHeight="false" outlineLevel="0" collapsed="false">
      <c r="A15109" s="34" t="n">
        <v>24478995000169</v>
      </c>
      <c r="B15109" s="34" t="s">
        <v>28152</v>
      </c>
      <c r="C15109" s="34" t="s">
        <v>77</v>
      </c>
      <c r="E15109" s="30" t="s">
        <v>28153</v>
      </c>
      <c r="F15109" s="34" t="n">
        <f aca="false">IFERROR(VLOOKUP($A15109,'319'!$B:$H,7,0),0)</f>
        <v>0</v>
      </c>
      <c r="G15109" s="34" t="n">
        <f aca="false">SUMIFS('12.326ana'!$C:$C,'12.326ana'!$M:$M,redes!A15109)</f>
        <v>0</v>
      </c>
    </row>
    <row r="15110" customFormat="false" ht="14.4" hidden="true" customHeight="false" outlineLevel="0" collapsed="false">
      <c r="A15110" s="34" t="n">
        <v>24485756000136</v>
      </c>
      <c r="B15110" s="34" t="s">
        <v>28154</v>
      </c>
      <c r="C15110" s="34" t="s">
        <v>77</v>
      </c>
      <c r="E15110" s="30" t="s">
        <v>3092</v>
      </c>
      <c r="F15110" s="34" t="n">
        <f aca="false">IFERROR(VLOOKUP($A15110,'319'!$B:$H,7,0),0)</f>
        <v>0</v>
      </c>
      <c r="G15110" s="34" t="n">
        <f aca="false">SUMIFS('12.326ana'!$C:$C,'12.326ana'!$M:$M,redes!A15110)</f>
        <v>0</v>
      </c>
    </row>
    <row r="15111" customFormat="false" ht="14.4" hidden="true" customHeight="false" outlineLevel="0" collapsed="false">
      <c r="A15111" s="34" t="n">
        <v>24488102000166</v>
      </c>
      <c r="B15111" s="34" t="s">
        <v>28155</v>
      </c>
      <c r="C15111" s="34" t="s">
        <v>77</v>
      </c>
      <c r="E15111" s="30" t="s">
        <v>28156</v>
      </c>
      <c r="F15111" s="34" t="n">
        <f aca="false">IFERROR(VLOOKUP($A15111,'319'!$B:$H,7,0),0)</f>
        <v>0</v>
      </c>
      <c r="G15111" s="34" t="n">
        <f aca="false">SUMIFS('12.326ana'!$C:$C,'12.326ana'!$M:$M,redes!A15111)</f>
        <v>0</v>
      </c>
    </row>
    <row r="15112" customFormat="false" ht="14.4" hidden="true" customHeight="false" outlineLevel="0" collapsed="false">
      <c r="A15112" s="34" t="n">
        <v>24493198000150</v>
      </c>
      <c r="B15112" s="34" t="s">
        <v>28157</v>
      </c>
      <c r="C15112" s="34" t="s">
        <v>744</v>
      </c>
      <c r="E15112" s="30" t="s">
        <v>28158</v>
      </c>
      <c r="F15112" s="34" t="n">
        <f aca="false">IFERROR(VLOOKUP($A15112,'319'!$B:$H,7,0),0)</f>
        <v>65.52</v>
      </c>
      <c r="G15112" s="34" t="n">
        <f aca="false">SUMIFS('12.326ana'!$C:$C,'12.326ana'!$M:$M,redes!A15112)</f>
        <v>0</v>
      </c>
    </row>
    <row r="15113" customFormat="false" ht="14.4" hidden="true" customHeight="false" outlineLevel="0" collapsed="false">
      <c r="A15113" s="34" t="n">
        <v>24495486000144</v>
      </c>
      <c r="B15113" s="34" t="s">
        <v>28159</v>
      </c>
      <c r="C15113" s="34" t="s">
        <v>77</v>
      </c>
      <c r="E15113" s="30" t="s">
        <v>28160</v>
      </c>
      <c r="F15113" s="34" t="n">
        <f aca="false">IFERROR(VLOOKUP($A15113,'319'!$B:$H,7,0),0)</f>
        <v>0</v>
      </c>
      <c r="G15113" s="34" t="n">
        <f aca="false">SUMIFS('12.326ana'!$C:$C,'12.326ana'!$M:$M,redes!A15113)</f>
        <v>0</v>
      </c>
    </row>
    <row r="15114" customFormat="false" ht="14.4" hidden="true" customHeight="false" outlineLevel="0" collapsed="false">
      <c r="A15114" s="34" t="n">
        <v>24498682000172</v>
      </c>
      <c r="B15114" s="34" t="s">
        <v>28161</v>
      </c>
      <c r="C15114" s="34" t="s">
        <v>107</v>
      </c>
      <c r="E15114" s="30" t="s">
        <v>28162</v>
      </c>
      <c r="F15114" s="34" t="n">
        <f aca="false">IFERROR(VLOOKUP($A15114,'319'!$B:$H,7,0),0)</f>
        <v>0</v>
      </c>
      <c r="G15114" s="34" t="n">
        <f aca="false">SUMIFS('12.326ana'!$C:$C,'12.326ana'!$M:$M,redes!A15114)</f>
        <v>0</v>
      </c>
    </row>
    <row r="15115" customFormat="false" ht="14.4" hidden="true" customHeight="false" outlineLevel="0" collapsed="false">
      <c r="A15115" s="34" t="n">
        <v>24509800000109</v>
      </c>
      <c r="B15115" s="34" t="s">
        <v>28163</v>
      </c>
      <c r="C15115" s="34" t="s">
        <v>1272</v>
      </c>
      <c r="E15115" s="30" t="s">
        <v>28164</v>
      </c>
      <c r="F15115" s="34" t="n">
        <f aca="false">IFERROR(VLOOKUP($A15115,'319'!$B:$H,7,0),0)</f>
        <v>0</v>
      </c>
      <c r="G15115" s="34" t="n">
        <f aca="false">SUMIFS('12.326ana'!$C:$C,'12.326ana'!$M:$M,redes!A15115)</f>
        <v>0</v>
      </c>
    </row>
    <row r="15116" customFormat="false" ht="14.4" hidden="true" customHeight="false" outlineLevel="0" collapsed="false">
      <c r="A15116" s="34" t="n">
        <v>24512745000106</v>
      </c>
      <c r="B15116" s="34" t="s">
        <v>28165</v>
      </c>
      <c r="C15116" s="34" t="s">
        <v>107</v>
      </c>
      <c r="E15116" s="30" t="s">
        <v>28166</v>
      </c>
      <c r="F15116" s="34" t="n">
        <f aca="false">IFERROR(VLOOKUP($A15116,'319'!$B:$H,7,0),0)</f>
        <v>0</v>
      </c>
      <c r="G15116" s="34" t="n">
        <f aca="false">SUMIFS('12.326ana'!$C:$C,'12.326ana'!$M:$M,redes!A15116)</f>
        <v>0</v>
      </c>
    </row>
    <row r="15117" customFormat="false" ht="14.4" hidden="true" customHeight="false" outlineLevel="0" collapsed="false">
      <c r="A15117" s="34" t="n">
        <v>24523298000182</v>
      </c>
      <c r="B15117" s="34" t="s">
        <v>28167</v>
      </c>
      <c r="C15117" s="34" t="s">
        <v>107</v>
      </c>
      <c r="E15117" s="30" t="s">
        <v>28168</v>
      </c>
      <c r="F15117" s="34" t="n">
        <f aca="false">IFERROR(VLOOKUP($A15117,'319'!$B:$H,7,0),0)</f>
        <v>0</v>
      </c>
      <c r="G15117" s="34" t="n">
        <f aca="false">SUMIFS('12.326ana'!$C:$C,'12.326ana'!$M:$M,redes!A15117)</f>
        <v>0</v>
      </c>
    </row>
    <row r="15118" customFormat="false" ht="14.4" hidden="true" customHeight="false" outlineLevel="0" collapsed="false">
      <c r="A15118" s="34" t="n">
        <v>24534044000160</v>
      </c>
      <c r="B15118" s="34" t="s">
        <v>28169</v>
      </c>
      <c r="C15118" s="34" t="s">
        <v>107</v>
      </c>
      <c r="E15118" s="30" t="s">
        <v>28170</v>
      </c>
      <c r="F15118" s="34" t="n">
        <f aca="false">IFERROR(VLOOKUP($A15118,'319'!$B:$H,7,0),0)</f>
        <v>0</v>
      </c>
      <c r="G15118" s="34" t="n">
        <f aca="false">SUMIFS('12.326ana'!$C:$C,'12.326ana'!$M:$M,redes!A15118)</f>
        <v>0</v>
      </c>
    </row>
    <row r="15119" customFormat="false" ht="14.4" hidden="true" customHeight="false" outlineLevel="0" collapsed="false">
      <c r="A15119" s="34" t="n">
        <v>24534789000129</v>
      </c>
      <c r="B15119" s="34" t="s">
        <v>28171</v>
      </c>
      <c r="C15119" s="34" t="s">
        <v>77</v>
      </c>
      <c r="E15119" s="30" t="s">
        <v>28172</v>
      </c>
      <c r="F15119" s="34" t="n">
        <f aca="false">IFERROR(VLOOKUP($A15119,'319'!$B:$H,7,0),0)</f>
        <v>0</v>
      </c>
      <c r="G15119" s="34" t="n">
        <f aca="false">SUMIFS('12.326ana'!$C:$C,'12.326ana'!$M:$M,redes!A15119)</f>
        <v>0</v>
      </c>
    </row>
    <row r="15120" customFormat="false" ht="14.4" hidden="true" customHeight="false" outlineLevel="0" collapsed="false">
      <c r="A15120" s="34" t="n">
        <v>24534789000200</v>
      </c>
      <c r="B15120" s="34" t="s">
        <v>28171</v>
      </c>
      <c r="C15120" s="34" t="s">
        <v>77</v>
      </c>
      <c r="E15120" s="30" t="s">
        <v>28172</v>
      </c>
      <c r="F15120" s="34" t="n">
        <f aca="false">IFERROR(VLOOKUP($A15120,'319'!$B:$H,7,0),0)</f>
        <v>0</v>
      </c>
      <c r="G15120" s="34" t="n">
        <f aca="false">SUMIFS('12.326ana'!$C:$C,'12.326ana'!$M:$M,redes!A15120)</f>
        <v>0</v>
      </c>
    </row>
    <row r="15121" customFormat="false" ht="14.4" hidden="true" customHeight="false" outlineLevel="0" collapsed="false">
      <c r="A15121" s="34" t="n">
        <v>24535982000184</v>
      </c>
      <c r="B15121" s="34" t="s">
        <v>28173</v>
      </c>
      <c r="C15121" s="34" t="s">
        <v>77</v>
      </c>
      <c r="E15121" s="30" t="s">
        <v>7092</v>
      </c>
      <c r="F15121" s="34" t="n">
        <f aca="false">IFERROR(VLOOKUP($A15121,'319'!$B:$H,7,0),0)</f>
        <v>0</v>
      </c>
      <c r="G15121" s="34" t="n">
        <f aca="false">SUMIFS('12.326ana'!$C:$C,'12.326ana'!$M:$M,redes!A15121)</f>
        <v>0</v>
      </c>
    </row>
    <row r="15122" customFormat="false" ht="14.4" hidden="true" customHeight="false" outlineLevel="0" collapsed="false">
      <c r="A15122" s="34" t="n">
        <v>24536007000190</v>
      </c>
      <c r="B15122" s="34" t="s">
        <v>6466</v>
      </c>
      <c r="C15122" s="34" t="s">
        <v>107</v>
      </c>
      <c r="E15122" s="30" t="s">
        <v>6467</v>
      </c>
      <c r="F15122" s="34" t="n">
        <f aca="false">IFERROR(VLOOKUP($A15122,'319'!$B:$H,7,0),0)</f>
        <v>0</v>
      </c>
      <c r="G15122" s="34" t="n">
        <f aca="false">SUMIFS('12.326ana'!$C:$C,'12.326ana'!$M:$M,redes!A15122)</f>
        <v>0</v>
      </c>
    </row>
    <row r="15123" customFormat="false" ht="14.4" hidden="true" customHeight="false" outlineLevel="0" collapsed="false">
      <c r="A15123" s="34" t="n">
        <v>24538877000107</v>
      </c>
      <c r="B15123" s="34" t="s">
        <v>28174</v>
      </c>
      <c r="C15123" s="34" t="s">
        <v>737</v>
      </c>
      <c r="E15123" s="30" t="s">
        <v>25498</v>
      </c>
      <c r="F15123" s="34" t="n">
        <f aca="false">IFERROR(VLOOKUP($A15123,'319'!$B:$H,7,0),0)</f>
        <v>0</v>
      </c>
      <c r="G15123" s="34" t="n">
        <f aca="false">SUMIFS('12.326ana'!$C:$C,'12.326ana'!$M:$M,redes!A15123)</f>
        <v>0</v>
      </c>
    </row>
    <row r="15124" customFormat="false" ht="14.4" hidden="true" customHeight="false" outlineLevel="0" collapsed="false">
      <c r="A15124" s="34" t="n">
        <v>24552097000103</v>
      </c>
      <c r="B15124" s="34" t="s">
        <v>3923</v>
      </c>
      <c r="C15124" s="34" t="s">
        <v>77</v>
      </c>
      <c r="E15124" s="30" t="s">
        <v>28175</v>
      </c>
      <c r="F15124" s="34" t="n">
        <f aca="false">IFERROR(VLOOKUP($A15124,'319'!$B:$H,7,0),0)</f>
        <v>0</v>
      </c>
      <c r="G15124" s="34" t="n">
        <f aca="false">SUMIFS('12.326ana'!$C:$C,'12.326ana'!$M:$M,redes!A15124)</f>
        <v>0</v>
      </c>
    </row>
    <row r="15125" customFormat="false" ht="14.4" hidden="true" customHeight="false" outlineLevel="0" collapsed="false">
      <c r="A15125" s="34" t="n">
        <v>24552704000135</v>
      </c>
      <c r="B15125" s="34" t="s">
        <v>28176</v>
      </c>
      <c r="C15125" s="34" t="s">
        <v>299</v>
      </c>
      <c r="E15125" s="30" t="s">
        <v>28177</v>
      </c>
      <c r="F15125" s="34" t="n">
        <f aca="false">IFERROR(VLOOKUP($A15125,'319'!$B:$H,7,0),0)</f>
        <v>0</v>
      </c>
      <c r="G15125" s="34" t="n">
        <f aca="false">SUMIFS('12.326ana'!$C:$C,'12.326ana'!$M:$M,redes!A15125)</f>
        <v>0</v>
      </c>
    </row>
    <row r="15126" customFormat="false" ht="14.4" hidden="true" customHeight="false" outlineLevel="0" collapsed="false">
      <c r="A15126" s="34" t="n">
        <v>24557458000104</v>
      </c>
      <c r="B15126" s="34" t="s">
        <v>1293</v>
      </c>
      <c r="C15126" s="34" t="s">
        <v>77</v>
      </c>
      <c r="E15126" s="30" t="s">
        <v>28178</v>
      </c>
      <c r="F15126" s="34" t="n">
        <f aca="false">IFERROR(VLOOKUP($A15126,'319'!$B:$H,7,0),0)</f>
        <v>258.09</v>
      </c>
      <c r="G15126" s="34" t="n">
        <f aca="false">SUMIFS('12.326ana'!$C:$C,'12.326ana'!$M:$M,redes!A15126)</f>
        <v>0</v>
      </c>
    </row>
    <row r="15127" customFormat="false" ht="14.4" hidden="true" customHeight="false" outlineLevel="0" collapsed="false">
      <c r="A15127" s="34" t="n">
        <v>24562741000124</v>
      </c>
      <c r="B15127" s="34" t="s">
        <v>28179</v>
      </c>
      <c r="C15127" s="34" t="s">
        <v>107</v>
      </c>
      <c r="E15127" s="30" t="s">
        <v>3644</v>
      </c>
      <c r="F15127" s="34" t="n">
        <f aca="false">IFERROR(VLOOKUP($A15127,'319'!$B:$H,7,0),0)</f>
        <v>0</v>
      </c>
      <c r="G15127" s="34" t="n">
        <f aca="false">SUMIFS('12.326ana'!$C:$C,'12.326ana'!$M:$M,redes!A15127)</f>
        <v>0</v>
      </c>
    </row>
    <row r="15128" customFormat="false" ht="14.4" hidden="true" customHeight="false" outlineLevel="0" collapsed="false">
      <c r="A15128" s="34" t="n">
        <v>24574994000118</v>
      </c>
      <c r="B15128" s="34" t="s">
        <v>28180</v>
      </c>
      <c r="C15128" s="34" t="s">
        <v>77</v>
      </c>
      <c r="E15128" s="30"/>
      <c r="F15128" s="34" t="n">
        <f aca="false">IFERROR(VLOOKUP($A15128,'319'!$B:$H,7,0),0)</f>
        <v>0</v>
      </c>
      <c r="G15128" s="34" t="n">
        <f aca="false">SUMIFS('12.326ana'!$C:$C,'12.326ana'!$M:$M,redes!A15128)</f>
        <v>0</v>
      </c>
    </row>
    <row r="15129" customFormat="false" ht="14.4" hidden="true" customHeight="false" outlineLevel="0" collapsed="false">
      <c r="A15129" s="34" t="n">
        <v>24580076000100</v>
      </c>
      <c r="B15129" s="34" t="s">
        <v>28181</v>
      </c>
      <c r="C15129" s="34" t="s">
        <v>77</v>
      </c>
      <c r="E15129" s="30" t="s">
        <v>28182</v>
      </c>
      <c r="F15129" s="34" t="n">
        <f aca="false">IFERROR(VLOOKUP($A15129,'319'!$B:$H,7,0),0)</f>
        <v>0</v>
      </c>
      <c r="G15129" s="34" t="n">
        <f aca="false">SUMIFS('12.326ana'!$C:$C,'12.326ana'!$M:$M,redes!A15129)</f>
        <v>0</v>
      </c>
    </row>
    <row r="15130" customFormat="false" ht="14.4" hidden="true" customHeight="false" outlineLevel="0" collapsed="false">
      <c r="A15130" s="34" t="n">
        <v>24584057000143</v>
      </c>
      <c r="B15130" s="34" t="s">
        <v>28183</v>
      </c>
      <c r="C15130" s="34" t="s">
        <v>77</v>
      </c>
      <c r="E15130" s="30" t="s">
        <v>11160</v>
      </c>
      <c r="F15130" s="34" t="n">
        <f aca="false">IFERROR(VLOOKUP($A15130,'319'!$B:$H,7,0),0)</f>
        <v>0</v>
      </c>
      <c r="G15130" s="34" t="n">
        <f aca="false">SUMIFS('12.326ana'!$C:$C,'12.326ana'!$M:$M,redes!A15130)</f>
        <v>0</v>
      </c>
    </row>
    <row r="15131" customFormat="false" ht="14.4" hidden="true" customHeight="false" outlineLevel="0" collapsed="false">
      <c r="A15131" s="34" t="n">
        <v>24595430000161</v>
      </c>
      <c r="B15131" s="34" t="s">
        <v>21911</v>
      </c>
      <c r="C15131" s="34" t="s">
        <v>77</v>
      </c>
      <c r="E15131" s="30" t="s">
        <v>28184</v>
      </c>
      <c r="F15131" s="34" t="n">
        <f aca="false">IFERROR(VLOOKUP($A15131,'319'!$B:$H,7,0),0)</f>
        <v>0</v>
      </c>
      <c r="G15131" s="34" t="n">
        <f aca="false">SUMIFS('12.326ana'!$C:$C,'12.326ana'!$M:$M,redes!A15131)</f>
        <v>0</v>
      </c>
    </row>
    <row r="15132" customFormat="false" ht="14.4" hidden="true" customHeight="false" outlineLevel="0" collapsed="false">
      <c r="A15132" s="34" t="n">
        <v>24596218000119</v>
      </c>
      <c r="B15132" s="34" t="s">
        <v>28185</v>
      </c>
      <c r="C15132" s="34" t="s">
        <v>342</v>
      </c>
      <c r="E15132" s="30" t="s">
        <v>3001</v>
      </c>
      <c r="F15132" s="34" t="n">
        <f aca="false">IFERROR(VLOOKUP($A15132,'319'!$B:$H,7,0),0)</f>
        <v>0</v>
      </c>
      <c r="G15132" s="34" t="n">
        <f aca="false">SUMIFS('12.326ana'!$C:$C,'12.326ana'!$M:$M,redes!A15132)</f>
        <v>0</v>
      </c>
    </row>
    <row r="15133" customFormat="false" ht="14.4" hidden="true" customHeight="false" outlineLevel="0" collapsed="false">
      <c r="A15133" s="34" t="n">
        <v>24596504000184</v>
      </c>
      <c r="B15133" s="34" t="s">
        <v>28186</v>
      </c>
      <c r="C15133" s="34" t="s">
        <v>77</v>
      </c>
      <c r="D15133" s="34" t="s">
        <v>13626</v>
      </c>
      <c r="E15133" s="30" t="s">
        <v>17973</v>
      </c>
      <c r="F15133" s="34" t="n">
        <f aca="false">IFERROR(VLOOKUP($A15133,'319'!$B:$H,7,0),0)</f>
        <v>0</v>
      </c>
      <c r="G15133" s="34" t="n">
        <f aca="false">SUMIFS('12.326ana'!$C:$C,'12.326ana'!$M:$M,redes!A15133)</f>
        <v>0</v>
      </c>
    </row>
    <row r="15134" customFormat="false" ht="14.4" hidden="true" customHeight="false" outlineLevel="0" collapsed="false">
      <c r="A15134" s="34" t="n">
        <v>24596694000130</v>
      </c>
      <c r="B15134" s="34" t="s">
        <v>28187</v>
      </c>
      <c r="C15134" s="34" t="s">
        <v>77</v>
      </c>
      <c r="E15134" s="30" t="s">
        <v>28188</v>
      </c>
      <c r="F15134" s="34" t="n">
        <f aca="false">IFERROR(VLOOKUP($A15134,'319'!$B:$H,7,0),0)</f>
        <v>0</v>
      </c>
      <c r="G15134" s="34" t="n">
        <f aca="false">SUMIFS('12.326ana'!$C:$C,'12.326ana'!$M:$M,redes!A15134)</f>
        <v>0</v>
      </c>
    </row>
    <row r="15135" customFormat="false" ht="14.4" hidden="true" customHeight="false" outlineLevel="0" collapsed="false">
      <c r="A15135" s="34" t="n">
        <v>24597361000125</v>
      </c>
      <c r="B15135" s="34" t="s">
        <v>28189</v>
      </c>
      <c r="C15135" s="34" t="s">
        <v>842</v>
      </c>
      <c r="E15135" s="30" t="s">
        <v>28190</v>
      </c>
      <c r="F15135" s="34" t="n">
        <f aca="false">IFERROR(VLOOKUP($A15135,'319'!$B:$H,7,0),0)</f>
        <v>0</v>
      </c>
      <c r="G15135" s="34" t="n">
        <f aca="false">SUMIFS('12.326ana'!$C:$C,'12.326ana'!$M:$M,redes!A15135)</f>
        <v>0</v>
      </c>
    </row>
    <row r="15136" customFormat="false" ht="14.4" hidden="true" customHeight="false" outlineLevel="0" collapsed="false">
      <c r="A15136" s="34" t="n">
        <v>24597902000115</v>
      </c>
      <c r="B15136" s="34" t="s">
        <v>28191</v>
      </c>
      <c r="C15136" s="34" t="s">
        <v>77</v>
      </c>
      <c r="E15136" s="30" t="s">
        <v>28192</v>
      </c>
      <c r="F15136" s="34" t="n">
        <f aca="false">IFERROR(VLOOKUP($A15136,'319'!$B:$H,7,0),0)</f>
        <v>0</v>
      </c>
      <c r="G15136" s="34" t="n">
        <f aca="false">SUMIFS('12.326ana'!$C:$C,'12.326ana'!$M:$M,redes!A15136)</f>
        <v>0</v>
      </c>
    </row>
    <row r="15137" customFormat="false" ht="14.4" hidden="true" customHeight="false" outlineLevel="0" collapsed="false">
      <c r="A15137" s="34" t="n">
        <v>24598013000172</v>
      </c>
      <c r="B15137" s="34" t="s">
        <v>28193</v>
      </c>
      <c r="C15137" s="34" t="s">
        <v>139</v>
      </c>
      <c r="E15137" s="30" t="s">
        <v>28194</v>
      </c>
      <c r="F15137" s="34" t="n">
        <f aca="false">IFERROR(VLOOKUP($A15137,'319'!$B:$H,7,0),0)</f>
        <v>0</v>
      </c>
      <c r="G15137" s="34" t="n">
        <f aca="false">SUMIFS('12.326ana'!$C:$C,'12.326ana'!$M:$M,redes!A15137)</f>
        <v>0</v>
      </c>
    </row>
    <row r="15138" customFormat="false" ht="14.4" hidden="true" customHeight="false" outlineLevel="0" collapsed="false">
      <c r="A15138" s="34" t="n">
        <v>24598690000190</v>
      </c>
      <c r="B15138" s="34" t="s">
        <v>28195</v>
      </c>
      <c r="C15138" s="34" t="s">
        <v>77</v>
      </c>
      <c r="E15138" s="30" t="s">
        <v>28196</v>
      </c>
      <c r="F15138" s="34" t="n">
        <f aca="false">IFERROR(VLOOKUP($A15138,'319'!$B:$H,7,0),0)</f>
        <v>0</v>
      </c>
      <c r="G15138" s="34" t="n">
        <f aca="false">SUMIFS('12.326ana'!$C:$C,'12.326ana'!$M:$M,redes!A15138)</f>
        <v>0</v>
      </c>
    </row>
    <row r="15139" customFormat="false" ht="14.4" hidden="true" customHeight="false" outlineLevel="0" collapsed="false">
      <c r="A15139" s="34" t="n">
        <v>24599524000109</v>
      </c>
      <c r="B15139" s="34" t="s">
        <v>28197</v>
      </c>
      <c r="C15139" s="34" t="s">
        <v>4139</v>
      </c>
      <c r="E15139" s="30" t="s">
        <v>28198</v>
      </c>
      <c r="F15139" s="34" t="n">
        <f aca="false">IFERROR(VLOOKUP($A15139,'319'!$B:$H,7,0),0)</f>
        <v>0</v>
      </c>
      <c r="G15139" s="34" t="n">
        <f aca="false">SUMIFS('12.326ana'!$C:$C,'12.326ana'!$M:$M,redes!A15139)</f>
        <v>0</v>
      </c>
    </row>
    <row r="15140" customFormat="false" ht="14.4" hidden="true" customHeight="false" outlineLevel="0" collapsed="false">
      <c r="A15140" s="34" t="n">
        <v>24599607000106</v>
      </c>
      <c r="B15140" s="34" t="s">
        <v>28199</v>
      </c>
      <c r="C15140" s="34" t="s">
        <v>192</v>
      </c>
      <c r="E15140" s="30" t="s">
        <v>28200</v>
      </c>
      <c r="F15140" s="34" t="n">
        <f aca="false">IFERROR(VLOOKUP($A15140,'319'!$B:$H,7,0),0)</f>
        <v>0</v>
      </c>
      <c r="G15140" s="34" t="n">
        <f aca="false">SUMIFS('12.326ana'!$C:$C,'12.326ana'!$M:$M,redes!A15140)</f>
        <v>0</v>
      </c>
    </row>
    <row r="15141" customFormat="false" ht="14.4" hidden="true" customHeight="false" outlineLevel="0" collapsed="false">
      <c r="A15141" s="34" t="n">
        <v>24599656000130</v>
      </c>
      <c r="B15141" s="34" t="s">
        <v>28201</v>
      </c>
      <c r="C15141" s="34" t="s">
        <v>1272</v>
      </c>
      <c r="E15141" s="30" t="s">
        <v>28202</v>
      </c>
      <c r="F15141" s="34" t="n">
        <f aca="false">IFERROR(VLOOKUP($A15141,'319'!$B:$H,7,0),0)</f>
        <v>0</v>
      </c>
      <c r="G15141" s="34" t="n">
        <f aca="false">SUMIFS('12.326ana'!$C:$C,'12.326ana'!$M:$M,redes!A15141)</f>
        <v>0</v>
      </c>
    </row>
    <row r="15142" customFormat="false" ht="14.4" hidden="true" customHeight="false" outlineLevel="0" collapsed="false">
      <c r="A15142" s="34" t="n">
        <v>24599664000187</v>
      </c>
      <c r="B15142" s="34" t="s">
        <v>28203</v>
      </c>
      <c r="C15142" s="34" t="s">
        <v>957</v>
      </c>
      <c r="E15142" s="30" t="s">
        <v>4789</v>
      </c>
      <c r="F15142" s="34" t="n">
        <f aca="false">IFERROR(VLOOKUP($A15142,'319'!$B:$H,7,0),0)</f>
        <v>0</v>
      </c>
      <c r="G15142" s="34" t="n">
        <f aca="false">SUMIFS('12.326ana'!$C:$C,'12.326ana'!$M:$M,redes!A15142)</f>
        <v>0</v>
      </c>
    </row>
    <row r="15143" customFormat="false" ht="14.4" hidden="true" customHeight="false" outlineLevel="0" collapsed="false">
      <c r="A15143" s="34" t="n">
        <v>24599848000147</v>
      </c>
      <c r="B15143" s="34" t="s">
        <v>28204</v>
      </c>
      <c r="C15143" s="34" t="s">
        <v>77</v>
      </c>
      <c r="E15143" s="30" t="s">
        <v>28205</v>
      </c>
      <c r="F15143" s="34" t="n">
        <f aca="false">IFERROR(VLOOKUP($A15143,'319'!$B:$H,7,0),0)</f>
        <v>0</v>
      </c>
      <c r="G15143" s="34" t="n">
        <f aca="false">SUMIFS('12.326ana'!$C:$C,'12.326ana'!$M:$M,redes!A15143)</f>
        <v>0</v>
      </c>
    </row>
    <row r="15144" customFormat="false" ht="14.4" hidden="true" customHeight="false" outlineLevel="0" collapsed="false">
      <c r="A15144" s="34" t="n">
        <v>24601726000148</v>
      </c>
      <c r="B15144" s="34" t="s">
        <v>28206</v>
      </c>
      <c r="C15144" s="34" t="s">
        <v>77</v>
      </c>
      <c r="E15144" s="30" t="s">
        <v>28207</v>
      </c>
      <c r="F15144" s="34" t="n">
        <f aca="false">IFERROR(VLOOKUP($A15144,'319'!$B:$H,7,0),0)</f>
        <v>0</v>
      </c>
      <c r="G15144" s="34" t="n">
        <f aca="false">SUMIFS('12.326ana'!$C:$C,'12.326ana'!$M:$M,redes!A15144)</f>
        <v>0</v>
      </c>
    </row>
    <row r="15145" customFormat="false" ht="14.4" hidden="true" customHeight="false" outlineLevel="0" collapsed="false">
      <c r="A15145" s="34" t="n">
        <v>24601882000109</v>
      </c>
      <c r="B15145" s="34" t="s">
        <v>28208</v>
      </c>
      <c r="C15145" s="34" t="s">
        <v>77</v>
      </c>
      <c r="E15145" s="30" t="s">
        <v>28209</v>
      </c>
      <c r="F15145" s="34" t="n">
        <f aca="false">IFERROR(VLOOKUP($A15145,'319'!$B:$H,7,0),0)</f>
        <v>0</v>
      </c>
      <c r="G15145" s="34" t="n">
        <f aca="false">SUMIFS('12.326ana'!$C:$C,'12.326ana'!$M:$M,redes!A15145)</f>
        <v>0</v>
      </c>
    </row>
    <row r="15146" customFormat="false" ht="14.4" hidden="true" customHeight="false" outlineLevel="0" collapsed="false">
      <c r="A15146" s="34" t="n">
        <v>24602153000177</v>
      </c>
      <c r="B15146" s="34" t="s">
        <v>28210</v>
      </c>
      <c r="C15146" s="34" t="s">
        <v>89</v>
      </c>
      <c r="E15146" s="30" t="s">
        <v>28211</v>
      </c>
      <c r="F15146" s="34" t="n">
        <f aca="false">IFERROR(VLOOKUP($A15146,'319'!$B:$H,7,0),0)</f>
        <v>0</v>
      </c>
      <c r="G15146" s="34" t="n">
        <f aca="false">SUMIFS('12.326ana'!$C:$C,'12.326ana'!$M:$M,redes!A15146)</f>
        <v>0</v>
      </c>
    </row>
    <row r="15147" customFormat="false" ht="14.4" hidden="true" customHeight="false" outlineLevel="0" collapsed="false">
      <c r="A15147" s="34" t="n">
        <v>24602765000160</v>
      </c>
      <c r="B15147" s="34" t="s">
        <v>28212</v>
      </c>
      <c r="C15147" s="34" t="s">
        <v>139</v>
      </c>
      <c r="E15147" s="30" t="s">
        <v>28213</v>
      </c>
      <c r="F15147" s="34" t="n">
        <f aca="false">IFERROR(VLOOKUP($A15147,'319'!$B:$H,7,0),0)</f>
        <v>0</v>
      </c>
      <c r="G15147" s="34" t="n">
        <f aca="false">SUMIFS('12.326ana'!$C:$C,'12.326ana'!$M:$M,redes!A15147)</f>
        <v>0</v>
      </c>
    </row>
    <row r="15148" customFormat="false" ht="14.4" hidden="true" customHeight="false" outlineLevel="0" collapsed="false">
      <c r="A15148" s="34" t="n">
        <v>24605917000188</v>
      </c>
      <c r="B15148" s="34" t="s">
        <v>28214</v>
      </c>
      <c r="C15148" s="34" t="s">
        <v>77</v>
      </c>
      <c r="E15148" s="30" t="s">
        <v>28215</v>
      </c>
      <c r="F15148" s="34" t="n">
        <f aca="false">IFERROR(VLOOKUP($A15148,'319'!$B:$H,7,0),0)</f>
        <v>0</v>
      </c>
      <c r="G15148" s="34" t="n">
        <f aca="false">SUMIFS('12.326ana'!$C:$C,'12.326ana'!$M:$M,redes!A15148)</f>
        <v>0</v>
      </c>
    </row>
    <row r="15149" customFormat="false" ht="14.4" hidden="true" customHeight="false" outlineLevel="0" collapsed="false">
      <c r="A15149" s="34" t="n">
        <v>24606220000121</v>
      </c>
      <c r="B15149" s="34" t="s">
        <v>28216</v>
      </c>
      <c r="C15149" s="34" t="s">
        <v>139</v>
      </c>
      <c r="E15149" s="30" t="s">
        <v>28217</v>
      </c>
      <c r="F15149" s="34" t="n">
        <f aca="false">IFERROR(VLOOKUP($A15149,'319'!$B:$H,7,0),0)</f>
        <v>0</v>
      </c>
      <c r="G15149" s="34" t="n">
        <f aca="false">SUMIFS('12.326ana'!$C:$C,'12.326ana'!$M:$M,redes!A15149)</f>
        <v>0</v>
      </c>
    </row>
    <row r="15150" customFormat="false" ht="14.4" hidden="true" customHeight="false" outlineLevel="0" collapsed="false">
      <c r="A15150" s="34" t="n">
        <v>24606253000171</v>
      </c>
      <c r="B15150" s="34" t="s">
        <v>28218</v>
      </c>
      <c r="C15150" s="34" t="s">
        <v>77</v>
      </c>
      <c r="E15150" s="30" t="s">
        <v>28219</v>
      </c>
      <c r="F15150" s="34" t="n">
        <f aca="false">IFERROR(VLOOKUP($A15150,'319'!$B:$H,7,0),0)</f>
        <v>0</v>
      </c>
      <c r="G15150" s="34" t="n">
        <f aca="false">SUMIFS('12.326ana'!$C:$C,'12.326ana'!$M:$M,redes!A15150)</f>
        <v>0</v>
      </c>
    </row>
    <row r="15151" customFormat="false" ht="14.4" hidden="true" customHeight="false" outlineLevel="0" collapsed="false">
      <c r="A15151" s="34" t="n">
        <v>24606469000137</v>
      </c>
      <c r="B15151" s="34" t="s">
        <v>28220</v>
      </c>
      <c r="C15151" s="34" t="s">
        <v>6278</v>
      </c>
      <c r="D15151" s="34" t="s">
        <v>4797</v>
      </c>
      <c r="E15151" s="30" t="s">
        <v>28221</v>
      </c>
      <c r="F15151" s="34" t="n">
        <f aca="false">IFERROR(VLOOKUP($A15151,'319'!$B:$H,7,0),0)</f>
        <v>0</v>
      </c>
      <c r="G15151" s="34" t="n">
        <f aca="false">SUMIFS('12.326ana'!$C:$C,'12.326ana'!$M:$M,redes!A15151)</f>
        <v>0</v>
      </c>
    </row>
    <row r="15152" customFormat="false" ht="14.4" hidden="true" customHeight="false" outlineLevel="0" collapsed="false">
      <c r="A15152" s="34" t="n">
        <v>24606790000111</v>
      </c>
      <c r="B15152" s="34" t="s">
        <v>28222</v>
      </c>
      <c r="C15152" s="34" t="s">
        <v>842</v>
      </c>
      <c r="E15152" s="30" t="s">
        <v>28223</v>
      </c>
      <c r="F15152" s="34" t="n">
        <f aca="false">IFERROR(VLOOKUP($A15152,'319'!$B:$H,7,0),0)</f>
        <v>0</v>
      </c>
      <c r="G15152" s="34" t="n">
        <f aca="false">SUMIFS('12.326ana'!$C:$C,'12.326ana'!$M:$M,redes!A15152)</f>
        <v>0</v>
      </c>
    </row>
    <row r="15153" customFormat="false" ht="14.4" hidden="true" customHeight="false" outlineLevel="0" collapsed="false">
      <c r="A15153" s="34" t="n">
        <v>24606865000164</v>
      </c>
      <c r="B15153" s="34" t="s">
        <v>28224</v>
      </c>
      <c r="C15153" s="34" t="s">
        <v>842</v>
      </c>
      <c r="E15153" s="30" t="s">
        <v>28225</v>
      </c>
      <c r="F15153" s="34" t="n">
        <f aca="false">IFERROR(VLOOKUP($A15153,'319'!$B:$H,7,0),0)</f>
        <v>0</v>
      </c>
      <c r="G15153" s="34" t="n">
        <f aca="false">SUMIFS('12.326ana'!$C:$C,'12.326ana'!$M:$M,redes!A15153)</f>
        <v>0</v>
      </c>
    </row>
    <row r="15154" customFormat="false" ht="14.4" hidden="true" customHeight="false" outlineLevel="0" collapsed="false">
      <c r="A15154" s="34" t="n">
        <v>24606972000192</v>
      </c>
      <c r="B15154" s="34" t="s">
        <v>28226</v>
      </c>
      <c r="C15154" s="34" t="s">
        <v>207</v>
      </c>
      <c r="E15154" s="30" t="s">
        <v>28227</v>
      </c>
      <c r="F15154" s="34" t="n">
        <f aca="false">IFERROR(VLOOKUP($A15154,'319'!$B:$H,7,0),0)</f>
        <v>0</v>
      </c>
      <c r="G15154" s="34" t="n">
        <f aca="false">SUMIFS('12.326ana'!$C:$C,'12.326ana'!$M:$M,redes!A15154)</f>
        <v>0</v>
      </c>
    </row>
    <row r="15155" customFormat="false" ht="14.4" hidden="true" customHeight="false" outlineLevel="0" collapsed="false">
      <c r="A15155" s="34" t="n">
        <v>24607285000191</v>
      </c>
      <c r="B15155" s="34" t="s">
        <v>28228</v>
      </c>
      <c r="C15155" s="34" t="s">
        <v>309</v>
      </c>
      <c r="E15155" s="30" t="s">
        <v>28229</v>
      </c>
      <c r="F15155" s="34" t="n">
        <f aca="false">IFERROR(VLOOKUP($A15155,'319'!$B:$H,7,0),0)</f>
        <v>0</v>
      </c>
      <c r="G15155" s="34" t="n">
        <f aca="false">SUMIFS('12.326ana'!$C:$C,'12.326ana'!$M:$M,redes!A15155)</f>
        <v>0</v>
      </c>
    </row>
    <row r="15156" customFormat="false" ht="14.4" hidden="true" customHeight="false" outlineLevel="0" collapsed="false">
      <c r="A15156" s="34" t="n">
        <v>24608333000166</v>
      </c>
      <c r="B15156" s="34" t="s">
        <v>28230</v>
      </c>
      <c r="C15156" s="34" t="s">
        <v>107</v>
      </c>
      <c r="E15156" s="30" t="s">
        <v>28231</v>
      </c>
      <c r="F15156" s="34" t="n">
        <f aca="false">IFERROR(VLOOKUP($A15156,'319'!$B:$H,7,0),0)</f>
        <v>0</v>
      </c>
      <c r="G15156" s="34" t="n">
        <f aca="false">SUMIFS('12.326ana'!$C:$C,'12.326ana'!$M:$M,redes!A15156)</f>
        <v>0</v>
      </c>
    </row>
    <row r="15157" customFormat="false" ht="14.4" hidden="true" customHeight="false" outlineLevel="0" collapsed="false">
      <c r="A15157" s="34" t="n">
        <v>24608655000105</v>
      </c>
      <c r="B15157" s="34" t="s">
        <v>28232</v>
      </c>
      <c r="C15157" s="34" t="s">
        <v>77</v>
      </c>
      <c r="E15157" s="30" t="s">
        <v>28233</v>
      </c>
      <c r="F15157" s="34" t="n">
        <f aca="false">IFERROR(VLOOKUP($A15157,'319'!$B:$H,7,0),0)</f>
        <v>0</v>
      </c>
      <c r="G15157" s="34" t="n">
        <f aca="false">SUMIFS('12.326ana'!$C:$C,'12.326ana'!$M:$M,redes!A15157)</f>
        <v>0</v>
      </c>
    </row>
    <row r="15158" customFormat="false" ht="14.4" hidden="true" customHeight="false" outlineLevel="0" collapsed="false">
      <c r="A15158" s="34" t="n">
        <v>24609232000100</v>
      </c>
      <c r="B15158" s="34" t="s">
        <v>28234</v>
      </c>
      <c r="C15158" s="34" t="s">
        <v>336</v>
      </c>
      <c r="E15158" s="30" t="s">
        <v>28235</v>
      </c>
      <c r="F15158" s="34" t="n">
        <f aca="false">IFERROR(VLOOKUP($A15158,'319'!$B:$H,7,0),0)</f>
        <v>0</v>
      </c>
      <c r="G15158" s="34" t="n">
        <f aca="false">SUMIFS('12.326ana'!$C:$C,'12.326ana'!$M:$M,redes!A15158)</f>
        <v>0</v>
      </c>
    </row>
    <row r="15159" customFormat="false" ht="14.4" hidden="true" customHeight="false" outlineLevel="0" collapsed="false">
      <c r="A15159" s="34" t="n">
        <v>24609851000102</v>
      </c>
      <c r="B15159" s="34" t="s">
        <v>28236</v>
      </c>
      <c r="C15159" s="34" t="s">
        <v>77</v>
      </c>
      <c r="E15159" s="30" t="s">
        <v>28237</v>
      </c>
      <c r="F15159" s="34" t="n">
        <f aca="false">IFERROR(VLOOKUP($A15159,'319'!$B:$H,7,0),0)</f>
        <v>0</v>
      </c>
      <c r="G15159" s="34" t="n">
        <f aca="false">SUMIFS('12.326ana'!$C:$C,'12.326ana'!$M:$M,redes!A15159)</f>
        <v>0</v>
      </c>
    </row>
    <row r="15160" customFormat="false" ht="14.4" hidden="true" customHeight="false" outlineLevel="0" collapsed="false">
      <c r="A15160" s="34" t="n">
        <v>24610602000129</v>
      </c>
      <c r="B15160" s="34" t="s">
        <v>28238</v>
      </c>
      <c r="C15160" s="34" t="s">
        <v>336</v>
      </c>
      <c r="E15160" s="30" t="s">
        <v>28239</v>
      </c>
      <c r="F15160" s="34" t="n">
        <f aca="false">IFERROR(VLOOKUP($A15160,'319'!$B:$H,7,0),0)</f>
        <v>0</v>
      </c>
      <c r="G15160" s="34" t="n">
        <f aca="false">SUMIFS('12.326ana'!$C:$C,'12.326ana'!$M:$M,redes!A15160)</f>
        <v>0</v>
      </c>
    </row>
    <row r="15161" customFormat="false" ht="14.4" hidden="true" customHeight="false" outlineLevel="0" collapsed="false">
      <c r="A15161" s="34" t="n">
        <v>24610891000166</v>
      </c>
      <c r="B15161" s="34" t="s">
        <v>28240</v>
      </c>
      <c r="C15161" s="34" t="s">
        <v>77</v>
      </c>
      <c r="E15161" s="30" t="s">
        <v>28241</v>
      </c>
      <c r="F15161" s="34" t="n">
        <f aca="false">IFERROR(VLOOKUP($A15161,'319'!$B:$H,7,0),0)</f>
        <v>0</v>
      </c>
      <c r="G15161" s="34" t="n">
        <f aca="false">SUMIFS('12.326ana'!$C:$C,'12.326ana'!$M:$M,redes!A15161)</f>
        <v>0</v>
      </c>
    </row>
    <row r="15162" customFormat="false" ht="14.4" hidden="true" customHeight="false" outlineLevel="0" collapsed="false">
      <c r="A15162" s="34" t="n">
        <v>24611204000127</v>
      </c>
      <c r="B15162" s="34" t="s">
        <v>28242</v>
      </c>
      <c r="C15162" s="34" t="s">
        <v>848</v>
      </c>
      <c r="E15162" s="30" t="s">
        <v>28243</v>
      </c>
      <c r="F15162" s="34" t="n">
        <f aca="false">IFERROR(VLOOKUP($A15162,'319'!$B:$H,7,0),0)</f>
        <v>0</v>
      </c>
      <c r="G15162" s="34" t="n">
        <f aca="false">SUMIFS('12.326ana'!$C:$C,'12.326ana'!$M:$M,redes!A15162)</f>
        <v>0</v>
      </c>
    </row>
    <row r="15163" customFormat="false" ht="14.4" hidden="true" customHeight="false" outlineLevel="0" collapsed="false">
      <c r="A15163" s="34" t="n">
        <v>24611881000145</v>
      </c>
      <c r="B15163" s="34" t="s">
        <v>28244</v>
      </c>
      <c r="C15163" s="34" t="s">
        <v>598</v>
      </c>
      <c r="E15163" s="30" t="s">
        <v>28245</v>
      </c>
      <c r="F15163" s="34" t="n">
        <f aca="false">IFERROR(VLOOKUP($A15163,'319'!$B:$H,7,0),0)</f>
        <v>0</v>
      </c>
      <c r="G15163" s="34" t="n">
        <f aca="false">SUMIFS('12.326ana'!$C:$C,'12.326ana'!$M:$M,redes!A15163)</f>
        <v>0</v>
      </c>
    </row>
    <row r="15164" customFormat="false" ht="14.4" hidden="true" customHeight="false" outlineLevel="0" collapsed="false">
      <c r="A15164" s="34" t="n">
        <v>24612228000109</v>
      </c>
      <c r="B15164" s="34" t="s">
        <v>28246</v>
      </c>
      <c r="C15164" s="34" t="s">
        <v>1272</v>
      </c>
      <c r="E15164" s="30" t="s">
        <v>6972</v>
      </c>
      <c r="F15164" s="34" t="n">
        <f aca="false">IFERROR(VLOOKUP($A15164,'319'!$B:$H,7,0),0)</f>
        <v>0</v>
      </c>
      <c r="G15164" s="34" t="n">
        <f aca="false">SUMIFS('12.326ana'!$C:$C,'12.326ana'!$M:$M,redes!A15164)</f>
        <v>0</v>
      </c>
    </row>
    <row r="15165" customFormat="false" ht="14.4" hidden="true" customHeight="false" outlineLevel="0" collapsed="false">
      <c r="A15165" s="34" t="n">
        <v>24612582000125</v>
      </c>
      <c r="B15165" s="34" t="s">
        <v>28247</v>
      </c>
      <c r="C15165" s="34" t="s">
        <v>464</v>
      </c>
      <c r="E15165" s="30" t="s">
        <v>3736</v>
      </c>
      <c r="F15165" s="34" t="n">
        <f aca="false">IFERROR(VLOOKUP($A15165,'319'!$B:$H,7,0),0)</f>
        <v>0</v>
      </c>
      <c r="G15165" s="34" t="n">
        <f aca="false">SUMIFS('12.326ana'!$C:$C,'12.326ana'!$M:$M,redes!A15165)</f>
        <v>0</v>
      </c>
    </row>
    <row r="15166" customFormat="false" ht="14.4" hidden="true" customHeight="false" outlineLevel="0" collapsed="false">
      <c r="A15166" s="34" t="n">
        <v>24612822000191</v>
      </c>
      <c r="B15166" s="34" t="s">
        <v>28248</v>
      </c>
      <c r="C15166" s="34" t="s">
        <v>405</v>
      </c>
      <c r="E15166" s="30" t="s">
        <v>28249</v>
      </c>
      <c r="F15166" s="34" t="n">
        <f aca="false">IFERROR(VLOOKUP($A15166,'319'!$B:$H,7,0),0)</f>
        <v>0</v>
      </c>
      <c r="G15166" s="34" t="n">
        <f aca="false">SUMIFS('12.326ana'!$C:$C,'12.326ana'!$M:$M,redes!A15166)</f>
        <v>0</v>
      </c>
    </row>
    <row r="15167" customFormat="false" ht="14.4" hidden="true" customHeight="false" outlineLevel="0" collapsed="false">
      <c r="A15167" s="34" t="n">
        <v>24613646000102</v>
      </c>
      <c r="B15167" s="34" t="s">
        <v>28250</v>
      </c>
      <c r="C15167" s="34" t="s">
        <v>77</v>
      </c>
      <c r="E15167" s="30" t="s">
        <v>28251</v>
      </c>
      <c r="F15167" s="34" t="n">
        <f aca="false">IFERROR(VLOOKUP($A15167,'319'!$B:$H,7,0),0)</f>
        <v>0</v>
      </c>
      <c r="G15167" s="34" t="n">
        <f aca="false">SUMIFS('12.326ana'!$C:$C,'12.326ana'!$M:$M,redes!A15167)</f>
        <v>0</v>
      </c>
    </row>
    <row r="15168" customFormat="false" ht="14.4" hidden="true" customHeight="false" outlineLevel="0" collapsed="false">
      <c r="A15168" s="34" t="n">
        <v>24614356000183</v>
      </c>
      <c r="B15168" s="34" t="s">
        <v>28252</v>
      </c>
      <c r="C15168" s="34" t="s">
        <v>77</v>
      </c>
      <c r="E15168" s="30" t="s">
        <v>28253</v>
      </c>
      <c r="F15168" s="34" t="n">
        <f aca="false">IFERROR(VLOOKUP($A15168,'319'!$B:$H,7,0),0)</f>
        <v>0</v>
      </c>
      <c r="G15168" s="34" t="n">
        <f aca="false">SUMIFS('12.326ana'!$C:$C,'12.326ana'!$M:$M,redes!A15168)</f>
        <v>0</v>
      </c>
    </row>
    <row r="15169" customFormat="false" ht="14.4" hidden="true" customHeight="false" outlineLevel="0" collapsed="false">
      <c r="A15169" s="34" t="n">
        <v>24616864000109</v>
      </c>
      <c r="B15169" s="34" t="s">
        <v>28254</v>
      </c>
      <c r="C15169" s="34" t="s">
        <v>103</v>
      </c>
      <c r="E15169" s="30" t="s">
        <v>28255</v>
      </c>
      <c r="F15169" s="34" t="n">
        <f aca="false">IFERROR(VLOOKUP($A15169,'319'!$B:$H,7,0),0)</f>
        <v>0</v>
      </c>
      <c r="G15169" s="34" t="n">
        <f aca="false">SUMIFS('12.326ana'!$C:$C,'12.326ana'!$M:$M,redes!A15169)</f>
        <v>0</v>
      </c>
    </row>
    <row r="15170" customFormat="false" ht="14.4" hidden="true" customHeight="false" outlineLevel="0" collapsed="false">
      <c r="A15170" s="34" t="n">
        <v>24616880000193</v>
      </c>
      <c r="B15170" s="34" t="s">
        <v>28256</v>
      </c>
      <c r="C15170" s="34" t="s">
        <v>77</v>
      </c>
      <c r="E15170" s="30" t="s">
        <v>18113</v>
      </c>
      <c r="F15170" s="34" t="n">
        <f aca="false">IFERROR(VLOOKUP($A15170,'319'!$B:$H,7,0),0)</f>
        <v>0</v>
      </c>
      <c r="G15170" s="34" t="n">
        <f aca="false">SUMIFS('12.326ana'!$C:$C,'12.326ana'!$M:$M,redes!A15170)</f>
        <v>0</v>
      </c>
    </row>
    <row r="15171" customFormat="false" ht="14.4" hidden="true" customHeight="false" outlineLevel="0" collapsed="false">
      <c r="A15171" s="34" t="n">
        <v>24617141000116</v>
      </c>
      <c r="B15171" s="34" t="s">
        <v>28257</v>
      </c>
      <c r="C15171" s="34" t="s">
        <v>77</v>
      </c>
      <c r="E15171" s="30" t="s">
        <v>28258</v>
      </c>
      <c r="F15171" s="34" t="n">
        <f aca="false">IFERROR(VLOOKUP($A15171,'319'!$B:$H,7,0),0)</f>
        <v>302.05</v>
      </c>
      <c r="G15171" s="34" t="n">
        <f aca="false">SUMIFS('12.326ana'!$C:$C,'12.326ana'!$M:$M,redes!A15171)</f>
        <v>0</v>
      </c>
    </row>
    <row r="15172" customFormat="false" ht="14.4" hidden="true" customHeight="false" outlineLevel="0" collapsed="false">
      <c r="A15172" s="34" t="n">
        <v>24617953000161</v>
      </c>
      <c r="B15172" s="34" t="s">
        <v>28259</v>
      </c>
      <c r="C15172" s="34" t="s">
        <v>935</v>
      </c>
      <c r="D15172" s="34" t="s">
        <v>4797</v>
      </c>
      <c r="E15172" s="30" t="s">
        <v>28260</v>
      </c>
      <c r="F15172" s="34" t="n">
        <f aca="false">IFERROR(VLOOKUP($A15172,'319'!$B:$H,7,0),0)</f>
        <v>0</v>
      </c>
      <c r="G15172" s="34" t="n">
        <f aca="false">SUMIFS('12.326ana'!$C:$C,'12.326ana'!$M:$M,redes!A15172)</f>
        <v>0</v>
      </c>
    </row>
    <row r="15173" customFormat="false" ht="14.4" hidden="true" customHeight="false" outlineLevel="0" collapsed="false">
      <c r="A15173" s="34" t="n">
        <v>24620197000120</v>
      </c>
      <c r="B15173" s="34" t="s">
        <v>28261</v>
      </c>
      <c r="C15173" s="34" t="s">
        <v>89</v>
      </c>
      <c r="E15173" s="30" t="s">
        <v>28262</v>
      </c>
      <c r="F15173" s="34" t="n">
        <f aca="false">IFERROR(VLOOKUP($A15173,'319'!$B:$H,7,0),0)</f>
        <v>0</v>
      </c>
      <c r="G15173" s="34" t="n">
        <f aca="false">SUMIFS('12.326ana'!$C:$C,'12.326ana'!$M:$M,redes!A15173)</f>
        <v>0</v>
      </c>
    </row>
    <row r="15174" customFormat="false" ht="14.4" hidden="true" customHeight="false" outlineLevel="0" collapsed="false">
      <c r="A15174" s="34" t="n">
        <v>24620684000192</v>
      </c>
      <c r="B15174" s="34" t="s">
        <v>28263</v>
      </c>
      <c r="C15174" s="34" t="s">
        <v>351</v>
      </c>
      <c r="E15174" s="30" t="s">
        <v>28264</v>
      </c>
      <c r="F15174" s="34" t="n">
        <f aca="false">IFERROR(VLOOKUP($A15174,'319'!$B:$H,7,0),0)</f>
        <v>0</v>
      </c>
      <c r="G15174" s="34" t="n">
        <f aca="false">SUMIFS('12.326ana'!$C:$C,'12.326ana'!$M:$M,redes!A15174)</f>
        <v>0</v>
      </c>
    </row>
    <row r="15175" customFormat="false" ht="14.4" hidden="true" customHeight="false" outlineLevel="0" collapsed="false">
      <c r="A15175" s="34" t="n">
        <v>24620759000135</v>
      </c>
      <c r="B15175" s="34" t="s">
        <v>28265</v>
      </c>
      <c r="C15175" s="34" t="s">
        <v>77</v>
      </c>
      <c r="E15175" s="30" t="s">
        <v>28266</v>
      </c>
      <c r="F15175" s="34" t="n">
        <f aca="false">IFERROR(VLOOKUP($A15175,'319'!$B:$H,7,0),0)</f>
        <v>0</v>
      </c>
      <c r="G15175" s="34" t="n">
        <f aca="false">SUMIFS('12.326ana'!$C:$C,'12.326ana'!$M:$M,redes!A15175)</f>
        <v>0</v>
      </c>
    </row>
    <row r="15176" customFormat="false" ht="14.4" hidden="true" customHeight="false" outlineLevel="0" collapsed="false">
      <c r="A15176" s="34" t="n">
        <v>24620882000156</v>
      </c>
      <c r="B15176" s="34" t="s">
        <v>28267</v>
      </c>
      <c r="C15176" s="34" t="s">
        <v>1680</v>
      </c>
      <c r="E15176" s="30" t="s">
        <v>28268</v>
      </c>
      <c r="F15176" s="34" t="n">
        <f aca="false">IFERROR(VLOOKUP($A15176,'319'!$B:$H,7,0),0)</f>
        <v>0</v>
      </c>
      <c r="G15176" s="34" t="n">
        <f aca="false">SUMIFS('12.326ana'!$C:$C,'12.326ana'!$M:$M,redes!A15176)</f>
        <v>0</v>
      </c>
    </row>
    <row r="15177" customFormat="false" ht="14.4" hidden="true" customHeight="false" outlineLevel="0" collapsed="false">
      <c r="A15177" s="34" t="n">
        <v>24620965000145</v>
      </c>
      <c r="B15177" s="34" t="s">
        <v>28269</v>
      </c>
      <c r="C15177" s="34" t="s">
        <v>89</v>
      </c>
      <c r="E15177" s="30" t="s">
        <v>28270</v>
      </c>
      <c r="F15177" s="34" t="n">
        <f aca="false">IFERROR(VLOOKUP($A15177,'319'!$B:$H,7,0),0)</f>
        <v>0</v>
      </c>
      <c r="G15177" s="34" t="n">
        <f aca="false">SUMIFS('12.326ana'!$C:$C,'12.326ana'!$M:$M,redes!A15177)</f>
        <v>0</v>
      </c>
    </row>
    <row r="15178" customFormat="false" ht="14.4" hidden="true" customHeight="false" outlineLevel="0" collapsed="false">
      <c r="A15178" s="34" t="n">
        <v>24621070000125</v>
      </c>
      <c r="B15178" s="34" t="s">
        <v>28271</v>
      </c>
      <c r="C15178" s="34" t="s">
        <v>89</v>
      </c>
      <c r="E15178" s="30" t="s">
        <v>4010</v>
      </c>
      <c r="F15178" s="34" t="n">
        <f aca="false">IFERROR(VLOOKUP($A15178,'319'!$B:$H,7,0),0)</f>
        <v>0</v>
      </c>
      <c r="G15178" s="34" t="n">
        <f aca="false">SUMIFS('12.326ana'!$C:$C,'12.326ana'!$M:$M,redes!A15178)</f>
        <v>0</v>
      </c>
    </row>
    <row r="15179" customFormat="false" ht="14.4" hidden="true" customHeight="false" outlineLevel="0" collapsed="false">
      <c r="A15179" s="34" t="n">
        <v>24622516000136</v>
      </c>
      <c r="B15179" s="34" t="s">
        <v>28272</v>
      </c>
      <c r="C15179" s="34" t="s">
        <v>107</v>
      </c>
      <c r="E15179" s="30" t="s">
        <v>28273</v>
      </c>
      <c r="F15179" s="34" t="n">
        <f aca="false">IFERROR(VLOOKUP($A15179,'319'!$B:$H,7,0),0)</f>
        <v>0</v>
      </c>
      <c r="G15179" s="34" t="n">
        <f aca="false">SUMIFS('12.326ana'!$C:$C,'12.326ana'!$M:$M,redes!A15179)</f>
        <v>0</v>
      </c>
    </row>
    <row r="15180" customFormat="false" ht="14.4" hidden="true" customHeight="false" outlineLevel="0" collapsed="false">
      <c r="A15180" s="34" t="n">
        <v>24623837000155</v>
      </c>
      <c r="B15180" s="34" t="s">
        <v>28274</v>
      </c>
      <c r="C15180" s="34" t="s">
        <v>598</v>
      </c>
      <c r="E15180" s="30" t="s">
        <v>17697</v>
      </c>
      <c r="F15180" s="34" t="n">
        <f aca="false">IFERROR(VLOOKUP($A15180,'319'!$B:$H,7,0),0)</f>
        <v>0</v>
      </c>
      <c r="G15180" s="34" t="n">
        <f aca="false">SUMIFS('12.326ana'!$C:$C,'12.326ana'!$M:$M,redes!A15180)</f>
        <v>0</v>
      </c>
    </row>
    <row r="15181" customFormat="false" ht="14.4" hidden="true" customHeight="false" outlineLevel="0" collapsed="false">
      <c r="A15181" s="34" t="n">
        <v>24623925000157</v>
      </c>
      <c r="B15181" s="34" t="s">
        <v>28275</v>
      </c>
      <c r="C15181" s="34" t="s">
        <v>77</v>
      </c>
      <c r="E15181" s="30" t="s">
        <v>9504</v>
      </c>
      <c r="F15181" s="34" t="n">
        <f aca="false">IFERROR(VLOOKUP($A15181,'319'!$B:$H,7,0),0)</f>
        <v>0</v>
      </c>
      <c r="G15181" s="34" t="n">
        <f aca="false">SUMIFS('12.326ana'!$C:$C,'12.326ana'!$M:$M,redes!A15181)</f>
        <v>0</v>
      </c>
    </row>
    <row r="15182" customFormat="false" ht="14.4" hidden="true" customHeight="false" outlineLevel="0" collapsed="false">
      <c r="A15182" s="34" t="n">
        <v>24624686000150</v>
      </c>
      <c r="B15182" s="34" t="s">
        <v>28276</v>
      </c>
      <c r="C15182" s="34" t="s">
        <v>77</v>
      </c>
      <c r="E15182" s="30" t="s">
        <v>28277</v>
      </c>
      <c r="F15182" s="34" t="n">
        <f aca="false">IFERROR(VLOOKUP($A15182,'319'!$B:$H,7,0),0)</f>
        <v>0</v>
      </c>
      <c r="G15182" s="34" t="n">
        <f aca="false">SUMIFS('12.326ana'!$C:$C,'12.326ana'!$M:$M,redes!A15182)</f>
        <v>0</v>
      </c>
    </row>
    <row r="15183" customFormat="false" ht="14.4" hidden="true" customHeight="false" outlineLevel="0" collapsed="false">
      <c r="A15183" s="34" t="n">
        <v>24624785000131</v>
      </c>
      <c r="B15183" s="34" t="s">
        <v>28278</v>
      </c>
      <c r="C15183" s="34" t="s">
        <v>77</v>
      </c>
      <c r="E15183" s="30" t="s">
        <v>28279</v>
      </c>
      <c r="F15183" s="34" t="n">
        <f aca="false">IFERROR(VLOOKUP($A15183,'319'!$B:$H,7,0),0)</f>
        <v>0</v>
      </c>
      <c r="G15183" s="34" t="n">
        <f aca="false">SUMIFS('12.326ana'!$C:$C,'12.326ana'!$M:$M,redes!A15183)</f>
        <v>0</v>
      </c>
    </row>
    <row r="15184" customFormat="false" ht="14.4" hidden="true" customHeight="false" outlineLevel="0" collapsed="false">
      <c r="A15184" s="34" t="n">
        <v>24628000000107</v>
      </c>
      <c r="B15184" s="34" t="s">
        <v>28280</v>
      </c>
      <c r="C15184" s="34" t="s">
        <v>631</v>
      </c>
      <c r="E15184" s="30" t="s">
        <v>28281</v>
      </c>
      <c r="F15184" s="34" t="n">
        <f aca="false">IFERROR(VLOOKUP($A15184,'319'!$B:$H,7,0),0)</f>
        <v>0</v>
      </c>
      <c r="G15184" s="34" t="n">
        <f aca="false">SUMIFS('12.326ana'!$C:$C,'12.326ana'!$M:$M,redes!A15184)</f>
        <v>0</v>
      </c>
    </row>
    <row r="15185" customFormat="false" ht="14.4" hidden="true" customHeight="false" outlineLevel="0" collapsed="false">
      <c r="A15185" s="34" t="n">
        <v>24628331000139</v>
      </c>
      <c r="B15185" s="34" t="s">
        <v>28282</v>
      </c>
      <c r="C15185" s="34" t="s">
        <v>631</v>
      </c>
      <c r="E15185" s="30" t="s">
        <v>19108</v>
      </c>
      <c r="F15185" s="34" t="n">
        <f aca="false">IFERROR(VLOOKUP($A15185,'319'!$B:$H,7,0),0)</f>
        <v>0</v>
      </c>
      <c r="G15185" s="34" t="n">
        <f aca="false">SUMIFS('12.326ana'!$C:$C,'12.326ana'!$M:$M,redes!A15185)</f>
        <v>0</v>
      </c>
    </row>
    <row r="15186" customFormat="false" ht="14.4" hidden="true" customHeight="false" outlineLevel="0" collapsed="false">
      <c r="A15186" s="34" t="n">
        <v>24628380000171</v>
      </c>
      <c r="B15186" s="34" t="s">
        <v>28283</v>
      </c>
      <c r="C15186" s="34" t="s">
        <v>463</v>
      </c>
      <c r="E15186" s="30" t="s">
        <v>28284</v>
      </c>
      <c r="F15186" s="34" t="n">
        <f aca="false">IFERROR(VLOOKUP($A15186,'319'!$B:$H,7,0),0)</f>
        <v>0</v>
      </c>
      <c r="G15186" s="34" t="n">
        <f aca="false">SUMIFS('12.326ana'!$C:$C,'12.326ana'!$M:$M,redes!A15186)</f>
        <v>0</v>
      </c>
    </row>
    <row r="15187" customFormat="false" ht="14.4" hidden="true" customHeight="false" outlineLevel="0" collapsed="false">
      <c r="A15187" s="34" t="n">
        <v>24628455000114</v>
      </c>
      <c r="B15187" s="34" t="s">
        <v>28285</v>
      </c>
      <c r="C15187" s="34" t="s">
        <v>107</v>
      </c>
      <c r="E15187" s="30" t="s">
        <v>6533</v>
      </c>
      <c r="F15187" s="34" t="n">
        <f aca="false">IFERROR(VLOOKUP($A15187,'319'!$B:$H,7,0),0)</f>
        <v>0</v>
      </c>
      <c r="G15187" s="34" t="n">
        <f aca="false">SUMIFS('12.326ana'!$C:$C,'12.326ana'!$M:$M,redes!A15187)</f>
        <v>0</v>
      </c>
    </row>
    <row r="15188" customFormat="false" ht="14.4" hidden="true" customHeight="false" outlineLevel="0" collapsed="false">
      <c r="A15188" s="34" t="n">
        <v>24628596000137</v>
      </c>
      <c r="B15188" s="34" t="s">
        <v>28286</v>
      </c>
      <c r="C15188" s="34" t="s">
        <v>357</v>
      </c>
      <c r="E15188" s="30" t="s">
        <v>28287</v>
      </c>
      <c r="F15188" s="34" t="n">
        <f aca="false">IFERROR(VLOOKUP($A15188,'319'!$B:$H,7,0),0)</f>
        <v>0</v>
      </c>
      <c r="G15188" s="34" t="n">
        <f aca="false">SUMIFS('12.326ana'!$C:$C,'12.326ana'!$M:$M,redes!A15188)</f>
        <v>0</v>
      </c>
    </row>
    <row r="15189" customFormat="false" ht="14.4" hidden="true" customHeight="false" outlineLevel="0" collapsed="false">
      <c r="A15189" s="34" t="n">
        <v>24630080000127</v>
      </c>
      <c r="B15189" s="34" t="s">
        <v>28288</v>
      </c>
      <c r="C15189" s="34" t="s">
        <v>77</v>
      </c>
      <c r="E15189" s="30" t="s">
        <v>28289</v>
      </c>
      <c r="F15189" s="34" t="n">
        <f aca="false">IFERROR(VLOOKUP($A15189,'319'!$B:$H,7,0),0)</f>
        <v>0</v>
      </c>
      <c r="G15189" s="34" t="n">
        <f aca="false">SUMIFS('12.326ana'!$C:$C,'12.326ana'!$M:$M,redes!A15189)</f>
        <v>0</v>
      </c>
    </row>
    <row r="15190" customFormat="false" ht="14.4" hidden="true" customHeight="false" outlineLevel="0" collapsed="false">
      <c r="A15190" s="34" t="n">
        <v>24631798000138</v>
      </c>
      <c r="B15190" s="34" t="s">
        <v>28290</v>
      </c>
      <c r="C15190" s="34" t="s">
        <v>77</v>
      </c>
      <c r="E15190" s="30" t="s">
        <v>6735</v>
      </c>
      <c r="F15190" s="34" t="n">
        <f aca="false">IFERROR(VLOOKUP($A15190,'319'!$B:$H,7,0),0)</f>
        <v>0</v>
      </c>
      <c r="G15190" s="34" t="n">
        <f aca="false">SUMIFS('12.326ana'!$C:$C,'12.326ana'!$M:$M,redes!A15190)</f>
        <v>0</v>
      </c>
    </row>
    <row r="15191" customFormat="false" ht="14.4" hidden="true" customHeight="false" outlineLevel="0" collapsed="false">
      <c r="A15191" s="34" t="n">
        <v>24631905000128</v>
      </c>
      <c r="B15191" s="34" t="s">
        <v>28291</v>
      </c>
      <c r="C15191" s="34" t="s">
        <v>77</v>
      </c>
      <c r="E15191" s="30" t="s">
        <v>28292</v>
      </c>
      <c r="F15191" s="34" t="n">
        <f aca="false">IFERROR(VLOOKUP($A15191,'319'!$B:$H,7,0),0)</f>
        <v>0</v>
      </c>
      <c r="G15191" s="34" t="n">
        <f aca="false">SUMIFS('12.326ana'!$C:$C,'12.326ana'!$M:$M,redes!A15191)</f>
        <v>0</v>
      </c>
    </row>
    <row r="15192" customFormat="false" ht="14.4" hidden="true" customHeight="false" outlineLevel="0" collapsed="false">
      <c r="A15192" s="34" t="n">
        <v>24632390000180</v>
      </c>
      <c r="B15192" s="34" t="s">
        <v>28293</v>
      </c>
      <c r="C15192" s="34" t="s">
        <v>77</v>
      </c>
      <c r="E15192" s="30" t="s">
        <v>28294</v>
      </c>
      <c r="F15192" s="34" t="n">
        <f aca="false">IFERROR(VLOOKUP($A15192,'319'!$B:$H,7,0),0)</f>
        <v>0</v>
      </c>
      <c r="G15192" s="34" t="n">
        <f aca="false">SUMIFS('12.326ana'!$C:$C,'12.326ana'!$M:$M,redes!A15192)</f>
        <v>0</v>
      </c>
    </row>
    <row r="15193" customFormat="false" ht="14.4" hidden="true" customHeight="false" outlineLevel="0" collapsed="false">
      <c r="A15193" s="34" t="n">
        <v>24632432000183</v>
      </c>
      <c r="B15193" s="34" t="s">
        <v>28295</v>
      </c>
      <c r="C15193" s="34" t="s">
        <v>475</v>
      </c>
      <c r="D15193" s="34" t="s">
        <v>17415</v>
      </c>
      <c r="E15193" s="30" t="s">
        <v>28296</v>
      </c>
      <c r="F15193" s="34" t="n">
        <f aca="false">IFERROR(VLOOKUP($A15193,'319'!$B:$H,7,0),0)</f>
        <v>-320.38</v>
      </c>
      <c r="G15193" s="34" t="n">
        <f aca="false">SUMIFS('12.326ana'!$C:$C,'12.326ana'!$M:$M,redes!A15193)</f>
        <v>0</v>
      </c>
    </row>
    <row r="15194" customFormat="false" ht="14.4" hidden="true" customHeight="false" outlineLevel="0" collapsed="false">
      <c r="A15194" s="34" t="n">
        <v>24632432000264</v>
      </c>
      <c r="B15194" s="34" t="s">
        <v>28297</v>
      </c>
      <c r="C15194" s="34" t="s">
        <v>475</v>
      </c>
      <c r="D15194" s="34" t="s">
        <v>17415</v>
      </c>
      <c r="E15194" s="30" t="s">
        <v>28298</v>
      </c>
      <c r="F15194" s="34" t="n">
        <f aca="false">IFERROR(VLOOKUP($A15194,'319'!$B:$H,7,0),0)</f>
        <v>0</v>
      </c>
      <c r="G15194" s="34" t="n">
        <f aca="false">SUMIFS('12.326ana'!$C:$C,'12.326ana'!$M:$M,redes!A15194)</f>
        <v>0</v>
      </c>
    </row>
    <row r="15195" customFormat="false" ht="14.4" hidden="true" customHeight="false" outlineLevel="0" collapsed="false">
      <c r="A15195" s="34" t="n">
        <v>24632432000345</v>
      </c>
      <c r="B15195" s="34" t="s">
        <v>28295</v>
      </c>
      <c r="C15195" s="34" t="s">
        <v>475</v>
      </c>
      <c r="D15195" s="34" t="s">
        <v>17415</v>
      </c>
      <c r="E15195" s="30" t="s">
        <v>28295</v>
      </c>
      <c r="F15195" s="34" t="n">
        <f aca="false">IFERROR(VLOOKUP($A15195,'319'!$B:$H,7,0),0)</f>
        <v>0</v>
      </c>
      <c r="G15195" s="34" t="n">
        <f aca="false">SUMIFS('12.326ana'!$C:$C,'12.326ana'!$M:$M,redes!A15195)</f>
        <v>0</v>
      </c>
    </row>
    <row r="15196" customFormat="false" ht="14.4" hidden="true" customHeight="false" outlineLevel="0" collapsed="false">
      <c r="A15196" s="34" t="n">
        <v>24632911000108</v>
      </c>
      <c r="B15196" s="34" t="s">
        <v>28299</v>
      </c>
      <c r="C15196" s="34" t="s">
        <v>77</v>
      </c>
      <c r="D15196" s="34" t="s">
        <v>9598</v>
      </c>
      <c r="E15196" s="30" t="s">
        <v>28300</v>
      </c>
      <c r="F15196" s="34" t="n">
        <f aca="false">IFERROR(VLOOKUP($A15196,'319'!$B:$H,7,0),0)</f>
        <v>0</v>
      </c>
      <c r="G15196" s="34" t="n">
        <f aca="false">SUMIFS('12.326ana'!$C:$C,'12.326ana'!$M:$M,redes!A15196)</f>
        <v>0</v>
      </c>
    </row>
    <row r="15197" customFormat="false" ht="14.4" hidden="true" customHeight="false" outlineLevel="0" collapsed="false">
      <c r="A15197" s="34" t="n">
        <v>24633125000117</v>
      </c>
      <c r="B15197" s="34" t="s">
        <v>28301</v>
      </c>
      <c r="C15197" s="34" t="s">
        <v>594</v>
      </c>
      <c r="E15197" s="30" t="s">
        <v>28302</v>
      </c>
      <c r="F15197" s="34" t="n">
        <f aca="false">IFERROR(VLOOKUP($A15197,'319'!$B:$H,7,0),0)</f>
        <v>0</v>
      </c>
      <c r="G15197" s="34" t="n">
        <f aca="false">SUMIFS('12.326ana'!$C:$C,'12.326ana'!$M:$M,redes!A15197)</f>
        <v>0</v>
      </c>
    </row>
    <row r="15198" customFormat="false" ht="14.4" hidden="true" customHeight="false" outlineLevel="0" collapsed="false">
      <c r="A15198" s="34" t="n">
        <v>24633356000120</v>
      </c>
      <c r="B15198" s="34" t="s">
        <v>28303</v>
      </c>
      <c r="C15198" s="34" t="s">
        <v>328</v>
      </c>
      <c r="E15198" s="30" t="s">
        <v>28304</v>
      </c>
      <c r="F15198" s="34" t="n">
        <f aca="false">IFERROR(VLOOKUP($A15198,'319'!$B:$H,7,0),0)</f>
        <v>0</v>
      </c>
      <c r="G15198" s="34" t="n">
        <f aca="false">SUMIFS('12.326ana'!$C:$C,'12.326ana'!$M:$M,redes!A15198)</f>
        <v>0</v>
      </c>
    </row>
    <row r="15199" customFormat="false" ht="14.4" hidden="true" customHeight="false" outlineLevel="0" collapsed="false">
      <c r="A15199" s="34" t="n">
        <v>24633851000130</v>
      </c>
      <c r="B15199" s="34" t="s">
        <v>28305</v>
      </c>
      <c r="C15199" s="34" t="s">
        <v>77</v>
      </c>
      <c r="E15199" s="30" t="s">
        <v>28306</v>
      </c>
      <c r="F15199" s="34" t="n">
        <f aca="false">IFERROR(VLOOKUP($A15199,'319'!$B:$H,7,0),0)</f>
        <v>0</v>
      </c>
      <c r="G15199" s="34" t="n">
        <f aca="false">SUMIFS('12.326ana'!$C:$C,'12.326ana'!$M:$M,redes!A15199)</f>
        <v>0</v>
      </c>
    </row>
    <row r="15200" customFormat="false" ht="14.4" hidden="true" customHeight="false" outlineLevel="0" collapsed="false">
      <c r="A15200" s="34" t="n">
        <v>24634172000185</v>
      </c>
      <c r="B15200" s="34" t="s">
        <v>28307</v>
      </c>
      <c r="C15200" s="34" t="s">
        <v>77</v>
      </c>
      <c r="E15200" s="30" t="s">
        <v>7423</v>
      </c>
      <c r="F15200" s="34" t="n">
        <f aca="false">IFERROR(VLOOKUP($A15200,'319'!$B:$H,7,0),0)</f>
        <v>0</v>
      </c>
      <c r="G15200" s="34" t="n">
        <f aca="false">SUMIFS('12.326ana'!$C:$C,'12.326ana'!$M:$M,redes!A15200)</f>
        <v>0</v>
      </c>
    </row>
    <row r="15201" customFormat="false" ht="14.4" hidden="true" customHeight="false" outlineLevel="0" collapsed="false">
      <c r="A15201" s="34" t="n">
        <v>24635104000130</v>
      </c>
      <c r="B15201" s="34" t="s">
        <v>28308</v>
      </c>
      <c r="C15201" s="34" t="s">
        <v>77</v>
      </c>
      <c r="E15201" s="30" t="s">
        <v>28309</v>
      </c>
      <c r="F15201" s="34" t="n">
        <f aca="false">IFERROR(VLOOKUP($A15201,'319'!$B:$H,7,0),0)</f>
        <v>0</v>
      </c>
      <c r="G15201" s="34" t="n">
        <f aca="false">SUMIFS('12.326ana'!$C:$C,'12.326ana'!$M:$M,redes!A15201)</f>
        <v>0</v>
      </c>
    </row>
    <row r="15202" customFormat="false" ht="14.4" hidden="true" customHeight="false" outlineLevel="0" collapsed="false">
      <c r="A15202" s="34" t="n">
        <v>24635567000100</v>
      </c>
      <c r="B15202" s="34" t="s">
        <v>28310</v>
      </c>
      <c r="C15202" s="34" t="s">
        <v>77</v>
      </c>
      <c r="E15202" s="30" t="s">
        <v>7266</v>
      </c>
      <c r="F15202" s="34" t="n">
        <f aca="false">IFERROR(VLOOKUP($A15202,'319'!$B:$H,7,0),0)</f>
        <v>0</v>
      </c>
      <c r="G15202" s="34" t="n">
        <f aca="false">SUMIFS('12.326ana'!$C:$C,'12.326ana'!$M:$M,redes!A15202)</f>
        <v>0</v>
      </c>
    </row>
    <row r="15203" customFormat="false" ht="14.4" hidden="true" customHeight="false" outlineLevel="0" collapsed="false">
      <c r="A15203" s="34" t="n">
        <v>24635880000130</v>
      </c>
      <c r="B15203" s="34" t="s">
        <v>28311</v>
      </c>
      <c r="C15203" s="34" t="s">
        <v>207</v>
      </c>
      <c r="E15203" s="30" t="s">
        <v>28312</v>
      </c>
      <c r="F15203" s="34" t="n">
        <f aca="false">IFERROR(VLOOKUP($A15203,'319'!$B:$H,7,0),0)</f>
        <v>0</v>
      </c>
      <c r="G15203" s="34" t="n">
        <f aca="false">SUMIFS('12.326ana'!$C:$C,'12.326ana'!$M:$M,redes!A15203)</f>
        <v>0</v>
      </c>
    </row>
    <row r="15204" customFormat="false" ht="14.4" hidden="true" customHeight="false" outlineLevel="0" collapsed="false">
      <c r="A15204" s="34" t="n">
        <v>24637126000130</v>
      </c>
      <c r="B15204" s="34" t="s">
        <v>28313</v>
      </c>
      <c r="C15204" s="34" t="s">
        <v>107</v>
      </c>
      <c r="E15204" s="30" t="s">
        <v>28314</v>
      </c>
      <c r="F15204" s="34" t="n">
        <f aca="false">IFERROR(VLOOKUP($A15204,'319'!$B:$H,7,0),0)</f>
        <v>0</v>
      </c>
      <c r="G15204" s="34" t="n">
        <f aca="false">SUMIFS('12.326ana'!$C:$C,'12.326ana'!$M:$M,redes!A15204)</f>
        <v>0</v>
      </c>
    </row>
    <row r="15205" customFormat="false" ht="14.4" hidden="true" customHeight="false" outlineLevel="0" collapsed="false">
      <c r="A15205" s="34" t="n">
        <v>24637506000174</v>
      </c>
      <c r="B15205" s="34" t="s">
        <v>28315</v>
      </c>
      <c r="C15205" s="34" t="s">
        <v>463</v>
      </c>
      <c r="E15205" s="30" t="s">
        <v>28316</v>
      </c>
      <c r="F15205" s="34" t="n">
        <f aca="false">IFERROR(VLOOKUP($A15205,'319'!$B:$H,7,0),0)</f>
        <v>0</v>
      </c>
      <c r="G15205" s="34" t="n">
        <f aca="false">SUMIFS('12.326ana'!$C:$C,'12.326ana'!$M:$M,redes!A15205)</f>
        <v>0</v>
      </c>
    </row>
    <row r="15206" customFormat="false" ht="14.4" hidden="true" customHeight="false" outlineLevel="0" collapsed="false">
      <c r="A15206" s="34" t="n">
        <v>24638421000100</v>
      </c>
      <c r="B15206" s="34" t="s">
        <v>28317</v>
      </c>
      <c r="C15206" s="34" t="s">
        <v>351</v>
      </c>
      <c r="E15206" s="30" t="s">
        <v>28318</v>
      </c>
      <c r="F15206" s="34" t="n">
        <f aca="false">IFERROR(VLOOKUP($A15206,'319'!$B:$H,7,0),0)</f>
        <v>0</v>
      </c>
      <c r="G15206" s="34" t="n">
        <f aca="false">SUMIFS('12.326ana'!$C:$C,'12.326ana'!$M:$M,redes!A15206)</f>
        <v>0</v>
      </c>
    </row>
    <row r="15207" customFormat="false" ht="14.4" hidden="true" customHeight="false" outlineLevel="0" collapsed="false">
      <c r="A15207" s="34" t="n">
        <v>24639809000126</v>
      </c>
      <c r="B15207" s="34" t="s">
        <v>28319</v>
      </c>
      <c r="C15207" s="34" t="s">
        <v>77</v>
      </c>
      <c r="E15207" s="30" t="s">
        <v>28320</v>
      </c>
      <c r="F15207" s="34" t="n">
        <f aca="false">IFERROR(VLOOKUP($A15207,'319'!$B:$H,7,0),0)</f>
        <v>0</v>
      </c>
      <c r="G15207" s="34" t="n">
        <f aca="false">SUMIFS('12.326ana'!$C:$C,'12.326ana'!$M:$M,redes!A15207)</f>
        <v>0</v>
      </c>
    </row>
    <row r="15208" customFormat="false" ht="14.4" hidden="true" customHeight="false" outlineLevel="0" collapsed="false">
      <c r="A15208" s="34" t="n">
        <v>24640203000100</v>
      </c>
      <c r="B15208" s="34" t="s">
        <v>28321</v>
      </c>
      <c r="C15208" s="34" t="s">
        <v>107</v>
      </c>
      <c r="E15208" s="30" t="s">
        <v>28322</v>
      </c>
      <c r="F15208" s="34" t="n">
        <f aca="false">IFERROR(VLOOKUP($A15208,'319'!$B:$H,7,0),0)</f>
        <v>0</v>
      </c>
      <c r="G15208" s="34" t="n">
        <f aca="false">SUMIFS('12.326ana'!$C:$C,'12.326ana'!$M:$M,redes!A15208)</f>
        <v>0</v>
      </c>
    </row>
    <row r="15209" customFormat="false" ht="14.4" hidden="true" customHeight="false" outlineLevel="0" collapsed="false">
      <c r="A15209" s="34" t="n">
        <v>24640294000184</v>
      </c>
      <c r="B15209" s="34" t="s">
        <v>28323</v>
      </c>
      <c r="C15209" s="34" t="s">
        <v>77</v>
      </c>
      <c r="E15209" s="30" t="s">
        <v>28324</v>
      </c>
      <c r="F15209" s="34" t="n">
        <f aca="false">IFERROR(VLOOKUP($A15209,'319'!$B:$H,7,0),0)</f>
        <v>0</v>
      </c>
      <c r="G15209" s="34" t="n">
        <f aca="false">SUMIFS('12.326ana'!$C:$C,'12.326ana'!$M:$M,redes!A15209)</f>
        <v>0</v>
      </c>
    </row>
    <row r="15210" customFormat="false" ht="14.4" hidden="true" customHeight="false" outlineLevel="0" collapsed="false">
      <c r="A15210" s="34" t="n">
        <v>24640306000170</v>
      </c>
      <c r="B15210" s="34" t="s">
        <v>28325</v>
      </c>
      <c r="C15210" s="34" t="s">
        <v>77</v>
      </c>
      <c r="E15210" s="30" t="s">
        <v>28326</v>
      </c>
      <c r="F15210" s="34" t="n">
        <f aca="false">IFERROR(VLOOKUP($A15210,'319'!$B:$H,7,0),0)</f>
        <v>0</v>
      </c>
      <c r="G15210" s="34" t="n">
        <f aca="false">SUMIFS('12.326ana'!$C:$C,'12.326ana'!$M:$M,redes!A15210)</f>
        <v>0</v>
      </c>
    </row>
    <row r="15211" customFormat="false" ht="14.4" hidden="true" customHeight="false" outlineLevel="0" collapsed="false">
      <c r="A15211" s="34" t="n">
        <v>24642985000117</v>
      </c>
      <c r="B15211" s="34" t="s">
        <v>28327</v>
      </c>
      <c r="C15211" s="34" t="s">
        <v>357</v>
      </c>
      <c r="E15211" s="30" t="s">
        <v>28328</v>
      </c>
      <c r="F15211" s="34" t="n">
        <f aca="false">IFERROR(VLOOKUP($A15211,'319'!$B:$H,7,0),0)</f>
        <v>0</v>
      </c>
      <c r="G15211" s="34" t="n">
        <f aca="false">SUMIFS('12.326ana'!$C:$C,'12.326ana'!$M:$M,redes!A15211)</f>
        <v>0</v>
      </c>
    </row>
    <row r="15212" customFormat="false" ht="14.4" hidden="true" customHeight="false" outlineLevel="0" collapsed="false">
      <c r="A15212" s="34" t="n">
        <v>24645095000169</v>
      </c>
      <c r="B15212" s="34" t="s">
        <v>28329</v>
      </c>
      <c r="C15212" s="34" t="s">
        <v>77</v>
      </c>
      <c r="E15212" s="30" t="s">
        <v>28330</v>
      </c>
      <c r="F15212" s="34" t="n">
        <f aca="false">IFERROR(VLOOKUP($A15212,'319'!$B:$H,7,0),0)</f>
        <v>0</v>
      </c>
      <c r="G15212" s="34" t="n">
        <f aca="false">SUMIFS('12.326ana'!$C:$C,'12.326ana'!$M:$M,redes!A15212)</f>
        <v>0</v>
      </c>
    </row>
    <row r="15213" customFormat="false" ht="14.4" hidden="true" customHeight="false" outlineLevel="0" collapsed="false">
      <c r="A15213" s="34" t="n">
        <v>24646218000186</v>
      </c>
      <c r="B15213" s="34" t="s">
        <v>28331</v>
      </c>
      <c r="C15213" s="34" t="s">
        <v>1054</v>
      </c>
      <c r="E15213" s="30" t="s">
        <v>28332</v>
      </c>
      <c r="F15213" s="34" t="n">
        <f aca="false">IFERROR(VLOOKUP($A15213,'319'!$B:$H,7,0),0)</f>
        <v>0</v>
      </c>
      <c r="G15213" s="34" t="n">
        <f aca="false">SUMIFS('12.326ana'!$C:$C,'12.326ana'!$M:$M,redes!A15213)</f>
        <v>0</v>
      </c>
    </row>
    <row r="15214" customFormat="false" ht="14.4" hidden="true" customHeight="false" outlineLevel="0" collapsed="false">
      <c r="A15214" s="34" t="n">
        <v>24646275000165</v>
      </c>
      <c r="B15214" s="34" t="s">
        <v>28333</v>
      </c>
      <c r="C15214" s="34" t="s">
        <v>77</v>
      </c>
      <c r="E15214" s="30" t="s">
        <v>10099</v>
      </c>
      <c r="F15214" s="34" t="n">
        <f aca="false">IFERROR(VLOOKUP($A15214,'319'!$B:$H,7,0),0)</f>
        <v>0</v>
      </c>
      <c r="G15214" s="34" t="n">
        <f aca="false">SUMIFS('12.326ana'!$C:$C,'12.326ana'!$M:$M,redes!A15214)</f>
        <v>0</v>
      </c>
    </row>
    <row r="15215" customFormat="false" ht="14.4" hidden="true" customHeight="false" outlineLevel="0" collapsed="false">
      <c r="A15215" s="34" t="n">
        <v>24647547000141</v>
      </c>
      <c r="B15215" s="34" t="s">
        <v>28334</v>
      </c>
      <c r="C15215" s="34" t="s">
        <v>107</v>
      </c>
      <c r="E15215" s="30" t="s">
        <v>28335</v>
      </c>
      <c r="F15215" s="34" t="n">
        <f aca="false">IFERROR(VLOOKUP($A15215,'319'!$B:$H,7,0),0)</f>
        <v>0</v>
      </c>
      <c r="G15215" s="34" t="n">
        <f aca="false">SUMIFS('12.326ana'!$C:$C,'12.326ana'!$M:$M,redes!A15215)</f>
        <v>0</v>
      </c>
    </row>
    <row r="15216" customFormat="false" ht="14.4" hidden="true" customHeight="false" outlineLevel="0" collapsed="false">
      <c r="A15216" s="34" t="n">
        <v>24647810000100</v>
      </c>
      <c r="B15216" s="34" t="s">
        <v>28336</v>
      </c>
      <c r="C15216" s="34" t="s">
        <v>3060</v>
      </c>
      <c r="E15216" s="30" t="s">
        <v>16195</v>
      </c>
      <c r="F15216" s="34" t="n">
        <f aca="false">IFERROR(VLOOKUP($A15216,'319'!$B:$H,7,0),0)</f>
        <v>0</v>
      </c>
      <c r="G15216" s="34" t="n">
        <f aca="false">SUMIFS('12.326ana'!$C:$C,'12.326ana'!$M:$M,redes!A15216)</f>
        <v>0</v>
      </c>
    </row>
    <row r="15217" customFormat="false" ht="14.4" hidden="true" customHeight="false" outlineLevel="0" collapsed="false">
      <c r="A15217" s="34" t="n">
        <v>24647992000101</v>
      </c>
      <c r="B15217" s="34" t="s">
        <v>28337</v>
      </c>
      <c r="C15217" s="34" t="s">
        <v>77</v>
      </c>
      <c r="E15217" s="30" t="s">
        <v>28337</v>
      </c>
      <c r="F15217" s="34" t="n">
        <f aca="false">IFERROR(VLOOKUP($A15217,'319'!$B:$H,7,0),0)</f>
        <v>0</v>
      </c>
      <c r="G15217" s="34" t="n">
        <f aca="false">SUMIFS('12.326ana'!$C:$C,'12.326ana'!$M:$M,redes!A15217)</f>
        <v>0</v>
      </c>
    </row>
    <row r="15218" customFormat="false" ht="14.4" hidden="true" customHeight="false" outlineLevel="0" collapsed="false">
      <c r="A15218" s="34" t="n">
        <v>24648073000152</v>
      </c>
      <c r="B15218" s="34" t="s">
        <v>28338</v>
      </c>
      <c r="C15218" s="34" t="s">
        <v>77</v>
      </c>
      <c r="E15218" s="30" t="s">
        <v>28339</v>
      </c>
      <c r="F15218" s="34" t="n">
        <f aca="false">IFERROR(VLOOKUP($A15218,'319'!$B:$H,7,0),0)</f>
        <v>0</v>
      </c>
      <c r="G15218" s="34" t="n">
        <f aca="false">SUMIFS('12.326ana'!$C:$C,'12.326ana'!$M:$M,redes!A15218)</f>
        <v>0</v>
      </c>
    </row>
    <row r="15219" customFormat="false" ht="14.4" hidden="true" customHeight="false" outlineLevel="0" collapsed="false">
      <c r="A15219" s="34" t="n">
        <v>24648602000118</v>
      </c>
      <c r="B15219" s="34" t="s">
        <v>28340</v>
      </c>
      <c r="C15219" s="34" t="s">
        <v>463</v>
      </c>
      <c r="E15219" s="30" t="s">
        <v>12179</v>
      </c>
      <c r="F15219" s="34" t="n">
        <f aca="false">IFERROR(VLOOKUP($A15219,'319'!$B:$H,7,0),0)</f>
        <v>0</v>
      </c>
      <c r="G15219" s="34" t="n">
        <f aca="false">SUMIFS('12.326ana'!$C:$C,'12.326ana'!$M:$M,redes!A15219)</f>
        <v>0</v>
      </c>
    </row>
    <row r="15220" customFormat="false" ht="14.4" hidden="true" customHeight="false" outlineLevel="0" collapsed="false">
      <c r="A15220" s="34" t="n">
        <v>24648610000164</v>
      </c>
      <c r="B15220" s="34" t="s">
        <v>28341</v>
      </c>
      <c r="C15220" s="34" t="s">
        <v>562</v>
      </c>
      <c r="E15220" s="30" t="s">
        <v>15156</v>
      </c>
      <c r="F15220" s="34" t="n">
        <f aca="false">IFERROR(VLOOKUP($A15220,'319'!$B:$H,7,0),0)</f>
        <v>0</v>
      </c>
      <c r="G15220" s="34" t="n">
        <f aca="false">SUMIFS('12.326ana'!$C:$C,'12.326ana'!$M:$M,redes!A15220)</f>
        <v>0</v>
      </c>
    </row>
    <row r="15221" customFormat="false" ht="14.4" hidden="true" customHeight="false" outlineLevel="0" collapsed="false">
      <c r="A15221" s="34" t="n">
        <v>24649188000161</v>
      </c>
      <c r="B15221" s="34" t="s">
        <v>28342</v>
      </c>
      <c r="C15221" s="34" t="s">
        <v>804</v>
      </c>
      <c r="E15221" s="30" t="s">
        <v>28343</v>
      </c>
      <c r="F15221" s="34" t="n">
        <f aca="false">IFERROR(VLOOKUP($A15221,'319'!$B:$H,7,0),0)</f>
        <v>0</v>
      </c>
      <c r="G15221" s="34" t="n">
        <f aca="false">SUMIFS('12.326ana'!$C:$C,'12.326ana'!$M:$M,redes!A15221)</f>
        <v>0</v>
      </c>
    </row>
    <row r="15222" customFormat="false" ht="14.4" hidden="true" customHeight="false" outlineLevel="0" collapsed="false">
      <c r="A15222" s="34" t="n">
        <v>24649634000138</v>
      </c>
      <c r="B15222" s="34" t="s">
        <v>28344</v>
      </c>
      <c r="C15222" s="34" t="s">
        <v>197</v>
      </c>
      <c r="E15222" s="30" t="s">
        <v>28345</v>
      </c>
      <c r="F15222" s="34" t="n">
        <f aca="false">IFERROR(VLOOKUP($A15222,'319'!$B:$H,7,0),0)</f>
        <v>0</v>
      </c>
      <c r="G15222" s="34" t="n">
        <f aca="false">SUMIFS('12.326ana'!$C:$C,'12.326ana'!$M:$M,redes!A15222)</f>
        <v>0</v>
      </c>
    </row>
    <row r="15223" customFormat="false" ht="14.4" hidden="true" customHeight="false" outlineLevel="0" collapsed="false">
      <c r="A15223" s="34" t="n">
        <v>24649659000131</v>
      </c>
      <c r="B15223" s="34" t="s">
        <v>6016</v>
      </c>
      <c r="C15223" s="34" t="s">
        <v>357</v>
      </c>
      <c r="E15223" s="30" t="s">
        <v>15648</v>
      </c>
      <c r="F15223" s="34" t="n">
        <f aca="false">IFERROR(VLOOKUP($A15223,'319'!$B:$H,7,0),0)</f>
        <v>0</v>
      </c>
      <c r="G15223" s="34" t="n">
        <f aca="false">SUMIFS('12.326ana'!$C:$C,'12.326ana'!$M:$M,redes!A15223)</f>
        <v>0</v>
      </c>
    </row>
    <row r="15224" customFormat="false" ht="14.4" hidden="true" customHeight="false" outlineLevel="0" collapsed="false">
      <c r="A15224" s="34" t="n">
        <v>24649865000141</v>
      </c>
      <c r="B15224" s="34" t="s">
        <v>5974</v>
      </c>
      <c r="C15224" s="34" t="s">
        <v>77</v>
      </c>
      <c r="E15224" s="30" t="s">
        <v>6944</v>
      </c>
      <c r="F15224" s="34" t="n">
        <f aca="false">IFERROR(VLOOKUP($A15224,'319'!$B:$H,7,0),0)</f>
        <v>0</v>
      </c>
      <c r="G15224" s="34" t="n">
        <f aca="false">SUMIFS('12.326ana'!$C:$C,'12.326ana'!$M:$M,redes!A15224)</f>
        <v>0</v>
      </c>
    </row>
    <row r="15225" customFormat="false" ht="14.4" hidden="true" customHeight="false" outlineLevel="0" collapsed="false">
      <c r="A15225" s="34" t="n">
        <v>24649939000140</v>
      </c>
      <c r="B15225" s="34" t="s">
        <v>28346</v>
      </c>
      <c r="C15225" s="34" t="s">
        <v>4462</v>
      </c>
      <c r="E15225" s="30" t="s">
        <v>13744</v>
      </c>
      <c r="F15225" s="34" t="n">
        <f aca="false">IFERROR(VLOOKUP($A15225,'319'!$B:$H,7,0),0)</f>
        <v>0</v>
      </c>
      <c r="G15225" s="34" t="n">
        <f aca="false">SUMIFS('12.326ana'!$C:$C,'12.326ana'!$M:$M,redes!A15225)</f>
        <v>0</v>
      </c>
    </row>
    <row r="15226" customFormat="false" ht="14.4" hidden="true" customHeight="false" outlineLevel="0" collapsed="false">
      <c r="A15226" s="34" t="n">
        <v>24650277000128</v>
      </c>
      <c r="B15226" s="34" t="s">
        <v>28347</v>
      </c>
      <c r="C15226" s="34" t="s">
        <v>77</v>
      </c>
      <c r="E15226" s="30" t="s">
        <v>5792</v>
      </c>
      <c r="F15226" s="34" t="n">
        <f aca="false">IFERROR(VLOOKUP($A15226,'319'!$B:$H,7,0),0)</f>
        <v>0</v>
      </c>
      <c r="G15226" s="34" t="n">
        <f aca="false">SUMIFS('12.326ana'!$C:$C,'12.326ana'!$M:$M,redes!A15226)</f>
        <v>0</v>
      </c>
    </row>
    <row r="15227" customFormat="false" ht="14.4" hidden="true" customHeight="false" outlineLevel="0" collapsed="false">
      <c r="A15227" s="34" t="n">
        <v>24650436000194</v>
      </c>
      <c r="B15227" s="34" t="s">
        <v>28348</v>
      </c>
      <c r="C15227" s="34" t="s">
        <v>107</v>
      </c>
      <c r="E15227" s="30" t="s">
        <v>28349</v>
      </c>
      <c r="F15227" s="34" t="n">
        <f aca="false">IFERROR(VLOOKUP($A15227,'319'!$B:$H,7,0),0)</f>
        <v>0</v>
      </c>
      <c r="G15227" s="34" t="n">
        <f aca="false">SUMIFS('12.326ana'!$C:$C,'12.326ana'!$M:$M,redes!A15227)</f>
        <v>0</v>
      </c>
    </row>
    <row r="15228" customFormat="false" ht="14.4" hidden="true" customHeight="false" outlineLevel="0" collapsed="false">
      <c r="A15228" s="34" t="n">
        <v>24651853000151</v>
      </c>
      <c r="B15228" s="34" t="s">
        <v>28350</v>
      </c>
      <c r="C15228" s="34" t="s">
        <v>129</v>
      </c>
      <c r="E15228" s="30" t="s">
        <v>28351</v>
      </c>
      <c r="F15228" s="34" t="n">
        <f aca="false">IFERROR(VLOOKUP($A15228,'319'!$B:$H,7,0),0)</f>
        <v>0</v>
      </c>
      <c r="G15228" s="34" t="n">
        <f aca="false">SUMIFS('12.326ana'!$C:$C,'12.326ana'!$M:$M,redes!A15228)</f>
        <v>0</v>
      </c>
    </row>
    <row r="15229" customFormat="false" ht="14.4" hidden="true" customHeight="false" outlineLevel="0" collapsed="false">
      <c r="A15229" s="34" t="n">
        <v>24652448000158</v>
      </c>
      <c r="B15229" s="34" t="s">
        <v>28352</v>
      </c>
      <c r="C15229" s="34" t="s">
        <v>4139</v>
      </c>
      <c r="E15229" s="30" t="s">
        <v>5994</v>
      </c>
      <c r="F15229" s="34" t="n">
        <f aca="false">IFERROR(VLOOKUP($A15229,'319'!$B:$H,7,0),0)</f>
        <v>0</v>
      </c>
      <c r="G15229" s="34" t="n">
        <f aca="false">SUMIFS('12.326ana'!$C:$C,'12.326ana'!$M:$M,redes!A15229)</f>
        <v>0</v>
      </c>
    </row>
    <row r="15230" customFormat="false" ht="14.4" hidden="true" customHeight="false" outlineLevel="0" collapsed="false">
      <c r="A15230" s="34" t="n">
        <v>24653776000179</v>
      </c>
      <c r="B15230" s="34" t="s">
        <v>28353</v>
      </c>
      <c r="C15230" s="34" t="s">
        <v>77</v>
      </c>
      <c r="E15230" s="30" t="s">
        <v>22292</v>
      </c>
      <c r="F15230" s="34" t="n">
        <f aca="false">IFERROR(VLOOKUP($A15230,'319'!$B:$H,7,0),0)</f>
        <v>0</v>
      </c>
      <c r="G15230" s="34" t="n">
        <f aca="false">SUMIFS('12.326ana'!$C:$C,'12.326ana'!$M:$M,redes!A15230)</f>
        <v>0</v>
      </c>
    </row>
    <row r="15231" customFormat="false" ht="14.4" hidden="true" customHeight="false" outlineLevel="0" collapsed="false">
      <c r="A15231" s="34" t="n">
        <v>24654881000122</v>
      </c>
      <c r="B15231" s="34" t="s">
        <v>28354</v>
      </c>
      <c r="C15231" s="34" t="s">
        <v>77</v>
      </c>
      <c r="E15231" s="30" t="s">
        <v>28355</v>
      </c>
      <c r="F15231" s="34" t="n">
        <f aca="false">IFERROR(VLOOKUP($A15231,'319'!$B:$H,7,0),0)</f>
        <v>0</v>
      </c>
      <c r="G15231" s="34" t="n">
        <f aca="false">SUMIFS('12.326ana'!$C:$C,'12.326ana'!$M:$M,redes!A15231)</f>
        <v>0</v>
      </c>
    </row>
    <row r="15232" customFormat="false" ht="14.4" hidden="true" customHeight="false" outlineLevel="0" collapsed="false">
      <c r="A15232" s="34" t="n">
        <v>24657371000109</v>
      </c>
      <c r="B15232" s="34" t="s">
        <v>28356</v>
      </c>
      <c r="C15232" s="34" t="s">
        <v>154</v>
      </c>
      <c r="D15232" s="34" t="s">
        <v>9598</v>
      </c>
      <c r="E15232" s="30" t="s">
        <v>28357</v>
      </c>
      <c r="F15232" s="34" t="n">
        <f aca="false">IFERROR(VLOOKUP($A15232,'319'!$B:$H,7,0),0)</f>
        <v>0</v>
      </c>
      <c r="G15232" s="34" t="n">
        <f aca="false">SUMIFS('12.326ana'!$C:$C,'12.326ana'!$M:$M,redes!A15232)</f>
        <v>0</v>
      </c>
    </row>
    <row r="15233" customFormat="false" ht="14.4" hidden="true" customHeight="false" outlineLevel="0" collapsed="false">
      <c r="A15233" s="34" t="n">
        <v>24659294000126</v>
      </c>
      <c r="B15233" s="34" t="s">
        <v>28358</v>
      </c>
      <c r="C15233" s="34" t="s">
        <v>77</v>
      </c>
      <c r="E15233" s="30" t="s">
        <v>28358</v>
      </c>
      <c r="F15233" s="34" t="n">
        <f aca="false">IFERROR(VLOOKUP($A15233,'319'!$B:$H,7,0),0)</f>
        <v>0</v>
      </c>
      <c r="G15233" s="34" t="n">
        <f aca="false">SUMIFS('12.326ana'!$C:$C,'12.326ana'!$M:$M,redes!A15233)</f>
        <v>0</v>
      </c>
    </row>
    <row r="15234" customFormat="false" ht="14.4" hidden="true" customHeight="false" outlineLevel="0" collapsed="false">
      <c r="A15234" s="34" t="n">
        <v>24659724000100</v>
      </c>
      <c r="B15234" s="34" t="s">
        <v>28359</v>
      </c>
      <c r="C15234" s="34" t="s">
        <v>77</v>
      </c>
      <c r="E15234" s="30" t="s">
        <v>28360</v>
      </c>
      <c r="F15234" s="34" t="n">
        <f aca="false">IFERROR(VLOOKUP($A15234,'319'!$B:$H,7,0),0)</f>
        <v>0</v>
      </c>
      <c r="G15234" s="34" t="n">
        <f aca="false">SUMIFS('12.326ana'!$C:$C,'12.326ana'!$M:$M,redes!A15234)</f>
        <v>0</v>
      </c>
    </row>
    <row r="15235" customFormat="false" ht="14.4" hidden="true" customHeight="false" outlineLevel="0" collapsed="false">
      <c r="A15235" s="34" t="n">
        <v>24659930000110</v>
      </c>
      <c r="B15235" s="34" t="s">
        <v>28361</v>
      </c>
      <c r="C15235" s="34" t="s">
        <v>77</v>
      </c>
      <c r="E15235" s="30" t="s">
        <v>28362</v>
      </c>
      <c r="F15235" s="34" t="n">
        <f aca="false">IFERROR(VLOOKUP($A15235,'319'!$B:$H,7,0),0)</f>
        <v>0</v>
      </c>
      <c r="G15235" s="34" t="n">
        <f aca="false">SUMIFS('12.326ana'!$C:$C,'12.326ana'!$M:$M,redes!A15235)</f>
        <v>0</v>
      </c>
    </row>
    <row r="15236" customFormat="false" ht="14.4" hidden="true" customHeight="false" outlineLevel="0" collapsed="false">
      <c r="A15236" s="34" t="n">
        <v>24660193000175</v>
      </c>
      <c r="B15236" s="34" t="s">
        <v>28363</v>
      </c>
      <c r="C15236" s="34" t="s">
        <v>139</v>
      </c>
      <c r="E15236" s="30" t="s">
        <v>28364</v>
      </c>
      <c r="F15236" s="34" t="n">
        <f aca="false">IFERROR(VLOOKUP($A15236,'319'!$B:$H,7,0),0)</f>
        <v>0</v>
      </c>
      <c r="G15236" s="34" t="n">
        <f aca="false">SUMIFS('12.326ana'!$C:$C,'12.326ana'!$M:$M,redes!A15236)</f>
        <v>0</v>
      </c>
    </row>
    <row r="15237" customFormat="false" ht="14.4" hidden="true" customHeight="false" outlineLevel="0" collapsed="false">
      <c r="A15237" s="34" t="n">
        <v>24660805000120</v>
      </c>
      <c r="B15237" s="34" t="s">
        <v>28365</v>
      </c>
      <c r="C15237" s="34" t="s">
        <v>299</v>
      </c>
      <c r="E15237" s="30" t="s">
        <v>28366</v>
      </c>
      <c r="F15237" s="34" t="n">
        <f aca="false">IFERROR(VLOOKUP($A15237,'319'!$B:$H,7,0),0)</f>
        <v>0</v>
      </c>
      <c r="G15237" s="34" t="n">
        <f aca="false">SUMIFS('12.326ana'!$C:$C,'12.326ana'!$M:$M,redes!A15237)</f>
        <v>0</v>
      </c>
    </row>
    <row r="15238" customFormat="false" ht="14.4" hidden="true" customHeight="false" outlineLevel="0" collapsed="false">
      <c r="A15238" s="34" t="n">
        <v>24661233000101</v>
      </c>
      <c r="B15238" s="34" t="s">
        <v>28367</v>
      </c>
      <c r="C15238" s="34" t="s">
        <v>631</v>
      </c>
      <c r="E15238" s="30" t="s">
        <v>28368</v>
      </c>
      <c r="F15238" s="34" t="n">
        <f aca="false">IFERROR(VLOOKUP($A15238,'319'!$B:$H,7,0),0)</f>
        <v>0</v>
      </c>
      <c r="G15238" s="34" t="n">
        <f aca="false">SUMIFS('12.326ana'!$C:$C,'12.326ana'!$M:$M,redes!A15238)</f>
        <v>0</v>
      </c>
    </row>
    <row r="15239" customFormat="false" ht="14.4" hidden="true" customHeight="false" outlineLevel="0" collapsed="false">
      <c r="A15239" s="34" t="n">
        <v>24661381000118</v>
      </c>
      <c r="B15239" s="34" t="s">
        <v>28369</v>
      </c>
      <c r="C15239" s="34" t="s">
        <v>207</v>
      </c>
      <c r="E15239" s="30" t="s">
        <v>28370</v>
      </c>
      <c r="F15239" s="34" t="n">
        <f aca="false">IFERROR(VLOOKUP($A15239,'319'!$B:$H,7,0),0)</f>
        <v>0</v>
      </c>
      <c r="G15239" s="34" t="n">
        <f aca="false">SUMIFS('12.326ana'!$C:$C,'12.326ana'!$M:$M,redes!A15239)</f>
        <v>0</v>
      </c>
    </row>
    <row r="15240" customFormat="false" ht="14.4" hidden="true" customHeight="false" outlineLevel="0" collapsed="false">
      <c r="A15240" s="34" t="n">
        <v>24661431000167</v>
      </c>
      <c r="B15240" s="34" t="s">
        <v>28371</v>
      </c>
      <c r="C15240" s="34" t="s">
        <v>848</v>
      </c>
      <c r="E15240" s="30" t="s">
        <v>28372</v>
      </c>
      <c r="F15240" s="34" t="n">
        <f aca="false">IFERROR(VLOOKUP($A15240,'319'!$B:$H,7,0),0)</f>
        <v>0</v>
      </c>
      <c r="G15240" s="34" t="n">
        <f aca="false">SUMIFS('12.326ana'!$C:$C,'12.326ana'!$M:$M,redes!A15240)</f>
        <v>0</v>
      </c>
    </row>
    <row r="15241" customFormat="false" ht="14.4" hidden="true" customHeight="false" outlineLevel="0" collapsed="false">
      <c r="A15241" s="34" t="n">
        <v>24661597000183</v>
      </c>
      <c r="B15241" s="34" t="s">
        <v>28373</v>
      </c>
      <c r="C15241" s="34" t="s">
        <v>139</v>
      </c>
      <c r="D15241" s="34" t="s">
        <v>4797</v>
      </c>
      <c r="E15241" s="30" t="s">
        <v>5121</v>
      </c>
      <c r="F15241" s="34" t="n">
        <f aca="false">IFERROR(VLOOKUP($A15241,'319'!$B:$H,7,0),0)</f>
        <v>0</v>
      </c>
      <c r="G15241" s="34" t="n">
        <f aca="false">SUMIFS('12.326ana'!$C:$C,'12.326ana'!$M:$M,redes!A15241)</f>
        <v>0</v>
      </c>
    </row>
    <row r="15242" customFormat="false" ht="14.4" hidden="true" customHeight="false" outlineLevel="0" collapsed="false">
      <c r="A15242" s="34" t="n">
        <v>24661928000185</v>
      </c>
      <c r="B15242" s="34" t="s">
        <v>28374</v>
      </c>
      <c r="C15242" s="34" t="s">
        <v>77</v>
      </c>
      <c r="E15242" s="30" t="s">
        <v>28375</v>
      </c>
      <c r="F15242" s="34" t="n">
        <f aca="false">IFERROR(VLOOKUP($A15242,'319'!$B:$H,7,0),0)</f>
        <v>0</v>
      </c>
      <c r="G15242" s="34" t="n">
        <f aca="false">SUMIFS('12.326ana'!$C:$C,'12.326ana'!$M:$M,redes!A15242)</f>
        <v>0</v>
      </c>
    </row>
    <row r="15243" customFormat="false" ht="14.4" hidden="true" customHeight="false" outlineLevel="0" collapsed="false">
      <c r="A15243" s="34" t="n">
        <v>24662637000101</v>
      </c>
      <c r="B15243" s="34" t="s">
        <v>28376</v>
      </c>
      <c r="C15243" s="34" t="s">
        <v>107</v>
      </c>
      <c r="E15243" s="30" t="s">
        <v>28377</v>
      </c>
      <c r="F15243" s="34" t="n">
        <f aca="false">IFERROR(VLOOKUP($A15243,'319'!$B:$H,7,0),0)</f>
        <v>0</v>
      </c>
      <c r="G15243" s="34" t="n">
        <f aca="false">SUMIFS('12.326ana'!$C:$C,'12.326ana'!$M:$M,redes!A15243)</f>
        <v>0</v>
      </c>
    </row>
    <row r="15244" customFormat="false" ht="14.4" hidden="true" customHeight="false" outlineLevel="0" collapsed="false">
      <c r="A15244" s="34" t="n">
        <v>24663353000130</v>
      </c>
      <c r="B15244" s="34" t="s">
        <v>28378</v>
      </c>
      <c r="C15244" s="34" t="s">
        <v>77</v>
      </c>
      <c r="E15244" s="30" t="s">
        <v>28379</v>
      </c>
      <c r="F15244" s="34" t="n">
        <f aca="false">IFERROR(VLOOKUP($A15244,'319'!$B:$H,7,0),0)</f>
        <v>0</v>
      </c>
      <c r="G15244" s="34" t="n">
        <f aca="false">SUMIFS('12.326ana'!$C:$C,'12.326ana'!$M:$M,redes!A15244)</f>
        <v>0</v>
      </c>
    </row>
    <row r="15245" customFormat="false" ht="14.4" hidden="true" customHeight="false" outlineLevel="0" collapsed="false">
      <c r="A15245" s="34" t="n">
        <v>24666240000198</v>
      </c>
      <c r="B15245" s="34" t="s">
        <v>28380</v>
      </c>
      <c r="C15245" s="34" t="s">
        <v>107</v>
      </c>
      <c r="E15245" s="30" t="s">
        <v>28381</v>
      </c>
      <c r="F15245" s="34" t="n">
        <f aca="false">IFERROR(VLOOKUP($A15245,'319'!$B:$H,7,0),0)</f>
        <v>0</v>
      </c>
      <c r="G15245" s="34" t="n">
        <f aca="false">SUMIFS('12.326ana'!$C:$C,'12.326ana'!$M:$M,redes!A15245)</f>
        <v>0</v>
      </c>
    </row>
    <row r="15246" customFormat="false" ht="14.4" hidden="true" customHeight="false" outlineLevel="0" collapsed="false">
      <c r="A15246" s="34" t="n">
        <v>24667438000196</v>
      </c>
      <c r="B15246" s="34" t="s">
        <v>28382</v>
      </c>
      <c r="C15246" s="34" t="s">
        <v>103</v>
      </c>
      <c r="E15246" s="30" t="s">
        <v>25681</v>
      </c>
      <c r="F15246" s="34" t="n">
        <f aca="false">IFERROR(VLOOKUP($A15246,'319'!$B:$H,7,0),0)</f>
        <v>0</v>
      </c>
      <c r="G15246" s="34" t="n">
        <f aca="false">SUMIFS('12.326ana'!$C:$C,'12.326ana'!$M:$M,redes!A15246)</f>
        <v>0</v>
      </c>
    </row>
    <row r="15247" customFormat="false" ht="14.4" hidden="true" customHeight="false" outlineLevel="0" collapsed="false">
      <c r="A15247" s="34" t="n">
        <v>24668469000161</v>
      </c>
      <c r="B15247" s="34" t="s">
        <v>28383</v>
      </c>
      <c r="C15247" s="34" t="s">
        <v>77</v>
      </c>
      <c r="E15247" s="30"/>
      <c r="F15247" s="34" t="n">
        <f aca="false">IFERROR(VLOOKUP($A15247,'319'!$B:$H,7,0),0)</f>
        <v>0</v>
      </c>
      <c r="G15247" s="34" t="n">
        <f aca="false">SUMIFS('12.326ana'!$C:$C,'12.326ana'!$M:$M,redes!A15247)</f>
        <v>0</v>
      </c>
    </row>
    <row r="15248" customFormat="false" ht="14.4" hidden="true" customHeight="false" outlineLevel="0" collapsed="false">
      <c r="A15248" s="34" t="n">
        <v>24668899000183</v>
      </c>
      <c r="B15248" s="34" t="s">
        <v>28384</v>
      </c>
      <c r="C15248" s="34" t="s">
        <v>77</v>
      </c>
      <c r="E15248" s="30" t="s">
        <v>28385</v>
      </c>
      <c r="F15248" s="34" t="n">
        <f aca="false">IFERROR(VLOOKUP($A15248,'319'!$B:$H,7,0),0)</f>
        <v>0</v>
      </c>
      <c r="G15248" s="34" t="n">
        <f aca="false">SUMIFS('12.326ana'!$C:$C,'12.326ana'!$M:$M,redes!A15248)</f>
        <v>0</v>
      </c>
    </row>
    <row r="15249" customFormat="false" ht="14.4" hidden="true" customHeight="false" outlineLevel="0" collapsed="false">
      <c r="A15249" s="34" t="n">
        <v>24668956000124</v>
      </c>
      <c r="B15249" s="34" t="s">
        <v>28386</v>
      </c>
      <c r="C15249" s="34" t="s">
        <v>77</v>
      </c>
      <c r="E15249" s="30" t="s">
        <v>28387</v>
      </c>
      <c r="F15249" s="34" t="n">
        <f aca="false">IFERROR(VLOOKUP($A15249,'319'!$B:$H,7,0),0)</f>
        <v>0</v>
      </c>
      <c r="G15249" s="34" t="n">
        <f aca="false">SUMIFS('12.326ana'!$C:$C,'12.326ana'!$M:$M,redes!A15249)</f>
        <v>0</v>
      </c>
    </row>
    <row r="15250" customFormat="false" ht="14.4" hidden="true" customHeight="false" outlineLevel="0" collapsed="false">
      <c r="A15250" s="34" t="n">
        <v>24669053000168</v>
      </c>
      <c r="B15250" s="34" t="s">
        <v>28388</v>
      </c>
      <c r="C15250" s="34" t="s">
        <v>89</v>
      </c>
      <c r="E15250" s="30" t="s">
        <v>28389</v>
      </c>
      <c r="F15250" s="34" t="n">
        <f aca="false">IFERROR(VLOOKUP($A15250,'319'!$B:$H,7,0),0)</f>
        <v>0</v>
      </c>
      <c r="G15250" s="34" t="n">
        <f aca="false">SUMIFS('12.326ana'!$C:$C,'12.326ana'!$M:$M,redes!A15250)</f>
        <v>0</v>
      </c>
    </row>
    <row r="15251" customFormat="false" ht="14.4" hidden="true" customHeight="false" outlineLevel="0" collapsed="false">
      <c r="A15251" s="34" t="n">
        <v>24670198000189</v>
      </c>
      <c r="B15251" s="34" t="s">
        <v>28390</v>
      </c>
      <c r="C15251" s="34" t="s">
        <v>103</v>
      </c>
      <c r="E15251" s="30" t="s">
        <v>28391</v>
      </c>
      <c r="F15251" s="34" t="n">
        <f aca="false">IFERROR(VLOOKUP($A15251,'319'!$B:$H,7,0),0)</f>
        <v>0</v>
      </c>
      <c r="G15251" s="34" t="n">
        <f aca="false">SUMIFS('12.326ana'!$C:$C,'12.326ana'!$M:$M,redes!A15251)</f>
        <v>0</v>
      </c>
    </row>
    <row r="15252" customFormat="false" ht="14.4" hidden="true" customHeight="false" outlineLevel="0" collapsed="false">
      <c r="A15252" s="34" t="n">
        <v>24672467000146</v>
      </c>
      <c r="B15252" s="34" t="s">
        <v>28392</v>
      </c>
      <c r="C15252" s="34" t="s">
        <v>89</v>
      </c>
      <c r="E15252" s="30" t="s">
        <v>28393</v>
      </c>
      <c r="F15252" s="34" t="n">
        <f aca="false">IFERROR(VLOOKUP($A15252,'319'!$B:$H,7,0),0)</f>
        <v>0</v>
      </c>
      <c r="G15252" s="34" t="n">
        <f aca="false">SUMIFS('12.326ana'!$C:$C,'12.326ana'!$M:$M,redes!A15252)</f>
        <v>0</v>
      </c>
    </row>
    <row r="15253" customFormat="false" ht="14.4" hidden="true" customHeight="false" outlineLevel="0" collapsed="false">
      <c r="A15253" s="34" t="n">
        <v>24673217000120</v>
      </c>
      <c r="B15253" s="34" t="s">
        <v>28394</v>
      </c>
      <c r="C15253" s="34" t="s">
        <v>103</v>
      </c>
      <c r="E15253" s="30" t="s">
        <v>28395</v>
      </c>
      <c r="F15253" s="34" t="n">
        <f aca="false">IFERROR(VLOOKUP($A15253,'319'!$B:$H,7,0),0)</f>
        <v>0</v>
      </c>
      <c r="G15253" s="34" t="n">
        <f aca="false">SUMIFS('12.326ana'!$C:$C,'12.326ana'!$M:$M,redes!A15253)</f>
        <v>0</v>
      </c>
    </row>
    <row r="15254" customFormat="false" ht="14.4" hidden="true" customHeight="false" outlineLevel="0" collapsed="false">
      <c r="A15254" s="34" t="n">
        <v>24678875000105</v>
      </c>
      <c r="B15254" s="34" t="s">
        <v>732</v>
      </c>
      <c r="C15254" s="34" t="s">
        <v>89</v>
      </c>
      <c r="D15254" s="34" t="s">
        <v>5602</v>
      </c>
      <c r="E15254" s="30" t="s">
        <v>28396</v>
      </c>
      <c r="F15254" s="34" t="n">
        <f aca="false">IFERROR(VLOOKUP($A15254,'319'!$B:$H,7,0),0)</f>
        <v>5452.5</v>
      </c>
      <c r="G15254" s="34" t="n">
        <f aca="false">SUMIFS('12.326ana'!$C:$C,'12.326ana'!$M:$M,redes!A15254)</f>
        <v>0</v>
      </c>
    </row>
    <row r="15255" customFormat="false" ht="14.4" hidden="true" customHeight="false" outlineLevel="0" collapsed="false">
      <c r="A15255" s="34" t="n">
        <v>24678875000296</v>
      </c>
      <c r="B15255" s="34" t="s">
        <v>732</v>
      </c>
      <c r="C15255" s="34" t="s">
        <v>89</v>
      </c>
      <c r="D15255" s="34" t="s">
        <v>5602</v>
      </c>
      <c r="E15255" s="30" t="s">
        <v>28397</v>
      </c>
      <c r="F15255" s="34" t="n">
        <f aca="false">IFERROR(VLOOKUP($A15255,'319'!$B:$H,7,0),0)</f>
        <v>5061.82</v>
      </c>
      <c r="G15255" s="34" t="n">
        <f aca="false">SUMIFS('12.326ana'!$C:$C,'12.326ana'!$M:$M,redes!A15255)</f>
        <v>0</v>
      </c>
    </row>
    <row r="15256" customFormat="false" ht="14.4" hidden="true" customHeight="false" outlineLevel="0" collapsed="false">
      <c r="A15256" s="34" t="n">
        <v>24689981000194</v>
      </c>
      <c r="B15256" s="34" t="s">
        <v>28398</v>
      </c>
      <c r="C15256" s="34" t="s">
        <v>77</v>
      </c>
      <c r="E15256" s="30" t="s">
        <v>6257</v>
      </c>
      <c r="F15256" s="34" t="n">
        <f aca="false">IFERROR(VLOOKUP($A15256,'319'!$B:$H,7,0),0)</f>
        <v>0</v>
      </c>
      <c r="G15256" s="34" t="n">
        <f aca="false">SUMIFS('12.326ana'!$C:$C,'12.326ana'!$M:$M,redes!A15256)</f>
        <v>0</v>
      </c>
    </row>
    <row r="15257" customFormat="false" ht="14.4" hidden="true" customHeight="false" outlineLevel="0" collapsed="false">
      <c r="A15257" s="34" t="n">
        <v>24690056000183</v>
      </c>
      <c r="B15257" s="34" t="s">
        <v>28399</v>
      </c>
      <c r="C15257" s="34" t="s">
        <v>77</v>
      </c>
      <c r="E15257" s="30" t="s">
        <v>28400</v>
      </c>
      <c r="F15257" s="34" t="n">
        <f aca="false">IFERROR(VLOOKUP($A15257,'319'!$B:$H,7,0),0)</f>
        <v>0</v>
      </c>
      <c r="G15257" s="34" t="n">
        <f aca="false">SUMIFS('12.326ana'!$C:$C,'12.326ana'!$M:$M,redes!A15257)</f>
        <v>0</v>
      </c>
    </row>
    <row r="15258" customFormat="false" ht="14.4" hidden="true" customHeight="false" outlineLevel="0" collapsed="false">
      <c r="A15258" s="34" t="n">
        <v>24694888000178</v>
      </c>
      <c r="B15258" s="34" t="s">
        <v>28401</v>
      </c>
      <c r="C15258" s="34" t="s">
        <v>77</v>
      </c>
      <c r="E15258" s="30" t="s">
        <v>28402</v>
      </c>
      <c r="F15258" s="34" t="n">
        <f aca="false">IFERROR(VLOOKUP($A15258,'319'!$B:$H,7,0),0)</f>
        <v>0</v>
      </c>
      <c r="G15258" s="34" t="n">
        <f aca="false">SUMIFS('12.326ana'!$C:$C,'12.326ana'!$M:$M,redes!A15258)</f>
        <v>0</v>
      </c>
    </row>
    <row r="15259" customFormat="false" ht="14.4" hidden="true" customHeight="false" outlineLevel="0" collapsed="false">
      <c r="A15259" s="34" t="n">
        <v>24699551000153</v>
      </c>
      <c r="B15259" s="34" t="s">
        <v>28403</v>
      </c>
      <c r="C15259" s="34" t="s">
        <v>139</v>
      </c>
      <c r="E15259" s="30" t="s">
        <v>28404</v>
      </c>
      <c r="F15259" s="34" t="n">
        <f aca="false">IFERROR(VLOOKUP($A15259,'319'!$B:$H,7,0),0)</f>
        <v>0</v>
      </c>
      <c r="G15259" s="34" t="n">
        <f aca="false">SUMIFS('12.326ana'!$C:$C,'12.326ana'!$M:$M,redes!A15259)</f>
        <v>0</v>
      </c>
    </row>
    <row r="15260" customFormat="false" ht="14.4" hidden="true" customHeight="false" outlineLevel="0" collapsed="false">
      <c r="A15260" s="34" t="n">
        <v>24705910000138</v>
      </c>
      <c r="B15260" s="34" t="s">
        <v>28405</v>
      </c>
      <c r="C15260" s="34" t="s">
        <v>107</v>
      </c>
      <c r="E15260" s="30" t="s">
        <v>28406</v>
      </c>
      <c r="F15260" s="34" t="n">
        <f aca="false">IFERROR(VLOOKUP($A15260,'319'!$B:$H,7,0),0)</f>
        <v>0</v>
      </c>
      <c r="G15260" s="34" t="n">
        <f aca="false">SUMIFS('12.326ana'!$C:$C,'12.326ana'!$M:$M,redes!A15260)</f>
        <v>0</v>
      </c>
    </row>
    <row r="15261" customFormat="false" ht="14.4" hidden="true" customHeight="false" outlineLevel="0" collapsed="false">
      <c r="A15261" s="34" t="n">
        <v>24713433000152</v>
      </c>
      <c r="B15261" s="34" t="s">
        <v>28407</v>
      </c>
      <c r="C15261" s="34" t="s">
        <v>77</v>
      </c>
      <c r="E15261" s="30" t="s">
        <v>28408</v>
      </c>
      <c r="F15261" s="34" t="n">
        <f aca="false">IFERROR(VLOOKUP($A15261,'319'!$B:$H,7,0),0)</f>
        <v>0</v>
      </c>
      <c r="G15261" s="34" t="n">
        <f aca="false">SUMIFS('12.326ana'!$C:$C,'12.326ana'!$M:$M,redes!A15261)</f>
        <v>0</v>
      </c>
    </row>
    <row r="15262" customFormat="false" ht="14.4" hidden="true" customHeight="false" outlineLevel="0" collapsed="false">
      <c r="A15262" s="34" t="n">
        <v>24723772000110</v>
      </c>
      <c r="B15262" s="34" t="s">
        <v>28409</v>
      </c>
      <c r="C15262" s="34" t="s">
        <v>562</v>
      </c>
      <c r="E15262" s="30" t="s">
        <v>28410</v>
      </c>
      <c r="F15262" s="34" t="n">
        <f aca="false">IFERROR(VLOOKUP($A15262,'319'!$B:$H,7,0),0)</f>
        <v>0</v>
      </c>
      <c r="G15262" s="34" t="n">
        <f aca="false">SUMIFS('12.326ana'!$C:$C,'12.326ana'!$M:$M,redes!A15262)</f>
        <v>0</v>
      </c>
    </row>
    <row r="15263" customFormat="false" ht="14.4" hidden="true" customHeight="false" outlineLevel="0" collapsed="false">
      <c r="A15263" s="34" t="n">
        <v>24737923000199</v>
      </c>
      <c r="B15263" s="34" t="s">
        <v>28411</v>
      </c>
      <c r="C15263" s="34" t="s">
        <v>77</v>
      </c>
      <c r="E15263" s="30" t="s">
        <v>28411</v>
      </c>
      <c r="F15263" s="34" t="n">
        <f aca="false">IFERROR(VLOOKUP($A15263,'319'!$B:$H,7,0),0)</f>
        <v>0</v>
      </c>
      <c r="G15263" s="34" t="n">
        <f aca="false">SUMIFS('12.326ana'!$C:$C,'12.326ana'!$M:$M,redes!A15263)</f>
        <v>0</v>
      </c>
    </row>
    <row r="15264" customFormat="false" ht="14.4" hidden="true" customHeight="false" outlineLevel="0" collapsed="false">
      <c r="A15264" s="34" t="n">
        <v>24740586000199</v>
      </c>
      <c r="B15264" s="34" t="s">
        <v>28412</v>
      </c>
      <c r="C15264" s="34" t="s">
        <v>103</v>
      </c>
      <c r="E15264" s="30" t="s">
        <v>28413</v>
      </c>
      <c r="F15264" s="34" t="n">
        <f aca="false">IFERROR(VLOOKUP($A15264,'319'!$B:$H,7,0),0)</f>
        <v>0</v>
      </c>
      <c r="G15264" s="34" t="n">
        <f aca="false">SUMIFS('12.326ana'!$C:$C,'12.326ana'!$M:$M,redes!A15264)</f>
        <v>0</v>
      </c>
    </row>
    <row r="15265" customFormat="false" ht="14.4" hidden="true" customHeight="false" outlineLevel="0" collapsed="false">
      <c r="A15265" s="34" t="n">
        <v>24742418000132</v>
      </c>
      <c r="B15265" s="34" t="s">
        <v>28414</v>
      </c>
      <c r="C15265" s="34" t="s">
        <v>77</v>
      </c>
      <c r="E15265" s="30" t="s">
        <v>28415</v>
      </c>
      <c r="F15265" s="34" t="n">
        <f aca="false">IFERROR(VLOOKUP($A15265,'319'!$B:$H,7,0),0)</f>
        <v>0</v>
      </c>
      <c r="G15265" s="34" t="n">
        <f aca="false">SUMIFS('12.326ana'!$C:$C,'12.326ana'!$M:$M,redes!A15265)</f>
        <v>0</v>
      </c>
    </row>
    <row r="15266" customFormat="false" ht="14.4" hidden="true" customHeight="false" outlineLevel="0" collapsed="false">
      <c r="A15266" s="34" t="n">
        <v>24742604000171</v>
      </c>
      <c r="B15266" s="34" t="s">
        <v>28416</v>
      </c>
      <c r="C15266" s="34" t="s">
        <v>464</v>
      </c>
      <c r="E15266" s="30" t="s">
        <v>3194</v>
      </c>
      <c r="F15266" s="34" t="n">
        <f aca="false">IFERROR(VLOOKUP($A15266,'319'!$B:$H,7,0),0)</f>
        <v>0</v>
      </c>
      <c r="G15266" s="34" t="n">
        <f aca="false">SUMIFS('12.326ana'!$C:$C,'12.326ana'!$M:$M,redes!A15266)</f>
        <v>0</v>
      </c>
    </row>
    <row r="15267" customFormat="false" ht="14.4" hidden="true" customHeight="false" outlineLevel="0" collapsed="false">
      <c r="A15267" s="34" t="n">
        <v>24747041000104</v>
      </c>
      <c r="B15267" s="34" t="s">
        <v>28417</v>
      </c>
      <c r="C15267" s="34" t="s">
        <v>77</v>
      </c>
      <c r="E15267" s="30" t="s">
        <v>28418</v>
      </c>
      <c r="F15267" s="34" t="n">
        <f aca="false">IFERROR(VLOOKUP($A15267,'319'!$B:$H,7,0),0)</f>
        <v>0</v>
      </c>
      <c r="G15267" s="34" t="n">
        <f aca="false">SUMIFS('12.326ana'!$C:$C,'12.326ana'!$M:$M,redes!A15267)</f>
        <v>0</v>
      </c>
    </row>
    <row r="15268" customFormat="false" ht="14.4" hidden="true" customHeight="false" outlineLevel="0" collapsed="false">
      <c r="A15268" s="34" t="n">
        <v>24753396000106</v>
      </c>
      <c r="B15268" s="34" t="s">
        <v>28419</v>
      </c>
      <c r="C15268" s="34" t="s">
        <v>77</v>
      </c>
      <c r="E15268" s="30" t="s">
        <v>28420</v>
      </c>
      <c r="F15268" s="34" t="n">
        <f aca="false">IFERROR(VLOOKUP($A15268,'319'!$B:$H,7,0),0)</f>
        <v>0</v>
      </c>
      <c r="G15268" s="34" t="n">
        <f aca="false">SUMIFS('12.326ana'!$C:$C,'12.326ana'!$M:$M,redes!A15268)</f>
        <v>0</v>
      </c>
    </row>
    <row r="15269" customFormat="false" ht="14.4" hidden="true" customHeight="false" outlineLevel="0" collapsed="false">
      <c r="A15269" s="34" t="n">
        <v>24754366000114</v>
      </c>
      <c r="B15269" s="34" t="s">
        <v>28421</v>
      </c>
      <c r="C15269" s="34" t="s">
        <v>77</v>
      </c>
      <c r="E15269" s="30" t="s">
        <v>23443</v>
      </c>
      <c r="F15269" s="34" t="n">
        <f aca="false">IFERROR(VLOOKUP($A15269,'319'!$B:$H,7,0),0)</f>
        <v>0</v>
      </c>
      <c r="G15269" s="34" t="n">
        <f aca="false">SUMIFS('12.326ana'!$C:$C,'12.326ana'!$M:$M,redes!A15269)</f>
        <v>0</v>
      </c>
    </row>
    <row r="15270" customFormat="false" ht="14.4" hidden="true" customHeight="false" outlineLevel="0" collapsed="false">
      <c r="A15270" s="34" t="n">
        <v>24762981000172</v>
      </c>
      <c r="B15270" s="34" t="s">
        <v>28422</v>
      </c>
      <c r="C15270" s="34" t="s">
        <v>77</v>
      </c>
      <c r="E15270" s="30" t="s">
        <v>28423</v>
      </c>
      <c r="F15270" s="34" t="n">
        <f aca="false">IFERROR(VLOOKUP($A15270,'319'!$B:$H,7,0),0)</f>
        <v>0</v>
      </c>
      <c r="G15270" s="34" t="n">
        <f aca="false">SUMIFS('12.326ana'!$C:$C,'12.326ana'!$M:$M,redes!A15270)</f>
        <v>0</v>
      </c>
    </row>
    <row r="15271" customFormat="false" ht="14.4" hidden="true" customHeight="false" outlineLevel="0" collapsed="false">
      <c r="A15271" s="34" t="n">
        <v>24773086000153</v>
      </c>
      <c r="B15271" s="34" t="s">
        <v>28424</v>
      </c>
      <c r="C15271" s="34" t="s">
        <v>77</v>
      </c>
      <c r="E15271" s="30" t="s">
        <v>28424</v>
      </c>
      <c r="F15271" s="34" t="n">
        <f aca="false">IFERROR(VLOOKUP($A15271,'319'!$B:$H,7,0),0)</f>
        <v>0</v>
      </c>
      <c r="G15271" s="34" t="n">
        <f aca="false">SUMIFS('12.326ana'!$C:$C,'12.326ana'!$M:$M,redes!A15271)</f>
        <v>0</v>
      </c>
    </row>
    <row r="15272" customFormat="false" ht="14.4" hidden="true" customHeight="false" outlineLevel="0" collapsed="false">
      <c r="A15272" s="34" t="n">
        <v>24774134000128</v>
      </c>
      <c r="B15272" s="34" t="s">
        <v>28425</v>
      </c>
      <c r="C15272" s="34" t="s">
        <v>77</v>
      </c>
      <c r="E15272" s="30" t="s">
        <v>28426</v>
      </c>
      <c r="F15272" s="34" t="n">
        <f aca="false">IFERROR(VLOOKUP($A15272,'319'!$B:$H,7,0),0)</f>
        <v>0</v>
      </c>
      <c r="G15272" s="34" t="n">
        <f aca="false">SUMIFS('12.326ana'!$C:$C,'12.326ana'!$M:$M,redes!A15272)</f>
        <v>0</v>
      </c>
    </row>
    <row r="15273" customFormat="false" ht="14.4" hidden="true" customHeight="false" outlineLevel="0" collapsed="false">
      <c r="A15273" s="34" t="n">
        <v>24774359000184</v>
      </c>
      <c r="B15273" s="34" t="s">
        <v>28427</v>
      </c>
      <c r="C15273" s="34" t="s">
        <v>463</v>
      </c>
      <c r="E15273" s="30" t="s">
        <v>28428</v>
      </c>
      <c r="F15273" s="34" t="n">
        <f aca="false">IFERROR(VLOOKUP($A15273,'319'!$B:$H,7,0),0)</f>
        <v>0</v>
      </c>
      <c r="G15273" s="34" t="n">
        <f aca="false">SUMIFS('12.326ana'!$C:$C,'12.326ana'!$M:$M,redes!A15273)</f>
        <v>0</v>
      </c>
    </row>
    <row r="15274" customFormat="false" ht="14.4" hidden="true" customHeight="false" outlineLevel="0" collapsed="false">
      <c r="A15274" s="34" t="n">
        <v>24782055000169</v>
      </c>
      <c r="B15274" s="34" t="s">
        <v>28429</v>
      </c>
      <c r="C15274" s="34" t="s">
        <v>107</v>
      </c>
      <c r="E15274" s="30" t="s">
        <v>28430</v>
      </c>
      <c r="F15274" s="34" t="n">
        <f aca="false">IFERROR(VLOOKUP($A15274,'319'!$B:$H,7,0),0)</f>
        <v>0</v>
      </c>
      <c r="G15274" s="34" t="n">
        <f aca="false">SUMIFS('12.326ana'!$C:$C,'12.326ana'!$M:$M,redes!A15274)</f>
        <v>0</v>
      </c>
    </row>
    <row r="15275" customFormat="false" ht="14.4" hidden="true" customHeight="false" outlineLevel="0" collapsed="false">
      <c r="A15275" s="34" t="n">
        <v>24794230000138</v>
      </c>
      <c r="B15275" s="34" t="s">
        <v>28431</v>
      </c>
      <c r="C15275" s="34" t="s">
        <v>336</v>
      </c>
      <c r="E15275" s="30" t="s">
        <v>28432</v>
      </c>
      <c r="F15275" s="34" t="n">
        <f aca="false">IFERROR(VLOOKUP($A15275,'319'!$B:$H,7,0),0)</f>
        <v>0</v>
      </c>
      <c r="G15275" s="34" t="n">
        <f aca="false">SUMIFS('12.326ana'!$C:$C,'12.326ana'!$M:$M,redes!A15275)</f>
        <v>0</v>
      </c>
    </row>
    <row r="15276" customFormat="false" ht="14.4" hidden="true" customHeight="false" outlineLevel="0" collapsed="false">
      <c r="A15276" s="34" t="n">
        <v>24814007000105</v>
      </c>
      <c r="B15276" s="34" t="s">
        <v>28433</v>
      </c>
      <c r="C15276" s="34" t="s">
        <v>77</v>
      </c>
      <c r="E15276" s="30" t="s">
        <v>8961</v>
      </c>
      <c r="F15276" s="34" t="n">
        <f aca="false">IFERROR(VLOOKUP($A15276,'319'!$B:$H,7,0),0)</f>
        <v>0</v>
      </c>
      <c r="G15276" s="34" t="n">
        <f aca="false">SUMIFS('12.326ana'!$C:$C,'12.326ana'!$M:$M,redes!A15276)</f>
        <v>0</v>
      </c>
    </row>
    <row r="15277" customFormat="false" ht="14.4" hidden="true" customHeight="false" outlineLevel="0" collapsed="false">
      <c r="A15277" s="34" t="n">
        <v>24821988000118</v>
      </c>
      <c r="B15277" s="34" t="s">
        <v>28434</v>
      </c>
      <c r="C15277" s="34" t="s">
        <v>342</v>
      </c>
      <c r="E15277" s="30" t="s">
        <v>28435</v>
      </c>
      <c r="F15277" s="34" t="n">
        <f aca="false">IFERROR(VLOOKUP($A15277,'319'!$B:$H,7,0),0)</f>
        <v>0</v>
      </c>
      <c r="G15277" s="34" t="n">
        <f aca="false">SUMIFS('12.326ana'!$C:$C,'12.326ana'!$M:$M,redes!A15277)</f>
        <v>0</v>
      </c>
    </row>
    <row r="15278" customFormat="false" ht="14.4" hidden="true" customHeight="false" outlineLevel="0" collapsed="false">
      <c r="A15278" s="34" t="n">
        <v>24824249000180</v>
      </c>
      <c r="B15278" s="34" t="s">
        <v>28436</v>
      </c>
      <c r="C15278" s="34" t="s">
        <v>7250</v>
      </c>
      <c r="E15278" s="30" t="s">
        <v>28437</v>
      </c>
      <c r="F15278" s="34" t="n">
        <f aca="false">IFERROR(VLOOKUP($A15278,'319'!$B:$H,7,0),0)</f>
        <v>0</v>
      </c>
      <c r="G15278" s="34" t="n">
        <f aca="false">SUMIFS('12.326ana'!$C:$C,'12.326ana'!$M:$M,redes!A15278)</f>
        <v>0</v>
      </c>
    </row>
    <row r="15279" customFormat="false" ht="14.4" hidden="true" customHeight="false" outlineLevel="0" collapsed="false">
      <c r="A15279" s="34" t="n">
        <v>24836883000132</v>
      </c>
      <c r="B15279" s="34" t="s">
        <v>28438</v>
      </c>
      <c r="C15279" s="34" t="s">
        <v>77</v>
      </c>
      <c r="E15279" s="30" t="s">
        <v>28439</v>
      </c>
      <c r="F15279" s="34" t="n">
        <f aca="false">IFERROR(VLOOKUP($A15279,'319'!$B:$H,7,0),0)</f>
        <v>0</v>
      </c>
      <c r="G15279" s="34" t="n">
        <f aca="false">SUMIFS('12.326ana'!$C:$C,'12.326ana'!$M:$M,redes!A15279)</f>
        <v>0</v>
      </c>
    </row>
    <row r="15280" customFormat="false" ht="14.4" hidden="true" customHeight="false" outlineLevel="0" collapsed="false">
      <c r="A15280" s="34" t="n">
        <v>24840018000160</v>
      </c>
      <c r="B15280" s="34" t="s">
        <v>28440</v>
      </c>
      <c r="C15280" s="34" t="s">
        <v>463</v>
      </c>
      <c r="E15280" s="30" t="s">
        <v>3333</v>
      </c>
      <c r="F15280" s="34" t="n">
        <f aca="false">IFERROR(VLOOKUP($A15280,'319'!$B:$H,7,0),0)</f>
        <v>0</v>
      </c>
      <c r="G15280" s="34" t="n">
        <f aca="false">SUMIFS('12.326ana'!$C:$C,'12.326ana'!$M:$M,redes!A15280)</f>
        <v>0</v>
      </c>
    </row>
    <row r="15281" customFormat="false" ht="14.4" hidden="true" customHeight="false" outlineLevel="0" collapsed="false">
      <c r="A15281" s="34" t="n">
        <v>24843326000149</v>
      </c>
      <c r="B15281" s="34" t="s">
        <v>28441</v>
      </c>
      <c r="C15281" s="34" t="s">
        <v>77</v>
      </c>
      <c r="E15281" s="30" t="s">
        <v>28442</v>
      </c>
      <c r="F15281" s="34" t="n">
        <f aca="false">IFERROR(VLOOKUP($A15281,'319'!$B:$H,7,0),0)</f>
        <v>0</v>
      </c>
      <c r="G15281" s="34" t="n">
        <f aca="false">SUMIFS('12.326ana'!$C:$C,'12.326ana'!$M:$M,redes!A15281)</f>
        <v>0</v>
      </c>
    </row>
    <row r="15282" customFormat="false" ht="14.4" hidden="true" customHeight="false" outlineLevel="0" collapsed="false">
      <c r="A15282" s="34" t="n">
        <v>24843364000100</v>
      </c>
      <c r="B15282" s="34" t="s">
        <v>28443</v>
      </c>
      <c r="C15282" s="34" t="s">
        <v>77</v>
      </c>
      <c r="E15282" s="30" t="s">
        <v>28444</v>
      </c>
      <c r="F15282" s="34" t="n">
        <f aca="false">IFERROR(VLOOKUP($A15282,'319'!$B:$H,7,0),0)</f>
        <v>0</v>
      </c>
      <c r="G15282" s="34" t="n">
        <f aca="false">SUMIFS('12.326ana'!$C:$C,'12.326ana'!$M:$M,redes!A15282)</f>
        <v>0</v>
      </c>
    </row>
    <row r="15283" customFormat="false" ht="14.4" hidden="true" customHeight="false" outlineLevel="0" collapsed="false">
      <c r="A15283" s="34" t="n">
        <v>24843404000105</v>
      </c>
      <c r="B15283" s="34" t="s">
        <v>28445</v>
      </c>
      <c r="C15283" s="34" t="s">
        <v>77</v>
      </c>
      <c r="E15283" s="30" t="s">
        <v>28446</v>
      </c>
      <c r="F15283" s="34" t="n">
        <f aca="false">IFERROR(VLOOKUP($A15283,'319'!$B:$H,7,0),0)</f>
        <v>0</v>
      </c>
      <c r="G15283" s="34" t="n">
        <f aca="false">SUMIFS('12.326ana'!$C:$C,'12.326ana'!$M:$M,redes!A15283)</f>
        <v>0</v>
      </c>
    </row>
    <row r="15284" customFormat="false" ht="14.4" hidden="true" customHeight="false" outlineLevel="0" collapsed="false">
      <c r="A15284" s="34" t="n">
        <v>24845055000160</v>
      </c>
      <c r="B15284" s="34" t="s">
        <v>1775</v>
      </c>
      <c r="C15284" s="34" t="s">
        <v>3594</v>
      </c>
      <c r="E15284" s="30" t="s">
        <v>28447</v>
      </c>
      <c r="F15284" s="34" t="n">
        <f aca="false">IFERROR(VLOOKUP($A15284,'319'!$B:$H,7,0),0)</f>
        <v>-86.13</v>
      </c>
      <c r="G15284" s="34" t="n">
        <f aca="false">SUMIFS('12.326ana'!$C:$C,'12.326ana'!$M:$M,redes!A15284)</f>
        <v>0</v>
      </c>
    </row>
    <row r="15285" customFormat="false" ht="14.4" hidden="true" customHeight="false" outlineLevel="0" collapsed="false">
      <c r="A15285" s="34" t="n">
        <v>24845439000183</v>
      </c>
      <c r="B15285" s="34" t="s">
        <v>28448</v>
      </c>
      <c r="C15285" s="34" t="s">
        <v>139</v>
      </c>
      <c r="E15285" s="30" t="s">
        <v>28449</v>
      </c>
      <c r="F15285" s="34" t="n">
        <f aca="false">IFERROR(VLOOKUP($A15285,'319'!$B:$H,7,0),0)</f>
        <v>0</v>
      </c>
      <c r="G15285" s="34" t="n">
        <f aca="false">SUMIFS('12.326ana'!$C:$C,'12.326ana'!$M:$M,redes!A15285)</f>
        <v>0</v>
      </c>
    </row>
    <row r="15286" customFormat="false" ht="14.4" hidden="true" customHeight="false" outlineLevel="0" collapsed="false">
      <c r="A15286" s="34" t="n">
        <v>24849370000166</v>
      </c>
      <c r="B15286" s="34" t="s">
        <v>28450</v>
      </c>
      <c r="C15286" s="34" t="s">
        <v>994</v>
      </c>
      <c r="E15286" s="30" t="s">
        <v>28451</v>
      </c>
      <c r="F15286" s="34" t="n">
        <f aca="false">IFERROR(VLOOKUP($A15286,'319'!$B:$H,7,0),0)</f>
        <v>0</v>
      </c>
      <c r="G15286" s="34" t="n">
        <f aca="false">SUMIFS('12.326ana'!$C:$C,'12.326ana'!$M:$M,redes!A15286)</f>
        <v>0</v>
      </c>
    </row>
    <row r="15287" customFormat="false" ht="14.4" hidden="true" customHeight="false" outlineLevel="0" collapsed="false">
      <c r="A15287" s="34" t="n">
        <v>24852678000160</v>
      </c>
      <c r="B15287" s="34" t="s">
        <v>28452</v>
      </c>
      <c r="C15287" s="34" t="s">
        <v>77</v>
      </c>
      <c r="E15287" s="30" t="s">
        <v>28453</v>
      </c>
      <c r="F15287" s="34" t="n">
        <f aca="false">IFERROR(VLOOKUP($A15287,'319'!$B:$H,7,0),0)</f>
        <v>0</v>
      </c>
      <c r="G15287" s="34" t="n">
        <f aca="false">SUMIFS('12.326ana'!$C:$C,'12.326ana'!$M:$M,redes!A15287)</f>
        <v>0</v>
      </c>
    </row>
    <row r="15288" customFormat="false" ht="14.4" hidden="true" customHeight="false" outlineLevel="0" collapsed="false">
      <c r="A15288" s="34" t="n">
        <v>24861550000163</v>
      </c>
      <c r="B15288" s="34" t="s">
        <v>28454</v>
      </c>
      <c r="C15288" s="34" t="s">
        <v>89</v>
      </c>
      <c r="E15288" s="30" t="s">
        <v>28455</v>
      </c>
      <c r="F15288" s="34" t="n">
        <f aca="false">IFERROR(VLOOKUP($A15288,'319'!$B:$H,7,0),0)</f>
        <v>0</v>
      </c>
      <c r="G15288" s="34" t="n">
        <f aca="false">SUMIFS('12.326ana'!$C:$C,'12.326ana'!$M:$M,redes!A15288)</f>
        <v>0</v>
      </c>
    </row>
    <row r="15289" customFormat="false" ht="14.4" hidden="true" customHeight="false" outlineLevel="0" collapsed="false">
      <c r="A15289" s="34" t="n">
        <v>24864596000136</v>
      </c>
      <c r="B15289" s="34" t="s">
        <v>28456</v>
      </c>
      <c r="C15289" s="34" t="s">
        <v>77</v>
      </c>
      <c r="E15289" s="30" t="s">
        <v>28457</v>
      </c>
      <c r="F15289" s="34" t="n">
        <f aca="false">IFERROR(VLOOKUP($A15289,'319'!$B:$H,7,0),0)</f>
        <v>0</v>
      </c>
      <c r="G15289" s="34" t="n">
        <f aca="false">SUMIFS('12.326ana'!$C:$C,'12.326ana'!$M:$M,redes!A15289)</f>
        <v>0</v>
      </c>
    </row>
    <row r="15290" customFormat="false" ht="14.4" hidden="true" customHeight="false" outlineLevel="0" collapsed="false">
      <c r="A15290" s="34" t="n">
        <v>24864657000165</v>
      </c>
      <c r="B15290" s="34" t="s">
        <v>28458</v>
      </c>
      <c r="C15290" s="34" t="s">
        <v>77</v>
      </c>
      <c r="E15290" s="30" t="s">
        <v>28458</v>
      </c>
      <c r="F15290" s="34" t="n">
        <f aca="false">IFERROR(VLOOKUP($A15290,'319'!$B:$H,7,0),0)</f>
        <v>0</v>
      </c>
      <c r="G15290" s="34" t="n">
        <f aca="false">SUMIFS('12.326ana'!$C:$C,'12.326ana'!$M:$M,redes!A15290)</f>
        <v>0</v>
      </c>
    </row>
    <row r="15291" customFormat="false" ht="14.4" hidden="true" customHeight="false" outlineLevel="0" collapsed="false">
      <c r="A15291" s="34" t="n">
        <v>24867561000150</v>
      </c>
      <c r="B15291" s="34" t="s">
        <v>28459</v>
      </c>
      <c r="C15291" s="34" t="s">
        <v>77</v>
      </c>
      <c r="E15291" s="30" t="s">
        <v>28460</v>
      </c>
      <c r="F15291" s="34" t="n">
        <f aca="false">IFERROR(VLOOKUP($A15291,'319'!$B:$H,7,0),0)</f>
        <v>0</v>
      </c>
      <c r="G15291" s="34" t="n">
        <f aca="false">SUMIFS('12.326ana'!$C:$C,'12.326ana'!$M:$M,redes!A15291)</f>
        <v>0</v>
      </c>
    </row>
    <row r="15292" customFormat="false" ht="14.4" hidden="true" customHeight="false" outlineLevel="0" collapsed="false">
      <c r="A15292" s="34" t="n">
        <v>24868361000112</v>
      </c>
      <c r="B15292" s="34" t="s">
        <v>28461</v>
      </c>
      <c r="C15292" s="34" t="s">
        <v>12298</v>
      </c>
      <c r="E15292" s="30" t="s">
        <v>28462</v>
      </c>
      <c r="F15292" s="34" t="n">
        <f aca="false">IFERROR(VLOOKUP($A15292,'319'!$B:$H,7,0),0)</f>
        <v>0</v>
      </c>
      <c r="G15292" s="34" t="n">
        <f aca="false">SUMIFS('12.326ana'!$C:$C,'12.326ana'!$M:$M,redes!A15292)</f>
        <v>0</v>
      </c>
    </row>
    <row r="15293" customFormat="false" ht="14.4" hidden="true" customHeight="false" outlineLevel="0" collapsed="false">
      <c r="A15293" s="34" t="n">
        <v>24875877000194</v>
      </c>
      <c r="B15293" s="34" t="s">
        <v>28463</v>
      </c>
      <c r="C15293" s="34" t="s">
        <v>464</v>
      </c>
      <c r="E15293" s="30" t="s">
        <v>24161</v>
      </c>
      <c r="F15293" s="34" t="n">
        <f aca="false">IFERROR(VLOOKUP($A15293,'319'!$B:$H,7,0),0)</f>
        <v>0</v>
      </c>
      <c r="G15293" s="34" t="n">
        <f aca="false">SUMIFS('12.326ana'!$C:$C,'12.326ana'!$M:$M,redes!A15293)</f>
        <v>0</v>
      </c>
    </row>
    <row r="15294" customFormat="false" ht="14.4" hidden="true" customHeight="false" outlineLevel="0" collapsed="false">
      <c r="A15294" s="34" t="n">
        <v>24876140000196</v>
      </c>
      <c r="B15294" s="34" t="s">
        <v>28464</v>
      </c>
      <c r="C15294" s="34" t="s">
        <v>103</v>
      </c>
      <c r="E15294" s="30" t="s">
        <v>28465</v>
      </c>
      <c r="F15294" s="34" t="n">
        <f aca="false">IFERROR(VLOOKUP($A15294,'319'!$B:$H,7,0),0)</f>
        <v>0</v>
      </c>
      <c r="G15294" s="34" t="n">
        <f aca="false">SUMIFS('12.326ana'!$C:$C,'12.326ana'!$M:$M,redes!A15294)</f>
        <v>0</v>
      </c>
    </row>
    <row r="15295" customFormat="false" ht="14.4" hidden="true" customHeight="false" outlineLevel="0" collapsed="false">
      <c r="A15295" s="34" t="n">
        <v>24883172000119</v>
      </c>
      <c r="B15295" s="34" t="s">
        <v>28466</v>
      </c>
      <c r="C15295" s="34" t="s">
        <v>77</v>
      </c>
      <c r="E15295" s="30" t="s">
        <v>28467</v>
      </c>
      <c r="F15295" s="34" t="n">
        <f aca="false">IFERROR(VLOOKUP($A15295,'319'!$B:$H,7,0),0)</f>
        <v>0</v>
      </c>
      <c r="G15295" s="34" t="n">
        <f aca="false">SUMIFS('12.326ana'!$C:$C,'12.326ana'!$M:$M,redes!A15295)</f>
        <v>0</v>
      </c>
    </row>
    <row r="15296" customFormat="false" ht="14.4" hidden="true" customHeight="false" outlineLevel="0" collapsed="false">
      <c r="A15296" s="34" t="n">
        <v>24891435000131</v>
      </c>
      <c r="B15296" s="34" t="s">
        <v>28468</v>
      </c>
      <c r="C15296" s="34" t="s">
        <v>107</v>
      </c>
      <c r="E15296" s="30" t="s">
        <v>28469</v>
      </c>
      <c r="F15296" s="34" t="n">
        <f aca="false">IFERROR(VLOOKUP($A15296,'319'!$B:$H,7,0),0)</f>
        <v>0</v>
      </c>
      <c r="G15296" s="34" t="n">
        <f aca="false">SUMIFS('12.326ana'!$C:$C,'12.326ana'!$M:$M,redes!A15296)</f>
        <v>0</v>
      </c>
    </row>
    <row r="15297" customFormat="false" ht="14.4" hidden="true" customHeight="false" outlineLevel="0" collapsed="false">
      <c r="A15297" s="34" t="n">
        <v>24891622000115</v>
      </c>
      <c r="B15297" s="34" t="s">
        <v>28470</v>
      </c>
      <c r="C15297" s="34" t="s">
        <v>77</v>
      </c>
      <c r="E15297" s="30" t="s">
        <v>28471</v>
      </c>
      <c r="F15297" s="34" t="n">
        <f aca="false">IFERROR(VLOOKUP($A15297,'319'!$B:$H,7,0),0)</f>
        <v>0</v>
      </c>
      <c r="G15297" s="34" t="n">
        <f aca="false">SUMIFS('12.326ana'!$C:$C,'12.326ana'!$M:$M,redes!A15297)</f>
        <v>0</v>
      </c>
    </row>
    <row r="15298" customFormat="false" ht="14.4" hidden="true" customHeight="false" outlineLevel="0" collapsed="false">
      <c r="A15298" s="34" t="n">
        <v>24904370000111</v>
      </c>
      <c r="B15298" s="34" t="s">
        <v>28472</v>
      </c>
      <c r="C15298" s="34" t="s">
        <v>77</v>
      </c>
      <c r="E15298" s="30" t="s">
        <v>28473</v>
      </c>
      <c r="F15298" s="34" t="n">
        <f aca="false">IFERROR(VLOOKUP($A15298,'319'!$B:$H,7,0),0)</f>
        <v>0</v>
      </c>
      <c r="G15298" s="34" t="n">
        <f aca="false">SUMIFS('12.326ana'!$C:$C,'12.326ana'!$M:$M,redes!A15298)</f>
        <v>0</v>
      </c>
    </row>
    <row r="15299" customFormat="false" ht="14.4" hidden="true" customHeight="false" outlineLevel="0" collapsed="false">
      <c r="A15299" s="34" t="n">
        <v>24904986000192</v>
      </c>
      <c r="B15299" s="34" t="s">
        <v>28474</v>
      </c>
      <c r="C15299" s="34" t="s">
        <v>4139</v>
      </c>
      <c r="E15299" s="30" t="s">
        <v>17697</v>
      </c>
      <c r="F15299" s="34" t="n">
        <f aca="false">IFERROR(VLOOKUP($A15299,'319'!$B:$H,7,0),0)</f>
        <v>0</v>
      </c>
      <c r="G15299" s="34" t="n">
        <f aca="false">SUMIFS('12.326ana'!$C:$C,'12.326ana'!$M:$M,redes!A15299)</f>
        <v>0</v>
      </c>
    </row>
    <row r="15300" customFormat="false" ht="14.4" hidden="true" customHeight="false" outlineLevel="0" collapsed="false">
      <c r="A15300" s="34" t="n">
        <v>24905398000173</v>
      </c>
      <c r="B15300" s="34" t="s">
        <v>28475</v>
      </c>
      <c r="C15300" s="34" t="s">
        <v>77</v>
      </c>
      <c r="E15300" s="30" t="s">
        <v>28476</v>
      </c>
      <c r="F15300" s="34" t="n">
        <f aca="false">IFERROR(VLOOKUP($A15300,'319'!$B:$H,7,0),0)</f>
        <v>0</v>
      </c>
      <c r="G15300" s="34" t="n">
        <f aca="false">SUMIFS('12.326ana'!$C:$C,'12.326ana'!$M:$M,redes!A15300)</f>
        <v>0</v>
      </c>
    </row>
    <row r="15301" customFormat="false" ht="14.4" hidden="true" customHeight="false" outlineLevel="0" collapsed="false">
      <c r="A15301" s="34" t="n">
        <v>24913847000125</v>
      </c>
      <c r="B15301" s="34" t="s">
        <v>28477</v>
      </c>
      <c r="C15301" s="34" t="s">
        <v>77</v>
      </c>
      <c r="E15301" s="30"/>
      <c r="F15301" s="34" t="n">
        <f aca="false">IFERROR(VLOOKUP($A15301,'319'!$B:$H,7,0),0)</f>
        <v>0</v>
      </c>
      <c r="G15301" s="34" t="n">
        <f aca="false">SUMIFS('12.326ana'!$C:$C,'12.326ana'!$M:$M,redes!A15301)</f>
        <v>0</v>
      </c>
    </row>
    <row r="15302" customFormat="false" ht="14.4" hidden="true" customHeight="false" outlineLevel="0" collapsed="false">
      <c r="A15302" s="34" t="n">
        <v>24930618000119</v>
      </c>
      <c r="B15302" s="34" t="s">
        <v>28478</v>
      </c>
      <c r="C15302" s="34" t="s">
        <v>598</v>
      </c>
      <c r="E15302" s="30" t="s">
        <v>3538</v>
      </c>
      <c r="F15302" s="34" t="n">
        <f aca="false">IFERROR(VLOOKUP($A15302,'319'!$B:$H,7,0),0)</f>
        <v>0</v>
      </c>
      <c r="G15302" s="34" t="n">
        <f aca="false">SUMIFS('12.326ana'!$C:$C,'12.326ana'!$M:$M,redes!A15302)</f>
        <v>0</v>
      </c>
    </row>
    <row r="15303" customFormat="false" ht="14.4" hidden="true" customHeight="false" outlineLevel="0" collapsed="false">
      <c r="A15303" s="34" t="n">
        <v>24932637000184</v>
      </c>
      <c r="B15303" s="34" t="s">
        <v>28479</v>
      </c>
      <c r="C15303" s="34" t="s">
        <v>77</v>
      </c>
      <c r="E15303" s="30" t="s">
        <v>28480</v>
      </c>
      <c r="F15303" s="34" t="n">
        <f aca="false">IFERROR(VLOOKUP($A15303,'319'!$B:$H,7,0),0)</f>
        <v>0</v>
      </c>
      <c r="G15303" s="34" t="n">
        <f aca="false">SUMIFS('12.326ana'!$C:$C,'12.326ana'!$M:$M,redes!A15303)</f>
        <v>0</v>
      </c>
    </row>
    <row r="15304" customFormat="false" ht="14.4" hidden="true" customHeight="false" outlineLevel="0" collapsed="false">
      <c r="A15304" s="34" t="n">
        <v>24940923000191</v>
      </c>
      <c r="B15304" s="34" t="s">
        <v>28481</v>
      </c>
      <c r="C15304" s="34" t="s">
        <v>77</v>
      </c>
      <c r="E15304" s="30" t="s">
        <v>28482</v>
      </c>
      <c r="F15304" s="34" t="n">
        <f aca="false">IFERROR(VLOOKUP($A15304,'319'!$B:$H,7,0),0)</f>
        <v>0</v>
      </c>
      <c r="G15304" s="34" t="n">
        <f aca="false">SUMIFS('12.326ana'!$C:$C,'12.326ana'!$M:$M,redes!A15304)</f>
        <v>0</v>
      </c>
    </row>
    <row r="15305" customFormat="false" ht="14.4" hidden="true" customHeight="false" outlineLevel="0" collapsed="false">
      <c r="A15305" s="34" t="n">
        <v>24944226000109</v>
      </c>
      <c r="B15305" s="34" t="s">
        <v>28483</v>
      </c>
      <c r="C15305" s="34" t="s">
        <v>77</v>
      </c>
      <c r="E15305" s="30" t="s">
        <v>28014</v>
      </c>
      <c r="F15305" s="34" t="n">
        <f aca="false">IFERROR(VLOOKUP($A15305,'319'!$B:$H,7,0),0)</f>
        <v>0</v>
      </c>
      <c r="G15305" s="34" t="n">
        <f aca="false">SUMIFS('12.326ana'!$C:$C,'12.326ana'!$M:$M,redes!A15305)</f>
        <v>0</v>
      </c>
    </row>
    <row r="15306" customFormat="false" ht="14.4" hidden="true" customHeight="false" outlineLevel="0" collapsed="false">
      <c r="A15306" s="34" t="n">
        <v>24948751000100</v>
      </c>
      <c r="B15306" s="34" t="s">
        <v>7364</v>
      </c>
      <c r="C15306" s="34" t="s">
        <v>706</v>
      </c>
      <c r="E15306" s="30" t="s">
        <v>28484</v>
      </c>
      <c r="F15306" s="34" t="n">
        <f aca="false">IFERROR(VLOOKUP($A15306,'319'!$B:$H,7,0),0)</f>
        <v>0</v>
      </c>
      <c r="G15306" s="34" t="n">
        <f aca="false">SUMIFS('12.326ana'!$C:$C,'12.326ana'!$M:$M,redes!A15306)</f>
        <v>0</v>
      </c>
    </row>
    <row r="15307" customFormat="false" ht="14.4" hidden="true" customHeight="false" outlineLevel="0" collapsed="false">
      <c r="A15307" s="34" t="n">
        <v>24949269000187</v>
      </c>
      <c r="B15307" s="34" t="s">
        <v>28485</v>
      </c>
      <c r="C15307" s="34" t="s">
        <v>89</v>
      </c>
      <c r="E15307" s="30" t="s">
        <v>2988</v>
      </c>
      <c r="F15307" s="34" t="n">
        <f aca="false">IFERROR(VLOOKUP($A15307,'319'!$B:$H,7,0),0)</f>
        <v>0</v>
      </c>
      <c r="G15307" s="34" t="n">
        <f aca="false">SUMIFS('12.326ana'!$C:$C,'12.326ana'!$M:$M,redes!A15307)</f>
        <v>0</v>
      </c>
    </row>
    <row r="15308" customFormat="false" ht="14.4" hidden="true" customHeight="false" outlineLevel="0" collapsed="false">
      <c r="A15308" s="34" t="n">
        <v>24960186000199</v>
      </c>
      <c r="B15308" s="34" t="s">
        <v>28486</v>
      </c>
      <c r="C15308" s="34" t="s">
        <v>77</v>
      </c>
      <c r="E15308" s="30" t="s">
        <v>28487</v>
      </c>
      <c r="F15308" s="34" t="n">
        <f aca="false">IFERROR(VLOOKUP($A15308,'319'!$B:$H,7,0),0)</f>
        <v>0</v>
      </c>
      <c r="G15308" s="34" t="n">
        <f aca="false">SUMIFS('12.326ana'!$C:$C,'12.326ana'!$M:$M,redes!A15308)</f>
        <v>0</v>
      </c>
    </row>
    <row r="15309" customFormat="false" ht="14.4" hidden="true" customHeight="false" outlineLevel="0" collapsed="false">
      <c r="A15309" s="34" t="n">
        <v>24962861000119</v>
      </c>
      <c r="B15309" s="34" t="s">
        <v>28488</v>
      </c>
      <c r="C15309" s="34" t="s">
        <v>1272</v>
      </c>
      <c r="E15309" s="30" t="s">
        <v>28489</v>
      </c>
      <c r="F15309" s="34" t="n">
        <f aca="false">IFERROR(VLOOKUP($A15309,'319'!$B:$H,7,0),0)</f>
        <v>0</v>
      </c>
      <c r="G15309" s="34" t="n">
        <f aca="false">SUMIFS('12.326ana'!$C:$C,'12.326ana'!$M:$M,redes!A15309)</f>
        <v>0</v>
      </c>
    </row>
    <row r="15310" customFormat="false" ht="14.4" hidden="true" customHeight="false" outlineLevel="0" collapsed="false">
      <c r="A15310" s="34" t="n">
        <v>24963893000139</v>
      </c>
      <c r="B15310" s="34" t="s">
        <v>28490</v>
      </c>
      <c r="C15310" s="34" t="s">
        <v>77</v>
      </c>
      <c r="E15310" s="30" t="s">
        <v>28491</v>
      </c>
      <c r="F15310" s="34" t="n">
        <f aca="false">IFERROR(VLOOKUP($A15310,'319'!$B:$H,7,0),0)</f>
        <v>0</v>
      </c>
      <c r="G15310" s="34" t="n">
        <f aca="false">SUMIFS('12.326ana'!$C:$C,'12.326ana'!$M:$M,redes!A15310)</f>
        <v>0</v>
      </c>
    </row>
    <row r="15311" customFormat="false" ht="14.4" hidden="true" customHeight="false" outlineLevel="0" collapsed="false">
      <c r="A15311" s="34" t="n">
        <v>24964627000120</v>
      </c>
      <c r="B15311" s="34" t="s">
        <v>28492</v>
      </c>
      <c r="C15311" s="34" t="s">
        <v>139</v>
      </c>
      <c r="E15311" s="30" t="s">
        <v>28493</v>
      </c>
      <c r="F15311" s="34" t="n">
        <f aca="false">IFERROR(VLOOKUP($A15311,'319'!$B:$H,7,0),0)</f>
        <v>0</v>
      </c>
      <c r="G15311" s="34" t="n">
        <f aca="false">SUMIFS('12.326ana'!$C:$C,'12.326ana'!$M:$M,redes!A15311)</f>
        <v>0</v>
      </c>
    </row>
    <row r="15312" customFormat="false" ht="14.4" hidden="true" customHeight="false" outlineLevel="0" collapsed="false">
      <c r="A15312" s="34" t="n">
        <v>24969980000101</v>
      </c>
      <c r="B15312" s="34" t="s">
        <v>28494</v>
      </c>
      <c r="C15312" s="34" t="s">
        <v>631</v>
      </c>
      <c r="E15312" s="30" t="s">
        <v>28495</v>
      </c>
      <c r="F15312" s="34" t="n">
        <f aca="false">IFERROR(VLOOKUP($A15312,'319'!$B:$H,7,0),0)</f>
        <v>0</v>
      </c>
      <c r="G15312" s="34" t="n">
        <f aca="false">SUMIFS('12.326ana'!$C:$C,'12.326ana'!$M:$M,redes!A15312)</f>
        <v>0</v>
      </c>
    </row>
    <row r="15313" customFormat="false" ht="14.4" hidden="true" customHeight="false" outlineLevel="0" collapsed="false">
      <c r="A15313" s="34" t="n">
        <v>24979760000150</v>
      </c>
      <c r="B15313" s="34" t="s">
        <v>28496</v>
      </c>
      <c r="C15313" s="34" t="s">
        <v>935</v>
      </c>
      <c r="E15313" s="30" t="s">
        <v>14170</v>
      </c>
      <c r="F15313" s="34" t="n">
        <f aca="false">IFERROR(VLOOKUP($A15313,'319'!$B:$H,7,0),0)</f>
        <v>0</v>
      </c>
      <c r="G15313" s="34" t="n">
        <f aca="false">SUMIFS('12.326ana'!$C:$C,'12.326ana'!$M:$M,redes!A15313)</f>
        <v>0</v>
      </c>
    </row>
    <row r="15314" customFormat="false" ht="14.4" hidden="true" customHeight="false" outlineLevel="0" collapsed="false">
      <c r="A15314" s="34" t="n">
        <v>24980284000198</v>
      </c>
      <c r="B15314" s="34" t="s">
        <v>28497</v>
      </c>
      <c r="C15314" s="34" t="s">
        <v>77</v>
      </c>
      <c r="E15314" s="30" t="s">
        <v>28498</v>
      </c>
      <c r="F15314" s="34" t="n">
        <f aca="false">IFERROR(VLOOKUP($A15314,'319'!$B:$H,7,0),0)</f>
        <v>0</v>
      </c>
      <c r="G15314" s="34" t="n">
        <f aca="false">SUMIFS('12.326ana'!$C:$C,'12.326ana'!$M:$M,redes!A15314)</f>
        <v>0</v>
      </c>
    </row>
    <row r="15315" customFormat="false" ht="14.4" hidden="true" customHeight="false" outlineLevel="0" collapsed="false">
      <c r="A15315" s="34" t="n">
        <v>24987421000116</v>
      </c>
      <c r="B15315" s="34" t="s">
        <v>28499</v>
      </c>
      <c r="C15315" s="34" t="s">
        <v>598</v>
      </c>
      <c r="E15315" s="30" t="s">
        <v>8513</v>
      </c>
      <c r="F15315" s="34" t="n">
        <f aca="false">IFERROR(VLOOKUP($A15315,'319'!$B:$H,7,0),0)</f>
        <v>0</v>
      </c>
      <c r="G15315" s="34" t="n">
        <f aca="false">SUMIFS('12.326ana'!$C:$C,'12.326ana'!$M:$M,redes!A15315)</f>
        <v>0</v>
      </c>
    </row>
    <row r="15316" customFormat="false" ht="14.4" hidden="true" customHeight="false" outlineLevel="0" collapsed="false">
      <c r="A15316" s="34" t="n">
        <v>24992048000191</v>
      </c>
      <c r="B15316" s="34" t="s">
        <v>28500</v>
      </c>
      <c r="C15316" s="34" t="s">
        <v>1602</v>
      </c>
      <c r="E15316" s="30" t="s">
        <v>7097</v>
      </c>
      <c r="F15316" s="34" t="n">
        <f aca="false">IFERROR(VLOOKUP($A15316,'319'!$B:$H,7,0),0)</f>
        <v>0</v>
      </c>
      <c r="G15316" s="34" t="n">
        <f aca="false">SUMIFS('12.326ana'!$C:$C,'12.326ana'!$M:$M,redes!A15316)</f>
        <v>0</v>
      </c>
    </row>
    <row r="15317" customFormat="false" ht="14.4" hidden="true" customHeight="false" outlineLevel="0" collapsed="false">
      <c r="A15317" s="34" t="n">
        <v>24995772000179</v>
      </c>
      <c r="B15317" s="34" t="s">
        <v>28501</v>
      </c>
      <c r="C15317" s="34" t="s">
        <v>139</v>
      </c>
      <c r="E15317" s="30" t="s">
        <v>28502</v>
      </c>
      <c r="F15317" s="34" t="n">
        <f aca="false">IFERROR(VLOOKUP($A15317,'319'!$B:$H,7,0),0)</f>
        <v>0</v>
      </c>
      <c r="G15317" s="34" t="n">
        <f aca="false">SUMIFS('12.326ana'!$C:$C,'12.326ana'!$M:$M,redes!A15317)</f>
        <v>0</v>
      </c>
    </row>
    <row r="15318" customFormat="false" ht="14.4" hidden="true" customHeight="false" outlineLevel="0" collapsed="false">
      <c r="A15318" s="34" t="n">
        <v>25002421000182</v>
      </c>
      <c r="B15318" s="34" t="s">
        <v>28503</v>
      </c>
      <c r="C15318" s="34" t="s">
        <v>77</v>
      </c>
      <c r="E15318" s="30" t="s">
        <v>28504</v>
      </c>
      <c r="F15318" s="34" t="n">
        <f aca="false">IFERROR(VLOOKUP($A15318,'319'!$B:$H,7,0),0)</f>
        <v>0</v>
      </c>
      <c r="G15318" s="34" t="n">
        <f aca="false">SUMIFS('12.326ana'!$C:$C,'12.326ana'!$M:$M,redes!A15318)</f>
        <v>0</v>
      </c>
    </row>
    <row r="15319" customFormat="false" ht="14.4" hidden="true" customHeight="false" outlineLevel="0" collapsed="false">
      <c r="A15319" s="34" t="n">
        <v>25002421000263</v>
      </c>
      <c r="B15319" s="34" t="s">
        <v>28505</v>
      </c>
      <c r="C15319" s="34" t="s">
        <v>77</v>
      </c>
      <c r="E15319" s="30" t="s">
        <v>28506</v>
      </c>
      <c r="F15319" s="34" t="n">
        <f aca="false">IFERROR(VLOOKUP($A15319,'319'!$B:$H,7,0),0)</f>
        <v>0</v>
      </c>
      <c r="G15319" s="34" t="n">
        <f aca="false">SUMIFS('12.326ana'!$C:$C,'12.326ana'!$M:$M,redes!A15319)</f>
        <v>0</v>
      </c>
    </row>
    <row r="15320" customFormat="false" ht="14.4" hidden="true" customHeight="false" outlineLevel="0" collapsed="false">
      <c r="A15320" s="34" t="n">
        <v>25003749000113</v>
      </c>
      <c r="B15320" s="34" t="s">
        <v>28507</v>
      </c>
      <c r="C15320" s="34" t="s">
        <v>77</v>
      </c>
      <c r="E15320" s="30" t="s">
        <v>3664</v>
      </c>
      <c r="F15320" s="34" t="n">
        <f aca="false">IFERROR(VLOOKUP($A15320,'319'!$B:$H,7,0),0)</f>
        <v>0</v>
      </c>
      <c r="G15320" s="34" t="n">
        <f aca="false">SUMIFS('12.326ana'!$C:$C,'12.326ana'!$M:$M,redes!A15320)</f>
        <v>0</v>
      </c>
    </row>
    <row r="15321" customFormat="false" ht="14.4" hidden="true" customHeight="false" outlineLevel="0" collapsed="false">
      <c r="A15321" s="34" t="n">
        <v>25023648000104</v>
      </c>
      <c r="B15321" s="34" t="s">
        <v>28508</v>
      </c>
      <c r="C15321" s="34" t="s">
        <v>77</v>
      </c>
      <c r="E15321" s="30" t="s">
        <v>28509</v>
      </c>
      <c r="F15321" s="34" t="n">
        <f aca="false">IFERROR(VLOOKUP($A15321,'319'!$B:$H,7,0),0)</f>
        <v>0</v>
      </c>
      <c r="G15321" s="34" t="n">
        <f aca="false">SUMIFS('12.326ana'!$C:$C,'12.326ana'!$M:$M,redes!A15321)</f>
        <v>0</v>
      </c>
    </row>
    <row r="15322" customFormat="false" ht="14.4" hidden="true" customHeight="false" outlineLevel="0" collapsed="false">
      <c r="A15322" s="34" t="n">
        <v>25023668000185</v>
      </c>
      <c r="B15322" s="34" t="s">
        <v>28510</v>
      </c>
      <c r="C15322" s="34" t="s">
        <v>565</v>
      </c>
      <c r="E15322" s="30" t="s">
        <v>28511</v>
      </c>
      <c r="F15322" s="34" t="n">
        <f aca="false">IFERROR(VLOOKUP($A15322,'319'!$B:$H,7,0),0)</f>
        <v>0</v>
      </c>
      <c r="G15322" s="34" t="n">
        <f aca="false">SUMIFS('12.326ana'!$C:$C,'12.326ana'!$M:$M,redes!A15322)</f>
        <v>0</v>
      </c>
    </row>
    <row r="15323" customFormat="false" ht="14.4" hidden="true" customHeight="false" outlineLevel="0" collapsed="false">
      <c r="A15323" s="34" t="n">
        <v>25029907000104</v>
      </c>
      <c r="B15323" s="34" t="s">
        <v>28512</v>
      </c>
      <c r="C15323" s="34" t="s">
        <v>631</v>
      </c>
      <c r="E15323" s="30" t="s">
        <v>28513</v>
      </c>
      <c r="F15323" s="34" t="n">
        <f aca="false">IFERROR(VLOOKUP($A15323,'319'!$B:$H,7,0),0)</f>
        <v>0</v>
      </c>
      <c r="G15323" s="34" t="n">
        <f aca="false">SUMIFS('12.326ana'!$C:$C,'12.326ana'!$M:$M,redes!A15323)</f>
        <v>0</v>
      </c>
    </row>
    <row r="15324" customFormat="false" ht="14.4" hidden="true" customHeight="false" outlineLevel="0" collapsed="false">
      <c r="A15324" s="34" t="n">
        <v>25034892000172</v>
      </c>
      <c r="B15324" s="34" t="s">
        <v>28514</v>
      </c>
      <c r="C15324" s="34" t="s">
        <v>77</v>
      </c>
      <c r="E15324" s="30" t="s">
        <v>28515</v>
      </c>
      <c r="F15324" s="34" t="n">
        <f aca="false">IFERROR(VLOOKUP($A15324,'319'!$B:$H,7,0),0)</f>
        <v>0</v>
      </c>
      <c r="G15324" s="34" t="n">
        <f aca="false">SUMIFS('12.326ana'!$C:$C,'12.326ana'!$M:$M,redes!A15324)</f>
        <v>0</v>
      </c>
    </row>
    <row r="15325" customFormat="false" ht="14.4" hidden="true" customHeight="false" outlineLevel="0" collapsed="false">
      <c r="A15325" s="34" t="n">
        <v>25053229000115</v>
      </c>
      <c r="B15325" s="34" t="s">
        <v>28516</v>
      </c>
      <c r="C15325" s="34" t="s">
        <v>77</v>
      </c>
      <c r="E15325" s="30" t="s">
        <v>28517</v>
      </c>
      <c r="F15325" s="34" t="n">
        <f aca="false">IFERROR(VLOOKUP($A15325,'319'!$B:$H,7,0),0)</f>
        <v>0</v>
      </c>
      <c r="G15325" s="34" t="n">
        <f aca="false">SUMIFS('12.326ana'!$C:$C,'12.326ana'!$M:$M,redes!A15325)</f>
        <v>0</v>
      </c>
    </row>
    <row r="15326" customFormat="false" ht="14.4" hidden="true" customHeight="false" outlineLevel="0" collapsed="false">
      <c r="A15326" s="34" t="n">
        <v>25053549000175</v>
      </c>
      <c r="B15326" s="34" t="s">
        <v>28518</v>
      </c>
      <c r="C15326" s="34" t="s">
        <v>77</v>
      </c>
      <c r="E15326" s="30" t="s">
        <v>28519</v>
      </c>
      <c r="F15326" s="34" t="n">
        <f aca="false">IFERROR(VLOOKUP($A15326,'319'!$B:$H,7,0),0)</f>
        <v>0</v>
      </c>
      <c r="G15326" s="34" t="n">
        <f aca="false">SUMIFS('12.326ana'!$C:$C,'12.326ana'!$M:$M,redes!A15326)</f>
        <v>0</v>
      </c>
    </row>
    <row r="15327" customFormat="false" ht="14.4" hidden="true" customHeight="false" outlineLevel="0" collapsed="false">
      <c r="A15327" s="34" t="n">
        <v>25053730000181</v>
      </c>
      <c r="B15327" s="34" t="s">
        <v>28520</v>
      </c>
      <c r="C15327" s="34" t="s">
        <v>77</v>
      </c>
      <c r="E15327" s="30" t="s">
        <v>28521</v>
      </c>
      <c r="F15327" s="34" t="n">
        <f aca="false">IFERROR(VLOOKUP($A15327,'319'!$B:$H,7,0),0)</f>
        <v>0</v>
      </c>
      <c r="G15327" s="34" t="n">
        <f aca="false">SUMIFS('12.326ana'!$C:$C,'12.326ana'!$M:$M,redes!A15327)</f>
        <v>0</v>
      </c>
    </row>
    <row r="15328" customFormat="false" ht="14.4" hidden="true" customHeight="false" outlineLevel="0" collapsed="false">
      <c r="A15328" s="34" t="n">
        <v>25082022000179</v>
      </c>
      <c r="B15328" s="34" t="s">
        <v>28522</v>
      </c>
      <c r="C15328" s="34" t="s">
        <v>139</v>
      </c>
      <c r="E15328" s="30" t="s">
        <v>28523</v>
      </c>
      <c r="F15328" s="34" t="n">
        <f aca="false">IFERROR(VLOOKUP($A15328,'319'!$B:$H,7,0),0)</f>
        <v>0</v>
      </c>
      <c r="G15328" s="34" t="n">
        <f aca="false">SUMIFS('12.326ana'!$C:$C,'12.326ana'!$M:$M,redes!A15328)</f>
        <v>0</v>
      </c>
    </row>
    <row r="15329" customFormat="false" ht="14.4" hidden="true" customHeight="false" outlineLevel="0" collapsed="false">
      <c r="A15329" s="34" t="n">
        <v>25087731000147</v>
      </c>
      <c r="B15329" s="34" t="s">
        <v>28524</v>
      </c>
      <c r="C15329" s="34" t="s">
        <v>77</v>
      </c>
      <c r="E15329" s="30" t="s">
        <v>28525</v>
      </c>
      <c r="F15329" s="34" t="n">
        <f aca="false">IFERROR(VLOOKUP($A15329,'319'!$B:$H,7,0),0)</f>
        <v>0</v>
      </c>
      <c r="G15329" s="34" t="n">
        <f aca="false">SUMIFS('12.326ana'!$C:$C,'12.326ana'!$M:$M,redes!A15329)</f>
        <v>0</v>
      </c>
    </row>
    <row r="15330" customFormat="false" ht="14.4" hidden="true" customHeight="false" outlineLevel="0" collapsed="false">
      <c r="A15330" s="34" t="n">
        <v>25089146000186</v>
      </c>
      <c r="B15330" s="34" t="s">
        <v>1801</v>
      </c>
      <c r="C15330" s="34" t="s">
        <v>192</v>
      </c>
      <c r="E15330" s="30" t="s">
        <v>28526</v>
      </c>
      <c r="F15330" s="34" t="n">
        <f aca="false">IFERROR(VLOOKUP($A15330,'319'!$B:$H,7,0),0)</f>
        <v>-163.07</v>
      </c>
      <c r="G15330" s="34" t="n">
        <f aca="false">SUMIFS('12.326ana'!$C:$C,'12.326ana'!$M:$M,redes!A15330)</f>
        <v>0</v>
      </c>
    </row>
    <row r="15331" customFormat="false" ht="14.4" hidden="true" customHeight="false" outlineLevel="0" collapsed="false">
      <c r="A15331" s="34" t="n">
        <v>25094088000189</v>
      </c>
      <c r="B15331" s="34" t="s">
        <v>28527</v>
      </c>
      <c r="C15331" s="34" t="s">
        <v>737</v>
      </c>
      <c r="E15331" s="30" t="s">
        <v>9302</v>
      </c>
      <c r="F15331" s="34" t="n">
        <f aca="false">IFERROR(VLOOKUP($A15331,'319'!$B:$H,7,0),0)</f>
        <v>0</v>
      </c>
      <c r="G15331" s="34" t="n">
        <f aca="false">SUMIFS('12.326ana'!$C:$C,'12.326ana'!$M:$M,redes!A15331)</f>
        <v>0</v>
      </c>
    </row>
    <row r="15332" customFormat="false" ht="14.4" hidden="true" customHeight="false" outlineLevel="0" collapsed="false">
      <c r="A15332" s="34" t="n">
        <v>25111437000123</v>
      </c>
      <c r="B15332" s="34" t="s">
        <v>28528</v>
      </c>
      <c r="C15332" s="34" t="s">
        <v>463</v>
      </c>
      <c r="E15332" s="30" t="s">
        <v>28529</v>
      </c>
      <c r="F15332" s="34" t="n">
        <f aca="false">IFERROR(VLOOKUP($A15332,'319'!$B:$H,7,0),0)</f>
        <v>0</v>
      </c>
      <c r="G15332" s="34" t="n">
        <f aca="false">SUMIFS('12.326ana'!$C:$C,'12.326ana'!$M:$M,redes!A15332)</f>
        <v>0</v>
      </c>
    </row>
    <row r="15333" customFormat="false" ht="14.4" hidden="true" customHeight="false" outlineLevel="0" collapsed="false">
      <c r="A15333" s="34" t="n">
        <v>25117031000158</v>
      </c>
      <c r="B15333" s="34" t="s">
        <v>28530</v>
      </c>
      <c r="C15333" s="34" t="s">
        <v>77</v>
      </c>
      <c r="D15333" s="34" t="s">
        <v>28531</v>
      </c>
      <c r="E15333" s="30" t="s">
        <v>28532</v>
      </c>
      <c r="F15333" s="34" t="n">
        <f aca="false">IFERROR(VLOOKUP($A15333,'319'!$B:$H,7,0),0)</f>
        <v>659.44</v>
      </c>
      <c r="G15333" s="34" t="n">
        <f aca="false">SUMIFS('12.326ana'!$C:$C,'12.326ana'!$M:$M,redes!A15333)</f>
        <v>0</v>
      </c>
    </row>
    <row r="15334" customFormat="false" ht="14.4" hidden="true" customHeight="false" outlineLevel="0" collapsed="false">
      <c r="A15334" s="34" t="n">
        <v>25117031000239</v>
      </c>
      <c r="B15334" s="34" t="s">
        <v>28530</v>
      </c>
      <c r="C15334" s="34" t="s">
        <v>77</v>
      </c>
      <c r="D15334" s="34" t="s">
        <v>28531</v>
      </c>
      <c r="E15334" s="30" t="s">
        <v>28532</v>
      </c>
      <c r="F15334" s="34" t="n">
        <f aca="false">IFERROR(VLOOKUP($A15334,'319'!$B:$H,7,0),0)</f>
        <v>545.54</v>
      </c>
      <c r="G15334" s="34" t="n">
        <f aca="false">SUMIFS('12.326ana'!$C:$C,'12.326ana'!$M:$M,redes!A15334)</f>
        <v>0</v>
      </c>
    </row>
    <row r="15335" customFormat="false" ht="14.4" hidden="true" customHeight="false" outlineLevel="0" collapsed="false">
      <c r="A15335" s="34" t="n">
        <v>25117031000310</v>
      </c>
      <c r="B15335" s="34" t="s">
        <v>28533</v>
      </c>
      <c r="C15335" s="34" t="s">
        <v>77</v>
      </c>
      <c r="D15335" s="34" t="s">
        <v>28531</v>
      </c>
      <c r="E15335" s="30" t="s">
        <v>28534</v>
      </c>
      <c r="F15335" s="34" t="n">
        <f aca="false">IFERROR(VLOOKUP($A15335,'319'!$B:$H,7,0),0)</f>
        <v>1210.01</v>
      </c>
      <c r="G15335" s="34" t="n">
        <f aca="false">SUMIFS('12.326ana'!$C:$C,'12.326ana'!$M:$M,redes!A15335)</f>
        <v>0</v>
      </c>
    </row>
    <row r="15336" customFormat="false" ht="14.4" hidden="true" customHeight="false" outlineLevel="0" collapsed="false">
      <c r="A15336" s="34" t="n">
        <v>25119093000107</v>
      </c>
      <c r="B15336" s="34" t="s">
        <v>28535</v>
      </c>
      <c r="C15336" s="34" t="s">
        <v>77</v>
      </c>
      <c r="E15336" s="30" t="s">
        <v>24056</v>
      </c>
      <c r="F15336" s="34" t="n">
        <f aca="false">IFERROR(VLOOKUP($A15336,'319'!$B:$H,7,0),0)</f>
        <v>0</v>
      </c>
      <c r="G15336" s="34" t="n">
        <f aca="false">SUMIFS('12.326ana'!$C:$C,'12.326ana'!$M:$M,redes!A15336)</f>
        <v>0</v>
      </c>
    </row>
    <row r="15337" customFormat="false" ht="14.4" hidden="true" customHeight="false" outlineLevel="0" collapsed="false">
      <c r="A15337" s="34" t="n">
        <v>25125696000103</v>
      </c>
      <c r="B15337" s="34" t="s">
        <v>28536</v>
      </c>
      <c r="C15337" s="34" t="s">
        <v>89</v>
      </c>
      <c r="E15337" s="30" t="s">
        <v>28537</v>
      </c>
      <c r="F15337" s="34" t="n">
        <f aca="false">IFERROR(VLOOKUP($A15337,'319'!$B:$H,7,0),0)</f>
        <v>142.45</v>
      </c>
      <c r="G15337" s="34" t="n">
        <f aca="false">SUMIFS('12.326ana'!$C:$C,'12.326ana'!$M:$M,redes!A15337)</f>
        <v>0</v>
      </c>
    </row>
    <row r="15338" customFormat="false" ht="14.4" hidden="true" customHeight="false" outlineLevel="0" collapsed="false">
      <c r="A15338" s="34" t="n">
        <v>25132994000120</v>
      </c>
      <c r="B15338" s="34" t="s">
        <v>28538</v>
      </c>
      <c r="C15338" s="34" t="s">
        <v>1272</v>
      </c>
      <c r="E15338" s="30" t="s">
        <v>28538</v>
      </c>
      <c r="F15338" s="34" t="n">
        <f aca="false">IFERROR(VLOOKUP($A15338,'319'!$B:$H,7,0),0)</f>
        <v>0</v>
      </c>
      <c r="G15338" s="34" t="n">
        <f aca="false">SUMIFS('12.326ana'!$C:$C,'12.326ana'!$M:$M,redes!A15338)</f>
        <v>0</v>
      </c>
    </row>
    <row r="15339" customFormat="false" ht="14.4" hidden="true" customHeight="false" outlineLevel="0" collapsed="false">
      <c r="A15339" s="34" t="n">
        <v>25136206000174</v>
      </c>
      <c r="B15339" s="34" t="s">
        <v>28539</v>
      </c>
      <c r="C15339" s="34" t="s">
        <v>77</v>
      </c>
      <c r="E15339" s="30" t="s">
        <v>28540</v>
      </c>
      <c r="F15339" s="34" t="n">
        <f aca="false">IFERROR(VLOOKUP($A15339,'319'!$B:$H,7,0),0)</f>
        <v>0</v>
      </c>
      <c r="G15339" s="34" t="n">
        <f aca="false">SUMIFS('12.326ana'!$C:$C,'12.326ana'!$M:$M,redes!A15339)</f>
        <v>0</v>
      </c>
    </row>
    <row r="15340" customFormat="false" ht="14.4" hidden="true" customHeight="false" outlineLevel="0" collapsed="false">
      <c r="A15340" s="34" t="n">
        <v>25153232000100</v>
      </c>
      <c r="B15340" s="34" t="s">
        <v>28541</v>
      </c>
      <c r="C15340" s="34" t="s">
        <v>139</v>
      </c>
      <c r="E15340" s="30" t="s">
        <v>28542</v>
      </c>
      <c r="F15340" s="34" t="n">
        <f aca="false">IFERROR(VLOOKUP($A15340,'319'!$B:$H,7,0),0)</f>
        <v>0</v>
      </c>
      <c r="G15340" s="34" t="n">
        <f aca="false">SUMIFS('12.326ana'!$C:$C,'12.326ana'!$M:$M,redes!A15340)</f>
        <v>0</v>
      </c>
    </row>
    <row r="15341" customFormat="false" ht="14.4" hidden="true" customHeight="false" outlineLevel="0" collapsed="false">
      <c r="A15341" s="34" t="n">
        <v>25156637000100</v>
      </c>
      <c r="B15341" s="34" t="s">
        <v>28543</v>
      </c>
      <c r="C15341" s="34" t="s">
        <v>77</v>
      </c>
      <c r="D15341" s="34" t="s">
        <v>21776</v>
      </c>
      <c r="E15341" s="30" t="s">
        <v>28544</v>
      </c>
      <c r="F15341" s="34" t="n">
        <f aca="false">IFERROR(VLOOKUP($A15341,'319'!$B:$H,7,0),0)</f>
        <v>0</v>
      </c>
      <c r="G15341" s="34" t="n">
        <f aca="false">SUMIFS('12.326ana'!$C:$C,'12.326ana'!$M:$M,redes!A15341)</f>
        <v>0</v>
      </c>
    </row>
    <row r="15342" customFormat="false" ht="14.4" hidden="true" customHeight="false" outlineLevel="0" collapsed="false">
      <c r="A15342" s="34" t="n">
        <v>25156637000283</v>
      </c>
      <c r="B15342" s="34" t="s">
        <v>28543</v>
      </c>
      <c r="C15342" s="34" t="s">
        <v>77</v>
      </c>
      <c r="D15342" s="34" t="s">
        <v>21776</v>
      </c>
      <c r="E15342" s="30" t="s">
        <v>28544</v>
      </c>
      <c r="F15342" s="34" t="n">
        <f aca="false">IFERROR(VLOOKUP($A15342,'319'!$B:$H,7,0),0)</f>
        <v>0</v>
      </c>
      <c r="G15342" s="34" t="n">
        <f aca="false">SUMIFS('12.326ana'!$C:$C,'12.326ana'!$M:$M,redes!A15342)</f>
        <v>0</v>
      </c>
    </row>
    <row r="15343" customFormat="false" ht="14.4" hidden="true" customHeight="false" outlineLevel="0" collapsed="false">
      <c r="A15343" s="34" t="n">
        <v>25181540000140</v>
      </c>
      <c r="B15343" s="34" t="s">
        <v>28545</v>
      </c>
      <c r="C15343" s="34" t="s">
        <v>77</v>
      </c>
      <c r="E15343" s="30" t="s">
        <v>28545</v>
      </c>
      <c r="F15343" s="34" t="n">
        <f aca="false">IFERROR(VLOOKUP($A15343,'319'!$B:$H,7,0),0)</f>
        <v>0</v>
      </c>
      <c r="G15343" s="34" t="n">
        <f aca="false">SUMIFS('12.326ana'!$C:$C,'12.326ana'!$M:$M,redes!A15343)</f>
        <v>0</v>
      </c>
    </row>
    <row r="15344" customFormat="false" ht="14.4" hidden="true" customHeight="false" outlineLevel="0" collapsed="false">
      <c r="A15344" s="34" t="n">
        <v>25193213000108</v>
      </c>
      <c r="B15344" s="34" t="s">
        <v>28546</v>
      </c>
      <c r="C15344" s="34" t="s">
        <v>117</v>
      </c>
      <c r="E15344" s="30" t="s">
        <v>28547</v>
      </c>
      <c r="F15344" s="34" t="n">
        <f aca="false">IFERROR(VLOOKUP($A15344,'319'!$B:$H,7,0),0)</f>
        <v>0</v>
      </c>
      <c r="G15344" s="34" t="n">
        <f aca="false">SUMIFS('12.326ana'!$C:$C,'12.326ana'!$M:$M,redes!A15344)</f>
        <v>0</v>
      </c>
    </row>
    <row r="15345" customFormat="false" ht="14.4" hidden="true" customHeight="false" outlineLevel="0" collapsed="false">
      <c r="A15345" s="34" t="n">
        <v>25194034000195</v>
      </c>
      <c r="B15345" s="34" t="s">
        <v>28548</v>
      </c>
      <c r="C15345" s="34" t="s">
        <v>721</v>
      </c>
      <c r="E15345" s="30" t="s">
        <v>28549</v>
      </c>
      <c r="F15345" s="34" t="n">
        <f aca="false">IFERROR(VLOOKUP($A15345,'319'!$B:$H,7,0),0)</f>
        <v>0</v>
      </c>
      <c r="G15345" s="34" t="n">
        <f aca="false">SUMIFS('12.326ana'!$C:$C,'12.326ana'!$M:$M,redes!A15345)</f>
        <v>0</v>
      </c>
    </row>
    <row r="15346" customFormat="false" ht="14.4" hidden="true" customHeight="false" outlineLevel="0" collapsed="false">
      <c r="A15346" s="34" t="n">
        <v>25205415000122</v>
      </c>
      <c r="B15346" s="34" t="s">
        <v>28550</v>
      </c>
      <c r="C15346" s="34" t="s">
        <v>89</v>
      </c>
      <c r="E15346" s="30" t="s">
        <v>28551</v>
      </c>
      <c r="F15346" s="34" t="n">
        <f aca="false">IFERROR(VLOOKUP($A15346,'319'!$B:$H,7,0),0)</f>
        <v>0</v>
      </c>
      <c r="G15346" s="34" t="n">
        <f aca="false">SUMIFS('12.326ana'!$C:$C,'12.326ana'!$M:$M,redes!A15346)</f>
        <v>0</v>
      </c>
    </row>
    <row r="15347" customFormat="false" ht="14.4" hidden="true" customHeight="false" outlineLevel="0" collapsed="false">
      <c r="A15347" s="34" t="n">
        <v>25213264000154</v>
      </c>
      <c r="B15347" s="34" t="s">
        <v>28552</v>
      </c>
      <c r="C15347" s="34" t="s">
        <v>464</v>
      </c>
      <c r="E15347" s="30" t="s">
        <v>28553</v>
      </c>
      <c r="F15347" s="34" t="n">
        <f aca="false">IFERROR(VLOOKUP($A15347,'319'!$B:$H,7,0),0)</f>
        <v>0</v>
      </c>
      <c r="G15347" s="34" t="n">
        <f aca="false">SUMIFS('12.326ana'!$C:$C,'12.326ana'!$M:$M,redes!A15347)</f>
        <v>0</v>
      </c>
    </row>
    <row r="15348" customFormat="false" ht="14.4" hidden="true" customHeight="false" outlineLevel="0" collapsed="false">
      <c r="A15348" s="34" t="n">
        <v>25216636000104</v>
      </c>
      <c r="B15348" s="34" t="s">
        <v>28554</v>
      </c>
      <c r="C15348" s="34" t="s">
        <v>3060</v>
      </c>
      <c r="E15348" s="30" t="s">
        <v>28555</v>
      </c>
      <c r="F15348" s="34" t="n">
        <f aca="false">IFERROR(VLOOKUP($A15348,'319'!$B:$H,7,0),0)</f>
        <v>0</v>
      </c>
      <c r="G15348" s="34" t="n">
        <f aca="false">SUMIFS('12.326ana'!$C:$C,'12.326ana'!$M:$M,redes!A15348)</f>
        <v>0</v>
      </c>
    </row>
    <row r="15349" customFormat="false" ht="14.4" hidden="true" customHeight="false" outlineLevel="0" collapsed="false">
      <c r="A15349" s="34" t="n">
        <v>25216919000148</v>
      </c>
      <c r="B15349" s="34" t="s">
        <v>28556</v>
      </c>
      <c r="C15349" s="34" t="s">
        <v>77</v>
      </c>
      <c r="E15349" s="30" t="s">
        <v>28557</v>
      </c>
      <c r="F15349" s="34" t="n">
        <f aca="false">IFERROR(VLOOKUP($A15349,'319'!$B:$H,7,0),0)</f>
        <v>0</v>
      </c>
      <c r="G15349" s="34" t="n">
        <f aca="false">SUMIFS('12.326ana'!$C:$C,'12.326ana'!$M:$M,redes!A15349)</f>
        <v>0</v>
      </c>
    </row>
    <row r="15350" customFormat="false" ht="14.4" hidden="true" customHeight="false" outlineLevel="0" collapsed="false">
      <c r="A15350" s="34" t="n">
        <v>25216919000229</v>
      </c>
      <c r="B15350" s="34" t="s">
        <v>28556</v>
      </c>
      <c r="C15350" s="34" t="s">
        <v>154</v>
      </c>
      <c r="E15350" s="30" t="s">
        <v>28558</v>
      </c>
      <c r="F15350" s="34" t="n">
        <f aca="false">IFERROR(VLOOKUP($A15350,'319'!$B:$H,7,0),0)</f>
        <v>0</v>
      </c>
      <c r="G15350" s="34" t="n">
        <f aca="false">SUMIFS('12.326ana'!$C:$C,'12.326ana'!$M:$M,redes!A15350)</f>
        <v>0</v>
      </c>
    </row>
    <row r="15351" customFormat="false" ht="14.4" hidden="true" customHeight="false" outlineLevel="0" collapsed="false">
      <c r="A15351" s="34" t="n">
        <v>25225594000160</v>
      </c>
      <c r="B15351" s="34" t="s">
        <v>28559</v>
      </c>
      <c r="C15351" s="34" t="s">
        <v>842</v>
      </c>
      <c r="E15351" s="30" t="s">
        <v>28560</v>
      </c>
      <c r="F15351" s="34" t="n">
        <f aca="false">IFERROR(VLOOKUP($A15351,'319'!$B:$H,7,0),0)</f>
        <v>0</v>
      </c>
      <c r="G15351" s="34" t="n">
        <f aca="false">SUMIFS('12.326ana'!$C:$C,'12.326ana'!$M:$M,redes!A15351)</f>
        <v>0</v>
      </c>
    </row>
    <row r="15352" customFormat="false" ht="14.4" hidden="true" customHeight="false" outlineLevel="0" collapsed="false">
      <c r="A15352" s="34" t="n">
        <v>25232129000156</v>
      </c>
      <c r="B15352" s="34" t="s">
        <v>28561</v>
      </c>
      <c r="C15352" s="34" t="s">
        <v>77</v>
      </c>
      <c r="E15352" s="30" t="s">
        <v>28562</v>
      </c>
      <c r="F15352" s="34" t="n">
        <f aca="false">IFERROR(VLOOKUP($A15352,'319'!$B:$H,7,0),0)</f>
        <v>0</v>
      </c>
      <c r="G15352" s="34" t="n">
        <f aca="false">SUMIFS('12.326ana'!$C:$C,'12.326ana'!$M:$M,redes!A15352)</f>
        <v>0</v>
      </c>
    </row>
    <row r="15353" customFormat="false" ht="14.4" hidden="true" customHeight="false" outlineLevel="0" collapsed="false">
      <c r="A15353" s="34" t="n">
        <v>25232382000100</v>
      </c>
      <c r="B15353" s="34" t="s">
        <v>28563</v>
      </c>
      <c r="C15353" s="34" t="s">
        <v>77</v>
      </c>
      <c r="E15353" s="30" t="s">
        <v>28564</v>
      </c>
      <c r="F15353" s="34" t="n">
        <f aca="false">IFERROR(VLOOKUP($A15353,'319'!$B:$H,7,0),0)</f>
        <v>0</v>
      </c>
      <c r="G15353" s="34" t="n">
        <f aca="false">SUMIFS('12.326ana'!$C:$C,'12.326ana'!$M:$M,redes!A15353)</f>
        <v>0</v>
      </c>
    </row>
    <row r="15354" customFormat="false" ht="14.4" hidden="true" customHeight="false" outlineLevel="0" collapsed="false">
      <c r="A15354" s="34" t="n">
        <v>25232452000120</v>
      </c>
      <c r="B15354" s="34" t="s">
        <v>1286</v>
      </c>
      <c r="C15354" s="34" t="s">
        <v>77</v>
      </c>
      <c r="E15354" s="30" t="s">
        <v>28565</v>
      </c>
      <c r="F15354" s="34" t="n">
        <f aca="false">IFERROR(VLOOKUP($A15354,'319'!$B:$H,7,0),0)</f>
        <v>265.36</v>
      </c>
      <c r="G15354" s="34" t="n">
        <f aca="false">SUMIFS('12.326ana'!$C:$C,'12.326ana'!$M:$M,redes!A15354)</f>
        <v>0</v>
      </c>
    </row>
    <row r="15355" customFormat="false" ht="14.4" hidden="true" customHeight="false" outlineLevel="0" collapsed="false">
      <c r="A15355" s="34" t="n">
        <v>25246886000189</v>
      </c>
      <c r="B15355" s="34" t="s">
        <v>28566</v>
      </c>
      <c r="C15355" s="34" t="s">
        <v>565</v>
      </c>
      <c r="E15355" s="30" t="s">
        <v>6196</v>
      </c>
      <c r="F15355" s="34" t="n">
        <f aca="false">IFERROR(VLOOKUP($A15355,'319'!$B:$H,7,0),0)</f>
        <v>0</v>
      </c>
      <c r="G15355" s="34" t="n">
        <f aca="false">SUMIFS('12.326ana'!$C:$C,'12.326ana'!$M:$M,redes!A15355)</f>
        <v>0</v>
      </c>
    </row>
    <row r="15356" customFormat="false" ht="14.4" hidden="true" customHeight="false" outlineLevel="0" collapsed="false">
      <c r="A15356" s="34" t="n">
        <v>25247539000170</v>
      </c>
      <c r="B15356" s="34" t="s">
        <v>28567</v>
      </c>
      <c r="C15356" s="34" t="s">
        <v>77</v>
      </c>
      <c r="D15356" s="34" t="s">
        <v>23333</v>
      </c>
      <c r="E15356" s="30" t="s">
        <v>23335</v>
      </c>
      <c r="F15356" s="34" t="n">
        <f aca="false">IFERROR(VLOOKUP($A15356,'319'!$B:$H,7,0),0)</f>
        <v>0</v>
      </c>
      <c r="G15356" s="34" t="n">
        <f aca="false">SUMIFS('12.326ana'!$C:$C,'12.326ana'!$M:$M,redes!A15356)</f>
        <v>0</v>
      </c>
    </row>
    <row r="15357" customFormat="false" ht="14.4" hidden="true" customHeight="false" outlineLevel="0" collapsed="false">
      <c r="A15357" s="34" t="n">
        <v>25248025000130</v>
      </c>
      <c r="B15357" s="34" t="s">
        <v>28568</v>
      </c>
      <c r="C15357" s="34" t="s">
        <v>77</v>
      </c>
      <c r="E15357" s="30" t="s">
        <v>28569</v>
      </c>
      <c r="F15357" s="34" t="n">
        <f aca="false">IFERROR(VLOOKUP($A15357,'319'!$B:$H,7,0),0)</f>
        <v>0</v>
      </c>
      <c r="G15357" s="34" t="n">
        <f aca="false">SUMIFS('12.326ana'!$C:$C,'12.326ana'!$M:$M,redes!A15357)</f>
        <v>0</v>
      </c>
    </row>
    <row r="15358" customFormat="false" ht="14.4" hidden="true" customHeight="false" outlineLevel="0" collapsed="false">
      <c r="A15358" s="34" t="n">
        <v>25249711000206</v>
      </c>
      <c r="B15358" s="34" t="s">
        <v>28570</v>
      </c>
      <c r="C15358" s="34" t="s">
        <v>77</v>
      </c>
      <c r="E15358" s="30" t="s">
        <v>28571</v>
      </c>
      <c r="F15358" s="34" t="n">
        <f aca="false">IFERROR(VLOOKUP($A15358,'319'!$B:$H,7,0),0)</f>
        <v>0</v>
      </c>
      <c r="G15358" s="34" t="n">
        <f aca="false">SUMIFS('12.326ana'!$C:$C,'12.326ana'!$M:$M,redes!A15358)</f>
        <v>0</v>
      </c>
    </row>
    <row r="15359" customFormat="false" ht="14.4" hidden="true" customHeight="false" outlineLevel="0" collapsed="false">
      <c r="A15359" s="34" t="n">
        <v>25257605000193</v>
      </c>
      <c r="B15359" s="34" t="s">
        <v>28572</v>
      </c>
      <c r="C15359" s="34" t="s">
        <v>77</v>
      </c>
      <c r="E15359" s="30" t="s">
        <v>6896</v>
      </c>
      <c r="F15359" s="34" t="n">
        <f aca="false">IFERROR(VLOOKUP($A15359,'319'!$B:$H,7,0),0)</f>
        <v>0</v>
      </c>
      <c r="G15359" s="34" t="n">
        <f aca="false">SUMIFS('12.326ana'!$C:$C,'12.326ana'!$M:$M,redes!A15359)</f>
        <v>0</v>
      </c>
    </row>
    <row r="15360" customFormat="false" ht="14.4" hidden="true" customHeight="false" outlineLevel="0" collapsed="false">
      <c r="A15360" s="34" t="n">
        <v>25287698000107</v>
      </c>
      <c r="B15360" s="34" t="s">
        <v>28573</v>
      </c>
      <c r="C15360" s="34" t="s">
        <v>77</v>
      </c>
      <c r="E15360" s="30" t="s">
        <v>3507</v>
      </c>
      <c r="F15360" s="34" t="n">
        <f aca="false">IFERROR(VLOOKUP($A15360,'319'!$B:$H,7,0),0)</f>
        <v>0</v>
      </c>
      <c r="G15360" s="34" t="n">
        <f aca="false">SUMIFS('12.326ana'!$C:$C,'12.326ana'!$M:$M,redes!A15360)</f>
        <v>0</v>
      </c>
    </row>
    <row r="15361" customFormat="false" ht="14.4" hidden="true" customHeight="false" outlineLevel="0" collapsed="false">
      <c r="A15361" s="34" t="n">
        <v>25289376000199</v>
      </c>
      <c r="B15361" s="34" t="s">
        <v>28574</v>
      </c>
      <c r="C15361" s="34" t="s">
        <v>328</v>
      </c>
      <c r="E15361" s="30" t="s">
        <v>28575</v>
      </c>
      <c r="F15361" s="34" t="n">
        <f aca="false">IFERROR(VLOOKUP($A15361,'319'!$B:$H,7,0),0)</f>
        <v>0</v>
      </c>
      <c r="G15361" s="34" t="n">
        <f aca="false">SUMIFS('12.326ana'!$C:$C,'12.326ana'!$M:$M,redes!A15361)</f>
        <v>0</v>
      </c>
    </row>
    <row r="15362" customFormat="false" ht="14.4" hidden="true" customHeight="false" outlineLevel="0" collapsed="false">
      <c r="A15362" s="34" t="n">
        <v>25298634000101</v>
      </c>
      <c r="B15362" s="34" t="s">
        <v>28576</v>
      </c>
      <c r="C15362" s="34" t="s">
        <v>464</v>
      </c>
      <c r="E15362" s="30" t="s">
        <v>28577</v>
      </c>
      <c r="F15362" s="34" t="n">
        <f aca="false">IFERROR(VLOOKUP($A15362,'319'!$B:$H,7,0),0)</f>
        <v>0</v>
      </c>
      <c r="G15362" s="34" t="n">
        <f aca="false">SUMIFS('12.326ana'!$C:$C,'12.326ana'!$M:$M,redes!A15362)</f>
        <v>0</v>
      </c>
    </row>
    <row r="15363" customFormat="false" ht="14.4" hidden="true" customHeight="false" outlineLevel="0" collapsed="false">
      <c r="A15363" s="34" t="n">
        <v>25308906000107</v>
      </c>
      <c r="B15363" s="34" t="s">
        <v>28578</v>
      </c>
      <c r="C15363" s="34" t="s">
        <v>377</v>
      </c>
      <c r="E15363" s="30" t="s">
        <v>28579</v>
      </c>
      <c r="F15363" s="34" t="n">
        <f aca="false">IFERROR(VLOOKUP($A15363,'319'!$B:$H,7,0),0)</f>
        <v>290.25</v>
      </c>
      <c r="G15363" s="34" t="n">
        <f aca="false">SUMIFS('12.326ana'!$C:$C,'12.326ana'!$M:$M,redes!A15363)</f>
        <v>0</v>
      </c>
    </row>
    <row r="15364" customFormat="false" ht="14.4" hidden="true" customHeight="false" outlineLevel="0" collapsed="false">
      <c r="A15364" s="34" t="n">
        <v>25312501000134</v>
      </c>
      <c r="B15364" s="34" t="s">
        <v>28580</v>
      </c>
      <c r="C15364" s="34" t="s">
        <v>89</v>
      </c>
      <c r="E15364" s="30" t="s">
        <v>28581</v>
      </c>
      <c r="F15364" s="34" t="n">
        <f aca="false">IFERROR(VLOOKUP($A15364,'319'!$B:$H,7,0),0)</f>
        <v>0</v>
      </c>
      <c r="G15364" s="34" t="n">
        <f aca="false">SUMIFS('12.326ana'!$C:$C,'12.326ana'!$M:$M,redes!A15364)</f>
        <v>0</v>
      </c>
    </row>
    <row r="15365" customFormat="false" ht="14.4" hidden="true" customHeight="false" outlineLevel="0" collapsed="false">
      <c r="A15365" s="34" t="n">
        <v>25314099000127</v>
      </c>
      <c r="B15365" s="34" t="s">
        <v>28582</v>
      </c>
      <c r="C15365" s="34" t="s">
        <v>129</v>
      </c>
      <c r="E15365" s="30" t="s">
        <v>28583</v>
      </c>
      <c r="F15365" s="34" t="n">
        <f aca="false">IFERROR(VLOOKUP($A15365,'319'!$B:$H,7,0),0)</f>
        <v>0</v>
      </c>
      <c r="G15365" s="34" t="n">
        <f aca="false">SUMIFS('12.326ana'!$C:$C,'12.326ana'!$M:$M,redes!A15365)</f>
        <v>0</v>
      </c>
    </row>
    <row r="15366" customFormat="false" ht="14.4" hidden="true" customHeight="false" outlineLevel="0" collapsed="false">
      <c r="A15366" s="34" t="n">
        <v>25314133000163</v>
      </c>
      <c r="B15366" s="34" t="s">
        <v>28584</v>
      </c>
      <c r="C15366" s="34" t="s">
        <v>77</v>
      </c>
      <c r="E15366" s="30" t="s">
        <v>28585</v>
      </c>
      <c r="F15366" s="34" t="n">
        <f aca="false">IFERROR(VLOOKUP($A15366,'319'!$B:$H,7,0),0)</f>
        <v>0</v>
      </c>
      <c r="G15366" s="34" t="n">
        <f aca="false">SUMIFS('12.326ana'!$C:$C,'12.326ana'!$M:$M,redes!A15366)</f>
        <v>0</v>
      </c>
    </row>
    <row r="15367" customFormat="false" ht="14.4" hidden="true" customHeight="false" outlineLevel="0" collapsed="false">
      <c r="A15367" s="34" t="n">
        <v>25318092000183</v>
      </c>
      <c r="B15367" s="34" t="s">
        <v>28586</v>
      </c>
      <c r="C15367" s="34" t="s">
        <v>351</v>
      </c>
      <c r="E15367" s="30" t="s">
        <v>28587</v>
      </c>
      <c r="F15367" s="34" t="n">
        <f aca="false">IFERROR(VLOOKUP($A15367,'319'!$B:$H,7,0),0)</f>
        <v>0</v>
      </c>
      <c r="G15367" s="34" t="n">
        <f aca="false">SUMIFS('12.326ana'!$C:$C,'12.326ana'!$M:$M,redes!A15367)</f>
        <v>0</v>
      </c>
    </row>
    <row r="15368" customFormat="false" ht="14.4" hidden="true" customHeight="false" outlineLevel="0" collapsed="false">
      <c r="A15368" s="34" t="n">
        <v>25319615000106</v>
      </c>
      <c r="B15368" s="34" t="s">
        <v>28588</v>
      </c>
      <c r="C15368" s="34" t="s">
        <v>77</v>
      </c>
      <c r="E15368" s="30" t="s">
        <v>28589</v>
      </c>
      <c r="F15368" s="34" t="n">
        <f aca="false">IFERROR(VLOOKUP($A15368,'319'!$B:$H,7,0),0)</f>
        <v>0</v>
      </c>
      <c r="G15368" s="34" t="n">
        <f aca="false">SUMIFS('12.326ana'!$C:$C,'12.326ana'!$M:$M,redes!A15368)</f>
        <v>0</v>
      </c>
    </row>
    <row r="15369" customFormat="false" ht="14.4" hidden="true" customHeight="false" outlineLevel="0" collapsed="false">
      <c r="A15369" s="34" t="n">
        <v>25330228000170</v>
      </c>
      <c r="B15369" s="34" t="s">
        <v>28590</v>
      </c>
      <c r="C15369" s="34" t="s">
        <v>77</v>
      </c>
      <c r="E15369" s="30" t="s">
        <v>28591</v>
      </c>
      <c r="F15369" s="34" t="n">
        <f aca="false">IFERROR(VLOOKUP($A15369,'319'!$B:$H,7,0),0)</f>
        <v>0</v>
      </c>
      <c r="G15369" s="34" t="n">
        <f aca="false">SUMIFS('12.326ana'!$C:$C,'12.326ana'!$M:$M,redes!A15369)</f>
        <v>0</v>
      </c>
    </row>
    <row r="15370" customFormat="false" ht="14.4" hidden="true" customHeight="false" outlineLevel="0" collapsed="false">
      <c r="A15370" s="34" t="n">
        <v>25348507000161</v>
      </c>
      <c r="B15370" s="34" t="s">
        <v>28592</v>
      </c>
      <c r="C15370" s="34" t="s">
        <v>706</v>
      </c>
      <c r="E15370" s="30" t="s">
        <v>28593</v>
      </c>
      <c r="F15370" s="34" t="n">
        <f aca="false">IFERROR(VLOOKUP($A15370,'319'!$B:$H,7,0),0)</f>
        <v>0</v>
      </c>
      <c r="G15370" s="34" t="n">
        <f aca="false">SUMIFS('12.326ana'!$C:$C,'12.326ana'!$M:$M,redes!A15370)</f>
        <v>0</v>
      </c>
    </row>
    <row r="15371" customFormat="false" ht="14.4" hidden="true" customHeight="false" outlineLevel="0" collapsed="false">
      <c r="A15371" s="34" t="n">
        <v>25357561000173</v>
      </c>
      <c r="B15371" s="34" t="s">
        <v>28594</v>
      </c>
      <c r="C15371" s="34" t="s">
        <v>139</v>
      </c>
      <c r="E15371" s="30" t="s">
        <v>22516</v>
      </c>
      <c r="F15371" s="34" t="n">
        <f aca="false">IFERROR(VLOOKUP($A15371,'319'!$B:$H,7,0),0)</f>
        <v>0</v>
      </c>
      <c r="G15371" s="34" t="n">
        <f aca="false">SUMIFS('12.326ana'!$C:$C,'12.326ana'!$M:$M,redes!A15371)</f>
        <v>0</v>
      </c>
    </row>
    <row r="15372" customFormat="false" ht="14.4" hidden="true" customHeight="false" outlineLevel="0" collapsed="false">
      <c r="A15372" s="34" t="n">
        <v>25359410000154</v>
      </c>
      <c r="B15372" s="34" t="s">
        <v>28595</v>
      </c>
      <c r="C15372" s="34" t="s">
        <v>475</v>
      </c>
      <c r="E15372" s="30" t="s">
        <v>28596</v>
      </c>
      <c r="F15372" s="34" t="n">
        <f aca="false">IFERROR(VLOOKUP($A15372,'319'!$B:$H,7,0),0)</f>
        <v>0</v>
      </c>
      <c r="G15372" s="34" t="n">
        <f aca="false">SUMIFS('12.326ana'!$C:$C,'12.326ana'!$M:$M,redes!A15372)</f>
        <v>0</v>
      </c>
    </row>
    <row r="15373" customFormat="false" ht="14.4" hidden="true" customHeight="false" outlineLevel="0" collapsed="false">
      <c r="A15373" s="34" t="n">
        <v>25361533000120</v>
      </c>
      <c r="B15373" s="34" t="s">
        <v>1132</v>
      </c>
      <c r="C15373" s="34" t="s">
        <v>89</v>
      </c>
      <c r="E15373" s="30" t="s">
        <v>28597</v>
      </c>
      <c r="F15373" s="34" t="n">
        <f aca="false">IFERROR(VLOOKUP($A15373,'319'!$B:$H,7,0),0)</f>
        <v>526.36</v>
      </c>
      <c r="G15373" s="34" t="n">
        <f aca="false">SUMIFS('12.326ana'!$C:$C,'12.326ana'!$M:$M,redes!A15373)</f>
        <v>0</v>
      </c>
    </row>
    <row r="15374" customFormat="false" ht="14.4" hidden="true" customHeight="false" outlineLevel="0" collapsed="false">
      <c r="A15374" s="34" t="n">
        <v>25367302000123</v>
      </c>
      <c r="B15374" s="34" t="s">
        <v>28598</v>
      </c>
      <c r="C15374" s="34" t="s">
        <v>737</v>
      </c>
      <c r="E15374" s="30" t="s">
        <v>3206</v>
      </c>
      <c r="F15374" s="34" t="n">
        <f aca="false">IFERROR(VLOOKUP($A15374,'319'!$B:$H,7,0),0)</f>
        <v>0</v>
      </c>
      <c r="G15374" s="34" t="n">
        <f aca="false">SUMIFS('12.326ana'!$C:$C,'12.326ana'!$M:$M,redes!A15374)</f>
        <v>0</v>
      </c>
    </row>
    <row r="15375" customFormat="false" ht="14.4" hidden="true" customHeight="false" outlineLevel="0" collapsed="false">
      <c r="A15375" s="34" t="n">
        <v>25383348000136</v>
      </c>
      <c r="B15375" s="34" t="s">
        <v>28599</v>
      </c>
      <c r="C15375" s="34" t="s">
        <v>1054</v>
      </c>
      <c r="E15375" s="30" t="s">
        <v>28600</v>
      </c>
      <c r="F15375" s="34" t="n">
        <f aca="false">IFERROR(VLOOKUP($A15375,'319'!$B:$H,7,0),0)</f>
        <v>0</v>
      </c>
      <c r="G15375" s="34" t="n">
        <f aca="false">SUMIFS('12.326ana'!$C:$C,'12.326ana'!$M:$M,redes!A15375)</f>
        <v>0</v>
      </c>
    </row>
    <row r="15376" customFormat="false" ht="14.4" hidden="true" customHeight="false" outlineLevel="0" collapsed="false">
      <c r="A15376" s="34" t="n">
        <v>25406362000108</v>
      </c>
      <c r="B15376" s="34" t="s">
        <v>28601</v>
      </c>
      <c r="C15376" s="34" t="s">
        <v>1602</v>
      </c>
      <c r="E15376" s="30" t="s">
        <v>28602</v>
      </c>
      <c r="F15376" s="34" t="n">
        <f aca="false">IFERROR(VLOOKUP($A15376,'319'!$B:$H,7,0),0)</f>
        <v>0</v>
      </c>
      <c r="G15376" s="34" t="n">
        <f aca="false">SUMIFS('12.326ana'!$C:$C,'12.326ana'!$M:$M,redes!A15376)</f>
        <v>0</v>
      </c>
    </row>
    <row r="15377" customFormat="false" ht="14.4" hidden="true" customHeight="false" outlineLevel="0" collapsed="false">
      <c r="A15377" s="34" t="n">
        <v>25432486000168</v>
      </c>
      <c r="B15377" s="34" t="s">
        <v>28603</v>
      </c>
      <c r="C15377" s="34" t="s">
        <v>77</v>
      </c>
      <c r="E15377" s="30" t="s">
        <v>3674</v>
      </c>
      <c r="F15377" s="34" t="n">
        <f aca="false">IFERROR(VLOOKUP($A15377,'319'!$B:$H,7,0),0)</f>
        <v>0</v>
      </c>
      <c r="G15377" s="34" t="n">
        <f aca="false">SUMIFS('12.326ana'!$C:$C,'12.326ana'!$M:$M,redes!A15377)</f>
        <v>0</v>
      </c>
    </row>
    <row r="15378" customFormat="false" ht="14.4" hidden="true" customHeight="false" outlineLevel="0" collapsed="false">
      <c r="A15378" s="34" t="n">
        <v>25454469000121</v>
      </c>
      <c r="B15378" s="34" t="s">
        <v>28604</v>
      </c>
      <c r="C15378" s="34" t="s">
        <v>77</v>
      </c>
      <c r="E15378" s="30" t="s">
        <v>28605</v>
      </c>
      <c r="F15378" s="34" t="n">
        <f aca="false">IFERROR(VLOOKUP($A15378,'319'!$B:$H,7,0),0)</f>
        <v>0</v>
      </c>
      <c r="G15378" s="34" t="n">
        <f aca="false">SUMIFS('12.326ana'!$C:$C,'12.326ana'!$M:$M,redes!A15378)</f>
        <v>0</v>
      </c>
    </row>
    <row r="15379" customFormat="false" ht="14.4" hidden="true" customHeight="false" outlineLevel="0" collapsed="false">
      <c r="A15379" s="34" t="n">
        <v>25476669000185</v>
      </c>
      <c r="B15379" s="34" t="s">
        <v>28606</v>
      </c>
      <c r="C15379" s="34" t="s">
        <v>77</v>
      </c>
      <c r="E15379" s="30" t="s">
        <v>28607</v>
      </c>
      <c r="F15379" s="34" t="n">
        <f aca="false">IFERROR(VLOOKUP($A15379,'319'!$B:$H,7,0),0)</f>
        <v>0</v>
      </c>
      <c r="G15379" s="34" t="n">
        <f aca="false">SUMIFS('12.326ana'!$C:$C,'12.326ana'!$M:$M,redes!A15379)</f>
        <v>0</v>
      </c>
    </row>
    <row r="15380" customFormat="false" ht="14.4" hidden="true" customHeight="false" outlineLevel="0" collapsed="false">
      <c r="A15380" s="34" t="n">
        <v>25534105000151</v>
      </c>
      <c r="B15380" s="34" t="s">
        <v>28608</v>
      </c>
      <c r="C15380" s="34" t="s">
        <v>213</v>
      </c>
      <c r="E15380" s="30" t="s">
        <v>28609</v>
      </c>
      <c r="F15380" s="34" t="n">
        <f aca="false">IFERROR(VLOOKUP($A15380,'319'!$B:$H,7,0),0)</f>
        <v>0</v>
      </c>
      <c r="G15380" s="34" t="n">
        <f aca="false">SUMIFS('12.326ana'!$C:$C,'12.326ana'!$M:$M,redes!A15380)</f>
        <v>0</v>
      </c>
    </row>
    <row r="15381" customFormat="false" ht="14.4" hidden="true" customHeight="false" outlineLevel="0" collapsed="false">
      <c r="A15381" s="34" t="n">
        <v>25680647000132</v>
      </c>
      <c r="B15381" s="34" t="s">
        <v>28610</v>
      </c>
      <c r="C15381" s="34" t="s">
        <v>89</v>
      </c>
      <c r="E15381" s="30" t="s">
        <v>28611</v>
      </c>
      <c r="F15381" s="34" t="n">
        <f aca="false">IFERROR(VLOOKUP($A15381,'319'!$B:$H,7,0),0)</f>
        <v>0</v>
      </c>
      <c r="G15381" s="34" t="n">
        <f aca="false">SUMIFS('12.326ana'!$C:$C,'12.326ana'!$M:$M,redes!A15381)</f>
        <v>0</v>
      </c>
    </row>
    <row r="15382" customFormat="false" ht="14.4" hidden="true" customHeight="false" outlineLevel="0" collapsed="false">
      <c r="A15382" s="34" t="n">
        <v>25680906000125</v>
      </c>
      <c r="B15382" s="34" t="s">
        <v>28612</v>
      </c>
      <c r="C15382" s="34" t="s">
        <v>77</v>
      </c>
      <c r="E15382" s="30" t="s">
        <v>28613</v>
      </c>
      <c r="F15382" s="34" t="n">
        <f aca="false">IFERROR(VLOOKUP($A15382,'319'!$B:$H,7,0),0)</f>
        <v>0</v>
      </c>
      <c r="G15382" s="34" t="n">
        <f aca="false">SUMIFS('12.326ana'!$C:$C,'12.326ana'!$M:$M,redes!A15382)</f>
        <v>0</v>
      </c>
    </row>
    <row r="15383" customFormat="false" ht="14.4" hidden="true" customHeight="false" outlineLevel="0" collapsed="false">
      <c r="A15383" s="34" t="n">
        <v>25781270000108</v>
      </c>
      <c r="B15383" s="34" t="s">
        <v>14915</v>
      </c>
      <c r="C15383" s="34" t="s">
        <v>475</v>
      </c>
      <c r="E15383" s="30" t="s">
        <v>16468</v>
      </c>
      <c r="F15383" s="34" t="n">
        <f aca="false">IFERROR(VLOOKUP($A15383,'319'!$B:$H,7,0),0)</f>
        <v>0</v>
      </c>
      <c r="G15383" s="34" t="n">
        <f aca="false">SUMIFS('12.326ana'!$C:$C,'12.326ana'!$M:$M,redes!A15383)</f>
        <v>0</v>
      </c>
    </row>
    <row r="15384" customFormat="false" ht="14.4" hidden="true" customHeight="false" outlineLevel="0" collapsed="false">
      <c r="A15384" s="34" t="n">
        <v>25888819000168</v>
      </c>
      <c r="B15384" s="34" t="s">
        <v>28614</v>
      </c>
      <c r="C15384" s="34" t="s">
        <v>565</v>
      </c>
      <c r="E15384" s="30" t="s">
        <v>28615</v>
      </c>
      <c r="F15384" s="34" t="n">
        <f aca="false">IFERROR(VLOOKUP($A15384,'319'!$B:$H,7,0),0)</f>
        <v>0</v>
      </c>
      <c r="G15384" s="34" t="n">
        <f aca="false">SUMIFS('12.326ana'!$C:$C,'12.326ana'!$M:$M,redes!A15384)</f>
        <v>0</v>
      </c>
    </row>
    <row r="15385" customFormat="false" ht="14.4" hidden="true" customHeight="false" outlineLevel="0" collapsed="false">
      <c r="A15385" s="34" t="n">
        <v>25934844000130</v>
      </c>
      <c r="B15385" s="34" t="s">
        <v>28616</v>
      </c>
      <c r="C15385" s="34" t="s">
        <v>979</v>
      </c>
      <c r="E15385" s="30" t="s">
        <v>28617</v>
      </c>
      <c r="F15385" s="34" t="n">
        <f aca="false">IFERROR(VLOOKUP($A15385,'319'!$B:$H,7,0),0)</f>
        <v>0</v>
      </c>
      <c r="G15385" s="34" t="n">
        <f aca="false">SUMIFS('12.326ana'!$C:$C,'12.326ana'!$M:$M,redes!A15385)</f>
        <v>0</v>
      </c>
    </row>
    <row r="15386" customFormat="false" ht="14.4" hidden="true" customHeight="false" outlineLevel="0" collapsed="false">
      <c r="A15386" s="34" t="n">
        <v>25968300000190</v>
      </c>
      <c r="B15386" s="34" t="s">
        <v>28618</v>
      </c>
      <c r="C15386" s="34" t="s">
        <v>77</v>
      </c>
      <c r="E15386" s="30" t="s">
        <v>28619</v>
      </c>
      <c r="F15386" s="34" t="n">
        <f aca="false">IFERROR(VLOOKUP($A15386,'319'!$B:$H,7,0),0)</f>
        <v>0</v>
      </c>
      <c r="G15386" s="34" t="n">
        <f aca="false">SUMIFS('12.326ana'!$C:$C,'12.326ana'!$M:$M,redes!A15386)</f>
        <v>0</v>
      </c>
    </row>
    <row r="15387" customFormat="false" ht="14.4" hidden="true" customHeight="false" outlineLevel="0" collapsed="false">
      <c r="A15387" s="34" t="n">
        <v>25971880000174</v>
      </c>
      <c r="B15387" s="34" t="s">
        <v>28620</v>
      </c>
      <c r="C15387" s="34" t="s">
        <v>89</v>
      </c>
      <c r="E15387" s="30" t="s">
        <v>28621</v>
      </c>
      <c r="F15387" s="34" t="n">
        <f aca="false">IFERROR(VLOOKUP($A15387,'319'!$B:$H,7,0),0)</f>
        <v>0</v>
      </c>
      <c r="G15387" s="34" t="n">
        <f aca="false">SUMIFS('12.326ana'!$C:$C,'12.326ana'!$M:$M,redes!A15387)</f>
        <v>0</v>
      </c>
    </row>
    <row r="15388" customFormat="false" ht="14.4" hidden="true" customHeight="false" outlineLevel="0" collapsed="false">
      <c r="A15388" s="34" t="n">
        <v>25989324000125</v>
      </c>
      <c r="B15388" s="34" t="s">
        <v>28622</v>
      </c>
      <c r="C15388" s="34" t="s">
        <v>77</v>
      </c>
      <c r="E15388" s="30" t="s">
        <v>28623</v>
      </c>
      <c r="F15388" s="34" t="n">
        <f aca="false">IFERROR(VLOOKUP($A15388,'319'!$B:$H,7,0),0)</f>
        <v>0</v>
      </c>
      <c r="G15388" s="34" t="n">
        <f aca="false">SUMIFS('12.326ana'!$C:$C,'12.326ana'!$M:$M,redes!A15388)</f>
        <v>0</v>
      </c>
    </row>
    <row r="15389" customFormat="false" ht="14.4" hidden="true" customHeight="false" outlineLevel="0" collapsed="false">
      <c r="A15389" s="34" t="n">
        <v>26010083000193</v>
      </c>
      <c r="B15389" s="34" t="s">
        <v>28624</v>
      </c>
      <c r="C15389" s="34" t="s">
        <v>107</v>
      </c>
      <c r="E15389" s="30" t="s">
        <v>4010</v>
      </c>
      <c r="F15389" s="34" t="n">
        <f aca="false">IFERROR(VLOOKUP($A15389,'319'!$B:$H,7,0),0)</f>
        <v>0</v>
      </c>
      <c r="G15389" s="34" t="n">
        <f aca="false">SUMIFS('12.326ana'!$C:$C,'12.326ana'!$M:$M,redes!A15389)</f>
        <v>0</v>
      </c>
    </row>
    <row r="15390" customFormat="false" ht="14.4" hidden="true" customHeight="false" outlineLevel="0" collapsed="false">
      <c r="A15390" s="34" t="n">
        <v>26010083000274</v>
      </c>
      <c r="B15390" s="34" t="s">
        <v>28624</v>
      </c>
      <c r="C15390" s="34" t="s">
        <v>107</v>
      </c>
      <c r="E15390" s="30" t="s">
        <v>17131</v>
      </c>
      <c r="F15390" s="34" t="n">
        <f aca="false">IFERROR(VLOOKUP($A15390,'319'!$B:$H,7,0),0)</f>
        <v>0</v>
      </c>
      <c r="G15390" s="34" t="n">
        <f aca="false">SUMIFS('12.326ana'!$C:$C,'12.326ana'!$M:$M,redes!A15390)</f>
        <v>0</v>
      </c>
    </row>
    <row r="15391" customFormat="false" ht="14.4" hidden="true" customHeight="false" outlineLevel="0" collapsed="false">
      <c r="A15391" s="34" t="n">
        <v>26020615000173</v>
      </c>
      <c r="B15391" s="34" t="s">
        <v>28625</v>
      </c>
      <c r="C15391" s="34" t="s">
        <v>77</v>
      </c>
      <c r="E15391" s="30" t="s">
        <v>28625</v>
      </c>
      <c r="F15391" s="34" t="n">
        <f aca="false">IFERROR(VLOOKUP($A15391,'319'!$B:$H,7,0),0)</f>
        <v>0</v>
      </c>
      <c r="G15391" s="34" t="n">
        <f aca="false">SUMIFS('12.326ana'!$C:$C,'12.326ana'!$M:$M,redes!A15391)</f>
        <v>0</v>
      </c>
    </row>
    <row r="15392" customFormat="false" ht="14.4" hidden="true" customHeight="false" outlineLevel="0" collapsed="false">
      <c r="A15392" s="34" t="n">
        <v>26022091000150</v>
      </c>
      <c r="B15392" s="34" t="s">
        <v>28626</v>
      </c>
      <c r="C15392" s="34" t="s">
        <v>631</v>
      </c>
      <c r="E15392" s="30" t="s">
        <v>28627</v>
      </c>
      <c r="F15392" s="34" t="n">
        <f aca="false">IFERROR(VLOOKUP($A15392,'319'!$B:$H,7,0),0)</f>
        <v>0</v>
      </c>
      <c r="G15392" s="34" t="n">
        <f aca="false">SUMIFS('12.326ana'!$C:$C,'12.326ana'!$M:$M,redes!A15392)</f>
        <v>0</v>
      </c>
    </row>
    <row r="15393" customFormat="false" ht="14.4" hidden="true" customHeight="false" outlineLevel="0" collapsed="false">
      <c r="A15393" s="34" t="n">
        <v>26029878000143</v>
      </c>
      <c r="B15393" s="34" t="s">
        <v>28628</v>
      </c>
      <c r="C15393" s="34" t="s">
        <v>77</v>
      </c>
      <c r="E15393" s="30" t="s">
        <v>28628</v>
      </c>
      <c r="F15393" s="34" t="n">
        <f aca="false">IFERROR(VLOOKUP($A15393,'319'!$B:$H,7,0),0)</f>
        <v>0</v>
      </c>
      <c r="G15393" s="34" t="n">
        <f aca="false">SUMIFS('12.326ana'!$C:$C,'12.326ana'!$M:$M,redes!A15393)</f>
        <v>0</v>
      </c>
    </row>
    <row r="15394" customFormat="false" ht="14.4" hidden="true" customHeight="false" outlineLevel="0" collapsed="false">
      <c r="A15394" s="34" t="n">
        <v>26031586000145</v>
      </c>
      <c r="B15394" s="34" t="s">
        <v>28629</v>
      </c>
      <c r="C15394" s="34" t="s">
        <v>192</v>
      </c>
      <c r="E15394" s="30" t="s">
        <v>28630</v>
      </c>
      <c r="F15394" s="34" t="n">
        <f aca="false">IFERROR(VLOOKUP($A15394,'319'!$B:$H,7,0),0)</f>
        <v>0</v>
      </c>
      <c r="G15394" s="34" t="n">
        <f aca="false">SUMIFS('12.326ana'!$C:$C,'12.326ana'!$M:$M,redes!A15394)</f>
        <v>0</v>
      </c>
    </row>
    <row r="15395" customFormat="false" ht="14.4" hidden="true" customHeight="false" outlineLevel="0" collapsed="false">
      <c r="A15395" s="34" t="n">
        <v>26042466000143</v>
      </c>
      <c r="B15395" s="34" t="s">
        <v>28631</v>
      </c>
      <c r="C15395" s="34" t="s">
        <v>89</v>
      </c>
      <c r="E15395" s="30" t="s">
        <v>3883</v>
      </c>
      <c r="F15395" s="34" t="n">
        <f aca="false">IFERROR(VLOOKUP($A15395,'319'!$B:$H,7,0),0)</f>
        <v>0</v>
      </c>
      <c r="G15395" s="34" t="n">
        <f aca="false">SUMIFS('12.326ana'!$C:$C,'12.326ana'!$M:$M,redes!A15395)</f>
        <v>0</v>
      </c>
    </row>
    <row r="15396" customFormat="false" ht="14.4" hidden="true" customHeight="false" outlineLevel="0" collapsed="false">
      <c r="A15396" s="34" t="n">
        <v>26051191000104</v>
      </c>
      <c r="B15396" s="34" t="s">
        <v>28632</v>
      </c>
      <c r="C15396" s="34" t="s">
        <v>89</v>
      </c>
      <c r="E15396" s="30" t="s">
        <v>28633</v>
      </c>
      <c r="F15396" s="34" t="n">
        <f aca="false">IFERROR(VLOOKUP($A15396,'319'!$B:$H,7,0),0)</f>
        <v>0</v>
      </c>
      <c r="G15396" s="34" t="n">
        <f aca="false">SUMIFS('12.326ana'!$C:$C,'12.326ana'!$M:$M,redes!A15396)</f>
        <v>0</v>
      </c>
    </row>
    <row r="15397" customFormat="false" ht="14.4" hidden="true" customHeight="false" outlineLevel="0" collapsed="false">
      <c r="A15397" s="34" t="n">
        <v>26058950000160</v>
      </c>
      <c r="B15397" s="34" t="s">
        <v>28634</v>
      </c>
      <c r="C15397" s="34" t="s">
        <v>463</v>
      </c>
      <c r="E15397" s="30" t="s">
        <v>28635</v>
      </c>
      <c r="F15397" s="34" t="n">
        <f aca="false">IFERROR(VLOOKUP($A15397,'319'!$B:$H,7,0),0)</f>
        <v>0</v>
      </c>
      <c r="G15397" s="34" t="n">
        <f aca="false">SUMIFS('12.326ana'!$C:$C,'12.326ana'!$M:$M,redes!A15397)</f>
        <v>0</v>
      </c>
    </row>
    <row r="15398" customFormat="false" ht="14.4" hidden="true" customHeight="false" outlineLevel="0" collapsed="false">
      <c r="A15398" s="34" t="n">
        <v>26065835000113</v>
      </c>
      <c r="B15398" s="34" t="s">
        <v>28636</v>
      </c>
      <c r="C15398" s="34" t="s">
        <v>737</v>
      </c>
      <c r="E15398" s="30" t="s">
        <v>4169</v>
      </c>
      <c r="F15398" s="34" t="n">
        <f aca="false">IFERROR(VLOOKUP($A15398,'319'!$B:$H,7,0),0)</f>
        <v>0</v>
      </c>
      <c r="G15398" s="34" t="n">
        <f aca="false">SUMIFS('12.326ana'!$C:$C,'12.326ana'!$M:$M,redes!A15398)</f>
        <v>0</v>
      </c>
    </row>
    <row r="15399" customFormat="false" ht="14.4" hidden="true" customHeight="false" outlineLevel="0" collapsed="false">
      <c r="A15399" s="34" t="n">
        <v>26066675000127</v>
      </c>
      <c r="B15399" s="34" t="s">
        <v>13359</v>
      </c>
      <c r="C15399" s="34" t="s">
        <v>77</v>
      </c>
      <c r="E15399" s="30" t="s">
        <v>28637</v>
      </c>
      <c r="F15399" s="34" t="n">
        <f aca="false">IFERROR(VLOOKUP($A15399,'319'!$B:$H,7,0),0)</f>
        <v>0</v>
      </c>
      <c r="G15399" s="34" t="n">
        <f aca="false">SUMIFS('12.326ana'!$C:$C,'12.326ana'!$M:$M,redes!A15399)</f>
        <v>0</v>
      </c>
    </row>
    <row r="15400" customFormat="false" ht="14.4" hidden="true" customHeight="false" outlineLevel="0" collapsed="false">
      <c r="A15400" s="34" t="n">
        <v>26069381000159</v>
      </c>
      <c r="B15400" s="34" t="s">
        <v>28638</v>
      </c>
      <c r="C15400" s="34" t="s">
        <v>299</v>
      </c>
      <c r="E15400" s="30" t="s">
        <v>7023</v>
      </c>
      <c r="F15400" s="34" t="n">
        <f aca="false">IFERROR(VLOOKUP($A15400,'319'!$B:$H,7,0),0)</f>
        <v>0</v>
      </c>
      <c r="G15400" s="34" t="n">
        <f aca="false">SUMIFS('12.326ana'!$C:$C,'12.326ana'!$M:$M,redes!A15400)</f>
        <v>0</v>
      </c>
    </row>
    <row r="15401" customFormat="false" ht="14.4" hidden="true" customHeight="false" outlineLevel="0" collapsed="false">
      <c r="A15401" s="34" t="n">
        <v>26091543000155</v>
      </c>
      <c r="B15401" s="34" t="s">
        <v>28639</v>
      </c>
      <c r="C15401" s="34" t="s">
        <v>77</v>
      </c>
      <c r="E15401" s="30" t="s">
        <v>23416</v>
      </c>
      <c r="F15401" s="34" t="n">
        <f aca="false">IFERROR(VLOOKUP($A15401,'319'!$B:$H,7,0),0)</f>
        <v>0</v>
      </c>
      <c r="G15401" s="34" t="n">
        <f aca="false">SUMIFS('12.326ana'!$C:$C,'12.326ana'!$M:$M,redes!A15401)</f>
        <v>0</v>
      </c>
    </row>
    <row r="15402" customFormat="false" ht="14.4" hidden="true" customHeight="false" outlineLevel="0" collapsed="false">
      <c r="A15402" s="34" t="n">
        <v>26094784000158</v>
      </c>
      <c r="B15402" s="34" t="s">
        <v>28640</v>
      </c>
      <c r="C15402" s="34" t="s">
        <v>935</v>
      </c>
      <c r="E15402" s="30" t="s">
        <v>22774</v>
      </c>
      <c r="F15402" s="34" t="n">
        <f aca="false">IFERROR(VLOOKUP($A15402,'319'!$B:$H,7,0),0)</f>
        <v>0</v>
      </c>
      <c r="G15402" s="34" t="n">
        <f aca="false">SUMIFS('12.326ana'!$C:$C,'12.326ana'!$M:$M,redes!A15402)</f>
        <v>0</v>
      </c>
    </row>
    <row r="15403" customFormat="false" ht="14.4" hidden="true" customHeight="false" outlineLevel="0" collapsed="false">
      <c r="A15403" s="34" t="n">
        <v>26101772000103</v>
      </c>
      <c r="B15403" s="34" t="s">
        <v>28641</v>
      </c>
      <c r="C15403" s="34" t="s">
        <v>473</v>
      </c>
      <c r="E15403" s="30" t="s">
        <v>5149</v>
      </c>
      <c r="F15403" s="34" t="n">
        <f aca="false">IFERROR(VLOOKUP($A15403,'319'!$B:$H,7,0),0)</f>
        <v>244.52</v>
      </c>
      <c r="G15403" s="34" t="n">
        <f aca="false">SUMIFS('12.326ana'!$C:$C,'12.326ana'!$M:$M,redes!A15403)</f>
        <v>0</v>
      </c>
    </row>
    <row r="15404" customFormat="false" ht="14.4" hidden="true" customHeight="false" outlineLevel="0" collapsed="false">
      <c r="A15404" s="34" t="n">
        <v>26103227000156</v>
      </c>
      <c r="B15404" s="34" t="s">
        <v>28642</v>
      </c>
      <c r="C15404" s="34" t="s">
        <v>139</v>
      </c>
      <c r="E15404" s="30" t="s">
        <v>28643</v>
      </c>
      <c r="F15404" s="34" t="n">
        <f aca="false">IFERROR(VLOOKUP($A15404,'319'!$B:$H,7,0),0)</f>
        <v>0</v>
      </c>
      <c r="G15404" s="34" t="n">
        <f aca="false">SUMIFS('12.326ana'!$C:$C,'12.326ana'!$M:$M,redes!A15404)</f>
        <v>0</v>
      </c>
    </row>
    <row r="15405" customFormat="false" ht="14.4" hidden="true" customHeight="false" outlineLevel="0" collapsed="false">
      <c r="A15405" s="34" t="n">
        <v>26103778000110</v>
      </c>
      <c r="B15405" s="34" t="s">
        <v>28644</v>
      </c>
      <c r="C15405" s="34" t="s">
        <v>139</v>
      </c>
      <c r="E15405" s="30" t="s">
        <v>28645</v>
      </c>
      <c r="F15405" s="34" t="n">
        <f aca="false">IFERROR(VLOOKUP($A15405,'319'!$B:$H,7,0),0)</f>
        <v>0</v>
      </c>
      <c r="G15405" s="34" t="n">
        <f aca="false">SUMIFS('12.326ana'!$C:$C,'12.326ana'!$M:$M,redes!A15405)</f>
        <v>0</v>
      </c>
    </row>
    <row r="15406" customFormat="false" ht="14.4" hidden="true" customHeight="false" outlineLevel="0" collapsed="false">
      <c r="A15406" s="34" t="n">
        <v>26104045000108</v>
      </c>
      <c r="B15406" s="34" t="s">
        <v>28646</v>
      </c>
      <c r="C15406" s="34" t="s">
        <v>77</v>
      </c>
      <c r="E15406" s="30" t="s">
        <v>6427</v>
      </c>
      <c r="F15406" s="34" t="n">
        <f aca="false">IFERROR(VLOOKUP($A15406,'319'!$B:$H,7,0),0)</f>
        <v>0</v>
      </c>
      <c r="G15406" s="34" t="n">
        <f aca="false">SUMIFS('12.326ana'!$C:$C,'12.326ana'!$M:$M,redes!A15406)</f>
        <v>0</v>
      </c>
    </row>
    <row r="15407" customFormat="false" ht="14.4" hidden="true" customHeight="false" outlineLevel="0" collapsed="false">
      <c r="A15407" s="34" t="n">
        <v>26104740000161</v>
      </c>
      <c r="B15407" s="34" t="s">
        <v>28647</v>
      </c>
      <c r="C15407" s="34" t="s">
        <v>77</v>
      </c>
      <c r="E15407" s="30" t="s">
        <v>28648</v>
      </c>
      <c r="F15407" s="34" t="n">
        <f aca="false">IFERROR(VLOOKUP($A15407,'319'!$B:$H,7,0),0)</f>
        <v>0</v>
      </c>
      <c r="G15407" s="34" t="n">
        <f aca="false">SUMIFS('12.326ana'!$C:$C,'12.326ana'!$M:$M,redes!A15407)</f>
        <v>0</v>
      </c>
    </row>
    <row r="15408" customFormat="false" ht="14.4" hidden="true" customHeight="false" outlineLevel="0" collapsed="false">
      <c r="A15408" s="34" t="n">
        <v>26123633000180</v>
      </c>
      <c r="B15408" s="34" t="s">
        <v>28649</v>
      </c>
      <c r="C15408" s="34" t="s">
        <v>107</v>
      </c>
      <c r="E15408" s="30" t="s">
        <v>28650</v>
      </c>
      <c r="F15408" s="34" t="n">
        <f aca="false">IFERROR(VLOOKUP($A15408,'319'!$B:$H,7,0),0)</f>
        <v>0</v>
      </c>
      <c r="G15408" s="34" t="n">
        <f aca="false">SUMIFS('12.326ana'!$C:$C,'12.326ana'!$M:$M,redes!A15408)</f>
        <v>0</v>
      </c>
    </row>
    <row r="15409" customFormat="false" ht="14.4" hidden="true" customHeight="false" outlineLevel="0" collapsed="false">
      <c r="A15409" s="34" t="n">
        <v>26134152000170</v>
      </c>
      <c r="B15409" s="34" t="s">
        <v>28651</v>
      </c>
      <c r="C15409" s="34" t="s">
        <v>107</v>
      </c>
      <c r="E15409" s="30" t="s">
        <v>28652</v>
      </c>
      <c r="F15409" s="34" t="n">
        <f aca="false">IFERROR(VLOOKUP($A15409,'319'!$B:$H,7,0),0)</f>
        <v>0</v>
      </c>
      <c r="G15409" s="34" t="n">
        <f aca="false">SUMIFS('12.326ana'!$C:$C,'12.326ana'!$M:$M,redes!A15409)</f>
        <v>0</v>
      </c>
    </row>
    <row r="15410" customFormat="false" ht="14.4" hidden="true" customHeight="false" outlineLevel="0" collapsed="false">
      <c r="A15410" s="34" t="n">
        <v>26143482000122</v>
      </c>
      <c r="B15410" s="34" t="s">
        <v>28653</v>
      </c>
      <c r="C15410" s="34" t="s">
        <v>309</v>
      </c>
      <c r="E15410" s="30" t="s">
        <v>21628</v>
      </c>
      <c r="F15410" s="34" t="n">
        <f aca="false">IFERROR(VLOOKUP($A15410,'319'!$B:$H,7,0),0)</f>
        <v>0</v>
      </c>
      <c r="G15410" s="34" t="n">
        <f aca="false">SUMIFS('12.326ana'!$C:$C,'12.326ana'!$M:$M,redes!A15410)</f>
        <v>0</v>
      </c>
    </row>
    <row r="15411" customFormat="false" ht="14.4" hidden="true" customHeight="false" outlineLevel="0" collapsed="false">
      <c r="A15411" s="34" t="n">
        <v>26145135000210</v>
      </c>
      <c r="B15411" s="34" t="s">
        <v>28654</v>
      </c>
      <c r="C15411" s="34" t="s">
        <v>77</v>
      </c>
      <c r="E15411" s="30" t="s">
        <v>28655</v>
      </c>
      <c r="F15411" s="34" t="n">
        <f aca="false">IFERROR(VLOOKUP($A15411,'319'!$B:$H,7,0),0)</f>
        <v>0</v>
      </c>
      <c r="G15411" s="34" t="n">
        <f aca="false">SUMIFS('12.326ana'!$C:$C,'12.326ana'!$M:$M,redes!A15411)</f>
        <v>0</v>
      </c>
    </row>
    <row r="15412" customFormat="false" ht="14.4" hidden="true" customHeight="false" outlineLevel="0" collapsed="false">
      <c r="A15412" s="34" t="n">
        <v>26155594000101</v>
      </c>
      <c r="B15412" s="34" t="s">
        <v>28656</v>
      </c>
      <c r="C15412" s="34" t="s">
        <v>77</v>
      </c>
      <c r="E15412" s="30" t="s">
        <v>18405</v>
      </c>
      <c r="F15412" s="34" t="n">
        <f aca="false">IFERROR(VLOOKUP($A15412,'319'!$B:$H,7,0),0)</f>
        <v>0</v>
      </c>
      <c r="G15412" s="34" t="n">
        <f aca="false">SUMIFS('12.326ana'!$C:$C,'12.326ana'!$M:$M,redes!A15412)</f>
        <v>0</v>
      </c>
    </row>
    <row r="15413" customFormat="false" ht="14.4" hidden="true" customHeight="false" outlineLevel="0" collapsed="false">
      <c r="A15413" s="34" t="n">
        <v>26162618000141</v>
      </c>
      <c r="B15413" s="34" t="s">
        <v>28657</v>
      </c>
      <c r="C15413" s="34" t="s">
        <v>103</v>
      </c>
      <c r="E15413" s="30" t="s">
        <v>3066</v>
      </c>
      <c r="F15413" s="34" t="n">
        <f aca="false">IFERROR(VLOOKUP($A15413,'319'!$B:$H,7,0),0)</f>
        <v>0</v>
      </c>
      <c r="G15413" s="34" t="n">
        <f aca="false">SUMIFS('12.326ana'!$C:$C,'12.326ana'!$M:$M,redes!A15413)</f>
        <v>0</v>
      </c>
    </row>
    <row r="15414" customFormat="false" ht="14.4" hidden="true" customHeight="false" outlineLevel="0" collapsed="false">
      <c r="A15414" s="34" t="n">
        <v>26168490000123</v>
      </c>
      <c r="B15414" s="34" t="s">
        <v>28658</v>
      </c>
      <c r="C15414" s="34" t="s">
        <v>77</v>
      </c>
      <c r="E15414" s="30" t="s">
        <v>28659</v>
      </c>
      <c r="F15414" s="34" t="n">
        <f aca="false">IFERROR(VLOOKUP($A15414,'319'!$B:$H,7,0),0)</f>
        <v>0</v>
      </c>
      <c r="G15414" s="34" t="n">
        <f aca="false">SUMIFS('12.326ana'!$C:$C,'12.326ana'!$M:$M,redes!A15414)</f>
        <v>0</v>
      </c>
    </row>
    <row r="15415" customFormat="false" ht="14.4" hidden="true" customHeight="false" outlineLevel="0" collapsed="false">
      <c r="A15415" s="34" t="n">
        <v>26173615000103</v>
      </c>
      <c r="B15415" s="34" t="s">
        <v>28660</v>
      </c>
      <c r="C15415" s="34" t="s">
        <v>107</v>
      </c>
      <c r="E15415" s="30" t="s">
        <v>28661</v>
      </c>
      <c r="F15415" s="34" t="n">
        <f aca="false">IFERROR(VLOOKUP($A15415,'319'!$B:$H,7,0),0)</f>
        <v>0</v>
      </c>
      <c r="G15415" s="34" t="n">
        <f aca="false">SUMIFS('12.326ana'!$C:$C,'12.326ana'!$M:$M,redes!A15415)</f>
        <v>0</v>
      </c>
    </row>
    <row r="15416" customFormat="false" ht="14.4" hidden="true" customHeight="false" outlineLevel="0" collapsed="false">
      <c r="A15416" s="34" t="n">
        <v>26180178000155</v>
      </c>
      <c r="B15416" s="34" t="s">
        <v>28662</v>
      </c>
      <c r="C15416" s="34" t="s">
        <v>77</v>
      </c>
      <c r="E15416" s="30" t="s">
        <v>28663</v>
      </c>
      <c r="F15416" s="34" t="n">
        <f aca="false">IFERROR(VLOOKUP($A15416,'319'!$B:$H,7,0),0)</f>
        <v>0</v>
      </c>
      <c r="G15416" s="34" t="n">
        <f aca="false">SUMIFS('12.326ana'!$C:$C,'12.326ana'!$M:$M,redes!A15416)</f>
        <v>0</v>
      </c>
    </row>
    <row r="15417" customFormat="false" ht="14.4" hidden="true" customHeight="false" outlineLevel="0" collapsed="false">
      <c r="A15417" s="34" t="n">
        <v>26180563000100</v>
      </c>
      <c r="B15417" s="34" t="s">
        <v>28664</v>
      </c>
      <c r="C15417" s="34" t="s">
        <v>107</v>
      </c>
      <c r="E15417" s="30" t="s">
        <v>28665</v>
      </c>
      <c r="F15417" s="34" t="n">
        <f aca="false">IFERROR(VLOOKUP($A15417,'319'!$B:$H,7,0),0)</f>
        <v>0</v>
      </c>
      <c r="G15417" s="34" t="n">
        <f aca="false">SUMIFS('12.326ana'!$C:$C,'12.326ana'!$M:$M,redes!A15417)</f>
        <v>0</v>
      </c>
    </row>
    <row r="15418" customFormat="false" ht="14.4" hidden="true" customHeight="false" outlineLevel="0" collapsed="false">
      <c r="A15418" s="34" t="n">
        <v>26183287000126</v>
      </c>
      <c r="B15418" s="34" t="s">
        <v>28666</v>
      </c>
      <c r="C15418" s="34" t="s">
        <v>562</v>
      </c>
      <c r="E15418" s="30" t="s">
        <v>6539</v>
      </c>
      <c r="F15418" s="34" t="n">
        <f aca="false">IFERROR(VLOOKUP($A15418,'319'!$B:$H,7,0),0)</f>
        <v>0</v>
      </c>
      <c r="G15418" s="34" t="n">
        <f aca="false">SUMIFS('12.326ana'!$C:$C,'12.326ana'!$M:$M,redes!A15418)</f>
        <v>0</v>
      </c>
    </row>
    <row r="15419" customFormat="false" ht="14.4" hidden="true" customHeight="false" outlineLevel="0" collapsed="false">
      <c r="A15419" s="34" t="n">
        <v>26189470000139</v>
      </c>
      <c r="B15419" s="34" t="s">
        <v>28667</v>
      </c>
      <c r="C15419" s="34" t="s">
        <v>598</v>
      </c>
      <c r="E15419" s="30" t="s">
        <v>793</v>
      </c>
      <c r="F15419" s="34" t="n">
        <f aca="false">IFERROR(VLOOKUP($A15419,'319'!$B:$H,7,0),0)</f>
        <v>253.51</v>
      </c>
      <c r="G15419" s="34" t="n">
        <f aca="false">SUMIFS('12.326ana'!$C:$C,'12.326ana'!$M:$M,redes!A15419)</f>
        <v>0</v>
      </c>
    </row>
    <row r="15420" customFormat="false" ht="14.4" hidden="true" customHeight="false" outlineLevel="0" collapsed="false">
      <c r="A15420" s="34" t="n">
        <v>26192239000102</v>
      </c>
      <c r="B15420" s="34" t="s">
        <v>28668</v>
      </c>
      <c r="C15420" s="34" t="s">
        <v>107</v>
      </c>
      <c r="E15420" s="30"/>
      <c r="F15420" s="34" t="n">
        <f aca="false">IFERROR(VLOOKUP($A15420,'319'!$B:$H,7,0),0)</f>
        <v>0</v>
      </c>
      <c r="G15420" s="34" t="n">
        <f aca="false">SUMIFS('12.326ana'!$C:$C,'12.326ana'!$M:$M,redes!A15420)</f>
        <v>0</v>
      </c>
    </row>
    <row r="15421" customFormat="false" ht="14.4" hidden="true" customHeight="false" outlineLevel="0" collapsed="false">
      <c r="A15421" s="34" t="n">
        <v>26197027000100</v>
      </c>
      <c r="B15421" s="34" t="s">
        <v>28669</v>
      </c>
      <c r="C15421" s="34" t="s">
        <v>77</v>
      </c>
      <c r="E15421" s="30" t="s">
        <v>3045</v>
      </c>
      <c r="F15421" s="34" t="n">
        <f aca="false">IFERROR(VLOOKUP($A15421,'319'!$B:$H,7,0),0)</f>
        <v>0</v>
      </c>
      <c r="G15421" s="34" t="n">
        <f aca="false">SUMIFS('12.326ana'!$C:$C,'12.326ana'!$M:$M,redes!A15421)</f>
        <v>0</v>
      </c>
    </row>
    <row r="15422" customFormat="false" ht="14.4" hidden="true" customHeight="false" outlineLevel="0" collapsed="false">
      <c r="A15422" s="34" t="n">
        <v>26199704000129</v>
      </c>
      <c r="B15422" s="34" t="s">
        <v>28670</v>
      </c>
      <c r="C15422" s="34" t="s">
        <v>192</v>
      </c>
      <c r="E15422" s="30" t="s">
        <v>28671</v>
      </c>
      <c r="F15422" s="34" t="n">
        <f aca="false">IFERROR(VLOOKUP($A15422,'319'!$B:$H,7,0),0)</f>
        <v>0</v>
      </c>
      <c r="G15422" s="34" t="n">
        <f aca="false">SUMIFS('12.326ana'!$C:$C,'12.326ana'!$M:$M,redes!A15422)</f>
        <v>0</v>
      </c>
    </row>
    <row r="15423" customFormat="false" ht="14.4" hidden="true" customHeight="false" outlineLevel="0" collapsed="false">
      <c r="A15423" s="35" t="n">
        <v>26200038000100</v>
      </c>
      <c r="B15423" s="34" t="s">
        <v>28672</v>
      </c>
      <c r="C15423" s="34" t="s">
        <v>107</v>
      </c>
      <c r="E15423" s="30" t="s">
        <v>28673</v>
      </c>
      <c r="F15423" s="34" t="n">
        <f aca="false">IFERROR(VLOOKUP($A15423,'319'!$B:$H,7,0),0)</f>
        <v>0</v>
      </c>
      <c r="G15423" s="34" t="n">
        <f aca="false">SUMIFS('12.326ana'!$C:$C,'12.326ana'!$M:$M,redes!A15423)</f>
        <v>0</v>
      </c>
    </row>
    <row r="15424" customFormat="false" ht="14.4" hidden="true" customHeight="false" outlineLevel="0" collapsed="false">
      <c r="A15424" s="34" t="n">
        <v>26200589000165</v>
      </c>
      <c r="B15424" s="34" t="s">
        <v>28674</v>
      </c>
      <c r="C15424" s="34" t="s">
        <v>107</v>
      </c>
      <c r="E15424" s="30" t="s">
        <v>28675</v>
      </c>
      <c r="F15424" s="34" t="n">
        <f aca="false">IFERROR(VLOOKUP($A15424,'319'!$B:$H,7,0),0)</f>
        <v>0</v>
      </c>
      <c r="G15424" s="34" t="n">
        <f aca="false">SUMIFS('12.326ana'!$C:$C,'12.326ana'!$M:$M,redes!A15424)</f>
        <v>0</v>
      </c>
    </row>
    <row r="15425" customFormat="false" ht="14.4" hidden="true" customHeight="false" outlineLevel="0" collapsed="false">
      <c r="A15425" s="34" t="n">
        <v>26205324000150</v>
      </c>
      <c r="B15425" s="34" t="s">
        <v>28676</v>
      </c>
      <c r="C15425" s="34" t="s">
        <v>77</v>
      </c>
      <c r="E15425" s="30" t="s">
        <v>28677</v>
      </c>
      <c r="F15425" s="34" t="n">
        <f aca="false">IFERROR(VLOOKUP($A15425,'319'!$B:$H,7,0),0)</f>
        <v>0</v>
      </c>
      <c r="G15425" s="34" t="n">
        <f aca="false">SUMIFS('12.326ana'!$C:$C,'12.326ana'!$M:$M,redes!A15425)</f>
        <v>0</v>
      </c>
    </row>
    <row r="15426" customFormat="false" ht="14.4" hidden="true" customHeight="false" outlineLevel="0" collapsed="false">
      <c r="A15426" s="34" t="n">
        <v>26208548000115</v>
      </c>
      <c r="B15426" s="34" t="s">
        <v>28678</v>
      </c>
      <c r="C15426" s="34" t="s">
        <v>107</v>
      </c>
      <c r="E15426" s="30" t="s">
        <v>28679</v>
      </c>
      <c r="F15426" s="34" t="n">
        <f aca="false">IFERROR(VLOOKUP($A15426,'319'!$B:$H,7,0),0)</f>
        <v>0</v>
      </c>
      <c r="G15426" s="34" t="n">
        <f aca="false">SUMIFS('12.326ana'!$C:$C,'12.326ana'!$M:$M,redes!A15426)</f>
        <v>0</v>
      </c>
    </row>
    <row r="15427" customFormat="false" ht="14.4" hidden="true" customHeight="false" outlineLevel="0" collapsed="false">
      <c r="A15427" s="34" t="n">
        <v>26217555000183</v>
      </c>
      <c r="B15427" s="34" t="s">
        <v>28680</v>
      </c>
      <c r="C15427" s="34" t="s">
        <v>77</v>
      </c>
      <c r="E15427" s="30" t="s">
        <v>28681</v>
      </c>
      <c r="F15427" s="34" t="n">
        <f aca="false">IFERROR(VLOOKUP($A15427,'319'!$B:$H,7,0),0)</f>
        <v>382.77</v>
      </c>
      <c r="G15427" s="34" t="n">
        <f aca="false">SUMIFS('12.326ana'!$C:$C,'12.326ana'!$M:$M,redes!A15427)</f>
        <v>0</v>
      </c>
    </row>
    <row r="15428" customFormat="false" ht="14.4" hidden="true" customHeight="false" outlineLevel="0" collapsed="false">
      <c r="A15428" s="34" t="n">
        <v>26219442000117</v>
      </c>
      <c r="B15428" s="34" t="s">
        <v>28682</v>
      </c>
      <c r="C15428" s="34" t="s">
        <v>139</v>
      </c>
      <c r="E15428" s="30" t="s">
        <v>16634</v>
      </c>
      <c r="F15428" s="34" t="n">
        <f aca="false">IFERROR(VLOOKUP($A15428,'319'!$B:$H,7,0),0)</f>
        <v>0</v>
      </c>
      <c r="G15428" s="34" t="n">
        <f aca="false">SUMIFS('12.326ana'!$C:$C,'12.326ana'!$M:$M,redes!A15428)</f>
        <v>0</v>
      </c>
    </row>
    <row r="15429" customFormat="false" ht="14.4" hidden="true" customHeight="false" outlineLevel="0" collapsed="false">
      <c r="A15429" s="34" t="n">
        <v>26223849000118</v>
      </c>
      <c r="B15429" s="34" t="s">
        <v>28683</v>
      </c>
      <c r="C15429" s="34" t="s">
        <v>737</v>
      </c>
      <c r="E15429" s="30" t="s">
        <v>28684</v>
      </c>
      <c r="F15429" s="34" t="n">
        <f aca="false">IFERROR(VLOOKUP($A15429,'319'!$B:$H,7,0),0)</f>
        <v>0</v>
      </c>
      <c r="G15429" s="34" t="n">
        <f aca="false">SUMIFS('12.326ana'!$C:$C,'12.326ana'!$M:$M,redes!A15429)</f>
        <v>0</v>
      </c>
    </row>
    <row r="15430" customFormat="false" ht="14.4" hidden="true" customHeight="false" outlineLevel="0" collapsed="false">
      <c r="A15430" s="34" t="n">
        <v>26232673000160</v>
      </c>
      <c r="B15430" s="34" t="s">
        <v>28685</v>
      </c>
      <c r="C15430" s="34" t="s">
        <v>139</v>
      </c>
      <c r="E15430" s="30" t="s">
        <v>28686</v>
      </c>
      <c r="F15430" s="34" t="n">
        <f aca="false">IFERROR(VLOOKUP($A15430,'319'!$B:$H,7,0),0)</f>
        <v>0</v>
      </c>
      <c r="G15430" s="34" t="n">
        <f aca="false">SUMIFS('12.326ana'!$C:$C,'12.326ana'!$M:$M,redes!A15430)</f>
        <v>0</v>
      </c>
    </row>
    <row r="15431" customFormat="false" ht="14.4" hidden="true" customHeight="false" outlineLevel="0" collapsed="false">
      <c r="A15431" s="34" t="n">
        <v>26235260000130</v>
      </c>
      <c r="B15431" s="34" t="s">
        <v>28687</v>
      </c>
      <c r="C15431" s="34" t="s">
        <v>77</v>
      </c>
      <c r="E15431" s="30" t="s">
        <v>28688</v>
      </c>
      <c r="F15431" s="34" t="n">
        <f aca="false">IFERROR(VLOOKUP($A15431,'319'!$B:$H,7,0),0)</f>
        <v>0</v>
      </c>
      <c r="G15431" s="34" t="n">
        <f aca="false">SUMIFS('12.326ana'!$C:$C,'12.326ana'!$M:$M,redes!A15431)</f>
        <v>0</v>
      </c>
    </row>
    <row r="15432" customFormat="false" ht="14.4" hidden="true" customHeight="false" outlineLevel="0" collapsed="false">
      <c r="A15432" s="34" t="n">
        <v>26242911000119</v>
      </c>
      <c r="B15432" s="34" t="s">
        <v>28689</v>
      </c>
      <c r="C15432" s="34" t="s">
        <v>107</v>
      </c>
      <c r="E15432" s="30" t="s">
        <v>28690</v>
      </c>
      <c r="F15432" s="34" t="n">
        <f aca="false">IFERROR(VLOOKUP($A15432,'319'!$B:$H,7,0),0)</f>
        <v>0</v>
      </c>
      <c r="G15432" s="34" t="n">
        <f aca="false">SUMIFS('12.326ana'!$C:$C,'12.326ana'!$M:$M,redes!A15432)</f>
        <v>0</v>
      </c>
    </row>
    <row r="15433" customFormat="false" ht="14.4" hidden="true" customHeight="false" outlineLevel="0" collapsed="false">
      <c r="A15433" s="34" t="n">
        <v>26244432000131</v>
      </c>
      <c r="B15433" s="34" t="s">
        <v>28691</v>
      </c>
      <c r="C15433" s="34" t="s">
        <v>77</v>
      </c>
      <c r="E15433" s="30" t="s">
        <v>28692</v>
      </c>
      <c r="F15433" s="34" t="n">
        <f aca="false">IFERROR(VLOOKUP($A15433,'319'!$B:$H,7,0),0)</f>
        <v>0</v>
      </c>
      <c r="G15433" s="34" t="n">
        <f aca="false">SUMIFS('12.326ana'!$C:$C,'12.326ana'!$M:$M,redes!A15433)</f>
        <v>0</v>
      </c>
    </row>
    <row r="15434" customFormat="false" ht="14.4" hidden="true" customHeight="false" outlineLevel="0" collapsed="false">
      <c r="A15434" s="34" t="n">
        <v>26253482000185</v>
      </c>
      <c r="B15434" s="34" t="s">
        <v>28693</v>
      </c>
      <c r="C15434" s="34" t="s">
        <v>77</v>
      </c>
      <c r="E15434" s="30" t="s">
        <v>28694</v>
      </c>
      <c r="F15434" s="34" t="n">
        <f aca="false">IFERROR(VLOOKUP($A15434,'319'!$B:$H,7,0),0)</f>
        <v>0</v>
      </c>
      <c r="G15434" s="34" t="n">
        <f aca="false">SUMIFS('12.326ana'!$C:$C,'12.326ana'!$M:$M,redes!A15434)</f>
        <v>0</v>
      </c>
    </row>
    <row r="15435" customFormat="false" ht="14.4" hidden="true" customHeight="false" outlineLevel="0" collapsed="false">
      <c r="A15435" s="34" t="n">
        <v>26259617000110</v>
      </c>
      <c r="B15435" s="34" t="s">
        <v>28695</v>
      </c>
      <c r="C15435" s="34" t="s">
        <v>77</v>
      </c>
      <c r="E15435" s="30" t="s">
        <v>28696</v>
      </c>
      <c r="F15435" s="34" t="n">
        <f aca="false">IFERROR(VLOOKUP($A15435,'319'!$B:$H,7,0),0)</f>
        <v>0</v>
      </c>
      <c r="G15435" s="34" t="n">
        <f aca="false">SUMIFS('12.326ana'!$C:$C,'12.326ana'!$M:$M,redes!A15435)</f>
        <v>0</v>
      </c>
    </row>
    <row r="15436" customFormat="false" ht="14.4" hidden="true" customHeight="false" outlineLevel="0" collapsed="false">
      <c r="A15436" s="34" t="n">
        <v>26262637000140</v>
      </c>
      <c r="B15436" s="34" t="s">
        <v>28697</v>
      </c>
      <c r="C15436" s="34" t="s">
        <v>77</v>
      </c>
      <c r="E15436" s="30" t="s">
        <v>28698</v>
      </c>
      <c r="F15436" s="34" t="n">
        <f aca="false">IFERROR(VLOOKUP($A15436,'319'!$B:$H,7,0),0)</f>
        <v>0</v>
      </c>
      <c r="G15436" s="34" t="n">
        <f aca="false">SUMIFS('12.326ana'!$C:$C,'12.326ana'!$M:$M,redes!A15436)</f>
        <v>0</v>
      </c>
    </row>
    <row r="15437" customFormat="false" ht="14.4" hidden="true" customHeight="false" outlineLevel="0" collapsed="false">
      <c r="A15437" s="34" t="n">
        <v>26271231000123</v>
      </c>
      <c r="B15437" s="34" t="s">
        <v>28699</v>
      </c>
      <c r="C15437" s="34" t="s">
        <v>77</v>
      </c>
      <c r="E15437" s="30" t="s">
        <v>10663</v>
      </c>
      <c r="F15437" s="34" t="n">
        <f aca="false">IFERROR(VLOOKUP($A15437,'319'!$B:$H,7,0),0)</f>
        <v>0</v>
      </c>
      <c r="G15437" s="34" t="n">
        <f aca="false">SUMIFS('12.326ana'!$C:$C,'12.326ana'!$M:$M,redes!A15437)</f>
        <v>0</v>
      </c>
    </row>
    <row r="15438" customFormat="false" ht="14.4" hidden="true" customHeight="false" outlineLevel="0" collapsed="false">
      <c r="A15438" s="34" t="n">
        <v>26281829000101</v>
      </c>
      <c r="B15438" s="34" t="s">
        <v>28700</v>
      </c>
      <c r="C15438" s="34" t="s">
        <v>107</v>
      </c>
      <c r="E15438" s="30" t="s">
        <v>28701</v>
      </c>
      <c r="F15438" s="34" t="n">
        <f aca="false">IFERROR(VLOOKUP($A15438,'319'!$B:$H,7,0),0)</f>
        <v>0</v>
      </c>
      <c r="G15438" s="34" t="n">
        <f aca="false">SUMIFS('12.326ana'!$C:$C,'12.326ana'!$M:$M,redes!A15438)</f>
        <v>0</v>
      </c>
    </row>
    <row r="15439" customFormat="false" ht="14.4" hidden="true" customHeight="false" outlineLevel="0" collapsed="false">
      <c r="A15439" s="34" t="n">
        <v>26289360000149</v>
      </c>
      <c r="B15439" s="34" t="s">
        <v>28702</v>
      </c>
      <c r="C15439" s="34" t="s">
        <v>463</v>
      </c>
      <c r="D15439" s="34" t="s">
        <v>14479</v>
      </c>
      <c r="E15439" s="30" t="s">
        <v>14480</v>
      </c>
      <c r="F15439" s="34" t="n">
        <f aca="false">IFERROR(VLOOKUP($A15439,'319'!$B:$H,7,0),0)</f>
        <v>0</v>
      </c>
      <c r="G15439" s="34" t="n">
        <f aca="false">SUMIFS('12.326ana'!$C:$C,'12.326ana'!$M:$M,redes!A15439)</f>
        <v>0</v>
      </c>
    </row>
    <row r="15440" customFormat="false" ht="14.4" hidden="true" customHeight="false" outlineLevel="0" collapsed="false">
      <c r="A15440" s="34" t="n">
        <v>26306549000100</v>
      </c>
      <c r="B15440" s="34" t="s">
        <v>28703</v>
      </c>
      <c r="C15440" s="34" t="s">
        <v>89</v>
      </c>
      <c r="E15440" s="30" t="s">
        <v>28704</v>
      </c>
      <c r="F15440" s="34" t="n">
        <f aca="false">IFERROR(VLOOKUP($A15440,'319'!$B:$H,7,0),0)</f>
        <v>0</v>
      </c>
      <c r="G15440" s="34" t="n">
        <f aca="false">SUMIFS('12.326ana'!$C:$C,'12.326ana'!$M:$M,redes!A15440)</f>
        <v>0</v>
      </c>
    </row>
    <row r="15441" customFormat="false" ht="14.4" hidden="true" customHeight="false" outlineLevel="0" collapsed="false">
      <c r="A15441" s="34" t="n">
        <v>26307036000106</v>
      </c>
      <c r="B15441" s="34" t="s">
        <v>28705</v>
      </c>
      <c r="C15441" s="34" t="s">
        <v>1272</v>
      </c>
      <c r="E15441" s="30" t="s">
        <v>23020</v>
      </c>
      <c r="F15441" s="34" t="n">
        <f aca="false">IFERROR(VLOOKUP($A15441,'319'!$B:$H,7,0),0)</f>
        <v>0</v>
      </c>
      <c r="G15441" s="34" t="n">
        <f aca="false">SUMIFS('12.326ana'!$C:$C,'12.326ana'!$M:$M,redes!A15441)</f>
        <v>0</v>
      </c>
    </row>
    <row r="15442" customFormat="false" ht="14.4" hidden="true" customHeight="false" outlineLevel="0" collapsed="false">
      <c r="A15442" s="34" t="n">
        <v>26307511000144</v>
      </c>
      <c r="B15442" s="34" t="s">
        <v>28706</v>
      </c>
      <c r="C15442" s="34" t="s">
        <v>77</v>
      </c>
      <c r="E15442" s="30" t="s">
        <v>28707</v>
      </c>
      <c r="F15442" s="34" t="n">
        <f aca="false">IFERROR(VLOOKUP($A15442,'319'!$B:$H,7,0),0)</f>
        <v>0</v>
      </c>
      <c r="G15442" s="34" t="n">
        <f aca="false">SUMIFS('12.326ana'!$C:$C,'12.326ana'!$M:$M,redes!A15442)</f>
        <v>0</v>
      </c>
    </row>
    <row r="15443" customFormat="false" ht="14.4" hidden="true" customHeight="false" outlineLevel="0" collapsed="false">
      <c r="A15443" s="34" t="n">
        <v>26315802000184</v>
      </c>
      <c r="B15443" s="34" t="s">
        <v>28708</v>
      </c>
      <c r="C15443" s="34" t="s">
        <v>77</v>
      </c>
      <c r="E15443" s="30" t="s">
        <v>28709</v>
      </c>
      <c r="F15443" s="34" t="n">
        <f aca="false">IFERROR(VLOOKUP($A15443,'319'!$B:$H,7,0),0)</f>
        <v>0</v>
      </c>
      <c r="G15443" s="34" t="n">
        <f aca="false">SUMIFS('12.326ana'!$C:$C,'12.326ana'!$M:$M,redes!A15443)</f>
        <v>0</v>
      </c>
    </row>
    <row r="15444" customFormat="false" ht="14.4" hidden="true" customHeight="false" outlineLevel="0" collapsed="false">
      <c r="A15444" s="34" t="n">
        <v>26316642000198</v>
      </c>
      <c r="B15444" s="34" t="s">
        <v>28710</v>
      </c>
      <c r="C15444" s="34" t="s">
        <v>77</v>
      </c>
      <c r="E15444" s="30" t="s">
        <v>28711</v>
      </c>
      <c r="F15444" s="34" t="n">
        <f aca="false">IFERROR(VLOOKUP($A15444,'319'!$B:$H,7,0),0)</f>
        <v>0</v>
      </c>
      <c r="G15444" s="34" t="n">
        <f aca="false">SUMIFS('12.326ana'!$C:$C,'12.326ana'!$M:$M,redes!A15444)</f>
        <v>0</v>
      </c>
    </row>
    <row r="15445" customFormat="false" ht="14.4" hidden="true" customHeight="false" outlineLevel="0" collapsed="false">
      <c r="A15445" s="34" t="n">
        <v>26316914000150</v>
      </c>
      <c r="B15445" s="34" t="s">
        <v>28712</v>
      </c>
      <c r="C15445" s="34" t="s">
        <v>192</v>
      </c>
      <c r="E15445" s="30" t="s">
        <v>5149</v>
      </c>
      <c r="F15445" s="34" t="n">
        <f aca="false">IFERROR(VLOOKUP($A15445,'319'!$B:$H,7,0),0)</f>
        <v>0</v>
      </c>
      <c r="G15445" s="34" t="n">
        <f aca="false">SUMIFS('12.326ana'!$C:$C,'12.326ana'!$M:$M,redes!A15445)</f>
        <v>0</v>
      </c>
    </row>
    <row r="15446" customFormat="false" ht="14.4" hidden="true" customHeight="false" outlineLevel="0" collapsed="false">
      <c r="A15446" s="34" t="n">
        <v>26317385000109</v>
      </c>
      <c r="B15446" s="34" t="s">
        <v>28713</v>
      </c>
      <c r="C15446" s="34" t="s">
        <v>967</v>
      </c>
      <c r="E15446" s="30" t="s">
        <v>28714</v>
      </c>
      <c r="F15446" s="34" t="n">
        <f aca="false">IFERROR(VLOOKUP($A15446,'319'!$B:$H,7,0),0)</f>
        <v>0</v>
      </c>
      <c r="G15446" s="34" t="n">
        <f aca="false">SUMIFS('12.326ana'!$C:$C,'12.326ana'!$M:$M,redes!A15446)</f>
        <v>0</v>
      </c>
    </row>
    <row r="15447" customFormat="false" ht="14.4" hidden="true" customHeight="false" outlineLevel="0" collapsed="false">
      <c r="A15447" s="34" t="n">
        <v>26328458000168</v>
      </c>
      <c r="B15447" s="34" t="s">
        <v>28715</v>
      </c>
      <c r="C15447" s="34" t="s">
        <v>77</v>
      </c>
      <c r="E15447" s="30" t="s">
        <v>28716</v>
      </c>
      <c r="F15447" s="34" t="n">
        <f aca="false">IFERROR(VLOOKUP($A15447,'319'!$B:$H,7,0),0)</f>
        <v>0</v>
      </c>
      <c r="G15447" s="34" t="n">
        <f aca="false">SUMIFS('12.326ana'!$C:$C,'12.326ana'!$M:$M,redes!A15447)</f>
        <v>0</v>
      </c>
    </row>
    <row r="15448" customFormat="false" ht="14.4" hidden="true" customHeight="false" outlineLevel="0" collapsed="false">
      <c r="A15448" s="34" t="n">
        <v>26344005000125</v>
      </c>
      <c r="B15448" s="34" t="s">
        <v>28717</v>
      </c>
      <c r="C15448" s="34" t="s">
        <v>1602</v>
      </c>
      <c r="E15448" s="30" t="s">
        <v>28718</v>
      </c>
      <c r="F15448" s="34" t="n">
        <f aca="false">IFERROR(VLOOKUP($A15448,'319'!$B:$H,7,0),0)</f>
        <v>0</v>
      </c>
      <c r="G15448" s="34" t="n">
        <f aca="false">SUMIFS('12.326ana'!$C:$C,'12.326ana'!$M:$M,redes!A15448)</f>
        <v>0</v>
      </c>
    </row>
    <row r="15449" customFormat="false" ht="14.4" hidden="true" customHeight="false" outlineLevel="0" collapsed="false">
      <c r="A15449" s="34" t="n">
        <v>26344103000162</v>
      </c>
      <c r="B15449" s="34" t="s">
        <v>28719</v>
      </c>
      <c r="C15449" s="34" t="s">
        <v>77</v>
      </c>
      <c r="E15449" s="30" t="s">
        <v>28720</v>
      </c>
      <c r="F15449" s="34" t="n">
        <f aca="false">IFERROR(VLOOKUP($A15449,'319'!$B:$H,7,0),0)</f>
        <v>0</v>
      </c>
      <c r="G15449" s="34" t="n">
        <f aca="false">SUMIFS('12.326ana'!$C:$C,'12.326ana'!$M:$M,redes!A15449)</f>
        <v>0</v>
      </c>
    </row>
    <row r="15450" customFormat="false" ht="14.4" hidden="true" customHeight="false" outlineLevel="0" collapsed="false">
      <c r="A15450" s="34" t="n">
        <v>26352744000169</v>
      </c>
      <c r="B15450" s="34" t="s">
        <v>28721</v>
      </c>
      <c r="C15450" s="34" t="s">
        <v>89</v>
      </c>
      <c r="E15450" s="30" t="s">
        <v>28722</v>
      </c>
      <c r="F15450" s="34" t="n">
        <f aca="false">IFERROR(VLOOKUP($A15450,'319'!$B:$H,7,0),0)</f>
        <v>0</v>
      </c>
      <c r="G15450" s="34" t="n">
        <f aca="false">SUMIFS('12.326ana'!$C:$C,'12.326ana'!$M:$M,redes!A15450)</f>
        <v>0</v>
      </c>
    </row>
    <row r="15451" customFormat="false" ht="14.4" hidden="true" customHeight="false" outlineLevel="0" collapsed="false">
      <c r="A15451" s="34" t="n">
        <v>26352910000127</v>
      </c>
      <c r="B15451" s="34" t="s">
        <v>28723</v>
      </c>
      <c r="C15451" s="34" t="s">
        <v>631</v>
      </c>
      <c r="E15451" s="30" t="s">
        <v>28724</v>
      </c>
      <c r="F15451" s="34" t="n">
        <f aca="false">IFERROR(VLOOKUP($A15451,'319'!$B:$H,7,0),0)</f>
        <v>0</v>
      </c>
      <c r="G15451" s="34" t="n">
        <f aca="false">SUMIFS('12.326ana'!$C:$C,'12.326ana'!$M:$M,redes!A15451)</f>
        <v>0</v>
      </c>
    </row>
    <row r="15452" customFormat="false" ht="14.4" hidden="true" customHeight="false" outlineLevel="0" collapsed="false">
      <c r="A15452" s="34" t="n">
        <v>26362562000179</v>
      </c>
      <c r="B15452" s="34" t="s">
        <v>28725</v>
      </c>
      <c r="C15452" s="34" t="s">
        <v>77</v>
      </c>
      <c r="E15452" s="30" t="s">
        <v>28725</v>
      </c>
      <c r="F15452" s="34" t="n">
        <f aca="false">IFERROR(VLOOKUP($A15452,'319'!$B:$H,7,0),0)</f>
        <v>0</v>
      </c>
      <c r="G15452" s="34" t="n">
        <f aca="false">SUMIFS('12.326ana'!$C:$C,'12.326ana'!$M:$M,redes!A15452)</f>
        <v>0</v>
      </c>
    </row>
    <row r="15453" customFormat="false" ht="14.4" hidden="true" customHeight="false" outlineLevel="0" collapsed="false">
      <c r="A15453" s="34" t="n">
        <v>26370717000119</v>
      </c>
      <c r="B15453" s="34" t="s">
        <v>28726</v>
      </c>
      <c r="C15453" s="34" t="s">
        <v>107</v>
      </c>
      <c r="E15453" s="30" t="s">
        <v>28727</v>
      </c>
      <c r="F15453" s="34" t="n">
        <f aca="false">IFERROR(VLOOKUP($A15453,'319'!$B:$H,7,0),0)</f>
        <v>0</v>
      </c>
      <c r="G15453" s="34" t="n">
        <f aca="false">SUMIFS('12.326ana'!$C:$C,'12.326ana'!$M:$M,redes!A15453)</f>
        <v>0</v>
      </c>
    </row>
    <row r="15454" customFormat="false" ht="14.4" hidden="true" customHeight="false" outlineLevel="0" collapsed="false">
      <c r="A15454" s="34" t="n">
        <v>26371725000180</v>
      </c>
      <c r="B15454" s="34" t="s">
        <v>28728</v>
      </c>
      <c r="C15454" s="34" t="s">
        <v>328</v>
      </c>
      <c r="E15454" s="30" t="s">
        <v>28729</v>
      </c>
      <c r="F15454" s="34" t="n">
        <f aca="false">IFERROR(VLOOKUP($A15454,'319'!$B:$H,7,0),0)</f>
        <v>0</v>
      </c>
      <c r="G15454" s="34" t="n">
        <f aca="false">SUMIFS('12.326ana'!$C:$C,'12.326ana'!$M:$M,redes!A15454)</f>
        <v>0</v>
      </c>
    </row>
    <row r="15455" customFormat="false" ht="14.4" hidden="true" customHeight="false" outlineLevel="0" collapsed="false">
      <c r="A15455" s="34" t="n">
        <v>26377778000108</v>
      </c>
      <c r="B15455" s="34" t="s">
        <v>28730</v>
      </c>
      <c r="C15455" s="34" t="s">
        <v>631</v>
      </c>
      <c r="E15455" s="30" t="s">
        <v>28731</v>
      </c>
      <c r="F15455" s="34" t="n">
        <f aca="false">IFERROR(VLOOKUP($A15455,'319'!$B:$H,7,0),0)</f>
        <v>0</v>
      </c>
      <c r="G15455" s="34" t="n">
        <f aca="false">SUMIFS('12.326ana'!$C:$C,'12.326ana'!$M:$M,redes!A15455)</f>
        <v>0</v>
      </c>
    </row>
    <row r="15456" customFormat="false" ht="14.4" hidden="true" customHeight="false" outlineLevel="0" collapsed="false">
      <c r="A15456" s="34" t="n">
        <v>26383559000131</v>
      </c>
      <c r="B15456" s="34" t="s">
        <v>28732</v>
      </c>
      <c r="C15456" s="34" t="s">
        <v>77</v>
      </c>
      <c r="E15456" s="30" t="s">
        <v>28733</v>
      </c>
      <c r="F15456" s="34" t="n">
        <f aca="false">IFERROR(VLOOKUP($A15456,'319'!$B:$H,7,0),0)</f>
        <v>0</v>
      </c>
      <c r="G15456" s="34" t="n">
        <f aca="false">SUMIFS('12.326ana'!$C:$C,'12.326ana'!$M:$M,redes!A15456)</f>
        <v>0</v>
      </c>
    </row>
    <row r="15457" customFormat="false" ht="14.4" hidden="true" customHeight="false" outlineLevel="0" collapsed="false">
      <c r="A15457" s="34" t="n">
        <v>26386807000106</v>
      </c>
      <c r="B15457" s="34" t="s">
        <v>28734</v>
      </c>
      <c r="C15457" s="34" t="s">
        <v>77</v>
      </c>
      <c r="E15457" s="30" t="s">
        <v>26092</v>
      </c>
      <c r="F15457" s="34" t="n">
        <f aca="false">IFERROR(VLOOKUP($A15457,'319'!$B:$H,7,0),0)</f>
        <v>0</v>
      </c>
      <c r="G15457" s="34" t="n">
        <f aca="false">SUMIFS('12.326ana'!$C:$C,'12.326ana'!$M:$M,redes!A15457)</f>
        <v>0</v>
      </c>
    </row>
    <row r="15458" customFormat="false" ht="14.4" hidden="true" customHeight="false" outlineLevel="0" collapsed="false">
      <c r="A15458" s="34" t="n">
        <v>26388941000138</v>
      </c>
      <c r="B15458" s="34" t="s">
        <v>28735</v>
      </c>
      <c r="C15458" s="34" t="s">
        <v>77</v>
      </c>
      <c r="E15458" s="30" t="s">
        <v>28736</v>
      </c>
      <c r="F15458" s="34" t="n">
        <f aca="false">IFERROR(VLOOKUP($A15458,'319'!$B:$H,7,0),0)</f>
        <v>0</v>
      </c>
      <c r="G15458" s="34" t="n">
        <f aca="false">SUMIFS('12.326ana'!$C:$C,'12.326ana'!$M:$M,redes!A15458)</f>
        <v>0</v>
      </c>
    </row>
    <row r="15459" customFormat="false" ht="14.4" hidden="true" customHeight="false" outlineLevel="0" collapsed="false">
      <c r="A15459" s="34" t="n">
        <v>26394298000155</v>
      </c>
      <c r="B15459" s="34" t="s">
        <v>28737</v>
      </c>
      <c r="C15459" s="34" t="s">
        <v>139</v>
      </c>
      <c r="E15459" s="30" t="s">
        <v>28738</v>
      </c>
      <c r="F15459" s="34" t="n">
        <f aca="false">IFERROR(VLOOKUP($A15459,'319'!$B:$H,7,0),0)</f>
        <v>0</v>
      </c>
      <c r="G15459" s="34" t="n">
        <f aca="false">SUMIFS('12.326ana'!$C:$C,'12.326ana'!$M:$M,redes!A15459)</f>
        <v>0</v>
      </c>
    </row>
    <row r="15460" customFormat="false" ht="14.4" hidden="true" customHeight="false" outlineLevel="0" collapsed="false">
      <c r="A15460" s="34" t="n">
        <v>26397696000125</v>
      </c>
      <c r="B15460" s="34" t="s">
        <v>28739</v>
      </c>
      <c r="C15460" s="34" t="s">
        <v>103</v>
      </c>
      <c r="E15460" s="30" t="s">
        <v>28740</v>
      </c>
      <c r="F15460" s="34" t="n">
        <f aca="false">IFERROR(VLOOKUP($A15460,'319'!$B:$H,7,0),0)</f>
        <v>0</v>
      </c>
      <c r="G15460" s="34" t="n">
        <f aca="false">SUMIFS('12.326ana'!$C:$C,'12.326ana'!$M:$M,redes!A15460)</f>
        <v>0</v>
      </c>
    </row>
    <row r="15461" customFormat="false" ht="14.4" hidden="true" customHeight="false" outlineLevel="0" collapsed="false">
      <c r="A15461" s="34" t="n">
        <v>26405779000119</v>
      </c>
      <c r="B15461" s="34" t="s">
        <v>28741</v>
      </c>
      <c r="C15461" s="34" t="s">
        <v>77</v>
      </c>
      <c r="E15461" s="30" t="s">
        <v>28742</v>
      </c>
      <c r="F15461" s="34" t="n">
        <f aca="false">IFERROR(VLOOKUP($A15461,'319'!$B:$H,7,0),0)</f>
        <v>0</v>
      </c>
      <c r="G15461" s="34" t="n">
        <f aca="false">SUMIFS('12.326ana'!$C:$C,'12.326ana'!$M:$M,redes!A15461)</f>
        <v>0</v>
      </c>
    </row>
    <row r="15462" customFormat="false" ht="14.4" hidden="true" customHeight="false" outlineLevel="0" collapsed="false">
      <c r="A15462" s="34" t="n">
        <v>26406116000119</v>
      </c>
      <c r="B15462" s="34" t="s">
        <v>28743</v>
      </c>
      <c r="C15462" s="34" t="s">
        <v>473</v>
      </c>
      <c r="E15462" s="30" t="s">
        <v>13744</v>
      </c>
      <c r="F15462" s="34" t="n">
        <f aca="false">IFERROR(VLOOKUP($A15462,'319'!$B:$H,7,0),0)</f>
        <v>0</v>
      </c>
      <c r="G15462" s="34" t="n">
        <f aca="false">SUMIFS('12.326ana'!$C:$C,'12.326ana'!$M:$M,redes!A15462)</f>
        <v>0</v>
      </c>
    </row>
    <row r="15463" customFormat="false" ht="14.4" hidden="true" customHeight="false" outlineLevel="0" collapsed="false">
      <c r="A15463" s="34" t="n">
        <v>26407171000123</v>
      </c>
      <c r="B15463" s="34" t="s">
        <v>28744</v>
      </c>
      <c r="C15463" s="34" t="s">
        <v>117</v>
      </c>
      <c r="E15463" s="30" t="s">
        <v>28745</v>
      </c>
      <c r="F15463" s="34" t="n">
        <f aca="false">IFERROR(VLOOKUP($A15463,'319'!$B:$H,7,0),0)</f>
        <v>0</v>
      </c>
      <c r="G15463" s="34" t="n">
        <f aca="false">SUMIFS('12.326ana'!$C:$C,'12.326ana'!$M:$M,redes!A15463)</f>
        <v>0</v>
      </c>
    </row>
    <row r="15464" customFormat="false" ht="14.4" hidden="true" customHeight="false" outlineLevel="0" collapsed="false">
      <c r="A15464" s="34" t="n">
        <v>26407239000174</v>
      </c>
      <c r="B15464" s="34" t="s">
        <v>28746</v>
      </c>
      <c r="C15464" s="34" t="s">
        <v>77</v>
      </c>
      <c r="E15464" s="30" t="s">
        <v>17939</v>
      </c>
      <c r="F15464" s="34" t="n">
        <f aca="false">IFERROR(VLOOKUP($A15464,'319'!$B:$H,7,0),0)</f>
        <v>0</v>
      </c>
      <c r="G15464" s="34" t="n">
        <f aca="false">SUMIFS('12.326ana'!$C:$C,'12.326ana'!$M:$M,redes!A15464)</f>
        <v>0</v>
      </c>
    </row>
    <row r="15465" customFormat="false" ht="14.4" hidden="true" customHeight="false" outlineLevel="0" collapsed="false">
      <c r="A15465" s="34" t="n">
        <v>26407486000170</v>
      </c>
      <c r="B15465" s="34" t="s">
        <v>28747</v>
      </c>
      <c r="C15465" s="34" t="s">
        <v>77</v>
      </c>
      <c r="E15465" s="30" t="s">
        <v>24230</v>
      </c>
      <c r="F15465" s="34" t="n">
        <f aca="false">IFERROR(VLOOKUP($A15465,'319'!$B:$H,7,0),0)</f>
        <v>0</v>
      </c>
      <c r="G15465" s="34" t="n">
        <f aca="false">SUMIFS('12.326ana'!$C:$C,'12.326ana'!$M:$M,redes!A15465)</f>
        <v>0</v>
      </c>
    </row>
    <row r="15466" customFormat="false" ht="14.4" hidden="true" customHeight="false" outlineLevel="0" collapsed="false">
      <c r="A15466" s="34" t="n">
        <v>26407486000251</v>
      </c>
      <c r="B15466" s="34" t="s">
        <v>28747</v>
      </c>
      <c r="C15466" s="34" t="s">
        <v>77</v>
      </c>
      <c r="E15466" s="30" t="s">
        <v>24230</v>
      </c>
      <c r="F15466" s="34" t="n">
        <f aca="false">IFERROR(VLOOKUP($A15466,'319'!$B:$H,7,0),0)</f>
        <v>0</v>
      </c>
      <c r="G15466" s="34" t="n">
        <f aca="false">SUMIFS('12.326ana'!$C:$C,'12.326ana'!$M:$M,redes!A15466)</f>
        <v>0</v>
      </c>
    </row>
    <row r="15467" customFormat="false" ht="14.4" hidden="true" customHeight="false" outlineLevel="0" collapsed="false">
      <c r="A15467" s="34" t="n">
        <v>26408070000177</v>
      </c>
      <c r="B15467" s="34" t="s">
        <v>28748</v>
      </c>
      <c r="C15467" s="34" t="s">
        <v>299</v>
      </c>
      <c r="E15467" s="30" t="s">
        <v>28749</v>
      </c>
      <c r="F15467" s="34" t="n">
        <f aca="false">IFERROR(VLOOKUP($A15467,'319'!$B:$H,7,0),0)</f>
        <v>0</v>
      </c>
      <c r="G15467" s="34" t="n">
        <f aca="false">SUMIFS('12.326ana'!$C:$C,'12.326ana'!$M:$M,redes!A15467)</f>
        <v>0</v>
      </c>
    </row>
    <row r="15468" customFormat="false" ht="14.4" hidden="true" customHeight="false" outlineLevel="0" collapsed="false">
      <c r="A15468" s="34" t="n">
        <v>26408567000195</v>
      </c>
      <c r="B15468" s="34" t="s">
        <v>28750</v>
      </c>
      <c r="C15468" s="34" t="s">
        <v>309</v>
      </c>
      <c r="E15468" s="30" t="s">
        <v>28751</v>
      </c>
      <c r="F15468" s="34" t="n">
        <f aca="false">IFERROR(VLOOKUP($A15468,'319'!$B:$H,7,0),0)</f>
        <v>0</v>
      </c>
      <c r="G15468" s="34" t="n">
        <f aca="false">SUMIFS('12.326ana'!$C:$C,'12.326ana'!$M:$M,redes!A15468)</f>
        <v>0</v>
      </c>
    </row>
    <row r="15469" customFormat="false" ht="14.4" hidden="true" customHeight="false" outlineLevel="0" collapsed="false">
      <c r="A15469" s="34" t="n">
        <v>26410381000170</v>
      </c>
      <c r="B15469" s="34" t="s">
        <v>28752</v>
      </c>
      <c r="C15469" s="34" t="s">
        <v>89</v>
      </c>
      <c r="E15469" s="30" t="s">
        <v>23895</v>
      </c>
      <c r="F15469" s="34" t="n">
        <f aca="false">IFERROR(VLOOKUP($A15469,'319'!$B:$H,7,0),0)</f>
        <v>0</v>
      </c>
      <c r="G15469" s="34" t="n">
        <f aca="false">SUMIFS('12.326ana'!$C:$C,'12.326ana'!$M:$M,redes!A15469)</f>
        <v>0</v>
      </c>
    </row>
    <row r="15470" customFormat="false" ht="14.4" hidden="true" customHeight="false" outlineLevel="0" collapsed="false">
      <c r="A15470" s="34" t="n">
        <v>26410449000111</v>
      </c>
      <c r="B15470" s="34" t="s">
        <v>28753</v>
      </c>
      <c r="C15470" s="34" t="s">
        <v>139</v>
      </c>
      <c r="E15470" s="30" t="s">
        <v>20527</v>
      </c>
      <c r="F15470" s="34" t="n">
        <f aca="false">IFERROR(VLOOKUP($A15470,'319'!$B:$H,7,0),0)</f>
        <v>0</v>
      </c>
      <c r="G15470" s="34" t="n">
        <f aca="false">SUMIFS('12.326ana'!$C:$C,'12.326ana'!$M:$M,redes!A15470)</f>
        <v>0</v>
      </c>
    </row>
    <row r="15471" customFormat="false" ht="14.4" hidden="true" customHeight="false" outlineLevel="0" collapsed="false">
      <c r="A15471" s="34" t="n">
        <v>26416070000119</v>
      </c>
      <c r="B15471" s="34" t="s">
        <v>28754</v>
      </c>
      <c r="C15471" s="34" t="s">
        <v>139</v>
      </c>
      <c r="E15471" s="30" t="s">
        <v>26567</v>
      </c>
      <c r="F15471" s="34" t="n">
        <f aca="false">IFERROR(VLOOKUP($A15471,'319'!$B:$H,7,0),0)</f>
        <v>0</v>
      </c>
      <c r="G15471" s="34" t="n">
        <f aca="false">SUMIFS('12.326ana'!$C:$C,'12.326ana'!$M:$M,redes!A15471)</f>
        <v>0</v>
      </c>
    </row>
    <row r="15472" customFormat="false" ht="14.4" hidden="true" customHeight="false" outlineLevel="0" collapsed="false">
      <c r="A15472" s="34" t="n">
        <v>26416169000110</v>
      </c>
      <c r="B15472" s="34" t="s">
        <v>28755</v>
      </c>
      <c r="C15472" s="34" t="s">
        <v>77</v>
      </c>
      <c r="E15472" s="30" t="s">
        <v>28756</v>
      </c>
      <c r="F15472" s="34" t="n">
        <f aca="false">IFERROR(VLOOKUP($A15472,'319'!$B:$H,7,0),0)</f>
        <v>0</v>
      </c>
      <c r="G15472" s="34" t="n">
        <f aca="false">SUMIFS('12.326ana'!$C:$C,'12.326ana'!$M:$M,redes!A15472)</f>
        <v>0</v>
      </c>
    </row>
    <row r="15473" customFormat="false" ht="14.4" hidden="true" customHeight="false" outlineLevel="0" collapsed="false">
      <c r="A15473" s="34" t="n">
        <v>26425356000160</v>
      </c>
      <c r="B15473" s="34" t="s">
        <v>28757</v>
      </c>
      <c r="C15473" s="34" t="s">
        <v>103</v>
      </c>
      <c r="E15473" s="30" t="s">
        <v>28758</v>
      </c>
      <c r="F15473" s="34" t="n">
        <f aca="false">IFERROR(VLOOKUP($A15473,'319'!$B:$H,7,0),0)</f>
        <v>0</v>
      </c>
      <c r="G15473" s="34" t="n">
        <f aca="false">SUMIFS('12.326ana'!$C:$C,'12.326ana'!$M:$M,redes!A15473)</f>
        <v>0</v>
      </c>
    </row>
    <row r="15474" customFormat="false" ht="14.4" hidden="true" customHeight="false" outlineLevel="0" collapsed="false">
      <c r="A15474" s="34" t="n">
        <v>26440944000173</v>
      </c>
      <c r="B15474" s="34" t="s">
        <v>28759</v>
      </c>
      <c r="C15474" s="34" t="s">
        <v>89</v>
      </c>
      <c r="E15474" s="30" t="s">
        <v>28760</v>
      </c>
      <c r="F15474" s="34" t="n">
        <f aca="false">IFERROR(VLOOKUP($A15474,'319'!$B:$H,7,0),0)</f>
        <v>0</v>
      </c>
      <c r="G15474" s="34" t="n">
        <f aca="false">SUMIFS('12.326ana'!$C:$C,'12.326ana'!$M:$M,redes!A15474)</f>
        <v>0</v>
      </c>
    </row>
    <row r="15475" customFormat="false" ht="14.4" hidden="true" customHeight="false" outlineLevel="0" collapsed="false">
      <c r="A15475" s="34" t="n">
        <v>26448103000102</v>
      </c>
      <c r="B15475" s="34" t="s">
        <v>28761</v>
      </c>
      <c r="C15475" s="34" t="s">
        <v>107</v>
      </c>
      <c r="E15475" s="30" t="s">
        <v>28762</v>
      </c>
      <c r="F15475" s="34" t="n">
        <f aca="false">IFERROR(VLOOKUP($A15475,'319'!$B:$H,7,0),0)</f>
        <v>0</v>
      </c>
      <c r="G15475" s="34" t="n">
        <f aca="false">SUMIFS('12.326ana'!$C:$C,'12.326ana'!$M:$M,redes!A15475)</f>
        <v>0</v>
      </c>
    </row>
    <row r="15476" customFormat="false" ht="14.4" hidden="true" customHeight="false" outlineLevel="0" collapsed="false">
      <c r="A15476" s="34" t="n">
        <v>26449854000143</v>
      </c>
      <c r="B15476" s="34" t="s">
        <v>28763</v>
      </c>
      <c r="C15476" s="34" t="s">
        <v>139</v>
      </c>
      <c r="E15476" s="30" t="s">
        <v>28764</v>
      </c>
      <c r="F15476" s="34" t="n">
        <f aca="false">IFERROR(VLOOKUP($A15476,'319'!$B:$H,7,0),0)</f>
        <v>0</v>
      </c>
      <c r="G15476" s="34" t="n">
        <f aca="false">SUMIFS('12.326ana'!$C:$C,'12.326ana'!$M:$M,redes!A15476)</f>
        <v>0</v>
      </c>
    </row>
    <row r="15477" customFormat="false" ht="14.4" hidden="true" customHeight="false" outlineLevel="0" collapsed="false">
      <c r="A15477" s="34" t="n">
        <v>26450714000195</v>
      </c>
      <c r="B15477" s="34" t="s">
        <v>28765</v>
      </c>
      <c r="C15477" s="34" t="s">
        <v>77</v>
      </c>
      <c r="E15477" s="30" t="s">
        <v>14240</v>
      </c>
      <c r="F15477" s="34" t="n">
        <f aca="false">IFERROR(VLOOKUP($A15477,'319'!$B:$H,7,0),0)</f>
        <v>0</v>
      </c>
      <c r="G15477" s="34" t="n">
        <f aca="false">SUMIFS('12.326ana'!$C:$C,'12.326ana'!$M:$M,redes!A15477)</f>
        <v>0</v>
      </c>
    </row>
    <row r="15478" customFormat="false" ht="14.4" hidden="true" customHeight="false" outlineLevel="0" collapsed="false">
      <c r="A15478" s="34" t="n">
        <v>26452538000120</v>
      </c>
      <c r="B15478" s="34" t="s">
        <v>1583</v>
      </c>
      <c r="C15478" s="34" t="s">
        <v>299</v>
      </c>
      <c r="E15478" s="30" t="s">
        <v>28766</v>
      </c>
      <c r="F15478" s="34" t="n">
        <f aca="false">IFERROR(VLOOKUP($A15478,'319'!$B:$H,7,0),0)</f>
        <v>89.71</v>
      </c>
      <c r="G15478" s="34" t="n">
        <f aca="false">SUMIFS('12.326ana'!$C:$C,'12.326ana'!$M:$M,redes!A15478)</f>
        <v>0</v>
      </c>
    </row>
    <row r="15479" customFormat="false" ht="14.4" hidden="true" customHeight="false" outlineLevel="0" collapsed="false">
      <c r="A15479" s="34" t="n">
        <v>26452749000163</v>
      </c>
      <c r="B15479" s="34" t="s">
        <v>28767</v>
      </c>
      <c r="C15479" s="34" t="s">
        <v>77</v>
      </c>
      <c r="E15479" s="30" t="s">
        <v>28768</v>
      </c>
      <c r="F15479" s="34" t="n">
        <f aca="false">IFERROR(VLOOKUP($A15479,'319'!$B:$H,7,0),0)</f>
        <v>0</v>
      </c>
      <c r="G15479" s="34" t="n">
        <f aca="false">SUMIFS('12.326ana'!$C:$C,'12.326ana'!$M:$M,redes!A15479)</f>
        <v>0</v>
      </c>
    </row>
    <row r="15480" customFormat="false" ht="14.4" hidden="true" customHeight="false" outlineLevel="0" collapsed="false">
      <c r="A15480" s="34" t="n">
        <v>26459786000101</v>
      </c>
      <c r="B15480" s="34" t="s">
        <v>28769</v>
      </c>
      <c r="C15480" s="34" t="s">
        <v>342</v>
      </c>
      <c r="E15480" s="30" t="s">
        <v>28770</v>
      </c>
      <c r="F15480" s="34" t="n">
        <f aca="false">IFERROR(VLOOKUP($A15480,'319'!$B:$H,7,0),0)</f>
        <v>0</v>
      </c>
      <c r="G15480" s="34" t="n">
        <f aca="false">SUMIFS('12.326ana'!$C:$C,'12.326ana'!$M:$M,redes!A15480)</f>
        <v>0</v>
      </c>
    </row>
    <row r="15481" customFormat="false" ht="14.4" hidden="true" customHeight="false" outlineLevel="0" collapsed="false">
      <c r="A15481" s="34" t="n">
        <v>26461086000143</v>
      </c>
      <c r="B15481" s="34" t="s">
        <v>28771</v>
      </c>
      <c r="C15481" s="34" t="s">
        <v>77</v>
      </c>
      <c r="E15481" s="30" t="s">
        <v>28772</v>
      </c>
      <c r="F15481" s="34" t="n">
        <f aca="false">IFERROR(VLOOKUP($A15481,'319'!$B:$H,7,0),0)</f>
        <v>0</v>
      </c>
      <c r="G15481" s="34" t="n">
        <f aca="false">SUMIFS('12.326ana'!$C:$C,'12.326ana'!$M:$M,redes!A15481)</f>
        <v>0</v>
      </c>
    </row>
    <row r="15482" customFormat="false" ht="14.4" hidden="true" customHeight="false" outlineLevel="0" collapsed="false">
      <c r="A15482" s="34" t="n">
        <v>26464306000192</v>
      </c>
      <c r="B15482" s="34" t="s">
        <v>28773</v>
      </c>
      <c r="C15482" s="34" t="s">
        <v>107</v>
      </c>
      <c r="E15482" s="30" t="s">
        <v>28774</v>
      </c>
      <c r="F15482" s="34" t="n">
        <f aca="false">IFERROR(VLOOKUP($A15482,'319'!$B:$H,7,0),0)</f>
        <v>0</v>
      </c>
      <c r="G15482" s="34" t="n">
        <f aca="false">SUMIFS('12.326ana'!$C:$C,'12.326ana'!$M:$M,redes!A15482)</f>
        <v>0</v>
      </c>
    </row>
    <row r="15483" customFormat="false" ht="14.4" hidden="true" customHeight="false" outlineLevel="0" collapsed="false">
      <c r="A15483" s="34" t="n">
        <v>26471627000114</v>
      </c>
      <c r="B15483" s="34" t="s">
        <v>28775</v>
      </c>
      <c r="C15483" s="34" t="s">
        <v>77</v>
      </c>
      <c r="E15483" s="30" t="s">
        <v>24312</v>
      </c>
      <c r="F15483" s="34" t="n">
        <f aca="false">IFERROR(VLOOKUP($A15483,'319'!$B:$H,7,0),0)</f>
        <v>0</v>
      </c>
      <c r="G15483" s="34" t="n">
        <f aca="false">SUMIFS('12.326ana'!$C:$C,'12.326ana'!$M:$M,redes!A15483)</f>
        <v>0</v>
      </c>
    </row>
    <row r="15484" customFormat="false" ht="14.4" hidden="true" customHeight="false" outlineLevel="0" collapsed="false">
      <c r="A15484" s="34" t="n">
        <v>26472397000108</v>
      </c>
      <c r="B15484" s="34" t="s">
        <v>28776</v>
      </c>
      <c r="C15484" s="34" t="s">
        <v>77</v>
      </c>
      <c r="E15484" s="30" t="s">
        <v>28777</v>
      </c>
      <c r="F15484" s="34" t="n">
        <f aca="false">IFERROR(VLOOKUP($A15484,'319'!$B:$H,7,0),0)</f>
        <v>0</v>
      </c>
      <c r="G15484" s="34" t="n">
        <f aca="false">SUMIFS('12.326ana'!$C:$C,'12.326ana'!$M:$M,redes!A15484)</f>
        <v>0</v>
      </c>
    </row>
    <row r="15485" customFormat="false" ht="14.4" hidden="true" customHeight="false" outlineLevel="0" collapsed="false">
      <c r="A15485" s="34" t="n">
        <v>26474907000186</v>
      </c>
      <c r="B15485" s="34" t="s">
        <v>28778</v>
      </c>
      <c r="C15485" s="34" t="s">
        <v>77</v>
      </c>
      <c r="E15485" s="30" t="s">
        <v>28779</v>
      </c>
      <c r="F15485" s="34" t="n">
        <f aca="false">IFERROR(VLOOKUP($A15485,'319'!$B:$H,7,0),0)</f>
        <v>0</v>
      </c>
      <c r="G15485" s="34" t="n">
        <f aca="false">SUMIFS('12.326ana'!$C:$C,'12.326ana'!$M:$M,redes!A15485)</f>
        <v>0</v>
      </c>
    </row>
    <row r="15486" customFormat="false" ht="14.4" hidden="true" customHeight="false" outlineLevel="0" collapsed="false">
      <c r="A15486" s="34" t="n">
        <v>26479969000180</v>
      </c>
      <c r="B15486" s="34" t="s">
        <v>28780</v>
      </c>
      <c r="C15486" s="34" t="s">
        <v>1272</v>
      </c>
      <c r="E15486" s="30" t="s">
        <v>28781</v>
      </c>
      <c r="F15486" s="34" t="n">
        <f aca="false">IFERROR(VLOOKUP($A15486,'319'!$B:$H,7,0),0)</f>
        <v>0</v>
      </c>
      <c r="G15486" s="34" t="n">
        <f aca="false">SUMIFS('12.326ana'!$C:$C,'12.326ana'!$M:$M,redes!A15486)</f>
        <v>0</v>
      </c>
    </row>
    <row r="15487" customFormat="false" ht="14.4" hidden="true" customHeight="false" outlineLevel="0" collapsed="false">
      <c r="A15487" s="34" t="n">
        <v>26489631000100</v>
      </c>
      <c r="B15487" s="34" t="s">
        <v>28782</v>
      </c>
      <c r="C15487" s="34" t="s">
        <v>737</v>
      </c>
      <c r="E15487" s="30" t="s">
        <v>28783</v>
      </c>
      <c r="F15487" s="34" t="n">
        <f aca="false">IFERROR(VLOOKUP($A15487,'319'!$B:$H,7,0),0)</f>
        <v>0</v>
      </c>
      <c r="G15487" s="34" t="n">
        <f aca="false">SUMIFS('12.326ana'!$C:$C,'12.326ana'!$M:$M,redes!A15487)</f>
        <v>0</v>
      </c>
    </row>
    <row r="15488" customFormat="false" ht="14.4" hidden="true" customHeight="false" outlineLevel="0" collapsed="false">
      <c r="A15488" s="34" t="n">
        <v>26492034000134</v>
      </c>
      <c r="B15488" s="34" t="s">
        <v>28784</v>
      </c>
      <c r="C15488" s="34" t="s">
        <v>89</v>
      </c>
      <c r="E15488" s="30" t="s">
        <v>28785</v>
      </c>
      <c r="F15488" s="34" t="n">
        <f aca="false">IFERROR(VLOOKUP($A15488,'319'!$B:$H,7,0),0)</f>
        <v>0</v>
      </c>
      <c r="G15488" s="34" t="n">
        <f aca="false">SUMIFS('12.326ana'!$C:$C,'12.326ana'!$M:$M,redes!A15488)</f>
        <v>0</v>
      </c>
    </row>
    <row r="15489" customFormat="false" ht="14.4" hidden="true" customHeight="false" outlineLevel="0" collapsed="false">
      <c r="A15489" s="34" t="n">
        <v>26492737000162</v>
      </c>
      <c r="B15489" s="34" t="s">
        <v>28786</v>
      </c>
      <c r="C15489" s="34" t="s">
        <v>77</v>
      </c>
      <c r="E15489" s="30" t="s">
        <v>28787</v>
      </c>
      <c r="F15489" s="34" t="n">
        <f aca="false">IFERROR(VLOOKUP($A15489,'319'!$B:$H,7,0),0)</f>
        <v>0</v>
      </c>
      <c r="G15489" s="34" t="n">
        <f aca="false">SUMIFS('12.326ana'!$C:$C,'12.326ana'!$M:$M,redes!A15489)</f>
        <v>0</v>
      </c>
    </row>
    <row r="15490" customFormat="false" ht="14.4" hidden="true" customHeight="false" outlineLevel="0" collapsed="false">
      <c r="A15490" s="34" t="n">
        <v>26494738000146</v>
      </c>
      <c r="B15490" s="34" t="s">
        <v>28788</v>
      </c>
      <c r="C15490" s="34" t="s">
        <v>994</v>
      </c>
      <c r="E15490" s="30" t="s">
        <v>28789</v>
      </c>
      <c r="F15490" s="34" t="n">
        <f aca="false">IFERROR(VLOOKUP($A15490,'319'!$B:$H,7,0),0)</f>
        <v>0</v>
      </c>
      <c r="G15490" s="34" t="n">
        <f aca="false">SUMIFS('12.326ana'!$C:$C,'12.326ana'!$M:$M,redes!A15490)</f>
        <v>0</v>
      </c>
    </row>
    <row r="15491" customFormat="false" ht="14.4" hidden="true" customHeight="false" outlineLevel="0" collapsed="false">
      <c r="A15491" s="34" t="n">
        <v>26496064000119</v>
      </c>
      <c r="B15491" s="34" t="s">
        <v>28790</v>
      </c>
      <c r="C15491" s="34" t="s">
        <v>1054</v>
      </c>
      <c r="E15491" s="30" t="s">
        <v>28791</v>
      </c>
      <c r="F15491" s="34" t="n">
        <f aca="false">IFERROR(VLOOKUP($A15491,'319'!$B:$H,7,0),0)</f>
        <v>0</v>
      </c>
      <c r="G15491" s="34" t="n">
        <f aca="false">SUMIFS('12.326ana'!$C:$C,'12.326ana'!$M:$M,redes!A15491)</f>
        <v>0</v>
      </c>
    </row>
    <row r="15492" customFormat="false" ht="14.4" hidden="true" customHeight="false" outlineLevel="0" collapsed="false">
      <c r="A15492" s="34" t="n">
        <v>26509993000115</v>
      </c>
      <c r="B15492" s="34" t="s">
        <v>981</v>
      </c>
      <c r="C15492" s="34" t="s">
        <v>299</v>
      </c>
      <c r="D15492" s="34" t="s">
        <v>25328</v>
      </c>
      <c r="E15492" s="30" t="s">
        <v>28792</v>
      </c>
      <c r="F15492" s="34" t="n">
        <f aca="false">IFERROR(VLOOKUP($A15492,'319'!$B:$H,7,0),0)</f>
        <v>1008.2</v>
      </c>
      <c r="G15492" s="34" t="n">
        <f aca="false">SUMIFS('12.326ana'!$C:$C,'12.326ana'!$M:$M,redes!A15492)</f>
        <v>0</v>
      </c>
    </row>
    <row r="15493" customFormat="false" ht="14.4" hidden="true" customHeight="false" outlineLevel="0" collapsed="false">
      <c r="A15493" s="34" t="n">
        <v>26527720000101</v>
      </c>
      <c r="B15493" s="34" t="s">
        <v>28793</v>
      </c>
      <c r="C15493" s="34" t="s">
        <v>342</v>
      </c>
      <c r="E15493" s="30" t="s">
        <v>28794</v>
      </c>
      <c r="F15493" s="34" t="n">
        <f aca="false">IFERROR(VLOOKUP($A15493,'319'!$B:$H,7,0),0)</f>
        <v>0</v>
      </c>
      <c r="G15493" s="34" t="n">
        <f aca="false">SUMIFS('12.326ana'!$C:$C,'12.326ana'!$M:$M,redes!A15493)</f>
        <v>0</v>
      </c>
    </row>
    <row r="15494" customFormat="false" ht="14.4" hidden="true" customHeight="false" outlineLevel="0" collapsed="false">
      <c r="A15494" s="34" t="n">
        <v>26546349000117</v>
      </c>
      <c r="B15494" s="34" t="s">
        <v>28795</v>
      </c>
      <c r="C15494" s="34" t="s">
        <v>994</v>
      </c>
      <c r="E15494" s="30" t="s">
        <v>28796</v>
      </c>
      <c r="F15494" s="34" t="n">
        <f aca="false">IFERROR(VLOOKUP($A15494,'319'!$B:$H,7,0),0)</f>
        <v>0</v>
      </c>
      <c r="G15494" s="34" t="n">
        <f aca="false">SUMIFS('12.326ana'!$C:$C,'12.326ana'!$M:$M,redes!A15494)</f>
        <v>0</v>
      </c>
    </row>
    <row r="15495" customFormat="false" ht="14.4" hidden="true" customHeight="false" outlineLevel="0" collapsed="false">
      <c r="A15495" s="34" t="n">
        <v>26552839000126</v>
      </c>
      <c r="B15495" s="34" t="s">
        <v>28797</v>
      </c>
      <c r="C15495" s="34" t="s">
        <v>562</v>
      </c>
      <c r="E15495" s="30" t="s">
        <v>28798</v>
      </c>
      <c r="F15495" s="34" t="n">
        <f aca="false">IFERROR(VLOOKUP($A15495,'319'!$B:$H,7,0),0)</f>
        <v>-114.48</v>
      </c>
      <c r="G15495" s="34" t="n">
        <f aca="false">SUMIFS('12.326ana'!$C:$C,'12.326ana'!$M:$M,redes!A15495)</f>
        <v>0</v>
      </c>
    </row>
    <row r="15496" customFormat="false" ht="14.4" hidden="true" customHeight="false" outlineLevel="0" collapsed="false">
      <c r="A15496" s="34" t="n">
        <v>26552839000207</v>
      </c>
      <c r="B15496" s="34" t="s">
        <v>1786</v>
      </c>
      <c r="C15496" s="34" t="s">
        <v>562</v>
      </c>
      <c r="E15496" s="30" t="s">
        <v>28799</v>
      </c>
      <c r="F15496" s="34" t="n">
        <f aca="false">IFERROR(VLOOKUP($A15496,'319'!$B:$H,7,0),0)</f>
        <v>0</v>
      </c>
      <c r="G15496" s="34" t="n">
        <f aca="false">SUMIFS('12.326ana'!$C:$C,'12.326ana'!$M:$M,redes!A15496)</f>
        <v>0</v>
      </c>
    </row>
    <row r="15497" customFormat="false" ht="14.4" hidden="true" customHeight="false" outlineLevel="0" collapsed="false">
      <c r="A15497" s="34" t="n">
        <v>26552839000398</v>
      </c>
      <c r="B15497" s="34" t="s">
        <v>1786</v>
      </c>
      <c r="C15497" s="34" t="s">
        <v>562</v>
      </c>
      <c r="E15497" s="30" t="s">
        <v>28800</v>
      </c>
      <c r="F15497" s="34" t="n">
        <f aca="false">IFERROR(VLOOKUP($A15497,'319'!$B:$H,7,0),0)</f>
        <v>-120.62</v>
      </c>
      <c r="G15497" s="34" t="n">
        <f aca="false">SUMIFS('12.326ana'!$C:$C,'12.326ana'!$M:$M,redes!A15497)</f>
        <v>0</v>
      </c>
    </row>
    <row r="15498" customFormat="false" ht="14.4" hidden="true" customHeight="false" outlineLevel="0" collapsed="false">
      <c r="A15498" s="34" t="n">
        <v>26554800000148</v>
      </c>
      <c r="B15498" s="34" t="s">
        <v>28801</v>
      </c>
      <c r="C15498" s="34" t="s">
        <v>473</v>
      </c>
      <c r="E15498" s="30"/>
      <c r="F15498" s="34" t="n">
        <f aca="false">IFERROR(VLOOKUP($A15498,'319'!$B:$H,7,0),0)</f>
        <v>0</v>
      </c>
      <c r="G15498" s="34" t="n">
        <f aca="false">SUMIFS('12.326ana'!$C:$C,'12.326ana'!$M:$M,redes!A15498)</f>
        <v>0</v>
      </c>
    </row>
    <row r="15499" customFormat="false" ht="14.4" hidden="true" customHeight="false" outlineLevel="0" collapsed="false">
      <c r="A15499" s="34" t="n">
        <v>26559600000188</v>
      </c>
      <c r="B15499" s="34" t="s">
        <v>28802</v>
      </c>
      <c r="C15499" s="34" t="s">
        <v>89</v>
      </c>
      <c r="E15499" s="30" t="s">
        <v>28803</v>
      </c>
      <c r="F15499" s="34" t="n">
        <f aca="false">IFERROR(VLOOKUP($A15499,'319'!$B:$H,7,0),0)</f>
        <v>0</v>
      </c>
      <c r="G15499" s="34" t="n">
        <f aca="false">SUMIFS('12.326ana'!$C:$C,'12.326ana'!$M:$M,redes!A15499)</f>
        <v>0</v>
      </c>
    </row>
    <row r="15500" customFormat="false" ht="14.4" hidden="true" customHeight="false" outlineLevel="0" collapsed="false">
      <c r="A15500" s="34" t="n">
        <v>26559745000189</v>
      </c>
      <c r="B15500" s="34" t="s">
        <v>28804</v>
      </c>
      <c r="C15500" s="34" t="s">
        <v>12298</v>
      </c>
      <c r="E15500" s="30" t="s">
        <v>7182</v>
      </c>
      <c r="F15500" s="34" t="n">
        <f aca="false">IFERROR(VLOOKUP($A15500,'319'!$B:$H,7,0),0)</f>
        <v>0</v>
      </c>
      <c r="G15500" s="34" t="n">
        <f aca="false">SUMIFS('12.326ana'!$C:$C,'12.326ana'!$M:$M,redes!A15500)</f>
        <v>0</v>
      </c>
    </row>
    <row r="15501" customFormat="false" ht="14.4" hidden="true" customHeight="false" outlineLevel="0" collapsed="false">
      <c r="A15501" s="34" t="n">
        <v>26567981000147</v>
      </c>
      <c r="B15501" s="34" t="s">
        <v>28805</v>
      </c>
      <c r="C15501" s="34" t="s">
        <v>89</v>
      </c>
      <c r="E15501" s="30" t="s">
        <v>28806</v>
      </c>
      <c r="F15501" s="34" t="n">
        <f aca="false">IFERROR(VLOOKUP($A15501,'319'!$B:$H,7,0),0)</f>
        <v>0</v>
      </c>
      <c r="G15501" s="34" t="n">
        <f aca="false">SUMIFS('12.326ana'!$C:$C,'12.326ana'!$M:$M,redes!A15501)</f>
        <v>0</v>
      </c>
    </row>
    <row r="15502" customFormat="false" ht="14.4" hidden="true" customHeight="false" outlineLevel="0" collapsed="false">
      <c r="A15502" s="34" t="n">
        <v>26576098000113</v>
      </c>
      <c r="B15502" s="34" t="s">
        <v>28807</v>
      </c>
      <c r="C15502" s="34" t="s">
        <v>192</v>
      </c>
      <c r="E15502" s="30" t="s">
        <v>28808</v>
      </c>
      <c r="F15502" s="34" t="n">
        <f aca="false">IFERROR(VLOOKUP($A15502,'319'!$B:$H,7,0),0)</f>
        <v>0</v>
      </c>
      <c r="G15502" s="34" t="n">
        <f aca="false">SUMIFS('12.326ana'!$C:$C,'12.326ana'!$M:$M,redes!A15502)</f>
        <v>0</v>
      </c>
    </row>
    <row r="15503" customFormat="false" ht="14.4" hidden="true" customHeight="false" outlineLevel="0" collapsed="false">
      <c r="A15503" s="34" t="n">
        <v>26577694000118</v>
      </c>
      <c r="B15503" s="34" t="s">
        <v>28809</v>
      </c>
      <c r="C15503" s="34" t="s">
        <v>89</v>
      </c>
      <c r="E15503" s="30" t="s">
        <v>28810</v>
      </c>
      <c r="F15503" s="34" t="n">
        <f aca="false">IFERROR(VLOOKUP($A15503,'319'!$B:$H,7,0),0)</f>
        <v>0</v>
      </c>
      <c r="G15503" s="34" t="n">
        <f aca="false">SUMIFS('12.326ana'!$C:$C,'12.326ana'!$M:$M,redes!A15503)</f>
        <v>0</v>
      </c>
    </row>
    <row r="15504" customFormat="false" ht="14.4" hidden="true" customHeight="false" outlineLevel="0" collapsed="false">
      <c r="A15504" s="34" t="n">
        <v>26580432000102</v>
      </c>
      <c r="B15504" s="34" t="s">
        <v>28811</v>
      </c>
      <c r="C15504" s="34" t="s">
        <v>139</v>
      </c>
      <c r="E15504" s="30" t="s">
        <v>28812</v>
      </c>
      <c r="F15504" s="34" t="n">
        <f aca="false">IFERROR(VLOOKUP($A15504,'319'!$B:$H,7,0),0)</f>
        <v>0</v>
      </c>
      <c r="G15504" s="34" t="n">
        <f aca="false">SUMIFS('12.326ana'!$C:$C,'12.326ana'!$M:$M,redes!A15504)</f>
        <v>0</v>
      </c>
    </row>
    <row r="15505" customFormat="false" ht="14.4" hidden="true" customHeight="false" outlineLevel="0" collapsed="false">
      <c r="A15505" s="34" t="n">
        <v>26580596000130</v>
      </c>
      <c r="B15505" s="34" t="s">
        <v>28813</v>
      </c>
      <c r="C15505" s="34" t="s">
        <v>139</v>
      </c>
      <c r="E15505" s="30" t="s">
        <v>28814</v>
      </c>
      <c r="F15505" s="34" t="n">
        <f aca="false">IFERROR(VLOOKUP($A15505,'319'!$B:$H,7,0),0)</f>
        <v>0</v>
      </c>
      <c r="G15505" s="34" t="n">
        <f aca="false">SUMIFS('12.326ana'!$C:$C,'12.326ana'!$M:$M,redes!A15505)</f>
        <v>0</v>
      </c>
    </row>
    <row r="15506" customFormat="false" ht="14.4" hidden="true" customHeight="false" outlineLevel="0" collapsed="false">
      <c r="A15506" s="34" t="n">
        <v>26616502000135</v>
      </c>
      <c r="B15506" s="34" t="s">
        <v>28815</v>
      </c>
      <c r="C15506" s="34" t="s">
        <v>3060</v>
      </c>
      <c r="E15506" s="30" t="s">
        <v>28816</v>
      </c>
      <c r="F15506" s="34" t="n">
        <f aca="false">IFERROR(VLOOKUP($A15506,'319'!$B:$H,7,0),0)</f>
        <v>0</v>
      </c>
      <c r="G15506" s="34" t="n">
        <f aca="false">SUMIFS('12.326ana'!$C:$C,'12.326ana'!$M:$M,redes!A15506)</f>
        <v>0</v>
      </c>
    </row>
    <row r="15507" customFormat="false" ht="14.4" hidden="true" customHeight="false" outlineLevel="0" collapsed="false">
      <c r="A15507" s="34" t="n">
        <v>26616777000179</v>
      </c>
      <c r="B15507" s="34" t="s">
        <v>28817</v>
      </c>
      <c r="C15507" s="34" t="s">
        <v>478</v>
      </c>
      <c r="E15507" s="30" t="s">
        <v>28818</v>
      </c>
      <c r="F15507" s="34" t="n">
        <f aca="false">IFERROR(VLOOKUP($A15507,'319'!$B:$H,7,0),0)</f>
        <v>0</v>
      </c>
      <c r="G15507" s="34" t="n">
        <f aca="false">SUMIFS('12.326ana'!$C:$C,'12.326ana'!$M:$M,redes!A15507)</f>
        <v>0</v>
      </c>
    </row>
    <row r="15508" customFormat="false" ht="14.4" hidden="true" customHeight="false" outlineLevel="0" collapsed="false">
      <c r="A15508" s="34" t="n">
        <v>26620285000157</v>
      </c>
      <c r="B15508" s="34" t="s">
        <v>28819</v>
      </c>
      <c r="C15508" s="34" t="s">
        <v>139</v>
      </c>
      <c r="E15508" s="30" t="s">
        <v>28820</v>
      </c>
      <c r="F15508" s="34" t="n">
        <f aca="false">IFERROR(VLOOKUP($A15508,'319'!$B:$H,7,0),0)</f>
        <v>0</v>
      </c>
      <c r="G15508" s="34" t="n">
        <f aca="false">SUMIFS('12.326ana'!$C:$C,'12.326ana'!$M:$M,redes!A15508)</f>
        <v>0</v>
      </c>
    </row>
    <row r="15509" customFormat="false" ht="14.4" hidden="true" customHeight="false" outlineLevel="0" collapsed="false">
      <c r="A15509" s="34" t="n">
        <v>26624351000167</v>
      </c>
      <c r="B15509" s="34" t="s">
        <v>28821</v>
      </c>
      <c r="C15509" s="34" t="s">
        <v>2998</v>
      </c>
      <c r="E15509" s="30" t="s">
        <v>28822</v>
      </c>
      <c r="F15509" s="34" t="n">
        <f aca="false">IFERROR(VLOOKUP($A15509,'319'!$B:$H,7,0),0)</f>
        <v>0</v>
      </c>
      <c r="G15509" s="34" t="n">
        <f aca="false">SUMIFS('12.326ana'!$C:$C,'12.326ana'!$M:$M,redes!A15509)</f>
        <v>0</v>
      </c>
    </row>
    <row r="15510" customFormat="false" ht="14.4" hidden="true" customHeight="false" outlineLevel="0" collapsed="false">
      <c r="A15510" s="34" t="n">
        <v>26625057000170</v>
      </c>
      <c r="B15510" s="34" t="s">
        <v>1414</v>
      </c>
      <c r="C15510" s="34" t="s">
        <v>77</v>
      </c>
      <c r="E15510" s="30" t="s">
        <v>28823</v>
      </c>
      <c r="F15510" s="34" t="n">
        <f aca="false">IFERROR(VLOOKUP($A15510,'319'!$B:$H,7,0),0)</f>
        <v>212.96</v>
      </c>
      <c r="G15510" s="34" t="n">
        <f aca="false">SUMIFS('12.326ana'!$C:$C,'12.326ana'!$M:$M,redes!A15510)</f>
        <v>0</v>
      </c>
    </row>
    <row r="15511" customFormat="false" ht="14.4" hidden="true" customHeight="false" outlineLevel="0" collapsed="false">
      <c r="A15511" s="34" t="n">
        <v>26631938000101</v>
      </c>
      <c r="B15511" s="34" t="s">
        <v>28824</v>
      </c>
      <c r="C15511" s="34" t="s">
        <v>77</v>
      </c>
      <c r="E15511" s="30" t="s">
        <v>27826</v>
      </c>
      <c r="F15511" s="34" t="n">
        <f aca="false">IFERROR(VLOOKUP($A15511,'319'!$B:$H,7,0),0)</f>
        <v>0</v>
      </c>
      <c r="G15511" s="34" t="n">
        <f aca="false">SUMIFS('12.326ana'!$C:$C,'12.326ana'!$M:$M,redes!A15511)</f>
        <v>0</v>
      </c>
    </row>
    <row r="15512" customFormat="false" ht="14.4" hidden="true" customHeight="false" outlineLevel="0" collapsed="false">
      <c r="A15512" s="34" t="n">
        <v>26632858000162</v>
      </c>
      <c r="B15512" s="34" t="s">
        <v>28825</v>
      </c>
      <c r="C15512" s="34" t="s">
        <v>744</v>
      </c>
      <c r="E15512" s="30" t="s">
        <v>11228</v>
      </c>
      <c r="F15512" s="34" t="n">
        <f aca="false">IFERROR(VLOOKUP($A15512,'319'!$B:$H,7,0),0)</f>
        <v>0</v>
      </c>
      <c r="G15512" s="34" t="n">
        <f aca="false">SUMIFS('12.326ana'!$C:$C,'12.326ana'!$M:$M,redes!A15512)</f>
        <v>0</v>
      </c>
    </row>
    <row r="15513" customFormat="false" ht="14.4" hidden="true" customHeight="false" outlineLevel="0" collapsed="false">
      <c r="A15513" s="34" t="n">
        <v>26648602000143</v>
      </c>
      <c r="B15513" s="34" t="s">
        <v>28826</v>
      </c>
      <c r="C15513" s="34" t="s">
        <v>77</v>
      </c>
      <c r="E15513" s="30" t="s">
        <v>28827</v>
      </c>
      <c r="F15513" s="34" t="n">
        <f aca="false">IFERROR(VLOOKUP($A15513,'319'!$B:$H,7,0),0)</f>
        <v>0</v>
      </c>
      <c r="G15513" s="34" t="n">
        <f aca="false">SUMIFS('12.326ana'!$C:$C,'12.326ana'!$M:$M,redes!A15513)</f>
        <v>0</v>
      </c>
    </row>
    <row r="15514" customFormat="false" ht="14.4" hidden="true" customHeight="false" outlineLevel="0" collapsed="false">
      <c r="A15514" s="34" t="n">
        <v>26650456000190</v>
      </c>
      <c r="B15514" s="34" t="s">
        <v>28828</v>
      </c>
      <c r="C15514" s="34" t="s">
        <v>107</v>
      </c>
      <c r="E15514" s="30" t="s">
        <v>28829</v>
      </c>
      <c r="F15514" s="34" t="n">
        <f aca="false">IFERROR(VLOOKUP($A15514,'319'!$B:$H,7,0),0)</f>
        <v>0</v>
      </c>
      <c r="G15514" s="34" t="n">
        <f aca="false">SUMIFS('12.326ana'!$C:$C,'12.326ana'!$M:$M,redes!A15514)</f>
        <v>0</v>
      </c>
    </row>
    <row r="15515" customFormat="false" ht="14.4" hidden="true" customHeight="false" outlineLevel="0" collapsed="false">
      <c r="A15515" s="34" t="n">
        <v>26657480000151</v>
      </c>
      <c r="B15515" s="34" t="s">
        <v>28830</v>
      </c>
      <c r="C15515" s="34" t="s">
        <v>77</v>
      </c>
      <c r="E15515" s="30" t="s">
        <v>28831</v>
      </c>
      <c r="F15515" s="34" t="n">
        <f aca="false">IFERROR(VLOOKUP($A15515,'319'!$B:$H,7,0),0)</f>
        <v>0</v>
      </c>
      <c r="G15515" s="34" t="n">
        <f aca="false">SUMIFS('12.326ana'!$C:$C,'12.326ana'!$M:$M,redes!A15515)</f>
        <v>0</v>
      </c>
    </row>
    <row r="15516" customFormat="false" ht="14.4" hidden="true" customHeight="false" outlineLevel="0" collapsed="false">
      <c r="A15516" s="34" t="n">
        <v>26666517000108</v>
      </c>
      <c r="B15516" s="34" t="s">
        <v>28832</v>
      </c>
      <c r="C15516" s="34" t="s">
        <v>979</v>
      </c>
      <c r="E15516" s="30" t="s">
        <v>28833</v>
      </c>
      <c r="F15516" s="34" t="n">
        <f aca="false">IFERROR(VLOOKUP($A15516,'319'!$B:$H,7,0),0)</f>
        <v>0</v>
      </c>
      <c r="G15516" s="34" t="n">
        <f aca="false">SUMIFS('12.326ana'!$C:$C,'12.326ana'!$M:$M,redes!A15516)</f>
        <v>0</v>
      </c>
    </row>
    <row r="15517" customFormat="false" ht="14.4" hidden="true" customHeight="false" outlineLevel="0" collapsed="false">
      <c r="A15517" s="34" t="n">
        <v>26666665000122</v>
      </c>
      <c r="B15517" s="34" t="s">
        <v>28834</v>
      </c>
      <c r="C15517" s="34" t="s">
        <v>89</v>
      </c>
      <c r="E15517" s="30" t="s">
        <v>28835</v>
      </c>
      <c r="F15517" s="34" t="n">
        <f aca="false">IFERROR(VLOOKUP($A15517,'319'!$B:$H,7,0),0)</f>
        <v>0</v>
      </c>
      <c r="G15517" s="34" t="n">
        <f aca="false">SUMIFS('12.326ana'!$C:$C,'12.326ana'!$M:$M,redes!A15517)</f>
        <v>0</v>
      </c>
    </row>
    <row r="15518" customFormat="false" ht="14.4" hidden="true" customHeight="false" outlineLevel="0" collapsed="false">
      <c r="A15518" s="34" t="n">
        <v>26668383000164</v>
      </c>
      <c r="B15518" s="34" t="s">
        <v>28836</v>
      </c>
      <c r="C15518" s="34" t="s">
        <v>299</v>
      </c>
      <c r="E15518" s="30" t="s">
        <v>28837</v>
      </c>
      <c r="F15518" s="34" t="n">
        <f aca="false">IFERROR(VLOOKUP($A15518,'319'!$B:$H,7,0),0)</f>
        <v>0</v>
      </c>
      <c r="G15518" s="34" t="n">
        <f aca="false">SUMIFS('12.326ana'!$C:$C,'12.326ana'!$M:$M,redes!A15518)</f>
        <v>0</v>
      </c>
    </row>
    <row r="15519" customFormat="false" ht="14.4" hidden="true" customHeight="false" outlineLevel="0" collapsed="false">
      <c r="A15519" s="34" t="n">
        <v>26676257000151</v>
      </c>
      <c r="B15519" s="34" t="s">
        <v>28838</v>
      </c>
      <c r="C15519" s="34" t="s">
        <v>342</v>
      </c>
      <c r="E15519" s="30" t="s">
        <v>28839</v>
      </c>
      <c r="F15519" s="34" t="n">
        <f aca="false">IFERROR(VLOOKUP($A15519,'319'!$B:$H,7,0),0)</f>
        <v>3437.91</v>
      </c>
      <c r="G15519" s="34" t="n">
        <f aca="false">SUMIFS('12.326ana'!$C:$C,'12.326ana'!$M:$M,redes!A15519)</f>
        <v>0</v>
      </c>
    </row>
    <row r="15520" customFormat="false" ht="14.4" hidden="true" customHeight="false" outlineLevel="0" collapsed="false">
      <c r="A15520" s="34" t="n">
        <v>26706252000124</v>
      </c>
      <c r="B15520" s="34" t="s">
        <v>28840</v>
      </c>
      <c r="C15520" s="34" t="s">
        <v>77</v>
      </c>
      <c r="E15520" s="30" t="s">
        <v>28841</v>
      </c>
      <c r="F15520" s="34" t="n">
        <f aca="false">IFERROR(VLOOKUP($A15520,'319'!$B:$H,7,0),0)</f>
        <v>0</v>
      </c>
      <c r="G15520" s="34" t="n">
        <f aca="false">SUMIFS('12.326ana'!$C:$C,'12.326ana'!$M:$M,redes!A15520)</f>
        <v>0</v>
      </c>
    </row>
    <row r="15521" customFormat="false" ht="14.4" hidden="true" customHeight="false" outlineLevel="0" collapsed="false">
      <c r="A15521" s="34" t="n">
        <v>26711225000140</v>
      </c>
      <c r="B15521" s="34" t="s">
        <v>28842</v>
      </c>
      <c r="C15521" s="34" t="s">
        <v>77</v>
      </c>
      <c r="E15521" s="30" t="s">
        <v>28843</v>
      </c>
      <c r="F15521" s="34" t="n">
        <f aca="false">IFERROR(VLOOKUP($A15521,'319'!$B:$H,7,0),0)</f>
        <v>0</v>
      </c>
      <c r="G15521" s="34" t="n">
        <f aca="false">SUMIFS('12.326ana'!$C:$C,'12.326ana'!$M:$M,redes!A15521)</f>
        <v>0</v>
      </c>
    </row>
    <row r="15522" customFormat="false" ht="14.4" hidden="true" customHeight="false" outlineLevel="0" collapsed="false">
      <c r="A15522" s="34" t="n">
        <v>26712595000100</v>
      </c>
      <c r="B15522" s="34" t="s">
        <v>28844</v>
      </c>
      <c r="C15522" s="34" t="s">
        <v>77</v>
      </c>
      <c r="E15522" s="30" t="s">
        <v>28845</v>
      </c>
      <c r="F15522" s="34" t="n">
        <f aca="false">IFERROR(VLOOKUP($A15522,'319'!$B:$H,7,0),0)</f>
        <v>0</v>
      </c>
      <c r="G15522" s="34" t="n">
        <f aca="false">SUMIFS('12.326ana'!$C:$C,'12.326ana'!$M:$M,redes!A15522)</f>
        <v>0</v>
      </c>
    </row>
    <row r="15523" customFormat="false" ht="14.4" hidden="true" customHeight="false" outlineLevel="0" collapsed="false">
      <c r="A15523" s="34" t="n">
        <v>26717748000101</v>
      </c>
      <c r="B15523" s="34" t="s">
        <v>28846</v>
      </c>
      <c r="C15523" s="34" t="s">
        <v>107</v>
      </c>
      <c r="E15523" s="30" t="s">
        <v>28847</v>
      </c>
      <c r="F15523" s="34" t="n">
        <f aca="false">IFERROR(VLOOKUP($A15523,'319'!$B:$H,7,0),0)</f>
        <v>0</v>
      </c>
      <c r="G15523" s="34" t="n">
        <f aca="false">SUMIFS('12.326ana'!$C:$C,'12.326ana'!$M:$M,redes!A15523)</f>
        <v>0</v>
      </c>
    </row>
    <row r="15524" customFormat="false" ht="14.4" hidden="true" customHeight="false" outlineLevel="0" collapsed="false">
      <c r="A15524" s="34" t="n">
        <v>26719647000161</v>
      </c>
      <c r="B15524" s="34" t="s">
        <v>28848</v>
      </c>
      <c r="C15524" s="34" t="s">
        <v>77</v>
      </c>
      <c r="E15524" s="30" t="s">
        <v>16447</v>
      </c>
      <c r="F15524" s="34" t="n">
        <f aca="false">IFERROR(VLOOKUP($A15524,'319'!$B:$H,7,0),0)</f>
        <v>0</v>
      </c>
      <c r="G15524" s="34" t="n">
        <f aca="false">SUMIFS('12.326ana'!$C:$C,'12.326ana'!$M:$M,redes!A15524)</f>
        <v>0</v>
      </c>
    </row>
    <row r="15525" customFormat="false" ht="14.4" hidden="true" customHeight="false" outlineLevel="0" collapsed="false">
      <c r="A15525" s="34" t="n">
        <v>26721216000130</v>
      </c>
      <c r="B15525" s="34" t="s">
        <v>28849</v>
      </c>
      <c r="C15525" s="34" t="s">
        <v>197</v>
      </c>
      <c r="E15525" s="30" t="s">
        <v>28850</v>
      </c>
      <c r="F15525" s="34" t="n">
        <f aca="false">IFERROR(VLOOKUP($A15525,'319'!$B:$H,7,0),0)</f>
        <v>0</v>
      </c>
      <c r="G15525" s="34" t="n">
        <f aca="false">SUMIFS('12.326ana'!$C:$C,'12.326ana'!$M:$M,redes!A15525)</f>
        <v>0</v>
      </c>
    </row>
    <row r="15526" customFormat="false" ht="14.4" hidden="true" customHeight="false" outlineLevel="0" collapsed="false">
      <c r="A15526" s="34" t="n">
        <v>26726267000154</v>
      </c>
      <c r="B15526" s="34" t="s">
        <v>28851</v>
      </c>
      <c r="C15526" s="34" t="s">
        <v>139</v>
      </c>
      <c r="E15526" s="30" t="s">
        <v>28851</v>
      </c>
      <c r="F15526" s="34" t="n">
        <f aca="false">IFERROR(VLOOKUP($A15526,'319'!$B:$H,7,0),0)</f>
        <v>0</v>
      </c>
      <c r="G15526" s="34" t="n">
        <f aca="false">SUMIFS('12.326ana'!$C:$C,'12.326ana'!$M:$M,redes!A15526)</f>
        <v>0</v>
      </c>
    </row>
    <row r="15527" customFormat="false" ht="14.4" hidden="true" customHeight="false" outlineLevel="0" collapsed="false">
      <c r="A15527" s="34" t="n">
        <v>26734199000175</v>
      </c>
      <c r="B15527" s="34" t="s">
        <v>28852</v>
      </c>
      <c r="C15527" s="34" t="s">
        <v>77</v>
      </c>
      <c r="E15527" s="30" t="s">
        <v>28853</v>
      </c>
      <c r="F15527" s="34" t="n">
        <f aca="false">IFERROR(VLOOKUP($A15527,'319'!$B:$H,7,0),0)</f>
        <v>0</v>
      </c>
      <c r="G15527" s="34" t="n">
        <f aca="false">SUMIFS('12.326ana'!$C:$C,'12.326ana'!$M:$M,redes!A15527)</f>
        <v>0</v>
      </c>
    </row>
    <row r="15528" customFormat="false" ht="14.4" hidden="true" customHeight="false" outlineLevel="0" collapsed="false">
      <c r="A15528" s="34" t="n">
        <v>26735501000100</v>
      </c>
      <c r="B15528" s="34" t="s">
        <v>28854</v>
      </c>
      <c r="C15528" s="34" t="s">
        <v>328</v>
      </c>
      <c r="E15528" s="30" t="s">
        <v>3765</v>
      </c>
      <c r="F15528" s="34" t="n">
        <f aca="false">IFERROR(VLOOKUP($A15528,'319'!$B:$H,7,0),0)</f>
        <v>0</v>
      </c>
      <c r="G15528" s="34" t="n">
        <f aca="false">SUMIFS('12.326ana'!$C:$C,'12.326ana'!$M:$M,redes!A15528)</f>
        <v>0</v>
      </c>
    </row>
    <row r="15529" customFormat="false" ht="14.4" hidden="true" customHeight="false" outlineLevel="0" collapsed="false">
      <c r="A15529" s="34" t="n">
        <v>26739669000193</v>
      </c>
      <c r="B15529" s="34" t="s">
        <v>28855</v>
      </c>
      <c r="C15529" s="34" t="s">
        <v>139</v>
      </c>
      <c r="E15529" s="30" t="s">
        <v>4821</v>
      </c>
      <c r="F15529" s="34" t="n">
        <f aca="false">IFERROR(VLOOKUP($A15529,'319'!$B:$H,7,0),0)</f>
        <v>0</v>
      </c>
      <c r="G15529" s="34" t="n">
        <f aca="false">SUMIFS('12.326ana'!$C:$C,'12.326ana'!$M:$M,redes!A15529)</f>
        <v>0</v>
      </c>
    </row>
    <row r="15530" customFormat="false" ht="14.4" hidden="true" customHeight="false" outlineLevel="0" collapsed="false">
      <c r="A15530" s="34" t="n">
        <v>26747708000102</v>
      </c>
      <c r="B15530" s="34" t="s">
        <v>28856</v>
      </c>
      <c r="C15530" s="34" t="s">
        <v>107</v>
      </c>
      <c r="E15530" s="30" t="s">
        <v>28857</v>
      </c>
      <c r="F15530" s="34" t="n">
        <f aca="false">IFERROR(VLOOKUP($A15530,'319'!$B:$H,7,0),0)</f>
        <v>0</v>
      </c>
      <c r="G15530" s="34" t="n">
        <f aca="false">SUMIFS('12.326ana'!$C:$C,'12.326ana'!$M:$M,redes!A15530)</f>
        <v>0</v>
      </c>
    </row>
    <row r="15531" customFormat="false" ht="14.4" hidden="true" customHeight="false" outlineLevel="0" collapsed="false">
      <c r="A15531" s="34" t="n">
        <v>26752937000107</v>
      </c>
      <c r="B15531" s="34" t="s">
        <v>28858</v>
      </c>
      <c r="C15531" s="34" t="s">
        <v>89</v>
      </c>
      <c r="E15531" s="30" t="s">
        <v>28859</v>
      </c>
      <c r="F15531" s="34" t="n">
        <f aca="false">IFERROR(VLOOKUP($A15531,'319'!$B:$H,7,0),0)</f>
        <v>0</v>
      </c>
      <c r="G15531" s="34" t="n">
        <f aca="false">SUMIFS('12.326ana'!$C:$C,'12.326ana'!$M:$M,redes!A15531)</f>
        <v>0</v>
      </c>
    </row>
    <row r="15532" customFormat="false" ht="14.4" hidden="true" customHeight="false" outlineLevel="0" collapsed="false">
      <c r="A15532" s="34" t="n">
        <v>26753203000142</v>
      </c>
      <c r="B15532" s="34" t="s">
        <v>28860</v>
      </c>
      <c r="C15532" s="34" t="s">
        <v>77</v>
      </c>
      <c r="E15532" s="30" t="s">
        <v>28861</v>
      </c>
      <c r="F15532" s="34" t="n">
        <f aca="false">IFERROR(VLOOKUP($A15532,'319'!$B:$H,7,0),0)</f>
        <v>0</v>
      </c>
      <c r="G15532" s="34" t="n">
        <f aca="false">SUMIFS('12.326ana'!$C:$C,'12.326ana'!$M:$M,redes!A15532)</f>
        <v>0</v>
      </c>
    </row>
    <row r="15533" customFormat="false" ht="14.4" hidden="true" customHeight="false" outlineLevel="0" collapsed="false">
      <c r="A15533" s="34" t="n">
        <v>26755920000103</v>
      </c>
      <c r="B15533" s="34" t="s">
        <v>28862</v>
      </c>
      <c r="C15533" s="34" t="s">
        <v>77</v>
      </c>
      <c r="E15533" s="30" t="s">
        <v>28863</v>
      </c>
      <c r="F15533" s="34" t="n">
        <f aca="false">IFERROR(VLOOKUP($A15533,'319'!$B:$H,7,0),0)</f>
        <v>0</v>
      </c>
      <c r="G15533" s="34" t="n">
        <f aca="false">SUMIFS('12.326ana'!$C:$C,'12.326ana'!$M:$M,redes!A15533)</f>
        <v>0</v>
      </c>
    </row>
    <row r="15534" customFormat="false" ht="14.4" hidden="true" customHeight="false" outlineLevel="0" collapsed="false">
      <c r="A15534" s="34" t="n">
        <v>26764311000110</v>
      </c>
      <c r="B15534" s="34" t="s">
        <v>28864</v>
      </c>
      <c r="C15534" s="34" t="s">
        <v>77</v>
      </c>
      <c r="E15534" s="30" t="s">
        <v>28865</v>
      </c>
      <c r="F15534" s="34" t="n">
        <f aca="false">IFERROR(VLOOKUP($A15534,'319'!$B:$H,7,0),0)</f>
        <v>0</v>
      </c>
      <c r="G15534" s="34" t="n">
        <f aca="false">SUMIFS('12.326ana'!$C:$C,'12.326ana'!$M:$M,redes!A15534)</f>
        <v>0</v>
      </c>
    </row>
    <row r="15535" customFormat="false" ht="14.4" hidden="true" customHeight="false" outlineLevel="0" collapsed="false">
      <c r="A15535" s="34" t="n">
        <v>26797400000163</v>
      </c>
      <c r="B15535" s="34" t="s">
        <v>28866</v>
      </c>
      <c r="C15535" s="34" t="s">
        <v>1680</v>
      </c>
      <c r="E15535" s="30" t="s">
        <v>28867</v>
      </c>
      <c r="F15535" s="34" t="n">
        <f aca="false">IFERROR(VLOOKUP($A15535,'319'!$B:$H,7,0),0)</f>
        <v>0</v>
      </c>
      <c r="G15535" s="34" t="n">
        <f aca="false">SUMIFS('12.326ana'!$C:$C,'12.326ana'!$M:$M,redes!A15535)</f>
        <v>0</v>
      </c>
    </row>
    <row r="15536" customFormat="false" ht="14.4" hidden="true" customHeight="false" outlineLevel="0" collapsed="false">
      <c r="A15536" s="34" t="n">
        <v>26802383000105</v>
      </c>
      <c r="B15536" s="34" t="s">
        <v>28868</v>
      </c>
      <c r="C15536" s="34" t="s">
        <v>448</v>
      </c>
      <c r="E15536" s="30" t="s">
        <v>28869</v>
      </c>
      <c r="F15536" s="34" t="n">
        <f aca="false">IFERROR(VLOOKUP($A15536,'319'!$B:$H,7,0),0)</f>
        <v>0</v>
      </c>
      <c r="G15536" s="34" t="n">
        <f aca="false">SUMIFS('12.326ana'!$C:$C,'12.326ana'!$M:$M,redes!A15536)</f>
        <v>0</v>
      </c>
    </row>
    <row r="15537" customFormat="false" ht="14.4" hidden="true" customHeight="false" outlineLevel="0" collapsed="false">
      <c r="A15537" s="34" t="n">
        <v>26811914000126</v>
      </c>
      <c r="B15537" s="34" t="s">
        <v>28870</v>
      </c>
      <c r="C15537" s="34" t="s">
        <v>77</v>
      </c>
      <c r="E15537" s="30" t="s">
        <v>28871</v>
      </c>
      <c r="F15537" s="34" t="n">
        <f aca="false">IFERROR(VLOOKUP($A15537,'319'!$B:$H,7,0),0)</f>
        <v>0</v>
      </c>
      <c r="G15537" s="34" t="n">
        <f aca="false">SUMIFS('12.326ana'!$C:$C,'12.326ana'!$M:$M,redes!A15537)</f>
        <v>0</v>
      </c>
    </row>
    <row r="15538" customFormat="false" ht="14.4" hidden="true" customHeight="false" outlineLevel="0" collapsed="false">
      <c r="A15538" s="34" t="n">
        <v>26813652000139</v>
      </c>
      <c r="B15538" s="34" t="s">
        <v>28872</v>
      </c>
      <c r="C15538" s="34" t="s">
        <v>77</v>
      </c>
      <c r="E15538" s="30" t="s">
        <v>28873</v>
      </c>
      <c r="F15538" s="34" t="n">
        <f aca="false">IFERROR(VLOOKUP($A15538,'319'!$B:$H,7,0),0)</f>
        <v>0</v>
      </c>
      <c r="G15538" s="34" t="n">
        <f aca="false">SUMIFS('12.326ana'!$C:$C,'12.326ana'!$M:$M,redes!A15538)</f>
        <v>0</v>
      </c>
    </row>
    <row r="15539" customFormat="false" ht="14.4" hidden="true" customHeight="false" outlineLevel="0" collapsed="false">
      <c r="A15539" s="34" t="n">
        <v>26814822000108</v>
      </c>
      <c r="B15539" s="34" t="s">
        <v>28874</v>
      </c>
      <c r="C15539" s="34" t="s">
        <v>309</v>
      </c>
      <c r="E15539" s="30" t="s">
        <v>13198</v>
      </c>
      <c r="F15539" s="34" t="n">
        <f aca="false">IFERROR(VLOOKUP($A15539,'319'!$B:$H,7,0),0)</f>
        <v>0</v>
      </c>
      <c r="G15539" s="34" t="n">
        <f aca="false">SUMIFS('12.326ana'!$C:$C,'12.326ana'!$M:$M,redes!A15539)</f>
        <v>0</v>
      </c>
    </row>
    <row r="15540" customFormat="false" ht="14.4" hidden="true" customHeight="false" outlineLevel="0" collapsed="false">
      <c r="A15540" s="34" t="n">
        <v>26815811000134</v>
      </c>
      <c r="B15540" s="34" t="s">
        <v>28875</v>
      </c>
      <c r="C15540" s="34" t="s">
        <v>594</v>
      </c>
      <c r="E15540" s="30" t="s">
        <v>28876</v>
      </c>
      <c r="F15540" s="34" t="n">
        <f aca="false">IFERROR(VLOOKUP($A15540,'319'!$B:$H,7,0),0)</f>
        <v>0</v>
      </c>
      <c r="G15540" s="34" t="n">
        <f aca="false">SUMIFS('12.326ana'!$C:$C,'12.326ana'!$M:$M,redes!A15540)</f>
        <v>0</v>
      </c>
    </row>
    <row r="15541" customFormat="false" ht="14.4" hidden="true" customHeight="false" outlineLevel="0" collapsed="false">
      <c r="A15541" s="34" t="n">
        <v>26815845000129</v>
      </c>
      <c r="B15541" s="34" t="s">
        <v>28877</v>
      </c>
      <c r="C15541" s="34" t="s">
        <v>139</v>
      </c>
      <c r="E15541" s="30" t="s">
        <v>28878</v>
      </c>
      <c r="F15541" s="34" t="n">
        <f aca="false">IFERROR(VLOOKUP($A15541,'319'!$B:$H,7,0),0)</f>
        <v>0</v>
      </c>
      <c r="G15541" s="34" t="n">
        <f aca="false">SUMIFS('12.326ana'!$C:$C,'12.326ana'!$M:$M,redes!A15541)</f>
        <v>0</v>
      </c>
    </row>
    <row r="15542" customFormat="false" ht="14.4" hidden="true" customHeight="false" outlineLevel="0" collapsed="false">
      <c r="A15542" s="34" t="n">
        <v>26815951000102</v>
      </c>
      <c r="B15542" s="34" t="s">
        <v>28879</v>
      </c>
      <c r="C15542" s="34" t="s">
        <v>107</v>
      </c>
      <c r="E15542" s="30" t="s">
        <v>4373</v>
      </c>
      <c r="F15542" s="34" t="n">
        <f aca="false">IFERROR(VLOOKUP($A15542,'319'!$B:$H,7,0),0)</f>
        <v>0</v>
      </c>
      <c r="G15542" s="34" t="n">
        <f aca="false">SUMIFS('12.326ana'!$C:$C,'12.326ana'!$M:$M,redes!A15542)</f>
        <v>0</v>
      </c>
    </row>
    <row r="15543" customFormat="false" ht="14.4" hidden="true" customHeight="false" outlineLevel="0" collapsed="false">
      <c r="A15543" s="34" t="n">
        <v>26816256000165</v>
      </c>
      <c r="B15543" s="34" t="s">
        <v>28880</v>
      </c>
      <c r="C15543" s="34" t="s">
        <v>464</v>
      </c>
      <c r="E15543" s="30" t="s">
        <v>28881</v>
      </c>
      <c r="F15543" s="34" t="n">
        <f aca="false">IFERROR(VLOOKUP($A15543,'319'!$B:$H,7,0),0)</f>
        <v>0</v>
      </c>
      <c r="G15543" s="34" t="n">
        <f aca="false">SUMIFS('12.326ana'!$C:$C,'12.326ana'!$M:$M,redes!A15543)</f>
        <v>0</v>
      </c>
    </row>
    <row r="15544" customFormat="false" ht="14.4" hidden="true" customHeight="false" outlineLevel="0" collapsed="false">
      <c r="A15544" s="34" t="n">
        <v>26816314000150</v>
      </c>
      <c r="B15544" s="34" t="s">
        <v>28882</v>
      </c>
      <c r="C15544" s="34" t="s">
        <v>107</v>
      </c>
      <c r="E15544" s="30" t="s">
        <v>18724</v>
      </c>
      <c r="F15544" s="34" t="n">
        <f aca="false">IFERROR(VLOOKUP($A15544,'319'!$B:$H,7,0),0)</f>
        <v>0</v>
      </c>
      <c r="G15544" s="34" t="n">
        <f aca="false">SUMIFS('12.326ana'!$C:$C,'12.326ana'!$M:$M,redes!A15544)</f>
        <v>0</v>
      </c>
    </row>
    <row r="15545" customFormat="false" ht="14.4" hidden="true" customHeight="false" outlineLevel="0" collapsed="false">
      <c r="A15545" s="34" t="n">
        <v>26817577000184</v>
      </c>
      <c r="B15545" s="34" t="s">
        <v>28883</v>
      </c>
      <c r="C15545" s="34" t="s">
        <v>197</v>
      </c>
      <c r="E15545" s="30" t="s">
        <v>28884</v>
      </c>
      <c r="F15545" s="34" t="n">
        <f aca="false">IFERROR(VLOOKUP($A15545,'319'!$B:$H,7,0),0)</f>
        <v>0</v>
      </c>
      <c r="G15545" s="34" t="n">
        <f aca="false">SUMIFS('12.326ana'!$C:$C,'12.326ana'!$M:$M,redes!A15545)</f>
        <v>0</v>
      </c>
    </row>
    <row r="15546" customFormat="false" ht="14.4" hidden="true" customHeight="false" outlineLevel="0" collapsed="false">
      <c r="A15546" s="34" t="n">
        <v>26817668000110</v>
      </c>
      <c r="B15546" s="34" t="s">
        <v>28885</v>
      </c>
      <c r="C15546" s="34" t="s">
        <v>103</v>
      </c>
      <c r="E15546" s="30" t="s">
        <v>28886</v>
      </c>
      <c r="F15546" s="34" t="n">
        <f aca="false">IFERROR(VLOOKUP($A15546,'319'!$B:$H,7,0),0)</f>
        <v>0</v>
      </c>
      <c r="G15546" s="34" t="n">
        <f aca="false">SUMIFS('12.326ana'!$C:$C,'12.326ana'!$M:$M,redes!A15546)</f>
        <v>0</v>
      </c>
    </row>
    <row r="15547" customFormat="false" ht="14.4" hidden="true" customHeight="false" outlineLevel="0" collapsed="false">
      <c r="A15547" s="34" t="n">
        <v>26818989000139</v>
      </c>
      <c r="B15547" s="34" t="s">
        <v>28887</v>
      </c>
      <c r="C15547" s="34" t="s">
        <v>77</v>
      </c>
      <c r="E15547" s="30" t="s">
        <v>28888</v>
      </c>
      <c r="F15547" s="34" t="n">
        <f aca="false">IFERROR(VLOOKUP($A15547,'319'!$B:$H,7,0),0)</f>
        <v>0</v>
      </c>
      <c r="G15547" s="34" t="n">
        <f aca="false">SUMIFS('12.326ana'!$C:$C,'12.326ana'!$M:$M,redes!A15547)</f>
        <v>0</v>
      </c>
    </row>
    <row r="15548" customFormat="false" ht="14.4" hidden="true" customHeight="false" outlineLevel="0" collapsed="false">
      <c r="A15548" s="34" t="n">
        <v>26819342000121</v>
      </c>
      <c r="B15548" s="34" t="s">
        <v>1352</v>
      </c>
      <c r="C15548" s="34" t="s">
        <v>192</v>
      </c>
      <c r="E15548" s="30" t="s">
        <v>5180</v>
      </c>
      <c r="F15548" s="34" t="n">
        <f aca="false">IFERROR(VLOOKUP($A15548,'319'!$B:$H,7,0),0)</f>
        <v>250.33</v>
      </c>
      <c r="G15548" s="34" t="n">
        <f aca="false">SUMIFS('12.326ana'!$C:$C,'12.326ana'!$M:$M,redes!A15548)</f>
        <v>0</v>
      </c>
    </row>
    <row r="15549" customFormat="false" ht="14.4" hidden="true" customHeight="false" outlineLevel="0" collapsed="false">
      <c r="A15549" s="34" t="n">
        <v>26819961000116</v>
      </c>
      <c r="B15549" s="34" t="s">
        <v>28889</v>
      </c>
      <c r="C15549" s="34" t="s">
        <v>77</v>
      </c>
      <c r="E15549" s="30" t="s">
        <v>28890</v>
      </c>
      <c r="F15549" s="34" t="n">
        <f aca="false">IFERROR(VLOOKUP($A15549,'319'!$B:$H,7,0),0)</f>
        <v>0</v>
      </c>
      <c r="G15549" s="34" t="n">
        <f aca="false">SUMIFS('12.326ana'!$C:$C,'12.326ana'!$M:$M,redes!A15549)</f>
        <v>0</v>
      </c>
    </row>
    <row r="15550" customFormat="false" ht="14.4" hidden="true" customHeight="false" outlineLevel="0" collapsed="false">
      <c r="A15550" s="34" t="n">
        <v>26820340000152</v>
      </c>
      <c r="B15550" s="34" t="s">
        <v>28891</v>
      </c>
      <c r="C15550" s="34" t="s">
        <v>77</v>
      </c>
      <c r="E15550" s="30" t="s">
        <v>3683</v>
      </c>
      <c r="F15550" s="34" t="n">
        <f aca="false">IFERROR(VLOOKUP($A15550,'319'!$B:$H,7,0),0)</f>
        <v>0</v>
      </c>
      <c r="G15550" s="34" t="n">
        <f aca="false">SUMIFS('12.326ana'!$C:$C,'12.326ana'!$M:$M,redes!A15550)</f>
        <v>0</v>
      </c>
    </row>
    <row r="15551" customFormat="false" ht="14.4" hidden="true" customHeight="false" outlineLevel="0" collapsed="false">
      <c r="A15551" s="34" t="n">
        <v>26820662000100</v>
      </c>
      <c r="B15551" s="34" t="s">
        <v>28892</v>
      </c>
      <c r="C15551" s="34" t="s">
        <v>351</v>
      </c>
      <c r="D15551" s="34" t="s">
        <v>33</v>
      </c>
      <c r="E15551" s="30" t="s">
        <v>28893</v>
      </c>
      <c r="F15551" s="34" t="n">
        <f aca="false">IFERROR(VLOOKUP($A15551,'319'!$B:$H,7,0),0)</f>
        <v>0</v>
      </c>
      <c r="G15551" s="34" t="n">
        <f aca="false">SUMIFS('12.326ana'!$C:$C,'12.326ana'!$M:$M,redes!A15551)</f>
        <v>0</v>
      </c>
    </row>
    <row r="15552" customFormat="false" ht="14.4" hidden="true" customHeight="false" outlineLevel="0" collapsed="false">
      <c r="A15552" s="34" t="n">
        <v>26820969000100</v>
      </c>
      <c r="B15552" s="34" t="s">
        <v>28894</v>
      </c>
      <c r="C15552" s="34" t="s">
        <v>117</v>
      </c>
      <c r="E15552" s="30" t="s">
        <v>28895</v>
      </c>
      <c r="F15552" s="34" t="n">
        <f aca="false">IFERROR(VLOOKUP($A15552,'319'!$B:$H,7,0),0)</f>
        <v>0</v>
      </c>
      <c r="G15552" s="34" t="n">
        <f aca="false">SUMIFS('12.326ana'!$C:$C,'12.326ana'!$M:$M,redes!A15552)</f>
        <v>0</v>
      </c>
    </row>
    <row r="15553" customFormat="false" ht="14.4" hidden="true" customHeight="false" outlineLevel="0" collapsed="false">
      <c r="A15553" s="34" t="n">
        <v>26822403000100</v>
      </c>
      <c r="B15553" s="34" t="s">
        <v>28896</v>
      </c>
      <c r="C15553" s="34" t="s">
        <v>77</v>
      </c>
      <c r="E15553" s="30" t="s">
        <v>28897</v>
      </c>
      <c r="F15553" s="34" t="n">
        <f aca="false">IFERROR(VLOOKUP($A15553,'319'!$B:$H,7,0),0)</f>
        <v>0</v>
      </c>
      <c r="G15553" s="34" t="n">
        <f aca="false">SUMIFS('12.326ana'!$C:$C,'12.326ana'!$M:$M,redes!A15553)</f>
        <v>0</v>
      </c>
    </row>
    <row r="15554" customFormat="false" ht="14.4" hidden="true" customHeight="false" outlineLevel="0" collapsed="false">
      <c r="A15554" s="34" t="n">
        <v>26822643000104</v>
      </c>
      <c r="B15554" s="34" t="s">
        <v>28898</v>
      </c>
      <c r="C15554" s="34" t="s">
        <v>935</v>
      </c>
      <c r="E15554" s="30" t="s">
        <v>28899</v>
      </c>
      <c r="F15554" s="34" t="n">
        <f aca="false">IFERROR(VLOOKUP($A15554,'319'!$B:$H,7,0),0)</f>
        <v>0</v>
      </c>
      <c r="G15554" s="34" t="n">
        <f aca="false">SUMIFS('12.326ana'!$C:$C,'12.326ana'!$M:$M,redes!A15554)</f>
        <v>0</v>
      </c>
    </row>
    <row r="15555" customFormat="false" ht="14.4" hidden="true" customHeight="false" outlineLevel="0" collapsed="false">
      <c r="A15555" s="34" t="n">
        <v>26822973000108</v>
      </c>
      <c r="B15555" s="34" t="s">
        <v>28900</v>
      </c>
      <c r="C15555" s="34" t="s">
        <v>103</v>
      </c>
      <c r="E15555" s="30" t="s">
        <v>28901</v>
      </c>
      <c r="F15555" s="34" t="n">
        <f aca="false">IFERROR(VLOOKUP($A15555,'319'!$B:$H,7,0),0)</f>
        <v>0</v>
      </c>
      <c r="G15555" s="34" t="n">
        <f aca="false">SUMIFS('12.326ana'!$C:$C,'12.326ana'!$M:$M,redes!A15555)</f>
        <v>0</v>
      </c>
    </row>
    <row r="15556" customFormat="false" ht="14.4" hidden="true" customHeight="false" outlineLevel="0" collapsed="false">
      <c r="A15556" s="34" t="n">
        <v>26823005000108</v>
      </c>
      <c r="B15556" s="34" t="s">
        <v>28902</v>
      </c>
      <c r="C15556" s="34" t="s">
        <v>77</v>
      </c>
      <c r="E15556" s="30" t="s">
        <v>28903</v>
      </c>
      <c r="F15556" s="34" t="n">
        <f aca="false">IFERROR(VLOOKUP($A15556,'319'!$B:$H,7,0),0)</f>
        <v>0</v>
      </c>
      <c r="G15556" s="34" t="n">
        <f aca="false">SUMIFS('12.326ana'!$C:$C,'12.326ana'!$M:$M,redes!A15556)</f>
        <v>0</v>
      </c>
    </row>
    <row r="15557" customFormat="false" ht="14.4" hidden="true" customHeight="false" outlineLevel="0" collapsed="false">
      <c r="A15557" s="34" t="n">
        <v>26823591000190</v>
      </c>
      <c r="B15557" s="34" t="s">
        <v>28904</v>
      </c>
      <c r="C15557" s="34" t="s">
        <v>1054</v>
      </c>
      <c r="E15557" s="30" t="s">
        <v>28905</v>
      </c>
      <c r="F15557" s="34" t="n">
        <f aca="false">IFERROR(VLOOKUP($A15557,'319'!$B:$H,7,0),0)</f>
        <v>0</v>
      </c>
      <c r="G15557" s="34" t="n">
        <f aca="false">SUMIFS('12.326ana'!$C:$C,'12.326ana'!$M:$M,redes!A15557)</f>
        <v>0</v>
      </c>
    </row>
    <row r="15558" customFormat="false" ht="14.4" hidden="true" customHeight="false" outlineLevel="0" collapsed="false">
      <c r="A15558" s="34" t="n">
        <v>26823807000118</v>
      </c>
      <c r="B15558" s="34" t="s">
        <v>28906</v>
      </c>
      <c r="C15558" s="34" t="s">
        <v>342</v>
      </c>
      <c r="E15558" s="30" t="s">
        <v>28907</v>
      </c>
      <c r="F15558" s="34" t="n">
        <f aca="false">IFERROR(VLOOKUP($A15558,'319'!$B:$H,7,0),0)</f>
        <v>0</v>
      </c>
      <c r="G15558" s="34" t="n">
        <f aca="false">SUMIFS('12.326ana'!$C:$C,'12.326ana'!$M:$M,redes!A15558)</f>
        <v>0</v>
      </c>
    </row>
    <row r="15559" customFormat="false" ht="14.4" hidden="true" customHeight="false" outlineLevel="0" collapsed="false">
      <c r="A15559" s="34" t="n">
        <v>26824512000166</v>
      </c>
      <c r="B15559" s="34" t="s">
        <v>28908</v>
      </c>
      <c r="C15559" s="34" t="s">
        <v>781</v>
      </c>
      <c r="E15559" s="30" t="s">
        <v>28909</v>
      </c>
      <c r="F15559" s="34" t="n">
        <f aca="false">IFERROR(VLOOKUP($A15559,'319'!$B:$H,7,0),0)</f>
        <v>0</v>
      </c>
      <c r="G15559" s="34" t="n">
        <f aca="false">SUMIFS('12.326ana'!$C:$C,'12.326ana'!$M:$M,redes!A15559)</f>
        <v>0</v>
      </c>
    </row>
    <row r="15560" customFormat="false" ht="14.4" hidden="true" customHeight="false" outlineLevel="0" collapsed="false">
      <c r="A15560" s="34" t="n">
        <v>26825174000187</v>
      </c>
      <c r="B15560" s="34" t="s">
        <v>28910</v>
      </c>
      <c r="C15560" s="34" t="s">
        <v>103</v>
      </c>
      <c r="E15560" s="30" t="s">
        <v>28911</v>
      </c>
      <c r="F15560" s="34" t="n">
        <f aca="false">IFERROR(VLOOKUP($A15560,'319'!$B:$H,7,0),0)</f>
        <v>0</v>
      </c>
      <c r="G15560" s="34" t="n">
        <f aca="false">SUMIFS('12.326ana'!$C:$C,'12.326ana'!$M:$M,redes!A15560)</f>
        <v>0</v>
      </c>
    </row>
    <row r="15561" customFormat="false" ht="14.4" hidden="true" customHeight="false" outlineLevel="0" collapsed="false">
      <c r="A15561" s="34" t="n">
        <v>26825935000109</v>
      </c>
      <c r="B15561" s="34" t="s">
        <v>28912</v>
      </c>
      <c r="C15561" s="34" t="s">
        <v>207</v>
      </c>
      <c r="D15561" s="34" t="s">
        <v>4797</v>
      </c>
      <c r="E15561" s="30" t="s">
        <v>28913</v>
      </c>
      <c r="F15561" s="34" t="n">
        <f aca="false">IFERROR(VLOOKUP($A15561,'319'!$B:$H,7,0),0)</f>
        <v>0</v>
      </c>
      <c r="G15561" s="34" t="n">
        <f aca="false">SUMIFS('12.326ana'!$C:$C,'12.326ana'!$M:$M,redes!A15561)</f>
        <v>0</v>
      </c>
    </row>
    <row r="15562" customFormat="false" ht="14.4" hidden="true" customHeight="false" outlineLevel="0" collapsed="false">
      <c r="A15562" s="34" t="n">
        <v>26826172000102</v>
      </c>
      <c r="B15562" s="34" t="s">
        <v>28914</v>
      </c>
      <c r="C15562" s="34" t="s">
        <v>197</v>
      </c>
      <c r="E15562" s="30"/>
      <c r="F15562" s="34" t="n">
        <f aca="false">IFERROR(VLOOKUP($A15562,'319'!$B:$H,7,0),0)</f>
        <v>0</v>
      </c>
      <c r="G15562" s="34" t="n">
        <f aca="false">SUMIFS('12.326ana'!$C:$C,'12.326ana'!$M:$M,redes!A15562)</f>
        <v>0</v>
      </c>
    </row>
    <row r="15563" customFormat="false" ht="14.4" hidden="true" customHeight="false" outlineLevel="0" collapsed="false">
      <c r="A15563" s="34" t="n">
        <v>26826529000152</v>
      </c>
      <c r="B15563" s="34" t="s">
        <v>28915</v>
      </c>
      <c r="C15563" s="34" t="s">
        <v>309</v>
      </c>
      <c r="E15563" s="30" t="s">
        <v>28916</v>
      </c>
      <c r="F15563" s="34" t="n">
        <f aca="false">IFERROR(VLOOKUP($A15563,'319'!$B:$H,7,0),0)</f>
        <v>0</v>
      </c>
      <c r="G15563" s="34" t="n">
        <f aca="false">SUMIFS('12.326ana'!$C:$C,'12.326ana'!$M:$M,redes!A15563)</f>
        <v>0</v>
      </c>
    </row>
    <row r="15564" customFormat="false" ht="14.4" hidden="true" customHeight="false" outlineLevel="0" collapsed="false">
      <c r="A15564" s="34" t="n">
        <v>26826941000172</v>
      </c>
      <c r="B15564" s="34" t="s">
        <v>28917</v>
      </c>
      <c r="C15564" s="34" t="s">
        <v>562</v>
      </c>
      <c r="E15564" s="30" t="s">
        <v>28918</v>
      </c>
      <c r="F15564" s="34" t="n">
        <f aca="false">IFERROR(VLOOKUP($A15564,'319'!$B:$H,7,0),0)</f>
        <v>0</v>
      </c>
      <c r="G15564" s="34" t="n">
        <f aca="false">SUMIFS('12.326ana'!$C:$C,'12.326ana'!$M:$M,redes!A15564)</f>
        <v>0</v>
      </c>
    </row>
    <row r="15565" customFormat="false" ht="14.4" hidden="true" customHeight="false" outlineLevel="0" collapsed="false">
      <c r="A15565" s="34" t="n">
        <v>26827048000161</v>
      </c>
      <c r="B15565" s="34" t="s">
        <v>28919</v>
      </c>
      <c r="C15565" s="34" t="s">
        <v>1054</v>
      </c>
      <c r="E15565" s="30" t="s">
        <v>3206</v>
      </c>
      <c r="F15565" s="34" t="n">
        <f aca="false">IFERROR(VLOOKUP($A15565,'319'!$B:$H,7,0),0)</f>
        <v>0</v>
      </c>
      <c r="G15565" s="34" t="n">
        <f aca="false">SUMIFS('12.326ana'!$C:$C,'12.326ana'!$M:$M,redes!A15565)</f>
        <v>0</v>
      </c>
    </row>
    <row r="15566" customFormat="false" ht="14.4" hidden="true" customHeight="false" outlineLevel="0" collapsed="false">
      <c r="A15566" s="34" t="n">
        <v>26827253000127</v>
      </c>
      <c r="B15566" s="34" t="s">
        <v>28920</v>
      </c>
      <c r="C15566" s="34" t="s">
        <v>935</v>
      </c>
      <c r="D15566" s="34" t="s">
        <v>4797</v>
      </c>
      <c r="E15566" s="30" t="s">
        <v>28921</v>
      </c>
      <c r="F15566" s="34" t="n">
        <f aca="false">IFERROR(VLOOKUP($A15566,'319'!$B:$H,7,0),0)</f>
        <v>0</v>
      </c>
      <c r="G15566" s="34" t="n">
        <f aca="false">SUMIFS('12.326ana'!$C:$C,'12.326ana'!$M:$M,redes!A15566)</f>
        <v>0</v>
      </c>
    </row>
    <row r="15567" customFormat="false" ht="14.4" hidden="true" customHeight="false" outlineLevel="0" collapsed="false">
      <c r="A15567" s="34" t="n">
        <v>26827451000190</v>
      </c>
      <c r="B15567" s="34" t="s">
        <v>28922</v>
      </c>
      <c r="C15567" s="34" t="s">
        <v>89</v>
      </c>
      <c r="E15567" s="30" t="s">
        <v>28923</v>
      </c>
      <c r="F15567" s="34" t="n">
        <f aca="false">IFERROR(VLOOKUP($A15567,'319'!$B:$H,7,0),0)</f>
        <v>0</v>
      </c>
      <c r="G15567" s="34" t="n">
        <f aca="false">SUMIFS('12.326ana'!$C:$C,'12.326ana'!$M:$M,redes!A15567)</f>
        <v>0</v>
      </c>
    </row>
    <row r="15568" customFormat="false" ht="14.4" hidden="true" customHeight="false" outlineLevel="0" collapsed="false">
      <c r="A15568" s="34" t="n">
        <v>26827501000130</v>
      </c>
      <c r="B15568" s="34" t="s">
        <v>28924</v>
      </c>
      <c r="C15568" s="34" t="s">
        <v>1054</v>
      </c>
      <c r="E15568" s="30" t="s">
        <v>4972</v>
      </c>
      <c r="F15568" s="34" t="n">
        <f aca="false">IFERROR(VLOOKUP($A15568,'319'!$B:$H,7,0),0)</f>
        <v>0</v>
      </c>
      <c r="G15568" s="34" t="n">
        <f aca="false">SUMIFS('12.326ana'!$C:$C,'12.326ana'!$M:$M,redes!A15568)</f>
        <v>0</v>
      </c>
    </row>
    <row r="15569" customFormat="false" ht="14.4" hidden="true" customHeight="false" outlineLevel="0" collapsed="false">
      <c r="A15569" s="34" t="n">
        <v>26827733000198</v>
      </c>
      <c r="B15569" s="34" t="s">
        <v>1193</v>
      </c>
      <c r="C15569" s="34" t="s">
        <v>405</v>
      </c>
      <c r="E15569" s="30" t="s">
        <v>7820</v>
      </c>
      <c r="F15569" s="34" t="n">
        <f aca="false">IFERROR(VLOOKUP($A15569,'319'!$B:$H,7,0),0)</f>
        <v>343.78</v>
      </c>
      <c r="G15569" s="34" t="n">
        <f aca="false">SUMIFS('12.326ana'!$C:$C,'12.326ana'!$M:$M,redes!A15569)</f>
        <v>320.85</v>
      </c>
    </row>
    <row r="15570" customFormat="false" ht="14.4" hidden="true" customHeight="false" outlineLevel="0" collapsed="false">
      <c r="A15570" s="34" t="n">
        <v>26828145000179</v>
      </c>
      <c r="B15570" s="34" t="s">
        <v>28925</v>
      </c>
      <c r="C15570" s="34" t="s">
        <v>192</v>
      </c>
      <c r="E15570" s="30" t="s">
        <v>28926</v>
      </c>
      <c r="F15570" s="34" t="n">
        <f aca="false">IFERROR(VLOOKUP($A15570,'319'!$B:$H,7,0),0)</f>
        <v>0</v>
      </c>
      <c r="G15570" s="34" t="n">
        <f aca="false">SUMIFS('12.326ana'!$C:$C,'12.326ana'!$M:$M,redes!A15570)</f>
        <v>0</v>
      </c>
    </row>
    <row r="15571" customFormat="false" ht="14.4" hidden="true" customHeight="false" outlineLevel="0" collapsed="false">
      <c r="A15571" s="34" t="n">
        <v>26828665000181</v>
      </c>
      <c r="B15571" s="34" t="s">
        <v>28927</v>
      </c>
      <c r="C15571" s="34" t="s">
        <v>299</v>
      </c>
      <c r="E15571" s="30" t="s">
        <v>28928</v>
      </c>
      <c r="F15571" s="34" t="n">
        <f aca="false">IFERROR(VLOOKUP($A15571,'319'!$B:$H,7,0),0)</f>
        <v>0</v>
      </c>
      <c r="G15571" s="34" t="n">
        <f aca="false">SUMIFS('12.326ana'!$C:$C,'12.326ana'!$M:$M,redes!A15571)</f>
        <v>0</v>
      </c>
    </row>
    <row r="15572" customFormat="false" ht="14.4" hidden="true" customHeight="false" outlineLevel="0" collapsed="false">
      <c r="A15572" s="34" t="n">
        <v>26828855000107</v>
      </c>
      <c r="B15572" s="34" t="s">
        <v>28929</v>
      </c>
      <c r="C15572" s="34" t="s">
        <v>213</v>
      </c>
      <c r="E15572" s="30" t="s">
        <v>28930</v>
      </c>
      <c r="F15572" s="34" t="n">
        <f aca="false">IFERROR(VLOOKUP($A15572,'319'!$B:$H,7,0),0)</f>
        <v>0</v>
      </c>
      <c r="G15572" s="34" t="n">
        <f aca="false">SUMIFS('12.326ana'!$C:$C,'12.326ana'!$M:$M,redes!A15572)</f>
        <v>0</v>
      </c>
    </row>
    <row r="15573" customFormat="false" ht="14.4" hidden="true" customHeight="false" outlineLevel="0" collapsed="false">
      <c r="A15573" s="34" t="n">
        <v>26829051000114</v>
      </c>
      <c r="B15573" s="34" t="s">
        <v>28931</v>
      </c>
      <c r="C15573" s="34" t="s">
        <v>207</v>
      </c>
      <c r="E15573" s="30" t="s">
        <v>28932</v>
      </c>
      <c r="F15573" s="34" t="n">
        <f aca="false">IFERROR(VLOOKUP($A15573,'319'!$B:$H,7,0),0)</f>
        <v>0</v>
      </c>
      <c r="G15573" s="34" t="n">
        <f aca="false">SUMIFS('12.326ana'!$C:$C,'12.326ana'!$M:$M,redes!A15573)</f>
        <v>0</v>
      </c>
    </row>
    <row r="15574" customFormat="false" ht="14.4" hidden="true" customHeight="false" outlineLevel="0" collapsed="false">
      <c r="A15574" s="34" t="n">
        <v>26830026000150</v>
      </c>
      <c r="B15574" s="34" t="s">
        <v>28933</v>
      </c>
      <c r="C15574" s="34" t="s">
        <v>77</v>
      </c>
      <c r="E15574" s="30" t="s">
        <v>28934</v>
      </c>
      <c r="F15574" s="34" t="n">
        <f aca="false">IFERROR(VLOOKUP($A15574,'319'!$B:$H,7,0),0)</f>
        <v>0</v>
      </c>
      <c r="G15574" s="34" t="n">
        <f aca="false">SUMIFS('12.326ana'!$C:$C,'12.326ana'!$M:$M,redes!A15574)</f>
        <v>0</v>
      </c>
    </row>
    <row r="15575" customFormat="false" ht="14.4" hidden="true" customHeight="false" outlineLevel="0" collapsed="false">
      <c r="A15575" s="34" t="n">
        <v>26830307000103</v>
      </c>
      <c r="B15575" s="34" t="s">
        <v>28935</v>
      </c>
      <c r="C15575" s="34" t="s">
        <v>7250</v>
      </c>
      <c r="E15575" s="30" t="s">
        <v>28936</v>
      </c>
      <c r="F15575" s="34" t="n">
        <f aca="false">IFERROR(VLOOKUP($A15575,'319'!$B:$H,7,0),0)</f>
        <v>0</v>
      </c>
      <c r="G15575" s="34" t="n">
        <f aca="false">SUMIFS('12.326ana'!$C:$C,'12.326ana'!$M:$M,redes!A15575)</f>
        <v>0</v>
      </c>
    </row>
    <row r="15576" customFormat="false" ht="14.4" hidden="true" customHeight="false" outlineLevel="0" collapsed="false">
      <c r="A15576" s="34" t="n">
        <v>26830380000185</v>
      </c>
      <c r="B15576" s="34" t="s">
        <v>28937</v>
      </c>
      <c r="C15576" s="34" t="s">
        <v>77</v>
      </c>
      <c r="E15576" s="30" t="s">
        <v>28938</v>
      </c>
      <c r="F15576" s="34" t="n">
        <f aca="false">IFERROR(VLOOKUP($A15576,'319'!$B:$H,7,0),0)</f>
        <v>0</v>
      </c>
      <c r="G15576" s="34" t="n">
        <f aca="false">SUMIFS('12.326ana'!$C:$C,'12.326ana'!$M:$M,redes!A15576)</f>
        <v>0</v>
      </c>
    </row>
    <row r="15577" customFormat="false" ht="14.4" hidden="true" customHeight="false" outlineLevel="0" collapsed="false">
      <c r="A15577" s="34" t="n">
        <v>26830380000266</v>
      </c>
      <c r="B15577" s="34" t="s">
        <v>28937</v>
      </c>
      <c r="C15577" s="34" t="s">
        <v>77</v>
      </c>
      <c r="E15577" s="30" t="s">
        <v>18155</v>
      </c>
      <c r="F15577" s="34" t="n">
        <f aca="false">IFERROR(VLOOKUP($A15577,'319'!$B:$H,7,0),0)</f>
        <v>0</v>
      </c>
      <c r="G15577" s="34" t="n">
        <f aca="false">SUMIFS('12.326ana'!$C:$C,'12.326ana'!$M:$M,redes!A15577)</f>
        <v>0</v>
      </c>
    </row>
    <row r="15578" customFormat="false" ht="14.4" hidden="true" customHeight="false" outlineLevel="0" collapsed="false">
      <c r="A15578" s="34" t="n">
        <v>26830679000130</v>
      </c>
      <c r="B15578" s="34" t="s">
        <v>28939</v>
      </c>
      <c r="C15578" s="34" t="s">
        <v>475</v>
      </c>
      <c r="E15578" s="30" t="s">
        <v>28940</v>
      </c>
      <c r="F15578" s="34" t="n">
        <f aca="false">IFERROR(VLOOKUP($A15578,'319'!$B:$H,7,0),0)</f>
        <v>0</v>
      </c>
      <c r="G15578" s="34" t="n">
        <f aca="false">SUMIFS('12.326ana'!$C:$C,'12.326ana'!$M:$M,redes!A15578)</f>
        <v>0</v>
      </c>
    </row>
    <row r="15579" customFormat="false" ht="14.4" hidden="true" customHeight="false" outlineLevel="0" collapsed="false">
      <c r="A15579" s="34" t="n">
        <v>26831578000183</v>
      </c>
      <c r="B15579" s="34" t="s">
        <v>28941</v>
      </c>
      <c r="C15579" s="34" t="s">
        <v>139</v>
      </c>
      <c r="E15579" s="30" t="s">
        <v>28942</v>
      </c>
      <c r="F15579" s="34" t="n">
        <f aca="false">IFERROR(VLOOKUP($A15579,'319'!$B:$H,7,0),0)</f>
        <v>0</v>
      </c>
      <c r="G15579" s="34" t="n">
        <f aca="false">SUMIFS('12.326ana'!$C:$C,'12.326ana'!$M:$M,redes!A15579)</f>
        <v>0</v>
      </c>
    </row>
    <row r="15580" customFormat="false" ht="14.4" hidden="true" customHeight="false" outlineLevel="0" collapsed="false">
      <c r="A15580" s="34" t="n">
        <v>26831651000117</v>
      </c>
      <c r="B15580" s="34" t="s">
        <v>28943</v>
      </c>
      <c r="C15580" s="34" t="s">
        <v>89</v>
      </c>
      <c r="E15580" s="30" t="s">
        <v>28943</v>
      </c>
      <c r="F15580" s="34" t="n">
        <f aca="false">IFERROR(VLOOKUP($A15580,'319'!$B:$H,7,0),0)</f>
        <v>0</v>
      </c>
      <c r="G15580" s="34" t="n">
        <f aca="false">SUMIFS('12.326ana'!$C:$C,'12.326ana'!$M:$M,redes!A15580)</f>
        <v>0</v>
      </c>
    </row>
    <row r="15581" customFormat="false" ht="14.4" hidden="true" customHeight="false" outlineLevel="0" collapsed="false">
      <c r="A15581" s="34" t="n">
        <v>26831863000102</v>
      </c>
      <c r="B15581" s="34" t="s">
        <v>28944</v>
      </c>
      <c r="C15581" s="34" t="s">
        <v>357</v>
      </c>
      <c r="E15581" s="30" t="s">
        <v>28945</v>
      </c>
      <c r="F15581" s="34" t="n">
        <f aca="false">IFERROR(VLOOKUP($A15581,'319'!$B:$H,7,0),0)</f>
        <v>0</v>
      </c>
      <c r="G15581" s="34" t="n">
        <f aca="false">SUMIFS('12.326ana'!$C:$C,'12.326ana'!$M:$M,redes!A15581)</f>
        <v>0</v>
      </c>
    </row>
    <row r="15582" customFormat="false" ht="14.4" hidden="true" customHeight="false" outlineLevel="0" collapsed="false">
      <c r="A15582" s="34" t="n">
        <v>26832469000180</v>
      </c>
      <c r="B15582" s="34" t="s">
        <v>28946</v>
      </c>
      <c r="C15582" s="34" t="s">
        <v>77</v>
      </c>
      <c r="E15582" s="30" t="s">
        <v>28947</v>
      </c>
      <c r="F15582" s="34" t="n">
        <f aca="false">IFERROR(VLOOKUP($A15582,'319'!$B:$H,7,0),0)</f>
        <v>0</v>
      </c>
      <c r="G15582" s="34" t="n">
        <f aca="false">SUMIFS('12.326ana'!$C:$C,'12.326ana'!$M:$M,redes!A15582)</f>
        <v>0</v>
      </c>
    </row>
    <row r="15583" customFormat="false" ht="14.4" hidden="true" customHeight="false" outlineLevel="0" collapsed="false">
      <c r="A15583" s="34" t="n">
        <v>26832816000175</v>
      </c>
      <c r="B15583" s="34" t="s">
        <v>28948</v>
      </c>
      <c r="C15583" s="34" t="s">
        <v>77</v>
      </c>
      <c r="E15583" s="30" t="s">
        <v>28949</v>
      </c>
      <c r="F15583" s="34" t="n">
        <f aca="false">IFERROR(VLOOKUP($A15583,'319'!$B:$H,7,0),0)</f>
        <v>0</v>
      </c>
      <c r="G15583" s="34" t="n">
        <f aca="false">SUMIFS('12.326ana'!$C:$C,'12.326ana'!$M:$M,redes!A15583)</f>
        <v>0</v>
      </c>
    </row>
    <row r="15584" customFormat="false" ht="14.4" hidden="true" customHeight="false" outlineLevel="0" collapsed="false">
      <c r="A15584" s="34" t="n">
        <v>26832910000124</v>
      </c>
      <c r="B15584" s="34" t="s">
        <v>28950</v>
      </c>
      <c r="C15584" s="34" t="s">
        <v>842</v>
      </c>
      <c r="E15584" s="30" t="s">
        <v>28951</v>
      </c>
      <c r="F15584" s="34" t="n">
        <f aca="false">IFERROR(VLOOKUP($A15584,'319'!$B:$H,7,0),0)</f>
        <v>0</v>
      </c>
      <c r="G15584" s="34" t="n">
        <f aca="false">SUMIFS('12.326ana'!$C:$C,'12.326ana'!$M:$M,redes!A15584)</f>
        <v>0</v>
      </c>
    </row>
    <row r="15585" customFormat="false" ht="14.4" hidden="true" customHeight="false" outlineLevel="0" collapsed="false">
      <c r="A15585" s="34" t="n">
        <v>26833137000110</v>
      </c>
      <c r="B15585" s="34" t="s">
        <v>28952</v>
      </c>
      <c r="C15585" s="34" t="s">
        <v>309</v>
      </c>
      <c r="E15585" s="30" t="s">
        <v>14861</v>
      </c>
      <c r="F15585" s="34" t="n">
        <f aca="false">IFERROR(VLOOKUP($A15585,'319'!$B:$H,7,0),0)</f>
        <v>0</v>
      </c>
      <c r="G15585" s="34" t="n">
        <f aca="false">SUMIFS('12.326ana'!$C:$C,'12.326ana'!$M:$M,redes!A15585)</f>
        <v>0</v>
      </c>
    </row>
    <row r="15586" customFormat="false" ht="14.4" hidden="true" customHeight="false" outlineLevel="0" collapsed="false">
      <c r="A15586" s="34" t="n">
        <v>26833293000181</v>
      </c>
      <c r="B15586" s="34" t="s">
        <v>28953</v>
      </c>
      <c r="C15586" s="34" t="s">
        <v>77</v>
      </c>
      <c r="E15586" s="30" t="s">
        <v>28954</v>
      </c>
      <c r="F15586" s="34" t="n">
        <f aca="false">IFERROR(VLOOKUP($A15586,'319'!$B:$H,7,0),0)</f>
        <v>0</v>
      </c>
      <c r="G15586" s="34" t="n">
        <f aca="false">SUMIFS('12.326ana'!$C:$C,'12.326ana'!$M:$M,redes!A15586)</f>
        <v>0</v>
      </c>
    </row>
    <row r="15587" customFormat="false" ht="14.4" hidden="true" customHeight="false" outlineLevel="0" collapsed="false">
      <c r="A15587" s="34" t="n">
        <v>26833293000262</v>
      </c>
      <c r="B15587" s="34" t="s">
        <v>28955</v>
      </c>
      <c r="C15587" s="34" t="s">
        <v>77</v>
      </c>
      <c r="E15587" s="30" t="s">
        <v>28956</v>
      </c>
      <c r="F15587" s="34" t="n">
        <f aca="false">IFERROR(VLOOKUP($A15587,'319'!$B:$H,7,0),0)</f>
        <v>0</v>
      </c>
      <c r="G15587" s="34" t="n">
        <f aca="false">SUMIFS('12.326ana'!$C:$C,'12.326ana'!$M:$M,redes!A15587)</f>
        <v>0</v>
      </c>
    </row>
    <row r="15588" customFormat="false" ht="14.4" hidden="true" customHeight="false" outlineLevel="0" collapsed="false">
      <c r="A15588" s="34" t="n">
        <v>26833293000343</v>
      </c>
      <c r="B15588" s="34" t="s">
        <v>28955</v>
      </c>
      <c r="C15588" s="34" t="s">
        <v>77</v>
      </c>
      <c r="E15588" s="30" t="s">
        <v>28957</v>
      </c>
      <c r="F15588" s="34" t="n">
        <f aca="false">IFERROR(VLOOKUP($A15588,'319'!$B:$H,7,0),0)</f>
        <v>0</v>
      </c>
      <c r="G15588" s="34" t="n">
        <f aca="false">SUMIFS('12.326ana'!$C:$C,'12.326ana'!$M:$M,redes!A15588)</f>
        <v>0</v>
      </c>
    </row>
    <row r="15589" customFormat="false" ht="14.4" hidden="true" customHeight="false" outlineLevel="0" collapsed="false">
      <c r="A15589" s="34" t="n">
        <v>26833301000190</v>
      </c>
      <c r="B15589" s="34" t="s">
        <v>28958</v>
      </c>
      <c r="C15589" s="34" t="s">
        <v>77</v>
      </c>
      <c r="E15589" s="30" t="s">
        <v>28959</v>
      </c>
      <c r="F15589" s="34" t="n">
        <f aca="false">IFERROR(VLOOKUP($A15589,'319'!$B:$H,7,0),0)</f>
        <v>0</v>
      </c>
      <c r="G15589" s="34" t="n">
        <f aca="false">SUMIFS('12.326ana'!$C:$C,'12.326ana'!$M:$M,redes!A15589)</f>
        <v>0</v>
      </c>
    </row>
    <row r="15590" customFormat="false" ht="14.4" hidden="true" customHeight="false" outlineLevel="0" collapsed="false">
      <c r="A15590" s="34" t="n">
        <v>26833665000170</v>
      </c>
      <c r="B15590" s="34" t="s">
        <v>28960</v>
      </c>
      <c r="C15590" s="34" t="s">
        <v>77</v>
      </c>
      <c r="E15590" s="30" t="s">
        <v>28961</v>
      </c>
      <c r="F15590" s="34" t="n">
        <f aca="false">IFERROR(VLOOKUP($A15590,'319'!$B:$H,7,0),0)</f>
        <v>0</v>
      </c>
      <c r="G15590" s="34" t="n">
        <f aca="false">SUMIFS('12.326ana'!$C:$C,'12.326ana'!$M:$M,redes!A15590)</f>
        <v>0</v>
      </c>
    </row>
    <row r="15591" customFormat="false" ht="14.4" hidden="true" customHeight="false" outlineLevel="0" collapsed="false">
      <c r="A15591" s="34" t="n">
        <v>26833715000119</v>
      </c>
      <c r="B15591" s="34" t="s">
        <v>28962</v>
      </c>
      <c r="C15591" s="34" t="s">
        <v>139</v>
      </c>
      <c r="E15591" s="30" t="s">
        <v>28963</v>
      </c>
      <c r="F15591" s="34" t="n">
        <f aca="false">IFERROR(VLOOKUP($A15591,'319'!$B:$H,7,0),0)</f>
        <v>0</v>
      </c>
      <c r="G15591" s="34" t="n">
        <f aca="false">SUMIFS('12.326ana'!$C:$C,'12.326ana'!$M:$M,redes!A15591)</f>
        <v>0</v>
      </c>
    </row>
    <row r="15592" customFormat="false" ht="14.4" hidden="true" customHeight="false" outlineLevel="0" collapsed="false">
      <c r="A15592" s="34" t="n">
        <v>26834242000174</v>
      </c>
      <c r="B15592" s="34" t="s">
        <v>28964</v>
      </c>
      <c r="C15592" s="34" t="s">
        <v>77</v>
      </c>
      <c r="E15592" s="30" t="s">
        <v>28965</v>
      </c>
      <c r="F15592" s="34" t="n">
        <f aca="false">IFERROR(VLOOKUP($A15592,'319'!$B:$H,7,0),0)</f>
        <v>0</v>
      </c>
      <c r="G15592" s="34" t="n">
        <f aca="false">SUMIFS('12.326ana'!$C:$C,'12.326ana'!$M:$M,redes!A15592)</f>
        <v>0</v>
      </c>
    </row>
    <row r="15593" customFormat="false" ht="14.4" hidden="true" customHeight="false" outlineLevel="0" collapsed="false">
      <c r="A15593" s="34" t="n">
        <v>26834259000121</v>
      </c>
      <c r="B15593" s="34" t="s">
        <v>28966</v>
      </c>
      <c r="C15593" s="34" t="s">
        <v>77</v>
      </c>
      <c r="E15593" s="30" t="s">
        <v>28967</v>
      </c>
      <c r="F15593" s="34" t="n">
        <f aca="false">IFERROR(VLOOKUP($A15593,'319'!$B:$H,7,0),0)</f>
        <v>0</v>
      </c>
      <c r="G15593" s="34" t="n">
        <f aca="false">SUMIFS('12.326ana'!$C:$C,'12.326ana'!$M:$M,redes!A15593)</f>
        <v>0</v>
      </c>
    </row>
    <row r="15594" customFormat="false" ht="14.4" hidden="true" customHeight="false" outlineLevel="0" collapsed="false">
      <c r="A15594" s="34" t="n">
        <v>26834523000127</v>
      </c>
      <c r="B15594" s="34" t="s">
        <v>28968</v>
      </c>
      <c r="C15594" s="34" t="s">
        <v>139</v>
      </c>
      <c r="D15594" s="34" t="s">
        <v>5602</v>
      </c>
      <c r="E15594" s="30" t="s">
        <v>28969</v>
      </c>
      <c r="F15594" s="34" t="n">
        <f aca="false">IFERROR(VLOOKUP($A15594,'319'!$B:$H,7,0),0)</f>
        <v>0</v>
      </c>
      <c r="G15594" s="34" t="n">
        <f aca="false">SUMIFS('12.326ana'!$C:$C,'12.326ana'!$M:$M,redes!A15594)</f>
        <v>0</v>
      </c>
    </row>
    <row r="15595" customFormat="false" ht="14.4" hidden="true" customHeight="false" outlineLevel="0" collapsed="false">
      <c r="A15595" s="34" t="n">
        <v>26834747000139</v>
      </c>
      <c r="B15595" s="34" t="s">
        <v>28970</v>
      </c>
      <c r="C15595" s="34" t="s">
        <v>77</v>
      </c>
      <c r="E15595" s="30" t="s">
        <v>28971</v>
      </c>
      <c r="F15595" s="34" t="n">
        <f aca="false">IFERROR(VLOOKUP($A15595,'319'!$B:$H,7,0),0)</f>
        <v>0</v>
      </c>
      <c r="G15595" s="34" t="n">
        <f aca="false">SUMIFS('12.326ana'!$C:$C,'12.326ana'!$M:$M,redes!A15595)</f>
        <v>0</v>
      </c>
    </row>
    <row r="15596" customFormat="false" ht="14.4" hidden="true" customHeight="false" outlineLevel="0" collapsed="false">
      <c r="A15596" s="34" t="n">
        <v>26834960000140</v>
      </c>
      <c r="B15596" s="34" t="s">
        <v>28972</v>
      </c>
      <c r="C15596" s="34" t="s">
        <v>342</v>
      </c>
      <c r="E15596" s="30" t="s">
        <v>7538</v>
      </c>
      <c r="F15596" s="34" t="n">
        <f aca="false">IFERROR(VLOOKUP($A15596,'319'!$B:$H,7,0),0)</f>
        <v>0</v>
      </c>
      <c r="G15596" s="34" t="n">
        <f aca="false">SUMIFS('12.326ana'!$C:$C,'12.326ana'!$M:$M,redes!A15596)</f>
        <v>0</v>
      </c>
    </row>
    <row r="15597" customFormat="false" ht="14.4" hidden="true" customHeight="false" outlineLevel="0" collapsed="false">
      <c r="A15597" s="34" t="n">
        <v>26834978000142</v>
      </c>
      <c r="B15597" s="34" t="s">
        <v>28973</v>
      </c>
      <c r="C15597" s="34" t="s">
        <v>598</v>
      </c>
      <c r="E15597" s="30" t="s">
        <v>28974</v>
      </c>
      <c r="F15597" s="34" t="n">
        <f aca="false">IFERROR(VLOOKUP($A15597,'319'!$B:$H,7,0),0)</f>
        <v>0</v>
      </c>
      <c r="G15597" s="34" t="n">
        <f aca="false">SUMIFS('12.326ana'!$C:$C,'12.326ana'!$M:$M,redes!A15597)</f>
        <v>0</v>
      </c>
    </row>
    <row r="15598" customFormat="false" ht="14.4" hidden="true" customHeight="false" outlineLevel="0" collapsed="false">
      <c r="A15598" s="34" t="n">
        <v>26835009000106</v>
      </c>
      <c r="B15598" s="34" t="s">
        <v>28975</v>
      </c>
      <c r="C15598" s="34" t="s">
        <v>631</v>
      </c>
      <c r="E15598" s="30" t="s">
        <v>28976</v>
      </c>
      <c r="F15598" s="34" t="n">
        <f aca="false">IFERROR(VLOOKUP($A15598,'319'!$B:$H,7,0),0)</f>
        <v>250.33</v>
      </c>
      <c r="G15598" s="34" t="n">
        <f aca="false">SUMIFS('12.326ana'!$C:$C,'12.326ana'!$M:$M,redes!A15598)</f>
        <v>0</v>
      </c>
    </row>
    <row r="15599" customFormat="false" ht="14.4" hidden="true" customHeight="false" outlineLevel="0" collapsed="false">
      <c r="A15599" s="34" t="n">
        <v>26835140000173</v>
      </c>
      <c r="B15599" s="34" t="s">
        <v>28977</v>
      </c>
      <c r="C15599" s="34" t="s">
        <v>77</v>
      </c>
      <c r="E15599" s="30" t="s">
        <v>9857</v>
      </c>
      <c r="F15599" s="34" t="n">
        <f aca="false">IFERROR(VLOOKUP($A15599,'319'!$B:$H,7,0),0)</f>
        <v>0</v>
      </c>
      <c r="G15599" s="34" t="n">
        <f aca="false">SUMIFS('12.326ana'!$C:$C,'12.326ana'!$M:$M,redes!A15599)</f>
        <v>0</v>
      </c>
    </row>
    <row r="15600" customFormat="false" ht="14.4" hidden="true" customHeight="false" outlineLevel="0" collapsed="false">
      <c r="A15600" s="34" t="n">
        <v>26835546000156</v>
      </c>
      <c r="B15600" s="34" t="s">
        <v>28978</v>
      </c>
      <c r="C15600" s="34" t="s">
        <v>77</v>
      </c>
      <c r="E15600" s="30" t="s">
        <v>28979</v>
      </c>
      <c r="F15600" s="34" t="n">
        <f aca="false">IFERROR(VLOOKUP($A15600,'319'!$B:$H,7,0),0)</f>
        <v>0</v>
      </c>
      <c r="G15600" s="34" t="n">
        <f aca="false">SUMIFS('12.326ana'!$C:$C,'12.326ana'!$M:$M,redes!A15600)</f>
        <v>0</v>
      </c>
    </row>
    <row r="15601" customFormat="false" ht="14.4" hidden="true" customHeight="false" outlineLevel="0" collapsed="false">
      <c r="A15601" s="34" t="n">
        <v>26835744000110</v>
      </c>
      <c r="B15601" s="34" t="s">
        <v>28980</v>
      </c>
      <c r="C15601" s="34" t="s">
        <v>631</v>
      </c>
      <c r="E15601" s="30" t="s">
        <v>28981</v>
      </c>
      <c r="F15601" s="34" t="n">
        <f aca="false">IFERROR(VLOOKUP($A15601,'319'!$B:$H,7,0),0)</f>
        <v>0</v>
      </c>
      <c r="G15601" s="34" t="n">
        <f aca="false">SUMIFS('12.326ana'!$C:$C,'12.326ana'!$M:$M,redes!A15601)</f>
        <v>0</v>
      </c>
    </row>
    <row r="15602" customFormat="false" ht="14.4" hidden="true" customHeight="false" outlineLevel="0" collapsed="false">
      <c r="A15602" s="34" t="n">
        <v>26835876000141</v>
      </c>
      <c r="B15602" s="34" t="s">
        <v>28982</v>
      </c>
      <c r="C15602" s="34" t="s">
        <v>77</v>
      </c>
      <c r="E15602" s="30" t="s">
        <v>28983</v>
      </c>
      <c r="F15602" s="34" t="n">
        <f aca="false">IFERROR(VLOOKUP($A15602,'319'!$B:$H,7,0),0)</f>
        <v>0</v>
      </c>
      <c r="G15602" s="34" t="n">
        <f aca="false">SUMIFS('12.326ana'!$C:$C,'12.326ana'!$M:$M,redes!A15602)</f>
        <v>0</v>
      </c>
    </row>
    <row r="15603" customFormat="false" ht="14.4" hidden="true" customHeight="false" outlineLevel="0" collapsed="false">
      <c r="A15603" s="34" t="n">
        <v>26836221000198</v>
      </c>
      <c r="B15603" s="34" t="s">
        <v>28984</v>
      </c>
      <c r="C15603" s="34" t="s">
        <v>4462</v>
      </c>
      <c r="E15603" s="30" t="s">
        <v>13744</v>
      </c>
      <c r="F15603" s="34" t="n">
        <f aca="false">IFERROR(VLOOKUP($A15603,'319'!$B:$H,7,0),0)</f>
        <v>0</v>
      </c>
      <c r="G15603" s="34" t="n">
        <f aca="false">SUMIFS('12.326ana'!$C:$C,'12.326ana'!$M:$M,redes!A15603)</f>
        <v>0</v>
      </c>
    </row>
    <row r="15604" customFormat="false" ht="14.4" hidden="true" customHeight="false" outlineLevel="0" collapsed="false">
      <c r="A15604" s="34" t="n">
        <v>26836312000123</v>
      </c>
      <c r="B15604" s="34" t="s">
        <v>28985</v>
      </c>
      <c r="C15604" s="34" t="s">
        <v>1272</v>
      </c>
      <c r="E15604" s="30" t="s">
        <v>28986</v>
      </c>
      <c r="F15604" s="34" t="n">
        <f aca="false">IFERROR(VLOOKUP($A15604,'319'!$B:$H,7,0),0)</f>
        <v>0</v>
      </c>
      <c r="G15604" s="34" t="n">
        <f aca="false">SUMIFS('12.326ana'!$C:$C,'12.326ana'!$M:$M,redes!A15604)</f>
        <v>0</v>
      </c>
    </row>
    <row r="15605" customFormat="false" ht="14.4" hidden="true" customHeight="false" outlineLevel="0" collapsed="false">
      <c r="A15605" s="35" t="n">
        <v>26836312000204</v>
      </c>
      <c r="B15605" s="34" t="s">
        <v>28987</v>
      </c>
      <c r="C15605" s="34" t="s">
        <v>1272</v>
      </c>
      <c r="E15605" s="30" t="s">
        <v>28988</v>
      </c>
      <c r="F15605" s="34" t="n">
        <f aca="false">IFERROR(VLOOKUP($A15605,'319'!$B:$H,7,0),0)</f>
        <v>0</v>
      </c>
      <c r="G15605" s="34" t="n">
        <f aca="false">SUMIFS('12.326ana'!$C:$C,'12.326ana'!$M:$M,redes!A15605)</f>
        <v>0</v>
      </c>
    </row>
    <row r="15606" customFormat="false" ht="14.4" hidden="true" customHeight="false" outlineLevel="0" collapsed="false">
      <c r="A15606" s="34" t="n">
        <v>26836312000395</v>
      </c>
      <c r="B15606" s="34" t="s">
        <v>28987</v>
      </c>
      <c r="C15606" s="34" t="s">
        <v>1272</v>
      </c>
      <c r="E15606" s="30" t="s">
        <v>28986</v>
      </c>
      <c r="F15606" s="34" t="n">
        <f aca="false">IFERROR(VLOOKUP($A15606,'319'!$B:$H,7,0),0)</f>
        <v>0</v>
      </c>
      <c r="G15606" s="34" t="n">
        <f aca="false">SUMIFS('12.326ana'!$C:$C,'12.326ana'!$M:$M,redes!A15606)</f>
        <v>0</v>
      </c>
    </row>
    <row r="15607" customFormat="false" ht="14.4" hidden="true" customHeight="false" outlineLevel="0" collapsed="false">
      <c r="A15607" s="34" t="n">
        <v>26837229000179</v>
      </c>
      <c r="B15607" s="34" t="s">
        <v>28989</v>
      </c>
      <c r="C15607" s="34" t="s">
        <v>342</v>
      </c>
      <c r="E15607" s="30" t="s">
        <v>28990</v>
      </c>
      <c r="F15607" s="34" t="n">
        <f aca="false">IFERROR(VLOOKUP($A15607,'319'!$B:$H,7,0),0)</f>
        <v>0</v>
      </c>
      <c r="G15607" s="34" t="n">
        <f aca="false">SUMIFS('12.326ana'!$C:$C,'12.326ana'!$M:$M,redes!A15607)</f>
        <v>0</v>
      </c>
    </row>
    <row r="15608" customFormat="false" ht="14.4" hidden="true" customHeight="false" outlineLevel="0" collapsed="false">
      <c r="A15608" s="34" t="n">
        <v>26837542000107</v>
      </c>
      <c r="B15608" s="34" t="s">
        <v>28991</v>
      </c>
      <c r="C15608" s="34" t="s">
        <v>2998</v>
      </c>
      <c r="E15608" s="30" t="s">
        <v>28992</v>
      </c>
      <c r="F15608" s="34" t="n">
        <f aca="false">IFERROR(VLOOKUP($A15608,'319'!$B:$H,7,0),0)</f>
        <v>0</v>
      </c>
      <c r="G15608" s="34" t="n">
        <f aca="false">SUMIFS('12.326ana'!$C:$C,'12.326ana'!$M:$M,redes!A15608)</f>
        <v>0</v>
      </c>
    </row>
    <row r="15609" customFormat="false" ht="14.4" hidden="true" customHeight="false" outlineLevel="0" collapsed="false">
      <c r="A15609" s="34" t="n">
        <v>26838466000154</v>
      </c>
      <c r="B15609" s="34" t="s">
        <v>28993</v>
      </c>
      <c r="C15609" s="34" t="s">
        <v>77</v>
      </c>
      <c r="E15609" s="30" t="s">
        <v>28994</v>
      </c>
      <c r="F15609" s="34" t="n">
        <f aca="false">IFERROR(VLOOKUP($A15609,'319'!$B:$H,7,0),0)</f>
        <v>0</v>
      </c>
      <c r="G15609" s="34" t="n">
        <f aca="false">SUMIFS('12.326ana'!$C:$C,'12.326ana'!$M:$M,redes!A15609)</f>
        <v>0</v>
      </c>
    </row>
    <row r="15610" customFormat="false" ht="14.4" hidden="true" customHeight="false" outlineLevel="0" collapsed="false">
      <c r="A15610" s="34" t="n">
        <v>26838490000193</v>
      </c>
      <c r="B15610" s="34" t="s">
        <v>28995</v>
      </c>
      <c r="C15610" s="34" t="s">
        <v>594</v>
      </c>
      <c r="E15610" s="30" t="s">
        <v>28996</v>
      </c>
      <c r="F15610" s="34" t="n">
        <f aca="false">IFERROR(VLOOKUP($A15610,'319'!$B:$H,7,0),0)</f>
        <v>0</v>
      </c>
      <c r="G15610" s="34" t="n">
        <f aca="false">SUMIFS('12.326ana'!$C:$C,'12.326ana'!$M:$M,redes!A15610)</f>
        <v>0</v>
      </c>
    </row>
    <row r="15611" customFormat="false" ht="14.4" hidden="true" customHeight="false" outlineLevel="0" collapsed="false">
      <c r="A15611" s="34" t="n">
        <v>26838490000274</v>
      </c>
      <c r="B15611" s="34" t="s">
        <v>28995</v>
      </c>
      <c r="C15611" s="34" t="s">
        <v>594</v>
      </c>
      <c r="E15611" s="30" t="s">
        <v>28996</v>
      </c>
      <c r="F15611" s="34" t="n">
        <f aca="false">IFERROR(VLOOKUP($A15611,'319'!$B:$H,7,0),0)</f>
        <v>0</v>
      </c>
      <c r="G15611" s="34" t="n">
        <f aca="false">SUMIFS('12.326ana'!$C:$C,'12.326ana'!$M:$M,redes!A15611)</f>
        <v>0</v>
      </c>
    </row>
    <row r="15612" customFormat="false" ht="14.4" hidden="true" customHeight="false" outlineLevel="0" collapsed="false">
      <c r="A15612" s="34" t="n">
        <v>26838888000120</v>
      </c>
      <c r="B15612" s="34" t="s">
        <v>28997</v>
      </c>
      <c r="C15612" s="34" t="s">
        <v>77</v>
      </c>
      <c r="E15612" s="30" t="s">
        <v>4499</v>
      </c>
      <c r="F15612" s="34" t="n">
        <f aca="false">IFERROR(VLOOKUP($A15612,'319'!$B:$H,7,0),0)</f>
        <v>0</v>
      </c>
      <c r="G15612" s="34" t="n">
        <f aca="false">SUMIFS('12.326ana'!$C:$C,'12.326ana'!$M:$M,redes!A15612)</f>
        <v>0</v>
      </c>
    </row>
    <row r="15613" customFormat="false" ht="14.4" hidden="true" customHeight="false" outlineLevel="0" collapsed="false">
      <c r="A15613" s="34" t="n">
        <v>26838987000101</v>
      </c>
      <c r="B15613" s="34" t="s">
        <v>28998</v>
      </c>
      <c r="C15613" s="34" t="s">
        <v>107</v>
      </c>
      <c r="E15613" s="30" t="s">
        <v>28999</v>
      </c>
      <c r="F15613" s="34" t="n">
        <f aca="false">IFERROR(VLOOKUP($A15613,'319'!$B:$H,7,0),0)</f>
        <v>0</v>
      </c>
      <c r="G15613" s="34" t="n">
        <f aca="false">SUMIFS('12.326ana'!$C:$C,'12.326ana'!$M:$M,redes!A15613)</f>
        <v>0</v>
      </c>
    </row>
    <row r="15614" customFormat="false" ht="14.4" hidden="true" customHeight="false" outlineLevel="0" collapsed="false">
      <c r="A15614" s="34" t="n">
        <v>26839175000180</v>
      </c>
      <c r="B15614" s="34" t="s">
        <v>29000</v>
      </c>
      <c r="C15614" s="34" t="s">
        <v>77</v>
      </c>
      <c r="E15614" s="30" t="s">
        <v>29001</v>
      </c>
      <c r="F15614" s="34" t="n">
        <f aca="false">IFERROR(VLOOKUP($A15614,'319'!$B:$H,7,0),0)</f>
        <v>0</v>
      </c>
      <c r="G15614" s="34" t="n">
        <f aca="false">SUMIFS('12.326ana'!$C:$C,'12.326ana'!$M:$M,redes!A15614)</f>
        <v>0</v>
      </c>
    </row>
    <row r="15615" customFormat="false" ht="14.4" hidden="true" customHeight="false" outlineLevel="0" collapsed="false">
      <c r="A15615" s="34" t="n">
        <v>26839415000147</v>
      </c>
      <c r="B15615" s="34" t="s">
        <v>29002</v>
      </c>
      <c r="C15615" s="34" t="s">
        <v>77</v>
      </c>
      <c r="E15615" s="30" t="s">
        <v>29003</v>
      </c>
      <c r="F15615" s="34" t="n">
        <f aca="false">IFERROR(VLOOKUP($A15615,'319'!$B:$H,7,0),0)</f>
        <v>0</v>
      </c>
      <c r="G15615" s="34" t="n">
        <f aca="false">SUMIFS('12.326ana'!$C:$C,'12.326ana'!$M:$M,redes!A15615)</f>
        <v>0</v>
      </c>
    </row>
    <row r="15616" customFormat="false" ht="14.4" hidden="true" customHeight="false" outlineLevel="0" collapsed="false">
      <c r="A15616" s="34" t="n">
        <v>26839621000157</v>
      </c>
      <c r="B15616" s="34" t="s">
        <v>29004</v>
      </c>
      <c r="C15616" s="34" t="s">
        <v>77</v>
      </c>
      <c r="E15616" s="30" t="s">
        <v>23214</v>
      </c>
      <c r="F15616" s="34" t="n">
        <f aca="false">IFERROR(VLOOKUP($A15616,'319'!$B:$H,7,0),0)</f>
        <v>0</v>
      </c>
      <c r="G15616" s="34" t="n">
        <f aca="false">SUMIFS('12.326ana'!$C:$C,'12.326ana'!$M:$M,redes!A15616)</f>
        <v>0</v>
      </c>
    </row>
    <row r="15617" customFormat="false" ht="14.4" hidden="true" customHeight="false" outlineLevel="0" collapsed="false">
      <c r="A15617" s="34" t="n">
        <v>26839944000140</v>
      </c>
      <c r="B15617" s="34" t="s">
        <v>29005</v>
      </c>
      <c r="C15617" s="34" t="s">
        <v>192</v>
      </c>
      <c r="E15617" s="30" t="s">
        <v>5529</v>
      </c>
      <c r="F15617" s="34" t="n">
        <f aca="false">IFERROR(VLOOKUP($A15617,'319'!$B:$H,7,0),0)</f>
        <v>0</v>
      </c>
      <c r="G15617" s="34" t="n">
        <f aca="false">SUMIFS('12.326ana'!$C:$C,'12.326ana'!$M:$M,redes!A15617)</f>
        <v>0</v>
      </c>
    </row>
    <row r="15618" customFormat="false" ht="14.4" hidden="true" customHeight="false" outlineLevel="0" collapsed="false">
      <c r="A15618" s="34" t="n">
        <v>26839944000221</v>
      </c>
      <c r="B15618" s="34" t="s">
        <v>29005</v>
      </c>
      <c r="C15618" s="34" t="s">
        <v>192</v>
      </c>
      <c r="E15618" s="30" t="s">
        <v>29006</v>
      </c>
      <c r="F15618" s="34" t="n">
        <f aca="false">IFERROR(VLOOKUP($A15618,'319'!$B:$H,7,0),0)</f>
        <v>0</v>
      </c>
      <c r="G15618" s="34" t="n">
        <f aca="false">SUMIFS('12.326ana'!$C:$C,'12.326ana'!$M:$M,redes!A15618)</f>
        <v>0</v>
      </c>
    </row>
    <row r="15619" customFormat="false" ht="14.4" hidden="true" customHeight="false" outlineLevel="0" collapsed="false">
      <c r="A15619" s="34" t="n">
        <v>26840645000126</v>
      </c>
      <c r="B15619" s="34" t="s">
        <v>29007</v>
      </c>
      <c r="C15619" s="34" t="s">
        <v>107</v>
      </c>
      <c r="E15619" s="30" t="s">
        <v>29008</v>
      </c>
      <c r="F15619" s="34" t="n">
        <f aca="false">IFERROR(VLOOKUP($A15619,'319'!$B:$H,7,0),0)</f>
        <v>0</v>
      </c>
      <c r="G15619" s="34" t="n">
        <f aca="false">SUMIFS('12.326ana'!$C:$C,'12.326ana'!$M:$M,redes!A15619)</f>
        <v>0</v>
      </c>
    </row>
    <row r="15620" customFormat="false" ht="14.4" hidden="true" customHeight="false" outlineLevel="0" collapsed="false">
      <c r="A15620" s="34" t="n">
        <v>26840785000102</v>
      </c>
      <c r="B15620" s="34" t="s">
        <v>29009</v>
      </c>
      <c r="C15620" s="34" t="s">
        <v>77</v>
      </c>
      <c r="E15620" s="30" t="s">
        <v>12912</v>
      </c>
      <c r="F15620" s="34" t="n">
        <f aca="false">IFERROR(VLOOKUP($A15620,'319'!$B:$H,7,0),0)</f>
        <v>0</v>
      </c>
      <c r="G15620" s="34" t="n">
        <f aca="false">SUMIFS('12.326ana'!$C:$C,'12.326ana'!$M:$M,redes!A15620)</f>
        <v>0</v>
      </c>
    </row>
    <row r="15621" customFormat="false" ht="14.4" hidden="true" customHeight="false" outlineLevel="0" collapsed="false">
      <c r="A15621" s="34" t="n">
        <v>26841056000162</v>
      </c>
      <c r="B15621" s="34" t="s">
        <v>29010</v>
      </c>
      <c r="C15621" s="34" t="s">
        <v>77</v>
      </c>
      <c r="E15621" s="30" t="s">
        <v>29011</v>
      </c>
      <c r="F15621" s="34" t="n">
        <f aca="false">IFERROR(VLOOKUP($A15621,'319'!$B:$H,7,0),0)</f>
        <v>0</v>
      </c>
      <c r="G15621" s="34" t="n">
        <f aca="false">SUMIFS('12.326ana'!$C:$C,'12.326ana'!$M:$M,redes!A15621)</f>
        <v>0</v>
      </c>
    </row>
    <row r="15622" customFormat="false" ht="14.4" hidden="true" customHeight="false" outlineLevel="0" collapsed="false">
      <c r="A15622" s="34" t="n">
        <v>26841288000110</v>
      </c>
      <c r="B15622" s="34" t="s">
        <v>29012</v>
      </c>
      <c r="C15622" s="34" t="s">
        <v>77</v>
      </c>
      <c r="D15622" s="34" t="s">
        <v>9598</v>
      </c>
      <c r="E15622" s="30" t="s">
        <v>29013</v>
      </c>
      <c r="F15622" s="34" t="n">
        <f aca="false">IFERROR(VLOOKUP($A15622,'319'!$B:$H,7,0),0)</f>
        <v>0</v>
      </c>
      <c r="G15622" s="34" t="n">
        <f aca="false">SUMIFS('12.326ana'!$C:$C,'12.326ana'!$M:$M,redes!A15622)</f>
        <v>0</v>
      </c>
    </row>
    <row r="15623" customFormat="false" ht="14.4" hidden="true" customHeight="false" outlineLevel="0" collapsed="false">
      <c r="A15623" s="34" t="n">
        <v>26841296000167</v>
      </c>
      <c r="B15623" s="34" t="s">
        <v>29014</v>
      </c>
      <c r="C15623" s="34" t="s">
        <v>478</v>
      </c>
      <c r="E15623" s="30" t="s">
        <v>29015</v>
      </c>
      <c r="F15623" s="34" t="n">
        <f aca="false">IFERROR(VLOOKUP($A15623,'319'!$B:$H,7,0),0)</f>
        <v>0</v>
      </c>
      <c r="G15623" s="34" t="n">
        <f aca="false">SUMIFS('12.326ana'!$C:$C,'12.326ana'!$M:$M,redes!A15623)</f>
        <v>0</v>
      </c>
    </row>
    <row r="15624" customFormat="false" ht="14.4" hidden="true" customHeight="false" outlineLevel="0" collapsed="false">
      <c r="A15624" s="34" t="n">
        <v>26841403000157</v>
      </c>
      <c r="B15624" s="34" t="s">
        <v>29016</v>
      </c>
      <c r="C15624" s="34" t="s">
        <v>107</v>
      </c>
      <c r="E15624" s="30" t="s">
        <v>29017</v>
      </c>
      <c r="F15624" s="34" t="n">
        <f aca="false">IFERROR(VLOOKUP($A15624,'319'!$B:$H,7,0),0)</f>
        <v>0</v>
      </c>
      <c r="G15624" s="34" t="n">
        <f aca="false">SUMIFS('12.326ana'!$C:$C,'12.326ana'!$M:$M,redes!A15624)</f>
        <v>0</v>
      </c>
    </row>
    <row r="15625" customFormat="false" ht="14.4" hidden="true" customHeight="false" outlineLevel="0" collapsed="false">
      <c r="A15625" s="34" t="n">
        <v>26841452000190</v>
      </c>
      <c r="B15625" s="34" t="s">
        <v>29018</v>
      </c>
      <c r="C15625" s="34" t="s">
        <v>139</v>
      </c>
      <c r="E15625" s="30" t="s">
        <v>29019</v>
      </c>
      <c r="F15625" s="34" t="n">
        <f aca="false">IFERROR(VLOOKUP($A15625,'319'!$B:$H,7,0),0)</f>
        <v>0</v>
      </c>
      <c r="G15625" s="34" t="n">
        <f aca="false">SUMIFS('12.326ana'!$C:$C,'12.326ana'!$M:$M,redes!A15625)</f>
        <v>0</v>
      </c>
    </row>
    <row r="15626" customFormat="false" ht="14.4" hidden="true" customHeight="false" outlineLevel="0" collapsed="false">
      <c r="A15626" s="34" t="n">
        <v>26841478000138</v>
      </c>
      <c r="B15626" s="34" t="s">
        <v>29020</v>
      </c>
      <c r="C15626" s="34" t="s">
        <v>89</v>
      </c>
      <c r="D15626" s="34" t="s">
        <v>4797</v>
      </c>
      <c r="E15626" s="30" t="s">
        <v>29021</v>
      </c>
      <c r="F15626" s="34" t="n">
        <f aca="false">IFERROR(VLOOKUP($A15626,'319'!$B:$H,7,0),0)</f>
        <v>0</v>
      </c>
      <c r="G15626" s="34" t="n">
        <f aca="false">SUMIFS('12.326ana'!$C:$C,'12.326ana'!$M:$M,redes!A15626)</f>
        <v>0</v>
      </c>
    </row>
    <row r="15627" customFormat="false" ht="14.4" hidden="true" customHeight="false" outlineLevel="0" collapsed="false">
      <c r="A15627" s="34" t="n">
        <v>26841569000173</v>
      </c>
      <c r="B15627" s="34" t="s">
        <v>29022</v>
      </c>
      <c r="C15627" s="34" t="s">
        <v>77</v>
      </c>
      <c r="E15627" s="30" t="s">
        <v>29023</v>
      </c>
      <c r="F15627" s="34" t="n">
        <f aca="false">IFERROR(VLOOKUP($A15627,'319'!$B:$H,7,0),0)</f>
        <v>0</v>
      </c>
      <c r="G15627" s="34" t="n">
        <f aca="false">SUMIFS('12.326ana'!$C:$C,'12.326ana'!$M:$M,redes!A15627)</f>
        <v>0</v>
      </c>
    </row>
    <row r="15628" customFormat="false" ht="14.4" hidden="true" customHeight="false" outlineLevel="0" collapsed="false">
      <c r="A15628" s="34" t="n">
        <v>26841585000166</v>
      </c>
      <c r="B15628" s="34" t="s">
        <v>29024</v>
      </c>
      <c r="C15628" s="34" t="s">
        <v>107</v>
      </c>
      <c r="E15628" s="30" t="s">
        <v>29025</v>
      </c>
      <c r="F15628" s="34" t="n">
        <f aca="false">IFERROR(VLOOKUP($A15628,'319'!$B:$H,7,0),0)</f>
        <v>0</v>
      </c>
      <c r="G15628" s="34" t="n">
        <f aca="false">SUMIFS('12.326ana'!$C:$C,'12.326ana'!$M:$M,redes!A15628)</f>
        <v>0</v>
      </c>
    </row>
    <row r="15629" customFormat="false" ht="14.4" hidden="true" customHeight="false" outlineLevel="0" collapsed="false">
      <c r="A15629" s="34" t="n">
        <v>26842096000129</v>
      </c>
      <c r="B15629" s="34" t="s">
        <v>29026</v>
      </c>
      <c r="C15629" s="34" t="s">
        <v>631</v>
      </c>
      <c r="E15629" s="30" t="s">
        <v>6276</v>
      </c>
      <c r="F15629" s="34" t="n">
        <f aca="false">IFERROR(VLOOKUP($A15629,'319'!$B:$H,7,0),0)</f>
        <v>0</v>
      </c>
      <c r="G15629" s="34" t="n">
        <f aca="false">SUMIFS('12.326ana'!$C:$C,'12.326ana'!$M:$M,redes!A15629)</f>
        <v>0</v>
      </c>
    </row>
    <row r="15630" customFormat="false" ht="14.4" hidden="true" customHeight="false" outlineLevel="0" collapsed="false">
      <c r="A15630" s="34" t="n">
        <v>26842633000130</v>
      </c>
      <c r="B15630" s="34" t="s">
        <v>29027</v>
      </c>
      <c r="C15630" s="34" t="s">
        <v>299</v>
      </c>
      <c r="E15630" s="30" t="s">
        <v>19717</v>
      </c>
      <c r="F15630" s="34" t="n">
        <f aca="false">IFERROR(VLOOKUP($A15630,'319'!$B:$H,7,0),0)</f>
        <v>0</v>
      </c>
      <c r="G15630" s="34" t="n">
        <f aca="false">SUMIFS('12.326ana'!$C:$C,'12.326ana'!$M:$M,redes!A15630)</f>
        <v>0</v>
      </c>
    </row>
    <row r="15631" customFormat="false" ht="14.4" hidden="true" customHeight="false" outlineLevel="0" collapsed="false">
      <c r="A15631" s="34" t="n">
        <v>26842930000186</v>
      </c>
      <c r="B15631" s="34" t="s">
        <v>29028</v>
      </c>
      <c r="C15631" s="34" t="s">
        <v>77</v>
      </c>
      <c r="E15631" s="30" t="s">
        <v>10498</v>
      </c>
      <c r="F15631" s="34" t="n">
        <f aca="false">IFERROR(VLOOKUP($A15631,'319'!$B:$H,7,0),0)</f>
        <v>0</v>
      </c>
      <c r="G15631" s="34" t="n">
        <f aca="false">SUMIFS('12.326ana'!$C:$C,'12.326ana'!$M:$M,redes!A15631)</f>
        <v>0</v>
      </c>
    </row>
    <row r="15632" customFormat="false" ht="14.4" hidden="true" customHeight="false" outlineLevel="0" collapsed="false">
      <c r="A15632" s="34" t="n">
        <v>26842935000109</v>
      </c>
      <c r="B15632" s="34" t="s">
        <v>29029</v>
      </c>
      <c r="C15632" s="34" t="s">
        <v>77</v>
      </c>
      <c r="E15632" s="30" t="s">
        <v>29030</v>
      </c>
      <c r="F15632" s="34" t="n">
        <f aca="false">IFERROR(VLOOKUP($A15632,'319'!$B:$H,7,0),0)</f>
        <v>0</v>
      </c>
      <c r="G15632" s="34" t="n">
        <f aca="false">SUMIFS('12.326ana'!$C:$C,'12.326ana'!$M:$M,redes!A15632)</f>
        <v>0</v>
      </c>
    </row>
    <row r="15633" customFormat="false" ht="14.4" hidden="true" customHeight="false" outlineLevel="0" collapsed="false">
      <c r="A15633" s="34" t="n">
        <v>26843383000153</v>
      </c>
      <c r="B15633" s="34" t="s">
        <v>29031</v>
      </c>
      <c r="C15633" s="34" t="s">
        <v>77</v>
      </c>
      <c r="E15633" s="30" t="s">
        <v>29032</v>
      </c>
      <c r="F15633" s="34" t="n">
        <f aca="false">IFERROR(VLOOKUP($A15633,'319'!$B:$H,7,0),0)</f>
        <v>0</v>
      </c>
      <c r="G15633" s="34" t="n">
        <f aca="false">SUMIFS('12.326ana'!$C:$C,'12.326ana'!$M:$M,redes!A15633)</f>
        <v>0</v>
      </c>
    </row>
    <row r="15634" customFormat="false" ht="14.4" hidden="true" customHeight="false" outlineLevel="0" collapsed="false">
      <c r="A15634" s="34" t="n">
        <v>26844088000111</v>
      </c>
      <c r="B15634" s="34" t="s">
        <v>29033</v>
      </c>
      <c r="C15634" s="34" t="s">
        <v>103</v>
      </c>
      <c r="E15634" s="30" t="s">
        <v>29034</v>
      </c>
      <c r="F15634" s="34" t="n">
        <f aca="false">IFERROR(VLOOKUP($A15634,'319'!$B:$H,7,0),0)</f>
        <v>0</v>
      </c>
      <c r="G15634" s="34" t="n">
        <f aca="false">SUMIFS('12.326ana'!$C:$C,'12.326ana'!$M:$M,redes!A15634)</f>
        <v>0</v>
      </c>
    </row>
    <row r="15635" customFormat="false" ht="14.4" hidden="true" customHeight="false" outlineLevel="0" collapsed="false">
      <c r="A15635" s="34" t="n">
        <v>26844928000308</v>
      </c>
      <c r="B15635" s="34" t="s">
        <v>29035</v>
      </c>
      <c r="C15635" s="34" t="s">
        <v>77</v>
      </c>
      <c r="E15635" s="30" t="s">
        <v>29036</v>
      </c>
      <c r="F15635" s="34" t="n">
        <f aca="false">IFERROR(VLOOKUP($A15635,'319'!$B:$H,7,0),0)</f>
        <v>0</v>
      </c>
      <c r="G15635" s="34" t="n">
        <f aca="false">SUMIFS('12.326ana'!$C:$C,'12.326ana'!$M:$M,redes!A15635)</f>
        <v>0</v>
      </c>
    </row>
    <row r="15636" customFormat="false" ht="14.4" hidden="true" customHeight="false" outlineLevel="0" collapsed="false">
      <c r="A15636" s="34" t="n">
        <v>26845362000177</v>
      </c>
      <c r="B15636" s="34" t="s">
        <v>29037</v>
      </c>
      <c r="C15636" s="34" t="s">
        <v>478</v>
      </c>
      <c r="E15636" s="30" t="s">
        <v>29038</v>
      </c>
      <c r="F15636" s="34" t="n">
        <f aca="false">IFERROR(VLOOKUP($A15636,'319'!$B:$H,7,0),0)</f>
        <v>0</v>
      </c>
      <c r="G15636" s="34" t="n">
        <f aca="false">SUMIFS('12.326ana'!$C:$C,'12.326ana'!$M:$M,redes!A15636)</f>
        <v>0</v>
      </c>
    </row>
    <row r="15637" customFormat="false" ht="14.4" hidden="true" customHeight="false" outlineLevel="0" collapsed="false">
      <c r="A15637" s="34" t="n">
        <v>26846105000150</v>
      </c>
      <c r="B15637" s="34" t="s">
        <v>29039</v>
      </c>
      <c r="C15637" s="34" t="s">
        <v>464</v>
      </c>
      <c r="E15637" s="30" t="s">
        <v>29040</v>
      </c>
      <c r="F15637" s="34" t="n">
        <f aca="false">IFERROR(VLOOKUP($A15637,'319'!$B:$H,7,0),0)</f>
        <v>0</v>
      </c>
      <c r="G15637" s="34" t="n">
        <f aca="false">SUMIFS('12.326ana'!$C:$C,'12.326ana'!$M:$M,redes!A15637)</f>
        <v>0</v>
      </c>
    </row>
    <row r="15638" customFormat="false" ht="14.4" hidden="true" customHeight="false" outlineLevel="0" collapsed="false">
      <c r="A15638" s="34" t="n">
        <v>26846201000106</v>
      </c>
      <c r="B15638" s="34" t="s">
        <v>29041</v>
      </c>
      <c r="C15638" s="34" t="s">
        <v>77</v>
      </c>
      <c r="E15638" s="30" t="s">
        <v>29042</v>
      </c>
      <c r="F15638" s="34" t="n">
        <f aca="false">IFERROR(VLOOKUP($A15638,'319'!$B:$H,7,0),0)</f>
        <v>0</v>
      </c>
      <c r="G15638" s="34" t="n">
        <f aca="false">SUMIFS('12.326ana'!$C:$C,'12.326ana'!$M:$M,redes!A15638)</f>
        <v>0</v>
      </c>
    </row>
    <row r="15639" customFormat="false" ht="14.4" hidden="true" customHeight="false" outlineLevel="0" collapsed="false">
      <c r="A15639" s="34" t="n">
        <v>26846204000131</v>
      </c>
      <c r="B15639" s="34" t="s">
        <v>29043</v>
      </c>
      <c r="C15639" s="34" t="s">
        <v>107</v>
      </c>
      <c r="E15639" s="30" t="s">
        <v>29044</v>
      </c>
      <c r="F15639" s="34" t="n">
        <f aca="false">IFERROR(VLOOKUP($A15639,'319'!$B:$H,7,0),0)</f>
        <v>0</v>
      </c>
      <c r="G15639" s="34" t="n">
        <f aca="false">SUMIFS('12.326ana'!$C:$C,'12.326ana'!$M:$M,redes!A15639)</f>
        <v>0</v>
      </c>
    </row>
    <row r="15640" customFormat="false" ht="14.4" hidden="true" customHeight="false" outlineLevel="0" collapsed="false">
      <c r="A15640" s="34" t="n">
        <v>26846352000156</v>
      </c>
      <c r="B15640" s="34" t="s">
        <v>29045</v>
      </c>
      <c r="C15640" s="34" t="s">
        <v>309</v>
      </c>
      <c r="E15640" s="30" t="s">
        <v>29046</v>
      </c>
      <c r="F15640" s="34" t="n">
        <f aca="false">IFERROR(VLOOKUP($A15640,'319'!$B:$H,7,0),0)</f>
        <v>0</v>
      </c>
      <c r="G15640" s="34" t="n">
        <f aca="false">SUMIFS('12.326ana'!$C:$C,'12.326ana'!$M:$M,redes!A15640)</f>
        <v>0</v>
      </c>
    </row>
    <row r="15641" customFormat="false" ht="14.4" hidden="true" customHeight="false" outlineLevel="0" collapsed="false">
      <c r="A15641" s="34" t="n">
        <v>26846522000100</v>
      </c>
      <c r="B15641" s="34" t="s">
        <v>29047</v>
      </c>
      <c r="C15641" s="34" t="s">
        <v>103</v>
      </c>
      <c r="E15641" s="30" t="s">
        <v>29048</v>
      </c>
      <c r="F15641" s="34" t="n">
        <f aca="false">IFERROR(VLOOKUP($A15641,'319'!$B:$H,7,0),0)</f>
        <v>0</v>
      </c>
      <c r="G15641" s="34" t="n">
        <f aca="false">SUMIFS('12.326ana'!$C:$C,'12.326ana'!$M:$M,redes!A15641)</f>
        <v>0</v>
      </c>
    </row>
    <row r="15642" customFormat="false" ht="14.4" hidden="true" customHeight="false" outlineLevel="0" collapsed="false">
      <c r="A15642" s="34" t="n">
        <v>26846943000123</v>
      </c>
      <c r="B15642" s="34" t="s">
        <v>29049</v>
      </c>
      <c r="C15642" s="34" t="s">
        <v>77</v>
      </c>
      <c r="E15642" s="30" t="s">
        <v>29050</v>
      </c>
      <c r="F15642" s="34" t="n">
        <f aca="false">IFERROR(VLOOKUP($A15642,'319'!$B:$H,7,0),0)</f>
        <v>0</v>
      </c>
      <c r="G15642" s="34" t="n">
        <f aca="false">SUMIFS('12.326ana'!$C:$C,'12.326ana'!$M:$M,redes!A15642)</f>
        <v>0</v>
      </c>
    </row>
    <row r="15643" customFormat="false" ht="14.4" hidden="true" customHeight="false" outlineLevel="0" collapsed="false">
      <c r="A15643" s="34" t="n">
        <v>26847867000170</v>
      </c>
      <c r="B15643" s="34" t="s">
        <v>29051</v>
      </c>
      <c r="C15643" s="34" t="s">
        <v>77</v>
      </c>
      <c r="E15643" s="30" t="s">
        <v>29052</v>
      </c>
      <c r="F15643" s="34" t="n">
        <f aca="false">IFERROR(VLOOKUP($A15643,'319'!$B:$H,7,0),0)</f>
        <v>0</v>
      </c>
      <c r="G15643" s="34" t="n">
        <f aca="false">SUMIFS('12.326ana'!$C:$C,'12.326ana'!$M:$M,redes!A15643)</f>
        <v>0</v>
      </c>
    </row>
    <row r="15644" customFormat="false" ht="14.4" hidden="true" customHeight="false" outlineLevel="0" collapsed="false">
      <c r="A15644" s="34" t="n">
        <v>26848671000109</v>
      </c>
      <c r="B15644" s="34" t="s">
        <v>29053</v>
      </c>
      <c r="C15644" s="34" t="s">
        <v>77</v>
      </c>
      <c r="E15644" s="30" t="s">
        <v>9290</v>
      </c>
      <c r="F15644" s="34" t="n">
        <f aca="false">IFERROR(VLOOKUP($A15644,'319'!$B:$H,7,0),0)</f>
        <v>0</v>
      </c>
      <c r="G15644" s="34" t="n">
        <f aca="false">SUMIFS('12.326ana'!$C:$C,'12.326ana'!$M:$M,redes!A15644)</f>
        <v>0</v>
      </c>
    </row>
    <row r="15645" customFormat="false" ht="14.4" hidden="true" customHeight="false" outlineLevel="0" collapsed="false">
      <c r="A15645" s="34" t="n">
        <v>26848705000157</v>
      </c>
      <c r="B15645" s="34" t="s">
        <v>29054</v>
      </c>
      <c r="C15645" s="34" t="s">
        <v>129</v>
      </c>
      <c r="E15645" s="30" t="s">
        <v>29055</v>
      </c>
      <c r="F15645" s="34" t="n">
        <f aca="false">IFERROR(VLOOKUP($A15645,'319'!$B:$H,7,0),0)</f>
        <v>0</v>
      </c>
      <c r="G15645" s="34" t="n">
        <f aca="false">SUMIFS('12.326ana'!$C:$C,'12.326ana'!$M:$M,redes!A15645)</f>
        <v>0</v>
      </c>
    </row>
    <row r="15646" customFormat="false" ht="14.4" hidden="true" customHeight="false" outlineLevel="0" collapsed="false">
      <c r="A15646" s="34" t="n">
        <v>26849000000154</v>
      </c>
      <c r="B15646" s="34" t="s">
        <v>29056</v>
      </c>
      <c r="C15646" s="34" t="s">
        <v>4418</v>
      </c>
      <c r="E15646" s="30" t="s">
        <v>29057</v>
      </c>
      <c r="F15646" s="34" t="n">
        <f aca="false">IFERROR(VLOOKUP($A15646,'319'!$B:$H,7,0),0)</f>
        <v>0</v>
      </c>
      <c r="G15646" s="34" t="n">
        <f aca="false">SUMIFS('12.326ana'!$C:$C,'12.326ana'!$M:$M,redes!A15646)</f>
        <v>0</v>
      </c>
    </row>
    <row r="15647" customFormat="false" ht="14.4" hidden="true" customHeight="false" outlineLevel="0" collapsed="false">
      <c r="A15647" s="34" t="n">
        <v>26849075000135</v>
      </c>
      <c r="B15647" s="34" t="s">
        <v>29058</v>
      </c>
      <c r="C15647" s="34" t="s">
        <v>139</v>
      </c>
      <c r="E15647" s="30" t="s">
        <v>29059</v>
      </c>
      <c r="F15647" s="34" t="n">
        <f aca="false">IFERROR(VLOOKUP($A15647,'319'!$B:$H,7,0),0)</f>
        <v>0</v>
      </c>
      <c r="G15647" s="34" t="n">
        <f aca="false">SUMIFS('12.326ana'!$C:$C,'12.326ana'!$M:$M,redes!A15647)</f>
        <v>0</v>
      </c>
    </row>
    <row r="15648" customFormat="false" ht="14.4" hidden="true" customHeight="false" outlineLevel="0" collapsed="false">
      <c r="A15648" s="34" t="n">
        <v>26849455000170</v>
      </c>
      <c r="B15648" s="34" t="s">
        <v>29060</v>
      </c>
      <c r="C15648" s="34" t="s">
        <v>77</v>
      </c>
      <c r="E15648" s="30" t="s">
        <v>3754</v>
      </c>
      <c r="F15648" s="34" t="n">
        <f aca="false">IFERROR(VLOOKUP($A15648,'319'!$B:$H,7,0),0)</f>
        <v>0</v>
      </c>
      <c r="G15648" s="34" t="n">
        <f aca="false">SUMIFS('12.326ana'!$C:$C,'12.326ana'!$M:$M,redes!A15648)</f>
        <v>0</v>
      </c>
    </row>
    <row r="15649" customFormat="false" ht="14.4" hidden="true" customHeight="false" outlineLevel="0" collapsed="false">
      <c r="A15649" s="34" t="n">
        <v>26849562000106</v>
      </c>
      <c r="B15649" s="34" t="s">
        <v>29061</v>
      </c>
      <c r="C15649" s="34" t="s">
        <v>604</v>
      </c>
      <c r="E15649" s="30" t="s">
        <v>29062</v>
      </c>
      <c r="F15649" s="34" t="n">
        <f aca="false">IFERROR(VLOOKUP($A15649,'319'!$B:$H,7,0),0)</f>
        <v>0</v>
      </c>
      <c r="G15649" s="34" t="n">
        <f aca="false">SUMIFS('12.326ana'!$C:$C,'12.326ana'!$M:$M,redes!A15649)</f>
        <v>0</v>
      </c>
    </row>
    <row r="15650" customFormat="false" ht="14.4" hidden="true" customHeight="false" outlineLevel="0" collapsed="false">
      <c r="A15650" s="34" t="n">
        <v>26849562000289</v>
      </c>
      <c r="B15650" s="34" t="s">
        <v>29061</v>
      </c>
      <c r="C15650" s="34" t="s">
        <v>604</v>
      </c>
      <c r="E15650" s="30" t="s">
        <v>29063</v>
      </c>
      <c r="F15650" s="34" t="n">
        <f aca="false">IFERROR(VLOOKUP($A15650,'319'!$B:$H,7,0),0)</f>
        <v>0</v>
      </c>
      <c r="G15650" s="34" t="n">
        <f aca="false">SUMIFS('12.326ana'!$C:$C,'12.326ana'!$M:$M,redes!A15650)</f>
        <v>0</v>
      </c>
    </row>
    <row r="15651" customFormat="false" ht="14.4" hidden="true" customHeight="false" outlineLevel="0" collapsed="false">
      <c r="A15651" s="34" t="n">
        <v>26849604000109</v>
      </c>
      <c r="B15651" s="34" t="s">
        <v>29064</v>
      </c>
      <c r="C15651" s="34" t="s">
        <v>77</v>
      </c>
      <c r="E15651" s="30" t="s">
        <v>29065</v>
      </c>
      <c r="F15651" s="34" t="n">
        <f aca="false">IFERROR(VLOOKUP($A15651,'319'!$B:$H,7,0),0)</f>
        <v>0</v>
      </c>
      <c r="G15651" s="34" t="n">
        <f aca="false">SUMIFS('12.326ana'!$C:$C,'12.326ana'!$M:$M,redes!A15651)</f>
        <v>0</v>
      </c>
    </row>
    <row r="15652" customFormat="false" ht="14.4" hidden="true" customHeight="false" outlineLevel="0" collapsed="false">
      <c r="A15652" s="34" t="n">
        <v>26850008000130</v>
      </c>
      <c r="B15652" s="34" t="s">
        <v>29066</v>
      </c>
      <c r="C15652" s="34" t="s">
        <v>77</v>
      </c>
      <c r="E15652" s="30" t="s">
        <v>29067</v>
      </c>
      <c r="F15652" s="34" t="n">
        <f aca="false">IFERROR(VLOOKUP($A15652,'319'!$B:$H,7,0),0)</f>
        <v>0</v>
      </c>
      <c r="G15652" s="34" t="n">
        <f aca="false">SUMIFS('12.326ana'!$C:$C,'12.326ana'!$M:$M,redes!A15652)</f>
        <v>0</v>
      </c>
    </row>
    <row r="15653" customFormat="false" ht="14.4" hidden="true" customHeight="false" outlineLevel="0" collapsed="false">
      <c r="A15653" s="34" t="n">
        <v>26850693000103</v>
      </c>
      <c r="B15653" s="34" t="s">
        <v>29068</v>
      </c>
      <c r="C15653" s="34" t="s">
        <v>1272</v>
      </c>
      <c r="E15653" s="30" t="s">
        <v>29069</v>
      </c>
      <c r="F15653" s="34" t="n">
        <f aca="false">IFERROR(VLOOKUP($A15653,'319'!$B:$H,7,0),0)</f>
        <v>0</v>
      </c>
      <c r="G15653" s="34" t="n">
        <f aca="false">SUMIFS('12.326ana'!$C:$C,'12.326ana'!$M:$M,redes!A15653)</f>
        <v>0</v>
      </c>
    </row>
    <row r="15654" customFormat="false" ht="14.4" hidden="true" customHeight="false" outlineLevel="0" collapsed="false">
      <c r="A15654" s="34" t="n">
        <v>26850792000187</v>
      </c>
      <c r="B15654" s="34" t="s">
        <v>29070</v>
      </c>
      <c r="C15654" s="34" t="s">
        <v>357</v>
      </c>
      <c r="E15654" s="30" t="s">
        <v>29071</v>
      </c>
      <c r="F15654" s="34" t="n">
        <f aca="false">IFERROR(VLOOKUP($A15654,'319'!$B:$H,7,0),0)</f>
        <v>0</v>
      </c>
      <c r="G15654" s="34" t="n">
        <f aca="false">SUMIFS('12.326ana'!$C:$C,'12.326ana'!$M:$M,redes!A15654)</f>
        <v>0</v>
      </c>
    </row>
    <row r="15655" customFormat="false" ht="14.4" hidden="true" customHeight="false" outlineLevel="0" collapsed="false">
      <c r="A15655" s="34" t="n">
        <v>26852137000168</v>
      </c>
      <c r="B15655" s="34" t="s">
        <v>29072</v>
      </c>
      <c r="C15655" s="34" t="s">
        <v>89</v>
      </c>
      <c r="E15655" s="30" t="s">
        <v>29073</v>
      </c>
      <c r="F15655" s="34" t="n">
        <f aca="false">IFERROR(VLOOKUP($A15655,'319'!$B:$H,7,0),0)</f>
        <v>0</v>
      </c>
      <c r="G15655" s="34" t="n">
        <f aca="false">SUMIFS('12.326ana'!$C:$C,'12.326ana'!$M:$M,redes!A15655)</f>
        <v>0</v>
      </c>
    </row>
    <row r="15656" customFormat="false" ht="14.4" hidden="true" customHeight="false" outlineLevel="0" collapsed="false">
      <c r="A15656" s="34" t="n">
        <v>26852509000156</v>
      </c>
      <c r="B15656" s="34" t="s">
        <v>29074</v>
      </c>
      <c r="C15656" s="34" t="s">
        <v>107</v>
      </c>
      <c r="E15656" s="30" t="s">
        <v>29075</v>
      </c>
      <c r="F15656" s="34" t="n">
        <f aca="false">IFERROR(VLOOKUP($A15656,'319'!$B:$H,7,0),0)</f>
        <v>0</v>
      </c>
      <c r="G15656" s="34" t="n">
        <f aca="false">SUMIFS('12.326ana'!$C:$C,'12.326ana'!$M:$M,redes!A15656)</f>
        <v>0</v>
      </c>
    </row>
    <row r="15657" customFormat="false" ht="14.4" hidden="true" customHeight="false" outlineLevel="0" collapsed="false">
      <c r="A15657" s="34" t="n">
        <v>26852582000128</v>
      </c>
      <c r="B15657" s="34" t="s">
        <v>29076</v>
      </c>
      <c r="C15657" s="34" t="s">
        <v>1054</v>
      </c>
      <c r="E15657" s="30" t="s">
        <v>29077</v>
      </c>
      <c r="F15657" s="34" t="n">
        <f aca="false">IFERROR(VLOOKUP($A15657,'319'!$B:$H,7,0),0)</f>
        <v>0</v>
      </c>
      <c r="G15657" s="34" t="n">
        <f aca="false">SUMIFS('12.326ana'!$C:$C,'12.326ana'!$M:$M,redes!A15657)</f>
        <v>0</v>
      </c>
    </row>
    <row r="15658" customFormat="false" ht="14.4" hidden="true" customHeight="false" outlineLevel="0" collapsed="false">
      <c r="A15658" s="34" t="n">
        <v>26853935000104</v>
      </c>
      <c r="B15658" s="34" t="s">
        <v>11319</v>
      </c>
      <c r="C15658" s="34" t="s">
        <v>77</v>
      </c>
      <c r="E15658" s="30" t="s">
        <v>29078</v>
      </c>
      <c r="F15658" s="34" t="n">
        <f aca="false">IFERROR(VLOOKUP($A15658,'319'!$B:$H,7,0),0)</f>
        <v>0</v>
      </c>
      <c r="G15658" s="34" t="n">
        <f aca="false">SUMIFS('12.326ana'!$C:$C,'12.326ana'!$M:$M,redes!A15658)</f>
        <v>0</v>
      </c>
    </row>
    <row r="15659" customFormat="false" ht="14.4" hidden="true" customHeight="false" outlineLevel="0" collapsed="false">
      <c r="A15659" s="34" t="n">
        <v>26854885000180</v>
      </c>
      <c r="B15659" s="34" t="s">
        <v>29079</v>
      </c>
      <c r="C15659" s="34" t="s">
        <v>77</v>
      </c>
      <c r="E15659" s="30" t="s">
        <v>29080</v>
      </c>
      <c r="F15659" s="34" t="n">
        <f aca="false">IFERROR(VLOOKUP($A15659,'319'!$B:$H,7,0),0)</f>
        <v>0</v>
      </c>
      <c r="G15659" s="34" t="n">
        <f aca="false">SUMIFS('12.326ana'!$C:$C,'12.326ana'!$M:$M,redes!A15659)</f>
        <v>0</v>
      </c>
    </row>
    <row r="15660" customFormat="false" ht="14.4" hidden="true" customHeight="false" outlineLevel="0" collapsed="false">
      <c r="A15660" s="34" t="n">
        <v>26854901000134</v>
      </c>
      <c r="B15660" s="34" t="s">
        <v>29081</v>
      </c>
      <c r="C15660" s="34" t="s">
        <v>598</v>
      </c>
      <c r="D15660" s="34" t="s">
        <v>4797</v>
      </c>
      <c r="E15660" s="30" t="s">
        <v>29082</v>
      </c>
      <c r="F15660" s="34" t="n">
        <f aca="false">IFERROR(VLOOKUP($A15660,'319'!$B:$H,7,0),0)</f>
        <v>0</v>
      </c>
      <c r="G15660" s="34" t="n">
        <f aca="false">SUMIFS('12.326ana'!$C:$C,'12.326ana'!$M:$M,redes!A15660)</f>
        <v>0</v>
      </c>
    </row>
    <row r="15661" customFormat="false" ht="14.4" hidden="true" customHeight="false" outlineLevel="0" collapsed="false">
      <c r="A15661" s="34" t="n">
        <v>26855205000142</v>
      </c>
      <c r="B15661" s="34" t="s">
        <v>29083</v>
      </c>
      <c r="C15661" s="34" t="s">
        <v>77</v>
      </c>
      <c r="E15661" s="30" t="s">
        <v>29084</v>
      </c>
      <c r="F15661" s="34" t="n">
        <f aca="false">IFERROR(VLOOKUP($A15661,'319'!$B:$H,7,0),0)</f>
        <v>0</v>
      </c>
      <c r="G15661" s="34" t="n">
        <f aca="false">SUMIFS('12.326ana'!$C:$C,'12.326ana'!$M:$M,redes!A15661)</f>
        <v>0</v>
      </c>
    </row>
    <row r="15662" customFormat="false" ht="14.4" hidden="true" customHeight="false" outlineLevel="0" collapsed="false">
      <c r="A15662" s="34" t="n">
        <v>26855490000100</v>
      </c>
      <c r="B15662" s="34" t="s">
        <v>29085</v>
      </c>
      <c r="C15662" s="34" t="s">
        <v>1054</v>
      </c>
      <c r="E15662" s="30" t="s">
        <v>29086</v>
      </c>
      <c r="F15662" s="34" t="n">
        <f aca="false">IFERROR(VLOOKUP($A15662,'319'!$B:$H,7,0),0)</f>
        <v>0</v>
      </c>
      <c r="G15662" s="34" t="n">
        <f aca="false">SUMIFS('12.326ana'!$C:$C,'12.326ana'!$M:$M,redes!A15662)</f>
        <v>0</v>
      </c>
    </row>
    <row r="15663" customFormat="false" ht="14.4" hidden="true" customHeight="false" outlineLevel="0" collapsed="false">
      <c r="A15663" s="34" t="n">
        <v>26856336000144</v>
      </c>
      <c r="B15663" s="34" t="s">
        <v>29087</v>
      </c>
      <c r="C15663" s="34" t="s">
        <v>594</v>
      </c>
      <c r="E15663" s="30" t="s">
        <v>17408</v>
      </c>
      <c r="F15663" s="34" t="n">
        <f aca="false">IFERROR(VLOOKUP($A15663,'319'!$B:$H,7,0),0)</f>
        <v>0</v>
      </c>
      <c r="G15663" s="34" t="n">
        <f aca="false">SUMIFS('12.326ana'!$C:$C,'12.326ana'!$M:$M,redes!A15663)</f>
        <v>0</v>
      </c>
    </row>
    <row r="15664" customFormat="false" ht="14.4" hidden="true" customHeight="false" outlineLevel="0" collapsed="false">
      <c r="A15664" s="34" t="n">
        <v>26861104000184</v>
      </c>
      <c r="B15664" s="34" t="s">
        <v>29088</v>
      </c>
      <c r="C15664" s="34" t="s">
        <v>77</v>
      </c>
      <c r="E15664" s="30" t="s">
        <v>29089</v>
      </c>
      <c r="F15664" s="34" t="n">
        <f aca="false">IFERROR(VLOOKUP($A15664,'319'!$B:$H,7,0),0)</f>
        <v>0</v>
      </c>
      <c r="G15664" s="34" t="n">
        <f aca="false">SUMIFS('12.326ana'!$C:$C,'12.326ana'!$M:$M,redes!A15664)</f>
        <v>0</v>
      </c>
    </row>
    <row r="15665" customFormat="false" ht="14.4" hidden="true" customHeight="false" outlineLevel="0" collapsed="false">
      <c r="A15665" s="34" t="n">
        <v>26861484000157</v>
      </c>
      <c r="B15665" s="34" t="s">
        <v>29090</v>
      </c>
      <c r="C15665" s="34" t="s">
        <v>107</v>
      </c>
      <c r="E15665" s="30" t="s">
        <v>29091</v>
      </c>
      <c r="F15665" s="34" t="n">
        <f aca="false">IFERROR(VLOOKUP($A15665,'319'!$B:$H,7,0),0)</f>
        <v>0</v>
      </c>
      <c r="G15665" s="34" t="n">
        <f aca="false">SUMIFS('12.326ana'!$C:$C,'12.326ana'!$M:$M,redes!A15665)</f>
        <v>0</v>
      </c>
    </row>
    <row r="15666" customFormat="false" ht="14.4" hidden="true" customHeight="false" outlineLevel="0" collapsed="false">
      <c r="A15666" s="34" t="n">
        <v>26862205000170</v>
      </c>
      <c r="B15666" s="34" t="s">
        <v>29092</v>
      </c>
      <c r="C15666" s="34" t="s">
        <v>77</v>
      </c>
      <c r="E15666" s="30" t="s">
        <v>22314</v>
      </c>
      <c r="F15666" s="34" t="n">
        <f aca="false">IFERROR(VLOOKUP($A15666,'319'!$B:$H,7,0),0)</f>
        <v>0</v>
      </c>
      <c r="G15666" s="34" t="n">
        <f aca="false">SUMIFS('12.326ana'!$C:$C,'12.326ana'!$M:$M,redes!A15666)</f>
        <v>0</v>
      </c>
    </row>
    <row r="15667" customFormat="false" ht="14.4" hidden="true" customHeight="false" outlineLevel="0" collapsed="false">
      <c r="A15667" s="34" t="n">
        <v>26862375000154</v>
      </c>
      <c r="B15667" s="34" t="s">
        <v>29093</v>
      </c>
      <c r="C15667" s="34" t="s">
        <v>935</v>
      </c>
      <c r="E15667" s="30" t="s">
        <v>29094</v>
      </c>
      <c r="F15667" s="34" t="n">
        <f aca="false">IFERROR(VLOOKUP($A15667,'319'!$B:$H,7,0),0)</f>
        <v>0</v>
      </c>
      <c r="G15667" s="34" t="n">
        <f aca="false">SUMIFS('12.326ana'!$C:$C,'12.326ana'!$M:$M,redes!A15667)</f>
        <v>0</v>
      </c>
    </row>
    <row r="15668" customFormat="false" ht="14.4" hidden="true" customHeight="false" outlineLevel="0" collapsed="false">
      <c r="A15668" s="34" t="n">
        <v>26863498000100</v>
      </c>
      <c r="B15668" s="34" t="s">
        <v>29095</v>
      </c>
      <c r="C15668" s="34" t="s">
        <v>77</v>
      </c>
      <c r="E15668" s="30" t="s">
        <v>29096</v>
      </c>
      <c r="F15668" s="34" t="n">
        <f aca="false">IFERROR(VLOOKUP($A15668,'319'!$B:$H,7,0),0)</f>
        <v>0</v>
      </c>
      <c r="G15668" s="34" t="n">
        <f aca="false">SUMIFS('12.326ana'!$C:$C,'12.326ana'!$M:$M,redes!A15668)</f>
        <v>0</v>
      </c>
    </row>
    <row r="15669" customFormat="false" ht="14.4" hidden="true" customHeight="false" outlineLevel="0" collapsed="false">
      <c r="A15669" s="34" t="n">
        <v>26888404000157</v>
      </c>
      <c r="B15669" s="34" t="s">
        <v>29097</v>
      </c>
      <c r="C15669" s="34" t="s">
        <v>77</v>
      </c>
      <c r="E15669" s="30" t="s">
        <v>29098</v>
      </c>
      <c r="F15669" s="34" t="n">
        <f aca="false">IFERROR(VLOOKUP($A15669,'319'!$B:$H,7,0),0)</f>
        <v>0</v>
      </c>
      <c r="G15669" s="34" t="n">
        <f aca="false">SUMIFS('12.326ana'!$C:$C,'12.326ana'!$M:$M,redes!A15669)</f>
        <v>0</v>
      </c>
    </row>
    <row r="15670" customFormat="false" ht="14.4" hidden="true" customHeight="false" outlineLevel="0" collapsed="false">
      <c r="A15670" s="34" t="n">
        <v>26905682000175</v>
      </c>
      <c r="B15670" s="34" t="s">
        <v>29099</v>
      </c>
      <c r="C15670" s="34" t="s">
        <v>562</v>
      </c>
      <c r="E15670" s="30" t="s">
        <v>26741</v>
      </c>
      <c r="F15670" s="34" t="n">
        <f aca="false">IFERROR(VLOOKUP($A15670,'319'!$B:$H,7,0),0)</f>
        <v>0</v>
      </c>
      <c r="G15670" s="34" t="n">
        <f aca="false">SUMIFS('12.326ana'!$C:$C,'12.326ana'!$M:$M,redes!A15670)</f>
        <v>0</v>
      </c>
    </row>
    <row r="15671" customFormat="false" ht="14.4" hidden="true" customHeight="false" outlineLevel="0" collapsed="false">
      <c r="A15671" s="34" t="n">
        <v>26906001000193</v>
      </c>
      <c r="B15671" s="34" t="s">
        <v>29100</v>
      </c>
      <c r="C15671" s="34" t="s">
        <v>77</v>
      </c>
      <c r="E15671" s="30" t="s">
        <v>29101</v>
      </c>
      <c r="F15671" s="34" t="n">
        <f aca="false">IFERROR(VLOOKUP($A15671,'319'!$B:$H,7,0),0)</f>
        <v>0</v>
      </c>
      <c r="G15671" s="34" t="n">
        <f aca="false">SUMIFS('12.326ana'!$C:$C,'12.326ana'!$M:$M,redes!A15671)</f>
        <v>0</v>
      </c>
    </row>
    <row r="15672" customFormat="false" ht="14.4" hidden="true" customHeight="false" outlineLevel="0" collapsed="false">
      <c r="A15672" s="34" t="n">
        <v>26911572000116</v>
      </c>
      <c r="B15672" s="34" t="s">
        <v>29102</v>
      </c>
      <c r="C15672" s="34" t="s">
        <v>77</v>
      </c>
      <c r="E15672" s="30" t="s">
        <v>29103</v>
      </c>
      <c r="F15672" s="34" t="n">
        <f aca="false">IFERROR(VLOOKUP($A15672,'319'!$B:$H,7,0),0)</f>
        <v>0</v>
      </c>
      <c r="G15672" s="34" t="n">
        <f aca="false">SUMIFS('12.326ana'!$C:$C,'12.326ana'!$M:$M,redes!A15672)</f>
        <v>0</v>
      </c>
    </row>
    <row r="15673" customFormat="false" ht="14.4" hidden="true" customHeight="false" outlineLevel="0" collapsed="false">
      <c r="A15673" s="34" t="n">
        <v>26924349000103</v>
      </c>
      <c r="B15673" s="34" t="s">
        <v>1704</v>
      </c>
      <c r="C15673" s="34" t="s">
        <v>213</v>
      </c>
      <c r="E15673" s="30" t="s">
        <v>29104</v>
      </c>
      <c r="F15673" s="34" t="n">
        <f aca="false">IFERROR(VLOOKUP($A15673,'319'!$B:$H,7,0),0)</f>
        <v>41.39</v>
      </c>
      <c r="G15673" s="34" t="n">
        <f aca="false">SUMIFS('12.326ana'!$C:$C,'12.326ana'!$M:$M,redes!A15673)</f>
        <v>0</v>
      </c>
    </row>
    <row r="15674" customFormat="false" ht="14.4" hidden="true" customHeight="false" outlineLevel="0" collapsed="false">
      <c r="A15674" s="34" t="n">
        <v>26926646000198</v>
      </c>
      <c r="B15674" s="34" t="s">
        <v>29105</v>
      </c>
      <c r="C15674" s="34" t="s">
        <v>107</v>
      </c>
      <c r="E15674" s="30" t="s">
        <v>4567</v>
      </c>
      <c r="F15674" s="34" t="n">
        <f aca="false">IFERROR(VLOOKUP($A15674,'319'!$B:$H,7,0),0)</f>
        <v>0</v>
      </c>
      <c r="G15674" s="34" t="n">
        <f aca="false">SUMIFS('12.326ana'!$C:$C,'12.326ana'!$M:$M,redes!A15674)</f>
        <v>0</v>
      </c>
    </row>
    <row r="15675" customFormat="false" ht="14.4" hidden="true" customHeight="false" outlineLevel="0" collapsed="false">
      <c r="A15675" s="34" t="n">
        <v>26927279000147</v>
      </c>
      <c r="B15675" s="34" t="s">
        <v>8322</v>
      </c>
      <c r="C15675" s="34" t="s">
        <v>77</v>
      </c>
      <c r="E15675" s="30" t="s">
        <v>29106</v>
      </c>
      <c r="F15675" s="34" t="n">
        <f aca="false">IFERROR(VLOOKUP($A15675,'319'!$B:$H,7,0),0)</f>
        <v>0</v>
      </c>
      <c r="G15675" s="34" t="n">
        <f aca="false">SUMIFS('12.326ana'!$C:$C,'12.326ana'!$M:$M,redes!A15675)</f>
        <v>0</v>
      </c>
    </row>
    <row r="15676" customFormat="false" ht="14.4" hidden="true" customHeight="false" outlineLevel="0" collapsed="false">
      <c r="A15676" s="34" t="n">
        <v>26937678000199</v>
      </c>
      <c r="B15676" s="34" t="s">
        <v>29107</v>
      </c>
      <c r="C15676" s="34" t="s">
        <v>737</v>
      </c>
      <c r="E15676" s="30" t="s">
        <v>29108</v>
      </c>
      <c r="F15676" s="34" t="n">
        <f aca="false">IFERROR(VLOOKUP($A15676,'319'!$B:$H,7,0),0)</f>
        <v>0</v>
      </c>
      <c r="G15676" s="34" t="n">
        <f aca="false">SUMIFS('12.326ana'!$C:$C,'12.326ana'!$M:$M,redes!A15676)</f>
        <v>0</v>
      </c>
    </row>
    <row r="15677" customFormat="false" ht="14.4" hidden="true" customHeight="false" outlineLevel="0" collapsed="false">
      <c r="A15677" s="34" t="n">
        <v>26946372000107</v>
      </c>
      <c r="B15677" s="34" t="s">
        <v>29109</v>
      </c>
      <c r="C15677" s="34" t="s">
        <v>77</v>
      </c>
      <c r="E15677" s="30" t="s">
        <v>29110</v>
      </c>
      <c r="F15677" s="34" t="n">
        <f aca="false">IFERROR(VLOOKUP($A15677,'319'!$B:$H,7,0),0)</f>
        <v>0</v>
      </c>
      <c r="G15677" s="34" t="n">
        <f aca="false">SUMIFS('12.326ana'!$C:$C,'12.326ana'!$M:$M,redes!A15677)</f>
        <v>0</v>
      </c>
    </row>
    <row r="15678" customFormat="false" ht="14.4" hidden="true" customHeight="false" outlineLevel="0" collapsed="false">
      <c r="A15678" s="34" t="n">
        <v>26946568000193</v>
      </c>
      <c r="B15678" s="34" t="s">
        <v>29111</v>
      </c>
      <c r="C15678" s="34" t="s">
        <v>377</v>
      </c>
      <c r="E15678" s="30" t="s">
        <v>23310</v>
      </c>
      <c r="F15678" s="34" t="n">
        <f aca="false">IFERROR(VLOOKUP($A15678,'319'!$B:$H,7,0),0)</f>
        <v>0</v>
      </c>
      <c r="G15678" s="34" t="n">
        <f aca="false">SUMIFS('12.326ana'!$C:$C,'12.326ana'!$M:$M,redes!A15678)</f>
        <v>0</v>
      </c>
    </row>
    <row r="15679" customFormat="false" ht="14.4" hidden="true" customHeight="false" outlineLevel="0" collapsed="false">
      <c r="A15679" s="34" t="n">
        <v>26947635000194</v>
      </c>
      <c r="B15679" s="34" t="s">
        <v>29112</v>
      </c>
      <c r="C15679" s="34" t="s">
        <v>77</v>
      </c>
      <c r="E15679" s="30" t="s">
        <v>29113</v>
      </c>
      <c r="F15679" s="34" t="n">
        <f aca="false">IFERROR(VLOOKUP($A15679,'319'!$B:$H,7,0),0)</f>
        <v>0</v>
      </c>
      <c r="G15679" s="34" t="n">
        <f aca="false">SUMIFS('12.326ana'!$C:$C,'12.326ana'!$M:$M,redes!A15679)</f>
        <v>0</v>
      </c>
    </row>
    <row r="15680" customFormat="false" ht="14.4" hidden="true" customHeight="false" outlineLevel="0" collapsed="false">
      <c r="A15680" s="34" t="n">
        <v>26959481000150</v>
      </c>
      <c r="B15680" s="34" t="s">
        <v>29114</v>
      </c>
      <c r="C15680" s="34" t="s">
        <v>565</v>
      </c>
      <c r="E15680" s="30" t="s">
        <v>29115</v>
      </c>
      <c r="F15680" s="34" t="n">
        <f aca="false">IFERROR(VLOOKUP($A15680,'319'!$B:$H,7,0),0)</f>
        <v>0</v>
      </c>
      <c r="G15680" s="34" t="n">
        <f aca="false">SUMIFS('12.326ana'!$C:$C,'12.326ana'!$M:$M,redes!A15680)</f>
        <v>0</v>
      </c>
    </row>
    <row r="15681" customFormat="false" ht="14.4" hidden="true" customHeight="false" outlineLevel="0" collapsed="false">
      <c r="A15681" s="34" t="n">
        <v>26967388000198</v>
      </c>
      <c r="B15681" s="34" t="s">
        <v>29116</v>
      </c>
      <c r="C15681" s="34" t="s">
        <v>192</v>
      </c>
      <c r="E15681" s="30" t="s">
        <v>29117</v>
      </c>
      <c r="F15681" s="34" t="n">
        <f aca="false">IFERROR(VLOOKUP($A15681,'319'!$B:$H,7,0),0)</f>
        <v>0</v>
      </c>
      <c r="G15681" s="34" t="n">
        <f aca="false">SUMIFS('12.326ana'!$C:$C,'12.326ana'!$M:$M,redes!A15681)</f>
        <v>0</v>
      </c>
    </row>
    <row r="15682" customFormat="false" ht="14.4" hidden="true" customHeight="false" outlineLevel="0" collapsed="false">
      <c r="A15682" s="34" t="n">
        <v>26970828000166</v>
      </c>
      <c r="B15682" s="34" t="s">
        <v>29118</v>
      </c>
      <c r="C15682" s="34" t="s">
        <v>77</v>
      </c>
      <c r="E15682" s="30" t="s">
        <v>29118</v>
      </c>
      <c r="F15682" s="34" t="n">
        <f aca="false">IFERROR(VLOOKUP($A15682,'319'!$B:$H,7,0),0)</f>
        <v>0</v>
      </c>
      <c r="G15682" s="34" t="n">
        <f aca="false">SUMIFS('12.326ana'!$C:$C,'12.326ana'!$M:$M,redes!A15682)</f>
        <v>0</v>
      </c>
    </row>
    <row r="15683" customFormat="false" ht="14.4" hidden="true" customHeight="false" outlineLevel="0" collapsed="false">
      <c r="A15683" s="34" t="n">
        <v>27006029000137</v>
      </c>
      <c r="B15683" s="34" t="s">
        <v>29119</v>
      </c>
      <c r="C15683" s="34" t="s">
        <v>77</v>
      </c>
      <c r="E15683" s="30" t="s">
        <v>29120</v>
      </c>
      <c r="F15683" s="34" t="n">
        <f aca="false">IFERROR(VLOOKUP($A15683,'319'!$B:$H,7,0),0)</f>
        <v>0</v>
      </c>
      <c r="G15683" s="34" t="n">
        <f aca="false">SUMIFS('12.326ana'!$C:$C,'12.326ana'!$M:$M,redes!A15683)</f>
        <v>0</v>
      </c>
    </row>
    <row r="15684" customFormat="false" ht="14.4" hidden="true" customHeight="false" outlineLevel="0" collapsed="false">
      <c r="A15684" s="34" t="n">
        <v>27007323000163</v>
      </c>
      <c r="B15684" s="34" t="s">
        <v>29121</v>
      </c>
      <c r="C15684" s="34" t="s">
        <v>213</v>
      </c>
      <c r="E15684" s="30" t="s">
        <v>29122</v>
      </c>
      <c r="F15684" s="34" t="n">
        <f aca="false">IFERROR(VLOOKUP($A15684,'319'!$B:$H,7,0),0)</f>
        <v>0</v>
      </c>
      <c r="G15684" s="34" t="n">
        <f aca="false">SUMIFS('12.326ana'!$C:$C,'12.326ana'!$M:$M,redes!A15684)</f>
        <v>0</v>
      </c>
    </row>
    <row r="15685" customFormat="false" ht="14.4" hidden="true" customHeight="false" outlineLevel="0" collapsed="false">
      <c r="A15685" s="34" t="n">
        <v>27020626000116</v>
      </c>
      <c r="B15685" s="34" t="s">
        <v>29123</v>
      </c>
      <c r="C15685" s="34" t="s">
        <v>77</v>
      </c>
      <c r="E15685" s="30" t="s">
        <v>29124</v>
      </c>
      <c r="F15685" s="34" t="n">
        <f aca="false">IFERROR(VLOOKUP($A15685,'319'!$B:$H,7,0),0)</f>
        <v>0</v>
      </c>
      <c r="G15685" s="34" t="n">
        <f aca="false">SUMIFS('12.326ana'!$C:$C,'12.326ana'!$M:$M,redes!A15685)</f>
        <v>0</v>
      </c>
    </row>
    <row r="15686" customFormat="false" ht="14.4" hidden="true" customHeight="false" outlineLevel="0" collapsed="false">
      <c r="A15686" s="34" t="n">
        <v>27024069000101</v>
      </c>
      <c r="B15686" s="34" t="s">
        <v>29125</v>
      </c>
      <c r="C15686" s="34" t="s">
        <v>351</v>
      </c>
      <c r="E15686" s="30" t="s">
        <v>29126</v>
      </c>
      <c r="F15686" s="34" t="n">
        <f aca="false">IFERROR(VLOOKUP($A15686,'319'!$B:$H,7,0),0)</f>
        <v>0</v>
      </c>
      <c r="G15686" s="34" t="n">
        <f aca="false">SUMIFS('12.326ana'!$C:$C,'12.326ana'!$M:$M,redes!A15686)</f>
        <v>0</v>
      </c>
    </row>
    <row r="15687" customFormat="false" ht="14.4" hidden="true" customHeight="false" outlineLevel="0" collapsed="false">
      <c r="A15687" s="34" t="n">
        <v>27035434000183</v>
      </c>
      <c r="B15687" s="34" t="s">
        <v>29127</v>
      </c>
      <c r="C15687" s="34" t="s">
        <v>77</v>
      </c>
      <c r="E15687" s="30" t="s">
        <v>29128</v>
      </c>
      <c r="F15687" s="34" t="n">
        <f aca="false">IFERROR(VLOOKUP($A15687,'319'!$B:$H,7,0),0)</f>
        <v>0</v>
      </c>
      <c r="G15687" s="34" t="n">
        <f aca="false">SUMIFS('12.326ana'!$C:$C,'12.326ana'!$M:$M,redes!A15687)</f>
        <v>0</v>
      </c>
    </row>
    <row r="15688" customFormat="false" ht="14.4" hidden="true" customHeight="false" outlineLevel="0" collapsed="false">
      <c r="A15688" s="34" t="n">
        <v>27037941000156</v>
      </c>
      <c r="B15688" s="34" t="s">
        <v>29129</v>
      </c>
      <c r="C15688" s="34" t="s">
        <v>342</v>
      </c>
      <c r="E15688" s="30" t="s">
        <v>29130</v>
      </c>
      <c r="F15688" s="34" t="n">
        <f aca="false">IFERROR(VLOOKUP($A15688,'319'!$B:$H,7,0),0)</f>
        <v>0</v>
      </c>
      <c r="G15688" s="34" t="n">
        <f aca="false">SUMIFS('12.326ana'!$C:$C,'12.326ana'!$M:$M,redes!A15688)</f>
        <v>0</v>
      </c>
    </row>
    <row r="15689" customFormat="false" ht="14.4" hidden="true" customHeight="false" outlineLevel="0" collapsed="false">
      <c r="A15689" s="34" t="n">
        <v>27043969000104</v>
      </c>
      <c r="B15689" s="34" t="s">
        <v>29131</v>
      </c>
      <c r="C15689" s="34" t="s">
        <v>107</v>
      </c>
      <c r="E15689" s="30" t="s">
        <v>29132</v>
      </c>
      <c r="F15689" s="34" t="n">
        <f aca="false">IFERROR(VLOOKUP($A15689,'319'!$B:$H,7,0),0)</f>
        <v>0</v>
      </c>
      <c r="G15689" s="34" t="n">
        <f aca="false">SUMIFS('12.326ana'!$C:$C,'12.326ana'!$M:$M,redes!A15689)</f>
        <v>0</v>
      </c>
    </row>
    <row r="15690" customFormat="false" ht="14.4" hidden="true" customHeight="false" outlineLevel="0" collapsed="false">
      <c r="A15690" s="34" t="n">
        <v>27045598000191</v>
      </c>
      <c r="B15690" s="34" t="s">
        <v>29133</v>
      </c>
      <c r="C15690" s="34" t="s">
        <v>77</v>
      </c>
      <c r="E15690" s="30" t="s">
        <v>29134</v>
      </c>
      <c r="F15690" s="34" t="n">
        <f aca="false">IFERROR(VLOOKUP($A15690,'319'!$B:$H,7,0),0)</f>
        <v>0</v>
      </c>
      <c r="G15690" s="34" t="n">
        <f aca="false">SUMIFS('12.326ana'!$C:$C,'12.326ana'!$M:$M,redes!A15690)</f>
        <v>0</v>
      </c>
    </row>
    <row r="15691" customFormat="false" ht="14.4" hidden="true" customHeight="false" outlineLevel="0" collapsed="false">
      <c r="A15691" s="34" t="n">
        <v>27064539000160</v>
      </c>
      <c r="B15691" s="34" t="s">
        <v>29135</v>
      </c>
      <c r="C15691" s="34" t="s">
        <v>309</v>
      </c>
      <c r="E15691" s="30" t="s">
        <v>29136</v>
      </c>
      <c r="F15691" s="34" t="n">
        <f aca="false">IFERROR(VLOOKUP($A15691,'319'!$B:$H,7,0),0)</f>
        <v>0</v>
      </c>
      <c r="G15691" s="34" t="n">
        <f aca="false">SUMIFS('12.326ana'!$C:$C,'12.326ana'!$M:$M,redes!A15691)</f>
        <v>0</v>
      </c>
    </row>
    <row r="15692" customFormat="false" ht="14.4" hidden="true" customHeight="false" outlineLevel="0" collapsed="false">
      <c r="A15692" s="34" t="n">
        <v>27066419000100</v>
      </c>
      <c r="B15692" s="34" t="s">
        <v>29137</v>
      </c>
      <c r="C15692" s="34" t="s">
        <v>377</v>
      </c>
      <c r="E15692" s="30" t="s">
        <v>29138</v>
      </c>
      <c r="F15692" s="34" t="n">
        <f aca="false">IFERROR(VLOOKUP($A15692,'319'!$B:$H,7,0),0)</f>
        <v>0</v>
      </c>
      <c r="G15692" s="34" t="n">
        <f aca="false">SUMIFS('12.326ana'!$C:$C,'12.326ana'!$M:$M,redes!A15692)</f>
        <v>0</v>
      </c>
    </row>
    <row r="15693" customFormat="false" ht="14.4" hidden="true" customHeight="false" outlineLevel="0" collapsed="false">
      <c r="A15693" s="34" t="n">
        <v>27072009000164</v>
      </c>
      <c r="B15693" s="34" t="s">
        <v>29139</v>
      </c>
      <c r="C15693" s="34" t="s">
        <v>336</v>
      </c>
      <c r="E15693" s="30" t="s">
        <v>29140</v>
      </c>
      <c r="F15693" s="34" t="n">
        <f aca="false">IFERROR(VLOOKUP($A15693,'319'!$B:$H,7,0),0)</f>
        <v>0</v>
      </c>
      <c r="G15693" s="34" t="n">
        <f aca="false">SUMIFS('12.326ana'!$C:$C,'12.326ana'!$M:$M,redes!A15693)</f>
        <v>0</v>
      </c>
    </row>
    <row r="15694" customFormat="false" ht="14.4" hidden="true" customHeight="false" outlineLevel="0" collapsed="false">
      <c r="A15694" s="34" t="n">
        <v>27074060000105</v>
      </c>
      <c r="B15694" s="34" t="s">
        <v>29141</v>
      </c>
      <c r="C15694" s="34" t="s">
        <v>103</v>
      </c>
      <c r="E15694" s="30" t="s">
        <v>29142</v>
      </c>
      <c r="F15694" s="34" t="n">
        <f aca="false">IFERROR(VLOOKUP($A15694,'319'!$B:$H,7,0),0)</f>
        <v>0</v>
      </c>
      <c r="G15694" s="34" t="n">
        <f aca="false">SUMIFS('12.326ana'!$C:$C,'12.326ana'!$M:$M,redes!A15694)</f>
        <v>0</v>
      </c>
    </row>
    <row r="15695" customFormat="false" ht="14.4" hidden="true" customHeight="false" outlineLevel="0" collapsed="false">
      <c r="A15695" s="34" t="n">
        <v>27078034000155</v>
      </c>
      <c r="B15695" s="34" t="s">
        <v>29143</v>
      </c>
      <c r="C15695" s="34" t="s">
        <v>77</v>
      </c>
      <c r="E15695" s="30" t="s">
        <v>29144</v>
      </c>
      <c r="F15695" s="34" t="n">
        <f aca="false">IFERROR(VLOOKUP($A15695,'319'!$B:$H,7,0),0)</f>
        <v>0</v>
      </c>
      <c r="G15695" s="34" t="n">
        <f aca="false">SUMIFS('12.326ana'!$C:$C,'12.326ana'!$M:$M,redes!A15695)</f>
        <v>0</v>
      </c>
    </row>
    <row r="15696" customFormat="false" ht="14.4" hidden="true" customHeight="false" outlineLevel="0" collapsed="false">
      <c r="A15696" s="34" t="n">
        <v>27080117000189</v>
      </c>
      <c r="B15696" s="34" t="s">
        <v>29145</v>
      </c>
      <c r="C15696" s="34" t="s">
        <v>77</v>
      </c>
      <c r="E15696" s="30" t="s">
        <v>29146</v>
      </c>
      <c r="F15696" s="34" t="n">
        <f aca="false">IFERROR(VLOOKUP($A15696,'319'!$B:$H,7,0),0)</f>
        <v>0</v>
      </c>
      <c r="G15696" s="34" t="n">
        <f aca="false">SUMIFS('12.326ana'!$C:$C,'12.326ana'!$M:$M,redes!A15696)</f>
        <v>0</v>
      </c>
    </row>
    <row r="15697" customFormat="false" ht="14.4" hidden="true" customHeight="false" outlineLevel="0" collapsed="false">
      <c r="A15697" s="34" t="n">
        <v>27080881000154</v>
      </c>
      <c r="B15697" s="34" t="s">
        <v>29147</v>
      </c>
      <c r="C15697" s="34" t="s">
        <v>77</v>
      </c>
      <c r="E15697" s="30" t="s">
        <v>29148</v>
      </c>
      <c r="F15697" s="34" t="n">
        <f aca="false">IFERROR(VLOOKUP($A15697,'319'!$B:$H,7,0),0)</f>
        <v>0</v>
      </c>
      <c r="G15697" s="34" t="n">
        <f aca="false">SUMIFS('12.326ana'!$C:$C,'12.326ana'!$M:$M,redes!A15697)</f>
        <v>0</v>
      </c>
    </row>
    <row r="15698" customFormat="false" ht="14.4" hidden="true" customHeight="false" outlineLevel="0" collapsed="false">
      <c r="A15698" s="34" t="n">
        <v>27080897000167</v>
      </c>
      <c r="B15698" s="34" t="s">
        <v>29149</v>
      </c>
      <c r="C15698" s="34" t="s">
        <v>737</v>
      </c>
      <c r="E15698" s="30" t="s">
        <v>29150</v>
      </c>
      <c r="F15698" s="34" t="n">
        <f aca="false">IFERROR(VLOOKUP($A15698,'319'!$B:$H,7,0),0)</f>
        <v>0</v>
      </c>
      <c r="G15698" s="34" t="n">
        <f aca="false">SUMIFS('12.326ana'!$C:$C,'12.326ana'!$M:$M,redes!A15698)</f>
        <v>0</v>
      </c>
    </row>
    <row r="15699" customFormat="false" ht="14.4" hidden="true" customHeight="false" outlineLevel="0" collapsed="false">
      <c r="A15699" s="34" t="n">
        <v>27084058000117</v>
      </c>
      <c r="B15699" s="34" t="s">
        <v>29151</v>
      </c>
      <c r="C15699" s="34" t="s">
        <v>192</v>
      </c>
      <c r="E15699" s="30" t="s">
        <v>29152</v>
      </c>
      <c r="F15699" s="34" t="n">
        <f aca="false">IFERROR(VLOOKUP($A15699,'319'!$B:$H,7,0),0)</f>
        <v>0</v>
      </c>
      <c r="G15699" s="34" t="n">
        <f aca="false">SUMIFS('12.326ana'!$C:$C,'12.326ana'!$M:$M,redes!A15699)</f>
        <v>0</v>
      </c>
    </row>
    <row r="15700" customFormat="false" ht="14.4" hidden="true" customHeight="false" outlineLevel="0" collapsed="false">
      <c r="A15700" s="34" t="n">
        <v>27084058000206</v>
      </c>
      <c r="B15700" s="34" t="s">
        <v>29153</v>
      </c>
      <c r="C15700" s="34" t="s">
        <v>192</v>
      </c>
      <c r="D15700" s="34" t="s">
        <v>29154</v>
      </c>
      <c r="E15700" s="30" t="s">
        <v>29152</v>
      </c>
      <c r="F15700" s="34" t="n">
        <f aca="false">IFERROR(VLOOKUP($A15700,'319'!$B:$H,7,0),0)</f>
        <v>0</v>
      </c>
      <c r="G15700" s="34" t="n">
        <f aca="false">SUMIFS('12.326ana'!$C:$C,'12.326ana'!$M:$M,redes!A15700)</f>
        <v>0</v>
      </c>
    </row>
    <row r="15701" customFormat="false" ht="14.4" hidden="true" customHeight="false" outlineLevel="0" collapsed="false">
      <c r="A15701" s="34" t="n">
        <v>27084058000389</v>
      </c>
      <c r="B15701" s="34" t="s">
        <v>29153</v>
      </c>
      <c r="C15701" s="34" t="s">
        <v>197</v>
      </c>
      <c r="D15701" s="34" t="s">
        <v>29154</v>
      </c>
      <c r="E15701" s="30" t="s">
        <v>29152</v>
      </c>
      <c r="F15701" s="34" t="n">
        <f aca="false">IFERROR(VLOOKUP($A15701,'319'!$B:$H,7,0),0)</f>
        <v>0</v>
      </c>
      <c r="G15701" s="34" t="n">
        <f aca="false">SUMIFS('12.326ana'!$C:$C,'12.326ana'!$M:$M,redes!A15701)</f>
        <v>0</v>
      </c>
    </row>
    <row r="15702" customFormat="false" ht="14.4" hidden="true" customHeight="false" outlineLevel="0" collapsed="false">
      <c r="A15702" s="34" t="n">
        <v>27090173000102</v>
      </c>
      <c r="B15702" s="34" t="s">
        <v>29155</v>
      </c>
      <c r="C15702" s="34" t="s">
        <v>77</v>
      </c>
      <c r="E15702" s="30" t="s">
        <v>29156</v>
      </c>
      <c r="F15702" s="34" t="n">
        <f aca="false">IFERROR(VLOOKUP($A15702,'319'!$B:$H,7,0),0)</f>
        <v>0</v>
      </c>
      <c r="G15702" s="34" t="n">
        <f aca="false">SUMIFS('12.326ana'!$C:$C,'12.326ana'!$M:$M,redes!A15702)</f>
        <v>0</v>
      </c>
    </row>
    <row r="15703" customFormat="false" ht="14.4" hidden="true" customHeight="false" outlineLevel="0" collapsed="false">
      <c r="A15703" s="34" t="n">
        <v>27093019000186</v>
      </c>
      <c r="B15703" s="34" t="s">
        <v>29157</v>
      </c>
      <c r="C15703" s="34" t="s">
        <v>3594</v>
      </c>
      <c r="E15703" s="30" t="s">
        <v>29158</v>
      </c>
      <c r="F15703" s="34" t="n">
        <f aca="false">IFERROR(VLOOKUP($A15703,'319'!$B:$H,7,0),0)</f>
        <v>65.52</v>
      </c>
      <c r="G15703" s="34" t="n">
        <f aca="false">SUMIFS('12.326ana'!$C:$C,'12.326ana'!$M:$M,redes!A15703)</f>
        <v>0</v>
      </c>
    </row>
    <row r="15704" customFormat="false" ht="14.4" hidden="true" customHeight="false" outlineLevel="0" collapsed="false">
      <c r="A15704" s="34" t="n">
        <v>27098536000148</v>
      </c>
      <c r="B15704" s="34" t="s">
        <v>29159</v>
      </c>
      <c r="C15704" s="34" t="s">
        <v>103</v>
      </c>
      <c r="E15704" s="30" t="s">
        <v>29160</v>
      </c>
      <c r="F15704" s="34" t="n">
        <f aca="false">IFERROR(VLOOKUP($A15704,'319'!$B:$H,7,0),0)</f>
        <v>0</v>
      </c>
      <c r="G15704" s="34" t="n">
        <f aca="false">SUMIFS('12.326ana'!$C:$C,'12.326ana'!$M:$M,redes!A15704)</f>
        <v>0</v>
      </c>
    </row>
    <row r="15705" customFormat="false" ht="14.4" hidden="true" customHeight="false" outlineLevel="0" collapsed="false">
      <c r="A15705" s="34" t="n">
        <v>27101461000107</v>
      </c>
      <c r="B15705" s="34" t="s">
        <v>29161</v>
      </c>
      <c r="C15705" s="34" t="s">
        <v>77</v>
      </c>
      <c r="E15705" s="30" t="s">
        <v>29162</v>
      </c>
      <c r="F15705" s="34" t="n">
        <f aca="false">IFERROR(VLOOKUP($A15705,'319'!$B:$H,7,0),0)</f>
        <v>0</v>
      </c>
      <c r="G15705" s="34" t="n">
        <f aca="false">SUMIFS('12.326ana'!$C:$C,'12.326ana'!$M:$M,redes!A15705)</f>
        <v>0</v>
      </c>
    </row>
    <row r="15706" customFormat="false" ht="14.4" hidden="true" customHeight="false" outlineLevel="0" collapsed="false">
      <c r="A15706" s="34" t="n">
        <v>27101599000106</v>
      </c>
      <c r="B15706" s="34" t="s">
        <v>29163</v>
      </c>
      <c r="C15706" s="34" t="s">
        <v>781</v>
      </c>
      <c r="E15706" s="30" t="s">
        <v>29164</v>
      </c>
      <c r="F15706" s="34" t="n">
        <f aca="false">IFERROR(VLOOKUP($A15706,'319'!$B:$H,7,0),0)</f>
        <v>0</v>
      </c>
      <c r="G15706" s="34" t="n">
        <f aca="false">SUMIFS('12.326ana'!$C:$C,'12.326ana'!$M:$M,redes!A15706)</f>
        <v>0</v>
      </c>
    </row>
    <row r="15707" customFormat="false" ht="14.4" hidden="true" customHeight="false" outlineLevel="0" collapsed="false">
      <c r="A15707" s="34" t="n">
        <v>27103328000190</v>
      </c>
      <c r="B15707" s="34" t="s">
        <v>29165</v>
      </c>
      <c r="C15707" s="34" t="s">
        <v>342</v>
      </c>
      <c r="E15707" s="30" t="s">
        <v>29166</v>
      </c>
      <c r="F15707" s="34" t="n">
        <f aca="false">IFERROR(VLOOKUP($A15707,'319'!$B:$H,7,0),0)</f>
        <v>0</v>
      </c>
      <c r="G15707" s="34" t="n">
        <f aca="false">SUMIFS('12.326ana'!$C:$C,'12.326ana'!$M:$M,redes!A15707)</f>
        <v>0</v>
      </c>
    </row>
    <row r="15708" customFormat="false" ht="14.4" hidden="true" customHeight="false" outlineLevel="0" collapsed="false">
      <c r="A15708" s="34" t="n">
        <v>27103631000192</v>
      </c>
      <c r="B15708" s="34" t="s">
        <v>29167</v>
      </c>
      <c r="C15708" s="34" t="s">
        <v>804</v>
      </c>
      <c r="E15708" s="30" t="s">
        <v>29168</v>
      </c>
      <c r="F15708" s="34" t="n">
        <f aca="false">IFERROR(VLOOKUP($A15708,'319'!$B:$H,7,0),0)</f>
        <v>0</v>
      </c>
      <c r="G15708" s="34" t="n">
        <f aca="false">SUMIFS('12.326ana'!$C:$C,'12.326ana'!$M:$M,redes!A15708)</f>
        <v>0</v>
      </c>
    </row>
    <row r="15709" customFormat="false" ht="14.4" hidden="true" customHeight="false" outlineLevel="0" collapsed="false">
      <c r="A15709" s="34" t="n">
        <v>27104567000164</v>
      </c>
      <c r="B15709" s="34" t="s">
        <v>29169</v>
      </c>
      <c r="C15709" s="34" t="s">
        <v>77</v>
      </c>
      <c r="E15709" s="30" t="s">
        <v>29170</v>
      </c>
      <c r="F15709" s="34" t="n">
        <f aca="false">IFERROR(VLOOKUP($A15709,'319'!$B:$H,7,0),0)</f>
        <v>0</v>
      </c>
      <c r="G15709" s="34" t="n">
        <f aca="false">SUMIFS('12.326ana'!$C:$C,'12.326ana'!$M:$M,redes!A15709)</f>
        <v>0</v>
      </c>
    </row>
    <row r="15710" customFormat="false" ht="14.4" hidden="true" customHeight="false" outlineLevel="0" collapsed="false">
      <c r="A15710" s="34" t="n">
        <v>27114394000165</v>
      </c>
      <c r="B15710" s="34" t="s">
        <v>29171</v>
      </c>
      <c r="C15710" s="34" t="s">
        <v>89</v>
      </c>
      <c r="E15710" s="30" t="s">
        <v>29172</v>
      </c>
      <c r="F15710" s="34" t="n">
        <f aca="false">IFERROR(VLOOKUP($A15710,'319'!$B:$H,7,0),0)</f>
        <v>0</v>
      </c>
      <c r="G15710" s="34" t="n">
        <f aca="false">SUMIFS('12.326ana'!$C:$C,'12.326ana'!$M:$M,redes!A15710)</f>
        <v>0</v>
      </c>
    </row>
    <row r="15711" customFormat="false" ht="14.4" hidden="true" customHeight="false" outlineLevel="0" collapsed="false">
      <c r="A15711" s="34" t="n">
        <v>27114948000124</v>
      </c>
      <c r="B15711" s="34" t="s">
        <v>29173</v>
      </c>
      <c r="C15711" s="34" t="s">
        <v>565</v>
      </c>
      <c r="E15711" s="30" t="s">
        <v>3802</v>
      </c>
      <c r="F15711" s="34" t="n">
        <f aca="false">IFERROR(VLOOKUP($A15711,'319'!$B:$H,7,0),0)</f>
        <v>0</v>
      </c>
      <c r="G15711" s="34" t="n">
        <f aca="false">SUMIFS('12.326ana'!$C:$C,'12.326ana'!$M:$M,redes!A15711)</f>
        <v>0</v>
      </c>
    </row>
    <row r="15712" customFormat="false" ht="14.4" hidden="true" customHeight="false" outlineLevel="0" collapsed="false">
      <c r="A15712" s="34" t="n">
        <v>27117047000196</v>
      </c>
      <c r="B15712" s="34" t="s">
        <v>29174</v>
      </c>
      <c r="C15712" s="34" t="s">
        <v>89</v>
      </c>
      <c r="E15712" s="30" t="s">
        <v>29175</v>
      </c>
      <c r="F15712" s="34" t="n">
        <f aca="false">IFERROR(VLOOKUP($A15712,'319'!$B:$H,7,0),0)</f>
        <v>128.77</v>
      </c>
      <c r="G15712" s="34" t="n">
        <f aca="false">SUMIFS('12.326ana'!$C:$C,'12.326ana'!$M:$M,redes!A15712)</f>
        <v>0</v>
      </c>
    </row>
    <row r="15713" customFormat="false" ht="14.4" hidden="true" customHeight="false" outlineLevel="0" collapsed="false">
      <c r="A15713" s="34" t="n">
        <v>27124302000128</v>
      </c>
      <c r="B15713" s="34" t="s">
        <v>29176</v>
      </c>
      <c r="C15713" s="34" t="s">
        <v>77</v>
      </c>
      <c r="E15713" s="30" t="s">
        <v>3556</v>
      </c>
      <c r="F15713" s="34" t="n">
        <f aca="false">IFERROR(VLOOKUP($A15713,'319'!$B:$H,7,0),0)</f>
        <v>0</v>
      </c>
      <c r="G15713" s="34" t="n">
        <f aca="false">SUMIFS('12.326ana'!$C:$C,'12.326ana'!$M:$M,redes!A15713)</f>
        <v>0</v>
      </c>
    </row>
    <row r="15714" customFormat="false" ht="14.4" hidden="true" customHeight="false" outlineLevel="0" collapsed="false">
      <c r="A15714" s="34" t="n">
        <v>27148616000160</v>
      </c>
      <c r="B15714" s="34" t="s">
        <v>29177</v>
      </c>
      <c r="C15714" s="34" t="s">
        <v>77</v>
      </c>
      <c r="E15714" s="30" t="s">
        <v>29178</v>
      </c>
      <c r="F15714" s="34" t="n">
        <f aca="false">IFERROR(VLOOKUP($A15714,'319'!$B:$H,7,0),0)</f>
        <v>0</v>
      </c>
      <c r="G15714" s="34" t="n">
        <f aca="false">SUMIFS('12.326ana'!$C:$C,'12.326ana'!$M:$M,redes!A15714)</f>
        <v>0</v>
      </c>
    </row>
    <row r="15715" customFormat="false" ht="14.4" hidden="true" customHeight="false" outlineLevel="0" collapsed="false">
      <c r="A15715" s="34" t="n">
        <v>27149109000141</v>
      </c>
      <c r="B15715" s="34" t="s">
        <v>29179</v>
      </c>
      <c r="C15715" s="34" t="s">
        <v>804</v>
      </c>
      <c r="E15715" s="30" t="s">
        <v>29180</v>
      </c>
      <c r="F15715" s="34" t="n">
        <f aca="false">IFERROR(VLOOKUP($A15715,'319'!$B:$H,7,0),0)</f>
        <v>0</v>
      </c>
      <c r="G15715" s="34" t="n">
        <f aca="false">SUMIFS('12.326ana'!$C:$C,'12.326ana'!$M:$M,redes!A15715)</f>
        <v>0</v>
      </c>
    </row>
    <row r="15716" customFormat="false" ht="14.4" hidden="true" customHeight="false" outlineLevel="0" collapsed="false">
      <c r="A15716" s="34" t="n">
        <v>27150254000223</v>
      </c>
      <c r="B15716" s="34" t="s">
        <v>29181</v>
      </c>
      <c r="C15716" s="34" t="s">
        <v>77</v>
      </c>
      <c r="E15716" s="30" t="s">
        <v>15031</v>
      </c>
      <c r="F15716" s="34" t="n">
        <f aca="false">IFERROR(VLOOKUP($A15716,'319'!$B:$H,7,0),0)</f>
        <v>0</v>
      </c>
      <c r="G15716" s="34" t="n">
        <f aca="false">SUMIFS('12.326ana'!$C:$C,'12.326ana'!$M:$M,redes!A15716)</f>
        <v>0</v>
      </c>
    </row>
    <row r="15717" customFormat="false" ht="14.4" hidden="true" customHeight="false" outlineLevel="0" collapsed="false">
      <c r="A15717" s="34" t="n">
        <v>27160253000189</v>
      </c>
      <c r="B15717" s="34" t="s">
        <v>29182</v>
      </c>
      <c r="C15717" s="34" t="s">
        <v>4462</v>
      </c>
      <c r="E15717" s="30" t="s">
        <v>29183</v>
      </c>
      <c r="F15717" s="34" t="n">
        <f aca="false">IFERROR(VLOOKUP($A15717,'319'!$B:$H,7,0),0)</f>
        <v>0</v>
      </c>
      <c r="G15717" s="34" t="n">
        <f aca="false">SUMIFS('12.326ana'!$C:$C,'12.326ana'!$M:$M,redes!A15717)</f>
        <v>0</v>
      </c>
    </row>
    <row r="15718" customFormat="false" ht="14.4" hidden="true" customHeight="false" outlineLevel="0" collapsed="false">
      <c r="A15718" s="34" t="n">
        <v>27160485000137</v>
      </c>
      <c r="B15718" s="34" t="s">
        <v>29184</v>
      </c>
      <c r="C15718" s="34" t="s">
        <v>77</v>
      </c>
      <c r="E15718" s="30" t="s">
        <v>29185</v>
      </c>
      <c r="F15718" s="34" t="n">
        <f aca="false">IFERROR(VLOOKUP($A15718,'319'!$B:$H,7,0),0)</f>
        <v>0</v>
      </c>
      <c r="G15718" s="34" t="n">
        <f aca="false">SUMIFS('12.326ana'!$C:$C,'12.326ana'!$M:$M,redes!A15718)</f>
        <v>0</v>
      </c>
    </row>
    <row r="15719" customFormat="false" ht="14.4" hidden="true" customHeight="false" outlineLevel="0" collapsed="false">
      <c r="A15719" s="34" t="n">
        <v>27168730000152</v>
      </c>
      <c r="B15719" s="34" t="s">
        <v>29186</v>
      </c>
      <c r="C15719" s="34" t="s">
        <v>127</v>
      </c>
      <c r="E15719" s="30" t="s">
        <v>23196</v>
      </c>
      <c r="F15719" s="34" t="n">
        <f aca="false">IFERROR(VLOOKUP($A15719,'319'!$B:$H,7,0),0)</f>
        <v>0</v>
      </c>
      <c r="G15719" s="34" t="n">
        <f aca="false">SUMIFS('12.326ana'!$C:$C,'12.326ana'!$M:$M,redes!A15719)</f>
        <v>0</v>
      </c>
    </row>
    <row r="15720" customFormat="false" ht="14.4" hidden="true" customHeight="false" outlineLevel="0" collapsed="false">
      <c r="A15720" s="34" t="n">
        <v>27170933000183</v>
      </c>
      <c r="B15720" s="34" t="s">
        <v>29187</v>
      </c>
      <c r="C15720" s="34" t="s">
        <v>979</v>
      </c>
      <c r="E15720" s="30" t="s">
        <v>7434</v>
      </c>
      <c r="F15720" s="34" t="n">
        <f aca="false">IFERROR(VLOOKUP($A15720,'319'!$B:$H,7,0),0)</f>
        <v>0</v>
      </c>
      <c r="G15720" s="34" t="n">
        <f aca="false">SUMIFS('12.326ana'!$C:$C,'12.326ana'!$M:$M,redes!A15720)</f>
        <v>0</v>
      </c>
    </row>
    <row r="15721" customFormat="false" ht="14.4" hidden="true" customHeight="false" outlineLevel="0" collapsed="false">
      <c r="A15721" s="34" t="n">
        <v>27180554000174</v>
      </c>
      <c r="B15721" s="34" t="s">
        <v>29188</v>
      </c>
      <c r="C15721" s="34" t="s">
        <v>309</v>
      </c>
      <c r="E15721" s="30" t="s">
        <v>3664</v>
      </c>
      <c r="F15721" s="34" t="n">
        <f aca="false">IFERROR(VLOOKUP($A15721,'319'!$B:$H,7,0),0)</f>
        <v>0</v>
      </c>
      <c r="G15721" s="34" t="n">
        <f aca="false">SUMIFS('12.326ana'!$C:$C,'12.326ana'!$M:$M,redes!A15721)</f>
        <v>0</v>
      </c>
    </row>
    <row r="15722" customFormat="false" ht="14.4" hidden="true" customHeight="false" outlineLevel="0" collapsed="false">
      <c r="A15722" s="34" t="n">
        <v>27180726000100</v>
      </c>
      <c r="B15722" s="34" t="s">
        <v>29189</v>
      </c>
      <c r="C15722" s="34" t="s">
        <v>77</v>
      </c>
      <c r="E15722" s="30" t="s">
        <v>29190</v>
      </c>
      <c r="F15722" s="34" t="n">
        <f aca="false">IFERROR(VLOOKUP($A15722,'319'!$B:$H,7,0),0)</f>
        <v>0</v>
      </c>
      <c r="G15722" s="34" t="n">
        <f aca="false">SUMIFS('12.326ana'!$C:$C,'12.326ana'!$M:$M,redes!A15722)</f>
        <v>0</v>
      </c>
    </row>
    <row r="15723" customFormat="false" ht="14.4" hidden="true" customHeight="false" outlineLevel="0" collapsed="false">
      <c r="A15723" s="34" t="n">
        <v>27185417000122</v>
      </c>
      <c r="B15723" s="34" t="s">
        <v>29191</v>
      </c>
      <c r="C15723" s="34" t="s">
        <v>77</v>
      </c>
      <c r="E15723" s="30" t="s">
        <v>15043</v>
      </c>
      <c r="F15723" s="34" t="n">
        <f aca="false">IFERROR(VLOOKUP($A15723,'319'!$B:$H,7,0),0)</f>
        <v>0</v>
      </c>
      <c r="G15723" s="34" t="n">
        <f aca="false">SUMIFS('12.326ana'!$C:$C,'12.326ana'!$M:$M,redes!A15723)</f>
        <v>0</v>
      </c>
    </row>
    <row r="15724" customFormat="false" ht="14.4" hidden="true" customHeight="false" outlineLevel="0" collapsed="false">
      <c r="A15724" s="34" t="n">
        <v>27188669000105</v>
      </c>
      <c r="B15724" s="34" t="s">
        <v>29192</v>
      </c>
      <c r="C15724" s="34" t="s">
        <v>192</v>
      </c>
      <c r="E15724" s="30" t="s">
        <v>29193</v>
      </c>
      <c r="F15724" s="34" t="n">
        <f aca="false">IFERROR(VLOOKUP($A15724,'319'!$B:$H,7,0),0)</f>
        <v>0</v>
      </c>
      <c r="G15724" s="34" t="n">
        <f aca="false">SUMIFS('12.326ana'!$C:$C,'12.326ana'!$M:$M,redes!A15724)</f>
        <v>0</v>
      </c>
    </row>
    <row r="15725" customFormat="false" ht="14.4" hidden="true" customHeight="false" outlineLevel="0" collapsed="false">
      <c r="A15725" s="34" t="n">
        <v>27191183000126</v>
      </c>
      <c r="B15725" s="34" t="s">
        <v>29194</v>
      </c>
      <c r="C15725" s="34" t="s">
        <v>77</v>
      </c>
      <c r="E15725" s="30" t="s">
        <v>29195</v>
      </c>
      <c r="F15725" s="34" t="n">
        <f aca="false">IFERROR(VLOOKUP($A15725,'319'!$B:$H,7,0),0)</f>
        <v>0</v>
      </c>
      <c r="G15725" s="34" t="n">
        <f aca="false">SUMIFS('12.326ana'!$C:$C,'12.326ana'!$M:$M,redes!A15725)</f>
        <v>0</v>
      </c>
    </row>
    <row r="15726" customFormat="false" ht="14.4" hidden="true" customHeight="false" outlineLevel="0" collapsed="false">
      <c r="A15726" s="34" t="n">
        <v>27206667000100</v>
      </c>
      <c r="B15726" s="34" t="s">
        <v>29196</v>
      </c>
      <c r="C15726" s="34" t="s">
        <v>631</v>
      </c>
      <c r="E15726" s="30" t="s">
        <v>29197</v>
      </c>
      <c r="F15726" s="34" t="n">
        <f aca="false">IFERROR(VLOOKUP($A15726,'319'!$B:$H,7,0),0)</f>
        <v>0</v>
      </c>
      <c r="G15726" s="34" t="n">
        <f aca="false">SUMIFS('12.326ana'!$C:$C,'12.326ana'!$M:$M,redes!A15726)</f>
        <v>0</v>
      </c>
    </row>
    <row r="15727" customFormat="false" ht="14.4" hidden="true" customHeight="false" outlineLevel="0" collapsed="false">
      <c r="A15727" s="34" t="n">
        <v>27206667000282</v>
      </c>
      <c r="B15727" s="34" t="s">
        <v>29198</v>
      </c>
      <c r="C15727" s="34" t="s">
        <v>631</v>
      </c>
      <c r="E15727" s="30" t="s">
        <v>29197</v>
      </c>
      <c r="F15727" s="34" t="n">
        <f aca="false">IFERROR(VLOOKUP($A15727,'319'!$B:$H,7,0),0)</f>
        <v>0</v>
      </c>
      <c r="G15727" s="34" t="n">
        <f aca="false">SUMIFS('12.326ana'!$C:$C,'12.326ana'!$M:$M,redes!A15727)</f>
        <v>0</v>
      </c>
    </row>
    <row r="15728" customFormat="false" ht="14.4" hidden="true" customHeight="false" outlineLevel="0" collapsed="false">
      <c r="A15728" s="34" t="n">
        <v>27215715000118</v>
      </c>
      <c r="B15728" s="34" t="s">
        <v>29199</v>
      </c>
      <c r="C15728" s="34" t="s">
        <v>881</v>
      </c>
      <c r="E15728" s="30" t="s">
        <v>3220</v>
      </c>
      <c r="F15728" s="34" t="n">
        <f aca="false">IFERROR(VLOOKUP($A15728,'319'!$B:$H,7,0),0)</f>
        <v>0</v>
      </c>
      <c r="G15728" s="34" t="n">
        <f aca="false">SUMIFS('12.326ana'!$C:$C,'12.326ana'!$M:$M,redes!A15728)</f>
        <v>0</v>
      </c>
    </row>
    <row r="15729" customFormat="false" ht="14.4" hidden="true" customHeight="false" outlineLevel="0" collapsed="false">
      <c r="A15729" s="34" t="n">
        <v>27216819000147</v>
      </c>
      <c r="B15729" s="34" t="s">
        <v>29200</v>
      </c>
      <c r="C15729" s="34" t="s">
        <v>377</v>
      </c>
      <c r="E15729" s="30" t="s">
        <v>24680</v>
      </c>
      <c r="F15729" s="34" t="n">
        <f aca="false">IFERROR(VLOOKUP($A15729,'319'!$B:$H,7,0),0)</f>
        <v>0</v>
      </c>
      <c r="G15729" s="34" t="n">
        <f aca="false">SUMIFS('12.326ana'!$C:$C,'12.326ana'!$M:$M,redes!A15729)</f>
        <v>0</v>
      </c>
    </row>
    <row r="15730" customFormat="false" ht="14.4" hidden="true" customHeight="false" outlineLevel="0" collapsed="false">
      <c r="A15730" s="34" t="n">
        <v>27218001000163</v>
      </c>
      <c r="B15730" s="34" t="s">
        <v>29201</v>
      </c>
      <c r="C15730" s="34" t="s">
        <v>77</v>
      </c>
      <c r="E15730" s="30" t="s">
        <v>29202</v>
      </c>
      <c r="F15730" s="34" t="n">
        <f aca="false">IFERROR(VLOOKUP($A15730,'319'!$B:$H,7,0),0)</f>
        <v>0</v>
      </c>
      <c r="G15730" s="34" t="n">
        <f aca="false">SUMIFS('12.326ana'!$C:$C,'12.326ana'!$M:$M,redes!A15730)</f>
        <v>0</v>
      </c>
    </row>
    <row r="15731" customFormat="false" ht="14.4" hidden="true" customHeight="false" outlineLevel="0" collapsed="false">
      <c r="A15731" s="34" t="n">
        <v>27218308000164</v>
      </c>
      <c r="B15731" s="34" t="s">
        <v>29203</v>
      </c>
      <c r="C15731" s="34" t="s">
        <v>77</v>
      </c>
      <c r="E15731" s="30" t="s">
        <v>29204</v>
      </c>
      <c r="F15731" s="34" t="n">
        <f aca="false">IFERROR(VLOOKUP($A15731,'319'!$B:$H,7,0),0)</f>
        <v>0</v>
      </c>
      <c r="G15731" s="34" t="n">
        <f aca="false">SUMIFS('12.326ana'!$C:$C,'12.326ana'!$M:$M,redes!A15731)</f>
        <v>0</v>
      </c>
    </row>
    <row r="15732" customFormat="false" ht="14.4" hidden="true" customHeight="false" outlineLevel="0" collapsed="false">
      <c r="A15732" s="34" t="n">
        <v>27219201000130</v>
      </c>
      <c r="B15732" s="34" t="s">
        <v>29205</v>
      </c>
      <c r="C15732" s="34" t="s">
        <v>89</v>
      </c>
      <c r="E15732" s="30" t="s">
        <v>29206</v>
      </c>
      <c r="F15732" s="34" t="n">
        <f aca="false">IFERROR(VLOOKUP($A15732,'319'!$B:$H,7,0),0)</f>
        <v>0</v>
      </c>
      <c r="G15732" s="34" t="n">
        <f aca="false">SUMIFS('12.326ana'!$C:$C,'12.326ana'!$M:$M,redes!A15732)</f>
        <v>0</v>
      </c>
    </row>
    <row r="15733" customFormat="false" ht="14.4" hidden="true" customHeight="false" outlineLevel="0" collapsed="false">
      <c r="A15733" s="34" t="n">
        <v>27219480000132</v>
      </c>
      <c r="B15733" s="34" t="s">
        <v>29207</v>
      </c>
      <c r="C15733" s="34" t="s">
        <v>77</v>
      </c>
      <c r="E15733" s="30" t="s">
        <v>29208</v>
      </c>
      <c r="F15733" s="34" t="n">
        <f aca="false">IFERROR(VLOOKUP($A15733,'319'!$B:$H,7,0),0)</f>
        <v>0</v>
      </c>
      <c r="G15733" s="34" t="n">
        <f aca="false">SUMIFS('12.326ana'!$C:$C,'12.326ana'!$M:$M,redes!A15733)</f>
        <v>0</v>
      </c>
    </row>
    <row r="15734" customFormat="false" ht="14.4" hidden="true" customHeight="false" outlineLevel="0" collapsed="false">
      <c r="A15734" s="34" t="n">
        <v>27222746000104</v>
      </c>
      <c r="B15734" s="34" t="s">
        <v>6566</v>
      </c>
      <c r="C15734" s="34" t="s">
        <v>77</v>
      </c>
      <c r="E15734" s="30" t="s">
        <v>5131</v>
      </c>
      <c r="F15734" s="34" t="n">
        <f aca="false">IFERROR(VLOOKUP($A15734,'319'!$B:$H,7,0),0)</f>
        <v>0</v>
      </c>
      <c r="G15734" s="34" t="n">
        <f aca="false">SUMIFS('12.326ana'!$C:$C,'12.326ana'!$M:$M,redes!A15734)</f>
        <v>0</v>
      </c>
    </row>
    <row r="15735" customFormat="false" ht="14.4" hidden="true" customHeight="false" outlineLevel="0" collapsed="false">
      <c r="A15735" s="34" t="n">
        <v>27228144000156</v>
      </c>
      <c r="B15735" s="34" t="s">
        <v>29209</v>
      </c>
      <c r="C15735" s="34" t="s">
        <v>77</v>
      </c>
      <c r="E15735" s="30" t="s">
        <v>29210</v>
      </c>
      <c r="F15735" s="34" t="n">
        <f aca="false">IFERROR(VLOOKUP($A15735,'319'!$B:$H,7,0),0)</f>
        <v>0</v>
      </c>
      <c r="G15735" s="34" t="n">
        <f aca="false">SUMIFS('12.326ana'!$C:$C,'12.326ana'!$M:$M,redes!A15735)</f>
        <v>0</v>
      </c>
    </row>
    <row r="15736" customFormat="false" ht="14.4" hidden="true" customHeight="false" outlineLevel="0" collapsed="false">
      <c r="A15736" s="34" t="n">
        <v>27229440000171</v>
      </c>
      <c r="B15736" s="34" t="s">
        <v>29211</v>
      </c>
      <c r="C15736" s="34" t="s">
        <v>77</v>
      </c>
      <c r="E15736" s="30" t="s">
        <v>29212</v>
      </c>
      <c r="F15736" s="34" t="n">
        <f aca="false">IFERROR(VLOOKUP($A15736,'319'!$B:$H,7,0),0)</f>
        <v>0</v>
      </c>
      <c r="G15736" s="34" t="n">
        <f aca="false">SUMIFS('12.326ana'!$C:$C,'12.326ana'!$M:$M,redes!A15736)</f>
        <v>0</v>
      </c>
    </row>
    <row r="15737" customFormat="false" ht="14.4" hidden="true" customHeight="false" outlineLevel="0" collapsed="false">
      <c r="A15737" s="34" t="n">
        <v>27230522000136</v>
      </c>
      <c r="B15737" s="34" t="s">
        <v>29213</v>
      </c>
      <c r="C15737" s="34" t="s">
        <v>77</v>
      </c>
      <c r="E15737" s="30" t="s">
        <v>29214</v>
      </c>
      <c r="F15737" s="34" t="n">
        <f aca="false">IFERROR(VLOOKUP($A15737,'319'!$B:$H,7,0),0)</f>
        <v>0</v>
      </c>
      <c r="G15737" s="34" t="n">
        <f aca="false">SUMIFS('12.326ana'!$C:$C,'12.326ana'!$M:$M,redes!A15737)</f>
        <v>0</v>
      </c>
    </row>
    <row r="15738" customFormat="false" ht="14.4" hidden="true" customHeight="false" outlineLevel="0" collapsed="false">
      <c r="A15738" s="34" t="n">
        <v>27235458000186</v>
      </c>
      <c r="B15738" s="34" t="s">
        <v>29215</v>
      </c>
      <c r="C15738" s="34" t="s">
        <v>89</v>
      </c>
      <c r="E15738" s="30" t="s">
        <v>2988</v>
      </c>
      <c r="F15738" s="34" t="n">
        <f aca="false">IFERROR(VLOOKUP($A15738,'319'!$B:$H,7,0),0)</f>
        <v>0</v>
      </c>
      <c r="G15738" s="34" t="n">
        <f aca="false">SUMIFS('12.326ana'!$C:$C,'12.326ana'!$M:$M,redes!A15738)</f>
        <v>0</v>
      </c>
    </row>
    <row r="15739" customFormat="false" ht="14.4" hidden="true" customHeight="false" outlineLevel="0" collapsed="false">
      <c r="A15739" s="34" t="n">
        <v>27241594000189</v>
      </c>
      <c r="B15739" s="34" t="s">
        <v>788</v>
      </c>
      <c r="C15739" s="34" t="s">
        <v>336</v>
      </c>
      <c r="D15739" s="34" t="s">
        <v>36</v>
      </c>
      <c r="E15739" s="30" t="s">
        <v>2956</v>
      </c>
      <c r="F15739" s="34" t="n">
        <f aca="false">IFERROR(VLOOKUP($A15739,'319'!$B:$H,7,0),0)</f>
        <v>3019.8</v>
      </c>
      <c r="G15739" s="34" t="n">
        <f aca="false">SUMIFS('12.326ana'!$C:$C,'12.326ana'!$M:$M,redes!A15739)</f>
        <v>0</v>
      </c>
    </row>
    <row r="15740" customFormat="false" ht="14.4" hidden="true" customHeight="false" outlineLevel="0" collapsed="false">
      <c r="A15740" s="34" t="n">
        <v>27242694000120</v>
      </c>
      <c r="B15740" s="34" t="s">
        <v>29216</v>
      </c>
      <c r="C15740" s="34" t="s">
        <v>77</v>
      </c>
      <c r="E15740" s="30" t="s">
        <v>29217</v>
      </c>
      <c r="F15740" s="34" t="n">
        <f aca="false">IFERROR(VLOOKUP($A15740,'319'!$B:$H,7,0),0)</f>
        <v>0</v>
      </c>
      <c r="G15740" s="34" t="n">
        <f aca="false">SUMIFS('12.326ana'!$C:$C,'12.326ana'!$M:$M,redes!A15740)</f>
        <v>0</v>
      </c>
    </row>
    <row r="15741" customFormat="false" ht="14.4" hidden="true" customHeight="false" outlineLevel="0" collapsed="false">
      <c r="A15741" s="34" t="n">
        <v>27249364000166</v>
      </c>
      <c r="B15741" s="34" t="s">
        <v>29218</v>
      </c>
      <c r="C15741" s="34" t="s">
        <v>77</v>
      </c>
      <c r="E15741" s="30" t="s">
        <v>29219</v>
      </c>
      <c r="F15741" s="34" t="n">
        <f aca="false">IFERROR(VLOOKUP($A15741,'319'!$B:$H,7,0),0)</f>
        <v>0</v>
      </c>
      <c r="G15741" s="34" t="n">
        <f aca="false">SUMIFS('12.326ana'!$C:$C,'12.326ana'!$M:$M,redes!A15741)</f>
        <v>0</v>
      </c>
    </row>
    <row r="15742" customFormat="false" ht="14.4" hidden="true" customHeight="false" outlineLevel="0" collapsed="false">
      <c r="A15742" s="34" t="n">
        <v>27249931000184</v>
      </c>
      <c r="B15742" s="34" t="s">
        <v>29220</v>
      </c>
      <c r="C15742" s="34" t="s">
        <v>213</v>
      </c>
      <c r="E15742" s="30" t="s">
        <v>29221</v>
      </c>
      <c r="F15742" s="34" t="n">
        <f aca="false">IFERROR(VLOOKUP($A15742,'319'!$B:$H,7,0),0)</f>
        <v>0</v>
      </c>
      <c r="G15742" s="34" t="n">
        <f aca="false">SUMIFS('12.326ana'!$C:$C,'12.326ana'!$M:$M,redes!A15742)</f>
        <v>0</v>
      </c>
    </row>
    <row r="15743" customFormat="false" ht="14.4" hidden="true" customHeight="false" outlineLevel="0" collapsed="false">
      <c r="A15743" s="34" t="n">
        <v>27251485000142</v>
      </c>
      <c r="B15743" s="34" t="s">
        <v>29222</v>
      </c>
      <c r="C15743" s="34" t="s">
        <v>842</v>
      </c>
      <c r="E15743" s="30" t="s">
        <v>29223</v>
      </c>
      <c r="F15743" s="34" t="n">
        <f aca="false">IFERROR(VLOOKUP($A15743,'319'!$B:$H,7,0),0)</f>
        <v>0</v>
      </c>
      <c r="G15743" s="34" t="n">
        <f aca="false">SUMIFS('12.326ana'!$C:$C,'12.326ana'!$M:$M,redes!A15743)</f>
        <v>0</v>
      </c>
    </row>
    <row r="15744" customFormat="false" ht="14.4" hidden="true" customHeight="false" outlineLevel="0" collapsed="false">
      <c r="A15744" s="34" t="n">
        <v>27253745000119</v>
      </c>
      <c r="B15744" s="34" t="s">
        <v>29224</v>
      </c>
      <c r="C15744" s="34" t="s">
        <v>967</v>
      </c>
      <c r="E15744" s="30" t="s">
        <v>5846</v>
      </c>
      <c r="F15744" s="34" t="n">
        <f aca="false">IFERROR(VLOOKUP($A15744,'319'!$B:$H,7,0),0)</f>
        <v>0</v>
      </c>
      <c r="G15744" s="34" t="n">
        <f aca="false">SUMIFS('12.326ana'!$C:$C,'12.326ana'!$M:$M,redes!A15744)</f>
        <v>0</v>
      </c>
    </row>
    <row r="15745" customFormat="false" ht="14.4" hidden="true" customHeight="false" outlineLevel="0" collapsed="false">
      <c r="A15745" s="34" t="n">
        <v>27257697000137</v>
      </c>
      <c r="B15745" s="34" t="s">
        <v>29225</v>
      </c>
      <c r="C15745" s="34" t="s">
        <v>77</v>
      </c>
      <c r="E15745" s="30" t="s">
        <v>29226</v>
      </c>
      <c r="F15745" s="34" t="n">
        <f aca="false">IFERROR(VLOOKUP($A15745,'319'!$B:$H,7,0),0)</f>
        <v>0</v>
      </c>
      <c r="G15745" s="34" t="n">
        <f aca="false">SUMIFS('12.326ana'!$C:$C,'12.326ana'!$M:$M,redes!A15745)</f>
        <v>0</v>
      </c>
    </row>
    <row r="15746" customFormat="false" ht="14.4" hidden="true" customHeight="false" outlineLevel="0" collapsed="false">
      <c r="A15746" s="34" t="n">
        <v>27260274000176</v>
      </c>
      <c r="B15746" s="34" t="s">
        <v>29227</v>
      </c>
      <c r="C15746" s="34" t="s">
        <v>77</v>
      </c>
      <c r="E15746" s="30" t="s">
        <v>29228</v>
      </c>
      <c r="F15746" s="34" t="n">
        <f aca="false">IFERROR(VLOOKUP($A15746,'319'!$B:$H,7,0),0)</f>
        <v>0</v>
      </c>
      <c r="G15746" s="34" t="n">
        <f aca="false">SUMIFS('12.326ana'!$C:$C,'12.326ana'!$M:$M,redes!A15746)</f>
        <v>0</v>
      </c>
    </row>
    <row r="15747" customFormat="false" ht="14.4" hidden="true" customHeight="false" outlineLevel="0" collapsed="false">
      <c r="A15747" s="34" t="n">
        <v>27261526000181</v>
      </c>
      <c r="B15747" s="34" t="s">
        <v>29229</v>
      </c>
      <c r="C15747" s="34" t="s">
        <v>473</v>
      </c>
      <c r="E15747" s="30"/>
      <c r="F15747" s="34" t="n">
        <f aca="false">IFERROR(VLOOKUP($A15747,'319'!$B:$H,7,0),0)</f>
        <v>0</v>
      </c>
      <c r="G15747" s="34" t="n">
        <f aca="false">SUMIFS('12.326ana'!$C:$C,'12.326ana'!$M:$M,redes!A15747)</f>
        <v>0</v>
      </c>
    </row>
    <row r="15748" customFormat="false" ht="14.4" hidden="true" customHeight="false" outlineLevel="0" collapsed="false">
      <c r="A15748" s="34" t="n">
        <v>27263005000163</v>
      </c>
      <c r="B15748" s="34" t="s">
        <v>29230</v>
      </c>
      <c r="C15748" s="34" t="s">
        <v>77</v>
      </c>
      <c r="E15748" s="30" t="s">
        <v>29230</v>
      </c>
      <c r="F15748" s="34" t="n">
        <f aca="false">IFERROR(VLOOKUP($A15748,'319'!$B:$H,7,0),0)</f>
        <v>0</v>
      </c>
      <c r="G15748" s="34" t="n">
        <f aca="false">SUMIFS('12.326ana'!$C:$C,'12.326ana'!$M:$M,redes!A15748)</f>
        <v>0</v>
      </c>
    </row>
    <row r="15749" customFormat="false" ht="14.4" hidden="true" customHeight="false" outlineLevel="0" collapsed="false">
      <c r="A15749" s="34" t="n">
        <v>27272211000130</v>
      </c>
      <c r="B15749" s="34" t="s">
        <v>29231</v>
      </c>
      <c r="C15749" s="34" t="s">
        <v>77</v>
      </c>
      <c r="E15749" s="30" t="s">
        <v>29232</v>
      </c>
      <c r="F15749" s="34" t="n">
        <f aca="false">IFERROR(VLOOKUP($A15749,'319'!$B:$H,7,0),0)</f>
        <v>0</v>
      </c>
      <c r="G15749" s="34" t="n">
        <f aca="false">SUMIFS('12.326ana'!$C:$C,'12.326ana'!$M:$M,redes!A15749)</f>
        <v>0</v>
      </c>
    </row>
    <row r="15750" customFormat="false" ht="14.4" hidden="true" customHeight="false" outlineLevel="0" collapsed="false">
      <c r="A15750" s="34" t="n">
        <v>27272263000106</v>
      </c>
      <c r="B15750" s="34" t="s">
        <v>29233</v>
      </c>
      <c r="C15750" s="34" t="s">
        <v>107</v>
      </c>
      <c r="E15750" s="30" t="s">
        <v>4519</v>
      </c>
      <c r="F15750" s="34" t="n">
        <f aca="false">IFERROR(VLOOKUP($A15750,'319'!$B:$H,7,0),0)</f>
        <v>0</v>
      </c>
      <c r="G15750" s="34" t="n">
        <f aca="false">SUMIFS('12.326ana'!$C:$C,'12.326ana'!$M:$M,redes!A15750)</f>
        <v>0</v>
      </c>
    </row>
    <row r="15751" customFormat="false" ht="14.4" hidden="true" customHeight="false" outlineLevel="0" collapsed="false">
      <c r="A15751" s="34" t="n">
        <v>27282982000108</v>
      </c>
      <c r="B15751" s="34" t="s">
        <v>29234</v>
      </c>
      <c r="C15751" s="34" t="s">
        <v>139</v>
      </c>
      <c r="E15751" s="30" t="s">
        <v>29235</v>
      </c>
      <c r="F15751" s="34" t="n">
        <f aca="false">IFERROR(VLOOKUP($A15751,'319'!$B:$H,7,0),0)</f>
        <v>0</v>
      </c>
      <c r="G15751" s="34" t="n">
        <f aca="false">SUMIFS('12.326ana'!$C:$C,'12.326ana'!$M:$M,redes!A15751)</f>
        <v>0</v>
      </c>
    </row>
    <row r="15752" customFormat="false" ht="14.4" hidden="true" customHeight="false" outlineLevel="0" collapsed="false">
      <c r="A15752" s="34" t="n">
        <v>27285507000195</v>
      </c>
      <c r="B15752" s="34" t="s">
        <v>29236</v>
      </c>
      <c r="C15752" s="34" t="s">
        <v>77</v>
      </c>
      <c r="E15752" s="30" t="s">
        <v>29237</v>
      </c>
      <c r="F15752" s="34" t="n">
        <f aca="false">IFERROR(VLOOKUP($A15752,'319'!$B:$H,7,0),0)</f>
        <v>0</v>
      </c>
      <c r="G15752" s="34" t="n">
        <f aca="false">SUMIFS('12.326ana'!$C:$C,'12.326ana'!$M:$M,redes!A15752)</f>
        <v>0</v>
      </c>
    </row>
    <row r="15753" customFormat="false" ht="14.4" hidden="true" customHeight="false" outlineLevel="0" collapsed="false">
      <c r="A15753" s="34" t="n">
        <v>27290990000104</v>
      </c>
      <c r="B15753" s="34" t="s">
        <v>29238</v>
      </c>
      <c r="C15753" s="34" t="s">
        <v>77</v>
      </c>
      <c r="E15753" s="30" t="s">
        <v>29239</v>
      </c>
      <c r="F15753" s="34" t="n">
        <f aca="false">IFERROR(VLOOKUP($A15753,'319'!$B:$H,7,0),0)</f>
        <v>0</v>
      </c>
      <c r="G15753" s="34" t="n">
        <f aca="false">SUMIFS('12.326ana'!$C:$C,'12.326ana'!$M:$M,redes!A15753)</f>
        <v>0</v>
      </c>
    </row>
    <row r="15754" customFormat="false" ht="14.4" hidden="true" customHeight="false" outlineLevel="0" collapsed="false">
      <c r="A15754" s="34" t="n">
        <v>27299962000140</v>
      </c>
      <c r="B15754" s="34" t="s">
        <v>29240</v>
      </c>
      <c r="C15754" s="34" t="s">
        <v>139</v>
      </c>
      <c r="E15754" s="30" t="s">
        <v>29241</v>
      </c>
      <c r="F15754" s="34" t="n">
        <f aca="false">IFERROR(VLOOKUP($A15754,'319'!$B:$H,7,0),0)</f>
        <v>0</v>
      </c>
      <c r="G15754" s="34" t="n">
        <f aca="false">SUMIFS('12.326ana'!$C:$C,'12.326ana'!$M:$M,redes!A15754)</f>
        <v>0</v>
      </c>
    </row>
    <row r="15755" customFormat="false" ht="14.4" hidden="true" customHeight="false" outlineLevel="0" collapsed="false">
      <c r="A15755" s="34" t="n">
        <v>27306377000120</v>
      </c>
      <c r="B15755" s="34" t="s">
        <v>29242</v>
      </c>
      <c r="C15755" s="34" t="s">
        <v>77</v>
      </c>
      <c r="E15755" s="30" t="s">
        <v>29242</v>
      </c>
      <c r="F15755" s="34" t="n">
        <f aca="false">IFERROR(VLOOKUP($A15755,'319'!$B:$H,7,0),0)</f>
        <v>0</v>
      </c>
      <c r="G15755" s="34" t="n">
        <f aca="false">SUMIFS('12.326ana'!$C:$C,'12.326ana'!$M:$M,redes!A15755)</f>
        <v>0</v>
      </c>
    </row>
    <row r="15756" customFormat="false" ht="14.4" hidden="true" customHeight="false" outlineLevel="0" collapsed="false">
      <c r="A15756" s="34" t="n">
        <v>27313785000109</v>
      </c>
      <c r="B15756" s="34" t="s">
        <v>29243</v>
      </c>
      <c r="C15756" s="34" t="s">
        <v>192</v>
      </c>
      <c r="E15756" s="30" t="s">
        <v>29244</v>
      </c>
      <c r="F15756" s="34" t="n">
        <f aca="false">IFERROR(VLOOKUP($A15756,'319'!$B:$H,7,0),0)</f>
        <v>0</v>
      </c>
      <c r="G15756" s="34" t="n">
        <f aca="false">SUMIFS('12.326ana'!$C:$C,'12.326ana'!$M:$M,redes!A15756)</f>
        <v>0</v>
      </c>
    </row>
    <row r="15757" customFormat="false" ht="14.4" hidden="true" customHeight="false" outlineLevel="0" collapsed="false">
      <c r="A15757" s="34" t="n">
        <v>27314486000199</v>
      </c>
      <c r="B15757" s="34" t="s">
        <v>29245</v>
      </c>
      <c r="C15757" s="34" t="s">
        <v>935</v>
      </c>
      <c r="E15757" s="30" t="s">
        <v>29246</v>
      </c>
      <c r="F15757" s="34" t="n">
        <f aca="false">IFERROR(VLOOKUP($A15757,'319'!$B:$H,7,0),0)</f>
        <v>0</v>
      </c>
      <c r="G15757" s="34" t="n">
        <f aca="false">SUMIFS('12.326ana'!$C:$C,'12.326ana'!$M:$M,redes!A15757)</f>
        <v>0</v>
      </c>
    </row>
    <row r="15758" customFormat="false" ht="14.4" hidden="true" customHeight="false" outlineLevel="0" collapsed="false">
      <c r="A15758" s="34" t="n">
        <v>27322824000134</v>
      </c>
      <c r="B15758" s="34" t="s">
        <v>29247</v>
      </c>
      <c r="C15758" s="34" t="s">
        <v>594</v>
      </c>
      <c r="E15758" s="30" t="s">
        <v>29248</v>
      </c>
      <c r="F15758" s="34" t="n">
        <f aca="false">IFERROR(VLOOKUP($A15758,'319'!$B:$H,7,0),0)</f>
        <v>0</v>
      </c>
      <c r="G15758" s="34" t="n">
        <f aca="false">SUMIFS('12.326ana'!$C:$C,'12.326ana'!$M:$M,redes!A15758)</f>
        <v>0</v>
      </c>
    </row>
    <row r="15759" customFormat="false" ht="14.4" hidden="true" customHeight="false" outlineLevel="0" collapsed="false">
      <c r="A15759" s="34" t="n">
        <v>27323844000120</v>
      </c>
      <c r="B15759" s="34" t="s">
        <v>29249</v>
      </c>
      <c r="C15759" s="34" t="s">
        <v>680</v>
      </c>
      <c r="E15759" s="30" t="s">
        <v>29250</v>
      </c>
      <c r="F15759" s="34" t="n">
        <f aca="false">IFERROR(VLOOKUP($A15759,'319'!$B:$H,7,0),0)</f>
        <v>0</v>
      </c>
      <c r="G15759" s="34" t="n">
        <f aca="false">SUMIFS('12.326ana'!$C:$C,'12.326ana'!$M:$M,redes!A15759)</f>
        <v>0</v>
      </c>
    </row>
    <row r="15760" customFormat="false" ht="14.4" hidden="true" customHeight="false" outlineLevel="0" collapsed="false">
      <c r="A15760" s="34" t="n">
        <v>27326796000123</v>
      </c>
      <c r="B15760" s="34" t="s">
        <v>29251</v>
      </c>
      <c r="C15760" s="34" t="s">
        <v>77</v>
      </c>
      <c r="E15760" s="30" t="s">
        <v>29252</v>
      </c>
      <c r="F15760" s="34" t="n">
        <f aca="false">IFERROR(VLOOKUP($A15760,'319'!$B:$H,7,0),0)</f>
        <v>0</v>
      </c>
      <c r="G15760" s="34" t="n">
        <f aca="false">SUMIFS('12.326ana'!$C:$C,'12.326ana'!$M:$M,redes!A15760)</f>
        <v>0</v>
      </c>
    </row>
    <row r="15761" customFormat="false" ht="14.4" hidden="true" customHeight="false" outlineLevel="0" collapsed="false">
      <c r="A15761" s="34" t="n">
        <v>27344143000177</v>
      </c>
      <c r="B15761" s="34" t="s">
        <v>29253</v>
      </c>
      <c r="C15761" s="34" t="s">
        <v>342</v>
      </c>
      <c r="E15761" s="30" t="s">
        <v>4499</v>
      </c>
      <c r="F15761" s="34" t="n">
        <f aca="false">IFERROR(VLOOKUP($A15761,'319'!$B:$H,7,0),0)</f>
        <v>0</v>
      </c>
      <c r="G15761" s="34" t="n">
        <f aca="false">SUMIFS('12.326ana'!$C:$C,'12.326ana'!$M:$M,redes!A15761)</f>
        <v>0</v>
      </c>
    </row>
    <row r="15762" customFormat="false" ht="14.4" hidden="true" customHeight="false" outlineLevel="0" collapsed="false">
      <c r="A15762" s="34" t="n">
        <v>27345845000175</v>
      </c>
      <c r="B15762" s="34" t="s">
        <v>1714</v>
      </c>
      <c r="C15762" s="34" t="s">
        <v>680</v>
      </c>
      <c r="E15762" s="30" t="s">
        <v>29254</v>
      </c>
      <c r="F15762" s="34" t="n">
        <f aca="false">IFERROR(VLOOKUP($A15762,'319'!$B:$H,7,0),0)</f>
        <v>36.73</v>
      </c>
      <c r="G15762" s="34" t="n">
        <f aca="false">SUMIFS('12.326ana'!$C:$C,'12.326ana'!$M:$M,redes!A15762)</f>
        <v>0</v>
      </c>
    </row>
    <row r="15763" customFormat="false" ht="14.4" hidden="true" customHeight="false" outlineLevel="0" collapsed="false">
      <c r="A15763" s="34" t="n">
        <v>27361000000173</v>
      </c>
      <c r="B15763" s="34" t="s">
        <v>29255</v>
      </c>
      <c r="C15763" s="34" t="s">
        <v>77</v>
      </c>
      <c r="E15763" s="30" t="s">
        <v>29256</v>
      </c>
      <c r="F15763" s="34" t="n">
        <f aca="false">IFERROR(VLOOKUP($A15763,'319'!$B:$H,7,0),0)</f>
        <v>0</v>
      </c>
      <c r="G15763" s="34" t="n">
        <f aca="false">SUMIFS('12.326ana'!$C:$C,'12.326ana'!$M:$M,redes!A15763)</f>
        <v>0</v>
      </c>
    </row>
    <row r="15764" customFormat="false" ht="14.4" hidden="true" customHeight="false" outlineLevel="0" collapsed="false">
      <c r="A15764" s="34" t="n">
        <v>27362333000117</v>
      </c>
      <c r="B15764" s="34" t="s">
        <v>29257</v>
      </c>
      <c r="C15764" s="34" t="s">
        <v>192</v>
      </c>
      <c r="E15764" s="30" t="s">
        <v>29258</v>
      </c>
      <c r="F15764" s="34" t="n">
        <f aca="false">IFERROR(VLOOKUP($A15764,'319'!$B:$H,7,0),0)</f>
        <v>0</v>
      </c>
      <c r="G15764" s="34" t="n">
        <f aca="false">SUMIFS('12.326ana'!$C:$C,'12.326ana'!$M:$M,redes!A15764)</f>
        <v>0</v>
      </c>
    </row>
    <row r="15765" customFormat="false" ht="14.4" hidden="true" customHeight="false" outlineLevel="0" collapsed="false">
      <c r="A15765" s="34" t="n">
        <v>27380022000180</v>
      </c>
      <c r="B15765" s="34" t="s">
        <v>29259</v>
      </c>
      <c r="C15765" s="34" t="s">
        <v>77</v>
      </c>
      <c r="E15765" s="30" t="s">
        <v>29260</v>
      </c>
      <c r="F15765" s="34" t="n">
        <f aca="false">IFERROR(VLOOKUP($A15765,'319'!$B:$H,7,0),0)</f>
        <v>0</v>
      </c>
      <c r="G15765" s="34" t="n">
        <f aca="false">SUMIFS('12.326ana'!$C:$C,'12.326ana'!$M:$M,redes!A15765)</f>
        <v>0</v>
      </c>
    </row>
    <row r="15766" customFormat="false" ht="14.4" hidden="true" customHeight="false" outlineLevel="0" collapsed="false">
      <c r="A15766" s="34" t="n">
        <v>27380802000120</v>
      </c>
      <c r="B15766" s="34" t="s">
        <v>29261</v>
      </c>
      <c r="C15766" s="34" t="s">
        <v>103</v>
      </c>
      <c r="E15766" s="30" t="s">
        <v>29262</v>
      </c>
      <c r="F15766" s="34" t="n">
        <f aca="false">IFERROR(VLOOKUP($A15766,'319'!$B:$H,7,0),0)</f>
        <v>0</v>
      </c>
      <c r="G15766" s="34" t="n">
        <f aca="false">SUMIFS('12.326ana'!$C:$C,'12.326ana'!$M:$M,redes!A15766)</f>
        <v>0</v>
      </c>
    </row>
    <row r="15767" customFormat="false" ht="14.4" hidden="true" customHeight="false" outlineLevel="0" collapsed="false">
      <c r="A15767" s="34" t="n">
        <v>27385563000100</v>
      </c>
      <c r="B15767" s="34" t="s">
        <v>29263</v>
      </c>
      <c r="C15767" s="34" t="s">
        <v>77</v>
      </c>
      <c r="E15767" s="30" t="s">
        <v>29264</v>
      </c>
      <c r="F15767" s="34" t="n">
        <f aca="false">IFERROR(VLOOKUP($A15767,'319'!$B:$H,7,0),0)</f>
        <v>0</v>
      </c>
      <c r="G15767" s="34" t="n">
        <f aca="false">SUMIFS('12.326ana'!$C:$C,'12.326ana'!$M:$M,redes!A15767)</f>
        <v>0</v>
      </c>
    </row>
    <row r="15768" customFormat="false" ht="14.4" hidden="true" customHeight="false" outlineLevel="0" collapsed="false">
      <c r="A15768" s="34" t="n">
        <v>27385971000153</v>
      </c>
      <c r="B15768" s="34" t="s">
        <v>29265</v>
      </c>
      <c r="C15768" s="34" t="s">
        <v>77</v>
      </c>
      <c r="E15768" s="30" t="s">
        <v>29265</v>
      </c>
      <c r="F15768" s="34" t="n">
        <f aca="false">IFERROR(VLOOKUP($A15768,'319'!$B:$H,7,0),0)</f>
        <v>0</v>
      </c>
      <c r="G15768" s="34" t="n">
        <f aca="false">SUMIFS('12.326ana'!$C:$C,'12.326ana'!$M:$M,redes!A15768)</f>
        <v>0</v>
      </c>
    </row>
    <row r="15769" customFormat="false" ht="14.4" hidden="true" customHeight="false" outlineLevel="0" collapsed="false">
      <c r="A15769" s="34" t="n">
        <v>27386084000108</v>
      </c>
      <c r="B15769" s="34" t="s">
        <v>29266</v>
      </c>
      <c r="C15769" s="34" t="s">
        <v>77</v>
      </c>
      <c r="E15769" s="30" t="s">
        <v>19055</v>
      </c>
      <c r="F15769" s="34" t="n">
        <f aca="false">IFERROR(VLOOKUP($A15769,'319'!$B:$H,7,0),0)</f>
        <v>0</v>
      </c>
      <c r="G15769" s="34" t="n">
        <f aca="false">SUMIFS('12.326ana'!$C:$C,'12.326ana'!$M:$M,redes!A15769)</f>
        <v>0</v>
      </c>
    </row>
    <row r="15770" customFormat="false" ht="14.4" hidden="true" customHeight="false" outlineLevel="0" collapsed="false">
      <c r="A15770" s="34" t="n">
        <v>27401970000155</v>
      </c>
      <c r="B15770" s="34" t="s">
        <v>29267</v>
      </c>
      <c r="C15770" s="34" t="s">
        <v>77</v>
      </c>
      <c r="E15770" s="30" t="s">
        <v>29268</v>
      </c>
      <c r="F15770" s="34" t="n">
        <f aca="false">IFERROR(VLOOKUP($A15770,'319'!$B:$H,7,0),0)</f>
        <v>0</v>
      </c>
      <c r="G15770" s="34" t="n">
        <f aca="false">SUMIFS('12.326ana'!$C:$C,'12.326ana'!$M:$M,redes!A15770)</f>
        <v>0</v>
      </c>
    </row>
    <row r="15771" customFormat="false" ht="14.4" hidden="true" customHeight="false" outlineLevel="0" collapsed="false">
      <c r="A15771" s="34" t="n">
        <v>27401974000214</v>
      </c>
      <c r="B15771" s="34" t="s">
        <v>1805</v>
      </c>
      <c r="C15771" s="34" t="s">
        <v>77</v>
      </c>
      <c r="E15771" s="30" t="s">
        <v>29269</v>
      </c>
      <c r="F15771" s="34" t="n">
        <f aca="false">IFERROR(VLOOKUP($A15771,'319'!$B:$H,7,0),0)</f>
        <v>-193.52</v>
      </c>
      <c r="G15771" s="34" t="n">
        <f aca="false">SUMIFS('12.326ana'!$C:$C,'12.326ana'!$M:$M,redes!A15771)</f>
        <v>0</v>
      </c>
    </row>
    <row r="15772" customFormat="false" ht="14.4" hidden="true" customHeight="false" outlineLevel="0" collapsed="false">
      <c r="A15772" s="34" t="n">
        <v>27408534000108</v>
      </c>
      <c r="B15772" s="34" t="s">
        <v>29270</v>
      </c>
      <c r="C15772" s="34" t="s">
        <v>351</v>
      </c>
      <c r="E15772" s="30" t="s">
        <v>29271</v>
      </c>
      <c r="F15772" s="34" t="n">
        <f aca="false">IFERROR(VLOOKUP($A15772,'319'!$B:$H,7,0),0)</f>
        <v>0</v>
      </c>
      <c r="G15772" s="34" t="n">
        <f aca="false">SUMIFS('12.326ana'!$C:$C,'12.326ana'!$M:$M,redes!A15772)</f>
        <v>0</v>
      </c>
    </row>
    <row r="15773" customFormat="false" ht="14.4" hidden="true" customHeight="false" outlineLevel="0" collapsed="false">
      <c r="A15773" s="34" t="n">
        <v>27409975000124</v>
      </c>
      <c r="B15773" s="34" t="s">
        <v>29272</v>
      </c>
      <c r="C15773" s="34" t="s">
        <v>77</v>
      </c>
      <c r="E15773" s="30" t="s">
        <v>29273</v>
      </c>
      <c r="F15773" s="34" t="n">
        <f aca="false">IFERROR(VLOOKUP($A15773,'319'!$B:$H,7,0),0)</f>
        <v>0</v>
      </c>
      <c r="G15773" s="34" t="n">
        <f aca="false">SUMIFS('12.326ana'!$C:$C,'12.326ana'!$M:$M,redes!A15773)</f>
        <v>0</v>
      </c>
    </row>
    <row r="15774" customFormat="false" ht="14.4" hidden="true" customHeight="false" outlineLevel="0" collapsed="false">
      <c r="A15774" s="34" t="n">
        <v>27409976000179</v>
      </c>
      <c r="B15774" s="34" t="s">
        <v>29274</v>
      </c>
      <c r="C15774" s="34" t="s">
        <v>4829</v>
      </c>
      <c r="E15774" s="30" t="s">
        <v>25958</v>
      </c>
      <c r="F15774" s="34" t="n">
        <f aca="false">IFERROR(VLOOKUP($A15774,'319'!$B:$H,7,0),0)</f>
        <v>0</v>
      </c>
      <c r="G15774" s="34" t="n">
        <f aca="false">SUMIFS('12.326ana'!$C:$C,'12.326ana'!$M:$M,redes!A15774)</f>
        <v>0</v>
      </c>
    </row>
    <row r="15775" customFormat="false" ht="14.4" hidden="true" customHeight="false" outlineLevel="0" collapsed="false">
      <c r="A15775" s="34" t="n">
        <v>27410181000180</v>
      </c>
      <c r="B15775" s="34" t="s">
        <v>29275</v>
      </c>
      <c r="C15775" s="34" t="s">
        <v>680</v>
      </c>
      <c r="D15775" s="34" t="s">
        <v>20878</v>
      </c>
      <c r="E15775" s="30" t="s">
        <v>29276</v>
      </c>
      <c r="F15775" s="34" t="n">
        <f aca="false">IFERROR(VLOOKUP($A15775,'319'!$B:$H,7,0),0)</f>
        <v>0</v>
      </c>
      <c r="G15775" s="34" t="n">
        <f aca="false">SUMIFS('12.326ana'!$C:$C,'12.326ana'!$M:$M,redes!A15775)</f>
        <v>0</v>
      </c>
    </row>
    <row r="15776" customFormat="false" ht="14.4" hidden="true" customHeight="false" outlineLevel="0" collapsed="false">
      <c r="A15776" s="34" t="n">
        <v>27418968000199</v>
      </c>
      <c r="B15776" s="34" t="s">
        <v>29277</v>
      </c>
      <c r="C15776" s="34" t="s">
        <v>77</v>
      </c>
      <c r="E15776" s="30" t="s">
        <v>25799</v>
      </c>
      <c r="F15776" s="34" t="n">
        <f aca="false">IFERROR(VLOOKUP($A15776,'319'!$B:$H,7,0),0)</f>
        <v>0</v>
      </c>
      <c r="G15776" s="34" t="n">
        <f aca="false">SUMIFS('12.326ana'!$C:$C,'12.326ana'!$M:$M,redes!A15776)</f>
        <v>0</v>
      </c>
    </row>
    <row r="15777" customFormat="false" ht="14.4" hidden="true" customHeight="false" outlineLevel="0" collapsed="false">
      <c r="A15777" s="34" t="n">
        <v>27421901000103</v>
      </c>
      <c r="B15777" s="34" t="s">
        <v>29278</v>
      </c>
      <c r="C15777" s="34" t="s">
        <v>604</v>
      </c>
      <c r="E15777" s="30" t="s">
        <v>4638</v>
      </c>
      <c r="F15777" s="34" t="n">
        <f aca="false">IFERROR(VLOOKUP($A15777,'319'!$B:$H,7,0),0)</f>
        <v>0</v>
      </c>
      <c r="G15777" s="34" t="n">
        <f aca="false">SUMIFS('12.326ana'!$C:$C,'12.326ana'!$M:$M,redes!A15777)</f>
        <v>0</v>
      </c>
    </row>
    <row r="15778" customFormat="false" ht="14.4" hidden="true" customHeight="false" outlineLevel="0" collapsed="false">
      <c r="A15778" s="34" t="n">
        <v>27422700000120</v>
      </c>
      <c r="B15778" s="34" t="s">
        <v>29279</v>
      </c>
      <c r="C15778" s="34" t="s">
        <v>631</v>
      </c>
      <c r="E15778" s="30" t="s">
        <v>29280</v>
      </c>
      <c r="F15778" s="34" t="n">
        <f aca="false">IFERROR(VLOOKUP($A15778,'319'!$B:$H,7,0),0)</f>
        <v>0</v>
      </c>
      <c r="G15778" s="34" t="n">
        <f aca="false">SUMIFS('12.326ana'!$C:$C,'12.326ana'!$M:$M,redes!A15778)</f>
        <v>0</v>
      </c>
    </row>
    <row r="15779" customFormat="false" ht="14.4" hidden="true" customHeight="false" outlineLevel="0" collapsed="false">
      <c r="A15779" s="34" t="n">
        <v>27432781000140</v>
      </c>
      <c r="B15779" s="34" t="s">
        <v>29281</v>
      </c>
      <c r="C15779" s="34" t="s">
        <v>77</v>
      </c>
      <c r="E15779" s="30" t="s">
        <v>4594</v>
      </c>
      <c r="F15779" s="34" t="n">
        <f aca="false">IFERROR(VLOOKUP($A15779,'319'!$B:$H,7,0),0)</f>
        <v>0</v>
      </c>
      <c r="G15779" s="34" t="n">
        <f aca="false">SUMIFS('12.326ana'!$C:$C,'12.326ana'!$M:$M,redes!A15779)</f>
        <v>0</v>
      </c>
    </row>
    <row r="15780" customFormat="false" ht="14.4" hidden="true" customHeight="false" outlineLevel="0" collapsed="false">
      <c r="A15780" s="34" t="n">
        <v>27444167000106</v>
      </c>
      <c r="B15780" s="34" t="s">
        <v>29282</v>
      </c>
      <c r="C15780" s="34" t="s">
        <v>604</v>
      </c>
      <c r="E15780" s="30" t="s">
        <v>29283</v>
      </c>
      <c r="F15780" s="34" t="n">
        <f aca="false">IFERROR(VLOOKUP($A15780,'319'!$B:$H,7,0),0)</f>
        <v>0</v>
      </c>
      <c r="G15780" s="34" t="n">
        <f aca="false">SUMIFS('12.326ana'!$C:$C,'12.326ana'!$M:$M,redes!A15780)</f>
        <v>0</v>
      </c>
    </row>
    <row r="15781" customFormat="false" ht="14.4" hidden="true" customHeight="false" outlineLevel="0" collapsed="false">
      <c r="A15781" s="34" t="n">
        <v>27448130000148</v>
      </c>
      <c r="B15781" s="34" t="s">
        <v>29284</v>
      </c>
      <c r="C15781" s="34" t="s">
        <v>342</v>
      </c>
      <c r="E15781" s="30" t="s">
        <v>29285</v>
      </c>
      <c r="F15781" s="34" t="n">
        <f aca="false">IFERROR(VLOOKUP($A15781,'319'!$B:$H,7,0),0)</f>
        <v>1905.02</v>
      </c>
      <c r="G15781" s="34" t="n">
        <f aca="false">SUMIFS('12.326ana'!$C:$C,'12.326ana'!$M:$M,redes!A15781)</f>
        <v>0</v>
      </c>
    </row>
    <row r="15782" customFormat="false" ht="14.4" hidden="true" customHeight="false" outlineLevel="0" collapsed="false">
      <c r="A15782" s="34" t="n">
        <v>27469016000102</v>
      </c>
      <c r="B15782" s="34" t="s">
        <v>29286</v>
      </c>
      <c r="C15782" s="34" t="s">
        <v>473</v>
      </c>
      <c r="E15782" s="30" t="s">
        <v>29287</v>
      </c>
      <c r="F15782" s="34" t="n">
        <f aca="false">IFERROR(VLOOKUP($A15782,'319'!$B:$H,7,0),0)</f>
        <v>0</v>
      </c>
      <c r="G15782" s="34" t="n">
        <f aca="false">SUMIFS('12.326ana'!$C:$C,'12.326ana'!$M:$M,redes!A15782)</f>
        <v>0</v>
      </c>
    </row>
    <row r="15783" customFormat="false" ht="14.4" hidden="true" customHeight="false" outlineLevel="0" collapsed="false">
      <c r="A15783" s="34" t="n">
        <v>27488324000177</v>
      </c>
      <c r="B15783" s="34" t="s">
        <v>29288</v>
      </c>
      <c r="C15783" s="34" t="s">
        <v>107</v>
      </c>
      <c r="E15783" s="30" t="s">
        <v>29289</v>
      </c>
      <c r="F15783" s="34" t="n">
        <f aca="false">IFERROR(VLOOKUP($A15783,'319'!$B:$H,7,0),0)</f>
        <v>0</v>
      </c>
      <c r="G15783" s="34" t="n">
        <f aca="false">SUMIFS('12.326ana'!$C:$C,'12.326ana'!$M:$M,redes!A15783)</f>
        <v>0</v>
      </c>
    </row>
    <row r="15784" customFormat="false" ht="14.4" hidden="true" customHeight="false" outlineLevel="0" collapsed="false">
      <c r="A15784" s="34" t="n">
        <v>27488464000145</v>
      </c>
      <c r="B15784" s="34" t="s">
        <v>29290</v>
      </c>
      <c r="C15784" s="34" t="s">
        <v>77</v>
      </c>
      <c r="E15784" s="30" t="s">
        <v>29291</v>
      </c>
      <c r="F15784" s="34" t="n">
        <f aca="false">IFERROR(VLOOKUP($A15784,'319'!$B:$H,7,0),0)</f>
        <v>0</v>
      </c>
      <c r="G15784" s="34" t="n">
        <f aca="false">SUMIFS('12.326ana'!$C:$C,'12.326ana'!$M:$M,redes!A15784)</f>
        <v>0</v>
      </c>
    </row>
    <row r="15785" customFormat="false" ht="14.4" hidden="true" customHeight="false" outlineLevel="0" collapsed="false">
      <c r="A15785" s="34" t="n">
        <v>27490064000174</v>
      </c>
      <c r="B15785" s="34" t="s">
        <v>29292</v>
      </c>
      <c r="C15785" s="34" t="s">
        <v>107</v>
      </c>
      <c r="E15785" s="30" t="s">
        <v>29293</v>
      </c>
      <c r="F15785" s="34" t="n">
        <f aca="false">IFERROR(VLOOKUP($A15785,'319'!$B:$H,7,0),0)</f>
        <v>0</v>
      </c>
      <c r="G15785" s="34" t="n">
        <f aca="false">SUMIFS('12.326ana'!$C:$C,'12.326ana'!$M:$M,redes!A15785)</f>
        <v>0</v>
      </c>
    </row>
    <row r="15786" customFormat="false" ht="14.4" hidden="true" customHeight="false" outlineLevel="0" collapsed="false">
      <c r="A15786" s="34" t="n">
        <v>27490882000177</v>
      </c>
      <c r="B15786" s="34" t="s">
        <v>29294</v>
      </c>
      <c r="C15786" s="34" t="s">
        <v>89</v>
      </c>
      <c r="E15786" s="30" t="s">
        <v>29295</v>
      </c>
      <c r="F15786" s="34" t="n">
        <f aca="false">IFERROR(VLOOKUP($A15786,'319'!$B:$H,7,0),0)</f>
        <v>0</v>
      </c>
      <c r="G15786" s="34" t="n">
        <f aca="false">SUMIFS('12.326ana'!$C:$C,'12.326ana'!$M:$M,redes!A15786)</f>
        <v>0</v>
      </c>
    </row>
    <row r="15787" customFormat="false" ht="14.4" hidden="true" customHeight="false" outlineLevel="0" collapsed="false">
      <c r="A15787" s="34" t="n">
        <v>27493354000171</v>
      </c>
      <c r="B15787" s="34" t="s">
        <v>29296</v>
      </c>
      <c r="C15787" s="34" t="s">
        <v>77</v>
      </c>
      <c r="E15787" s="30" t="s">
        <v>29297</v>
      </c>
      <c r="F15787" s="34" t="n">
        <f aca="false">IFERROR(VLOOKUP($A15787,'319'!$B:$H,7,0),0)</f>
        <v>0</v>
      </c>
      <c r="G15787" s="34" t="n">
        <f aca="false">SUMIFS('12.326ana'!$C:$C,'12.326ana'!$M:$M,redes!A15787)</f>
        <v>0</v>
      </c>
    </row>
    <row r="15788" customFormat="false" ht="14.4" hidden="true" customHeight="false" outlineLevel="0" collapsed="false">
      <c r="A15788" s="34" t="n">
        <v>27494222000164</v>
      </c>
      <c r="B15788" s="34" t="s">
        <v>10895</v>
      </c>
      <c r="C15788" s="34" t="s">
        <v>77</v>
      </c>
      <c r="E15788" s="30" t="s">
        <v>10896</v>
      </c>
      <c r="F15788" s="34" t="n">
        <f aca="false">IFERROR(VLOOKUP($A15788,'319'!$B:$H,7,0),0)</f>
        <v>0</v>
      </c>
      <c r="G15788" s="34" t="n">
        <f aca="false">SUMIFS('12.326ana'!$C:$C,'12.326ana'!$M:$M,redes!A15788)</f>
        <v>0</v>
      </c>
    </row>
    <row r="15789" customFormat="false" ht="14.4" hidden="true" customHeight="false" outlineLevel="0" collapsed="false">
      <c r="A15789" s="34" t="n">
        <v>27494223000109</v>
      </c>
      <c r="B15789" s="34" t="s">
        <v>29298</v>
      </c>
      <c r="C15789" s="34" t="s">
        <v>103</v>
      </c>
      <c r="E15789" s="30" t="s">
        <v>29299</v>
      </c>
      <c r="F15789" s="34" t="n">
        <f aca="false">IFERROR(VLOOKUP($A15789,'319'!$B:$H,7,0),0)</f>
        <v>0</v>
      </c>
      <c r="G15789" s="34" t="n">
        <f aca="false">SUMIFS('12.326ana'!$C:$C,'12.326ana'!$M:$M,redes!A15789)</f>
        <v>0</v>
      </c>
    </row>
    <row r="15790" customFormat="false" ht="14.4" hidden="true" customHeight="false" outlineLevel="0" collapsed="false">
      <c r="A15790" s="34" t="n">
        <v>27499155000170</v>
      </c>
      <c r="B15790" s="34" t="s">
        <v>29300</v>
      </c>
      <c r="C15790" s="34" t="s">
        <v>77</v>
      </c>
      <c r="E15790" s="30" t="s">
        <v>29301</v>
      </c>
      <c r="F15790" s="34" t="n">
        <f aca="false">IFERROR(VLOOKUP($A15790,'319'!$B:$H,7,0),0)</f>
        <v>0</v>
      </c>
      <c r="G15790" s="34" t="n">
        <f aca="false">SUMIFS('12.326ana'!$C:$C,'12.326ana'!$M:$M,redes!A15790)</f>
        <v>0</v>
      </c>
    </row>
    <row r="15791" customFormat="false" ht="14.4" hidden="true" customHeight="false" outlineLevel="0" collapsed="false">
      <c r="A15791" s="34" t="n">
        <v>27522057000107</v>
      </c>
      <c r="B15791" s="34" t="s">
        <v>6660</v>
      </c>
      <c r="C15791" s="34" t="s">
        <v>77</v>
      </c>
      <c r="E15791" s="30" t="s">
        <v>6661</v>
      </c>
      <c r="F15791" s="34" t="n">
        <f aca="false">IFERROR(VLOOKUP($A15791,'319'!$B:$H,7,0),0)</f>
        <v>0</v>
      </c>
      <c r="G15791" s="34" t="n">
        <f aca="false">SUMIFS('12.326ana'!$C:$C,'12.326ana'!$M:$M,redes!A15791)</f>
        <v>0</v>
      </c>
    </row>
    <row r="15792" customFormat="false" ht="14.4" hidden="true" customHeight="false" outlineLevel="0" collapsed="false">
      <c r="A15792" s="34" t="n">
        <v>27522658000110</v>
      </c>
      <c r="B15792" s="34" t="s">
        <v>29302</v>
      </c>
      <c r="C15792" s="34" t="s">
        <v>336</v>
      </c>
      <c r="E15792" s="30" t="s">
        <v>29303</v>
      </c>
      <c r="F15792" s="34" t="n">
        <f aca="false">IFERROR(VLOOKUP($A15792,'319'!$B:$H,7,0),0)</f>
        <v>0</v>
      </c>
      <c r="G15792" s="34" t="n">
        <f aca="false">SUMIFS('12.326ana'!$C:$C,'12.326ana'!$M:$M,redes!A15792)</f>
        <v>0</v>
      </c>
    </row>
    <row r="15793" customFormat="false" ht="14.4" hidden="true" customHeight="false" outlineLevel="0" collapsed="false">
      <c r="A15793" s="34" t="n">
        <v>27524343000101</v>
      </c>
      <c r="B15793" s="34" t="s">
        <v>29304</v>
      </c>
      <c r="C15793" s="34" t="s">
        <v>77</v>
      </c>
      <c r="E15793" s="30" t="s">
        <v>29305</v>
      </c>
      <c r="F15793" s="34" t="n">
        <f aca="false">IFERROR(VLOOKUP($A15793,'319'!$B:$H,7,0),0)</f>
        <v>0</v>
      </c>
      <c r="G15793" s="34" t="n">
        <f aca="false">SUMIFS('12.326ana'!$C:$C,'12.326ana'!$M:$M,redes!A15793)</f>
        <v>0</v>
      </c>
    </row>
    <row r="15794" customFormat="false" ht="14.4" hidden="true" customHeight="false" outlineLevel="0" collapsed="false">
      <c r="A15794" s="34" t="n">
        <v>27525686000190</v>
      </c>
      <c r="B15794" s="34" t="s">
        <v>29306</v>
      </c>
      <c r="C15794" s="34" t="s">
        <v>357</v>
      </c>
      <c r="E15794" s="30" t="s">
        <v>29307</v>
      </c>
      <c r="F15794" s="34" t="n">
        <f aca="false">IFERROR(VLOOKUP($A15794,'319'!$B:$H,7,0),0)</f>
        <v>0</v>
      </c>
      <c r="G15794" s="34" t="n">
        <f aca="false">SUMIFS('12.326ana'!$C:$C,'12.326ana'!$M:$M,redes!A15794)</f>
        <v>0</v>
      </c>
    </row>
    <row r="15795" customFormat="false" ht="14.4" hidden="true" customHeight="false" outlineLevel="0" collapsed="false">
      <c r="A15795" s="34" t="n">
        <v>27537964000120</v>
      </c>
      <c r="B15795" s="34" t="s">
        <v>29308</v>
      </c>
      <c r="C15795" s="34" t="s">
        <v>107</v>
      </c>
      <c r="E15795" s="30" t="s">
        <v>29309</v>
      </c>
      <c r="F15795" s="34" t="n">
        <f aca="false">IFERROR(VLOOKUP($A15795,'319'!$B:$H,7,0),0)</f>
        <v>0</v>
      </c>
      <c r="G15795" s="34" t="n">
        <f aca="false">SUMIFS('12.326ana'!$C:$C,'12.326ana'!$M:$M,redes!A15795)</f>
        <v>0</v>
      </c>
    </row>
    <row r="15796" customFormat="false" ht="14.4" hidden="true" customHeight="false" outlineLevel="0" collapsed="false">
      <c r="A15796" s="34" t="n">
        <v>27539703000149</v>
      </c>
      <c r="B15796" s="34" t="s">
        <v>29310</v>
      </c>
      <c r="C15796" s="34" t="s">
        <v>107</v>
      </c>
      <c r="E15796" s="30" t="s">
        <v>29311</v>
      </c>
      <c r="F15796" s="34" t="n">
        <f aca="false">IFERROR(VLOOKUP($A15796,'319'!$B:$H,7,0),0)</f>
        <v>0</v>
      </c>
      <c r="G15796" s="34" t="n">
        <f aca="false">SUMIFS('12.326ana'!$C:$C,'12.326ana'!$M:$M,redes!A15796)</f>
        <v>0</v>
      </c>
    </row>
    <row r="15797" customFormat="false" ht="14.4" hidden="true" customHeight="false" outlineLevel="0" collapsed="false">
      <c r="A15797" s="34" t="n">
        <v>27540553000193</v>
      </c>
      <c r="B15797" s="34" t="s">
        <v>29312</v>
      </c>
      <c r="C15797" s="34" t="s">
        <v>604</v>
      </c>
      <c r="E15797" s="30" t="s">
        <v>29313</v>
      </c>
      <c r="F15797" s="34" t="n">
        <f aca="false">IFERROR(VLOOKUP($A15797,'319'!$B:$H,7,0),0)</f>
        <v>0</v>
      </c>
      <c r="G15797" s="34" t="n">
        <f aca="false">SUMIFS('12.326ana'!$C:$C,'12.326ana'!$M:$M,redes!A15797)</f>
        <v>0</v>
      </c>
    </row>
    <row r="15798" customFormat="false" ht="14.4" hidden="true" customHeight="false" outlineLevel="0" collapsed="false">
      <c r="A15798" s="34" t="n">
        <v>27541412000195</v>
      </c>
      <c r="B15798" s="34" t="s">
        <v>29314</v>
      </c>
      <c r="C15798" s="34" t="s">
        <v>77</v>
      </c>
      <c r="E15798" s="30" t="s">
        <v>29315</v>
      </c>
      <c r="F15798" s="34" t="n">
        <f aca="false">IFERROR(VLOOKUP($A15798,'319'!$B:$H,7,0),0)</f>
        <v>0</v>
      </c>
      <c r="G15798" s="34" t="n">
        <f aca="false">SUMIFS('12.326ana'!$C:$C,'12.326ana'!$M:$M,redes!A15798)</f>
        <v>0</v>
      </c>
    </row>
    <row r="15799" customFormat="false" ht="14.4" hidden="true" customHeight="false" outlineLevel="0" collapsed="false">
      <c r="A15799" s="34" t="n">
        <v>27541444000190</v>
      </c>
      <c r="B15799" s="34" t="s">
        <v>29316</v>
      </c>
      <c r="C15799" s="34" t="s">
        <v>139</v>
      </c>
      <c r="E15799" s="30" t="s">
        <v>29317</v>
      </c>
      <c r="F15799" s="34" t="n">
        <f aca="false">IFERROR(VLOOKUP($A15799,'319'!$B:$H,7,0),0)</f>
        <v>0</v>
      </c>
      <c r="G15799" s="34" t="n">
        <f aca="false">SUMIFS('12.326ana'!$C:$C,'12.326ana'!$M:$M,redes!A15799)</f>
        <v>0</v>
      </c>
    </row>
    <row r="15800" customFormat="false" ht="14.4" hidden="true" customHeight="false" outlineLevel="0" collapsed="false">
      <c r="A15800" s="34" t="n">
        <v>27547115000157</v>
      </c>
      <c r="B15800" s="34" t="s">
        <v>29318</v>
      </c>
      <c r="C15800" s="34" t="s">
        <v>117</v>
      </c>
      <c r="E15800" s="30" t="s">
        <v>29319</v>
      </c>
      <c r="F15800" s="34" t="n">
        <f aca="false">IFERROR(VLOOKUP($A15800,'319'!$B:$H,7,0),0)</f>
        <v>0</v>
      </c>
      <c r="G15800" s="34" t="n">
        <f aca="false">SUMIFS('12.326ana'!$C:$C,'12.326ana'!$M:$M,redes!A15800)</f>
        <v>0</v>
      </c>
    </row>
    <row r="15801" customFormat="false" ht="14.4" hidden="true" customHeight="false" outlineLevel="0" collapsed="false">
      <c r="A15801" s="34" t="n">
        <v>27547235000154</v>
      </c>
      <c r="B15801" s="34" t="s">
        <v>29320</v>
      </c>
      <c r="C15801" s="34" t="s">
        <v>342</v>
      </c>
      <c r="E15801" s="30" t="s">
        <v>29321</v>
      </c>
      <c r="F15801" s="34" t="n">
        <f aca="false">IFERROR(VLOOKUP($A15801,'319'!$B:$H,7,0),0)</f>
        <v>0</v>
      </c>
      <c r="G15801" s="34" t="n">
        <f aca="false">SUMIFS('12.326ana'!$C:$C,'12.326ana'!$M:$M,redes!A15801)</f>
        <v>0</v>
      </c>
    </row>
    <row r="15802" customFormat="false" ht="14.4" hidden="true" customHeight="false" outlineLevel="0" collapsed="false">
      <c r="A15802" s="34" t="n">
        <v>27556525000164</v>
      </c>
      <c r="B15802" s="34" t="s">
        <v>29322</v>
      </c>
      <c r="C15802" s="34" t="s">
        <v>77</v>
      </c>
      <c r="E15802" s="30" t="s">
        <v>29323</v>
      </c>
      <c r="F15802" s="34" t="n">
        <f aca="false">IFERROR(VLOOKUP($A15802,'319'!$B:$H,7,0),0)</f>
        <v>0</v>
      </c>
      <c r="G15802" s="34" t="n">
        <f aca="false">SUMIFS('12.326ana'!$C:$C,'12.326ana'!$M:$M,redes!A15802)</f>
        <v>0</v>
      </c>
    </row>
    <row r="15803" customFormat="false" ht="14.4" hidden="true" customHeight="false" outlineLevel="0" collapsed="false">
      <c r="A15803" s="34" t="n">
        <v>27560148000137</v>
      </c>
      <c r="B15803" s="34" t="s">
        <v>29324</v>
      </c>
      <c r="C15803" s="34" t="s">
        <v>478</v>
      </c>
      <c r="E15803" s="30" t="s">
        <v>29325</v>
      </c>
      <c r="F15803" s="34" t="n">
        <f aca="false">IFERROR(VLOOKUP($A15803,'319'!$B:$H,7,0),0)</f>
        <v>0</v>
      </c>
      <c r="G15803" s="34" t="n">
        <f aca="false">SUMIFS('12.326ana'!$C:$C,'12.326ana'!$M:$M,redes!A15803)</f>
        <v>0</v>
      </c>
    </row>
    <row r="15804" customFormat="false" ht="14.4" hidden="true" customHeight="false" outlineLevel="0" collapsed="false">
      <c r="A15804" s="34" t="n">
        <v>27569236000108</v>
      </c>
      <c r="B15804" s="34" t="s">
        <v>29326</v>
      </c>
      <c r="C15804" s="34" t="s">
        <v>77</v>
      </c>
      <c r="E15804" s="30" t="s">
        <v>29327</v>
      </c>
      <c r="F15804" s="34" t="n">
        <f aca="false">IFERROR(VLOOKUP($A15804,'319'!$B:$H,7,0),0)</f>
        <v>0</v>
      </c>
      <c r="G15804" s="34" t="n">
        <f aca="false">SUMIFS('12.326ana'!$C:$C,'12.326ana'!$M:$M,redes!A15804)</f>
        <v>0</v>
      </c>
    </row>
    <row r="15805" customFormat="false" ht="14.4" hidden="true" customHeight="false" outlineLevel="0" collapsed="false">
      <c r="A15805" s="34" t="n">
        <v>27575755000170</v>
      </c>
      <c r="B15805" s="34" t="s">
        <v>29328</v>
      </c>
      <c r="C15805" s="34" t="s">
        <v>77</v>
      </c>
      <c r="E15805" s="30" t="s">
        <v>29329</v>
      </c>
      <c r="F15805" s="34" t="n">
        <f aca="false">IFERROR(VLOOKUP($A15805,'319'!$B:$H,7,0),0)</f>
        <v>0</v>
      </c>
      <c r="G15805" s="34" t="n">
        <f aca="false">SUMIFS('12.326ana'!$C:$C,'12.326ana'!$M:$M,redes!A15805)</f>
        <v>0</v>
      </c>
    </row>
    <row r="15806" customFormat="false" ht="14.4" hidden="true" customHeight="false" outlineLevel="0" collapsed="false">
      <c r="A15806" s="34" t="n">
        <v>27580175000171</v>
      </c>
      <c r="B15806" s="34" t="s">
        <v>29330</v>
      </c>
      <c r="C15806" s="34" t="s">
        <v>737</v>
      </c>
      <c r="E15806" s="30" t="s">
        <v>29331</v>
      </c>
      <c r="F15806" s="34" t="n">
        <f aca="false">IFERROR(VLOOKUP($A15806,'319'!$B:$H,7,0),0)</f>
        <v>0</v>
      </c>
      <c r="G15806" s="34" t="n">
        <f aca="false">SUMIFS('12.326ana'!$C:$C,'12.326ana'!$M:$M,redes!A15806)</f>
        <v>0</v>
      </c>
    </row>
    <row r="15807" customFormat="false" ht="14.4" hidden="true" customHeight="false" outlineLevel="0" collapsed="false">
      <c r="A15807" s="34" t="n">
        <v>27590237000126</v>
      </c>
      <c r="B15807" s="34" t="s">
        <v>29332</v>
      </c>
      <c r="C15807" s="34" t="s">
        <v>581</v>
      </c>
      <c r="E15807" s="30" t="s">
        <v>5750</v>
      </c>
      <c r="F15807" s="34" t="n">
        <f aca="false">IFERROR(VLOOKUP($A15807,'319'!$B:$H,7,0),0)</f>
        <v>-118.05</v>
      </c>
      <c r="G15807" s="34" t="n">
        <f aca="false">SUMIFS('12.326ana'!$C:$C,'12.326ana'!$M:$M,redes!A15807)</f>
        <v>0</v>
      </c>
    </row>
    <row r="15808" customFormat="false" ht="14.4" hidden="true" customHeight="false" outlineLevel="0" collapsed="false">
      <c r="A15808" s="34" t="n">
        <v>27591603000161</v>
      </c>
      <c r="B15808" s="34" t="s">
        <v>29333</v>
      </c>
      <c r="C15808" s="34" t="s">
        <v>478</v>
      </c>
      <c r="E15808" s="30" t="s">
        <v>29334</v>
      </c>
      <c r="F15808" s="34" t="n">
        <f aca="false">IFERROR(VLOOKUP($A15808,'319'!$B:$H,7,0),0)</f>
        <v>0</v>
      </c>
      <c r="G15808" s="34" t="n">
        <f aca="false">SUMIFS('12.326ana'!$C:$C,'12.326ana'!$M:$M,redes!A15808)</f>
        <v>0</v>
      </c>
    </row>
    <row r="15809" customFormat="false" ht="14.4" hidden="true" customHeight="false" outlineLevel="0" collapsed="false">
      <c r="A15809" s="34" t="n">
        <v>27594737000136</v>
      </c>
      <c r="B15809" s="34" t="s">
        <v>29335</v>
      </c>
      <c r="C15809" s="34" t="s">
        <v>129</v>
      </c>
      <c r="E15809" s="30" t="s">
        <v>4741</v>
      </c>
      <c r="F15809" s="34" t="n">
        <f aca="false">IFERROR(VLOOKUP($A15809,'319'!$B:$H,7,0),0)</f>
        <v>0</v>
      </c>
      <c r="G15809" s="34" t="n">
        <f aca="false">SUMIFS('12.326ana'!$C:$C,'12.326ana'!$M:$M,redes!A15809)</f>
        <v>0</v>
      </c>
    </row>
    <row r="15810" customFormat="false" ht="14.4" hidden="true" customHeight="false" outlineLevel="0" collapsed="false">
      <c r="A15810" s="34" t="n">
        <v>27617746000103</v>
      </c>
      <c r="B15810" s="34" t="s">
        <v>29336</v>
      </c>
      <c r="C15810" s="34" t="s">
        <v>77</v>
      </c>
      <c r="E15810" s="30" t="s">
        <v>29337</v>
      </c>
      <c r="F15810" s="34" t="n">
        <f aca="false">IFERROR(VLOOKUP($A15810,'319'!$B:$H,7,0),0)</f>
        <v>0</v>
      </c>
      <c r="G15810" s="34" t="n">
        <f aca="false">SUMIFS('12.326ana'!$C:$C,'12.326ana'!$M:$M,redes!A15810)</f>
        <v>0</v>
      </c>
    </row>
    <row r="15811" customFormat="false" ht="14.4" hidden="true" customHeight="false" outlineLevel="0" collapsed="false">
      <c r="A15811" s="34" t="n">
        <v>27619665000134</v>
      </c>
      <c r="B15811" s="34" t="s">
        <v>29338</v>
      </c>
      <c r="C15811" s="34" t="s">
        <v>139</v>
      </c>
      <c r="E15811" s="30" t="s">
        <v>29339</v>
      </c>
      <c r="F15811" s="34" t="n">
        <f aca="false">IFERROR(VLOOKUP($A15811,'319'!$B:$H,7,0),0)</f>
        <v>0</v>
      </c>
      <c r="G15811" s="34" t="n">
        <f aca="false">SUMIFS('12.326ana'!$C:$C,'12.326ana'!$M:$M,redes!A15811)</f>
        <v>0</v>
      </c>
    </row>
    <row r="15812" customFormat="false" ht="14.4" hidden="true" customHeight="false" outlineLevel="0" collapsed="false">
      <c r="A15812" s="34" t="n">
        <v>27631452000128</v>
      </c>
      <c r="B15812" s="34" t="s">
        <v>29340</v>
      </c>
      <c r="C15812" s="34" t="s">
        <v>77</v>
      </c>
      <c r="E15812" s="30" t="s">
        <v>29341</v>
      </c>
      <c r="F15812" s="34" t="n">
        <f aca="false">IFERROR(VLOOKUP($A15812,'319'!$B:$H,7,0),0)</f>
        <v>0</v>
      </c>
      <c r="G15812" s="34" t="n">
        <f aca="false">SUMIFS('12.326ana'!$C:$C,'12.326ana'!$M:$M,redes!A15812)</f>
        <v>0</v>
      </c>
    </row>
    <row r="15813" customFormat="false" ht="14.4" hidden="true" customHeight="false" outlineLevel="0" collapsed="false">
      <c r="A15813" s="34" t="n">
        <v>27642580000177</v>
      </c>
      <c r="B15813" s="34" t="s">
        <v>29342</v>
      </c>
      <c r="C15813" s="34" t="s">
        <v>77</v>
      </c>
      <c r="E15813" s="30" t="s">
        <v>26584</v>
      </c>
      <c r="F15813" s="34" t="n">
        <f aca="false">IFERROR(VLOOKUP($A15813,'319'!$B:$H,7,0),0)</f>
        <v>0</v>
      </c>
      <c r="G15813" s="34" t="n">
        <f aca="false">SUMIFS('12.326ana'!$C:$C,'12.326ana'!$M:$M,redes!A15813)</f>
        <v>0</v>
      </c>
    </row>
    <row r="15814" customFormat="false" ht="14.4" hidden="true" customHeight="false" outlineLevel="0" collapsed="false">
      <c r="A15814" s="34" t="n">
        <v>27644536000104</v>
      </c>
      <c r="B15814" s="34" t="s">
        <v>29343</v>
      </c>
      <c r="C15814" s="34" t="s">
        <v>77</v>
      </c>
      <c r="E15814" s="30" t="s">
        <v>29344</v>
      </c>
      <c r="F15814" s="34" t="n">
        <f aca="false">IFERROR(VLOOKUP($A15814,'319'!$B:$H,7,0),0)</f>
        <v>0</v>
      </c>
      <c r="G15814" s="34" t="n">
        <f aca="false">SUMIFS('12.326ana'!$C:$C,'12.326ana'!$M:$M,redes!A15814)</f>
        <v>0</v>
      </c>
    </row>
    <row r="15815" customFormat="false" ht="14.4" hidden="true" customHeight="false" outlineLevel="0" collapsed="false">
      <c r="A15815" s="34" t="n">
        <v>27659045000129</v>
      </c>
      <c r="B15815" s="34" t="s">
        <v>10695</v>
      </c>
      <c r="C15815" s="34" t="s">
        <v>77</v>
      </c>
      <c r="E15815" s="30" t="s">
        <v>29345</v>
      </c>
      <c r="F15815" s="34" t="n">
        <f aca="false">IFERROR(VLOOKUP($A15815,'319'!$B:$H,7,0),0)</f>
        <v>0</v>
      </c>
      <c r="G15815" s="34" t="n">
        <f aca="false">SUMIFS('12.326ana'!$C:$C,'12.326ana'!$M:$M,redes!A15815)</f>
        <v>0</v>
      </c>
    </row>
    <row r="15816" customFormat="false" ht="14.4" hidden="true" customHeight="false" outlineLevel="0" collapsed="false">
      <c r="A15816" s="34" t="n">
        <v>27659171000183</v>
      </c>
      <c r="B15816" s="34" t="s">
        <v>29346</v>
      </c>
      <c r="C15816" s="34" t="s">
        <v>139</v>
      </c>
      <c r="E15816" s="30" t="s">
        <v>29346</v>
      </c>
      <c r="F15816" s="34" t="n">
        <f aca="false">IFERROR(VLOOKUP($A15816,'319'!$B:$H,7,0),0)</f>
        <v>0</v>
      </c>
      <c r="G15816" s="34" t="n">
        <f aca="false">SUMIFS('12.326ana'!$C:$C,'12.326ana'!$M:$M,redes!A15816)</f>
        <v>0</v>
      </c>
    </row>
    <row r="15817" customFormat="false" ht="14.4" hidden="true" customHeight="false" outlineLevel="0" collapsed="false">
      <c r="A15817" s="34" t="n">
        <v>27671243000108</v>
      </c>
      <c r="B15817" s="34" t="s">
        <v>29347</v>
      </c>
      <c r="C15817" s="34" t="s">
        <v>77</v>
      </c>
      <c r="E15817" s="30" t="s">
        <v>29348</v>
      </c>
      <c r="F15817" s="34" t="n">
        <f aca="false">IFERROR(VLOOKUP($A15817,'319'!$B:$H,7,0),0)</f>
        <v>0</v>
      </c>
      <c r="G15817" s="34" t="n">
        <f aca="false">SUMIFS('12.326ana'!$C:$C,'12.326ana'!$M:$M,redes!A15817)</f>
        <v>0</v>
      </c>
    </row>
    <row r="15818" customFormat="false" ht="14.4" hidden="true" customHeight="false" outlineLevel="0" collapsed="false">
      <c r="A15818" s="34" t="n">
        <v>27671532000107</v>
      </c>
      <c r="B15818" s="34" t="s">
        <v>29349</v>
      </c>
      <c r="C15818" s="34" t="s">
        <v>299</v>
      </c>
      <c r="E15818" s="30" t="s">
        <v>4504</v>
      </c>
      <c r="F15818" s="34" t="n">
        <f aca="false">IFERROR(VLOOKUP($A15818,'319'!$B:$H,7,0),0)</f>
        <v>0</v>
      </c>
      <c r="G15818" s="34" t="n">
        <f aca="false">SUMIFS('12.326ana'!$C:$C,'12.326ana'!$M:$M,redes!A15818)</f>
        <v>0</v>
      </c>
    </row>
    <row r="15819" customFormat="false" ht="14.4" hidden="true" customHeight="false" outlineLevel="0" collapsed="false">
      <c r="A15819" s="34" t="n">
        <v>27692460000184</v>
      </c>
      <c r="B15819" s="34" t="s">
        <v>29350</v>
      </c>
      <c r="C15819" s="34" t="s">
        <v>77</v>
      </c>
      <c r="E15819" s="30" t="s">
        <v>29351</v>
      </c>
      <c r="F15819" s="34" t="n">
        <f aca="false">IFERROR(VLOOKUP($A15819,'319'!$B:$H,7,0),0)</f>
        <v>0</v>
      </c>
      <c r="G15819" s="34" t="n">
        <f aca="false">SUMIFS('12.326ana'!$C:$C,'12.326ana'!$M:$M,redes!A15819)</f>
        <v>0</v>
      </c>
    </row>
    <row r="15820" customFormat="false" ht="14.4" hidden="true" customHeight="false" outlineLevel="0" collapsed="false">
      <c r="A15820" s="34" t="n">
        <v>27697083000176</v>
      </c>
      <c r="B15820" s="34" t="s">
        <v>29352</v>
      </c>
      <c r="C15820" s="34" t="s">
        <v>77</v>
      </c>
      <c r="E15820" s="30" t="s">
        <v>29353</v>
      </c>
      <c r="F15820" s="34" t="n">
        <f aca="false">IFERROR(VLOOKUP($A15820,'319'!$B:$H,7,0),0)</f>
        <v>0</v>
      </c>
      <c r="G15820" s="34" t="n">
        <f aca="false">SUMIFS('12.326ana'!$C:$C,'12.326ana'!$M:$M,redes!A15820)</f>
        <v>0</v>
      </c>
    </row>
    <row r="15821" customFormat="false" ht="14.4" hidden="true" customHeight="false" outlineLevel="0" collapsed="false">
      <c r="A15821" s="34" t="n">
        <v>27697083000257</v>
      </c>
      <c r="B15821" s="34" t="s">
        <v>29352</v>
      </c>
      <c r="C15821" s="34" t="s">
        <v>77</v>
      </c>
      <c r="E15821" s="30" t="s">
        <v>29353</v>
      </c>
      <c r="F15821" s="34" t="n">
        <f aca="false">IFERROR(VLOOKUP($A15821,'319'!$B:$H,7,0),0)</f>
        <v>0</v>
      </c>
      <c r="G15821" s="34" t="n">
        <f aca="false">SUMIFS('12.326ana'!$C:$C,'12.326ana'!$M:$M,redes!A15821)</f>
        <v>0</v>
      </c>
    </row>
    <row r="15822" customFormat="false" ht="14.4" hidden="true" customHeight="false" outlineLevel="0" collapsed="false">
      <c r="A15822" s="34" t="n">
        <v>27697083000338</v>
      </c>
      <c r="B15822" s="34" t="s">
        <v>29352</v>
      </c>
      <c r="C15822" s="34" t="s">
        <v>77</v>
      </c>
      <c r="E15822" s="30" t="s">
        <v>29353</v>
      </c>
      <c r="F15822" s="34" t="n">
        <f aca="false">IFERROR(VLOOKUP($A15822,'319'!$B:$H,7,0),0)</f>
        <v>0</v>
      </c>
      <c r="G15822" s="34" t="n">
        <f aca="false">SUMIFS('12.326ana'!$C:$C,'12.326ana'!$M:$M,redes!A15822)</f>
        <v>0</v>
      </c>
    </row>
    <row r="15823" customFormat="false" ht="14.4" hidden="true" customHeight="false" outlineLevel="0" collapsed="false">
      <c r="A15823" s="34" t="n">
        <v>27697083000419</v>
      </c>
      <c r="B15823" s="34" t="s">
        <v>29352</v>
      </c>
      <c r="C15823" s="34" t="s">
        <v>107</v>
      </c>
      <c r="E15823" s="30" t="s">
        <v>29353</v>
      </c>
      <c r="F15823" s="34" t="n">
        <f aca="false">IFERROR(VLOOKUP($A15823,'319'!$B:$H,7,0),0)</f>
        <v>0</v>
      </c>
      <c r="G15823" s="34" t="n">
        <f aca="false">SUMIFS('12.326ana'!$C:$C,'12.326ana'!$M:$M,redes!A15823)</f>
        <v>0</v>
      </c>
    </row>
    <row r="15824" customFormat="false" ht="14.4" hidden="true" customHeight="false" outlineLevel="0" collapsed="false">
      <c r="A15824" s="34" t="n">
        <v>27697083000508</v>
      </c>
      <c r="B15824" s="34" t="s">
        <v>29352</v>
      </c>
      <c r="C15824" s="34" t="s">
        <v>77</v>
      </c>
      <c r="E15824" s="30" t="s">
        <v>29353</v>
      </c>
      <c r="F15824" s="34" t="n">
        <f aca="false">IFERROR(VLOOKUP($A15824,'319'!$B:$H,7,0),0)</f>
        <v>0</v>
      </c>
      <c r="G15824" s="34" t="n">
        <f aca="false">SUMIFS('12.326ana'!$C:$C,'12.326ana'!$M:$M,redes!A15824)</f>
        <v>0</v>
      </c>
    </row>
    <row r="15825" customFormat="false" ht="14.4" hidden="true" customHeight="false" outlineLevel="0" collapsed="false">
      <c r="A15825" s="34" t="n">
        <v>27700062000162</v>
      </c>
      <c r="B15825" s="34" t="s">
        <v>29354</v>
      </c>
      <c r="C15825" s="34" t="s">
        <v>107</v>
      </c>
      <c r="E15825" s="30" t="s">
        <v>29355</v>
      </c>
      <c r="F15825" s="34" t="n">
        <f aca="false">IFERROR(VLOOKUP($A15825,'319'!$B:$H,7,0),0)</f>
        <v>0</v>
      </c>
      <c r="G15825" s="34" t="n">
        <f aca="false">SUMIFS('12.326ana'!$C:$C,'12.326ana'!$M:$M,redes!A15825)</f>
        <v>0</v>
      </c>
    </row>
    <row r="15826" customFormat="false" ht="14.4" hidden="true" customHeight="false" outlineLevel="0" collapsed="false">
      <c r="A15826" s="34" t="n">
        <v>27702211000122</v>
      </c>
      <c r="B15826" s="34" t="s">
        <v>29356</v>
      </c>
      <c r="C15826" s="34" t="s">
        <v>77</v>
      </c>
      <c r="E15826" s="30" t="s">
        <v>29357</v>
      </c>
      <c r="F15826" s="34" t="n">
        <f aca="false">IFERROR(VLOOKUP($A15826,'319'!$B:$H,7,0),0)</f>
        <v>0</v>
      </c>
      <c r="G15826" s="34" t="n">
        <f aca="false">SUMIFS('12.326ana'!$C:$C,'12.326ana'!$M:$M,redes!A15826)</f>
        <v>0</v>
      </c>
    </row>
    <row r="15827" customFormat="false" ht="14.4" hidden="true" customHeight="false" outlineLevel="0" collapsed="false">
      <c r="A15827" s="34" t="n">
        <v>27703638000145</v>
      </c>
      <c r="B15827" s="34" t="s">
        <v>29358</v>
      </c>
      <c r="C15827" s="34" t="s">
        <v>139</v>
      </c>
      <c r="E15827" s="30" t="s">
        <v>29358</v>
      </c>
      <c r="F15827" s="34" t="n">
        <f aca="false">IFERROR(VLOOKUP($A15827,'319'!$B:$H,7,0),0)</f>
        <v>0</v>
      </c>
      <c r="G15827" s="34" t="n">
        <f aca="false">SUMIFS('12.326ana'!$C:$C,'12.326ana'!$M:$M,redes!A15827)</f>
        <v>0</v>
      </c>
    </row>
    <row r="15828" customFormat="false" ht="14.4" hidden="true" customHeight="false" outlineLevel="0" collapsed="false">
      <c r="A15828" s="34" t="n">
        <v>27707300000161</v>
      </c>
      <c r="B15828" s="34" t="s">
        <v>29359</v>
      </c>
      <c r="C15828" s="34" t="s">
        <v>89</v>
      </c>
      <c r="E15828" s="30" t="s">
        <v>22144</v>
      </c>
      <c r="F15828" s="34" t="n">
        <f aca="false">IFERROR(VLOOKUP($A15828,'319'!$B:$H,7,0),0)</f>
        <v>0</v>
      </c>
      <c r="G15828" s="34" t="n">
        <f aca="false">SUMIFS('12.326ana'!$C:$C,'12.326ana'!$M:$M,redes!A15828)</f>
        <v>0</v>
      </c>
    </row>
    <row r="15829" customFormat="false" ht="14.4" hidden="true" customHeight="false" outlineLevel="0" collapsed="false">
      <c r="A15829" s="34" t="n">
        <v>27708144000153</v>
      </c>
      <c r="B15829" s="34" t="s">
        <v>29360</v>
      </c>
      <c r="C15829" s="34" t="s">
        <v>4261</v>
      </c>
      <c r="E15829" s="30" t="s">
        <v>29361</v>
      </c>
      <c r="F15829" s="34" t="n">
        <f aca="false">IFERROR(VLOOKUP($A15829,'319'!$B:$H,7,0),0)</f>
        <v>0</v>
      </c>
      <c r="G15829" s="34" t="n">
        <f aca="false">SUMIFS('12.326ana'!$C:$C,'12.326ana'!$M:$M,redes!A15829)</f>
        <v>0</v>
      </c>
    </row>
    <row r="15830" customFormat="false" ht="14.4" hidden="true" customHeight="false" outlineLevel="0" collapsed="false">
      <c r="A15830" s="34" t="n">
        <v>27720105000171</v>
      </c>
      <c r="B15830" s="34" t="s">
        <v>29362</v>
      </c>
      <c r="C15830" s="34" t="s">
        <v>77</v>
      </c>
      <c r="E15830" s="30" t="s">
        <v>29363</v>
      </c>
      <c r="F15830" s="34" t="n">
        <f aca="false">IFERROR(VLOOKUP($A15830,'319'!$B:$H,7,0),0)</f>
        <v>0</v>
      </c>
      <c r="G15830" s="34" t="n">
        <f aca="false">SUMIFS('12.326ana'!$C:$C,'12.326ana'!$M:$M,redes!A15830)</f>
        <v>0</v>
      </c>
    </row>
    <row r="15831" customFormat="false" ht="14.4" hidden="true" customHeight="false" outlineLevel="0" collapsed="false">
      <c r="A15831" s="34" t="n">
        <v>27721099000177</v>
      </c>
      <c r="B15831" s="34" t="s">
        <v>29364</v>
      </c>
      <c r="C15831" s="34" t="s">
        <v>77</v>
      </c>
      <c r="E15831" s="30" t="s">
        <v>29365</v>
      </c>
      <c r="F15831" s="34" t="n">
        <f aca="false">IFERROR(VLOOKUP($A15831,'319'!$B:$H,7,0),0)</f>
        <v>0</v>
      </c>
      <c r="G15831" s="34" t="n">
        <f aca="false">SUMIFS('12.326ana'!$C:$C,'12.326ana'!$M:$M,redes!A15831)</f>
        <v>0</v>
      </c>
    </row>
    <row r="15832" customFormat="false" ht="14.4" hidden="true" customHeight="false" outlineLevel="0" collapsed="false">
      <c r="A15832" s="34" t="n">
        <v>27730728000125</v>
      </c>
      <c r="B15832" s="34" t="s">
        <v>29366</v>
      </c>
      <c r="C15832" s="34" t="s">
        <v>309</v>
      </c>
      <c r="E15832" s="30" t="s">
        <v>8534</v>
      </c>
      <c r="F15832" s="34" t="n">
        <f aca="false">IFERROR(VLOOKUP($A15832,'319'!$B:$H,7,0),0)</f>
        <v>0</v>
      </c>
      <c r="G15832" s="34" t="n">
        <f aca="false">SUMIFS('12.326ana'!$C:$C,'12.326ana'!$M:$M,redes!A15832)</f>
        <v>0</v>
      </c>
    </row>
    <row r="15833" customFormat="false" ht="14.4" hidden="true" customHeight="false" outlineLevel="0" collapsed="false">
      <c r="A15833" s="34" t="n">
        <v>27751770000122</v>
      </c>
      <c r="B15833" s="34" t="s">
        <v>29367</v>
      </c>
      <c r="C15833" s="34" t="s">
        <v>89</v>
      </c>
      <c r="E15833" s="30" t="s">
        <v>29368</v>
      </c>
      <c r="F15833" s="34" t="n">
        <f aca="false">IFERROR(VLOOKUP($A15833,'319'!$B:$H,7,0),0)</f>
        <v>0</v>
      </c>
      <c r="G15833" s="34" t="n">
        <f aca="false">SUMIFS('12.326ana'!$C:$C,'12.326ana'!$M:$M,redes!A15833)</f>
        <v>0</v>
      </c>
    </row>
    <row r="15834" customFormat="false" ht="14.4" hidden="true" customHeight="false" outlineLevel="0" collapsed="false">
      <c r="A15834" s="34" t="n">
        <v>27769211000140</v>
      </c>
      <c r="B15834" s="34" t="s">
        <v>29369</v>
      </c>
      <c r="C15834" s="34" t="s">
        <v>77</v>
      </c>
      <c r="E15834" s="30" t="s">
        <v>29370</v>
      </c>
      <c r="F15834" s="34" t="n">
        <f aca="false">IFERROR(VLOOKUP($A15834,'319'!$B:$H,7,0),0)</f>
        <v>0</v>
      </c>
      <c r="G15834" s="34" t="n">
        <f aca="false">SUMIFS('12.326ana'!$C:$C,'12.326ana'!$M:$M,redes!A15834)</f>
        <v>0</v>
      </c>
    </row>
    <row r="15835" customFormat="false" ht="14.4" hidden="true" customHeight="false" outlineLevel="0" collapsed="false">
      <c r="A15835" s="34" t="n">
        <v>27774474000147</v>
      </c>
      <c r="B15835" s="34" t="s">
        <v>29371</v>
      </c>
      <c r="C15835" s="34" t="s">
        <v>77</v>
      </c>
      <c r="E15835" s="30" t="s">
        <v>29372</v>
      </c>
      <c r="F15835" s="34" t="n">
        <f aca="false">IFERROR(VLOOKUP($A15835,'319'!$B:$H,7,0),0)</f>
        <v>0</v>
      </c>
      <c r="G15835" s="34" t="n">
        <f aca="false">SUMIFS('12.326ana'!$C:$C,'12.326ana'!$M:$M,redes!A15835)</f>
        <v>0</v>
      </c>
    </row>
    <row r="15836" customFormat="false" ht="14.4" hidden="true" customHeight="false" outlineLevel="0" collapsed="false">
      <c r="A15836" s="34" t="n">
        <v>27774673000155</v>
      </c>
      <c r="B15836" s="34" t="s">
        <v>29373</v>
      </c>
      <c r="C15836" s="34" t="s">
        <v>994</v>
      </c>
      <c r="E15836" s="30" t="s">
        <v>29374</v>
      </c>
      <c r="F15836" s="34" t="n">
        <f aca="false">IFERROR(VLOOKUP($A15836,'319'!$B:$H,7,0),0)</f>
        <v>160.85</v>
      </c>
      <c r="G15836" s="34" t="n">
        <f aca="false">SUMIFS('12.326ana'!$C:$C,'12.326ana'!$M:$M,redes!A15836)</f>
        <v>0</v>
      </c>
    </row>
    <row r="15837" customFormat="false" ht="14.4" hidden="true" customHeight="false" outlineLevel="0" collapsed="false">
      <c r="A15837" s="34" t="n">
        <v>27775635000117</v>
      </c>
      <c r="B15837" s="34" t="s">
        <v>29375</v>
      </c>
      <c r="C15837" s="34" t="s">
        <v>107</v>
      </c>
      <c r="E15837" s="30" t="s">
        <v>29376</v>
      </c>
      <c r="F15837" s="34" t="n">
        <f aca="false">IFERROR(VLOOKUP($A15837,'319'!$B:$H,7,0),0)</f>
        <v>0</v>
      </c>
      <c r="G15837" s="34" t="n">
        <f aca="false">SUMIFS('12.326ana'!$C:$C,'12.326ana'!$M:$M,redes!A15837)</f>
        <v>0</v>
      </c>
    </row>
    <row r="15838" customFormat="false" ht="14.4" hidden="true" customHeight="false" outlineLevel="0" collapsed="false">
      <c r="A15838" s="34" t="n">
        <v>27781674000127</v>
      </c>
      <c r="B15838" s="34" t="s">
        <v>29377</v>
      </c>
      <c r="C15838" s="34" t="s">
        <v>77</v>
      </c>
      <c r="E15838" s="30" t="s">
        <v>29378</v>
      </c>
      <c r="F15838" s="34" t="n">
        <f aca="false">IFERROR(VLOOKUP($A15838,'319'!$B:$H,7,0),0)</f>
        <v>0</v>
      </c>
      <c r="G15838" s="34" t="n">
        <f aca="false">SUMIFS('12.326ana'!$C:$C,'12.326ana'!$M:$M,redes!A15838)</f>
        <v>0</v>
      </c>
    </row>
    <row r="15839" customFormat="false" ht="14.4" hidden="true" customHeight="false" outlineLevel="0" collapsed="false">
      <c r="A15839" s="34" t="n">
        <v>27784281000177</v>
      </c>
      <c r="B15839" s="34" t="s">
        <v>29379</v>
      </c>
      <c r="C15839" s="34" t="s">
        <v>77</v>
      </c>
      <c r="E15839" s="30" t="s">
        <v>29380</v>
      </c>
      <c r="F15839" s="34" t="n">
        <f aca="false">IFERROR(VLOOKUP($A15839,'319'!$B:$H,7,0),0)</f>
        <v>0</v>
      </c>
      <c r="G15839" s="34" t="n">
        <f aca="false">SUMIFS('12.326ana'!$C:$C,'12.326ana'!$M:$M,redes!A15839)</f>
        <v>0</v>
      </c>
    </row>
    <row r="15840" customFormat="false" ht="14.4" hidden="true" customHeight="false" outlineLevel="0" collapsed="false">
      <c r="A15840" s="34" t="n">
        <v>27792635000125</v>
      </c>
      <c r="B15840" s="34" t="s">
        <v>29381</v>
      </c>
      <c r="C15840" s="34" t="s">
        <v>197</v>
      </c>
      <c r="E15840" s="30" t="s">
        <v>29110</v>
      </c>
      <c r="F15840" s="34" t="n">
        <f aca="false">IFERROR(VLOOKUP($A15840,'319'!$B:$H,7,0),0)</f>
        <v>0</v>
      </c>
      <c r="G15840" s="34" t="n">
        <f aca="false">SUMIFS('12.326ana'!$C:$C,'12.326ana'!$M:$M,redes!A15840)</f>
        <v>0</v>
      </c>
    </row>
    <row r="15841" customFormat="false" ht="14.4" hidden="true" customHeight="false" outlineLevel="0" collapsed="false">
      <c r="A15841" s="34" t="n">
        <v>27806981000115</v>
      </c>
      <c r="B15841" s="34" t="s">
        <v>29382</v>
      </c>
      <c r="C15841" s="34" t="s">
        <v>77</v>
      </c>
      <c r="E15841" s="30" t="s">
        <v>29383</v>
      </c>
      <c r="F15841" s="34" t="n">
        <f aca="false">IFERROR(VLOOKUP($A15841,'319'!$B:$H,7,0),0)</f>
        <v>0</v>
      </c>
      <c r="G15841" s="34" t="n">
        <f aca="false">SUMIFS('12.326ana'!$C:$C,'12.326ana'!$M:$M,redes!A15841)</f>
        <v>0</v>
      </c>
    </row>
    <row r="15842" customFormat="false" ht="14.4" hidden="true" customHeight="false" outlineLevel="0" collapsed="false">
      <c r="A15842" s="34" t="n">
        <v>27806989000181</v>
      </c>
      <c r="B15842" s="34" t="s">
        <v>29384</v>
      </c>
      <c r="C15842" s="34" t="s">
        <v>77</v>
      </c>
      <c r="E15842" s="30" t="s">
        <v>29385</v>
      </c>
      <c r="F15842" s="34" t="n">
        <f aca="false">IFERROR(VLOOKUP($A15842,'319'!$B:$H,7,0),0)</f>
        <v>0</v>
      </c>
      <c r="G15842" s="34" t="n">
        <f aca="false">SUMIFS('12.326ana'!$C:$C,'12.326ana'!$M:$M,redes!A15842)</f>
        <v>0</v>
      </c>
    </row>
    <row r="15843" customFormat="false" ht="14.4" hidden="true" customHeight="false" outlineLevel="0" collapsed="false">
      <c r="A15843" s="34" t="n">
        <v>27810205000199</v>
      </c>
      <c r="B15843" s="34" t="s">
        <v>29386</v>
      </c>
      <c r="C15843" s="34" t="s">
        <v>197</v>
      </c>
      <c r="E15843" s="30" t="s">
        <v>29387</v>
      </c>
      <c r="F15843" s="34" t="n">
        <f aca="false">IFERROR(VLOOKUP($A15843,'319'!$B:$H,7,0),0)</f>
        <v>0</v>
      </c>
      <c r="G15843" s="34" t="n">
        <f aca="false">SUMIFS('12.326ana'!$C:$C,'12.326ana'!$M:$M,redes!A15843)</f>
        <v>0</v>
      </c>
    </row>
    <row r="15844" customFormat="false" ht="14.4" hidden="true" customHeight="false" outlineLevel="0" collapsed="false">
      <c r="A15844" s="34" t="n">
        <v>27818773000136</v>
      </c>
      <c r="B15844" s="34" t="s">
        <v>29388</v>
      </c>
      <c r="C15844" s="34" t="s">
        <v>77</v>
      </c>
      <c r="E15844" s="30"/>
      <c r="F15844" s="34" t="n">
        <f aca="false">IFERROR(VLOOKUP($A15844,'319'!$B:$H,7,0),0)</f>
        <v>0</v>
      </c>
      <c r="G15844" s="34" t="n">
        <f aca="false">SUMIFS('12.326ana'!$C:$C,'12.326ana'!$M:$M,redes!A15844)</f>
        <v>0</v>
      </c>
    </row>
    <row r="15845" customFormat="false" ht="14.4" hidden="true" customHeight="false" outlineLevel="0" collapsed="false">
      <c r="A15845" s="34" t="n">
        <v>27818957000104</v>
      </c>
      <c r="B15845" s="34" t="s">
        <v>29389</v>
      </c>
      <c r="C15845" s="34" t="s">
        <v>77</v>
      </c>
      <c r="E15845" s="30" t="s">
        <v>29390</v>
      </c>
      <c r="F15845" s="34" t="n">
        <f aca="false">IFERROR(VLOOKUP($A15845,'319'!$B:$H,7,0),0)</f>
        <v>0</v>
      </c>
      <c r="G15845" s="34" t="n">
        <f aca="false">SUMIFS('12.326ana'!$C:$C,'12.326ana'!$M:$M,redes!A15845)</f>
        <v>0</v>
      </c>
    </row>
    <row r="15846" customFormat="false" ht="14.4" hidden="true" customHeight="false" outlineLevel="0" collapsed="false">
      <c r="A15846" s="34" t="n">
        <v>27819144000120</v>
      </c>
      <c r="B15846" s="34" t="s">
        <v>29391</v>
      </c>
      <c r="C15846" s="34" t="s">
        <v>77</v>
      </c>
      <c r="E15846" s="30" t="s">
        <v>29392</v>
      </c>
      <c r="F15846" s="34" t="n">
        <f aca="false">IFERROR(VLOOKUP($A15846,'319'!$B:$H,7,0),0)</f>
        <v>0</v>
      </c>
      <c r="G15846" s="34" t="n">
        <f aca="false">SUMIFS('12.326ana'!$C:$C,'12.326ana'!$M:$M,redes!A15846)</f>
        <v>0</v>
      </c>
    </row>
    <row r="15847" customFormat="false" ht="14.4" hidden="true" customHeight="false" outlineLevel="0" collapsed="false">
      <c r="A15847" s="34" t="n">
        <v>27836383000199</v>
      </c>
      <c r="B15847" s="34" t="s">
        <v>29393</v>
      </c>
      <c r="C15847" s="34" t="s">
        <v>89</v>
      </c>
      <c r="E15847" s="30" t="s">
        <v>29394</v>
      </c>
      <c r="F15847" s="34" t="n">
        <f aca="false">IFERROR(VLOOKUP($A15847,'319'!$B:$H,7,0),0)</f>
        <v>0</v>
      </c>
      <c r="G15847" s="34" t="n">
        <f aca="false">SUMIFS('12.326ana'!$C:$C,'12.326ana'!$M:$M,redes!A15847)</f>
        <v>0</v>
      </c>
    </row>
    <row r="15848" customFormat="false" ht="14.4" hidden="true" customHeight="false" outlineLevel="0" collapsed="false">
      <c r="A15848" s="34" t="n">
        <v>27837493000175</v>
      </c>
      <c r="B15848" s="34" t="s">
        <v>29395</v>
      </c>
      <c r="C15848" s="34" t="s">
        <v>139</v>
      </c>
      <c r="E15848" s="30" t="s">
        <v>29396</v>
      </c>
      <c r="F15848" s="34" t="n">
        <f aca="false">IFERROR(VLOOKUP($A15848,'319'!$B:$H,7,0),0)</f>
        <v>0</v>
      </c>
      <c r="G15848" s="34" t="n">
        <f aca="false">SUMIFS('12.326ana'!$C:$C,'12.326ana'!$M:$M,redes!A15848)</f>
        <v>0</v>
      </c>
    </row>
    <row r="15849" customFormat="false" ht="14.4" hidden="true" customHeight="false" outlineLevel="0" collapsed="false">
      <c r="A15849" s="34" t="n">
        <v>27843154000100</v>
      </c>
      <c r="B15849" s="34" t="s">
        <v>29397</v>
      </c>
      <c r="C15849" s="34" t="s">
        <v>89</v>
      </c>
      <c r="E15849" s="30" t="s">
        <v>29398</v>
      </c>
      <c r="F15849" s="34" t="n">
        <f aca="false">IFERROR(VLOOKUP($A15849,'319'!$B:$H,7,0),0)</f>
        <v>0</v>
      </c>
      <c r="G15849" s="34" t="n">
        <f aca="false">SUMIFS('12.326ana'!$C:$C,'12.326ana'!$M:$M,redes!A15849)</f>
        <v>0</v>
      </c>
    </row>
    <row r="15850" customFormat="false" ht="14.4" hidden="true" customHeight="false" outlineLevel="0" collapsed="false">
      <c r="A15850" s="34" t="n">
        <v>27847924000184</v>
      </c>
      <c r="B15850" s="34" t="s">
        <v>29399</v>
      </c>
      <c r="C15850" s="34" t="s">
        <v>764</v>
      </c>
      <c r="E15850" s="30" t="s">
        <v>29400</v>
      </c>
      <c r="F15850" s="34" t="n">
        <f aca="false">IFERROR(VLOOKUP($A15850,'319'!$B:$H,7,0),0)</f>
        <v>0</v>
      </c>
      <c r="G15850" s="34" t="n">
        <f aca="false">SUMIFS('12.326ana'!$C:$C,'12.326ana'!$M:$M,redes!A15850)</f>
        <v>0</v>
      </c>
    </row>
    <row r="15851" customFormat="false" ht="14.4" hidden="true" customHeight="false" outlineLevel="0" collapsed="false">
      <c r="A15851" s="34" t="n">
        <v>27858753000199</v>
      </c>
      <c r="B15851" s="34" t="s">
        <v>29401</v>
      </c>
      <c r="C15851" s="34" t="s">
        <v>77</v>
      </c>
      <c r="E15851" s="30" t="s">
        <v>29402</v>
      </c>
      <c r="F15851" s="34" t="n">
        <f aca="false">IFERROR(VLOOKUP($A15851,'319'!$B:$H,7,0),0)</f>
        <v>0</v>
      </c>
      <c r="G15851" s="34" t="n">
        <f aca="false">SUMIFS('12.326ana'!$C:$C,'12.326ana'!$M:$M,redes!A15851)</f>
        <v>0</v>
      </c>
    </row>
    <row r="15852" customFormat="false" ht="14.4" hidden="true" customHeight="false" outlineLevel="0" collapsed="false">
      <c r="A15852" s="34" t="n">
        <v>27861696000105</v>
      </c>
      <c r="B15852" s="34" t="s">
        <v>29403</v>
      </c>
      <c r="C15852" s="34" t="s">
        <v>680</v>
      </c>
      <c r="E15852" s="30" t="s">
        <v>29404</v>
      </c>
      <c r="F15852" s="34" t="n">
        <f aca="false">IFERROR(VLOOKUP($A15852,'319'!$B:$H,7,0),0)</f>
        <v>0</v>
      </c>
      <c r="G15852" s="34" t="n">
        <f aca="false">SUMIFS('12.326ana'!$C:$C,'12.326ana'!$M:$M,redes!A15852)</f>
        <v>0</v>
      </c>
    </row>
    <row r="15853" customFormat="false" ht="14.4" hidden="true" customHeight="false" outlineLevel="0" collapsed="false">
      <c r="A15853" s="34" t="n">
        <v>27870029000180</v>
      </c>
      <c r="B15853" s="34" t="s">
        <v>29405</v>
      </c>
      <c r="C15853" s="34" t="s">
        <v>77</v>
      </c>
      <c r="E15853" s="30" t="s">
        <v>3927</v>
      </c>
      <c r="F15853" s="34" t="n">
        <f aca="false">IFERROR(VLOOKUP($A15853,'319'!$B:$H,7,0),0)</f>
        <v>0</v>
      </c>
      <c r="G15853" s="34" t="n">
        <f aca="false">SUMIFS('12.326ana'!$C:$C,'12.326ana'!$M:$M,redes!A15853)</f>
        <v>0</v>
      </c>
    </row>
    <row r="15854" customFormat="false" ht="14.4" hidden="true" customHeight="false" outlineLevel="0" collapsed="false">
      <c r="A15854" s="34" t="n">
        <v>27879668000107</v>
      </c>
      <c r="B15854" s="34" t="s">
        <v>29406</v>
      </c>
      <c r="C15854" s="34" t="s">
        <v>357</v>
      </c>
      <c r="E15854" s="30" t="s">
        <v>29407</v>
      </c>
      <c r="F15854" s="34" t="n">
        <f aca="false">IFERROR(VLOOKUP($A15854,'319'!$B:$H,7,0),0)</f>
        <v>0</v>
      </c>
      <c r="G15854" s="34" t="n">
        <f aca="false">SUMIFS('12.326ana'!$C:$C,'12.326ana'!$M:$M,redes!A15854)</f>
        <v>0</v>
      </c>
    </row>
    <row r="15855" customFormat="false" ht="14.4" hidden="true" customHeight="false" outlineLevel="0" collapsed="false">
      <c r="A15855" s="34" t="n">
        <v>27883851000186</v>
      </c>
      <c r="B15855" s="34" t="s">
        <v>29408</v>
      </c>
      <c r="C15855" s="34" t="s">
        <v>77</v>
      </c>
      <c r="E15855" s="30" t="s">
        <v>29409</v>
      </c>
      <c r="F15855" s="34" t="n">
        <f aca="false">IFERROR(VLOOKUP($A15855,'319'!$B:$H,7,0),0)</f>
        <v>0</v>
      </c>
      <c r="G15855" s="34" t="n">
        <f aca="false">SUMIFS('12.326ana'!$C:$C,'12.326ana'!$M:$M,redes!A15855)</f>
        <v>0</v>
      </c>
    </row>
    <row r="15856" customFormat="false" ht="14.4" hidden="true" customHeight="false" outlineLevel="0" collapsed="false">
      <c r="A15856" s="34" t="n">
        <v>27900143000106</v>
      </c>
      <c r="B15856" s="34" t="s">
        <v>29410</v>
      </c>
      <c r="C15856" s="34" t="s">
        <v>77</v>
      </c>
      <c r="E15856" s="30" t="s">
        <v>29411</v>
      </c>
      <c r="F15856" s="34" t="n">
        <f aca="false">IFERROR(VLOOKUP($A15856,'319'!$B:$H,7,0),0)</f>
        <v>0</v>
      </c>
      <c r="G15856" s="34" t="n">
        <f aca="false">SUMIFS('12.326ana'!$C:$C,'12.326ana'!$M:$M,redes!A15856)</f>
        <v>0</v>
      </c>
    </row>
    <row r="15857" customFormat="false" ht="14.4" hidden="true" customHeight="false" outlineLevel="0" collapsed="false">
      <c r="A15857" s="34" t="n">
        <v>27911218000154</v>
      </c>
      <c r="B15857" s="34" t="s">
        <v>29412</v>
      </c>
      <c r="C15857" s="34" t="s">
        <v>77</v>
      </c>
      <c r="E15857" s="30" t="s">
        <v>29413</v>
      </c>
      <c r="F15857" s="34" t="n">
        <f aca="false">IFERROR(VLOOKUP($A15857,'319'!$B:$H,7,0),0)</f>
        <v>0</v>
      </c>
      <c r="G15857" s="34" t="n">
        <f aca="false">SUMIFS('12.326ana'!$C:$C,'12.326ana'!$M:$M,redes!A15857)</f>
        <v>0</v>
      </c>
    </row>
    <row r="15858" customFormat="false" ht="14.4" hidden="true" customHeight="false" outlineLevel="0" collapsed="false">
      <c r="A15858" s="34" t="n">
        <v>27919581000116</v>
      </c>
      <c r="B15858" s="34" t="s">
        <v>29414</v>
      </c>
      <c r="C15858" s="34" t="s">
        <v>994</v>
      </c>
      <c r="E15858" s="30" t="s">
        <v>3066</v>
      </c>
      <c r="F15858" s="34" t="n">
        <f aca="false">IFERROR(VLOOKUP($A15858,'319'!$B:$H,7,0),0)</f>
        <v>0</v>
      </c>
      <c r="G15858" s="34" t="n">
        <f aca="false">SUMIFS('12.326ana'!$C:$C,'12.326ana'!$M:$M,redes!A15858)</f>
        <v>0</v>
      </c>
    </row>
    <row r="15859" customFormat="false" ht="14.4" hidden="true" customHeight="false" outlineLevel="0" collapsed="false">
      <c r="A15859" s="34" t="n">
        <v>27920435000100</v>
      </c>
      <c r="B15859" s="34" t="s">
        <v>29415</v>
      </c>
      <c r="C15859" s="34" t="s">
        <v>77</v>
      </c>
      <c r="E15859" s="30" t="s">
        <v>3096</v>
      </c>
      <c r="F15859" s="34" t="n">
        <f aca="false">IFERROR(VLOOKUP($A15859,'319'!$B:$H,7,0),0)</f>
        <v>0</v>
      </c>
      <c r="G15859" s="34" t="n">
        <f aca="false">SUMIFS('12.326ana'!$C:$C,'12.326ana'!$M:$M,redes!A15859)</f>
        <v>0</v>
      </c>
    </row>
    <row r="15860" customFormat="false" ht="14.4" hidden="true" customHeight="false" outlineLevel="0" collapsed="false">
      <c r="A15860" s="34" t="n">
        <v>27922955000152</v>
      </c>
      <c r="B15860" s="34" t="s">
        <v>29416</v>
      </c>
      <c r="C15860" s="34" t="s">
        <v>475</v>
      </c>
      <c r="E15860" s="30" t="s">
        <v>29417</v>
      </c>
      <c r="F15860" s="34" t="n">
        <f aca="false">IFERROR(VLOOKUP($A15860,'319'!$B:$H,7,0),0)</f>
        <v>0</v>
      </c>
      <c r="G15860" s="34" t="n">
        <f aca="false">SUMIFS('12.326ana'!$C:$C,'12.326ana'!$M:$M,redes!A15860)</f>
        <v>0</v>
      </c>
    </row>
    <row r="15861" customFormat="false" ht="14.4" hidden="true" customHeight="false" outlineLevel="0" collapsed="false">
      <c r="A15861" s="34" t="n">
        <v>27946690000122</v>
      </c>
      <c r="B15861" s="34" t="s">
        <v>29418</v>
      </c>
      <c r="C15861" s="34" t="s">
        <v>77</v>
      </c>
      <c r="E15861" s="30" t="s">
        <v>29419</v>
      </c>
      <c r="F15861" s="34" t="n">
        <f aca="false">IFERROR(VLOOKUP($A15861,'319'!$B:$H,7,0),0)</f>
        <v>0</v>
      </c>
      <c r="G15861" s="34" t="n">
        <f aca="false">SUMIFS('12.326ana'!$C:$C,'12.326ana'!$M:$M,redes!A15861)</f>
        <v>0</v>
      </c>
    </row>
    <row r="15862" customFormat="false" ht="14.4" hidden="true" customHeight="false" outlineLevel="0" collapsed="false">
      <c r="A15862" s="34" t="n">
        <v>27966218000151</v>
      </c>
      <c r="B15862" s="34" t="s">
        <v>29420</v>
      </c>
      <c r="C15862" s="34" t="s">
        <v>299</v>
      </c>
      <c r="E15862" s="30" t="s">
        <v>9100</v>
      </c>
      <c r="F15862" s="34" t="n">
        <f aca="false">IFERROR(VLOOKUP($A15862,'319'!$B:$H,7,0),0)</f>
        <v>0</v>
      </c>
      <c r="G15862" s="34" t="n">
        <f aca="false">SUMIFS('12.326ana'!$C:$C,'12.326ana'!$M:$M,redes!A15862)</f>
        <v>0</v>
      </c>
    </row>
    <row r="15863" customFormat="false" ht="14.4" hidden="true" customHeight="false" outlineLevel="0" collapsed="false">
      <c r="A15863" s="34" t="n">
        <v>27978976000190</v>
      </c>
      <c r="B15863" s="34" t="s">
        <v>790</v>
      </c>
      <c r="C15863" s="34" t="s">
        <v>103</v>
      </c>
      <c r="E15863" s="30" t="s">
        <v>6944</v>
      </c>
      <c r="F15863" s="34" t="n">
        <f aca="false">IFERROR(VLOOKUP($A15863,'319'!$B:$H,7,0),0)</f>
        <v>3012.32</v>
      </c>
      <c r="G15863" s="34" t="n">
        <f aca="false">SUMIFS('12.326ana'!$C:$C,'12.326ana'!$M:$M,redes!A15863)</f>
        <v>0</v>
      </c>
    </row>
    <row r="15864" customFormat="false" ht="14.4" hidden="true" customHeight="false" outlineLevel="0" collapsed="false">
      <c r="A15864" s="34" t="n">
        <v>27979940000120</v>
      </c>
      <c r="B15864" s="34" t="s">
        <v>29421</v>
      </c>
      <c r="C15864" s="34" t="s">
        <v>207</v>
      </c>
      <c r="E15864" s="30" t="s">
        <v>9919</v>
      </c>
      <c r="F15864" s="34" t="n">
        <f aca="false">IFERROR(VLOOKUP($A15864,'319'!$B:$H,7,0),0)</f>
        <v>0</v>
      </c>
      <c r="G15864" s="34" t="n">
        <f aca="false">SUMIFS('12.326ana'!$C:$C,'12.326ana'!$M:$M,redes!A15864)</f>
        <v>0</v>
      </c>
    </row>
    <row r="15865" customFormat="false" ht="14.4" hidden="true" customHeight="false" outlineLevel="0" collapsed="false">
      <c r="A15865" s="34" t="n">
        <v>27983632000179</v>
      </c>
      <c r="B15865" s="34" t="s">
        <v>29422</v>
      </c>
      <c r="C15865" s="34" t="s">
        <v>357</v>
      </c>
      <c r="E15865" s="30" t="s">
        <v>29423</v>
      </c>
      <c r="F15865" s="34" t="n">
        <f aca="false">IFERROR(VLOOKUP($A15865,'319'!$B:$H,7,0),0)</f>
        <v>0</v>
      </c>
      <c r="G15865" s="34" t="n">
        <f aca="false">SUMIFS('12.326ana'!$C:$C,'12.326ana'!$M:$M,redes!A15865)</f>
        <v>0</v>
      </c>
    </row>
    <row r="15866" customFormat="false" ht="14.4" hidden="true" customHeight="false" outlineLevel="0" collapsed="false">
      <c r="A15866" s="34" t="n">
        <v>27986889000184</v>
      </c>
      <c r="B15866" s="34" t="s">
        <v>29424</v>
      </c>
      <c r="C15866" s="34" t="s">
        <v>954</v>
      </c>
      <c r="E15866" s="30" t="s">
        <v>29425</v>
      </c>
      <c r="F15866" s="34" t="n">
        <f aca="false">IFERROR(VLOOKUP($A15866,'319'!$B:$H,7,0),0)</f>
        <v>0</v>
      </c>
      <c r="G15866" s="34" t="n">
        <f aca="false">SUMIFS('12.326ana'!$C:$C,'12.326ana'!$M:$M,redes!A15866)</f>
        <v>0</v>
      </c>
    </row>
    <row r="15867" customFormat="false" ht="14.4" hidden="true" customHeight="false" outlineLevel="0" collapsed="false">
      <c r="A15867" s="34" t="n">
        <v>27994586000103</v>
      </c>
      <c r="B15867" s="34" t="s">
        <v>29426</v>
      </c>
      <c r="C15867" s="34" t="s">
        <v>1272</v>
      </c>
      <c r="E15867" s="30" t="s">
        <v>29427</v>
      </c>
      <c r="F15867" s="34" t="n">
        <f aca="false">IFERROR(VLOOKUP($A15867,'319'!$B:$H,7,0),0)</f>
        <v>0</v>
      </c>
      <c r="G15867" s="34" t="n">
        <f aca="false">SUMIFS('12.326ana'!$C:$C,'12.326ana'!$M:$M,redes!A15867)</f>
        <v>0</v>
      </c>
    </row>
    <row r="15868" customFormat="false" ht="14.4" hidden="true" customHeight="false" outlineLevel="0" collapsed="false">
      <c r="A15868" s="34" t="n">
        <v>27997918000294</v>
      </c>
      <c r="B15868" s="34" t="s">
        <v>29428</v>
      </c>
      <c r="C15868" s="34" t="s">
        <v>89</v>
      </c>
      <c r="E15868" s="30" t="s">
        <v>29429</v>
      </c>
      <c r="F15868" s="34" t="n">
        <f aca="false">IFERROR(VLOOKUP($A15868,'319'!$B:$H,7,0),0)</f>
        <v>0</v>
      </c>
      <c r="G15868" s="34" t="n">
        <f aca="false">SUMIFS('12.326ana'!$C:$C,'12.326ana'!$M:$M,redes!A15868)</f>
        <v>0</v>
      </c>
    </row>
    <row r="15869" customFormat="false" ht="14.4" hidden="true" customHeight="false" outlineLevel="0" collapsed="false">
      <c r="A15869" s="34" t="n">
        <v>28004728000100</v>
      </c>
      <c r="B15869" s="34" t="s">
        <v>29430</v>
      </c>
      <c r="C15869" s="34" t="s">
        <v>77</v>
      </c>
      <c r="E15869" s="30" t="s">
        <v>29431</v>
      </c>
      <c r="F15869" s="34" t="n">
        <f aca="false">IFERROR(VLOOKUP($A15869,'319'!$B:$H,7,0),0)</f>
        <v>0</v>
      </c>
      <c r="G15869" s="34" t="n">
        <f aca="false">SUMIFS('12.326ana'!$C:$C,'12.326ana'!$M:$M,redes!A15869)</f>
        <v>0</v>
      </c>
    </row>
    <row r="15870" customFormat="false" ht="14.4" hidden="true" customHeight="false" outlineLevel="0" collapsed="false">
      <c r="A15870" s="34" t="n">
        <v>28017269000108</v>
      </c>
      <c r="B15870" s="34" t="s">
        <v>29432</v>
      </c>
      <c r="C15870" s="34" t="s">
        <v>77</v>
      </c>
      <c r="E15870" s="30" t="s">
        <v>29433</v>
      </c>
      <c r="F15870" s="34" t="n">
        <f aca="false">IFERROR(VLOOKUP($A15870,'319'!$B:$H,7,0),0)</f>
        <v>0</v>
      </c>
      <c r="G15870" s="34" t="n">
        <f aca="false">SUMIFS('12.326ana'!$C:$C,'12.326ana'!$M:$M,redes!A15870)</f>
        <v>0</v>
      </c>
    </row>
    <row r="15871" customFormat="false" ht="14.4" hidden="true" customHeight="false" outlineLevel="0" collapsed="false">
      <c r="A15871" s="34" t="n">
        <v>28023411000111</v>
      </c>
      <c r="B15871" s="34" t="s">
        <v>29434</v>
      </c>
      <c r="C15871" s="34" t="s">
        <v>117</v>
      </c>
      <c r="E15871" s="30" t="s">
        <v>27826</v>
      </c>
      <c r="F15871" s="34" t="n">
        <f aca="false">IFERROR(VLOOKUP($A15871,'319'!$B:$H,7,0),0)</f>
        <v>0</v>
      </c>
      <c r="G15871" s="34" t="n">
        <f aca="false">SUMIFS('12.326ana'!$C:$C,'12.326ana'!$M:$M,redes!A15871)</f>
        <v>0</v>
      </c>
    </row>
    <row r="15872" customFormat="false" ht="14.4" hidden="true" customHeight="false" outlineLevel="0" collapsed="false">
      <c r="A15872" s="34" t="n">
        <v>28024910000123</v>
      </c>
      <c r="B15872" s="34" t="s">
        <v>29435</v>
      </c>
      <c r="C15872" s="34" t="s">
        <v>77</v>
      </c>
      <c r="E15872" s="30" t="s">
        <v>3866</v>
      </c>
      <c r="F15872" s="34" t="n">
        <f aca="false">IFERROR(VLOOKUP($A15872,'319'!$B:$H,7,0),0)</f>
        <v>0</v>
      </c>
      <c r="G15872" s="34" t="n">
        <f aca="false">SUMIFS('12.326ana'!$C:$C,'12.326ana'!$M:$M,redes!A15872)</f>
        <v>0</v>
      </c>
    </row>
    <row r="15873" customFormat="false" ht="14.4" hidden="true" customHeight="false" outlineLevel="0" collapsed="false">
      <c r="A15873" s="34" t="n">
        <v>28036748000163</v>
      </c>
      <c r="B15873" s="34" t="s">
        <v>29436</v>
      </c>
      <c r="C15873" s="34" t="s">
        <v>7250</v>
      </c>
      <c r="E15873" s="30" t="s">
        <v>29437</v>
      </c>
      <c r="F15873" s="34" t="n">
        <f aca="false">IFERROR(VLOOKUP($A15873,'319'!$B:$H,7,0),0)</f>
        <v>0</v>
      </c>
      <c r="G15873" s="34" t="n">
        <f aca="false">SUMIFS('12.326ana'!$C:$C,'12.326ana'!$M:$M,redes!A15873)</f>
        <v>0</v>
      </c>
    </row>
    <row r="15874" customFormat="false" ht="14.4" hidden="true" customHeight="false" outlineLevel="0" collapsed="false">
      <c r="A15874" s="34" t="n">
        <v>28037623000158</v>
      </c>
      <c r="B15874" s="34" t="s">
        <v>29438</v>
      </c>
      <c r="C15874" s="34" t="s">
        <v>129</v>
      </c>
      <c r="E15874" s="30" t="s">
        <v>29439</v>
      </c>
      <c r="F15874" s="34" t="n">
        <f aca="false">IFERROR(VLOOKUP($A15874,'319'!$B:$H,7,0),0)</f>
        <v>0</v>
      </c>
      <c r="G15874" s="34" t="n">
        <f aca="false">SUMIFS('12.326ana'!$C:$C,'12.326ana'!$M:$M,redes!A15874)</f>
        <v>0</v>
      </c>
    </row>
    <row r="15875" customFormat="false" ht="14.4" hidden="true" customHeight="false" outlineLevel="0" collapsed="false">
      <c r="A15875" s="34" t="n">
        <v>28043171000117</v>
      </c>
      <c r="B15875" s="34" t="s">
        <v>29440</v>
      </c>
      <c r="C15875" s="34" t="s">
        <v>129</v>
      </c>
      <c r="E15875" s="30" t="s">
        <v>3337</v>
      </c>
      <c r="F15875" s="34" t="n">
        <f aca="false">IFERROR(VLOOKUP($A15875,'319'!$B:$H,7,0),0)</f>
        <v>0</v>
      </c>
      <c r="G15875" s="34" t="n">
        <f aca="false">SUMIFS('12.326ana'!$C:$C,'12.326ana'!$M:$M,redes!A15875)</f>
        <v>0</v>
      </c>
    </row>
    <row r="15876" customFormat="false" ht="14.4" hidden="true" customHeight="false" outlineLevel="0" collapsed="false">
      <c r="A15876" s="34" t="n">
        <v>28053619001660</v>
      </c>
      <c r="B15876" s="34" t="s">
        <v>29441</v>
      </c>
      <c r="C15876" s="34" t="s">
        <v>12327</v>
      </c>
      <c r="E15876" s="30" t="s">
        <v>29441</v>
      </c>
      <c r="F15876" s="34" t="n">
        <f aca="false">IFERROR(VLOOKUP($A15876,'319'!$B:$H,7,0),0)</f>
        <v>0</v>
      </c>
      <c r="G15876" s="34" t="n">
        <f aca="false">SUMIFS('12.326ana'!$C:$C,'12.326ana'!$M:$M,redes!A15876)</f>
        <v>0</v>
      </c>
    </row>
    <row r="15877" customFormat="false" ht="14.4" hidden="true" customHeight="false" outlineLevel="0" collapsed="false">
      <c r="A15877" s="34" t="n">
        <v>28053702000152</v>
      </c>
      <c r="B15877" s="34" t="s">
        <v>29442</v>
      </c>
      <c r="C15877" s="34" t="s">
        <v>117</v>
      </c>
      <c r="E15877" s="30" t="s">
        <v>4309</v>
      </c>
      <c r="F15877" s="34" t="n">
        <f aca="false">IFERROR(VLOOKUP($A15877,'319'!$B:$H,7,0),0)</f>
        <v>0</v>
      </c>
      <c r="G15877" s="34" t="n">
        <f aca="false">SUMIFS('12.326ana'!$C:$C,'12.326ana'!$M:$M,redes!A15877)</f>
        <v>0</v>
      </c>
    </row>
    <row r="15878" customFormat="false" ht="14.4" hidden="true" customHeight="false" outlineLevel="0" collapsed="false">
      <c r="A15878" s="34" t="n">
        <v>28057054000102</v>
      </c>
      <c r="B15878" s="34" t="s">
        <v>29443</v>
      </c>
      <c r="C15878" s="34" t="s">
        <v>448</v>
      </c>
      <c r="E15878" s="30" t="s">
        <v>29444</v>
      </c>
      <c r="F15878" s="34" t="n">
        <f aca="false">IFERROR(VLOOKUP($A15878,'319'!$B:$H,7,0),0)</f>
        <v>0</v>
      </c>
      <c r="G15878" s="34" t="n">
        <f aca="false">SUMIFS('12.326ana'!$C:$C,'12.326ana'!$M:$M,redes!A15878)</f>
        <v>0</v>
      </c>
    </row>
    <row r="15879" customFormat="false" ht="14.4" hidden="true" customHeight="false" outlineLevel="0" collapsed="false">
      <c r="A15879" s="34" t="n">
        <v>28059620000115</v>
      </c>
      <c r="B15879" s="34" t="s">
        <v>29445</v>
      </c>
      <c r="C15879" s="34" t="s">
        <v>565</v>
      </c>
      <c r="E15879" s="30" t="s">
        <v>29446</v>
      </c>
      <c r="F15879" s="34" t="n">
        <f aca="false">IFERROR(VLOOKUP($A15879,'319'!$B:$H,7,0),0)</f>
        <v>0</v>
      </c>
      <c r="G15879" s="34" t="n">
        <f aca="false">SUMIFS('12.326ana'!$C:$C,'12.326ana'!$M:$M,redes!A15879)</f>
        <v>0</v>
      </c>
    </row>
    <row r="15880" customFormat="false" ht="14.4" hidden="true" customHeight="false" outlineLevel="0" collapsed="false">
      <c r="A15880" s="34" t="n">
        <v>28073397000160</v>
      </c>
      <c r="B15880" s="34" t="s">
        <v>10755</v>
      </c>
      <c r="C15880" s="34" t="s">
        <v>77</v>
      </c>
      <c r="E15880" s="30" t="s">
        <v>29447</v>
      </c>
      <c r="F15880" s="34" t="n">
        <f aca="false">IFERROR(VLOOKUP($A15880,'319'!$B:$H,7,0),0)</f>
        <v>0</v>
      </c>
      <c r="G15880" s="34" t="n">
        <f aca="false">SUMIFS('12.326ana'!$C:$C,'12.326ana'!$M:$M,redes!A15880)</f>
        <v>0</v>
      </c>
    </row>
    <row r="15881" customFormat="false" ht="14.4" hidden="true" customHeight="false" outlineLevel="0" collapsed="false">
      <c r="A15881" s="34" t="n">
        <v>28079251000122</v>
      </c>
      <c r="B15881" s="34" t="s">
        <v>29448</v>
      </c>
      <c r="C15881" s="34" t="s">
        <v>3594</v>
      </c>
      <c r="E15881" s="30" t="s">
        <v>29448</v>
      </c>
      <c r="F15881" s="34" t="n">
        <f aca="false">IFERROR(VLOOKUP($A15881,'319'!$B:$H,7,0),0)</f>
        <v>0</v>
      </c>
      <c r="G15881" s="34" t="n">
        <f aca="false">SUMIFS('12.326ana'!$C:$C,'12.326ana'!$M:$M,redes!A15881)</f>
        <v>0</v>
      </c>
    </row>
    <row r="15882" customFormat="false" ht="14.4" hidden="true" customHeight="false" outlineLevel="0" collapsed="false">
      <c r="A15882" s="34" t="n">
        <v>28087756000139</v>
      </c>
      <c r="B15882" s="34" t="s">
        <v>29449</v>
      </c>
      <c r="C15882" s="34" t="s">
        <v>107</v>
      </c>
      <c r="E15882" s="30" t="s">
        <v>29450</v>
      </c>
      <c r="F15882" s="34" t="n">
        <f aca="false">IFERROR(VLOOKUP($A15882,'319'!$B:$H,7,0),0)</f>
        <v>0</v>
      </c>
      <c r="G15882" s="34" t="n">
        <f aca="false">SUMIFS('12.326ana'!$C:$C,'12.326ana'!$M:$M,redes!A15882)</f>
        <v>0</v>
      </c>
    </row>
    <row r="15883" customFormat="false" ht="14.4" hidden="true" customHeight="false" outlineLevel="0" collapsed="false">
      <c r="A15883" s="34" t="n">
        <v>28091266000106</v>
      </c>
      <c r="B15883" s="34" t="s">
        <v>29451</v>
      </c>
      <c r="C15883" s="34" t="s">
        <v>77</v>
      </c>
      <c r="D15883" s="34" t="s">
        <v>15672</v>
      </c>
      <c r="E15883" s="30" t="s">
        <v>15676</v>
      </c>
      <c r="F15883" s="34" t="n">
        <f aca="false">IFERROR(VLOOKUP($A15883,'319'!$B:$H,7,0),0)</f>
        <v>0</v>
      </c>
      <c r="G15883" s="34" t="n">
        <f aca="false">SUMIFS('12.326ana'!$C:$C,'12.326ana'!$M:$M,redes!A15883)</f>
        <v>0</v>
      </c>
    </row>
    <row r="15884" customFormat="false" ht="14.4" hidden="true" customHeight="false" outlineLevel="0" collapsed="false">
      <c r="A15884" s="34" t="n">
        <v>28091266000297</v>
      </c>
      <c r="B15884" s="34" t="s">
        <v>29451</v>
      </c>
      <c r="C15884" s="34" t="s">
        <v>77</v>
      </c>
      <c r="D15884" s="34" t="s">
        <v>15672</v>
      </c>
      <c r="E15884" s="30" t="s">
        <v>15676</v>
      </c>
      <c r="F15884" s="34" t="n">
        <f aca="false">IFERROR(VLOOKUP($A15884,'319'!$B:$H,7,0),0)</f>
        <v>0</v>
      </c>
      <c r="G15884" s="34" t="n">
        <f aca="false">SUMIFS('12.326ana'!$C:$C,'12.326ana'!$M:$M,redes!A15884)</f>
        <v>0</v>
      </c>
    </row>
    <row r="15885" customFormat="false" ht="14.4" hidden="true" customHeight="false" outlineLevel="0" collapsed="false">
      <c r="A15885" s="34" t="n">
        <v>28109984000162</v>
      </c>
      <c r="B15885" s="34" t="s">
        <v>29452</v>
      </c>
      <c r="C15885" s="34" t="s">
        <v>77</v>
      </c>
      <c r="E15885" s="30" t="s">
        <v>29453</v>
      </c>
      <c r="F15885" s="34" t="n">
        <f aca="false">IFERROR(VLOOKUP($A15885,'319'!$B:$H,7,0),0)</f>
        <v>0</v>
      </c>
      <c r="G15885" s="34" t="n">
        <f aca="false">SUMIFS('12.326ana'!$C:$C,'12.326ana'!$M:$M,redes!A15885)</f>
        <v>0</v>
      </c>
    </row>
    <row r="15886" customFormat="false" ht="14.4" hidden="true" customHeight="false" outlineLevel="0" collapsed="false">
      <c r="A15886" s="34" t="n">
        <v>28109984000243</v>
      </c>
      <c r="B15886" s="34" t="s">
        <v>29454</v>
      </c>
      <c r="C15886" s="34" t="s">
        <v>77</v>
      </c>
      <c r="E15886" s="30" t="s">
        <v>29453</v>
      </c>
      <c r="F15886" s="34" t="n">
        <f aca="false">IFERROR(VLOOKUP($A15886,'319'!$B:$H,7,0),0)</f>
        <v>0</v>
      </c>
      <c r="G15886" s="34" t="n">
        <f aca="false">SUMIFS('12.326ana'!$C:$C,'12.326ana'!$M:$M,redes!A15886)</f>
        <v>0</v>
      </c>
    </row>
    <row r="15887" customFormat="false" ht="14.4" hidden="true" customHeight="false" outlineLevel="0" collapsed="false">
      <c r="A15887" s="34" t="n">
        <v>28110936000194</v>
      </c>
      <c r="B15887" s="34" t="s">
        <v>29455</v>
      </c>
      <c r="C15887" s="34" t="s">
        <v>197</v>
      </c>
      <c r="E15887" s="30" t="s">
        <v>27619</v>
      </c>
      <c r="F15887" s="34" t="n">
        <f aca="false">IFERROR(VLOOKUP($A15887,'319'!$B:$H,7,0),0)</f>
        <v>0</v>
      </c>
      <c r="G15887" s="34" t="n">
        <f aca="false">SUMIFS('12.326ana'!$C:$C,'12.326ana'!$M:$M,redes!A15887)</f>
        <v>0</v>
      </c>
    </row>
    <row r="15888" customFormat="false" ht="14.4" hidden="true" customHeight="false" outlineLevel="0" collapsed="false">
      <c r="A15888" s="34" t="n">
        <v>28134968000120</v>
      </c>
      <c r="B15888" s="34" t="s">
        <v>29456</v>
      </c>
      <c r="C15888" s="34" t="s">
        <v>737</v>
      </c>
      <c r="E15888" s="30" t="s">
        <v>29457</v>
      </c>
      <c r="F15888" s="34" t="n">
        <f aca="false">IFERROR(VLOOKUP($A15888,'319'!$B:$H,7,0),0)</f>
        <v>0</v>
      </c>
      <c r="G15888" s="34" t="n">
        <f aca="false">SUMIFS('12.326ana'!$C:$C,'12.326ana'!$M:$M,redes!A15888)</f>
        <v>0</v>
      </c>
    </row>
    <row r="15889" customFormat="false" ht="14.4" hidden="true" customHeight="false" outlineLevel="0" collapsed="false">
      <c r="A15889" s="34" t="n">
        <v>28135868000118</v>
      </c>
      <c r="B15889" s="34" t="s">
        <v>29458</v>
      </c>
      <c r="C15889" s="34" t="s">
        <v>967</v>
      </c>
      <c r="E15889" s="30" t="s">
        <v>29459</v>
      </c>
      <c r="F15889" s="34" t="n">
        <f aca="false">IFERROR(VLOOKUP($A15889,'319'!$B:$H,7,0),0)</f>
        <v>0</v>
      </c>
      <c r="G15889" s="34" t="n">
        <f aca="false">SUMIFS('12.326ana'!$C:$C,'12.326ana'!$M:$M,redes!A15889)</f>
        <v>0</v>
      </c>
    </row>
    <row r="15890" customFormat="false" ht="14.4" hidden="true" customHeight="false" outlineLevel="0" collapsed="false">
      <c r="A15890" s="34" t="n">
        <v>28141482000119</v>
      </c>
      <c r="B15890" s="34" t="s">
        <v>29460</v>
      </c>
      <c r="C15890" s="34" t="s">
        <v>77</v>
      </c>
      <c r="E15890" s="30" t="s">
        <v>4499</v>
      </c>
      <c r="F15890" s="34" t="n">
        <f aca="false">IFERROR(VLOOKUP($A15890,'319'!$B:$H,7,0),0)</f>
        <v>0</v>
      </c>
      <c r="G15890" s="34" t="n">
        <f aca="false">SUMIFS('12.326ana'!$C:$C,'12.326ana'!$M:$M,redes!A15890)</f>
        <v>0</v>
      </c>
    </row>
    <row r="15891" customFormat="false" ht="14.4" hidden="true" customHeight="false" outlineLevel="0" collapsed="false">
      <c r="A15891" s="34" t="n">
        <v>28142655000113</v>
      </c>
      <c r="B15891" s="34" t="s">
        <v>29461</v>
      </c>
      <c r="C15891" s="34" t="s">
        <v>107</v>
      </c>
      <c r="E15891" s="30" t="s">
        <v>29462</v>
      </c>
      <c r="F15891" s="34" t="n">
        <f aca="false">IFERROR(VLOOKUP($A15891,'319'!$B:$H,7,0),0)</f>
        <v>0</v>
      </c>
      <c r="G15891" s="34" t="n">
        <f aca="false">SUMIFS('12.326ana'!$C:$C,'12.326ana'!$M:$M,redes!A15891)</f>
        <v>0</v>
      </c>
    </row>
    <row r="15892" customFormat="false" ht="14.4" hidden="true" customHeight="false" outlineLevel="0" collapsed="false">
      <c r="A15892" s="34" t="n">
        <v>28143217000170</v>
      </c>
      <c r="B15892" s="34" t="s">
        <v>29463</v>
      </c>
      <c r="C15892" s="34" t="s">
        <v>103</v>
      </c>
      <c r="E15892" s="30" t="s">
        <v>29464</v>
      </c>
      <c r="F15892" s="34" t="n">
        <f aca="false">IFERROR(VLOOKUP($A15892,'319'!$B:$H,7,0),0)</f>
        <v>0</v>
      </c>
      <c r="G15892" s="34" t="n">
        <f aca="false">SUMIFS('12.326ana'!$C:$C,'12.326ana'!$M:$M,redes!A15892)</f>
        <v>0</v>
      </c>
    </row>
    <row r="15893" customFormat="false" ht="14.4" hidden="true" customHeight="false" outlineLevel="0" collapsed="false">
      <c r="A15893" s="34" t="n">
        <v>28148639000138</v>
      </c>
      <c r="B15893" s="34" t="s">
        <v>29465</v>
      </c>
      <c r="C15893" s="34" t="s">
        <v>77</v>
      </c>
      <c r="E15893" s="30" t="s">
        <v>29466</v>
      </c>
      <c r="F15893" s="34" t="n">
        <f aca="false">IFERROR(VLOOKUP($A15893,'319'!$B:$H,7,0),0)</f>
        <v>0</v>
      </c>
      <c r="G15893" s="34" t="n">
        <f aca="false">SUMIFS('12.326ana'!$C:$C,'12.326ana'!$M:$M,redes!A15893)</f>
        <v>0</v>
      </c>
    </row>
    <row r="15894" customFormat="false" ht="14.4" hidden="true" customHeight="false" outlineLevel="0" collapsed="false">
      <c r="A15894" s="34" t="n">
        <v>28154357000143</v>
      </c>
      <c r="B15894" s="34" t="s">
        <v>29467</v>
      </c>
      <c r="C15894" s="34" t="s">
        <v>77</v>
      </c>
      <c r="E15894" s="30" t="s">
        <v>29468</v>
      </c>
      <c r="F15894" s="34" t="n">
        <f aca="false">IFERROR(VLOOKUP($A15894,'319'!$B:$H,7,0),0)</f>
        <v>0</v>
      </c>
      <c r="G15894" s="34" t="n">
        <f aca="false">SUMIFS('12.326ana'!$C:$C,'12.326ana'!$M:$M,redes!A15894)</f>
        <v>0</v>
      </c>
    </row>
    <row r="15895" customFormat="false" ht="14.4" hidden="true" customHeight="false" outlineLevel="0" collapsed="false">
      <c r="A15895" s="34" t="n">
        <v>28155456000140</v>
      </c>
      <c r="B15895" s="34" t="s">
        <v>29469</v>
      </c>
      <c r="C15895" s="34" t="s">
        <v>77</v>
      </c>
      <c r="E15895" s="30" t="s">
        <v>29470</v>
      </c>
      <c r="F15895" s="34" t="n">
        <f aca="false">IFERROR(VLOOKUP($A15895,'319'!$B:$H,7,0),0)</f>
        <v>0</v>
      </c>
      <c r="G15895" s="34" t="n">
        <f aca="false">SUMIFS('12.326ana'!$C:$C,'12.326ana'!$M:$M,redes!A15895)</f>
        <v>0</v>
      </c>
    </row>
    <row r="15896" customFormat="false" ht="14.4" hidden="true" customHeight="false" outlineLevel="0" collapsed="false">
      <c r="A15896" s="34" t="n">
        <v>28162597000190</v>
      </c>
      <c r="B15896" s="34" t="s">
        <v>29471</v>
      </c>
      <c r="C15896" s="34" t="s">
        <v>342</v>
      </c>
      <c r="E15896" s="30" t="s">
        <v>29472</v>
      </c>
      <c r="F15896" s="34" t="n">
        <f aca="false">IFERROR(VLOOKUP($A15896,'319'!$B:$H,7,0),0)</f>
        <v>0</v>
      </c>
      <c r="G15896" s="34" t="n">
        <f aca="false">SUMIFS('12.326ana'!$C:$C,'12.326ana'!$M:$M,redes!A15896)</f>
        <v>0</v>
      </c>
    </row>
    <row r="15897" customFormat="false" ht="14.4" hidden="true" customHeight="false" outlineLevel="0" collapsed="false">
      <c r="A15897" s="34" t="n">
        <v>28162692000193</v>
      </c>
      <c r="B15897" s="34" t="s">
        <v>29473</v>
      </c>
      <c r="C15897" s="34" t="s">
        <v>357</v>
      </c>
      <c r="E15897" s="30" t="s">
        <v>29474</v>
      </c>
      <c r="F15897" s="34" t="n">
        <f aca="false">IFERROR(VLOOKUP($A15897,'319'!$B:$H,7,0),0)</f>
        <v>0</v>
      </c>
      <c r="G15897" s="34" t="n">
        <f aca="false">SUMIFS('12.326ana'!$C:$C,'12.326ana'!$M:$M,redes!A15897)</f>
        <v>0</v>
      </c>
    </row>
    <row r="15898" customFormat="false" ht="14.4" hidden="true" customHeight="false" outlineLevel="0" collapsed="false">
      <c r="A15898" s="34" t="n">
        <v>28164115000130</v>
      </c>
      <c r="B15898" s="34" t="s">
        <v>29475</v>
      </c>
      <c r="C15898" s="34" t="s">
        <v>77</v>
      </c>
      <c r="E15898" s="30" t="s">
        <v>29476</v>
      </c>
      <c r="F15898" s="34" t="n">
        <f aca="false">IFERROR(VLOOKUP($A15898,'319'!$B:$H,7,0),0)</f>
        <v>0</v>
      </c>
      <c r="G15898" s="34" t="n">
        <f aca="false">SUMIFS('12.326ana'!$C:$C,'12.326ana'!$M:$M,redes!A15898)</f>
        <v>0</v>
      </c>
    </row>
    <row r="15899" customFormat="false" ht="14.4" hidden="true" customHeight="false" outlineLevel="0" collapsed="false">
      <c r="A15899" s="34" t="n">
        <v>28179852000107</v>
      </c>
      <c r="B15899" s="34" t="s">
        <v>29477</v>
      </c>
      <c r="C15899" s="34" t="s">
        <v>197</v>
      </c>
      <c r="E15899" s="30" t="s">
        <v>3194</v>
      </c>
      <c r="F15899" s="34" t="n">
        <f aca="false">IFERROR(VLOOKUP($A15899,'319'!$B:$H,7,0),0)</f>
        <v>0</v>
      </c>
      <c r="G15899" s="34" t="n">
        <f aca="false">SUMIFS('12.326ana'!$C:$C,'12.326ana'!$M:$M,redes!A15899)</f>
        <v>0</v>
      </c>
    </row>
    <row r="15900" customFormat="false" ht="14.4" hidden="true" customHeight="false" outlineLevel="0" collapsed="false">
      <c r="A15900" s="34" t="n">
        <v>28183297000197</v>
      </c>
      <c r="B15900" s="34" t="s">
        <v>29478</v>
      </c>
      <c r="C15900" s="34" t="s">
        <v>197</v>
      </c>
      <c r="E15900" s="30" t="s">
        <v>29478</v>
      </c>
      <c r="F15900" s="34" t="n">
        <f aca="false">IFERROR(VLOOKUP($A15900,'319'!$B:$H,7,0),0)</f>
        <v>0</v>
      </c>
      <c r="G15900" s="34" t="n">
        <f aca="false">SUMIFS('12.326ana'!$C:$C,'12.326ana'!$M:$M,redes!A15900)</f>
        <v>0</v>
      </c>
    </row>
    <row r="15901" customFormat="false" ht="14.4" hidden="true" customHeight="false" outlineLevel="0" collapsed="false">
      <c r="A15901" s="34" t="n">
        <v>28193289000121</v>
      </c>
      <c r="B15901" s="34" t="s">
        <v>29479</v>
      </c>
      <c r="C15901" s="34" t="s">
        <v>89</v>
      </c>
      <c r="E15901" s="30" t="s">
        <v>29480</v>
      </c>
      <c r="F15901" s="34" t="n">
        <f aca="false">IFERROR(VLOOKUP($A15901,'319'!$B:$H,7,0),0)</f>
        <v>994.16</v>
      </c>
      <c r="G15901" s="34" t="n">
        <f aca="false">SUMIFS('12.326ana'!$C:$C,'12.326ana'!$M:$M,redes!A15901)</f>
        <v>0</v>
      </c>
    </row>
    <row r="15902" customFormat="false" ht="14.4" hidden="true" customHeight="false" outlineLevel="0" collapsed="false">
      <c r="A15902" s="34" t="n">
        <v>28195896000120</v>
      </c>
      <c r="B15902" s="34" t="s">
        <v>29481</v>
      </c>
      <c r="C15902" s="34" t="s">
        <v>7250</v>
      </c>
      <c r="E15902" s="30" t="s">
        <v>29482</v>
      </c>
      <c r="F15902" s="34" t="n">
        <f aca="false">IFERROR(VLOOKUP($A15902,'319'!$B:$H,7,0),0)</f>
        <v>0</v>
      </c>
      <c r="G15902" s="34" t="n">
        <f aca="false">SUMIFS('12.326ana'!$C:$C,'12.326ana'!$M:$M,redes!A15902)</f>
        <v>0</v>
      </c>
    </row>
    <row r="15903" customFormat="false" ht="14.4" hidden="true" customHeight="false" outlineLevel="0" collapsed="false">
      <c r="A15903" s="34" t="n">
        <v>28235373000160</v>
      </c>
      <c r="B15903" s="34" t="s">
        <v>29483</v>
      </c>
      <c r="C15903" s="34" t="s">
        <v>77</v>
      </c>
      <c r="E15903" s="30" t="s">
        <v>23461</v>
      </c>
      <c r="F15903" s="34" t="n">
        <f aca="false">IFERROR(VLOOKUP($A15903,'319'!$B:$H,7,0),0)</f>
        <v>0</v>
      </c>
      <c r="G15903" s="34" t="n">
        <f aca="false">SUMIFS('12.326ana'!$C:$C,'12.326ana'!$M:$M,redes!A15903)</f>
        <v>0</v>
      </c>
    </row>
    <row r="15904" customFormat="false" ht="14.4" hidden="true" customHeight="false" outlineLevel="0" collapsed="false">
      <c r="A15904" s="34" t="n">
        <v>28240027000170</v>
      </c>
      <c r="B15904" s="34" t="s">
        <v>29484</v>
      </c>
      <c r="C15904" s="34" t="s">
        <v>448</v>
      </c>
      <c r="E15904" s="30" t="s">
        <v>5206</v>
      </c>
      <c r="F15904" s="34" t="n">
        <f aca="false">IFERROR(VLOOKUP($A15904,'319'!$B:$H,7,0),0)</f>
        <v>0</v>
      </c>
      <c r="G15904" s="34" t="n">
        <f aca="false">SUMIFS('12.326ana'!$C:$C,'12.326ana'!$M:$M,redes!A15904)</f>
        <v>0</v>
      </c>
    </row>
    <row r="15905" customFormat="false" ht="14.4" hidden="true" customHeight="false" outlineLevel="0" collapsed="false">
      <c r="A15905" s="34" t="n">
        <v>28246997000183</v>
      </c>
      <c r="B15905" s="34" t="s">
        <v>29485</v>
      </c>
      <c r="C15905" s="34" t="s">
        <v>77</v>
      </c>
      <c r="E15905" s="30" t="s">
        <v>29486</v>
      </c>
      <c r="F15905" s="34" t="n">
        <f aca="false">IFERROR(VLOOKUP($A15905,'319'!$B:$H,7,0),0)</f>
        <v>0</v>
      </c>
      <c r="G15905" s="34" t="n">
        <f aca="false">SUMIFS('12.326ana'!$C:$C,'12.326ana'!$M:$M,redes!A15905)</f>
        <v>0</v>
      </c>
    </row>
    <row r="15906" customFormat="false" ht="14.4" hidden="true" customHeight="false" outlineLevel="0" collapsed="false">
      <c r="A15906" s="34" t="n">
        <v>28260722000102</v>
      </c>
      <c r="B15906" s="34" t="s">
        <v>29487</v>
      </c>
      <c r="C15906" s="34" t="s">
        <v>77</v>
      </c>
      <c r="E15906" s="30" t="s">
        <v>29488</v>
      </c>
      <c r="F15906" s="34" t="n">
        <f aca="false">IFERROR(VLOOKUP($A15906,'319'!$B:$H,7,0),0)</f>
        <v>0</v>
      </c>
      <c r="G15906" s="34" t="n">
        <f aca="false">SUMIFS('12.326ana'!$C:$C,'12.326ana'!$M:$M,redes!A15906)</f>
        <v>0</v>
      </c>
    </row>
    <row r="15907" customFormat="false" ht="14.4" hidden="true" customHeight="false" outlineLevel="0" collapsed="false">
      <c r="A15907" s="34" t="n">
        <v>28272414000199</v>
      </c>
      <c r="B15907" s="34" t="s">
        <v>29489</v>
      </c>
      <c r="C15907" s="34" t="s">
        <v>77</v>
      </c>
      <c r="E15907" s="30" t="s">
        <v>29490</v>
      </c>
      <c r="F15907" s="34" t="n">
        <f aca="false">IFERROR(VLOOKUP($A15907,'319'!$B:$H,7,0),0)</f>
        <v>0</v>
      </c>
      <c r="G15907" s="34" t="n">
        <f aca="false">SUMIFS('12.326ana'!$C:$C,'12.326ana'!$M:$M,redes!A15907)</f>
        <v>0</v>
      </c>
    </row>
    <row r="15908" customFormat="false" ht="14.4" hidden="true" customHeight="false" outlineLevel="0" collapsed="false">
      <c r="A15908" s="34" t="n">
        <v>28272798000140</v>
      </c>
      <c r="B15908" s="34" t="s">
        <v>29491</v>
      </c>
      <c r="C15908" s="34" t="s">
        <v>737</v>
      </c>
      <c r="E15908" s="30" t="s">
        <v>29492</v>
      </c>
      <c r="F15908" s="34" t="n">
        <f aca="false">IFERROR(VLOOKUP($A15908,'319'!$B:$H,7,0),0)</f>
        <v>0</v>
      </c>
      <c r="G15908" s="34" t="n">
        <f aca="false">SUMIFS('12.326ana'!$C:$C,'12.326ana'!$M:$M,redes!A15908)</f>
        <v>0</v>
      </c>
    </row>
    <row r="15909" customFormat="false" ht="14.4" hidden="true" customHeight="false" outlineLevel="0" collapsed="false">
      <c r="A15909" s="34" t="n">
        <v>28284525000115</v>
      </c>
      <c r="B15909" s="34" t="s">
        <v>29493</v>
      </c>
      <c r="C15909" s="34" t="s">
        <v>77</v>
      </c>
      <c r="E15909" s="30" t="s">
        <v>29494</v>
      </c>
      <c r="F15909" s="34" t="n">
        <f aca="false">IFERROR(VLOOKUP($A15909,'319'!$B:$H,7,0),0)</f>
        <v>0</v>
      </c>
      <c r="G15909" s="34" t="n">
        <f aca="false">SUMIFS('12.326ana'!$C:$C,'12.326ana'!$M:$M,redes!A15909)</f>
        <v>0</v>
      </c>
    </row>
    <row r="15910" customFormat="false" ht="14.4" hidden="true" customHeight="false" outlineLevel="0" collapsed="false">
      <c r="A15910" s="34" t="n">
        <v>28285834000100</v>
      </c>
      <c r="B15910" s="34" t="s">
        <v>29495</v>
      </c>
      <c r="C15910" s="34" t="s">
        <v>77</v>
      </c>
      <c r="E15910" s="30" t="s">
        <v>29496</v>
      </c>
      <c r="F15910" s="34" t="n">
        <f aca="false">IFERROR(VLOOKUP($A15910,'319'!$B:$H,7,0),0)</f>
        <v>0</v>
      </c>
      <c r="G15910" s="34" t="n">
        <f aca="false">SUMIFS('12.326ana'!$C:$C,'12.326ana'!$M:$M,redes!A15910)</f>
        <v>0</v>
      </c>
    </row>
    <row r="15911" customFormat="false" ht="14.4" hidden="true" customHeight="false" outlineLevel="0" collapsed="false">
      <c r="A15911" s="34" t="n">
        <v>28296512000166</v>
      </c>
      <c r="B15911" s="34" t="s">
        <v>29497</v>
      </c>
      <c r="C15911" s="34" t="s">
        <v>77</v>
      </c>
      <c r="E15911" s="30" t="s">
        <v>12695</v>
      </c>
      <c r="F15911" s="34" t="n">
        <f aca="false">IFERROR(VLOOKUP($A15911,'319'!$B:$H,7,0),0)</f>
        <v>0</v>
      </c>
      <c r="G15911" s="34" t="n">
        <f aca="false">SUMIFS('12.326ana'!$C:$C,'12.326ana'!$M:$M,redes!A15911)</f>
        <v>0</v>
      </c>
    </row>
    <row r="15912" customFormat="false" ht="14.4" hidden="true" customHeight="false" outlineLevel="0" collapsed="false">
      <c r="A15912" s="34" t="n">
        <v>28297346000112</v>
      </c>
      <c r="B15912" s="34" t="s">
        <v>29498</v>
      </c>
      <c r="C15912" s="34" t="s">
        <v>77</v>
      </c>
      <c r="E15912" s="30" t="s">
        <v>29499</v>
      </c>
      <c r="F15912" s="34" t="n">
        <f aca="false">IFERROR(VLOOKUP($A15912,'319'!$B:$H,7,0),0)</f>
        <v>0</v>
      </c>
      <c r="G15912" s="34" t="n">
        <f aca="false">SUMIFS('12.326ana'!$C:$C,'12.326ana'!$M:$M,redes!A15912)</f>
        <v>0</v>
      </c>
    </row>
    <row r="15913" customFormat="false" ht="14.4" hidden="true" customHeight="false" outlineLevel="0" collapsed="false">
      <c r="A15913" s="34" t="n">
        <v>28299707000160</v>
      </c>
      <c r="B15913" s="34" t="s">
        <v>29500</v>
      </c>
      <c r="C15913" s="34" t="s">
        <v>139</v>
      </c>
      <c r="E15913" s="30" t="s">
        <v>23955</v>
      </c>
      <c r="F15913" s="34" t="n">
        <f aca="false">IFERROR(VLOOKUP($A15913,'319'!$B:$H,7,0),0)</f>
        <v>0</v>
      </c>
      <c r="G15913" s="34" t="n">
        <f aca="false">SUMIFS('12.326ana'!$C:$C,'12.326ana'!$M:$M,redes!A15913)</f>
        <v>0</v>
      </c>
    </row>
    <row r="15914" customFormat="false" ht="14.4" hidden="true" customHeight="false" outlineLevel="0" collapsed="false">
      <c r="A15914" s="34" t="n">
        <v>28308935000159</v>
      </c>
      <c r="B15914" s="34" t="s">
        <v>29501</v>
      </c>
      <c r="C15914" s="34" t="s">
        <v>77</v>
      </c>
      <c r="E15914" s="30" t="s">
        <v>29502</v>
      </c>
      <c r="F15914" s="34" t="n">
        <f aca="false">IFERROR(VLOOKUP($A15914,'319'!$B:$H,7,0),0)</f>
        <v>0</v>
      </c>
      <c r="G15914" s="34" t="n">
        <f aca="false">SUMIFS('12.326ana'!$C:$C,'12.326ana'!$M:$M,redes!A15914)</f>
        <v>0</v>
      </c>
    </row>
    <row r="15915" customFormat="false" ht="14.4" hidden="true" customHeight="false" outlineLevel="0" collapsed="false">
      <c r="A15915" s="34" t="n">
        <v>28310528000186</v>
      </c>
      <c r="B15915" s="34" t="s">
        <v>29503</v>
      </c>
      <c r="C15915" s="34" t="s">
        <v>77</v>
      </c>
      <c r="E15915" s="30" t="s">
        <v>29504</v>
      </c>
      <c r="F15915" s="34" t="n">
        <f aca="false">IFERROR(VLOOKUP($A15915,'319'!$B:$H,7,0),0)</f>
        <v>0</v>
      </c>
      <c r="G15915" s="34" t="n">
        <f aca="false">SUMIFS('12.326ana'!$C:$C,'12.326ana'!$M:$M,redes!A15915)</f>
        <v>0</v>
      </c>
    </row>
    <row r="15916" customFormat="false" ht="14.4" hidden="true" customHeight="false" outlineLevel="0" collapsed="false">
      <c r="A15916" s="34" t="n">
        <v>28312340000177</v>
      </c>
      <c r="B15916" s="34" t="s">
        <v>29505</v>
      </c>
      <c r="C15916" s="34" t="s">
        <v>77</v>
      </c>
      <c r="E15916" s="30" t="s">
        <v>29506</v>
      </c>
      <c r="F15916" s="34" t="n">
        <f aca="false">IFERROR(VLOOKUP($A15916,'319'!$B:$H,7,0),0)</f>
        <v>0</v>
      </c>
      <c r="G15916" s="34" t="n">
        <f aca="false">SUMIFS('12.326ana'!$C:$C,'12.326ana'!$M:$M,redes!A15916)</f>
        <v>0</v>
      </c>
    </row>
    <row r="15917" customFormat="false" ht="14.4" hidden="true" customHeight="false" outlineLevel="0" collapsed="false">
      <c r="A15917" s="34" t="n">
        <v>28312828000102</v>
      </c>
      <c r="B15917" s="34" t="s">
        <v>29507</v>
      </c>
      <c r="C15917" s="34" t="s">
        <v>77</v>
      </c>
      <c r="E15917" s="30" t="s">
        <v>29508</v>
      </c>
      <c r="F15917" s="34" t="n">
        <f aca="false">IFERROR(VLOOKUP($A15917,'319'!$B:$H,7,0),0)</f>
        <v>0</v>
      </c>
      <c r="G15917" s="34" t="n">
        <f aca="false">SUMIFS('12.326ana'!$C:$C,'12.326ana'!$M:$M,redes!A15917)</f>
        <v>0</v>
      </c>
    </row>
    <row r="15918" customFormat="false" ht="14.4" hidden="true" customHeight="false" outlineLevel="0" collapsed="false">
      <c r="A15918" s="34" t="n">
        <v>28322512000193</v>
      </c>
      <c r="B15918" s="34" t="s">
        <v>29509</v>
      </c>
      <c r="C15918" s="34" t="s">
        <v>342</v>
      </c>
      <c r="E15918" s="30" t="s">
        <v>28722</v>
      </c>
      <c r="F15918" s="34" t="n">
        <f aca="false">IFERROR(VLOOKUP($A15918,'319'!$B:$H,7,0),0)</f>
        <v>0</v>
      </c>
      <c r="G15918" s="34" t="n">
        <f aca="false">SUMIFS('12.326ana'!$C:$C,'12.326ana'!$M:$M,redes!A15918)</f>
        <v>0</v>
      </c>
    </row>
    <row r="15919" customFormat="false" ht="14.4" hidden="true" customHeight="false" outlineLevel="0" collapsed="false">
      <c r="A15919" s="34" t="n">
        <v>28331264000147</v>
      </c>
      <c r="B15919" s="34" t="s">
        <v>29510</v>
      </c>
      <c r="C15919" s="34" t="s">
        <v>107</v>
      </c>
      <c r="E15919" s="30" t="s">
        <v>29511</v>
      </c>
      <c r="F15919" s="34" t="n">
        <f aca="false">IFERROR(VLOOKUP($A15919,'319'!$B:$H,7,0),0)</f>
        <v>0</v>
      </c>
      <c r="G15919" s="34" t="n">
        <f aca="false">SUMIFS('12.326ana'!$C:$C,'12.326ana'!$M:$M,redes!A15919)</f>
        <v>0</v>
      </c>
    </row>
    <row r="15920" customFormat="false" ht="14.4" hidden="true" customHeight="false" outlineLevel="0" collapsed="false">
      <c r="A15920" s="34" t="n">
        <v>28332312000111</v>
      </c>
      <c r="B15920" s="34" t="s">
        <v>29512</v>
      </c>
      <c r="C15920" s="34" t="s">
        <v>842</v>
      </c>
      <c r="E15920" s="30" t="s">
        <v>29513</v>
      </c>
      <c r="F15920" s="34" t="n">
        <f aca="false">IFERROR(VLOOKUP($A15920,'319'!$B:$H,7,0),0)</f>
        <v>0</v>
      </c>
      <c r="G15920" s="34" t="n">
        <f aca="false">SUMIFS('12.326ana'!$C:$C,'12.326ana'!$M:$M,redes!A15920)</f>
        <v>0</v>
      </c>
    </row>
    <row r="15921" customFormat="false" ht="14.4" hidden="true" customHeight="false" outlineLevel="0" collapsed="false">
      <c r="A15921" s="34" t="n">
        <v>28339047000101</v>
      </c>
      <c r="B15921" s="34" t="s">
        <v>29514</v>
      </c>
      <c r="C15921" s="34" t="s">
        <v>139</v>
      </c>
      <c r="E15921" s="30" t="s">
        <v>29515</v>
      </c>
      <c r="F15921" s="34" t="n">
        <f aca="false">IFERROR(VLOOKUP($A15921,'319'!$B:$H,7,0),0)</f>
        <v>0</v>
      </c>
      <c r="G15921" s="34" t="n">
        <f aca="false">SUMIFS('12.326ana'!$C:$C,'12.326ana'!$M:$M,redes!A15921)</f>
        <v>0</v>
      </c>
    </row>
    <row r="15922" customFormat="false" ht="14.4" hidden="true" customHeight="false" outlineLevel="0" collapsed="false">
      <c r="A15922" s="34" t="n">
        <v>28344852000115</v>
      </c>
      <c r="B15922" s="34" t="s">
        <v>29516</v>
      </c>
      <c r="C15922" s="34" t="s">
        <v>77</v>
      </c>
      <c r="E15922" s="30" t="s">
        <v>29517</v>
      </c>
      <c r="F15922" s="34" t="n">
        <f aca="false">IFERROR(VLOOKUP($A15922,'319'!$B:$H,7,0),0)</f>
        <v>0</v>
      </c>
      <c r="G15922" s="34" t="n">
        <f aca="false">SUMIFS('12.326ana'!$C:$C,'12.326ana'!$M:$M,redes!A15922)</f>
        <v>0</v>
      </c>
    </row>
    <row r="15923" customFormat="false" ht="14.4" hidden="true" customHeight="false" outlineLevel="0" collapsed="false">
      <c r="A15923" s="34" t="n">
        <v>28370752000163</v>
      </c>
      <c r="B15923" s="34" t="s">
        <v>29518</v>
      </c>
      <c r="C15923" s="34" t="s">
        <v>77</v>
      </c>
      <c r="E15923" s="30" t="s">
        <v>29519</v>
      </c>
      <c r="F15923" s="34" t="n">
        <f aca="false">IFERROR(VLOOKUP($A15923,'319'!$B:$H,7,0),0)</f>
        <v>0</v>
      </c>
      <c r="G15923" s="34" t="n">
        <f aca="false">SUMIFS('12.326ana'!$C:$C,'12.326ana'!$M:$M,redes!A15923)</f>
        <v>0</v>
      </c>
    </row>
    <row r="15924" customFormat="false" ht="14.4" hidden="true" customHeight="false" outlineLevel="0" collapsed="false">
      <c r="A15924" s="34" t="n">
        <v>28373410000105</v>
      </c>
      <c r="B15924" s="34" t="s">
        <v>29520</v>
      </c>
      <c r="C15924" s="34" t="s">
        <v>154</v>
      </c>
      <c r="E15924" s="30" t="s">
        <v>23069</v>
      </c>
      <c r="F15924" s="34" t="n">
        <f aca="false">IFERROR(VLOOKUP($A15924,'319'!$B:$H,7,0),0)</f>
        <v>0</v>
      </c>
      <c r="G15924" s="34" t="n">
        <f aca="false">SUMIFS('12.326ana'!$C:$C,'12.326ana'!$M:$M,redes!A15924)</f>
        <v>0</v>
      </c>
    </row>
    <row r="15925" customFormat="false" ht="14.4" hidden="true" customHeight="false" outlineLevel="0" collapsed="false">
      <c r="A15925" s="34" t="n">
        <v>28398023000115</v>
      </c>
      <c r="B15925" s="34" t="s">
        <v>29521</v>
      </c>
      <c r="C15925" s="34" t="s">
        <v>1680</v>
      </c>
      <c r="E15925" s="30" t="s">
        <v>29522</v>
      </c>
      <c r="F15925" s="34" t="n">
        <f aca="false">IFERROR(VLOOKUP($A15925,'319'!$B:$H,7,0),0)</f>
        <v>0</v>
      </c>
      <c r="G15925" s="34" t="n">
        <f aca="false">SUMIFS('12.326ana'!$C:$C,'12.326ana'!$M:$M,redes!A15925)</f>
        <v>0</v>
      </c>
    </row>
    <row r="15926" customFormat="false" ht="14.4" hidden="true" customHeight="false" outlineLevel="0" collapsed="false">
      <c r="A15926" s="34" t="n">
        <v>28399099000165</v>
      </c>
      <c r="B15926" s="34" t="s">
        <v>29523</v>
      </c>
      <c r="C15926" s="34" t="s">
        <v>598</v>
      </c>
      <c r="E15926" s="30" t="s">
        <v>29524</v>
      </c>
      <c r="F15926" s="34" t="n">
        <f aca="false">IFERROR(VLOOKUP($A15926,'319'!$B:$H,7,0),0)</f>
        <v>0</v>
      </c>
      <c r="G15926" s="34" t="n">
        <f aca="false">SUMIFS('12.326ana'!$C:$C,'12.326ana'!$M:$M,redes!A15926)</f>
        <v>0</v>
      </c>
    </row>
    <row r="15927" customFormat="false" ht="14.4" hidden="true" customHeight="false" outlineLevel="0" collapsed="false">
      <c r="A15927" s="34" t="n">
        <v>28426440000124</v>
      </c>
      <c r="B15927" s="34" t="s">
        <v>29525</v>
      </c>
      <c r="C15927" s="34" t="s">
        <v>77</v>
      </c>
      <c r="E15927" s="30" t="s">
        <v>29526</v>
      </c>
      <c r="F15927" s="34" t="n">
        <f aca="false">IFERROR(VLOOKUP($A15927,'319'!$B:$H,7,0),0)</f>
        <v>0</v>
      </c>
      <c r="G15927" s="34" t="n">
        <f aca="false">SUMIFS('12.326ana'!$C:$C,'12.326ana'!$M:$M,redes!A15927)</f>
        <v>0</v>
      </c>
    </row>
    <row r="15928" customFormat="false" ht="14.4" hidden="true" customHeight="false" outlineLevel="0" collapsed="false">
      <c r="A15928" s="34" t="n">
        <v>28433069000128</v>
      </c>
      <c r="B15928" s="34" t="s">
        <v>29527</v>
      </c>
      <c r="C15928" s="34" t="s">
        <v>107</v>
      </c>
      <c r="E15928" s="30" t="s">
        <v>8728</v>
      </c>
      <c r="F15928" s="34" t="n">
        <f aca="false">IFERROR(VLOOKUP($A15928,'319'!$B:$H,7,0),0)</f>
        <v>0</v>
      </c>
      <c r="G15928" s="34" t="n">
        <f aca="false">SUMIFS('12.326ana'!$C:$C,'12.326ana'!$M:$M,redes!A15928)</f>
        <v>0</v>
      </c>
    </row>
    <row r="15929" customFormat="false" ht="14.4" hidden="true" customHeight="false" outlineLevel="0" collapsed="false">
      <c r="A15929" s="34" t="n">
        <v>28441734000125</v>
      </c>
      <c r="B15929" s="34" t="s">
        <v>29528</v>
      </c>
      <c r="C15929" s="34" t="s">
        <v>1680</v>
      </c>
      <c r="E15929" s="30" t="s">
        <v>29529</v>
      </c>
      <c r="F15929" s="34" t="n">
        <f aca="false">IFERROR(VLOOKUP($A15929,'319'!$B:$H,7,0),0)</f>
        <v>0</v>
      </c>
      <c r="G15929" s="34" t="n">
        <f aca="false">SUMIFS('12.326ana'!$C:$C,'12.326ana'!$M:$M,redes!A15929)</f>
        <v>0</v>
      </c>
    </row>
    <row r="15930" customFormat="false" ht="14.4" hidden="true" customHeight="false" outlineLevel="0" collapsed="false">
      <c r="A15930" s="34" t="n">
        <v>28451998000160</v>
      </c>
      <c r="B15930" s="34" t="s">
        <v>29530</v>
      </c>
      <c r="C15930" s="34" t="s">
        <v>77</v>
      </c>
      <c r="E15930" s="30" t="s">
        <v>29531</v>
      </c>
      <c r="F15930" s="34" t="n">
        <f aca="false">IFERROR(VLOOKUP($A15930,'319'!$B:$H,7,0),0)</f>
        <v>0</v>
      </c>
      <c r="G15930" s="34" t="n">
        <f aca="false">SUMIFS('12.326ana'!$C:$C,'12.326ana'!$M:$M,redes!A15930)</f>
        <v>0</v>
      </c>
    </row>
    <row r="15931" customFormat="false" ht="14.4" hidden="true" customHeight="false" outlineLevel="0" collapsed="false">
      <c r="A15931" s="34" t="n">
        <v>28463656000160</v>
      </c>
      <c r="B15931" s="34" t="s">
        <v>29532</v>
      </c>
      <c r="C15931" s="34" t="s">
        <v>357</v>
      </c>
      <c r="E15931" s="30" t="s">
        <v>29533</v>
      </c>
      <c r="F15931" s="34" t="n">
        <f aca="false">IFERROR(VLOOKUP($A15931,'319'!$B:$H,7,0),0)</f>
        <v>959.33</v>
      </c>
      <c r="G15931" s="34" t="n">
        <f aca="false">SUMIFS('12.326ana'!$C:$C,'12.326ana'!$M:$M,redes!A15931)</f>
        <v>0</v>
      </c>
    </row>
    <row r="15932" customFormat="false" ht="14.4" hidden="true" customHeight="false" outlineLevel="0" collapsed="false">
      <c r="A15932" s="34" t="n">
        <v>28464587000109</v>
      </c>
      <c r="B15932" s="34" t="s">
        <v>29534</v>
      </c>
      <c r="C15932" s="34" t="s">
        <v>809</v>
      </c>
      <c r="E15932" s="30" t="s">
        <v>29535</v>
      </c>
      <c r="F15932" s="34" t="n">
        <f aca="false">IFERROR(VLOOKUP($A15932,'319'!$B:$H,7,0),0)</f>
        <v>944.56</v>
      </c>
      <c r="G15932" s="34" t="n">
        <f aca="false">SUMIFS('12.326ana'!$C:$C,'12.326ana'!$M:$M,redes!A15932)</f>
        <v>0</v>
      </c>
    </row>
    <row r="15933" customFormat="false" ht="14.4" hidden="true" customHeight="false" outlineLevel="0" collapsed="false">
      <c r="A15933" s="34" t="n">
        <v>28475571000100</v>
      </c>
      <c r="B15933" s="34" t="s">
        <v>29536</v>
      </c>
      <c r="C15933" s="34" t="s">
        <v>77</v>
      </c>
      <c r="E15933" s="30" t="s">
        <v>29537</v>
      </c>
      <c r="F15933" s="34" t="n">
        <f aca="false">IFERROR(VLOOKUP($A15933,'319'!$B:$H,7,0),0)</f>
        <v>0</v>
      </c>
      <c r="G15933" s="34" t="n">
        <f aca="false">SUMIFS('12.326ana'!$C:$C,'12.326ana'!$M:$M,redes!A15933)</f>
        <v>0</v>
      </c>
    </row>
    <row r="15934" customFormat="false" ht="14.4" hidden="true" customHeight="false" outlineLevel="0" collapsed="false">
      <c r="A15934" s="34" t="n">
        <v>28479193000124</v>
      </c>
      <c r="B15934" s="34" t="s">
        <v>29538</v>
      </c>
      <c r="C15934" s="34" t="s">
        <v>77</v>
      </c>
      <c r="E15934" s="30" t="s">
        <v>29539</v>
      </c>
      <c r="F15934" s="34" t="n">
        <f aca="false">IFERROR(VLOOKUP($A15934,'319'!$B:$H,7,0),0)</f>
        <v>0</v>
      </c>
      <c r="G15934" s="34" t="n">
        <f aca="false">SUMIFS('12.326ana'!$C:$C,'12.326ana'!$M:$M,redes!A15934)</f>
        <v>0</v>
      </c>
    </row>
    <row r="15935" customFormat="false" ht="14.4" hidden="true" customHeight="false" outlineLevel="0" collapsed="false">
      <c r="A15935" s="34" t="n">
        <v>28482328000100</v>
      </c>
      <c r="B15935" s="34" t="s">
        <v>29540</v>
      </c>
      <c r="C15935" s="34" t="s">
        <v>77</v>
      </c>
      <c r="E15935" s="30" t="s">
        <v>23461</v>
      </c>
      <c r="F15935" s="34" t="n">
        <f aca="false">IFERROR(VLOOKUP($A15935,'319'!$B:$H,7,0),0)</f>
        <v>0</v>
      </c>
      <c r="G15935" s="34" t="n">
        <f aca="false">SUMIFS('12.326ana'!$C:$C,'12.326ana'!$M:$M,redes!A15935)</f>
        <v>0</v>
      </c>
    </row>
    <row r="15936" customFormat="false" ht="14.4" hidden="true" customHeight="false" outlineLevel="0" collapsed="false">
      <c r="A15936" s="34" t="n">
        <v>28519613000159</v>
      </c>
      <c r="B15936" s="34" t="s">
        <v>29541</v>
      </c>
      <c r="C15936" s="34" t="s">
        <v>139</v>
      </c>
      <c r="E15936" s="30" t="s">
        <v>4262</v>
      </c>
      <c r="F15936" s="34" t="n">
        <f aca="false">IFERROR(VLOOKUP($A15936,'319'!$B:$H,7,0),0)</f>
        <v>282.69</v>
      </c>
      <c r="G15936" s="34" t="n">
        <f aca="false">SUMIFS('12.326ana'!$C:$C,'12.326ana'!$M:$M,redes!A15936)</f>
        <v>0</v>
      </c>
    </row>
    <row r="15937" customFormat="false" ht="14.4" hidden="true" customHeight="false" outlineLevel="0" collapsed="false">
      <c r="A15937" s="34" t="n">
        <v>28519613000230</v>
      </c>
      <c r="B15937" s="34" t="s">
        <v>29542</v>
      </c>
      <c r="C15937" s="34" t="s">
        <v>139</v>
      </c>
      <c r="E15937" s="30" t="s">
        <v>4262</v>
      </c>
      <c r="F15937" s="34" t="n">
        <f aca="false">IFERROR(VLOOKUP($A15937,'319'!$B:$H,7,0),0)</f>
        <v>-105.47</v>
      </c>
      <c r="G15937" s="34" t="n">
        <f aca="false">SUMIFS('12.326ana'!$C:$C,'12.326ana'!$M:$M,redes!A15937)</f>
        <v>0</v>
      </c>
    </row>
    <row r="15938" customFormat="false" ht="14.4" hidden="true" customHeight="false" outlineLevel="0" collapsed="false">
      <c r="A15938" s="34" t="n">
        <v>28534020000161</v>
      </c>
      <c r="B15938" s="34" t="s">
        <v>29543</v>
      </c>
      <c r="C15938" s="34" t="s">
        <v>77</v>
      </c>
      <c r="E15938" s="30" t="s">
        <v>29543</v>
      </c>
      <c r="F15938" s="34" t="n">
        <f aca="false">IFERROR(VLOOKUP($A15938,'319'!$B:$H,7,0),0)</f>
        <v>0</v>
      </c>
      <c r="G15938" s="34" t="n">
        <f aca="false">SUMIFS('12.326ana'!$C:$C,'12.326ana'!$M:$M,redes!A15938)</f>
        <v>0</v>
      </c>
    </row>
    <row r="15939" customFormat="false" ht="14.4" hidden="true" customHeight="false" outlineLevel="0" collapsed="false">
      <c r="A15939" s="34" t="n">
        <v>28546470000174</v>
      </c>
      <c r="B15939" s="34" t="s">
        <v>29544</v>
      </c>
      <c r="C15939" s="34" t="s">
        <v>77</v>
      </c>
      <c r="E15939" s="30" t="s">
        <v>29545</v>
      </c>
      <c r="F15939" s="34" t="n">
        <f aca="false">IFERROR(VLOOKUP($A15939,'319'!$B:$H,7,0),0)</f>
        <v>0</v>
      </c>
      <c r="G15939" s="34" t="n">
        <f aca="false">SUMIFS('12.326ana'!$C:$C,'12.326ana'!$M:$M,redes!A15939)</f>
        <v>0</v>
      </c>
    </row>
    <row r="15940" customFormat="false" ht="14.4" hidden="true" customHeight="false" outlineLevel="0" collapsed="false">
      <c r="A15940" s="34" t="n">
        <v>28548002000139</v>
      </c>
      <c r="B15940" s="34" t="s">
        <v>29546</v>
      </c>
      <c r="C15940" s="34" t="s">
        <v>77</v>
      </c>
      <c r="E15940" s="30" t="s">
        <v>29547</v>
      </c>
      <c r="F15940" s="34" t="n">
        <f aca="false">IFERROR(VLOOKUP($A15940,'319'!$B:$H,7,0),0)</f>
        <v>0</v>
      </c>
      <c r="G15940" s="34" t="n">
        <f aca="false">SUMIFS('12.326ana'!$C:$C,'12.326ana'!$M:$M,redes!A15940)</f>
        <v>0</v>
      </c>
    </row>
    <row r="15941" customFormat="false" ht="14.4" hidden="true" customHeight="false" outlineLevel="0" collapsed="false">
      <c r="A15941" s="34" t="n">
        <v>28549606000108</v>
      </c>
      <c r="B15941" s="34" t="s">
        <v>29548</v>
      </c>
      <c r="C15941" s="34" t="s">
        <v>77</v>
      </c>
      <c r="E15941" s="30" t="s">
        <v>29549</v>
      </c>
      <c r="F15941" s="34" t="n">
        <f aca="false">IFERROR(VLOOKUP($A15941,'319'!$B:$H,7,0),0)</f>
        <v>0</v>
      </c>
      <c r="G15941" s="34" t="n">
        <f aca="false">SUMIFS('12.326ana'!$C:$C,'12.326ana'!$M:$M,redes!A15941)</f>
        <v>0</v>
      </c>
    </row>
    <row r="15942" customFormat="false" ht="14.4" hidden="true" customHeight="false" outlineLevel="0" collapsed="false">
      <c r="A15942" s="34" t="n">
        <v>28556508000190</v>
      </c>
      <c r="B15942" s="34" t="s">
        <v>29550</v>
      </c>
      <c r="C15942" s="34" t="s">
        <v>764</v>
      </c>
      <c r="E15942" s="30" t="s">
        <v>8377</v>
      </c>
      <c r="F15942" s="34" t="n">
        <f aca="false">IFERROR(VLOOKUP($A15942,'319'!$B:$H,7,0),0)</f>
        <v>1946</v>
      </c>
      <c r="G15942" s="34" t="n">
        <f aca="false">SUMIFS('12.326ana'!$C:$C,'12.326ana'!$M:$M,redes!A15942)</f>
        <v>0</v>
      </c>
    </row>
    <row r="15943" customFormat="false" ht="14.4" hidden="true" customHeight="false" outlineLevel="0" collapsed="false">
      <c r="A15943" s="34" t="n">
        <v>28556680000143</v>
      </c>
      <c r="B15943" s="34" t="s">
        <v>29551</v>
      </c>
      <c r="C15943" s="34" t="s">
        <v>192</v>
      </c>
      <c r="E15943" s="30" t="s">
        <v>29552</v>
      </c>
      <c r="F15943" s="34" t="n">
        <f aca="false">IFERROR(VLOOKUP($A15943,'319'!$B:$H,7,0),0)</f>
        <v>0</v>
      </c>
      <c r="G15943" s="34" t="n">
        <f aca="false">SUMIFS('12.326ana'!$C:$C,'12.326ana'!$M:$M,redes!A15943)</f>
        <v>0</v>
      </c>
    </row>
    <row r="15944" customFormat="false" ht="14.4" hidden="true" customHeight="false" outlineLevel="0" collapsed="false">
      <c r="A15944" s="34" t="n">
        <v>28563356000152</v>
      </c>
      <c r="B15944" s="34" t="s">
        <v>29553</v>
      </c>
      <c r="C15944" s="34" t="s">
        <v>89</v>
      </c>
      <c r="E15944" s="30" t="s">
        <v>19692</v>
      </c>
      <c r="F15944" s="34" t="n">
        <f aca="false">IFERROR(VLOOKUP($A15944,'319'!$B:$H,7,0),0)</f>
        <v>0</v>
      </c>
      <c r="G15944" s="34" t="n">
        <f aca="false">SUMIFS('12.326ana'!$C:$C,'12.326ana'!$M:$M,redes!A15944)</f>
        <v>0</v>
      </c>
    </row>
    <row r="15945" customFormat="false" ht="14.4" hidden="true" customHeight="false" outlineLevel="0" collapsed="false">
      <c r="A15945" s="34" t="n">
        <v>28569096000122</v>
      </c>
      <c r="B15945" s="34" t="s">
        <v>29554</v>
      </c>
      <c r="C15945" s="34" t="s">
        <v>192</v>
      </c>
      <c r="E15945" s="30" t="s">
        <v>29555</v>
      </c>
      <c r="F15945" s="34" t="n">
        <f aca="false">IFERROR(VLOOKUP($A15945,'319'!$B:$H,7,0),0)</f>
        <v>0</v>
      </c>
      <c r="G15945" s="34" t="n">
        <f aca="false">SUMIFS('12.326ana'!$C:$C,'12.326ana'!$M:$M,redes!A15945)</f>
        <v>0</v>
      </c>
    </row>
    <row r="15946" customFormat="false" ht="14.4" hidden="true" customHeight="false" outlineLevel="0" collapsed="false">
      <c r="A15946" s="34" t="n">
        <v>28637953000184</v>
      </c>
      <c r="B15946" s="34" t="s">
        <v>753</v>
      </c>
      <c r="C15946" s="34" t="s">
        <v>77</v>
      </c>
      <c r="E15946" s="30" t="s">
        <v>29556</v>
      </c>
      <c r="F15946" s="34" t="n">
        <f aca="false">IFERROR(VLOOKUP($A15946,'319'!$B:$H,7,0),0)</f>
        <v>4261.5</v>
      </c>
      <c r="G15946" s="34" t="n">
        <f aca="false">SUMIFS('12.326ana'!$C:$C,'12.326ana'!$M:$M,redes!A15946)</f>
        <v>0</v>
      </c>
    </row>
    <row r="15947" customFormat="false" ht="14.4" hidden="true" customHeight="false" outlineLevel="0" collapsed="false">
      <c r="A15947" s="34" t="n">
        <v>28638434000130</v>
      </c>
      <c r="B15947" s="34" t="s">
        <v>29557</v>
      </c>
      <c r="C15947" s="34" t="s">
        <v>77</v>
      </c>
      <c r="E15947" s="30" t="s">
        <v>4010</v>
      </c>
      <c r="F15947" s="34" t="n">
        <f aca="false">IFERROR(VLOOKUP($A15947,'319'!$B:$H,7,0),0)</f>
        <v>89.71</v>
      </c>
      <c r="G15947" s="34" t="n">
        <f aca="false">SUMIFS('12.326ana'!$C:$C,'12.326ana'!$M:$M,redes!A15947)</f>
        <v>0</v>
      </c>
    </row>
    <row r="15948" customFormat="false" ht="14.4" hidden="true" customHeight="false" outlineLevel="0" collapsed="false">
      <c r="A15948" s="34" t="n">
        <v>28638434000211</v>
      </c>
      <c r="B15948" s="34" t="s">
        <v>29557</v>
      </c>
      <c r="C15948" s="34" t="s">
        <v>77</v>
      </c>
      <c r="E15948" s="30" t="s">
        <v>4010</v>
      </c>
      <c r="F15948" s="34" t="n">
        <f aca="false">IFERROR(VLOOKUP($A15948,'319'!$B:$H,7,0),0)</f>
        <v>0</v>
      </c>
      <c r="G15948" s="34" t="n">
        <f aca="false">SUMIFS('12.326ana'!$C:$C,'12.326ana'!$M:$M,redes!A15948)</f>
        <v>0</v>
      </c>
    </row>
    <row r="15949" customFormat="false" ht="14.4" hidden="true" customHeight="false" outlineLevel="0" collapsed="false">
      <c r="A15949" s="34" t="n">
        <v>28642549000107</v>
      </c>
      <c r="B15949" s="34" t="s">
        <v>29558</v>
      </c>
      <c r="C15949" s="34" t="s">
        <v>706</v>
      </c>
      <c r="E15949" s="30" t="s">
        <v>29559</v>
      </c>
      <c r="F15949" s="34" t="n">
        <f aca="false">IFERROR(VLOOKUP($A15949,'319'!$B:$H,7,0),0)</f>
        <v>0</v>
      </c>
      <c r="G15949" s="34" t="n">
        <f aca="false">SUMIFS('12.326ana'!$C:$C,'12.326ana'!$M:$M,redes!A15949)</f>
        <v>0</v>
      </c>
    </row>
    <row r="15950" customFormat="false" ht="14.4" hidden="true" customHeight="false" outlineLevel="0" collapsed="false">
      <c r="A15950" s="34" t="n">
        <v>28649091000100</v>
      </c>
      <c r="B15950" s="34" t="s">
        <v>29560</v>
      </c>
      <c r="C15950" s="34" t="s">
        <v>139</v>
      </c>
      <c r="E15950" s="30" t="s">
        <v>29561</v>
      </c>
      <c r="F15950" s="34" t="n">
        <f aca="false">IFERROR(VLOOKUP($A15950,'319'!$B:$H,7,0),0)</f>
        <v>0</v>
      </c>
      <c r="G15950" s="34" t="n">
        <f aca="false">SUMIFS('12.326ana'!$C:$C,'12.326ana'!$M:$M,redes!A15950)</f>
        <v>0</v>
      </c>
    </row>
    <row r="15951" customFormat="false" ht="14.4" hidden="true" customHeight="false" outlineLevel="0" collapsed="false">
      <c r="A15951" s="34" t="n">
        <v>28649334000100</v>
      </c>
      <c r="B15951" s="34" t="s">
        <v>29562</v>
      </c>
      <c r="C15951" s="34" t="s">
        <v>979</v>
      </c>
      <c r="E15951" s="30" t="s">
        <v>29563</v>
      </c>
      <c r="F15951" s="34" t="n">
        <f aca="false">IFERROR(VLOOKUP($A15951,'319'!$B:$H,7,0),0)</f>
        <v>0</v>
      </c>
      <c r="G15951" s="34" t="n">
        <f aca="false">SUMIFS('12.326ana'!$C:$C,'12.326ana'!$M:$M,redes!A15951)</f>
        <v>0</v>
      </c>
    </row>
    <row r="15952" customFormat="false" ht="14.4" hidden="true" customHeight="false" outlineLevel="0" collapsed="false">
      <c r="A15952" s="34" t="n">
        <v>28650439000189</v>
      </c>
      <c r="B15952" s="34" t="s">
        <v>29564</v>
      </c>
      <c r="C15952" s="34" t="s">
        <v>117</v>
      </c>
      <c r="E15952" s="30" t="s">
        <v>29565</v>
      </c>
      <c r="F15952" s="34" t="n">
        <f aca="false">IFERROR(VLOOKUP($A15952,'319'!$B:$H,7,0),0)</f>
        <v>0</v>
      </c>
      <c r="G15952" s="34" t="n">
        <f aca="false">SUMIFS('12.326ana'!$C:$C,'12.326ana'!$M:$M,redes!A15952)</f>
        <v>0</v>
      </c>
    </row>
    <row r="15953" customFormat="false" ht="14.4" hidden="true" customHeight="false" outlineLevel="0" collapsed="false">
      <c r="A15953" s="34" t="n">
        <v>28660972000121</v>
      </c>
      <c r="B15953" s="34" t="s">
        <v>29566</v>
      </c>
      <c r="C15953" s="34" t="s">
        <v>213</v>
      </c>
      <c r="E15953" s="30" t="s">
        <v>10018</v>
      </c>
      <c r="F15953" s="34" t="n">
        <f aca="false">IFERROR(VLOOKUP($A15953,'319'!$B:$H,7,0),0)</f>
        <v>0</v>
      </c>
      <c r="G15953" s="34" t="n">
        <f aca="false">SUMIFS('12.326ana'!$C:$C,'12.326ana'!$M:$M,redes!A15953)</f>
        <v>0</v>
      </c>
    </row>
    <row r="15954" customFormat="false" ht="14.4" hidden="true" customHeight="false" outlineLevel="0" collapsed="false">
      <c r="A15954" s="34" t="n">
        <v>28669808000185</v>
      </c>
      <c r="B15954" s="34" t="s">
        <v>29567</v>
      </c>
      <c r="C15954" s="34" t="s">
        <v>77</v>
      </c>
      <c r="E15954" s="30" t="s">
        <v>29568</v>
      </c>
      <c r="F15954" s="34" t="n">
        <f aca="false">IFERROR(VLOOKUP($A15954,'319'!$B:$H,7,0),0)</f>
        <v>0</v>
      </c>
      <c r="G15954" s="34" t="n">
        <f aca="false">SUMIFS('12.326ana'!$C:$C,'12.326ana'!$M:$M,redes!A15954)</f>
        <v>0</v>
      </c>
    </row>
    <row r="15955" customFormat="false" ht="14.4" hidden="true" customHeight="false" outlineLevel="0" collapsed="false">
      <c r="A15955" s="34" t="n">
        <v>28680094000106</v>
      </c>
      <c r="B15955" s="34" t="s">
        <v>29569</v>
      </c>
      <c r="C15955" s="34" t="s">
        <v>77</v>
      </c>
      <c r="E15955" s="30" t="s">
        <v>29570</v>
      </c>
      <c r="F15955" s="34" t="n">
        <f aca="false">IFERROR(VLOOKUP($A15955,'319'!$B:$H,7,0),0)</f>
        <v>0</v>
      </c>
      <c r="G15955" s="34" t="n">
        <f aca="false">SUMIFS('12.326ana'!$C:$C,'12.326ana'!$M:$M,redes!A15955)</f>
        <v>0</v>
      </c>
    </row>
    <row r="15956" customFormat="false" ht="14.4" hidden="true" customHeight="false" outlineLevel="0" collapsed="false">
      <c r="A15956" s="34" t="n">
        <v>28686424000170</v>
      </c>
      <c r="B15956" s="34" t="s">
        <v>29571</v>
      </c>
      <c r="C15956" s="34" t="s">
        <v>77</v>
      </c>
      <c r="E15956" s="30" t="s">
        <v>29572</v>
      </c>
      <c r="F15956" s="34" t="n">
        <f aca="false">IFERROR(VLOOKUP($A15956,'319'!$B:$H,7,0),0)</f>
        <v>0</v>
      </c>
      <c r="G15956" s="34" t="n">
        <f aca="false">SUMIFS('12.326ana'!$C:$C,'12.326ana'!$M:$M,redes!A15956)</f>
        <v>0</v>
      </c>
    </row>
    <row r="15957" customFormat="false" ht="14.4" hidden="true" customHeight="false" outlineLevel="0" collapsed="false">
      <c r="A15957" s="34" t="n">
        <v>28693407000160</v>
      </c>
      <c r="B15957" s="34" t="s">
        <v>29573</v>
      </c>
      <c r="C15957" s="34" t="s">
        <v>77</v>
      </c>
      <c r="E15957" s="30" t="s">
        <v>29574</v>
      </c>
      <c r="F15957" s="34" t="n">
        <f aca="false">IFERROR(VLOOKUP($A15957,'319'!$B:$H,7,0),0)</f>
        <v>0</v>
      </c>
      <c r="G15957" s="34" t="n">
        <f aca="false">SUMIFS('12.326ana'!$C:$C,'12.326ana'!$M:$M,redes!A15957)</f>
        <v>0</v>
      </c>
    </row>
    <row r="15958" customFormat="false" ht="14.4" hidden="true" customHeight="false" outlineLevel="0" collapsed="false">
      <c r="A15958" s="34" t="n">
        <v>28694242000303</v>
      </c>
      <c r="B15958" s="34" t="s">
        <v>29575</v>
      </c>
      <c r="C15958" s="34" t="s">
        <v>77</v>
      </c>
      <c r="E15958" s="30" t="s">
        <v>29576</v>
      </c>
      <c r="F15958" s="34" t="n">
        <f aca="false">IFERROR(VLOOKUP($A15958,'319'!$B:$H,7,0),0)</f>
        <v>0</v>
      </c>
      <c r="G15958" s="34" t="n">
        <f aca="false">SUMIFS('12.326ana'!$C:$C,'12.326ana'!$M:$M,redes!A15958)</f>
        <v>0</v>
      </c>
    </row>
    <row r="15959" customFormat="false" ht="14.4" hidden="true" customHeight="false" outlineLevel="0" collapsed="false">
      <c r="A15959" s="34" t="n">
        <v>28704774000112</v>
      </c>
      <c r="B15959" s="34" t="s">
        <v>29577</v>
      </c>
      <c r="C15959" s="34" t="s">
        <v>77</v>
      </c>
      <c r="E15959" s="30" t="s">
        <v>29578</v>
      </c>
      <c r="F15959" s="34" t="n">
        <f aca="false">IFERROR(VLOOKUP($A15959,'319'!$B:$H,7,0),0)</f>
        <v>0</v>
      </c>
      <c r="G15959" s="34" t="n">
        <f aca="false">SUMIFS('12.326ana'!$C:$C,'12.326ana'!$M:$M,redes!A15959)</f>
        <v>0</v>
      </c>
    </row>
    <row r="15960" customFormat="false" ht="14.4" hidden="true" customHeight="false" outlineLevel="0" collapsed="false">
      <c r="A15960" s="34" t="n">
        <v>28705173000124</v>
      </c>
      <c r="B15960" s="34" t="s">
        <v>29579</v>
      </c>
      <c r="C15960" s="34" t="s">
        <v>77</v>
      </c>
      <c r="E15960" s="30" t="s">
        <v>29580</v>
      </c>
      <c r="F15960" s="34" t="n">
        <f aca="false">IFERROR(VLOOKUP($A15960,'319'!$B:$H,7,0),0)</f>
        <v>0</v>
      </c>
      <c r="G15960" s="34" t="n">
        <f aca="false">SUMIFS('12.326ana'!$C:$C,'12.326ana'!$M:$M,redes!A15960)</f>
        <v>0</v>
      </c>
    </row>
    <row r="15961" customFormat="false" ht="14.4" hidden="true" customHeight="false" outlineLevel="0" collapsed="false">
      <c r="A15961" s="34" t="n">
        <v>28709781000107</v>
      </c>
      <c r="B15961" s="34" t="s">
        <v>29581</v>
      </c>
      <c r="C15961" s="34" t="s">
        <v>77</v>
      </c>
      <c r="E15961" s="30" t="s">
        <v>29582</v>
      </c>
      <c r="F15961" s="34" t="n">
        <f aca="false">IFERROR(VLOOKUP($A15961,'319'!$B:$H,7,0),0)</f>
        <v>0</v>
      </c>
      <c r="G15961" s="34" t="n">
        <f aca="false">SUMIFS('12.326ana'!$C:$C,'12.326ana'!$M:$M,redes!A15961)</f>
        <v>0</v>
      </c>
    </row>
    <row r="15962" customFormat="false" ht="14.4" hidden="true" customHeight="false" outlineLevel="0" collapsed="false">
      <c r="A15962" s="34" t="n">
        <v>28715739000107</v>
      </c>
      <c r="B15962" s="34" t="s">
        <v>29583</v>
      </c>
      <c r="C15962" s="34" t="s">
        <v>1680</v>
      </c>
      <c r="E15962" s="30" t="s">
        <v>29584</v>
      </c>
      <c r="F15962" s="34" t="n">
        <f aca="false">IFERROR(VLOOKUP($A15962,'319'!$B:$H,7,0),0)</f>
        <v>0</v>
      </c>
      <c r="G15962" s="34" t="n">
        <f aca="false">SUMIFS('12.326ana'!$C:$C,'12.326ana'!$M:$M,redes!A15962)</f>
        <v>0</v>
      </c>
    </row>
    <row r="15963" customFormat="false" ht="14.4" hidden="true" customHeight="false" outlineLevel="0" collapsed="false">
      <c r="A15963" s="34" t="n">
        <v>28725974000151</v>
      </c>
      <c r="B15963" s="34" t="s">
        <v>29585</v>
      </c>
      <c r="C15963" s="34" t="s">
        <v>77</v>
      </c>
      <c r="E15963" s="30" t="s">
        <v>27635</v>
      </c>
      <c r="F15963" s="34" t="n">
        <f aca="false">IFERROR(VLOOKUP($A15963,'319'!$B:$H,7,0),0)</f>
        <v>0</v>
      </c>
      <c r="G15963" s="34" t="n">
        <f aca="false">SUMIFS('12.326ana'!$C:$C,'12.326ana'!$M:$M,redes!A15963)</f>
        <v>0</v>
      </c>
    </row>
    <row r="15964" customFormat="false" ht="14.4" hidden="true" customHeight="false" outlineLevel="0" collapsed="false">
      <c r="A15964" s="34" t="n">
        <v>28728174000194</v>
      </c>
      <c r="B15964" s="34" t="s">
        <v>29586</v>
      </c>
      <c r="C15964" s="34" t="s">
        <v>77</v>
      </c>
      <c r="E15964" s="30"/>
      <c r="F15964" s="34" t="n">
        <f aca="false">IFERROR(VLOOKUP($A15964,'319'!$B:$H,7,0),0)</f>
        <v>0</v>
      </c>
      <c r="G15964" s="34" t="n">
        <f aca="false">SUMIFS('12.326ana'!$C:$C,'12.326ana'!$M:$M,redes!A15964)</f>
        <v>0</v>
      </c>
    </row>
    <row r="15965" customFormat="false" ht="14.4" hidden="true" customHeight="false" outlineLevel="0" collapsed="false">
      <c r="A15965" s="34" t="n">
        <v>28728945000143</v>
      </c>
      <c r="B15965" s="34" t="s">
        <v>29587</v>
      </c>
      <c r="C15965" s="34" t="s">
        <v>89</v>
      </c>
      <c r="E15965" s="30" t="s">
        <v>29588</v>
      </c>
      <c r="F15965" s="34" t="n">
        <f aca="false">IFERROR(VLOOKUP($A15965,'319'!$B:$H,7,0),0)</f>
        <v>0</v>
      </c>
      <c r="G15965" s="34" t="n">
        <f aca="false">SUMIFS('12.326ana'!$C:$C,'12.326ana'!$M:$M,redes!A15965)</f>
        <v>0</v>
      </c>
    </row>
    <row r="15966" customFormat="false" ht="14.4" hidden="true" customHeight="false" outlineLevel="0" collapsed="false">
      <c r="A15966" s="34" t="n">
        <v>28741222000184</v>
      </c>
      <c r="B15966" s="34" t="s">
        <v>29589</v>
      </c>
      <c r="C15966" s="34" t="s">
        <v>77</v>
      </c>
      <c r="E15966" s="30" t="s">
        <v>29590</v>
      </c>
      <c r="F15966" s="34" t="n">
        <f aca="false">IFERROR(VLOOKUP($A15966,'319'!$B:$H,7,0),0)</f>
        <v>0</v>
      </c>
      <c r="G15966" s="34" t="n">
        <f aca="false">SUMIFS('12.326ana'!$C:$C,'12.326ana'!$M:$M,redes!A15966)</f>
        <v>0</v>
      </c>
    </row>
    <row r="15967" customFormat="false" ht="14.4" hidden="true" customHeight="false" outlineLevel="0" collapsed="false">
      <c r="A15967" s="34" t="n">
        <v>28747064000170</v>
      </c>
      <c r="B15967" s="34" t="s">
        <v>29591</v>
      </c>
      <c r="C15967" s="34" t="s">
        <v>598</v>
      </c>
      <c r="E15967" s="30" t="s">
        <v>29592</v>
      </c>
      <c r="F15967" s="34" t="n">
        <f aca="false">IFERROR(VLOOKUP($A15967,'319'!$B:$H,7,0),0)</f>
        <v>145.28</v>
      </c>
      <c r="G15967" s="34" t="n">
        <f aca="false">SUMIFS('12.326ana'!$C:$C,'12.326ana'!$M:$M,redes!A15967)</f>
        <v>0</v>
      </c>
    </row>
    <row r="15968" customFormat="false" ht="14.4" hidden="true" customHeight="false" outlineLevel="0" collapsed="false">
      <c r="A15968" s="34" t="n">
        <v>28758346000172</v>
      </c>
      <c r="B15968" s="34" t="s">
        <v>29593</v>
      </c>
      <c r="C15968" s="34" t="s">
        <v>77</v>
      </c>
      <c r="E15968" s="30" t="s">
        <v>29594</v>
      </c>
      <c r="F15968" s="34" t="n">
        <f aca="false">IFERROR(VLOOKUP($A15968,'319'!$B:$H,7,0),0)</f>
        <v>0</v>
      </c>
      <c r="G15968" s="34" t="n">
        <f aca="false">SUMIFS('12.326ana'!$C:$C,'12.326ana'!$M:$M,redes!A15968)</f>
        <v>0</v>
      </c>
    </row>
    <row r="15969" customFormat="false" ht="14.4" hidden="true" customHeight="false" outlineLevel="0" collapsed="false">
      <c r="A15969" s="34" t="n">
        <v>28759755000193</v>
      </c>
      <c r="B15969" s="34" t="s">
        <v>29595</v>
      </c>
      <c r="C15969" s="34" t="s">
        <v>77</v>
      </c>
      <c r="E15969" s="30" t="s">
        <v>29596</v>
      </c>
      <c r="F15969" s="34" t="n">
        <f aca="false">IFERROR(VLOOKUP($A15969,'319'!$B:$H,7,0),0)</f>
        <v>0</v>
      </c>
      <c r="G15969" s="34" t="n">
        <f aca="false">SUMIFS('12.326ana'!$C:$C,'12.326ana'!$M:$M,redes!A15969)</f>
        <v>0</v>
      </c>
    </row>
    <row r="15970" customFormat="false" ht="14.4" hidden="true" customHeight="false" outlineLevel="0" collapsed="false">
      <c r="A15970" s="34" t="n">
        <v>28769494000192</v>
      </c>
      <c r="B15970" s="34" t="s">
        <v>29597</v>
      </c>
      <c r="C15970" s="34" t="s">
        <v>77</v>
      </c>
      <c r="E15970" s="30" t="s">
        <v>29598</v>
      </c>
      <c r="F15970" s="34" t="n">
        <f aca="false">IFERROR(VLOOKUP($A15970,'319'!$B:$H,7,0),0)</f>
        <v>0</v>
      </c>
      <c r="G15970" s="34" t="n">
        <f aca="false">SUMIFS('12.326ana'!$C:$C,'12.326ana'!$M:$M,redes!A15970)</f>
        <v>0</v>
      </c>
    </row>
    <row r="15971" customFormat="false" ht="14.4" hidden="true" customHeight="false" outlineLevel="0" collapsed="false">
      <c r="A15971" s="34" t="n">
        <v>28778241000185</v>
      </c>
      <c r="B15971" s="34" t="s">
        <v>29599</v>
      </c>
      <c r="C15971" s="34" t="s">
        <v>77</v>
      </c>
      <c r="E15971" s="30" t="s">
        <v>29600</v>
      </c>
      <c r="F15971" s="34" t="n">
        <f aca="false">IFERROR(VLOOKUP($A15971,'319'!$B:$H,7,0),0)</f>
        <v>0</v>
      </c>
      <c r="G15971" s="34" t="n">
        <f aca="false">SUMIFS('12.326ana'!$C:$C,'12.326ana'!$M:$M,redes!A15971)</f>
        <v>0</v>
      </c>
    </row>
    <row r="15972" customFormat="false" ht="14.4" hidden="true" customHeight="false" outlineLevel="0" collapsed="false">
      <c r="A15972" s="34" t="n">
        <v>28787420000189</v>
      </c>
      <c r="B15972" s="34" t="s">
        <v>29601</v>
      </c>
      <c r="C15972" s="34" t="s">
        <v>842</v>
      </c>
      <c r="E15972" s="30" t="s">
        <v>29602</v>
      </c>
      <c r="F15972" s="34" t="n">
        <f aca="false">IFERROR(VLOOKUP($A15972,'319'!$B:$H,7,0),0)</f>
        <v>250.33</v>
      </c>
      <c r="G15972" s="34" t="n">
        <f aca="false">SUMIFS('12.326ana'!$C:$C,'12.326ana'!$M:$M,redes!A15972)</f>
        <v>0</v>
      </c>
    </row>
    <row r="15973" customFormat="false" ht="14.4" hidden="true" customHeight="false" outlineLevel="0" collapsed="false">
      <c r="A15973" s="34" t="n">
        <v>28797044000103</v>
      </c>
      <c r="B15973" s="34" t="s">
        <v>29603</v>
      </c>
      <c r="C15973" s="34" t="s">
        <v>764</v>
      </c>
      <c r="E15973" s="30" t="s">
        <v>29604</v>
      </c>
      <c r="F15973" s="34" t="n">
        <f aca="false">IFERROR(VLOOKUP($A15973,'319'!$B:$H,7,0),0)</f>
        <v>0</v>
      </c>
      <c r="G15973" s="34" t="n">
        <f aca="false">SUMIFS('12.326ana'!$C:$C,'12.326ana'!$M:$M,redes!A15973)</f>
        <v>0</v>
      </c>
    </row>
    <row r="15974" customFormat="false" ht="14.4" hidden="true" customHeight="false" outlineLevel="0" collapsed="false">
      <c r="A15974" s="34" t="n">
        <v>28800131000172</v>
      </c>
      <c r="B15974" s="34" t="s">
        <v>29605</v>
      </c>
      <c r="C15974" s="34" t="s">
        <v>77</v>
      </c>
      <c r="E15974" s="30" t="s">
        <v>29606</v>
      </c>
      <c r="F15974" s="34" t="n">
        <f aca="false">IFERROR(VLOOKUP($A15974,'319'!$B:$H,7,0),0)</f>
        <v>0</v>
      </c>
      <c r="G15974" s="34" t="n">
        <f aca="false">SUMIFS('12.326ana'!$C:$C,'12.326ana'!$M:$M,redes!A15974)</f>
        <v>0</v>
      </c>
    </row>
    <row r="15975" customFormat="false" ht="14.4" hidden="true" customHeight="false" outlineLevel="0" collapsed="false">
      <c r="A15975" s="34" t="n">
        <v>28804848000192</v>
      </c>
      <c r="B15975" s="34" t="s">
        <v>29607</v>
      </c>
      <c r="C15975" s="34" t="s">
        <v>77</v>
      </c>
      <c r="E15975" s="30" t="s">
        <v>29608</v>
      </c>
      <c r="F15975" s="34" t="n">
        <f aca="false">IFERROR(VLOOKUP($A15975,'319'!$B:$H,7,0),0)</f>
        <v>0</v>
      </c>
      <c r="G15975" s="34" t="n">
        <f aca="false">SUMIFS('12.326ana'!$C:$C,'12.326ana'!$M:$M,redes!A15975)</f>
        <v>0</v>
      </c>
    </row>
    <row r="15976" customFormat="false" ht="14.4" hidden="true" customHeight="false" outlineLevel="0" collapsed="false">
      <c r="A15976" s="34" t="n">
        <v>28807775000192</v>
      </c>
      <c r="B15976" s="34" t="s">
        <v>29609</v>
      </c>
      <c r="C15976" s="34" t="s">
        <v>103</v>
      </c>
      <c r="E15976" s="30" t="s">
        <v>8653</v>
      </c>
      <c r="F15976" s="34" t="n">
        <f aca="false">IFERROR(VLOOKUP($A15976,'319'!$B:$H,7,0),0)</f>
        <v>1200.29</v>
      </c>
      <c r="G15976" s="34" t="n">
        <f aca="false">SUMIFS('12.326ana'!$C:$C,'12.326ana'!$M:$M,redes!A15976)</f>
        <v>0</v>
      </c>
    </row>
    <row r="15977" customFormat="false" ht="14.4" hidden="true" customHeight="false" outlineLevel="0" collapsed="false">
      <c r="A15977" s="34" t="n">
        <v>28808088000191</v>
      </c>
      <c r="B15977" s="34" t="s">
        <v>29610</v>
      </c>
      <c r="C15977" s="34" t="s">
        <v>77</v>
      </c>
      <c r="E15977" s="30" t="s">
        <v>29611</v>
      </c>
      <c r="F15977" s="34" t="n">
        <f aca="false">IFERROR(VLOOKUP($A15977,'319'!$B:$H,7,0),0)</f>
        <v>0</v>
      </c>
      <c r="G15977" s="34" t="n">
        <f aca="false">SUMIFS('12.326ana'!$C:$C,'12.326ana'!$M:$M,redes!A15977)</f>
        <v>0</v>
      </c>
    </row>
    <row r="15978" customFormat="false" ht="14.4" hidden="true" customHeight="false" outlineLevel="0" collapsed="false">
      <c r="A15978" s="34" t="n">
        <v>28808325000114</v>
      </c>
      <c r="B15978" s="34" t="s">
        <v>938</v>
      </c>
      <c r="C15978" s="34" t="s">
        <v>89</v>
      </c>
      <c r="E15978" s="30" t="s">
        <v>29612</v>
      </c>
      <c r="F15978" s="34" t="n">
        <f aca="false">IFERROR(VLOOKUP($A15978,'319'!$B:$H,7,0),0)</f>
        <v>1211.42</v>
      </c>
      <c r="G15978" s="34" t="n">
        <f aca="false">SUMIFS('12.326ana'!$C:$C,'12.326ana'!$M:$M,redes!A15978)</f>
        <v>0</v>
      </c>
    </row>
    <row r="15979" customFormat="false" ht="14.4" hidden="true" customHeight="false" outlineLevel="0" collapsed="false">
      <c r="A15979" s="34" t="n">
        <v>28848716000162</v>
      </c>
      <c r="B15979" s="34" t="s">
        <v>29613</v>
      </c>
      <c r="C15979" s="34" t="s">
        <v>77</v>
      </c>
      <c r="E15979" s="30" t="s">
        <v>29614</v>
      </c>
      <c r="F15979" s="34" t="n">
        <f aca="false">IFERROR(VLOOKUP($A15979,'319'!$B:$H,7,0),0)</f>
        <v>0</v>
      </c>
      <c r="G15979" s="34" t="n">
        <f aca="false">SUMIFS('12.326ana'!$C:$C,'12.326ana'!$M:$M,redes!A15979)</f>
        <v>0</v>
      </c>
    </row>
    <row r="15980" customFormat="false" ht="14.4" hidden="true" customHeight="false" outlineLevel="0" collapsed="false">
      <c r="A15980" s="34" t="n">
        <v>28855132000114</v>
      </c>
      <c r="B15980" s="34" t="s">
        <v>29615</v>
      </c>
      <c r="C15980" s="34" t="s">
        <v>1054</v>
      </c>
      <c r="E15980" s="30" t="s">
        <v>29616</v>
      </c>
      <c r="F15980" s="34" t="n">
        <f aca="false">IFERROR(VLOOKUP($A15980,'319'!$B:$H,7,0),0)</f>
        <v>0</v>
      </c>
      <c r="G15980" s="34" t="n">
        <f aca="false">SUMIFS('12.326ana'!$C:$C,'12.326ana'!$M:$M,redes!A15980)</f>
        <v>0</v>
      </c>
    </row>
    <row r="15981" customFormat="false" ht="14.4" hidden="true" customHeight="false" outlineLevel="0" collapsed="false">
      <c r="A15981" s="34" t="n">
        <v>28857718000118</v>
      </c>
      <c r="B15981" s="34" t="s">
        <v>29617</v>
      </c>
      <c r="C15981" s="34" t="s">
        <v>744</v>
      </c>
      <c r="E15981" s="30" t="s">
        <v>29618</v>
      </c>
      <c r="F15981" s="34" t="n">
        <f aca="false">IFERROR(VLOOKUP($A15981,'319'!$B:$H,7,0),0)</f>
        <v>0</v>
      </c>
      <c r="G15981" s="34" t="n">
        <f aca="false">SUMIFS('12.326ana'!$C:$C,'12.326ana'!$M:$M,redes!A15981)</f>
        <v>0</v>
      </c>
    </row>
    <row r="15982" customFormat="false" ht="14.4" hidden="true" customHeight="false" outlineLevel="0" collapsed="false">
      <c r="A15982" s="34" t="n">
        <v>28864029000130</v>
      </c>
      <c r="B15982" s="34" t="s">
        <v>29619</v>
      </c>
      <c r="C15982" s="34" t="s">
        <v>77</v>
      </c>
      <c r="E15982" s="30" t="s">
        <v>29620</v>
      </c>
      <c r="F15982" s="34" t="n">
        <f aca="false">IFERROR(VLOOKUP($A15982,'319'!$B:$H,7,0),0)</f>
        <v>0</v>
      </c>
      <c r="G15982" s="34" t="n">
        <f aca="false">SUMIFS('12.326ana'!$C:$C,'12.326ana'!$M:$M,redes!A15982)</f>
        <v>0</v>
      </c>
    </row>
    <row r="15983" customFormat="false" ht="14.4" hidden="true" customHeight="false" outlineLevel="0" collapsed="false">
      <c r="A15983" s="34" t="n">
        <v>28868147000117</v>
      </c>
      <c r="B15983" s="34" t="s">
        <v>29621</v>
      </c>
      <c r="C15983" s="34" t="s">
        <v>562</v>
      </c>
      <c r="E15983" s="30" t="s">
        <v>3927</v>
      </c>
      <c r="F15983" s="34" t="n">
        <f aca="false">IFERROR(VLOOKUP($A15983,'319'!$B:$H,7,0),0)</f>
        <v>0</v>
      </c>
      <c r="G15983" s="34" t="n">
        <f aca="false">SUMIFS('12.326ana'!$C:$C,'12.326ana'!$M:$M,redes!A15983)</f>
        <v>0</v>
      </c>
    </row>
    <row r="15984" customFormat="false" ht="14.4" hidden="true" customHeight="false" outlineLevel="0" collapsed="false">
      <c r="A15984" s="34" t="n">
        <v>28874904000165</v>
      </c>
      <c r="B15984" s="34" t="s">
        <v>29622</v>
      </c>
      <c r="C15984" s="34" t="s">
        <v>103</v>
      </c>
      <c r="E15984" s="30" t="s">
        <v>29623</v>
      </c>
      <c r="F15984" s="34" t="n">
        <f aca="false">IFERROR(VLOOKUP($A15984,'319'!$B:$H,7,0),0)</f>
        <v>0</v>
      </c>
      <c r="G15984" s="34" t="n">
        <f aca="false">SUMIFS('12.326ana'!$C:$C,'12.326ana'!$M:$M,redes!A15984)</f>
        <v>0</v>
      </c>
    </row>
    <row r="15985" customFormat="false" ht="14.4" hidden="true" customHeight="false" outlineLevel="0" collapsed="false">
      <c r="A15985" s="34" t="n">
        <v>28878467000158</v>
      </c>
      <c r="B15985" s="34" t="s">
        <v>29624</v>
      </c>
      <c r="C15985" s="34" t="s">
        <v>129</v>
      </c>
      <c r="E15985" s="30" t="s">
        <v>29625</v>
      </c>
      <c r="F15985" s="34" t="n">
        <f aca="false">IFERROR(VLOOKUP($A15985,'319'!$B:$H,7,0),0)</f>
        <v>0</v>
      </c>
      <c r="G15985" s="34" t="n">
        <f aca="false">SUMIFS('12.326ana'!$C:$C,'12.326ana'!$M:$M,redes!A15985)</f>
        <v>0</v>
      </c>
    </row>
    <row r="15986" customFormat="false" ht="14.4" hidden="true" customHeight="false" outlineLevel="0" collapsed="false">
      <c r="A15986" s="34" t="n">
        <v>28899006000161</v>
      </c>
      <c r="B15986" s="34" t="s">
        <v>29626</v>
      </c>
      <c r="C15986" s="34" t="s">
        <v>565</v>
      </c>
      <c r="E15986" s="30" t="s">
        <v>29627</v>
      </c>
      <c r="F15986" s="34" t="n">
        <f aca="false">IFERROR(VLOOKUP($A15986,'319'!$B:$H,7,0),0)</f>
        <v>0</v>
      </c>
      <c r="G15986" s="34" t="n">
        <f aca="false">SUMIFS('12.326ana'!$C:$C,'12.326ana'!$M:$M,redes!A15986)</f>
        <v>0</v>
      </c>
    </row>
    <row r="15987" customFormat="false" ht="14.4" hidden="true" customHeight="false" outlineLevel="0" collapsed="false">
      <c r="A15987" s="34" t="n">
        <v>28900501000143</v>
      </c>
      <c r="B15987" s="34" t="s">
        <v>29628</v>
      </c>
      <c r="C15987" s="34" t="s">
        <v>77</v>
      </c>
      <c r="E15987" s="30" t="s">
        <v>29629</v>
      </c>
      <c r="F15987" s="34" t="n">
        <f aca="false">IFERROR(VLOOKUP($A15987,'319'!$B:$H,7,0),0)</f>
        <v>0</v>
      </c>
      <c r="G15987" s="34" t="n">
        <f aca="false">SUMIFS('12.326ana'!$C:$C,'12.326ana'!$M:$M,redes!A15987)</f>
        <v>0</v>
      </c>
    </row>
    <row r="15988" customFormat="false" ht="14.4" hidden="true" customHeight="false" outlineLevel="0" collapsed="false">
      <c r="A15988" s="34" t="n">
        <v>28903172000194</v>
      </c>
      <c r="B15988" s="34" t="s">
        <v>29630</v>
      </c>
      <c r="C15988" s="34" t="s">
        <v>89</v>
      </c>
      <c r="E15988" s="30" t="s">
        <v>29631</v>
      </c>
      <c r="F15988" s="34" t="n">
        <f aca="false">IFERROR(VLOOKUP($A15988,'319'!$B:$H,7,0),0)</f>
        <v>0</v>
      </c>
      <c r="G15988" s="34" t="n">
        <f aca="false">SUMIFS('12.326ana'!$C:$C,'12.326ana'!$M:$M,redes!A15988)</f>
        <v>0</v>
      </c>
    </row>
    <row r="15989" customFormat="false" ht="14.4" hidden="true" customHeight="false" outlineLevel="0" collapsed="false">
      <c r="A15989" s="34" t="n">
        <v>28908211000146</v>
      </c>
      <c r="B15989" s="34" t="s">
        <v>29632</v>
      </c>
      <c r="C15989" s="34" t="s">
        <v>594</v>
      </c>
      <c r="E15989" s="30" t="s">
        <v>29633</v>
      </c>
      <c r="F15989" s="34" t="n">
        <f aca="false">IFERROR(VLOOKUP($A15989,'319'!$B:$H,7,0),0)</f>
        <v>0</v>
      </c>
      <c r="G15989" s="34" t="n">
        <f aca="false">SUMIFS('12.326ana'!$C:$C,'12.326ana'!$M:$M,redes!A15989)</f>
        <v>0</v>
      </c>
    </row>
    <row r="15990" customFormat="false" ht="14.4" hidden="true" customHeight="false" outlineLevel="0" collapsed="false">
      <c r="A15990" s="34" t="n">
        <v>28912460000105</v>
      </c>
      <c r="B15990" s="34" t="s">
        <v>29634</v>
      </c>
      <c r="C15990" s="34" t="s">
        <v>357</v>
      </c>
      <c r="E15990" s="30" t="s">
        <v>4010</v>
      </c>
      <c r="F15990" s="34" t="n">
        <f aca="false">IFERROR(VLOOKUP($A15990,'319'!$B:$H,7,0),0)</f>
        <v>0</v>
      </c>
      <c r="G15990" s="34" t="n">
        <f aca="false">SUMIFS('12.326ana'!$C:$C,'12.326ana'!$M:$M,redes!A15990)</f>
        <v>0</v>
      </c>
    </row>
    <row r="15991" customFormat="false" ht="14.4" hidden="true" customHeight="false" outlineLevel="0" collapsed="false">
      <c r="A15991" s="34" t="n">
        <v>28912745000146</v>
      </c>
      <c r="B15991" s="34" t="s">
        <v>29635</v>
      </c>
      <c r="C15991" s="34" t="s">
        <v>107</v>
      </c>
      <c r="E15991" s="30" t="s">
        <v>29636</v>
      </c>
      <c r="F15991" s="34" t="n">
        <f aca="false">IFERROR(VLOOKUP($A15991,'319'!$B:$H,7,0),0)</f>
        <v>0</v>
      </c>
      <c r="G15991" s="34" t="n">
        <f aca="false">SUMIFS('12.326ana'!$C:$C,'12.326ana'!$M:$M,redes!A15991)</f>
        <v>0</v>
      </c>
    </row>
    <row r="15992" customFormat="false" ht="14.4" hidden="true" customHeight="false" outlineLevel="0" collapsed="false">
      <c r="A15992" s="34" t="n">
        <v>28913517000190</v>
      </c>
      <c r="B15992" s="34" t="s">
        <v>29637</v>
      </c>
      <c r="C15992" s="34" t="s">
        <v>89</v>
      </c>
      <c r="E15992" s="30" t="s">
        <v>29638</v>
      </c>
      <c r="F15992" s="34" t="n">
        <f aca="false">IFERROR(VLOOKUP($A15992,'319'!$B:$H,7,0),0)</f>
        <v>0</v>
      </c>
      <c r="G15992" s="34" t="n">
        <f aca="false">SUMIFS('12.326ana'!$C:$C,'12.326ana'!$M:$M,redes!A15992)</f>
        <v>0</v>
      </c>
    </row>
    <row r="15993" customFormat="false" ht="14.4" hidden="true" customHeight="false" outlineLevel="0" collapsed="false">
      <c r="A15993" s="34" t="n">
        <v>28922727000145</v>
      </c>
      <c r="B15993" s="34" t="s">
        <v>29639</v>
      </c>
      <c r="C15993" s="34" t="s">
        <v>139</v>
      </c>
      <c r="E15993" s="30" t="s">
        <v>6009</v>
      </c>
      <c r="F15993" s="34" t="n">
        <f aca="false">IFERROR(VLOOKUP($A15993,'319'!$B:$H,7,0),0)</f>
        <v>0</v>
      </c>
      <c r="G15993" s="34" t="n">
        <f aca="false">SUMIFS('12.326ana'!$C:$C,'12.326ana'!$M:$M,redes!A15993)</f>
        <v>0</v>
      </c>
    </row>
    <row r="15994" customFormat="false" ht="14.4" hidden="true" customHeight="false" outlineLevel="0" collapsed="false">
      <c r="A15994" s="34" t="n">
        <v>28924927000137</v>
      </c>
      <c r="B15994" s="34" t="s">
        <v>29640</v>
      </c>
      <c r="C15994" s="34" t="s">
        <v>77</v>
      </c>
      <c r="E15994" s="30" t="s">
        <v>29641</v>
      </c>
      <c r="F15994" s="34" t="n">
        <f aca="false">IFERROR(VLOOKUP($A15994,'319'!$B:$H,7,0),0)</f>
        <v>0</v>
      </c>
      <c r="G15994" s="34" t="n">
        <f aca="false">SUMIFS('12.326ana'!$C:$C,'12.326ana'!$M:$M,redes!A15994)</f>
        <v>0</v>
      </c>
    </row>
    <row r="15995" customFormat="false" ht="14.4" hidden="true" customHeight="false" outlineLevel="0" collapsed="false">
      <c r="A15995" s="34" t="n">
        <v>28931446000159</v>
      </c>
      <c r="B15995" s="34" t="s">
        <v>29642</v>
      </c>
      <c r="C15995" s="34" t="s">
        <v>604</v>
      </c>
      <c r="E15995" s="30" t="s">
        <v>29643</v>
      </c>
      <c r="F15995" s="34" t="n">
        <f aca="false">IFERROR(VLOOKUP($A15995,'319'!$B:$H,7,0),0)</f>
        <v>0</v>
      </c>
      <c r="G15995" s="34" t="n">
        <f aca="false">SUMIFS('12.326ana'!$C:$C,'12.326ana'!$M:$M,redes!A15995)</f>
        <v>0</v>
      </c>
    </row>
    <row r="15996" customFormat="false" ht="14.4" hidden="true" customHeight="false" outlineLevel="0" collapsed="false">
      <c r="A15996" s="34" t="n">
        <v>28931623000105</v>
      </c>
      <c r="B15996" s="34" t="s">
        <v>29644</v>
      </c>
      <c r="C15996" s="34" t="s">
        <v>77</v>
      </c>
      <c r="E15996" s="30" t="s">
        <v>29645</v>
      </c>
      <c r="F15996" s="34" t="n">
        <f aca="false">IFERROR(VLOOKUP($A15996,'319'!$B:$H,7,0),0)</f>
        <v>0</v>
      </c>
      <c r="G15996" s="34" t="n">
        <f aca="false">SUMIFS('12.326ana'!$C:$C,'12.326ana'!$M:$M,redes!A15996)</f>
        <v>0</v>
      </c>
    </row>
    <row r="15997" customFormat="false" ht="14.4" hidden="true" customHeight="false" outlineLevel="0" collapsed="false">
      <c r="A15997" s="34" t="n">
        <v>28947758000150</v>
      </c>
      <c r="B15997" s="34" t="s">
        <v>29646</v>
      </c>
      <c r="C15997" s="34" t="s">
        <v>77</v>
      </c>
      <c r="E15997" s="30" t="s">
        <v>29647</v>
      </c>
      <c r="F15997" s="34" t="n">
        <f aca="false">IFERROR(VLOOKUP($A15997,'319'!$B:$H,7,0),0)</f>
        <v>0</v>
      </c>
      <c r="G15997" s="34" t="n">
        <f aca="false">SUMIFS('12.326ana'!$C:$C,'12.326ana'!$M:$M,redes!A15997)</f>
        <v>0</v>
      </c>
    </row>
    <row r="15998" customFormat="false" ht="14.4" hidden="true" customHeight="false" outlineLevel="0" collapsed="false">
      <c r="A15998" s="34" t="n">
        <v>28951020000167</v>
      </c>
      <c r="B15998" s="34" t="s">
        <v>29648</v>
      </c>
      <c r="C15998" s="34" t="s">
        <v>77</v>
      </c>
      <c r="E15998" s="30" t="s">
        <v>23020</v>
      </c>
      <c r="F15998" s="34" t="n">
        <f aca="false">IFERROR(VLOOKUP($A15998,'319'!$B:$H,7,0),0)</f>
        <v>0</v>
      </c>
      <c r="G15998" s="34" t="n">
        <f aca="false">SUMIFS('12.326ana'!$C:$C,'12.326ana'!$M:$M,redes!A15998)</f>
        <v>0</v>
      </c>
    </row>
    <row r="15999" customFormat="false" ht="14.4" hidden="true" customHeight="false" outlineLevel="0" collapsed="false">
      <c r="A15999" s="34" t="n">
        <v>28956836000183</v>
      </c>
      <c r="B15999" s="34" t="s">
        <v>29649</v>
      </c>
      <c r="C15999" s="34" t="s">
        <v>336</v>
      </c>
      <c r="E15999" s="30" t="s">
        <v>4387</v>
      </c>
      <c r="F15999" s="34" t="n">
        <f aca="false">IFERROR(VLOOKUP($A15999,'319'!$B:$H,7,0),0)</f>
        <v>0</v>
      </c>
      <c r="G15999" s="34" t="n">
        <f aca="false">SUMIFS('12.326ana'!$C:$C,'12.326ana'!$M:$M,redes!A15999)</f>
        <v>0</v>
      </c>
    </row>
    <row r="16000" customFormat="false" ht="14.4" hidden="true" customHeight="false" outlineLevel="0" collapsed="false">
      <c r="A16000" s="34" t="n">
        <v>28967340000105</v>
      </c>
      <c r="B16000" s="34" t="s">
        <v>29650</v>
      </c>
      <c r="C16000" s="34" t="s">
        <v>77</v>
      </c>
      <c r="E16000" s="30" t="s">
        <v>29651</v>
      </c>
      <c r="F16000" s="34" t="n">
        <f aca="false">IFERROR(VLOOKUP($A16000,'319'!$B:$H,7,0),0)</f>
        <v>0</v>
      </c>
      <c r="G16000" s="34" t="n">
        <f aca="false">SUMIFS('12.326ana'!$C:$C,'12.326ana'!$M:$M,redes!A16000)</f>
        <v>0</v>
      </c>
    </row>
    <row r="16001" customFormat="false" ht="14.4" hidden="true" customHeight="false" outlineLevel="0" collapsed="false">
      <c r="A16001" s="34" t="n">
        <v>28971758000196</v>
      </c>
      <c r="B16001" s="34" t="s">
        <v>29652</v>
      </c>
      <c r="C16001" s="34" t="s">
        <v>77</v>
      </c>
      <c r="E16001" s="30" t="s">
        <v>29653</v>
      </c>
      <c r="F16001" s="34" t="n">
        <f aca="false">IFERROR(VLOOKUP($A16001,'319'!$B:$H,7,0),0)</f>
        <v>0</v>
      </c>
      <c r="G16001" s="34" t="n">
        <f aca="false">SUMIFS('12.326ana'!$C:$C,'12.326ana'!$M:$M,redes!A16001)</f>
        <v>0</v>
      </c>
    </row>
    <row r="16002" customFormat="false" ht="14.4" hidden="true" customHeight="false" outlineLevel="0" collapsed="false">
      <c r="A16002" s="34" t="n">
        <v>28977983000130</v>
      </c>
      <c r="B16002" s="34" t="s">
        <v>29654</v>
      </c>
      <c r="C16002" s="34" t="s">
        <v>77</v>
      </c>
      <c r="E16002" s="30" t="s">
        <v>29655</v>
      </c>
      <c r="F16002" s="34" t="n">
        <f aca="false">IFERROR(VLOOKUP($A16002,'319'!$B:$H,7,0),0)</f>
        <v>0</v>
      </c>
      <c r="G16002" s="34" t="n">
        <f aca="false">SUMIFS('12.326ana'!$C:$C,'12.326ana'!$M:$M,redes!A16002)</f>
        <v>0</v>
      </c>
    </row>
    <row r="16003" customFormat="false" ht="14.4" hidden="true" customHeight="false" outlineLevel="0" collapsed="false">
      <c r="A16003" s="34" t="n">
        <v>28984064000193</v>
      </c>
      <c r="B16003" s="34" t="s">
        <v>29656</v>
      </c>
      <c r="C16003" s="34" t="s">
        <v>631</v>
      </c>
      <c r="E16003" s="30" t="s">
        <v>29657</v>
      </c>
      <c r="F16003" s="34" t="n">
        <f aca="false">IFERROR(VLOOKUP($A16003,'319'!$B:$H,7,0),0)</f>
        <v>0</v>
      </c>
      <c r="G16003" s="34" t="n">
        <f aca="false">SUMIFS('12.326ana'!$C:$C,'12.326ana'!$M:$M,redes!A16003)</f>
        <v>0</v>
      </c>
    </row>
    <row r="16004" customFormat="false" ht="14.4" hidden="true" customHeight="false" outlineLevel="0" collapsed="false">
      <c r="A16004" s="34" t="n">
        <v>28997172000109</v>
      </c>
      <c r="B16004" s="34" t="s">
        <v>29658</v>
      </c>
      <c r="C16004" s="34" t="s">
        <v>77</v>
      </c>
      <c r="E16004" s="30" t="s">
        <v>4575</v>
      </c>
      <c r="F16004" s="34" t="n">
        <f aca="false">IFERROR(VLOOKUP($A16004,'319'!$B:$H,7,0),0)</f>
        <v>0</v>
      </c>
      <c r="G16004" s="34" t="n">
        <f aca="false">SUMIFS('12.326ana'!$C:$C,'12.326ana'!$M:$M,redes!A16004)</f>
        <v>0</v>
      </c>
    </row>
    <row r="16005" customFormat="false" ht="14.4" hidden="true" customHeight="false" outlineLevel="0" collapsed="false">
      <c r="A16005" s="34" t="n">
        <v>28999317000100</v>
      </c>
      <c r="B16005" s="34" t="s">
        <v>29659</v>
      </c>
      <c r="C16005" s="34" t="s">
        <v>77</v>
      </c>
      <c r="E16005" s="30" t="s">
        <v>29660</v>
      </c>
      <c r="F16005" s="34" t="n">
        <f aca="false">IFERROR(VLOOKUP($A16005,'319'!$B:$H,7,0),0)</f>
        <v>0</v>
      </c>
      <c r="G16005" s="34" t="n">
        <f aca="false">SUMIFS('12.326ana'!$C:$C,'12.326ana'!$M:$M,redes!A16005)</f>
        <v>0</v>
      </c>
    </row>
    <row r="16006" customFormat="false" ht="14.4" hidden="true" customHeight="false" outlineLevel="0" collapsed="false">
      <c r="A16006" s="34" t="n">
        <v>29000078000198</v>
      </c>
      <c r="B16006" s="34" t="s">
        <v>29661</v>
      </c>
      <c r="C16006" s="34" t="s">
        <v>77</v>
      </c>
      <c r="E16006" s="30" t="s">
        <v>27480</v>
      </c>
      <c r="F16006" s="34" t="n">
        <f aca="false">IFERROR(VLOOKUP($A16006,'319'!$B:$H,7,0),0)</f>
        <v>0</v>
      </c>
      <c r="G16006" s="34" t="n">
        <f aca="false">SUMIFS('12.326ana'!$C:$C,'12.326ana'!$M:$M,redes!A16006)</f>
        <v>0</v>
      </c>
    </row>
    <row r="16007" customFormat="false" ht="14.4" hidden="true" customHeight="false" outlineLevel="0" collapsed="false">
      <c r="A16007" s="34" t="n">
        <v>29005624000183</v>
      </c>
      <c r="B16007" s="34" t="s">
        <v>29662</v>
      </c>
      <c r="C16007" s="34" t="s">
        <v>565</v>
      </c>
      <c r="E16007" s="30" t="s">
        <v>29663</v>
      </c>
      <c r="F16007" s="34" t="n">
        <f aca="false">IFERROR(VLOOKUP($A16007,'319'!$B:$H,7,0),0)</f>
        <v>0</v>
      </c>
      <c r="G16007" s="34" t="n">
        <f aca="false">SUMIFS('12.326ana'!$C:$C,'12.326ana'!$M:$M,redes!A16007)</f>
        <v>0</v>
      </c>
    </row>
    <row r="16008" customFormat="false" ht="14.4" hidden="true" customHeight="false" outlineLevel="0" collapsed="false">
      <c r="A16008" s="34" t="n">
        <v>29011690000166</v>
      </c>
      <c r="B16008" s="34" t="s">
        <v>29664</v>
      </c>
      <c r="C16008" s="34" t="s">
        <v>103</v>
      </c>
      <c r="E16008" s="30" t="s">
        <v>2958</v>
      </c>
      <c r="F16008" s="34" t="n">
        <f aca="false">IFERROR(VLOOKUP($A16008,'319'!$B:$H,7,0),0)</f>
        <v>0</v>
      </c>
      <c r="G16008" s="34" t="n">
        <f aca="false">SUMIFS('12.326ana'!$C:$C,'12.326ana'!$M:$M,redes!A16008)</f>
        <v>0</v>
      </c>
    </row>
    <row r="16009" customFormat="false" ht="14.4" hidden="true" customHeight="false" outlineLevel="0" collapsed="false">
      <c r="A16009" s="34" t="n">
        <v>29017305000198</v>
      </c>
      <c r="B16009" s="34" t="s">
        <v>29665</v>
      </c>
      <c r="C16009" s="34" t="s">
        <v>478</v>
      </c>
      <c r="E16009" s="30" t="s">
        <v>7995</v>
      </c>
      <c r="F16009" s="34" t="n">
        <f aca="false">IFERROR(VLOOKUP($A16009,'319'!$B:$H,7,0),0)</f>
        <v>0</v>
      </c>
      <c r="G16009" s="34" t="n">
        <f aca="false">SUMIFS('12.326ana'!$C:$C,'12.326ana'!$M:$M,redes!A16009)</f>
        <v>0</v>
      </c>
    </row>
    <row r="16010" customFormat="false" ht="14.4" hidden="true" customHeight="false" outlineLevel="0" collapsed="false">
      <c r="A16010" s="34" t="n">
        <v>29046558000190</v>
      </c>
      <c r="B16010" s="34" t="s">
        <v>29666</v>
      </c>
      <c r="C16010" s="34" t="s">
        <v>2998</v>
      </c>
      <c r="E16010" s="30" t="s">
        <v>29667</v>
      </c>
      <c r="F16010" s="34" t="n">
        <f aca="false">IFERROR(VLOOKUP($A16010,'319'!$B:$H,7,0),0)</f>
        <v>0</v>
      </c>
      <c r="G16010" s="34" t="n">
        <f aca="false">SUMIFS('12.326ana'!$C:$C,'12.326ana'!$M:$M,redes!A16010)</f>
        <v>0</v>
      </c>
    </row>
    <row r="16011" customFormat="false" ht="14.4" hidden="true" customHeight="false" outlineLevel="0" collapsed="false">
      <c r="A16011" s="34" t="n">
        <v>29046654000138</v>
      </c>
      <c r="B16011" s="34" t="s">
        <v>24730</v>
      </c>
      <c r="C16011" s="34" t="s">
        <v>328</v>
      </c>
      <c r="E16011" s="30" t="s">
        <v>14917</v>
      </c>
      <c r="F16011" s="34" t="n">
        <f aca="false">IFERROR(VLOOKUP($A16011,'319'!$B:$H,7,0),0)</f>
        <v>0</v>
      </c>
      <c r="G16011" s="34" t="n">
        <f aca="false">SUMIFS('12.326ana'!$C:$C,'12.326ana'!$M:$M,redes!A16011)</f>
        <v>0</v>
      </c>
    </row>
    <row r="16012" customFormat="false" ht="14.4" hidden="true" customHeight="false" outlineLevel="0" collapsed="false">
      <c r="A16012" s="34" t="n">
        <v>29047384000180</v>
      </c>
      <c r="B16012" s="34" t="s">
        <v>29668</v>
      </c>
      <c r="C16012" s="34" t="s">
        <v>77</v>
      </c>
      <c r="E16012" s="30" t="s">
        <v>29669</v>
      </c>
      <c r="F16012" s="34" t="n">
        <f aca="false">IFERROR(VLOOKUP($A16012,'319'!$B:$H,7,0),0)</f>
        <v>0</v>
      </c>
      <c r="G16012" s="34" t="n">
        <f aca="false">SUMIFS('12.326ana'!$C:$C,'12.326ana'!$M:$M,redes!A16012)</f>
        <v>0</v>
      </c>
    </row>
    <row r="16013" customFormat="false" ht="14.4" hidden="true" customHeight="false" outlineLevel="0" collapsed="false">
      <c r="A16013" s="34" t="n">
        <v>29066812000111</v>
      </c>
      <c r="B16013" s="34" t="s">
        <v>29670</v>
      </c>
      <c r="C16013" s="34" t="s">
        <v>631</v>
      </c>
      <c r="E16013" s="30" t="s">
        <v>29671</v>
      </c>
      <c r="F16013" s="34" t="n">
        <f aca="false">IFERROR(VLOOKUP($A16013,'319'!$B:$H,7,0),0)</f>
        <v>0</v>
      </c>
      <c r="G16013" s="34" t="n">
        <f aca="false">SUMIFS('12.326ana'!$C:$C,'12.326ana'!$M:$M,redes!A16013)</f>
        <v>0</v>
      </c>
    </row>
    <row r="16014" customFormat="false" ht="14.4" hidden="true" customHeight="false" outlineLevel="0" collapsed="false">
      <c r="A16014" s="34" t="n">
        <v>29069216000195</v>
      </c>
      <c r="B16014" s="34" t="s">
        <v>29672</v>
      </c>
      <c r="C16014" s="34" t="s">
        <v>77</v>
      </c>
      <c r="E16014" s="30" t="s">
        <v>29427</v>
      </c>
      <c r="F16014" s="34" t="n">
        <f aca="false">IFERROR(VLOOKUP($A16014,'319'!$B:$H,7,0),0)</f>
        <v>0</v>
      </c>
      <c r="G16014" s="34" t="n">
        <f aca="false">SUMIFS('12.326ana'!$C:$C,'12.326ana'!$M:$M,redes!A16014)</f>
        <v>0</v>
      </c>
    </row>
    <row r="16015" customFormat="false" ht="14.4" hidden="true" customHeight="false" outlineLevel="0" collapsed="false">
      <c r="A16015" s="34" t="n">
        <v>29087815000131</v>
      </c>
      <c r="B16015" s="34" t="s">
        <v>4970</v>
      </c>
      <c r="C16015" s="34" t="s">
        <v>77</v>
      </c>
      <c r="E16015" s="30" t="s">
        <v>29673</v>
      </c>
      <c r="F16015" s="34" t="n">
        <f aca="false">IFERROR(VLOOKUP($A16015,'319'!$B:$H,7,0),0)</f>
        <v>0</v>
      </c>
      <c r="G16015" s="34" t="n">
        <f aca="false">SUMIFS('12.326ana'!$C:$C,'12.326ana'!$M:$M,redes!A16015)</f>
        <v>0</v>
      </c>
    </row>
    <row r="16016" customFormat="false" ht="14.4" hidden="true" customHeight="false" outlineLevel="0" collapsed="false">
      <c r="A16016" s="34" t="n">
        <v>29087963000156</v>
      </c>
      <c r="B16016" s="34" t="s">
        <v>29674</v>
      </c>
      <c r="C16016" s="34" t="s">
        <v>954</v>
      </c>
      <c r="E16016" s="30" t="s">
        <v>29675</v>
      </c>
      <c r="F16016" s="34" t="n">
        <f aca="false">IFERROR(VLOOKUP($A16016,'319'!$B:$H,7,0),0)</f>
        <v>0</v>
      </c>
      <c r="G16016" s="34" t="n">
        <f aca="false">SUMIFS('12.326ana'!$C:$C,'12.326ana'!$M:$M,redes!A16016)</f>
        <v>0</v>
      </c>
    </row>
    <row r="16017" customFormat="false" ht="14.4" hidden="true" customHeight="false" outlineLevel="0" collapsed="false">
      <c r="A16017" s="34" t="n">
        <v>29095575000117</v>
      </c>
      <c r="B16017" s="34" t="s">
        <v>29676</v>
      </c>
      <c r="C16017" s="34" t="s">
        <v>139</v>
      </c>
      <c r="E16017" s="30" t="s">
        <v>29677</v>
      </c>
      <c r="F16017" s="34" t="n">
        <f aca="false">IFERROR(VLOOKUP($A16017,'319'!$B:$H,7,0),0)</f>
        <v>0</v>
      </c>
      <c r="G16017" s="34" t="n">
        <f aca="false">SUMIFS('12.326ana'!$C:$C,'12.326ana'!$M:$M,redes!A16017)</f>
        <v>0</v>
      </c>
    </row>
    <row r="16018" customFormat="false" ht="14.4" hidden="true" customHeight="false" outlineLevel="0" collapsed="false">
      <c r="A16018" s="34" t="n">
        <v>29101810000116</v>
      </c>
      <c r="B16018" s="34" t="s">
        <v>29678</v>
      </c>
      <c r="C16018" s="34" t="s">
        <v>77</v>
      </c>
      <c r="E16018" s="30" t="s">
        <v>29679</v>
      </c>
      <c r="F16018" s="34" t="n">
        <f aca="false">IFERROR(VLOOKUP($A16018,'319'!$B:$H,7,0),0)</f>
        <v>0</v>
      </c>
      <c r="G16018" s="34" t="n">
        <f aca="false">SUMIFS('12.326ana'!$C:$C,'12.326ana'!$M:$M,redes!A16018)</f>
        <v>0</v>
      </c>
    </row>
    <row r="16019" customFormat="false" ht="14.4" hidden="true" customHeight="false" outlineLevel="0" collapsed="false">
      <c r="A16019" s="34" t="n">
        <v>29104456000183</v>
      </c>
      <c r="B16019" s="34" t="s">
        <v>29680</v>
      </c>
      <c r="C16019" s="34" t="s">
        <v>77</v>
      </c>
      <c r="E16019" s="30" t="s">
        <v>29681</v>
      </c>
      <c r="F16019" s="34" t="n">
        <f aca="false">IFERROR(VLOOKUP($A16019,'319'!$B:$H,7,0),0)</f>
        <v>0</v>
      </c>
      <c r="G16019" s="34" t="n">
        <f aca="false">SUMIFS('12.326ana'!$C:$C,'12.326ana'!$M:$M,redes!A16019)</f>
        <v>0</v>
      </c>
    </row>
    <row r="16020" customFormat="false" ht="14.4" hidden="true" customHeight="false" outlineLevel="0" collapsed="false">
      <c r="A16020" s="34" t="n">
        <v>29120405000145</v>
      </c>
      <c r="B16020" s="34" t="s">
        <v>29682</v>
      </c>
      <c r="C16020" s="34" t="s">
        <v>351</v>
      </c>
      <c r="E16020" s="30" t="s">
        <v>29313</v>
      </c>
      <c r="F16020" s="34" t="n">
        <f aca="false">IFERROR(VLOOKUP($A16020,'319'!$B:$H,7,0),0)</f>
        <v>0</v>
      </c>
      <c r="G16020" s="34" t="n">
        <f aca="false">SUMIFS('12.326ana'!$C:$C,'12.326ana'!$M:$M,redes!A16020)</f>
        <v>0</v>
      </c>
    </row>
    <row r="16021" customFormat="false" ht="14.4" hidden="true" customHeight="false" outlineLevel="0" collapsed="false">
      <c r="A16021" s="34" t="n">
        <v>29121237000102</v>
      </c>
      <c r="B16021" s="34" t="s">
        <v>29683</v>
      </c>
      <c r="C16021" s="34" t="s">
        <v>77</v>
      </c>
      <c r="E16021" s="30" t="s">
        <v>29684</v>
      </c>
      <c r="F16021" s="34" t="n">
        <f aca="false">IFERROR(VLOOKUP($A16021,'319'!$B:$H,7,0),0)</f>
        <v>0</v>
      </c>
      <c r="G16021" s="34" t="n">
        <f aca="false">SUMIFS('12.326ana'!$C:$C,'12.326ana'!$M:$M,redes!A16021)</f>
        <v>0</v>
      </c>
    </row>
    <row r="16022" customFormat="false" ht="14.4" hidden="true" customHeight="false" outlineLevel="0" collapsed="false">
      <c r="A16022" s="34" t="n">
        <v>29140056000123</v>
      </c>
      <c r="B16022" s="34" t="s">
        <v>29685</v>
      </c>
      <c r="C16022" s="34" t="s">
        <v>77</v>
      </c>
      <c r="E16022" s="30" t="s">
        <v>29686</v>
      </c>
      <c r="F16022" s="34" t="n">
        <f aca="false">IFERROR(VLOOKUP($A16022,'319'!$B:$H,7,0),0)</f>
        <v>0</v>
      </c>
      <c r="G16022" s="34" t="n">
        <f aca="false">SUMIFS('12.326ana'!$C:$C,'12.326ana'!$M:$M,redes!A16022)</f>
        <v>0</v>
      </c>
    </row>
    <row r="16023" customFormat="false" ht="14.4" hidden="true" customHeight="false" outlineLevel="0" collapsed="false">
      <c r="A16023" s="34" t="n">
        <v>29146380000159</v>
      </c>
      <c r="B16023" s="34" t="s">
        <v>29687</v>
      </c>
      <c r="C16023" s="34" t="s">
        <v>737</v>
      </c>
      <c r="E16023" s="30" t="s">
        <v>29688</v>
      </c>
      <c r="F16023" s="34" t="n">
        <f aca="false">IFERROR(VLOOKUP($A16023,'319'!$B:$H,7,0),0)</f>
        <v>0</v>
      </c>
      <c r="G16023" s="34" t="n">
        <f aca="false">SUMIFS('12.326ana'!$C:$C,'12.326ana'!$M:$M,redes!A16023)</f>
        <v>0</v>
      </c>
    </row>
    <row r="16024" customFormat="false" ht="14.4" hidden="true" customHeight="false" outlineLevel="0" collapsed="false">
      <c r="A16024" s="34" t="n">
        <v>29156071000160</v>
      </c>
      <c r="B16024" s="34" t="s">
        <v>29689</v>
      </c>
      <c r="C16024" s="34" t="s">
        <v>77</v>
      </c>
      <c r="E16024" s="30" t="s">
        <v>29690</v>
      </c>
      <c r="F16024" s="34" t="n">
        <f aca="false">IFERROR(VLOOKUP($A16024,'319'!$B:$H,7,0),0)</f>
        <v>0</v>
      </c>
      <c r="G16024" s="34" t="n">
        <f aca="false">SUMIFS('12.326ana'!$C:$C,'12.326ana'!$M:$M,redes!A16024)</f>
        <v>0</v>
      </c>
    </row>
    <row r="16025" customFormat="false" ht="14.4" hidden="true" customHeight="false" outlineLevel="0" collapsed="false">
      <c r="A16025" s="34" t="n">
        <v>29160338000192</v>
      </c>
      <c r="B16025" s="34" t="s">
        <v>29691</v>
      </c>
      <c r="C16025" s="34" t="s">
        <v>89</v>
      </c>
      <c r="E16025" s="30" t="s">
        <v>17623</v>
      </c>
      <c r="F16025" s="34" t="n">
        <f aca="false">IFERROR(VLOOKUP($A16025,'319'!$B:$H,7,0),0)</f>
        <v>0</v>
      </c>
      <c r="G16025" s="34" t="n">
        <f aca="false">SUMIFS('12.326ana'!$C:$C,'12.326ana'!$M:$M,redes!A16025)</f>
        <v>0</v>
      </c>
    </row>
    <row r="16026" customFormat="false" ht="14.4" hidden="true" customHeight="false" outlineLevel="0" collapsed="false">
      <c r="A16026" s="34" t="n">
        <v>29178048000176</v>
      </c>
      <c r="B16026" s="34" t="s">
        <v>29692</v>
      </c>
      <c r="C16026" s="34" t="s">
        <v>77</v>
      </c>
      <c r="E16026" s="30" t="s">
        <v>3440</v>
      </c>
      <c r="F16026" s="34" t="n">
        <f aca="false">IFERROR(VLOOKUP($A16026,'319'!$B:$H,7,0),0)</f>
        <v>0</v>
      </c>
      <c r="G16026" s="34" t="n">
        <f aca="false">SUMIFS('12.326ana'!$C:$C,'12.326ana'!$M:$M,redes!A16026)</f>
        <v>0</v>
      </c>
    </row>
    <row r="16027" customFormat="false" ht="14.4" hidden="true" customHeight="false" outlineLevel="0" collapsed="false">
      <c r="A16027" s="34" t="n">
        <v>29179390000190</v>
      </c>
      <c r="B16027" s="34" t="s">
        <v>29693</v>
      </c>
      <c r="C16027" s="34" t="s">
        <v>139</v>
      </c>
      <c r="E16027" s="30" t="s">
        <v>29694</v>
      </c>
      <c r="F16027" s="34" t="n">
        <f aca="false">IFERROR(VLOOKUP($A16027,'319'!$B:$H,7,0),0)</f>
        <v>165.48</v>
      </c>
      <c r="G16027" s="34" t="n">
        <f aca="false">SUMIFS('12.326ana'!$C:$C,'12.326ana'!$M:$M,redes!A16027)</f>
        <v>0</v>
      </c>
    </row>
    <row r="16028" customFormat="false" ht="14.4" hidden="true" customHeight="false" outlineLevel="0" collapsed="false">
      <c r="A16028" s="34" t="n">
        <v>29184794000172</v>
      </c>
      <c r="B16028" s="34" t="s">
        <v>29695</v>
      </c>
      <c r="C16028" s="34" t="s">
        <v>77</v>
      </c>
      <c r="E16028" s="30" t="s">
        <v>29696</v>
      </c>
      <c r="F16028" s="34" t="n">
        <f aca="false">IFERROR(VLOOKUP($A16028,'319'!$B:$H,7,0),0)</f>
        <v>0</v>
      </c>
      <c r="G16028" s="34" t="n">
        <f aca="false">SUMIFS('12.326ana'!$C:$C,'12.326ana'!$M:$M,redes!A16028)</f>
        <v>0</v>
      </c>
    </row>
    <row r="16029" customFormat="false" ht="14.4" hidden="true" customHeight="false" outlineLevel="0" collapsed="false">
      <c r="A16029" s="34" t="n">
        <v>29202158000126</v>
      </c>
      <c r="B16029" s="34" t="s">
        <v>29697</v>
      </c>
      <c r="C16029" s="34" t="s">
        <v>351</v>
      </c>
      <c r="E16029" s="30" t="s">
        <v>29698</v>
      </c>
      <c r="F16029" s="34" t="n">
        <f aca="false">IFERROR(VLOOKUP($A16029,'319'!$B:$H,7,0),0)</f>
        <v>0</v>
      </c>
      <c r="G16029" s="34" t="n">
        <f aca="false">SUMIFS('12.326ana'!$C:$C,'12.326ana'!$M:$M,redes!A16029)</f>
        <v>0</v>
      </c>
    </row>
    <row r="16030" customFormat="false" ht="14.4" hidden="true" customHeight="false" outlineLevel="0" collapsed="false">
      <c r="A16030" s="34" t="n">
        <v>29205872000178</v>
      </c>
      <c r="B16030" s="34" t="s">
        <v>29699</v>
      </c>
      <c r="C16030" s="34" t="s">
        <v>1306</v>
      </c>
      <c r="E16030" s="30" t="s">
        <v>29700</v>
      </c>
      <c r="F16030" s="34" t="n">
        <f aca="false">IFERROR(VLOOKUP($A16030,'319'!$B:$H,7,0),0)</f>
        <v>0</v>
      </c>
      <c r="G16030" s="34" t="n">
        <f aca="false">SUMIFS('12.326ana'!$C:$C,'12.326ana'!$M:$M,redes!A16030)</f>
        <v>0</v>
      </c>
    </row>
    <row r="16031" customFormat="false" ht="14.4" hidden="true" customHeight="false" outlineLevel="0" collapsed="false">
      <c r="A16031" s="34" t="n">
        <v>29209685000162</v>
      </c>
      <c r="B16031" s="34" t="s">
        <v>29701</v>
      </c>
      <c r="C16031" s="34" t="s">
        <v>197</v>
      </c>
      <c r="E16031" s="30" t="s">
        <v>29702</v>
      </c>
      <c r="F16031" s="34" t="n">
        <f aca="false">IFERROR(VLOOKUP($A16031,'319'!$B:$H,7,0),0)</f>
        <v>0</v>
      </c>
      <c r="G16031" s="34" t="n">
        <f aca="false">SUMIFS('12.326ana'!$C:$C,'12.326ana'!$M:$M,redes!A16031)</f>
        <v>0</v>
      </c>
    </row>
    <row r="16032" customFormat="false" ht="14.4" hidden="true" customHeight="false" outlineLevel="0" collapsed="false">
      <c r="A16032" s="34" t="n">
        <v>29241678000148</v>
      </c>
      <c r="B16032" s="34" t="s">
        <v>29703</v>
      </c>
      <c r="C16032" s="34" t="s">
        <v>77</v>
      </c>
      <c r="E16032" s="30" t="s">
        <v>29704</v>
      </c>
      <c r="F16032" s="34" t="n">
        <f aca="false">IFERROR(VLOOKUP($A16032,'319'!$B:$H,7,0),0)</f>
        <v>0</v>
      </c>
      <c r="G16032" s="34" t="n">
        <f aca="false">SUMIFS('12.326ana'!$C:$C,'12.326ana'!$M:$M,redes!A16032)</f>
        <v>0</v>
      </c>
    </row>
    <row r="16033" customFormat="false" ht="14.4" hidden="true" customHeight="false" outlineLevel="0" collapsed="false">
      <c r="A16033" s="34" t="n">
        <v>29241987000118</v>
      </c>
      <c r="B16033" s="34" t="s">
        <v>29705</v>
      </c>
      <c r="C16033" s="34" t="s">
        <v>744</v>
      </c>
      <c r="E16033" s="30" t="s">
        <v>29706</v>
      </c>
      <c r="F16033" s="34" t="n">
        <f aca="false">IFERROR(VLOOKUP($A16033,'319'!$B:$H,7,0),0)</f>
        <v>0</v>
      </c>
      <c r="G16033" s="34" t="n">
        <f aca="false">SUMIFS('12.326ana'!$C:$C,'12.326ana'!$M:$M,redes!A16033)</f>
        <v>0</v>
      </c>
    </row>
    <row r="16034" customFormat="false" ht="14.4" hidden="true" customHeight="false" outlineLevel="0" collapsed="false">
      <c r="A16034" s="34" t="n">
        <v>29242635000187</v>
      </c>
      <c r="B16034" s="34" t="s">
        <v>891</v>
      </c>
      <c r="C16034" s="34" t="s">
        <v>77</v>
      </c>
      <c r="E16034" s="30" t="s">
        <v>4965</v>
      </c>
      <c r="F16034" s="34" t="n">
        <f aca="false">IFERROR(VLOOKUP($A16034,'319'!$B:$H,7,0),0)</f>
        <v>1516.84</v>
      </c>
      <c r="G16034" s="34" t="n">
        <f aca="false">SUMIFS('12.326ana'!$C:$C,'12.326ana'!$M:$M,redes!A16034)</f>
        <v>0</v>
      </c>
    </row>
    <row r="16035" customFormat="false" ht="14.4" hidden="true" customHeight="false" outlineLevel="0" collapsed="false">
      <c r="A16035" s="34" t="n">
        <v>29279386000102</v>
      </c>
      <c r="B16035" s="34" t="s">
        <v>29707</v>
      </c>
      <c r="C16035" s="34" t="s">
        <v>77</v>
      </c>
      <c r="E16035" s="30" t="s">
        <v>29708</v>
      </c>
      <c r="F16035" s="34" t="n">
        <f aca="false">IFERROR(VLOOKUP($A16035,'319'!$B:$H,7,0),0)</f>
        <v>0</v>
      </c>
      <c r="G16035" s="34" t="n">
        <f aca="false">SUMIFS('12.326ana'!$C:$C,'12.326ana'!$M:$M,redes!A16035)</f>
        <v>0</v>
      </c>
    </row>
    <row r="16036" customFormat="false" ht="14.4" hidden="true" customHeight="false" outlineLevel="0" collapsed="false">
      <c r="A16036" s="34" t="n">
        <v>29292404000188</v>
      </c>
      <c r="B16036" s="34" t="s">
        <v>29709</v>
      </c>
      <c r="C16036" s="34" t="s">
        <v>107</v>
      </c>
      <c r="E16036" s="30" t="s">
        <v>26447</v>
      </c>
      <c r="F16036" s="34" t="n">
        <f aca="false">IFERROR(VLOOKUP($A16036,'319'!$B:$H,7,0),0)</f>
        <v>0</v>
      </c>
      <c r="G16036" s="34" t="n">
        <f aca="false">SUMIFS('12.326ana'!$C:$C,'12.326ana'!$M:$M,redes!A16036)</f>
        <v>0</v>
      </c>
    </row>
    <row r="16037" customFormat="false" ht="14.4" hidden="true" customHeight="false" outlineLevel="0" collapsed="false">
      <c r="A16037" s="34" t="n">
        <v>29308062000147</v>
      </c>
      <c r="B16037" s="34" t="s">
        <v>29710</v>
      </c>
      <c r="C16037" s="34" t="s">
        <v>296</v>
      </c>
      <c r="E16037" s="30" t="s">
        <v>29711</v>
      </c>
      <c r="F16037" s="34" t="n">
        <f aca="false">IFERROR(VLOOKUP($A16037,'319'!$B:$H,7,0),0)</f>
        <v>0</v>
      </c>
      <c r="G16037" s="34" t="n">
        <f aca="false">SUMIFS('12.326ana'!$C:$C,'12.326ana'!$M:$M,redes!A16037)</f>
        <v>0</v>
      </c>
    </row>
    <row r="16038" customFormat="false" ht="14.4" hidden="true" customHeight="false" outlineLevel="0" collapsed="false">
      <c r="A16038" s="34" t="n">
        <v>29318397000146</v>
      </c>
      <c r="B16038" s="34" t="s">
        <v>29712</v>
      </c>
      <c r="C16038" s="34" t="s">
        <v>935</v>
      </c>
      <c r="E16038" s="30" t="s">
        <v>29713</v>
      </c>
      <c r="F16038" s="34" t="n">
        <f aca="false">IFERROR(VLOOKUP($A16038,'319'!$B:$H,7,0),0)</f>
        <v>0</v>
      </c>
      <c r="G16038" s="34" t="n">
        <f aca="false">SUMIFS('12.326ana'!$C:$C,'12.326ana'!$M:$M,redes!A16038)</f>
        <v>0</v>
      </c>
    </row>
    <row r="16039" customFormat="false" ht="14.4" hidden="true" customHeight="false" outlineLevel="0" collapsed="false">
      <c r="A16039" s="34" t="n">
        <v>29318883000164</v>
      </c>
      <c r="B16039" s="34" t="s">
        <v>29714</v>
      </c>
      <c r="C16039" s="34" t="s">
        <v>77</v>
      </c>
      <c r="E16039" s="30" t="s">
        <v>29715</v>
      </c>
      <c r="F16039" s="34" t="n">
        <f aca="false">IFERROR(VLOOKUP($A16039,'319'!$B:$H,7,0),0)</f>
        <v>0</v>
      </c>
      <c r="G16039" s="34" t="n">
        <f aca="false">SUMIFS('12.326ana'!$C:$C,'12.326ana'!$M:$M,redes!A16039)</f>
        <v>0</v>
      </c>
    </row>
    <row r="16040" customFormat="false" ht="14.4" hidden="true" customHeight="false" outlineLevel="0" collapsed="false">
      <c r="A16040" s="34" t="n">
        <v>29319358000163</v>
      </c>
      <c r="B16040" s="34" t="s">
        <v>29716</v>
      </c>
      <c r="C16040" s="34" t="s">
        <v>478</v>
      </c>
      <c r="E16040" s="30" t="s">
        <v>29717</v>
      </c>
      <c r="F16040" s="34" t="n">
        <f aca="false">IFERROR(VLOOKUP($A16040,'319'!$B:$H,7,0),0)</f>
        <v>0</v>
      </c>
      <c r="G16040" s="34" t="n">
        <f aca="false">SUMIFS('12.326ana'!$C:$C,'12.326ana'!$M:$M,redes!A16040)</f>
        <v>0</v>
      </c>
    </row>
    <row r="16041" customFormat="false" ht="14.4" hidden="true" customHeight="false" outlineLevel="0" collapsed="false">
      <c r="A16041" s="34" t="n">
        <v>29320089000155</v>
      </c>
      <c r="B16041" s="34" t="s">
        <v>29718</v>
      </c>
      <c r="C16041" s="34" t="s">
        <v>77</v>
      </c>
      <c r="E16041" s="30" t="s">
        <v>29719</v>
      </c>
      <c r="F16041" s="34" t="n">
        <f aca="false">IFERROR(VLOOKUP($A16041,'319'!$B:$H,7,0),0)</f>
        <v>0</v>
      </c>
      <c r="G16041" s="34" t="n">
        <f aca="false">SUMIFS('12.326ana'!$C:$C,'12.326ana'!$M:$M,redes!A16041)</f>
        <v>0</v>
      </c>
    </row>
    <row r="16042" customFormat="false" ht="14.4" hidden="true" customHeight="false" outlineLevel="0" collapsed="false">
      <c r="A16042" s="34" t="n">
        <v>29325690000130</v>
      </c>
      <c r="B16042" s="34" t="s">
        <v>29720</v>
      </c>
      <c r="C16042" s="34" t="s">
        <v>77</v>
      </c>
      <c r="E16042" s="30" t="s">
        <v>29721</v>
      </c>
      <c r="F16042" s="34" t="n">
        <f aca="false">IFERROR(VLOOKUP($A16042,'319'!$B:$H,7,0),0)</f>
        <v>0</v>
      </c>
      <c r="G16042" s="34" t="n">
        <f aca="false">SUMIFS('12.326ana'!$C:$C,'12.326ana'!$M:$M,redes!A16042)</f>
        <v>0</v>
      </c>
    </row>
    <row r="16043" customFormat="false" ht="14.4" hidden="true" customHeight="false" outlineLevel="0" collapsed="false">
      <c r="A16043" s="34" t="n">
        <v>29333160000134</v>
      </c>
      <c r="B16043" s="34" t="s">
        <v>29722</v>
      </c>
      <c r="C16043" s="34" t="s">
        <v>77</v>
      </c>
      <c r="E16043" s="30" t="s">
        <v>29723</v>
      </c>
      <c r="F16043" s="34" t="n">
        <f aca="false">IFERROR(VLOOKUP($A16043,'319'!$B:$H,7,0),0)</f>
        <v>0</v>
      </c>
      <c r="G16043" s="34" t="n">
        <f aca="false">SUMIFS('12.326ana'!$C:$C,'12.326ana'!$M:$M,redes!A16043)</f>
        <v>0</v>
      </c>
    </row>
    <row r="16044" customFormat="false" ht="14.4" hidden="true" customHeight="false" outlineLevel="0" collapsed="false">
      <c r="A16044" s="34" t="n">
        <v>29333446000110</v>
      </c>
      <c r="B16044" s="34" t="s">
        <v>29724</v>
      </c>
      <c r="C16044" s="34" t="s">
        <v>357</v>
      </c>
      <c r="E16044" s="30" t="s">
        <v>29725</v>
      </c>
      <c r="F16044" s="34" t="n">
        <f aca="false">IFERROR(VLOOKUP($A16044,'319'!$B:$H,7,0),0)</f>
        <v>0</v>
      </c>
      <c r="G16044" s="34" t="n">
        <f aca="false">SUMIFS('12.326ana'!$C:$C,'12.326ana'!$M:$M,redes!A16044)</f>
        <v>0</v>
      </c>
    </row>
    <row r="16045" customFormat="false" ht="14.4" hidden="true" customHeight="false" outlineLevel="0" collapsed="false">
      <c r="A16045" s="34" t="n">
        <v>29334705000127</v>
      </c>
      <c r="B16045" s="34" t="s">
        <v>29726</v>
      </c>
      <c r="C16045" s="34" t="s">
        <v>737</v>
      </c>
      <c r="E16045" s="30" t="s">
        <v>29727</v>
      </c>
      <c r="F16045" s="34" t="n">
        <f aca="false">IFERROR(VLOOKUP($A16045,'319'!$B:$H,7,0),0)</f>
        <v>0</v>
      </c>
      <c r="G16045" s="34" t="n">
        <f aca="false">SUMIFS('12.326ana'!$C:$C,'12.326ana'!$M:$M,redes!A16045)</f>
        <v>0</v>
      </c>
    </row>
    <row r="16046" customFormat="false" ht="14.4" hidden="true" customHeight="false" outlineLevel="0" collapsed="false">
      <c r="A16046" s="34" t="n">
        <v>29338600000146</v>
      </c>
      <c r="B16046" s="34" t="s">
        <v>29728</v>
      </c>
      <c r="C16046" s="34" t="s">
        <v>77</v>
      </c>
      <c r="E16046" s="30" t="s">
        <v>29729</v>
      </c>
      <c r="F16046" s="34" t="n">
        <f aca="false">IFERROR(VLOOKUP($A16046,'319'!$B:$H,7,0),0)</f>
        <v>0</v>
      </c>
      <c r="G16046" s="34" t="n">
        <f aca="false">SUMIFS('12.326ana'!$C:$C,'12.326ana'!$M:$M,redes!A16046)</f>
        <v>0</v>
      </c>
    </row>
    <row r="16047" customFormat="false" ht="14.4" hidden="true" customHeight="false" outlineLevel="0" collapsed="false">
      <c r="A16047" s="34" t="n">
        <v>29375085000174</v>
      </c>
      <c r="B16047" s="34" t="s">
        <v>29730</v>
      </c>
      <c r="C16047" s="34" t="s">
        <v>77</v>
      </c>
      <c r="E16047" s="30" t="s">
        <v>29731</v>
      </c>
      <c r="F16047" s="34" t="n">
        <f aca="false">IFERROR(VLOOKUP($A16047,'319'!$B:$H,7,0),0)</f>
        <v>0</v>
      </c>
      <c r="G16047" s="34" t="n">
        <f aca="false">SUMIFS('12.326ana'!$C:$C,'12.326ana'!$M:$M,redes!A16047)</f>
        <v>0</v>
      </c>
    </row>
    <row r="16048" customFormat="false" ht="14.4" hidden="true" customHeight="false" outlineLevel="0" collapsed="false">
      <c r="A16048" s="34" t="n">
        <v>29375304000115</v>
      </c>
      <c r="B16048" s="34" t="s">
        <v>29732</v>
      </c>
      <c r="C16048" s="34" t="s">
        <v>139</v>
      </c>
      <c r="E16048" s="30" t="s">
        <v>29733</v>
      </c>
      <c r="F16048" s="34" t="n">
        <f aca="false">IFERROR(VLOOKUP($A16048,'319'!$B:$H,7,0),0)</f>
        <v>0</v>
      </c>
      <c r="G16048" s="34" t="n">
        <f aca="false">SUMIFS('12.326ana'!$C:$C,'12.326ana'!$M:$M,redes!A16048)</f>
        <v>0</v>
      </c>
    </row>
    <row r="16049" customFormat="false" ht="14.4" hidden="true" customHeight="false" outlineLevel="0" collapsed="false">
      <c r="A16049" s="34" t="n">
        <v>29376014000196</v>
      </c>
      <c r="B16049" s="34" t="s">
        <v>29734</v>
      </c>
      <c r="C16049" s="34" t="s">
        <v>357</v>
      </c>
      <c r="E16049" s="30" t="s">
        <v>29735</v>
      </c>
      <c r="F16049" s="34" t="n">
        <f aca="false">IFERROR(VLOOKUP($A16049,'319'!$B:$H,7,0),0)</f>
        <v>0</v>
      </c>
      <c r="G16049" s="34" t="n">
        <f aca="false">SUMIFS('12.326ana'!$C:$C,'12.326ana'!$M:$M,redes!A16049)</f>
        <v>0</v>
      </c>
    </row>
    <row r="16050" customFormat="false" ht="14.4" hidden="true" customHeight="false" outlineLevel="0" collapsed="false">
      <c r="A16050" s="34" t="n">
        <v>29377220000110</v>
      </c>
      <c r="B16050" s="34" t="s">
        <v>29736</v>
      </c>
      <c r="C16050" s="34" t="s">
        <v>117</v>
      </c>
      <c r="E16050" s="30" t="s">
        <v>29737</v>
      </c>
      <c r="F16050" s="34" t="n">
        <f aca="false">IFERROR(VLOOKUP($A16050,'319'!$B:$H,7,0),0)</f>
        <v>0</v>
      </c>
      <c r="G16050" s="34" t="n">
        <f aca="false">SUMIFS('12.326ana'!$C:$C,'12.326ana'!$M:$M,redes!A16050)</f>
        <v>0</v>
      </c>
    </row>
    <row r="16051" customFormat="false" ht="14.4" hidden="true" customHeight="false" outlineLevel="0" collapsed="false">
      <c r="A16051" s="34" t="n">
        <v>29400747000119</v>
      </c>
      <c r="B16051" s="34" t="s">
        <v>29738</v>
      </c>
      <c r="C16051" s="34" t="s">
        <v>77</v>
      </c>
      <c r="E16051" s="30" t="s">
        <v>29739</v>
      </c>
      <c r="F16051" s="34" t="n">
        <f aca="false">IFERROR(VLOOKUP($A16051,'319'!$B:$H,7,0),0)</f>
        <v>0</v>
      </c>
      <c r="G16051" s="34" t="n">
        <f aca="false">SUMIFS('12.326ana'!$C:$C,'12.326ana'!$M:$M,redes!A16051)</f>
        <v>0</v>
      </c>
    </row>
    <row r="16052" customFormat="false" ht="14.4" hidden="true" customHeight="false" outlineLevel="0" collapsed="false">
      <c r="A16052" s="34" t="n">
        <v>29408516000151</v>
      </c>
      <c r="B16052" s="34" t="s">
        <v>29740</v>
      </c>
      <c r="C16052" s="34" t="s">
        <v>562</v>
      </c>
      <c r="E16052" s="30" t="s">
        <v>29741</v>
      </c>
      <c r="F16052" s="34" t="n">
        <f aca="false">IFERROR(VLOOKUP($A16052,'319'!$B:$H,7,0),0)</f>
        <v>0</v>
      </c>
      <c r="G16052" s="34" t="n">
        <f aca="false">SUMIFS('12.326ana'!$C:$C,'12.326ana'!$M:$M,redes!A16052)</f>
        <v>0</v>
      </c>
    </row>
    <row r="16053" customFormat="false" ht="14.4" hidden="true" customHeight="false" outlineLevel="0" collapsed="false">
      <c r="A16053" s="34" t="n">
        <v>29420168000138</v>
      </c>
      <c r="B16053" s="34" t="s">
        <v>29742</v>
      </c>
      <c r="C16053" s="34" t="s">
        <v>77</v>
      </c>
      <c r="E16053" s="30" t="s">
        <v>29743</v>
      </c>
      <c r="F16053" s="34" t="n">
        <f aca="false">IFERROR(VLOOKUP($A16053,'319'!$B:$H,7,0),0)</f>
        <v>0</v>
      </c>
      <c r="G16053" s="34" t="n">
        <f aca="false">SUMIFS('12.326ana'!$C:$C,'12.326ana'!$M:$M,redes!A16053)</f>
        <v>0</v>
      </c>
    </row>
    <row r="16054" customFormat="false" ht="14.4" hidden="true" customHeight="false" outlineLevel="0" collapsed="false">
      <c r="A16054" s="34" t="n">
        <v>29432228000132</v>
      </c>
      <c r="B16054" s="34" t="s">
        <v>29744</v>
      </c>
      <c r="C16054" s="34" t="s">
        <v>77</v>
      </c>
      <c r="E16054" s="30" t="s">
        <v>29745</v>
      </c>
      <c r="F16054" s="34" t="n">
        <f aca="false">IFERROR(VLOOKUP($A16054,'319'!$B:$H,7,0),0)</f>
        <v>0</v>
      </c>
      <c r="G16054" s="34" t="n">
        <f aca="false">SUMIFS('12.326ana'!$C:$C,'12.326ana'!$M:$M,redes!A16054)</f>
        <v>0</v>
      </c>
    </row>
    <row r="16055" customFormat="false" ht="14.4" hidden="true" customHeight="false" outlineLevel="0" collapsed="false">
      <c r="A16055" s="34" t="n">
        <v>29434140000150</v>
      </c>
      <c r="B16055" s="34" t="s">
        <v>29746</v>
      </c>
      <c r="C16055" s="34" t="s">
        <v>351</v>
      </c>
      <c r="E16055" s="30" t="s">
        <v>29747</v>
      </c>
      <c r="F16055" s="34" t="n">
        <f aca="false">IFERROR(VLOOKUP($A16055,'319'!$B:$H,7,0),0)</f>
        <v>0</v>
      </c>
      <c r="G16055" s="34" t="n">
        <f aca="false">SUMIFS('12.326ana'!$C:$C,'12.326ana'!$M:$M,redes!A16055)</f>
        <v>0</v>
      </c>
    </row>
    <row r="16056" customFormat="false" ht="14.4" hidden="true" customHeight="false" outlineLevel="0" collapsed="false">
      <c r="A16056" s="34" t="n">
        <v>29450546000126</v>
      </c>
      <c r="B16056" s="34" t="s">
        <v>29748</v>
      </c>
      <c r="C16056" s="34" t="s">
        <v>89</v>
      </c>
      <c r="E16056" s="30" t="s">
        <v>29749</v>
      </c>
      <c r="F16056" s="34" t="n">
        <f aca="false">IFERROR(VLOOKUP($A16056,'319'!$B:$H,7,0),0)</f>
        <v>0</v>
      </c>
      <c r="G16056" s="34" t="n">
        <f aca="false">SUMIFS('12.326ana'!$C:$C,'12.326ana'!$M:$M,redes!A16056)</f>
        <v>0</v>
      </c>
    </row>
    <row r="16057" customFormat="false" ht="14.4" hidden="true" customHeight="false" outlineLevel="0" collapsed="false">
      <c r="A16057" s="34" t="n">
        <v>29469876000163</v>
      </c>
      <c r="B16057" s="34" t="s">
        <v>29750</v>
      </c>
      <c r="C16057" s="34" t="s">
        <v>77</v>
      </c>
      <c r="E16057" s="30" t="s">
        <v>29750</v>
      </c>
      <c r="F16057" s="34" t="n">
        <f aca="false">IFERROR(VLOOKUP($A16057,'319'!$B:$H,7,0),0)</f>
        <v>0</v>
      </c>
      <c r="G16057" s="34" t="n">
        <f aca="false">SUMIFS('12.326ana'!$C:$C,'12.326ana'!$M:$M,redes!A16057)</f>
        <v>0</v>
      </c>
    </row>
    <row r="16058" customFormat="false" ht="14.4" hidden="true" customHeight="false" outlineLevel="0" collapsed="false">
      <c r="A16058" s="34" t="n">
        <v>29469898000123</v>
      </c>
      <c r="B16058" s="34" t="s">
        <v>29751</v>
      </c>
      <c r="C16058" s="34" t="s">
        <v>77</v>
      </c>
      <c r="E16058" s="30" t="s">
        <v>10914</v>
      </c>
      <c r="F16058" s="34" t="n">
        <f aca="false">IFERROR(VLOOKUP($A16058,'319'!$B:$H,7,0),0)</f>
        <v>0</v>
      </c>
      <c r="G16058" s="34" t="n">
        <f aca="false">SUMIFS('12.326ana'!$C:$C,'12.326ana'!$M:$M,redes!A16058)</f>
        <v>0</v>
      </c>
    </row>
    <row r="16059" customFormat="false" ht="14.4" hidden="true" customHeight="false" outlineLevel="0" collapsed="false">
      <c r="A16059" s="34" t="n">
        <v>29474829000108</v>
      </c>
      <c r="B16059" s="34" t="s">
        <v>29752</v>
      </c>
      <c r="C16059" s="34" t="s">
        <v>77</v>
      </c>
      <c r="E16059" s="30" t="s">
        <v>29753</v>
      </c>
      <c r="F16059" s="34" t="n">
        <f aca="false">IFERROR(VLOOKUP($A16059,'319'!$B:$H,7,0),0)</f>
        <v>0</v>
      </c>
      <c r="G16059" s="34" t="n">
        <f aca="false">SUMIFS('12.326ana'!$C:$C,'12.326ana'!$M:$M,redes!A16059)</f>
        <v>0</v>
      </c>
    </row>
    <row r="16060" customFormat="false" ht="14.4" hidden="true" customHeight="false" outlineLevel="0" collapsed="false">
      <c r="A16060" s="34" t="n">
        <v>29479026000146</v>
      </c>
      <c r="B16060" s="34" t="s">
        <v>29754</v>
      </c>
      <c r="C16060" s="34" t="s">
        <v>77</v>
      </c>
      <c r="E16060" s="30" t="s">
        <v>29754</v>
      </c>
      <c r="F16060" s="34" t="n">
        <f aca="false">IFERROR(VLOOKUP($A16060,'319'!$B:$H,7,0),0)</f>
        <v>0</v>
      </c>
      <c r="G16060" s="34" t="n">
        <f aca="false">SUMIFS('12.326ana'!$C:$C,'12.326ana'!$M:$M,redes!A16060)</f>
        <v>0</v>
      </c>
    </row>
    <row r="16061" customFormat="false" ht="14.4" hidden="true" customHeight="false" outlineLevel="0" collapsed="false">
      <c r="A16061" s="34" t="n">
        <v>29480070000176</v>
      </c>
      <c r="B16061" s="34" t="s">
        <v>29755</v>
      </c>
      <c r="C16061" s="34" t="s">
        <v>77</v>
      </c>
      <c r="E16061" s="30" t="s">
        <v>29756</v>
      </c>
      <c r="F16061" s="34" t="n">
        <f aca="false">IFERROR(VLOOKUP($A16061,'319'!$B:$H,7,0),0)</f>
        <v>0</v>
      </c>
      <c r="G16061" s="34" t="n">
        <f aca="false">SUMIFS('12.326ana'!$C:$C,'12.326ana'!$M:$M,redes!A16061)</f>
        <v>0</v>
      </c>
    </row>
    <row r="16062" customFormat="false" ht="14.4" hidden="true" customHeight="false" outlineLevel="0" collapsed="false">
      <c r="A16062" s="34" t="n">
        <v>29493868000152</v>
      </c>
      <c r="B16062" s="34" t="s">
        <v>29757</v>
      </c>
      <c r="C16062" s="34" t="s">
        <v>77</v>
      </c>
      <c r="E16062" s="30" t="s">
        <v>29758</v>
      </c>
      <c r="F16062" s="34" t="n">
        <f aca="false">IFERROR(VLOOKUP($A16062,'319'!$B:$H,7,0),0)</f>
        <v>0</v>
      </c>
      <c r="G16062" s="34" t="n">
        <f aca="false">SUMIFS('12.326ana'!$C:$C,'12.326ana'!$M:$M,redes!A16062)</f>
        <v>0</v>
      </c>
    </row>
    <row r="16063" customFormat="false" ht="14.4" hidden="true" customHeight="false" outlineLevel="0" collapsed="false">
      <c r="A16063" s="34" t="n">
        <v>29498884000138</v>
      </c>
      <c r="B16063" s="34" t="s">
        <v>29759</v>
      </c>
      <c r="C16063" s="34" t="s">
        <v>631</v>
      </c>
      <c r="E16063" s="30" t="s">
        <v>8059</v>
      </c>
      <c r="F16063" s="34" t="n">
        <f aca="false">IFERROR(VLOOKUP($A16063,'319'!$B:$H,7,0),0)</f>
        <v>0</v>
      </c>
      <c r="G16063" s="34" t="n">
        <f aca="false">SUMIFS('12.326ana'!$C:$C,'12.326ana'!$M:$M,redes!A16063)</f>
        <v>0</v>
      </c>
    </row>
    <row r="16064" customFormat="false" ht="14.4" hidden="true" customHeight="false" outlineLevel="0" collapsed="false">
      <c r="A16064" s="34" t="n">
        <v>29515648000182</v>
      </c>
      <c r="B16064" s="34" t="s">
        <v>29760</v>
      </c>
      <c r="C16064" s="34" t="s">
        <v>77</v>
      </c>
      <c r="E16064" s="30" t="s">
        <v>29761</v>
      </c>
      <c r="F16064" s="34" t="n">
        <f aca="false">IFERROR(VLOOKUP($A16064,'319'!$B:$H,7,0),0)</f>
        <v>0</v>
      </c>
      <c r="G16064" s="34" t="n">
        <f aca="false">SUMIFS('12.326ana'!$C:$C,'12.326ana'!$M:$M,redes!A16064)</f>
        <v>0</v>
      </c>
    </row>
    <row r="16065" customFormat="false" ht="14.4" hidden="true" customHeight="false" outlineLevel="0" collapsed="false">
      <c r="A16065" s="34" t="n">
        <v>29527252000155</v>
      </c>
      <c r="B16065" s="34" t="s">
        <v>29762</v>
      </c>
      <c r="C16065" s="34" t="s">
        <v>77</v>
      </c>
      <c r="E16065" s="30" t="s">
        <v>29763</v>
      </c>
      <c r="F16065" s="34" t="n">
        <f aca="false">IFERROR(VLOOKUP($A16065,'319'!$B:$H,7,0),0)</f>
        <v>0</v>
      </c>
      <c r="G16065" s="34" t="n">
        <f aca="false">SUMIFS('12.326ana'!$C:$C,'12.326ana'!$M:$M,redes!A16065)</f>
        <v>0</v>
      </c>
    </row>
    <row r="16066" customFormat="false" ht="14.4" hidden="true" customHeight="false" outlineLevel="0" collapsed="false">
      <c r="A16066" s="34" t="n">
        <v>29529020000136</v>
      </c>
      <c r="B16066" s="34" t="s">
        <v>29764</v>
      </c>
      <c r="C16066" s="34" t="s">
        <v>976</v>
      </c>
      <c r="E16066" s="30" t="s">
        <v>29765</v>
      </c>
      <c r="F16066" s="34" t="n">
        <f aca="false">IFERROR(VLOOKUP($A16066,'319'!$B:$H,7,0),0)</f>
        <v>0</v>
      </c>
      <c r="G16066" s="34" t="n">
        <f aca="false">SUMIFS('12.326ana'!$C:$C,'12.326ana'!$M:$M,redes!A16066)</f>
        <v>0</v>
      </c>
    </row>
    <row r="16067" customFormat="false" ht="14.4" hidden="true" customHeight="false" outlineLevel="0" collapsed="false">
      <c r="A16067" s="34" t="n">
        <v>29529020000217</v>
      </c>
      <c r="B16067" s="34" t="s">
        <v>29764</v>
      </c>
      <c r="C16067" s="34" t="s">
        <v>299</v>
      </c>
      <c r="E16067" s="30" t="s">
        <v>29766</v>
      </c>
      <c r="F16067" s="34" t="n">
        <f aca="false">IFERROR(VLOOKUP($A16067,'319'!$B:$H,7,0),0)</f>
        <v>0</v>
      </c>
      <c r="G16067" s="34" t="n">
        <f aca="false">SUMIFS('12.326ana'!$C:$C,'12.326ana'!$M:$M,redes!A16067)</f>
        <v>0</v>
      </c>
    </row>
    <row r="16068" customFormat="false" ht="14.4" hidden="true" customHeight="false" outlineLevel="0" collapsed="false">
      <c r="A16068" s="34" t="n">
        <v>29537425000116</v>
      </c>
      <c r="B16068" s="34" t="s">
        <v>29767</v>
      </c>
      <c r="C16068" s="34" t="s">
        <v>680</v>
      </c>
      <c r="E16068" s="30" t="s">
        <v>3674</v>
      </c>
      <c r="F16068" s="34" t="n">
        <f aca="false">IFERROR(VLOOKUP($A16068,'319'!$B:$H,7,0),0)</f>
        <v>0</v>
      </c>
      <c r="G16068" s="34" t="n">
        <f aca="false">SUMIFS('12.326ana'!$C:$C,'12.326ana'!$M:$M,redes!A16068)</f>
        <v>0</v>
      </c>
    </row>
    <row r="16069" customFormat="false" ht="14.4" hidden="true" customHeight="false" outlineLevel="0" collapsed="false">
      <c r="A16069" s="34" t="n">
        <v>29557994000123</v>
      </c>
      <c r="B16069" s="34" t="s">
        <v>29768</v>
      </c>
      <c r="C16069" s="34" t="s">
        <v>77</v>
      </c>
      <c r="E16069" s="30" t="s">
        <v>29769</v>
      </c>
      <c r="F16069" s="34" t="n">
        <f aca="false">IFERROR(VLOOKUP($A16069,'319'!$B:$H,7,0),0)</f>
        <v>0</v>
      </c>
      <c r="G16069" s="34" t="n">
        <f aca="false">SUMIFS('12.326ana'!$C:$C,'12.326ana'!$M:$M,redes!A16069)</f>
        <v>0</v>
      </c>
    </row>
    <row r="16070" customFormat="false" ht="14.4" hidden="true" customHeight="false" outlineLevel="0" collapsed="false">
      <c r="A16070" s="34" t="n">
        <v>29575076000127</v>
      </c>
      <c r="B16070" s="34" t="s">
        <v>29770</v>
      </c>
      <c r="C16070" s="34" t="s">
        <v>77</v>
      </c>
      <c r="E16070" s="30" t="s">
        <v>29771</v>
      </c>
      <c r="F16070" s="34" t="n">
        <f aca="false">IFERROR(VLOOKUP($A16070,'319'!$B:$H,7,0),0)</f>
        <v>0</v>
      </c>
      <c r="G16070" s="34" t="n">
        <f aca="false">SUMIFS('12.326ana'!$C:$C,'12.326ana'!$M:$M,redes!A16070)</f>
        <v>0</v>
      </c>
    </row>
    <row r="16071" customFormat="false" ht="14.4" hidden="true" customHeight="false" outlineLevel="0" collapsed="false">
      <c r="A16071" s="34" t="n">
        <v>29576260000191</v>
      </c>
      <c r="B16071" s="34" t="s">
        <v>29772</v>
      </c>
      <c r="C16071" s="34" t="s">
        <v>77</v>
      </c>
      <c r="E16071" s="30" t="s">
        <v>27869</v>
      </c>
      <c r="F16071" s="34" t="n">
        <f aca="false">IFERROR(VLOOKUP($A16071,'319'!$B:$H,7,0),0)</f>
        <v>0</v>
      </c>
      <c r="G16071" s="34" t="n">
        <f aca="false">SUMIFS('12.326ana'!$C:$C,'12.326ana'!$M:$M,redes!A16071)</f>
        <v>0</v>
      </c>
    </row>
    <row r="16072" customFormat="false" ht="14.4" hidden="true" customHeight="false" outlineLevel="0" collapsed="false">
      <c r="A16072" s="34" t="n">
        <v>29589881000100</v>
      </c>
      <c r="B16072" s="34" t="s">
        <v>29773</v>
      </c>
      <c r="C16072" s="34" t="s">
        <v>107</v>
      </c>
      <c r="E16072" s="30" t="s">
        <v>21382</v>
      </c>
      <c r="F16072" s="34" t="n">
        <f aca="false">IFERROR(VLOOKUP($A16072,'319'!$B:$H,7,0),0)</f>
        <v>0</v>
      </c>
      <c r="G16072" s="34" t="n">
        <f aca="false">SUMIFS('12.326ana'!$C:$C,'12.326ana'!$M:$M,redes!A16072)</f>
        <v>0</v>
      </c>
    </row>
    <row r="16073" customFormat="false" ht="14.4" hidden="true" customHeight="false" outlineLevel="0" collapsed="false">
      <c r="A16073" s="34" t="n">
        <v>29597942000180</v>
      </c>
      <c r="B16073" s="34" t="s">
        <v>29774</v>
      </c>
      <c r="C16073" s="34" t="s">
        <v>1272</v>
      </c>
      <c r="E16073" s="30" t="s">
        <v>21117</v>
      </c>
      <c r="F16073" s="34" t="n">
        <f aca="false">IFERROR(VLOOKUP($A16073,'319'!$B:$H,7,0),0)</f>
        <v>0</v>
      </c>
      <c r="G16073" s="34" t="n">
        <f aca="false">SUMIFS('12.326ana'!$C:$C,'12.326ana'!$M:$M,redes!A16073)</f>
        <v>0</v>
      </c>
    </row>
    <row r="16074" customFormat="false" ht="14.4" hidden="true" customHeight="false" outlineLevel="0" collapsed="false">
      <c r="A16074" s="34" t="n">
        <v>29599963000135</v>
      </c>
      <c r="B16074" s="34" t="s">
        <v>29775</v>
      </c>
      <c r="C16074" s="34" t="s">
        <v>77</v>
      </c>
      <c r="E16074" s="30" t="s">
        <v>6838</v>
      </c>
      <c r="F16074" s="34" t="n">
        <f aca="false">IFERROR(VLOOKUP($A16074,'319'!$B:$H,7,0),0)</f>
        <v>0</v>
      </c>
      <c r="G16074" s="34" t="n">
        <f aca="false">SUMIFS('12.326ana'!$C:$C,'12.326ana'!$M:$M,redes!A16074)</f>
        <v>0</v>
      </c>
    </row>
    <row r="16075" customFormat="false" ht="14.4" hidden="true" customHeight="false" outlineLevel="0" collapsed="false">
      <c r="A16075" s="34" t="n">
        <v>29601355000118</v>
      </c>
      <c r="B16075" s="34" t="s">
        <v>29776</v>
      </c>
      <c r="C16075" s="34" t="s">
        <v>1272</v>
      </c>
      <c r="E16075" s="30" t="s">
        <v>6310</v>
      </c>
      <c r="F16075" s="34" t="n">
        <f aca="false">IFERROR(VLOOKUP($A16075,'319'!$B:$H,7,0),0)</f>
        <v>0</v>
      </c>
      <c r="G16075" s="34" t="n">
        <f aca="false">SUMIFS('12.326ana'!$C:$C,'12.326ana'!$M:$M,redes!A16075)</f>
        <v>0</v>
      </c>
    </row>
    <row r="16076" customFormat="false" ht="14.4" hidden="true" customHeight="false" outlineLevel="0" collapsed="false">
      <c r="A16076" s="34" t="n">
        <v>29601483000161</v>
      </c>
      <c r="B16076" s="34" t="s">
        <v>29777</v>
      </c>
      <c r="C16076" s="34" t="s">
        <v>7250</v>
      </c>
      <c r="E16076" s="30" t="s">
        <v>29778</v>
      </c>
      <c r="F16076" s="34" t="n">
        <f aca="false">IFERROR(VLOOKUP($A16076,'319'!$B:$H,7,0),0)</f>
        <v>0</v>
      </c>
      <c r="G16076" s="34" t="n">
        <f aca="false">SUMIFS('12.326ana'!$C:$C,'12.326ana'!$M:$M,redes!A16076)</f>
        <v>0</v>
      </c>
    </row>
    <row r="16077" customFormat="false" ht="14.4" hidden="true" customHeight="false" outlineLevel="0" collapsed="false">
      <c r="A16077" s="34" t="n">
        <v>29608982000180</v>
      </c>
      <c r="B16077" s="34" t="s">
        <v>29779</v>
      </c>
      <c r="C16077" s="34" t="s">
        <v>77</v>
      </c>
      <c r="E16077" s="30" t="s">
        <v>29780</v>
      </c>
      <c r="F16077" s="34" t="n">
        <f aca="false">IFERROR(VLOOKUP($A16077,'319'!$B:$H,7,0),0)</f>
        <v>0</v>
      </c>
      <c r="G16077" s="34" t="n">
        <f aca="false">SUMIFS('12.326ana'!$C:$C,'12.326ana'!$M:$M,redes!A16077)</f>
        <v>0</v>
      </c>
    </row>
    <row r="16078" customFormat="false" ht="14.4" hidden="true" customHeight="false" outlineLevel="0" collapsed="false">
      <c r="A16078" s="34" t="n">
        <v>29617585000175</v>
      </c>
      <c r="B16078" s="34" t="s">
        <v>29781</v>
      </c>
      <c r="C16078" s="34" t="s">
        <v>994</v>
      </c>
      <c r="E16078" s="30" t="s">
        <v>29782</v>
      </c>
      <c r="F16078" s="34" t="n">
        <f aca="false">IFERROR(VLOOKUP($A16078,'319'!$B:$H,7,0),0)</f>
        <v>0</v>
      </c>
      <c r="G16078" s="34" t="n">
        <f aca="false">SUMIFS('12.326ana'!$C:$C,'12.326ana'!$M:$M,redes!A16078)</f>
        <v>0</v>
      </c>
    </row>
    <row r="16079" customFormat="false" ht="14.4" hidden="true" customHeight="false" outlineLevel="0" collapsed="false">
      <c r="A16079" s="34" t="n">
        <v>29638059000191</v>
      </c>
      <c r="B16079" s="34" t="s">
        <v>29783</v>
      </c>
      <c r="C16079" s="34" t="s">
        <v>89</v>
      </c>
      <c r="E16079" s="30" t="s">
        <v>29784</v>
      </c>
      <c r="F16079" s="34" t="n">
        <f aca="false">IFERROR(VLOOKUP($A16079,'319'!$B:$H,7,0),0)</f>
        <v>0</v>
      </c>
      <c r="G16079" s="34" t="n">
        <f aca="false">SUMIFS('12.326ana'!$C:$C,'12.326ana'!$M:$M,redes!A16079)</f>
        <v>0</v>
      </c>
    </row>
    <row r="16080" customFormat="false" ht="14.4" hidden="true" customHeight="false" outlineLevel="0" collapsed="false">
      <c r="A16080" s="34" t="n">
        <v>29638085000110</v>
      </c>
      <c r="B16080" s="34" t="s">
        <v>29785</v>
      </c>
      <c r="C16080" s="34" t="s">
        <v>473</v>
      </c>
      <c r="E16080" s="30" t="s">
        <v>29786</v>
      </c>
      <c r="F16080" s="34" t="n">
        <f aca="false">IFERROR(VLOOKUP($A16080,'319'!$B:$H,7,0),0)</f>
        <v>0</v>
      </c>
      <c r="G16080" s="34" t="n">
        <f aca="false">SUMIFS('12.326ana'!$C:$C,'12.326ana'!$M:$M,redes!A16080)</f>
        <v>0</v>
      </c>
    </row>
    <row r="16081" customFormat="false" ht="14.4" hidden="true" customHeight="false" outlineLevel="0" collapsed="false">
      <c r="A16081" s="34" t="n">
        <v>29640297000131</v>
      </c>
      <c r="B16081" s="34" t="s">
        <v>29787</v>
      </c>
      <c r="C16081" s="34" t="s">
        <v>117</v>
      </c>
      <c r="E16081" s="30" t="s">
        <v>29788</v>
      </c>
      <c r="F16081" s="34" t="n">
        <f aca="false">IFERROR(VLOOKUP($A16081,'319'!$B:$H,7,0),0)</f>
        <v>0</v>
      </c>
      <c r="G16081" s="34" t="n">
        <f aca="false">SUMIFS('12.326ana'!$C:$C,'12.326ana'!$M:$M,redes!A16081)</f>
        <v>0</v>
      </c>
    </row>
    <row r="16082" customFormat="false" ht="14.4" hidden="true" customHeight="false" outlineLevel="0" collapsed="false">
      <c r="A16082" s="34" t="n">
        <v>29646511000167</v>
      </c>
      <c r="B16082" s="34" t="s">
        <v>24827</v>
      </c>
      <c r="C16082" s="34" t="s">
        <v>77</v>
      </c>
      <c r="E16082" s="30" t="s">
        <v>29789</v>
      </c>
      <c r="F16082" s="34" t="n">
        <f aca="false">IFERROR(VLOOKUP($A16082,'319'!$B:$H,7,0),0)</f>
        <v>0</v>
      </c>
      <c r="G16082" s="34" t="n">
        <f aca="false">SUMIFS('12.326ana'!$C:$C,'12.326ana'!$M:$M,redes!A16082)</f>
        <v>0</v>
      </c>
    </row>
    <row r="16083" customFormat="false" ht="14.4" hidden="true" customHeight="false" outlineLevel="0" collapsed="false">
      <c r="A16083" s="34" t="n">
        <v>29654000000197</v>
      </c>
      <c r="B16083" s="34" t="s">
        <v>29790</v>
      </c>
      <c r="C16083" s="34" t="s">
        <v>89</v>
      </c>
      <c r="E16083" s="30" t="s">
        <v>29791</v>
      </c>
      <c r="F16083" s="34" t="n">
        <f aca="false">IFERROR(VLOOKUP($A16083,'319'!$B:$H,7,0),0)</f>
        <v>854.07</v>
      </c>
      <c r="G16083" s="34" t="n">
        <f aca="false">SUMIFS('12.326ana'!$C:$C,'12.326ana'!$M:$M,redes!A16083)</f>
        <v>0</v>
      </c>
    </row>
    <row r="16084" customFormat="false" ht="14.4" hidden="true" customHeight="false" outlineLevel="0" collapsed="false">
      <c r="A16084" s="34" t="n">
        <v>29662890000189</v>
      </c>
      <c r="B16084" s="34" t="s">
        <v>821</v>
      </c>
      <c r="C16084" s="34" t="s">
        <v>721</v>
      </c>
      <c r="E16084" s="30" t="s">
        <v>2958</v>
      </c>
      <c r="F16084" s="34" t="n">
        <f aca="false">IFERROR(VLOOKUP($A16084,'319'!$B:$H,7,0),0)</f>
        <v>2401.22</v>
      </c>
      <c r="G16084" s="34" t="n">
        <f aca="false">SUMIFS('12.326ana'!$C:$C,'12.326ana'!$M:$M,redes!A16084)</f>
        <v>0</v>
      </c>
    </row>
    <row r="16085" customFormat="false" ht="14.4" hidden="true" customHeight="false" outlineLevel="0" collapsed="false">
      <c r="A16085" s="34" t="n">
        <v>29662890000260</v>
      </c>
      <c r="B16085" s="34" t="s">
        <v>821</v>
      </c>
      <c r="C16085" s="34" t="s">
        <v>713</v>
      </c>
      <c r="E16085" s="30" t="s">
        <v>2958</v>
      </c>
      <c r="F16085" s="34" t="n">
        <f aca="false">IFERROR(VLOOKUP($A16085,'319'!$B:$H,7,0),0)</f>
        <v>316.75</v>
      </c>
      <c r="G16085" s="34" t="n">
        <f aca="false">SUMIFS('12.326ana'!$C:$C,'12.326ana'!$M:$M,redes!A16085)</f>
        <v>0</v>
      </c>
    </row>
    <row r="16086" customFormat="false" ht="14.4" hidden="true" customHeight="false" outlineLevel="0" collapsed="false">
      <c r="A16086" s="34" t="n">
        <v>29672787000110</v>
      </c>
      <c r="B16086" s="34" t="s">
        <v>29792</v>
      </c>
      <c r="C16086" s="34" t="s">
        <v>77</v>
      </c>
      <c r="E16086" s="30" t="s">
        <v>29792</v>
      </c>
      <c r="F16086" s="34" t="n">
        <f aca="false">IFERROR(VLOOKUP($A16086,'319'!$B:$H,7,0),0)</f>
        <v>0</v>
      </c>
      <c r="G16086" s="34" t="n">
        <f aca="false">SUMIFS('12.326ana'!$C:$C,'12.326ana'!$M:$M,redes!A16086)</f>
        <v>0</v>
      </c>
    </row>
    <row r="16087" customFormat="false" ht="14.4" hidden="true" customHeight="false" outlineLevel="0" collapsed="false">
      <c r="A16087" s="34" t="n">
        <v>29673284000169</v>
      </c>
      <c r="B16087" s="34" t="s">
        <v>29793</v>
      </c>
      <c r="C16087" s="34" t="s">
        <v>77</v>
      </c>
      <c r="E16087" s="30" t="s">
        <v>29794</v>
      </c>
      <c r="F16087" s="34" t="n">
        <f aca="false">IFERROR(VLOOKUP($A16087,'319'!$B:$H,7,0),0)</f>
        <v>0</v>
      </c>
      <c r="G16087" s="34" t="n">
        <f aca="false">SUMIFS('12.326ana'!$C:$C,'12.326ana'!$M:$M,redes!A16087)</f>
        <v>0</v>
      </c>
    </row>
    <row r="16088" customFormat="false" ht="14.4" hidden="true" customHeight="false" outlineLevel="0" collapsed="false">
      <c r="A16088" s="34" t="n">
        <v>29679843000148</v>
      </c>
      <c r="B16088" s="34" t="s">
        <v>29795</v>
      </c>
      <c r="C16088" s="34" t="s">
        <v>139</v>
      </c>
      <c r="E16088" s="30" t="s">
        <v>29796</v>
      </c>
      <c r="F16088" s="34" t="n">
        <f aca="false">IFERROR(VLOOKUP($A16088,'319'!$B:$H,7,0),0)</f>
        <v>0</v>
      </c>
      <c r="G16088" s="34" t="n">
        <f aca="false">SUMIFS('12.326ana'!$C:$C,'12.326ana'!$M:$M,redes!A16088)</f>
        <v>0</v>
      </c>
    </row>
    <row r="16089" customFormat="false" ht="14.4" hidden="true" customHeight="false" outlineLevel="0" collapsed="false">
      <c r="A16089" s="34" t="n">
        <v>29680497000118</v>
      </c>
      <c r="B16089" s="34" t="s">
        <v>29797</v>
      </c>
      <c r="C16089" s="34" t="s">
        <v>89</v>
      </c>
      <c r="E16089" s="30" t="s">
        <v>28581</v>
      </c>
      <c r="F16089" s="34" t="n">
        <f aca="false">IFERROR(VLOOKUP($A16089,'319'!$B:$H,7,0),0)</f>
        <v>0</v>
      </c>
      <c r="G16089" s="34" t="n">
        <f aca="false">SUMIFS('12.326ana'!$C:$C,'12.326ana'!$M:$M,redes!A16089)</f>
        <v>0</v>
      </c>
    </row>
    <row r="16090" customFormat="false" ht="14.4" hidden="true" customHeight="false" outlineLevel="0" collapsed="false">
      <c r="A16090" s="34" t="n">
        <v>29685764000140</v>
      </c>
      <c r="B16090" s="34" t="s">
        <v>29798</v>
      </c>
      <c r="C16090" s="34" t="s">
        <v>89</v>
      </c>
      <c r="E16090" s="30" t="s">
        <v>29799</v>
      </c>
      <c r="F16090" s="34" t="n">
        <f aca="false">IFERROR(VLOOKUP($A16090,'319'!$B:$H,7,0),0)</f>
        <v>231.98</v>
      </c>
      <c r="G16090" s="34" t="n">
        <f aca="false">SUMIFS('12.326ana'!$C:$C,'12.326ana'!$M:$M,redes!A16090)</f>
        <v>0</v>
      </c>
    </row>
    <row r="16091" customFormat="false" ht="14.4" hidden="true" customHeight="false" outlineLevel="0" collapsed="false">
      <c r="A16091" s="34" t="n">
        <v>29709149000126</v>
      </c>
      <c r="B16091" s="34" t="s">
        <v>29800</v>
      </c>
      <c r="C16091" s="34" t="s">
        <v>77</v>
      </c>
      <c r="E16091" s="30" t="s">
        <v>29801</v>
      </c>
      <c r="F16091" s="34" t="n">
        <f aca="false">IFERROR(VLOOKUP($A16091,'319'!$B:$H,7,0),0)</f>
        <v>0</v>
      </c>
      <c r="G16091" s="34" t="n">
        <f aca="false">SUMIFS('12.326ana'!$C:$C,'12.326ana'!$M:$M,redes!A16091)</f>
        <v>0</v>
      </c>
    </row>
    <row r="16092" customFormat="false" ht="14.4" hidden="true" customHeight="false" outlineLevel="0" collapsed="false">
      <c r="A16092" s="34" t="n">
        <v>29715538000164</v>
      </c>
      <c r="B16092" s="34" t="s">
        <v>29802</v>
      </c>
      <c r="C16092" s="34" t="s">
        <v>89</v>
      </c>
      <c r="E16092" s="30" t="s">
        <v>29803</v>
      </c>
      <c r="F16092" s="34" t="n">
        <f aca="false">IFERROR(VLOOKUP($A16092,'319'!$B:$H,7,0),0)</f>
        <v>0</v>
      </c>
      <c r="G16092" s="34" t="n">
        <f aca="false">SUMIFS('12.326ana'!$C:$C,'12.326ana'!$M:$M,redes!A16092)</f>
        <v>0</v>
      </c>
    </row>
    <row r="16093" customFormat="false" ht="14.4" hidden="true" customHeight="false" outlineLevel="0" collapsed="false">
      <c r="A16093" s="34" t="n">
        <v>29726029000137</v>
      </c>
      <c r="B16093" s="34" t="s">
        <v>29804</v>
      </c>
      <c r="C16093" s="34" t="s">
        <v>77</v>
      </c>
      <c r="E16093" s="30" t="s">
        <v>29805</v>
      </c>
      <c r="F16093" s="34" t="n">
        <f aca="false">IFERROR(VLOOKUP($A16093,'319'!$B:$H,7,0),0)</f>
        <v>0</v>
      </c>
      <c r="G16093" s="34" t="n">
        <f aca="false">SUMIFS('12.326ana'!$C:$C,'12.326ana'!$M:$M,redes!A16093)</f>
        <v>0</v>
      </c>
    </row>
    <row r="16094" customFormat="false" ht="14.4" hidden="true" customHeight="false" outlineLevel="0" collapsed="false">
      <c r="A16094" s="34" t="n">
        <v>29728376000107</v>
      </c>
      <c r="B16094" s="34" t="s">
        <v>29806</v>
      </c>
      <c r="C16094" s="34" t="s">
        <v>89</v>
      </c>
      <c r="E16094" s="30" t="s">
        <v>29807</v>
      </c>
      <c r="F16094" s="34" t="n">
        <f aca="false">IFERROR(VLOOKUP($A16094,'319'!$B:$H,7,0),0)</f>
        <v>0</v>
      </c>
      <c r="G16094" s="34" t="n">
        <f aca="false">SUMIFS('12.326ana'!$C:$C,'12.326ana'!$M:$M,redes!A16094)</f>
        <v>0</v>
      </c>
    </row>
    <row r="16095" customFormat="false" ht="14.4" hidden="true" customHeight="false" outlineLevel="0" collapsed="false">
      <c r="A16095" s="34" t="n">
        <v>29733066000172</v>
      </c>
      <c r="B16095" s="34" t="s">
        <v>29808</v>
      </c>
      <c r="C16095" s="34" t="s">
        <v>192</v>
      </c>
      <c r="E16095" s="30" t="s">
        <v>29809</v>
      </c>
      <c r="F16095" s="34" t="n">
        <f aca="false">IFERROR(VLOOKUP($A16095,'319'!$B:$H,7,0),0)</f>
        <v>0</v>
      </c>
      <c r="G16095" s="34" t="n">
        <f aca="false">SUMIFS('12.326ana'!$C:$C,'12.326ana'!$M:$M,redes!A16095)</f>
        <v>0</v>
      </c>
    </row>
    <row r="16096" customFormat="false" ht="14.4" hidden="true" customHeight="false" outlineLevel="0" collapsed="false">
      <c r="A16096" s="34" t="n">
        <v>29737368000208</v>
      </c>
      <c r="B16096" s="34" t="s">
        <v>29810</v>
      </c>
      <c r="C16096" s="34" t="s">
        <v>29811</v>
      </c>
      <c r="E16096" s="30" t="s">
        <v>29812</v>
      </c>
      <c r="F16096" s="34" t="n">
        <f aca="false">IFERROR(VLOOKUP($A16096,'319'!$B:$H,7,0),0)</f>
        <v>0</v>
      </c>
      <c r="G16096" s="34" t="n">
        <f aca="false">SUMIFS('12.326ana'!$C:$C,'12.326ana'!$M:$M,redes!A16096)</f>
        <v>0</v>
      </c>
    </row>
    <row r="16097" customFormat="false" ht="14.4" hidden="true" customHeight="false" outlineLevel="0" collapsed="false">
      <c r="A16097" s="34" t="n">
        <v>29737368001433</v>
      </c>
      <c r="B16097" s="34" t="s">
        <v>29810</v>
      </c>
      <c r="C16097" s="34" t="s">
        <v>12327</v>
      </c>
      <c r="E16097" s="30" t="s">
        <v>29813</v>
      </c>
      <c r="F16097" s="34" t="n">
        <f aca="false">IFERROR(VLOOKUP($A16097,'319'!$B:$H,7,0),0)</f>
        <v>0</v>
      </c>
      <c r="G16097" s="34" t="n">
        <f aca="false">SUMIFS('12.326ana'!$C:$C,'12.326ana'!$M:$M,redes!A16097)</f>
        <v>0</v>
      </c>
    </row>
    <row r="16098" customFormat="false" ht="14.4" hidden="true" customHeight="false" outlineLevel="0" collapsed="false">
      <c r="A16098" s="34" t="n">
        <v>29739452000171</v>
      </c>
      <c r="B16098" s="34" t="s">
        <v>29814</v>
      </c>
      <c r="C16098" s="34" t="s">
        <v>107</v>
      </c>
      <c r="E16098" s="30" t="s">
        <v>29815</v>
      </c>
      <c r="F16098" s="34" t="n">
        <f aca="false">IFERROR(VLOOKUP($A16098,'319'!$B:$H,7,0),0)</f>
        <v>0</v>
      </c>
      <c r="G16098" s="34" t="n">
        <f aca="false">SUMIFS('12.326ana'!$C:$C,'12.326ana'!$M:$M,redes!A16098)</f>
        <v>0</v>
      </c>
    </row>
    <row r="16099" customFormat="false" ht="14.4" hidden="true" customHeight="false" outlineLevel="0" collapsed="false">
      <c r="A16099" s="34" t="n">
        <v>29744778059590</v>
      </c>
      <c r="B16099" s="34" t="s">
        <v>29816</v>
      </c>
      <c r="C16099" s="34" t="s">
        <v>77</v>
      </c>
      <c r="E16099" s="30" t="s">
        <v>29817</v>
      </c>
      <c r="F16099" s="34" t="n">
        <f aca="false">IFERROR(VLOOKUP($A16099,'319'!$B:$H,7,0),0)</f>
        <v>0</v>
      </c>
      <c r="G16099" s="34" t="n">
        <f aca="false">SUMIFS('12.326ana'!$C:$C,'12.326ana'!$M:$M,redes!A16099)</f>
        <v>0</v>
      </c>
    </row>
    <row r="16100" customFormat="false" ht="14.4" hidden="true" customHeight="false" outlineLevel="0" collapsed="false">
      <c r="A16100" s="34" t="n">
        <v>29745384000153</v>
      </c>
      <c r="B16100" s="34" t="s">
        <v>29818</v>
      </c>
      <c r="C16100" s="34" t="s">
        <v>744</v>
      </c>
      <c r="E16100" s="30" t="s">
        <v>29819</v>
      </c>
      <c r="F16100" s="34" t="n">
        <f aca="false">IFERROR(VLOOKUP($A16100,'319'!$B:$H,7,0),0)</f>
        <v>0</v>
      </c>
      <c r="G16100" s="34" t="n">
        <f aca="false">SUMIFS('12.326ana'!$C:$C,'12.326ana'!$M:$M,redes!A16100)</f>
        <v>0</v>
      </c>
    </row>
    <row r="16101" customFormat="false" ht="14.4" hidden="true" customHeight="false" outlineLevel="0" collapsed="false">
      <c r="A16101" s="34" t="n">
        <v>29748560000100</v>
      </c>
      <c r="B16101" s="34" t="s">
        <v>29820</v>
      </c>
      <c r="C16101" s="34" t="s">
        <v>107</v>
      </c>
      <c r="E16101" s="30" t="s">
        <v>5064</v>
      </c>
      <c r="F16101" s="34" t="n">
        <f aca="false">IFERROR(VLOOKUP($A16101,'319'!$B:$H,7,0),0)</f>
        <v>0</v>
      </c>
      <c r="G16101" s="34" t="n">
        <f aca="false">SUMIFS('12.326ana'!$C:$C,'12.326ana'!$M:$M,redes!A16101)</f>
        <v>0</v>
      </c>
    </row>
    <row r="16102" customFormat="false" ht="14.4" hidden="true" customHeight="false" outlineLevel="0" collapsed="false">
      <c r="A16102" s="34" t="n">
        <v>29755965000176</v>
      </c>
      <c r="B16102" s="34" t="s">
        <v>29821</v>
      </c>
      <c r="C16102" s="34" t="s">
        <v>77</v>
      </c>
      <c r="E16102" s="30" t="s">
        <v>29822</v>
      </c>
      <c r="F16102" s="34" t="n">
        <f aca="false">IFERROR(VLOOKUP($A16102,'319'!$B:$H,7,0),0)</f>
        <v>0</v>
      </c>
      <c r="G16102" s="34" t="n">
        <f aca="false">SUMIFS('12.326ana'!$C:$C,'12.326ana'!$M:$M,redes!A16102)</f>
        <v>0</v>
      </c>
    </row>
    <row r="16103" customFormat="false" ht="14.4" hidden="true" customHeight="false" outlineLevel="0" collapsed="false">
      <c r="A16103" s="34" t="n">
        <v>29757307000113</v>
      </c>
      <c r="B16103" s="34" t="s">
        <v>29823</v>
      </c>
      <c r="C16103" s="34" t="s">
        <v>139</v>
      </c>
      <c r="E16103" s="30" t="s">
        <v>29824</v>
      </c>
      <c r="F16103" s="34" t="n">
        <f aca="false">IFERROR(VLOOKUP($A16103,'319'!$B:$H,7,0),0)</f>
        <v>0</v>
      </c>
      <c r="G16103" s="34" t="n">
        <f aca="false">SUMIFS('12.326ana'!$C:$C,'12.326ana'!$M:$M,redes!A16103)</f>
        <v>0</v>
      </c>
    </row>
    <row r="16104" customFormat="false" ht="14.4" hidden="true" customHeight="false" outlineLevel="0" collapsed="false">
      <c r="A16104" s="34" t="n">
        <v>29768228000108</v>
      </c>
      <c r="B16104" s="34" t="s">
        <v>29825</v>
      </c>
      <c r="C16104" s="34" t="s">
        <v>77</v>
      </c>
      <c r="E16104" s="30" t="s">
        <v>29826</v>
      </c>
      <c r="F16104" s="34" t="n">
        <f aca="false">IFERROR(VLOOKUP($A16104,'319'!$B:$H,7,0),0)</f>
        <v>0</v>
      </c>
      <c r="G16104" s="34" t="n">
        <f aca="false">SUMIFS('12.326ana'!$C:$C,'12.326ana'!$M:$M,redes!A16104)</f>
        <v>0</v>
      </c>
    </row>
    <row r="16105" customFormat="false" ht="14.4" hidden="true" customHeight="false" outlineLevel="0" collapsed="false">
      <c r="A16105" s="34" t="n">
        <v>29775075000126</v>
      </c>
      <c r="B16105" s="34" t="s">
        <v>29827</v>
      </c>
      <c r="C16105" s="34" t="s">
        <v>77</v>
      </c>
      <c r="E16105" s="30" t="s">
        <v>29828</v>
      </c>
      <c r="F16105" s="34" t="n">
        <f aca="false">IFERROR(VLOOKUP($A16105,'319'!$B:$H,7,0),0)</f>
        <v>0</v>
      </c>
      <c r="G16105" s="34" t="n">
        <f aca="false">SUMIFS('12.326ana'!$C:$C,'12.326ana'!$M:$M,redes!A16105)</f>
        <v>0</v>
      </c>
    </row>
    <row r="16106" customFormat="false" ht="14.4" hidden="true" customHeight="false" outlineLevel="0" collapsed="false">
      <c r="A16106" s="34" t="n">
        <v>29776784000126</v>
      </c>
      <c r="B16106" s="34" t="s">
        <v>29829</v>
      </c>
      <c r="C16106" s="34" t="s">
        <v>77</v>
      </c>
      <c r="E16106" s="30" t="s">
        <v>29830</v>
      </c>
      <c r="F16106" s="34" t="n">
        <f aca="false">IFERROR(VLOOKUP($A16106,'319'!$B:$H,7,0),0)</f>
        <v>0</v>
      </c>
      <c r="G16106" s="34" t="n">
        <f aca="false">SUMIFS('12.326ana'!$C:$C,'12.326ana'!$M:$M,redes!A16106)</f>
        <v>0</v>
      </c>
    </row>
    <row r="16107" customFormat="false" ht="14.4" hidden="true" customHeight="false" outlineLevel="0" collapsed="false">
      <c r="A16107" s="34" t="n">
        <v>29779387000108</v>
      </c>
      <c r="B16107" s="34" t="s">
        <v>29831</v>
      </c>
      <c r="C16107" s="34" t="s">
        <v>1272</v>
      </c>
      <c r="E16107" s="30" t="s">
        <v>4768</v>
      </c>
      <c r="F16107" s="34" t="n">
        <f aca="false">IFERROR(VLOOKUP($A16107,'319'!$B:$H,7,0),0)</f>
        <v>0</v>
      </c>
      <c r="G16107" s="34" t="n">
        <f aca="false">SUMIFS('12.326ana'!$C:$C,'12.326ana'!$M:$M,redes!A16107)</f>
        <v>0</v>
      </c>
    </row>
    <row r="16108" customFormat="false" ht="14.4" hidden="true" customHeight="false" outlineLevel="0" collapsed="false">
      <c r="A16108" s="34" t="n">
        <v>29800852000145</v>
      </c>
      <c r="B16108" s="34" t="s">
        <v>29832</v>
      </c>
      <c r="C16108" s="34" t="s">
        <v>139</v>
      </c>
      <c r="E16108" s="30" t="s">
        <v>29833</v>
      </c>
      <c r="F16108" s="34" t="n">
        <f aca="false">IFERROR(VLOOKUP($A16108,'319'!$B:$H,7,0),0)</f>
        <v>0</v>
      </c>
      <c r="G16108" s="34" t="n">
        <f aca="false">SUMIFS('12.326ana'!$C:$C,'12.326ana'!$M:$M,redes!A16108)</f>
        <v>0</v>
      </c>
    </row>
    <row r="16109" customFormat="false" ht="14.4" hidden="true" customHeight="false" outlineLevel="0" collapsed="false">
      <c r="A16109" s="34" t="n">
        <v>29813826000151</v>
      </c>
      <c r="B16109" s="34" t="s">
        <v>29834</v>
      </c>
      <c r="C16109" s="34" t="s">
        <v>881</v>
      </c>
      <c r="E16109" s="30" t="s">
        <v>22491</v>
      </c>
      <c r="F16109" s="34" t="n">
        <f aca="false">IFERROR(VLOOKUP($A16109,'319'!$B:$H,7,0),0)</f>
        <v>0</v>
      </c>
      <c r="G16109" s="34" t="n">
        <f aca="false">SUMIFS('12.326ana'!$C:$C,'12.326ana'!$M:$M,redes!A16109)</f>
        <v>0</v>
      </c>
    </row>
    <row r="16110" customFormat="false" ht="14.4" hidden="true" customHeight="false" outlineLevel="0" collapsed="false">
      <c r="A16110" s="34" t="n">
        <v>29816883000194</v>
      </c>
      <c r="B16110" s="34" t="s">
        <v>29835</v>
      </c>
      <c r="C16110" s="34" t="s">
        <v>77</v>
      </c>
      <c r="E16110" s="30" t="s">
        <v>29835</v>
      </c>
      <c r="F16110" s="34" t="n">
        <f aca="false">IFERROR(VLOOKUP($A16110,'319'!$B:$H,7,0),0)</f>
        <v>0</v>
      </c>
      <c r="G16110" s="34" t="n">
        <f aca="false">SUMIFS('12.326ana'!$C:$C,'12.326ana'!$M:$M,redes!A16110)</f>
        <v>0</v>
      </c>
    </row>
    <row r="16111" customFormat="false" ht="14.4" hidden="true" customHeight="false" outlineLevel="0" collapsed="false">
      <c r="A16111" s="34" t="n">
        <v>29818566000107</v>
      </c>
      <c r="B16111" s="34" t="s">
        <v>23310</v>
      </c>
      <c r="C16111" s="34" t="s">
        <v>464</v>
      </c>
      <c r="E16111" s="30" t="s">
        <v>23310</v>
      </c>
      <c r="F16111" s="34" t="n">
        <f aca="false">IFERROR(VLOOKUP($A16111,'319'!$B:$H,7,0),0)</f>
        <v>0</v>
      </c>
      <c r="G16111" s="34" t="n">
        <f aca="false">SUMIFS('12.326ana'!$C:$C,'12.326ana'!$M:$M,redes!A16111)</f>
        <v>0</v>
      </c>
    </row>
    <row r="16112" customFormat="false" ht="14.4" hidden="true" customHeight="false" outlineLevel="0" collapsed="false">
      <c r="A16112" s="34" t="n">
        <v>29819179000195</v>
      </c>
      <c r="B16112" s="34" t="s">
        <v>29836</v>
      </c>
      <c r="C16112" s="34" t="s">
        <v>192</v>
      </c>
      <c r="E16112" s="30" t="s">
        <v>29837</v>
      </c>
      <c r="F16112" s="34" t="n">
        <f aca="false">IFERROR(VLOOKUP($A16112,'319'!$B:$H,7,0),0)</f>
        <v>0</v>
      </c>
      <c r="G16112" s="34" t="n">
        <f aca="false">SUMIFS('12.326ana'!$C:$C,'12.326ana'!$M:$M,redes!A16112)</f>
        <v>0</v>
      </c>
    </row>
    <row r="16113" customFormat="false" ht="14.4" hidden="true" customHeight="false" outlineLevel="0" collapsed="false">
      <c r="A16113" s="34" t="n">
        <v>29828222000189</v>
      </c>
      <c r="B16113" s="34" t="s">
        <v>29838</v>
      </c>
      <c r="C16113" s="34" t="s">
        <v>77</v>
      </c>
      <c r="E16113" s="30" t="s">
        <v>29839</v>
      </c>
      <c r="F16113" s="34" t="n">
        <f aca="false">IFERROR(VLOOKUP($A16113,'319'!$B:$H,7,0),0)</f>
        <v>0</v>
      </c>
      <c r="G16113" s="34" t="n">
        <f aca="false">SUMIFS('12.326ana'!$C:$C,'12.326ana'!$M:$M,redes!A16113)</f>
        <v>0</v>
      </c>
    </row>
    <row r="16114" customFormat="false" ht="14.4" hidden="true" customHeight="false" outlineLevel="0" collapsed="false">
      <c r="A16114" s="34" t="n">
        <v>29831253000199</v>
      </c>
      <c r="B16114" s="34" t="s">
        <v>29840</v>
      </c>
      <c r="C16114" s="34" t="s">
        <v>3594</v>
      </c>
      <c r="E16114" s="30" t="s">
        <v>29841</v>
      </c>
      <c r="F16114" s="34" t="n">
        <f aca="false">IFERROR(VLOOKUP($A16114,'319'!$B:$H,7,0),0)</f>
        <v>0</v>
      </c>
      <c r="G16114" s="34" t="n">
        <f aca="false">SUMIFS('12.326ana'!$C:$C,'12.326ana'!$M:$M,redes!A16114)</f>
        <v>0</v>
      </c>
    </row>
    <row r="16115" customFormat="false" ht="14.4" hidden="true" customHeight="false" outlineLevel="0" collapsed="false">
      <c r="A16115" s="34" t="n">
        <v>29841719000137</v>
      </c>
      <c r="B16115" s="34" t="s">
        <v>1101</v>
      </c>
      <c r="C16115" s="34" t="s">
        <v>309</v>
      </c>
      <c r="E16115" s="30" t="s">
        <v>29842</v>
      </c>
      <c r="F16115" s="34" t="n">
        <f aca="false">IFERROR(VLOOKUP($A16115,'319'!$B:$H,7,0),0)</f>
        <v>580.86</v>
      </c>
      <c r="G16115" s="34" t="n">
        <f aca="false">SUMIFS('12.326ana'!$C:$C,'12.326ana'!$M:$M,redes!A16115)</f>
        <v>0</v>
      </c>
    </row>
    <row r="16116" customFormat="false" ht="14.4" hidden="true" customHeight="false" outlineLevel="0" collapsed="false">
      <c r="A16116" s="34" t="n">
        <v>29850277000195</v>
      </c>
      <c r="B16116" s="34" t="s">
        <v>29843</v>
      </c>
      <c r="C16116" s="34" t="s">
        <v>77</v>
      </c>
      <c r="E16116" s="30" t="s">
        <v>13610</v>
      </c>
      <c r="F16116" s="34" t="n">
        <f aca="false">IFERROR(VLOOKUP($A16116,'319'!$B:$H,7,0),0)</f>
        <v>0</v>
      </c>
      <c r="G16116" s="34" t="n">
        <f aca="false">SUMIFS('12.326ana'!$C:$C,'12.326ana'!$M:$M,redes!A16116)</f>
        <v>0</v>
      </c>
    </row>
    <row r="16117" customFormat="false" ht="14.4" hidden="true" customHeight="false" outlineLevel="0" collapsed="false">
      <c r="A16117" s="34" t="n">
        <v>29853463000188</v>
      </c>
      <c r="B16117" s="34" t="s">
        <v>29844</v>
      </c>
      <c r="C16117" s="34" t="s">
        <v>77</v>
      </c>
      <c r="E16117" s="30" t="s">
        <v>29845</v>
      </c>
      <c r="F16117" s="34" t="n">
        <f aca="false">IFERROR(VLOOKUP($A16117,'319'!$B:$H,7,0),0)</f>
        <v>0</v>
      </c>
      <c r="G16117" s="34" t="n">
        <f aca="false">SUMIFS('12.326ana'!$C:$C,'12.326ana'!$M:$M,redes!A16117)</f>
        <v>0</v>
      </c>
    </row>
    <row r="16118" customFormat="false" ht="14.4" hidden="true" customHeight="false" outlineLevel="0" collapsed="false">
      <c r="A16118" s="34" t="n">
        <v>29853526000104</v>
      </c>
      <c r="B16118" s="34" t="s">
        <v>29846</v>
      </c>
      <c r="C16118" s="34" t="s">
        <v>77</v>
      </c>
      <c r="E16118" s="30" t="s">
        <v>29847</v>
      </c>
      <c r="F16118" s="34" t="n">
        <f aca="false">IFERROR(VLOOKUP($A16118,'319'!$B:$H,7,0),0)</f>
        <v>0</v>
      </c>
      <c r="G16118" s="34" t="n">
        <f aca="false">SUMIFS('12.326ana'!$C:$C,'12.326ana'!$M:$M,redes!A16118)</f>
        <v>0</v>
      </c>
    </row>
    <row r="16119" customFormat="false" ht="14.4" hidden="true" customHeight="false" outlineLevel="0" collapsed="false">
      <c r="A16119" s="34" t="n">
        <v>29853943000149</v>
      </c>
      <c r="B16119" s="34" t="s">
        <v>29848</v>
      </c>
      <c r="C16119" s="34" t="s">
        <v>77</v>
      </c>
      <c r="E16119" s="30" t="s">
        <v>29849</v>
      </c>
      <c r="F16119" s="34" t="n">
        <f aca="false">IFERROR(VLOOKUP($A16119,'319'!$B:$H,7,0),0)</f>
        <v>0</v>
      </c>
      <c r="G16119" s="34" t="n">
        <f aca="false">SUMIFS('12.326ana'!$C:$C,'12.326ana'!$M:$M,redes!A16119)</f>
        <v>0</v>
      </c>
    </row>
    <row r="16120" customFormat="false" ht="14.4" hidden="true" customHeight="false" outlineLevel="0" collapsed="false">
      <c r="A16120" s="34" t="n">
        <v>29864002000100</v>
      </c>
      <c r="B16120" s="34" t="s">
        <v>29850</v>
      </c>
      <c r="C16120" s="34" t="s">
        <v>107</v>
      </c>
      <c r="E16120" s="30" t="s">
        <v>29851</v>
      </c>
      <c r="F16120" s="34" t="n">
        <f aca="false">IFERROR(VLOOKUP($A16120,'319'!$B:$H,7,0),0)</f>
        <v>0</v>
      </c>
      <c r="G16120" s="34" t="n">
        <f aca="false">SUMIFS('12.326ana'!$C:$C,'12.326ana'!$M:$M,redes!A16120)</f>
        <v>0</v>
      </c>
    </row>
    <row r="16121" customFormat="false" ht="14.4" hidden="true" customHeight="false" outlineLevel="0" collapsed="false">
      <c r="A16121" s="34" t="n">
        <v>29864974000103</v>
      </c>
      <c r="B16121" s="34" t="s">
        <v>29852</v>
      </c>
      <c r="C16121" s="34" t="s">
        <v>478</v>
      </c>
      <c r="E16121" s="30" t="s">
        <v>29853</v>
      </c>
      <c r="F16121" s="34" t="n">
        <f aca="false">IFERROR(VLOOKUP($A16121,'319'!$B:$H,7,0),0)</f>
        <v>0</v>
      </c>
      <c r="G16121" s="34" t="n">
        <f aca="false">SUMIFS('12.326ana'!$C:$C,'12.326ana'!$M:$M,redes!A16121)</f>
        <v>0</v>
      </c>
    </row>
    <row r="16122" customFormat="false" ht="14.4" hidden="true" customHeight="false" outlineLevel="0" collapsed="false">
      <c r="A16122" s="34" t="n">
        <v>29874860000136</v>
      </c>
      <c r="B16122" s="34" t="s">
        <v>29854</v>
      </c>
      <c r="C16122" s="34" t="s">
        <v>631</v>
      </c>
      <c r="E16122" s="30" t="s">
        <v>29855</v>
      </c>
      <c r="F16122" s="34" t="n">
        <f aca="false">IFERROR(VLOOKUP($A16122,'319'!$B:$H,7,0),0)</f>
        <v>0</v>
      </c>
      <c r="G16122" s="34" t="n">
        <f aca="false">SUMIFS('12.326ana'!$C:$C,'12.326ana'!$M:$M,redes!A16122)</f>
        <v>0</v>
      </c>
    </row>
    <row r="16123" customFormat="false" ht="14.4" hidden="true" customHeight="false" outlineLevel="0" collapsed="false">
      <c r="A16123" s="34" t="n">
        <v>29882267000212</v>
      </c>
      <c r="B16123" s="34" t="s">
        <v>29856</v>
      </c>
      <c r="C16123" s="34" t="s">
        <v>77</v>
      </c>
      <c r="E16123" s="30" t="s">
        <v>29857</v>
      </c>
      <c r="F16123" s="34" t="n">
        <f aca="false">IFERROR(VLOOKUP($A16123,'319'!$B:$H,7,0),0)</f>
        <v>0</v>
      </c>
      <c r="G16123" s="34" t="n">
        <f aca="false">SUMIFS('12.326ana'!$C:$C,'12.326ana'!$M:$M,redes!A16123)</f>
        <v>0</v>
      </c>
    </row>
    <row r="16124" customFormat="false" ht="14.4" hidden="true" customHeight="false" outlineLevel="0" collapsed="false">
      <c r="A16124" s="34" t="n">
        <v>29891023000115</v>
      </c>
      <c r="B16124" s="34" t="s">
        <v>29858</v>
      </c>
      <c r="C16124" s="34" t="s">
        <v>475</v>
      </c>
      <c r="E16124" s="30" t="s">
        <v>29859</v>
      </c>
      <c r="F16124" s="34" t="n">
        <f aca="false">IFERROR(VLOOKUP($A16124,'319'!$B:$H,7,0),0)</f>
        <v>0</v>
      </c>
      <c r="G16124" s="34" t="n">
        <f aca="false">SUMIFS('12.326ana'!$C:$C,'12.326ana'!$M:$M,redes!A16124)</f>
        <v>0</v>
      </c>
    </row>
    <row r="16125" customFormat="false" ht="14.4" hidden="true" customHeight="false" outlineLevel="0" collapsed="false">
      <c r="A16125" s="34" t="n">
        <v>29891107000159</v>
      </c>
      <c r="B16125" s="34" t="s">
        <v>29860</v>
      </c>
      <c r="C16125" s="34" t="s">
        <v>89</v>
      </c>
      <c r="E16125" s="30" t="s">
        <v>7037</v>
      </c>
      <c r="F16125" s="34" t="n">
        <f aca="false">IFERROR(VLOOKUP($A16125,'319'!$B:$H,7,0),0)</f>
        <v>0</v>
      </c>
      <c r="G16125" s="34" t="n">
        <f aca="false">SUMIFS('12.326ana'!$C:$C,'12.326ana'!$M:$M,redes!A16125)</f>
        <v>0</v>
      </c>
    </row>
    <row r="16126" customFormat="false" ht="14.4" hidden="true" customHeight="false" outlineLevel="0" collapsed="false">
      <c r="A16126" s="34" t="n">
        <v>29891809000132</v>
      </c>
      <c r="B16126" s="34" t="s">
        <v>29861</v>
      </c>
      <c r="C16126" s="34" t="s">
        <v>309</v>
      </c>
      <c r="E16126" s="30" t="s">
        <v>21867</v>
      </c>
      <c r="F16126" s="34" t="n">
        <f aca="false">IFERROR(VLOOKUP($A16126,'319'!$B:$H,7,0),0)</f>
        <v>87.28</v>
      </c>
      <c r="G16126" s="34" t="n">
        <f aca="false">SUMIFS('12.326ana'!$C:$C,'12.326ana'!$M:$M,redes!A16126)</f>
        <v>0</v>
      </c>
    </row>
    <row r="16127" customFormat="false" ht="14.4" hidden="true" customHeight="false" outlineLevel="0" collapsed="false">
      <c r="A16127" s="34" t="n">
        <v>29891998000143</v>
      </c>
      <c r="B16127" s="34" t="s">
        <v>29862</v>
      </c>
      <c r="C16127" s="34" t="s">
        <v>448</v>
      </c>
      <c r="E16127" s="30" t="s">
        <v>29863</v>
      </c>
      <c r="F16127" s="34" t="n">
        <f aca="false">IFERROR(VLOOKUP($A16127,'319'!$B:$H,7,0),0)</f>
        <v>0</v>
      </c>
      <c r="G16127" s="34" t="n">
        <f aca="false">SUMIFS('12.326ana'!$C:$C,'12.326ana'!$M:$M,redes!A16127)</f>
        <v>0</v>
      </c>
    </row>
    <row r="16128" customFormat="false" ht="14.4" hidden="true" customHeight="false" outlineLevel="0" collapsed="false">
      <c r="A16128" s="34" t="n">
        <v>29893255000102</v>
      </c>
      <c r="B16128" s="34" t="s">
        <v>29864</v>
      </c>
      <c r="C16128" s="34" t="s">
        <v>192</v>
      </c>
      <c r="E16128" s="30" t="s">
        <v>9339</v>
      </c>
      <c r="F16128" s="34" t="n">
        <f aca="false">IFERROR(VLOOKUP($A16128,'319'!$B:$H,7,0),0)</f>
        <v>0</v>
      </c>
      <c r="G16128" s="34" t="n">
        <f aca="false">SUMIFS('12.326ana'!$C:$C,'12.326ana'!$M:$M,redes!A16128)</f>
        <v>0</v>
      </c>
    </row>
    <row r="16129" customFormat="false" ht="14.4" hidden="true" customHeight="false" outlineLevel="0" collapsed="false">
      <c r="A16129" s="34" t="n">
        <v>29904058000141</v>
      </c>
      <c r="B16129" s="34" t="s">
        <v>29865</v>
      </c>
      <c r="C16129" s="34" t="s">
        <v>77</v>
      </c>
      <c r="E16129" s="30" t="s">
        <v>29866</v>
      </c>
      <c r="F16129" s="34" t="n">
        <f aca="false">IFERROR(VLOOKUP($A16129,'319'!$B:$H,7,0),0)</f>
        <v>0</v>
      </c>
      <c r="G16129" s="34" t="n">
        <f aca="false">SUMIFS('12.326ana'!$C:$C,'12.326ana'!$M:$M,redes!A16129)</f>
        <v>0</v>
      </c>
    </row>
    <row r="16130" customFormat="false" ht="14.4" hidden="true" customHeight="false" outlineLevel="0" collapsed="false">
      <c r="A16130" s="34" t="n">
        <v>29907727000139</v>
      </c>
      <c r="B16130" s="34" t="s">
        <v>29867</v>
      </c>
      <c r="C16130" s="34" t="s">
        <v>77</v>
      </c>
      <c r="E16130" s="30" t="s">
        <v>29868</v>
      </c>
      <c r="F16130" s="34" t="n">
        <f aca="false">IFERROR(VLOOKUP($A16130,'319'!$B:$H,7,0),0)</f>
        <v>0</v>
      </c>
      <c r="G16130" s="34" t="n">
        <f aca="false">SUMIFS('12.326ana'!$C:$C,'12.326ana'!$M:$M,redes!A16130)</f>
        <v>0</v>
      </c>
    </row>
    <row r="16131" customFormat="false" ht="14.4" hidden="true" customHeight="false" outlineLevel="0" collapsed="false">
      <c r="A16131" s="34" t="n">
        <v>29916568000139</v>
      </c>
      <c r="B16131" s="34" t="s">
        <v>29869</v>
      </c>
      <c r="C16131" s="34" t="s">
        <v>103</v>
      </c>
      <c r="E16131" s="30" t="s">
        <v>29870</v>
      </c>
      <c r="F16131" s="34" t="n">
        <f aca="false">IFERROR(VLOOKUP($A16131,'319'!$B:$H,7,0),0)</f>
        <v>0</v>
      </c>
      <c r="G16131" s="34" t="n">
        <f aca="false">SUMIFS('12.326ana'!$C:$C,'12.326ana'!$M:$M,redes!A16131)</f>
        <v>0</v>
      </c>
    </row>
    <row r="16132" customFormat="false" ht="14.4" hidden="true" customHeight="false" outlineLevel="0" collapsed="false">
      <c r="A16132" s="34" t="n">
        <v>29929523000107</v>
      </c>
      <c r="B16132" s="34" t="s">
        <v>29871</v>
      </c>
      <c r="C16132" s="34" t="s">
        <v>77</v>
      </c>
      <c r="E16132" s="30" t="s">
        <v>29872</v>
      </c>
      <c r="F16132" s="34" t="n">
        <f aca="false">IFERROR(VLOOKUP($A16132,'319'!$B:$H,7,0),0)</f>
        <v>0</v>
      </c>
      <c r="G16132" s="34" t="n">
        <f aca="false">SUMIFS('12.326ana'!$C:$C,'12.326ana'!$M:$M,redes!A16132)</f>
        <v>0</v>
      </c>
    </row>
    <row r="16133" customFormat="false" ht="14.4" hidden="true" customHeight="false" outlineLevel="0" collapsed="false">
      <c r="A16133" s="34" t="n">
        <v>29938119000191</v>
      </c>
      <c r="B16133" s="34" t="s">
        <v>3568</v>
      </c>
      <c r="C16133" s="34" t="s">
        <v>77</v>
      </c>
      <c r="E16133" s="30" t="s">
        <v>3289</v>
      </c>
      <c r="F16133" s="34" t="n">
        <f aca="false">IFERROR(VLOOKUP($A16133,'319'!$B:$H,7,0),0)</f>
        <v>45.22</v>
      </c>
      <c r="G16133" s="34" t="n">
        <f aca="false">SUMIFS('12.326ana'!$C:$C,'12.326ana'!$M:$M,redes!A16133)</f>
        <v>0</v>
      </c>
    </row>
    <row r="16134" customFormat="false" ht="14.4" hidden="true" customHeight="false" outlineLevel="0" collapsed="false">
      <c r="A16134" s="34" t="n">
        <v>29939728000165</v>
      </c>
      <c r="B16134" s="34" t="s">
        <v>29873</v>
      </c>
      <c r="C16134" s="34" t="s">
        <v>77</v>
      </c>
      <c r="E16134" s="30" t="s">
        <v>29874</v>
      </c>
      <c r="F16134" s="34" t="n">
        <f aca="false">IFERROR(VLOOKUP($A16134,'319'!$B:$H,7,0),0)</f>
        <v>0</v>
      </c>
      <c r="G16134" s="34" t="n">
        <f aca="false">SUMIFS('12.326ana'!$C:$C,'12.326ana'!$M:$M,redes!A16134)</f>
        <v>0</v>
      </c>
    </row>
    <row r="16135" customFormat="false" ht="14.4" hidden="true" customHeight="false" outlineLevel="0" collapsed="false">
      <c r="A16135" s="34" t="n">
        <v>29951014000172</v>
      </c>
      <c r="B16135" s="34" t="s">
        <v>29875</v>
      </c>
      <c r="C16135" s="34" t="s">
        <v>77</v>
      </c>
      <c r="E16135" s="30" t="s">
        <v>29876</v>
      </c>
      <c r="F16135" s="34" t="n">
        <f aca="false">IFERROR(VLOOKUP($A16135,'319'!$B:$H,7,0),0)</f>
        <v>0</v>
      </c>
      <c r="G16135" s="34" t="n">
        <f aca="false">SUMIFS('12.326ana'!$C:$C,'12.326ana'!$M:$M,redes!A16135)</f>
        <v>0</v>
      </c>
    </row>
    <row r="16136" customFormat="false" ht="14.4" hidden="true" customHeight="false" outlineLevel="0" collapsed="false">
      <c r="A16136" s="34" t="n">
        <v>29954253000186</v>
      </c>
      <c r="B16136" s="34" t="s">
        <v>29877</v>
      </c>
      <c r="C16136" s="34" t="s">
        <v>77</v>
      </c>
      <c r="E16136" s="30" t="s">
        <v>29878</v>
      </c>
      <c r="F16136" s="34" t="n">
        <f aca="false">IFERROR(VLOOKUP($A16136,'319'!$B:$H,7,0),0)</f>
        <v>0</v>
      </c>
      <c r="G16136" s="34" t="n">
        <f aca="false">SUMIFS('12.326ana'!$C:$C,'12.326ana'!$M:$M,redes!A16136)</f>
        <v>0</v>
      </c>
    </row>
    <row r="16137" customFormat="false" ht="14.4" hidden="true" customHeight="false" outlineLevel="0" collapsed="false">
      <c r="A16137" s="34" t="n">
        <v>29956835000100</v>
      </c>
      <c r="B16137" s="34" t="s">
        <v>29879</v>
      </c>
      <c r="C16137" s="34" t="s">
        <v>842</v>
      </c>
      <c r="E16137" s="30" t="s">
        <v>29879</v>
      </c>
      <c r="F16137" s="34" t="n">
        <f aca="false">IFERROR(VLOOKUP($A16137,'319'!$B:$H,7,0),0)</f>
        <v>0</v>
      </c>
      <c r="G16137" s="34" t="n">
        <f aca="false">SUMIFS('12.326ana'!$C:$C,'12.326ana'!$M:$M,redes!A16137)</f>
        <v>0</v>
      </c>
    </row>
    <row r="16138" customFormat="false" ht="14.4" hidden="true" customHeight="false" outlineLevel="0" collapsed="false">
      <c r="A16138" s="34" t="n">
        <v>29959912000177</v>
      </c>
      <c r="B16138" s="34" t="s">
        <v>29880</v>
      </c>
      <c r="C16138" s="34" t="s">
        <v>77</v>
      </c>
      <c r="E16138" s="30" t="s">
        <v>29881</v>
      </c>
      <c r="F16138" s="34" t="n">
        <f aca="false">IFERROR(VLOOKUP($A16138,'319'!$B:$H,7,0),0)</f>
        <v>0</v>
      </c>
      <c r="G16138" s="34" t="n">
        <f aca="false">SUMIFS('12.326ana'!$C:$C,'12.326ana'!$M:$M,redes!A16138)</f>
        <v>0</v>
      </c>
    </row>
    <row r="16139" customFormat="false" ht="14.4" hidden="true" customHeight="false" outlineLevel="0" collapsed="false">
      <c r="A16139" s="34" t="n">
        <v>29969398000150</v>
      </c>
      <c r="B16139" s="34" t="s">
        <v>29882</v>
      </c>
      <c r="C16139" s="34" t="s">
        <v>77</v>
      </c>
      <c r="E16139" s="30" t="s">
        <v>21230</v>
      </c>
      <c r="F16139" s="34" t="n">
        <f aca="false">IFERROR(VLOOKUP($A16139,'319'!$B:$H,7,0),0)</f>
        <v>0</v>
      </c>
      <c r="G16139" s="34" t="n">
        <f aca="false">SUMIFS('12.326ana'!$C:$C,'12.326ana'!$M:$M,redes!A16139)</f>
        <v>0</v>
      </c>
    </row>
    <row r="16140" customFormat="false" ht="14.4" hidden="true" customHeight="false" outlineLevel="0" collapsed="false">
      <c r="A16140" s="34" t="n">
        <v>29981833000596</v>
      </c>
      <c r="B16140" s="34" t="s">
        <v>29883</v>
      </c>
      <c r="C16140" s="34" t="s">
        <v>77</v>
      </c>
      <c r="E16140" s="30" t="s">
        <v>12716</v>
      </c>
      <c r="F16140" s="34" t="n">
        <f aca="false">IFERROR(VLOOKUP($A16140,'319'!$B:$H,7,0),0)</f>
        <v>0</v>
      </c>
      <c r="G16140" s="34" t="n">
        <f aca="false">SUMIFS('12.326ana'!$C:$C,'12.326ana'!$M:$M,redes!A16140)</f>
        <v>0</v>
      </c>
    </row>
    <row r="16141" customFormat="false" ht="14.4" hidden="true" customHeight="false" outlineLevel="0" collapsed="false">
      <c r="A16141" s="34" t="n">
        <v>29984578000101</v>
      </c>
      <c r="B16141" s="34" t="s">
        <v>29884</v>
      </c>
      <c r="C16141" s="34" t="s">
        <v>77</v>
      </c>
      <c r="E16141" s="30" t="s">
        <v>29885</v>
      </c>
      <c r="F16141" s="34" t="n">
        <f aca="false">IFERROR(VLOOKUP($A16141,'319'!$B:$H,7,0),0)</f>
        <v>0</v>
      </c>
      <c r="G16141" s="34" t="n">
        <f aca="false">SUMIFS('12.326ana'!$C:$C,'12.326ana'!$M:$M,redes!A16141)</f>
        <v>0</v>
      </c>
    </row>
    <row r="16142" customFormat="false" ht="14.4" hidden="true" customHeight="false" outlineLevel="0" collapsed="false">
      <c r="A16142" s="34" t="n">
        <v>29997286000103</v>
      </c>
      <c r="B16142" s="34" t="s">
        <v>29886</v>
      </c>
      <c r="C16142" s="34" t="s">
        <v>954</v>
      </c>
      <c r="E16142" s="30" t="s">
        <v>29887</v>
      </c>
      <c r="F16142" s="34" t="n">
        <f aca="false">IFERROR(VLOOKUP($A16142,'319'!$B:$H,7,0),0)</f>
        <v>0</v>
      </c>
      <c r="G16142" s="34" t="n">
        <f aca="false">SUMIFS('12.326ana'!$C:$C,'12.326ana'!$M:$M,redes!A16142)</f>
        <v>0</v>
      </c>
    </row>
    <row r="16143" customFormat="false" ht="14.4" hidden="true" customHeight="false" outlineLevel="0" collapsed="false">
      <c r="A16143" s="34" t="n">
        <v>30016106000144</v>
      </c>
      <c r="B16143" s="34" t="s">
        <v>29888</v>
      </c>
      <c r="C16143" s="34" t="s">
        <v>89</v>
      </c>
      <c r="E16143" s="30" t="s">
        <v>29889</v>
      </c>
      <c r="F16143" s="34" t="n">
        <f aca="false">IFERROR(VLOOKUP($A16143,'319'!$B:$H,7,0),0)</f>
        <v>0</v>
      </c>
      <c r="G16143" s="34" t="n">
        <f aca="false">SUMIFS('12.326ana'!$C:$C,'12.326ana'!$M:$M,redes!A16143)</f>
        <v>0</v>
      </c>
    </row>
    <row r="16144" customFormat="false" ht="14.4" hidden="true" customHeight="false" outlineLevel="0" collapsed="false">
      <c r="A16144" s="34" t="n">
        <v>30017600000123</v>
      </c>
      <c r="B16144" s="34" t="s">
        <v>1759</v>
      </c>
      <c r="C16144" s="34" t="s">
        <v>77</v>
      </c>
      <c r="E16144" s="30" t="s">
        <v>15156</v>
      </c>
      <c r="F16144" s="34" t="n">
        <f aca="false">IFERROR(VLOOKUP($A16144,'319'!$B:$H,7,0),0)</f>
        <v>-34.41</v>
      </c>
      <c r="G16144" s="34" t="n">
        <f aca="false">SUMIFS('12.326ana'!$C:$C,'12.326ana'!$M:$M,redes!A16144)</f>
        <v>0</v>
      </c>
    </row>
    <row r="16145" customFormat="false" ht="14.4" hidden="true" customHeight="false" outlineLevel="0" collapsed="false">
      <c r="A16145" s="34" t="n">
        <v>30047721000118</v>
      </c>
      <c r="B16145" s="34" t="s">
        <v>29890</v>
      </c>
      <c r="C16145" s="34" t="s">
        <v>139</v>
      </c>
      <c r="E16145" s="30" t="s">
        <v>29891</v>
      </c>
      <c r="F16145" s="34" t="n">
        <f aca="false">IFERROR(VLOOKUP($A16145,'319'!$B:$H,7,0),0)</f>
        <v>0</v>
      </c>
      <c r="G16145" s="34" t="n">
        <f aca="false">SUMIFS('12.326ana'!$C:$C,'12.326ana'!$M:$M,redes!A16145)</f>
        <v>0</v>
      </c>
    </row>
    <row r="16146" customFormat="false" ht="14.4" hidden="true" customHeight="false" outlineLevel="0" collapsed="false">
      <c r="A16146" s="34" t="n">
        <v>30048758000160</v>
      </c>
      <c r="B16146" s="34" t="s">
        <v>29892</v>
      </c>
      <c r="C16146" s="34" t="s">
        <v>77</v>
      </c>
      <c r="E16146" s="30" t="s">
        <v>29892</v>
      </c>
      <c r="F16146" s="34" t="n">
        <f aca="false">IFERROR(VLOOKUP($A16146,'319'!$B:$H,7,0),0)</f>
        <v>0</v>
      </c>
      <c r="G16146" s="34" t="n">
        <f aca="false">SUMIFS('12.326ana'!$C:$C,'12.326ana'!$M:$M,redes!A16146)</f>
        <v>0</v>
      </c>
    </row>
    <row r="16147" customFormat="false" ht="14.4" hidden="true" customHeight="false" outlineLevel="0" collapsed="false">
      <c r="A16147" s="34" t="n">
        <v>30051058000125</v>
      </c>
      <c r="B16147" s="34" t="s">
        <v>29893</v>
      </c>
      <c r="C16147" s="34" t="s">
        <v>107</v>
      </c>
      <c r="E16147" s="30" t="s">
        <v>22028</v>
      </c>
      <c r="F16147" s="34" t="n">
        <f aca="false">IFERROR(VLOOKUP($A16147,'319'!$B:$H,7,0),0)</f>
        <v>0</v>
      </c>
      <c r="G16147" s="34" t="n">
        <f aca="false">SUMIFS('12.326ana'!$C:$C,'12.326ana'!$M:$M,redes!A16147)</f>
        <v>0</v>
      </c>
    </row>
    <row r="16148" customFormat="false" ht="14.4" hidden="true" customHeight="false" outlineLevel="0" collapsed="false">
      <c r="A16148" s="34" t="n">
        <v>30056601000187</v>
      </c>
      <c r="B16148" s="34" t="s">
        <v>29894</v>
      </c>
      <c r="C16148" s="34" t="s">
        <v>89</v>
      </c>
      <c r="E16148" s="30" t="s">
        <v>29895</v>
      </c>
      <c r="F16148" s="34" t="n">
        <f aca="false">IFERROR(VLOOKUP($A16148,'319'!$B:$H,7,0),0)</f>
        <v>0</v>
      </c>
      <c r="G16148" s="34" t="n">
        <f aca="false">SUMIFS('12.326ana'!$C:$C,'12.326ana'!$M:$M,redes!A16148)</f>
        <v>0</v>
      </c>
    </row>
    <row r="16149" customFormat="false" ht="14.4" hidden="true" customHeight="false" outlineLevel="0" collapsed="false">
      <c r="A16149" s="34" t="n">
        <v>30058626000110</v>
      </c>
      <c r="B16149" s="34" t="s">
        <v>29896</v>
      </c>
      <c r="C16149" s="34" t="s">
        <v>154</v>
      </c>
      <c r="E16149" s="30" t="s">
        <v>29897</v>
      </c>
      <c r="F16149" s="34" t="n">
        <f aca="false">IFERROR(VLOOKUP($A16149,'319'!$B:$H,7,0),0)</f>
        <v>0</v>
      </c>
      <c r="G16149" s="34" t="n">
        <f aca="false">SUMIFS('12.326ana'!$C:$C,'12.326ana'!$M:$M,redes!A16149)</f>
        <v>0</v>
      </c>
    </row>
    <row r="16150" customFormat="false" ht="14.4" hidden="true" customHeight="false" outlineLevel="0" collapsed="false">
      <c r="A16150" s="34" t="n">
        <v>30063763000142</v>
      </c>
      <c r="B16150" s="34" t="s">
        <v>29898</v>
      </c>
      <c r="C16150" s="34" t="s">
        <v>77</v>
      </c>
      <c r="E16150" s="30" t="s">
        <v>29899</v>
      </c>
      <c r="F16150" s="34" t="n">
        <f aca="false">IFERROR(VLOOKUP($A16150,'319'!$B:$H,7,0),0)</f>
        <v>0</v>
      </c>
      <c r="G16150" s="34" t="n">
        <f aca="false">SUMIFS('12.326ana'!$C:$C,'12.326ana'!$M:$M,redes!A16150)</f>
        <v>0</v>
      </c>
    </row>
    <row r="16151" customFormat="false" ht="14.4" hidden="true" customHeight="false" outlineLevel="0" collapsed="false">
      <c r="A16151" s="34" t="n">
        <v>30076512000100</v>
      </c>
      <c r="B16151" s="34" t="s">
        <v>29900</v>
      </c>
      <c r="C16151" s="34" t="s">
        <v>478</v>
      </c>
      <c r="D16151" s="34" t="s">
        <v>24358</v>
      </c>
      <c r="E16151" s="30" t="s">
        <v>29900</v>
      </c>
      <c r="F16151" s="34" t="n">
        <f aca="false">IFERROR(VLOOKUP($A16151,'319'!$B:$H,7,0),0)</f>
        <v>0</v>
      </c>
      <c r="G16151" s="34" t="n">
        <f aca="false">SUMIFS('12.326ana'!$C:$C,'12.326ana'!$M:$M,redes!A16151)</f>
        <v>0</v>
      </c>
    </row>
    <row r="16152" customFormat="false" ht="14.4" hidden="true" customHeight="false" outlineLevel="0" collapsed="false">
      <c r="A16152" s="34" t="n">
        <v>30078324000103</v>
      </c>
      <c r="B16152" s="34" t="s">
        <v>29901</v>
      </c>
      <c r="C16152" s="34" t="s">
        <v>357</v>
      </c>
      <c r="E16152" s="30" t="s">
        <v>29902</v>
      </c>
      <c r="F16152" s="34" t="n">
        <f aca="false">IFERROR(VLOOKUP($A16152,'319'!$B:$H,7,0),0)</f>
        <v>0</v>
      </c>
      <c r="G16152" s="34" t="n">
        <f aca="false">SUMIFS('12.326ana'!$C:$C,'12.326ana'!$M:$M,redes!A16152)</f>
        <v>0</v>
      </c>
    </row>
    <row r="16153" customFormat="false" ht="14.4" hidden="true" customHeight="false" outlineLevel="0" collapsed="false">
      <c r="A16153" s="34" t="n">
        <v>30085471000100</v>
      </c>
      <c r="B16153" s="34" t="s">
        <v>29903</v>
      </c>
      <c r="C16153" s="34" t="s">
        <v>77</v>
      </c>
      <c r="E16153" s="30" t="s">
        <v>29904</v>
      </c>
      <c r="F16153" s="34" t="n">
        <f aca="false">IFERROR(VLOOKUP($A16153,'319'!$B:$H,7,0),0)</f>
        <v>0</v>
      </c>
      <c r="G16153" s="34" t="n">
        <f aca="false">SUMIFS('12.326ana'!$C:$C,'12.326ana'!$M:$M,redes!A16153)</f>
        <v>0</v>
      </c>
    </row>
    <row r="16154" customFormat="false" ht="14.4" hidden="true" customHeight="false" outlineLevel="0" collapsed="false">
      <c r="A16154" s="34" t="n">
        <v>30093200000105</v>
      </c>
      <c r="B16154" s="34" t="s">
        <v>29905</v>
      </c>
      <c r="C16154" s="34" t="s">
        <v>154</v>
      </c>
      <c r="E16154" s="30" t="s">
        <v>29906</v>
      </c>
      <c r="F16154" s="34" t="n">
        <f aca="false">IFERROR(VLOOKUP($A16154,'319'!$B:$H,7,0),0)</f>
        <v>0</v>
      </c>
      <c r="G16154" s="34" t="n">
        <f aca="false">SUMIFS('12.326ana'!$C:$C,'12.326ana'!$M:$M,redes!A16154)</f>
        <v>0</v>
      </c>
    </row>
    <row r="16155" customFormat="false" ht="14.4" hidden="true" customHeight="false" outlineLevel="0" collapsed="false">
      <c r="A16155" s="34" t="n">
        <v>30094660000140</v>
      </c>
      <c r="B16155" s="34" t="s">
        <v>29907</v>
      </c>
      <c r="C16155" s="34" t="s">
        <v>89</v>
      </c>
      <c r="E16155" s="30" t="s">
        <v>19947</v>
      </c>
      <c r="F16155" s="34" t="n">
        <f aca="false">IFERROR(VLOOKUP($A16155,'319'!$B:$H,7,0),0)</f>
        <v>0</v>
      </c>
      <c r="G16155" s="34" t="n">
        <f aca="false">SUMIFS('12.326ana'!$C:$C,'12.326ana'!$M:$M,redes!A16155)</f>
        <v>0</v>
      </c>
    </row>
    <row r="16156" customFormat="false" ht="14.4" hidden="true" customHeight="false" outlineLevel="0" collapsed="false">
      <c r="A16156" s="34" t="n">
        <v>30106883000180</v>
      </c>
      <c r="B16156" s="34" t="s">
        <v>29908</v>
      </c>
      <c r="C16156" s="34" t="s">
        <v>77</v>
      </c>
      <c r="E16156" s="30" t="s">
        <v>29909</v>
      </c>
      <c r="F16156" s="34" t="n">
        <f aca="false">IFERROR(VLOOKUP($A16156,'319'!$B:$H,7,0),0)</f>
        <v>0</v>
      </c>
      <c r="G16156" s="34" t="n">
        <f aca="false">SUMIFS('12.326ana'!$C:$C,'12.326ana'!$M:$M,redes!A16156)</f>
        <v>0</v>
      </c>
    </row>
    <row r="16157" customFormat="false" ht="14.4" hidden="true" customHeight="false" outlineLevel="0" collapsed="false">
      <c r="A16157" s="34" t="n">
        <v>30108569000136</v>
      </c>
      <c r="B16157" s="34" t="s">
        <v>29910</v>
      </c>
      <c r="C16157" s="34" t="s">
        <v>77</v>
      </c>
      <c r="E16157" s="30" t="s">
        <v>29911</v>
      </c>
      <c r="F16157" s="34" t="n">
        <f aca="false">IFERROR(VLOOKUP($A16157,'319'!$B:$H,7,0),0)</f>
        <v>0</v>
      </c>
      <c r="G16157" s="34" t="n">
        <f aca="false">SUMIFS('12.326ana'!$C:$C,'12.326ana'!$M:$M,redes!A16157)</f>
        <v>0</v>
      </c>
    </row>
    <row r="16158" customFormat="false" ht="14.4" hidden="true" customHeight="false" outlineLevel="0" collapsed="false">
      <c r="A16158" s="34" t="n">
        <v>30111004000108</v>
      </c>
      <c r="B16158" s="34" t="s">
        <v>29912</v>
      </c>
      <c r="C16158" s="34" t="s">
        <v>89</v>
      </c>
      <c r="E16158" s="30" t="s">
        <v>13091</v>
      </c>
      <c r="F16158" s="34" t="n">
        <f aca="false">IFERROR(VLOOKUP($A16158,'319'!$B:$H,7,0),0)</f>
        <v>0</v>
      </c>
      <c r="G16158" s="34" t="n">
        <f aca="false">SUMIFS('12.326ana'!$C:$C,'12.326ana'!$M:$M,redes!A16158)</f>
        <v>0</v>
      </c>
    </row>
    <row r="16159" customFormat="false" ht="14.4" hidden="true" customHeight="false" outlineLevel="0" collapsed="false">
      <c r="A16159" s="34" t="n">
        <v>30120884000189</v>
      </c>
      <c r="B16159" s="34" t="s">
        <v>11439</v>
      </c>
      <c r="C16159" s="34" t="s">
        <v>192</v>
      </c>
      <c r="E16159" s="30" t="s">
        <v>7523</v>
      </c>
      <c r="F16159" s="34" t="n">
        <f aca="false">IFERROR(VLOOKUP($A16159,'319'!$B:$H,7,0),0)</f>
        <v>0</v>
      </c>
      <c r="G16159" s="34" t="n">
        <f aca="false">SUMIFS('12.326ana'!$C:$C,'12.326ana'!$M:$M,redes!A16159)</f>
        <v>0</v>
      </c>
    </row>
    <row r="16160" customFormat="false" ht="14.4" hidden="true" customHeight="false" outlineLevel="0" collapsed="false">
      <c r="A16160" s="34" t="n">
        <v>30121127000120</v>
      </c>
      <c r="B16160" s="34" t="s">
        <v>29913</v>
      </c>
      <c r="C16160" s="34" t="s">
        <v>357</v>
      </c>
      <c r="E16160" s="30" t="s">
        <v>29914</v>
      </c>
      <c r="F16160" s="34" t="n">
        <f aca="false">IFERROR(VLOOKUP($A16160,'319'!$B:$H,7,0),0)</f>
        <v>0</v>
      </c>
      <c r="G16160" s="34" t="n">
        <f aca="false">SUMIFS('12.326ana'!$C:$C,'12.326ana'!$M:$M,redes!A16160)</f>
        <v>0</v>
      </c>
    </row>
    <row r="16161" customFormat="false" ht="14.4" hidden="true" customHeight="false" outlineLevel="0" collapsed="false">
      <c r="A16161" s="34" t="n">
        <v>30132274000103</v>
      </c>
      <c r="B16161" s="34" t="s">
        <v>29915</v>
      </c>
      <c r="C16161" s="34" t="s">
        <v>103</v>
      </c>
      <c r="E16161" s="30" t="s">
        <v>29916</v>
      </c>
      <c r="F16161" s="34" t="n">
        <f aca="false">IFERROR(VLOOKUP($A16161,'319'!$B:$H,7,0),0)</f>
        <v>0</v>
      </c>
      <c r="G16161" s="34" t="n">
        <f aca="false">SUMIFS('12.326ana'!$C:$C,'12.326ana'!$M:$M,redes!A16161)</f>
        <v>0</v>
      </c>
    </row>
    <row r="16162" customFormat="false" ht="14.4" hidden="true" customHeight="false" outlineLevel="0" collapsed="false">
      <c r="A16162" s="34" t="n">
        <v>30133317000167</v>
      </c>
      <c r="B16162" s="34" t="s">
        <v>29917</v>
      </c>
      <c r="C16162" s="34" t="s">
        <v>139</v>
      </c>
      <c r="E16162" s="30" t="s">
        <v>29918</v>
      </c>
      <c r="F16162" s="34" t="n">
        <f aca="false">IFERROR(VLOOKUP($A16162,'319'!$B:$H,7,0),0)</f>
        <v>0</v>
      </c>
      <c r="G16162" s="34" t="n">
        <f aca="false">SUMIFS('12.326ana'!$C:$C,'12.326ana'!$M:$M,redes!A16162)</f>
        <v>0</v>
      </c>
    </row>
    <row r="16163" customFormat="false" ht="14.4" hidden="true" customHeight="false" outlineLevel="0" collapsed="false">
      <c r="A16163" s="34" t="n">
        <v>30136946000140</v>
      </c>
      <c r="B16163" s="34" t="s">
        <v>29919</v>
      </c>
      <c r="C16163" s="34" t="s">
        <v>6278</v>
      </c>
      <c r="E16163" s="30" t="s">
        <v>4373</v>
      </c>
      <c r="F16163" s="34" t="n">
        <f aca="false">IFERROR(VLOOKUP($A16163,'319'!$B:$H,7,0),0)</f>
        <v>0</v>
      </c>
      <c r="G16163" s="34" t="n">
        <f aca="false">SUMIFS('12.326ana'!$C:$C,'12.326ana'!$M:$M,redes!A16163)</f>
        <v>0</v>
      </c>
    </row>
    <row r="16164" customFormat="false" ht="14.4" hidden="true" customHeight="false" outlineLevel="0" collapsed="false">
      <c r="A16164" s="34" t="n">
        <v>30138540000105</v>
      </c>
      <c r="B16164" s="34" t="s">
        <v>29920</v>
      </c>
      <c r="C16164" s="34" t="s">
        <v>631</v>
      </c>
      <c r="E16164" s="30" t="s">
        <v>29921</v>
      </c>
      <c r="F16164" s="34" t="n">
        <f aca="false">IFERROR(VLOOKUP($A16164,'319'!$B:$H,7,0),0)</f>
        <v>0</v>
      </c>
      <c r="G16164" s="34" t="n">
        <f aca="false">SUMIFS('12.326ana'!$C:$C,'12.326ana'!$M:$M,redes!A16164)</f>
        <v>0</v>
      </c>
    </row>
    <row r="16165" customFormat="false" ht="14.4" hidden="true" customHeight="false" outlineLevel="0" collapsed="false">
      <c r="A16165" s="34" t="n">
        <v>30143787000101</v>
      </c>
      <c r="B16165" s="34" t="s">
        <v>29922</v>
      </c>
      <c r="C16165" s="34" t="s">
        <v>192</v>
      </c>
      <c r="E16165" s="30" t="s">
        <v>20353</v>
      </c>
      <c r="F16165" s="34" t="n">
        <f aca="false">IFERROR(VLOOKUP($A16165,'319'!$B:$H,7,0),0)</f>
        <v>0</v>
      </c>
      <c r="G16165" s="34" t="n">
        <f aca="false">SUMIFS('12.326ana'!$C:$C,'12.326ana'!$M:$M,redes!A16165)</f>
        <v>0</v>
      </c>
    </row>
    <row r="16166" customFormat="false" ht="14.4" hidden="true" customHeight="false" outlineLevel="0" collapsed="false">
      <c r="A16166" s="34" t="n">
        <v>30149690000106</v>
      </c>
      <c r="B16166" s="34" t="s">
        <v>29923</v>
      </c>
      <c r="C16166" s="34" t="s">
        <v>744</v>
      </c>
      <c r="E16166" s="30" t="s">
        <v>29924</v>
      </c>
      <c r="F16166" s="34" t="n">
        <f aca="false">IFERROR(VLOOKUP($A16166,'319'!$B:$H,7,0),0)</f>
        <v>0</v>
      </c>
      <c r="G16166" s="34" t="n">
        <f aca="false">SUMIFS('12.326ana'!$C:$C,'12.326ana'!$M:$M,redes!A16166)</f>
        <v>0</v>
      </c>
    </row>
    <row r="16167" customFormat="false" ht="14.4" hidden="true" customHeight="false" outlineLevel="0" collapsed="false">
      <c r="A16167" s="34" t="n">
        <v>30162907000118</v>
      </c>
      <c r="B16167" s="34" t="s">
        <v>29925</v>
      </c>
      <c r="C16167" s="34" t="s">
        <v>154</v>
      </c>
      <c r="E16167" s="30" t="s">
        <v>29926</v>
      </c>
      <c r="F16167" s="34" t="n">
        <f aca="false">IFERROR(VLOOKUP($A16167,'319'!$B:$H,7,0),0)</f>
        <v>0</v>
      </c>
      <c r="G16167" s="34" t="n">
        <f aca="false">SUMIFS('12.326ana'!$C:$C,'12.326ana'!$M:$M,redes!A16167)</f>
        <v>0</v>
      </c>
    </row>
    <row r="16168" customFormat="false" ht="14.4" hidden="true" customHeight="false" outlineLevel="0" collapsed="false">
      <c r="A16168" s="34" t="n">
        <v>30163763000114</v>
      </c>
      <c r="B16168" s="34" t="s">
        <v>29927</v>
      </c>
      <c r="C16168" s="34" t="s">
        <v>77</v>
      </c>
      <c r="E16168" s="30" t="s">
        <v>6993</v>
      </c>
      <c r="F16168" s="34" t="n">
        <f aca="false">IFERROR(VLOOKUP($A16168,'319'!$B:$H,7,0),0)</f>
        <v>0</v>
      </c>
      <c r="G16168" s="34" t="n">
        <f aca="false">SUMIFS('12.326ana'!$C:$C,'12.326ana'!$M:$M,redes!A16168)</f>
        <v>0</v>
      </c>
    </row>
    <row r="16169" customFormat="false" ht="14.4" hidden="true" customHeight="false" outlineLevel="0" collapsed="false">
      <c r="A16169" s="34" t="n">
        <v>30163933000160</v>
      </c>
      <c r="B16169" s="34" t="s">
        <v>29928</v>
      </c>
      <c r="C16169" s="34" t="s">
        <v>77</v>
      </c>
      <c r="E16169" s="30" t="s">
        <v>29929</v>
      </c>
      <c r="F16169" s="34" t="n">
        <f aca="false">IFERROR(VLOOKUP($A16169,'319'!$B:$H,7,0),0)</f>
        <v>0</v>
      </c>
      <c r="G16169" s="34" t="n">
        <f aca="false">SUMIFS('12.326ana'!$C:$C,'12.326ana'!$M:$M,redes!A16169)</f>
        <v>0</v>
      </c>
    </row>
    <row r="16170" customFormat="false" ht="14.4" hidden="true" customHeight="false" outlineLevel="0" collapsed="false">
      <c r="A16170" s="34" t="n">
        <v>30163993000183</v>
      </c>
      <c r="B16170" s="34" t="s">
        <v>29930</v>
      </c>
      <c r="C16170" s="34" t="s">
        <v>77</v>
      </c>
      <c r="E16170" s="30" t="s">
        <v>29931</v>
      </c>
      <c r="F16170" s="34" t="n">
        <f aca="false">IFERROR(VLOOKUP($A16170,'319'!$B:$H,7,0),0)</f>
        <v>0</v>
      </c>
      <c r="G16170" s="34" t="n">
        <f aca="false">SUMIFS('12.326ana'!$C:$C,'12.326ana'!$M:$M,redes!A16170)</f>
        <v>0</v>
      </c>
    </row>
    <row r="16171" customFormat="false" ht="14.4" hidden="true" customHeight="false" outlineLevel="0" collapsed="false">
      <c r="A16171" s="34" t="n">
        <v>30169620000110</v>
      </c>
      <c r="B16171" s="34" t="s">
        <v>29932</v>
      </c>
      <c r="C16171" s="34" t="s">
        <v>77</v>
      </c>
      <c r="E16171" s="30" t="s">
        <v>29933</v>
      </c>
      <c r="F16171" s="34" t="n">
        <f aca="false">IFERROR(VLOOKUP($A16171,'319'!$B:$H,7,0),0)</f>
        <v>0</v>
      </c>
      <c r="G16171" s="34" t="n">
        <f aca="false">SUMIFS('12.326ana'!$C:$C,'12.326ana'!$M:$M,redes!A16171)</f>
        <v>0</v>
      </c>
    </row>
    <row r="16172" customFormat="false" ht="14.4" hidden="true" customHeight="false" outlineLevel="0" collapsed="false">
      <c r="A16172" s="34" t="n">
        <v>30181084000178</v>
      </c>
      <c r="B16172" s="34" t="s">
        <v>29934</v>
      </c>
      <c r="C16172" s="34" t="s">
        <v>473</v>
      </c>
      <c r="E16172" s="30" t="s">
        <v>29935</v>
      </c>
      <c r="F16172" s="34" t="n">
        <f aca="false">IFERROR(VLOOKUP($A16172,'319'!$B:$H,7,0),0)</f>
        <v>0</v>
      </c>
      <c r="G16172" s="34" t="n">
        <f aca="false">SUMIFS('12.326ana'!$C:$C,'12.326ana'!$M:$M,redes!A16172)</f>
        <v>0</v>
      </c>
    </row>
    <row r="16173" customFormat="false" ht="14.4" hidden="true" customHeight="false" outlineLevel="0" collapsed="false">
      <c r="A16173" s="34" t="n">
        <v>30191165000159</v>
      </c>
      <c r="B16173" s="34" t="s">
        <v>29936</v>
      </c>
      <c r="C16173" s="34" t="s">
        <v>77</v>
      </c>
      <c r="E16173" s="30" t="s">
        <v>29937</v>
      </c>
      <c r="F16173" s="34" t="n">
        <f aca="false">IFERROR(VLOOKUP($A16173,'319'!$B:$H,7,0),0)</f>
        <v>0</v>
      </c>
      <c r="G16173" s="34" t="n">
        <f aca="false">SUMIFS('12.326ana'!$C:$C,'12.326ana'!$M:$M,redes!A16173)</f>
        <v>0</v>
      </c>
    </row>
    <row r="16174" customFormat="false" ht="14.4" hidden="true" customHeight="false" outlineLevel="0" collapsed="false">
      <c r="A16174" s="34" t="n">
        <v>30191516000121</v>
      </c>
      <c r="B16174" s="34" t="s">
        <v>29938</v>
      </c>
      <c r="C16174" s="34" t="s">
        <v>328</v>
      </c>
      <c r="E16174" s="30" t="s">
        <v>29939</v>
      </c>
      <c r="F16174" s="34" t="n">
        <f aca="false">IFERROR(VLOOKUP($A16174,'319'!$B:$H,7,0),0)</f>
        <v>186.97</v>
      </c>
      <c r="G16174" s="34" t="n">
        <f aca="false">SUMIFS('12.326ana'!$C:$C,'12.326ana'!$M:$M,redes!A16174)</f>
        <v>0</v>
      </c>
    </row>
    <row r="16175" customFormat="false" ht="14.4" hidden="true" customHeight="false" outlineLevel="0" collapsed="false">
      <c r="A16175" s="34" t="n">
        <v>30200621000180</v>
      </c>
      <c r="B16175" s="34" t="s">
        <v>29940</v>
      </c>
      <c r="C16175" s="34" t="s">
        <v>77</v>
      </c>
      <c r="E16175" s="30" t="s">
        <v>29941</v>
      </c>
      <c r="F16175" s="34" t="n">
        <f aca="false">IFERROR(VLOOKUP($A16175,'319'!$B:$H,7,0),0)</f>
        <v>0</v>
      </c>
      <c r="G16175" s="34" t="n">
        <f aca="false">SUMIFS('12.326ana'!$C:$C,'12.326ana'!$M:$M,redes!A16175)</f>
        <v>0</v>
      </c>
    </row>
    <row r="16176" customFormat="false" ht="14.4" hidden="true" customHeight="false" outlineLevel="0" collapsed="false">
      <c r="A16176" s="34" t="n">
        <v>30201021000136</v>
      </c>
      <c r="B16176" s="34" t="s">
        <v>29942</v>
      </c>
      <c r="C16176" s="34" t="s">
        <v>89</v>
      </c>
      <c r="E16176" s="30" t="s">
        <v>29943</v>
      </c>
      <c r="F16176" s="34" t="n">
        <f aca="false">IFERROR(VLOOKUP($A16176,'319'!$B:$H,7,0),0)</f>
        <v>0</v>
      </c>
      <c r="G16176" s="34" t="n">
        <f aca="false">SUMIFS('12.326ana'!$C:$C,'12.326ana'!$M:$M,redes!A16176)</f>
        <v>0</v>
      </c>
    </row>
    <row r="16177" customFormat="false" ht="14.4" hidden="true" customHeight="false" outlineLevel="0" collapsed="false">
      <c r="A16177" s="34" t="n">
        <v>30206087000119</v>
      </c>
      <c r="B16177" s="34" t="s">
        <v>29944</v>
      </c>
      <c r="C16177" s="34" t="s">
        <v>77</v>
      </c>
      <c r="E16177" s="30" t="s">
        <v>7358</v>
      </c>
      <c r="F16177" s="34" t="n">
        <f aca="false">IFERROR(VLOOKUP($A16177,'319'!$B:$H,7,0),0)</f>
        <v>0</v>
      </c>
      <c r="G16177" s="34" t="n">
        <f aca="false">SUMIFS('12.326ana'!$C:$C,'12.326ana'!$M:$M,redes!A16177)</f>
        <v>0</v>
      </c>
    </row>
    <row r="16178" customFormat="false" ht="14.4" hidden="true" customHeight="false" outlineLevel="0" collapsed="false">
      <c r="A16178" s="34" t="n">
        <v>30229242000112</v>
      </c>
      <c r="B16178" s="34" t="s">
        <v>29945</v>
      </c>
      <c r="C16178" s="34" t="s">
        <v>77</v>
      </c>
      <c r="E16178" s="30" t="s">
        <v>29946</v>
      </c>
      <c r="F16178" s="34" t="n">
        <f aca="false">IFERROR(VLOOKUP($A16178,'319'!$B:$H,7,0),0)</f>
        <v>0</v>
      </c>
      <c r="G16178" s="34" t="n">
        <f aca="false">SUMIFS('12.326ana'!$C:$C,'12.326ana'!$M:$M,redes!A16178)</f>
        <v>0</v>
      </c>
    </row>
    <row r="16179" customFormat="false" ht="14.4" hidden="true" customHeight="false" outlineLevel="0" collapsed="false">
      <c r="A16179" s="34" t="n">
        <v>30232686000107</v>
      </c>
      <c r="B16179" s="34" t="s">
        <v>29947</v>
      </c>
      <c r="C16179" s="34" t="s">
        <v>117</v>
      </c>
      <c r="E16179" s="30" t="s">
        <v>29948</v>
      </c>
      <c r="F16179" s="34" t="n">
        <f aca="false">IFERROR(VLOOKUP($A16179,'319'!$B:$H,7,0),0)</f>
        <v>0</v>
      </c>
      <c r="G16179" s="34" t="n">
        <f aca="false">SUMIFS('12.326ana'!$C:$C,'12.326ana'!$M:$M,redes!A16179)</f>
        <v>0</v>
      </c>
    </row>
    <row r="16180" customFormat="false" ht="14.4" hidden="true" customHeight="false" outlineLevel="0" collapsed="false">
      <c r="A16180" s="34" t="n">
        <v>30244972000192</v>
      </c>
      <c r="B16180" s="34" t="s">
        <v>29949</v>
      </c>
      <c r="C16180" s="34" t="s">
        <v>357</v>
      </c>
      <c r="E16180" s="30" t="s">
        <v>17062</v>
      </c>
      <c r="F16180" s="34" t="n">
        <f aca="false">IFERROR(VLOOKUP($A16180,'319'!$B:$H,7,0),0)</f>
        <v>0</v>
      </c>
      <c r="G16180" s="34" t="n">
        <f aca="false">SUMIFS('12.326ana'!$C:$C,'12.326ana'!$M:$M,redes!A16180)</f>
        <v>0</v>
      </c>
    </row>
    <row r="16181" customFormat="false" ht="14.4" hidden="true" customHeight="false" outlineLevel="0" collapsed="false">
      <c r="A16181" s="34" t="n">
        <v>30247152000154</v>
      </c>
      <c r="B16181" s="34" t="s">
        <v>29950</v>
      </c>
      <c r="C16181" s="34" t="s">
        <v>77</v>
      </c>
      <c r="E16181" s="30" t="s">
        <v>29951</v>
      </c>
      <c r="F16181" s="34" t="n">
        <f aca="false">IFERROR(VLOOKUP($A16181,'319'!$B:$H,7,0),0)</f>
        <v>0</v>
      </c>
      <c r="G16181" s="34" t="n">
        <f aca="false">SUMIFS('12.326ana'!$C:$C,'12.326ana'!$M:$M,redes!A16181)</f>
        <v>0</v>
      </c>
    </row>
    <row r="16182" customFormat="false" ht="14.4" hidden="true" customHeight="false" outlineLevel="0" collapsed="false">
      <c r="A16182" s="34" t="n">
        <v>30254220000102</v>
      </c>
      <c r="B16182" s="34" t="s">
        <v>29952</v>
      </c>
      <c r="C16182" s="34" t="s">
        <v>77</v>
      </c>
      <c r="E16182" s="30" t="s">
        <v>29953</v>
      </c>
      <c r="F16182" s="34" t="n">
        <f aca="false">IFERROR(VLOOKUP($A16182,'319'!$B:$H,7,0),0)</f>
        <v>0</v>
      </c>
      <c r="G16182" s="34" t="n">
        <f aca="false">SUMIFS('12.326ana'!$C:$C,'12.326ana'!$M:$M,redes!A16182)</f>
        <v>0</v>
      </c>
    </row>
    <row r="16183" customFormat="false" ht="14.4" hidden="true" customHeight="false" outlineLevel="0" collapsed="false">
      <c r="A16183" s="34" t="n">
        <v>30260515000191</v>
      </c>
      <c r="B16183" s="34" t="s">
        <v>29954</v>
      </c>
      <c r="C16183" s="34" t="s">
        <v>342</v>
      </c>
      <c r="E16183" s="30" t="s">
        <v>29955</v>
      </c>
      <c r="F16183" s="34" t="n">
        <f aca="false">IFERROR(VLOOKUP($A16183,'319'!$B:$H,7,0),0)</f>
        <v>0</v>
      </c>
      <c r="G16183" s="34" t="n">
        <f aca="false">SUMIFS('12.326ana'!$C:$C,'12.326ana'!$M:$M,redes!A16183)</f>
        <v>0</v>
      </c>
    </row>
    <row r="16184" customFormat="false" ht="14.4" hidden="true" customHeight="false" outlineLevel="0" collapsed="false">
      <c r="A16184" s="34" t="n">
        <v>30266417000161</v>
      </c>
      <c r="B16184" s="34" t="s">
        <v>29956</v>
      </c>
      <c r="C16184" s="34" t="s">
        <v>77</v>
      </c>
      <c r="E16184" s="30" t="s">
        <v>29957</v>
      </c>
      <c r="F16184" s="34" t="n">
        <f aca="false">IFERROR(VLOOKUP($A16184,'319'!$B:$H,7,0),0)</f>
        <v>0</v>
      </c>
      <c r="G16184" s="34" t="n">
        <f aca="false">SUMIFS('12.326ana'!$C:$C,'12.326ana'!$M:$M,redes!A16184)</f>
        <v>0</v>
      </c>
    </row>
    <row r="16185" customFormat="false" ht="14.4" hidden="true" customHeight="false" outlineLevel="0" collapsed="false">
      <c r="A16185" s="34" t="n">
        <v>30271344000104</v>
      </c>
      <c r="B16185" s="34" t="s">
        <v>29958</v>
      </c>
      <c r="C16185" s="34" t="s">
        <v>77</v>
      </c>
      <c r="E16185" s="30" t="s">
        <v>29959</v>
      </c>
      <c r="F16185" s="34" t="n">
        <f aca="false">IFERROR(VLOOKUP($A16185,'319'!$B:$H,7,0),0)</f>
        <v>0</v>
      </c>
      <c r="G16185" s="34" t="n">
        <f aca="false">SUMIFS('12.326ana'!$C:$C,'12.326ana'!$M:$M,redes!A16185)</f>
        <v>0</v>
      </c>
    </row>
    <row r="16186" customFormat="false" ht="14.4" hidden="true" customHeight="false" outlineLevel="0" collapsed="false">
      <c r="A16186" s="34" t="n">
        <v>30271344000287</v>
      </c>
      <c r="B16186" s="34" t="s">
        <v>29960</v>
      </c>
      <c r="C16186" s="34" t="s">
        <v>77</v>
      </c>
      <c r="E16186" s="30" t="s">
        <v>29961</v>
      </c>
      <c r="F16186" s="34" t="n">
        <f aca="false">IFERROR(VLOOKUP($A16186,'319'!$B:$H,7,0),0)</f>
        <v>0</v>
      </c>
      <c r="G16186" s="34" t="n">
        <f aca="false">SUMIFS('12.326ana'!$C:$C,'12.326ana'!$M:$M,redes!A16186)</f>
        <v>0</v>
      </c>
    </row>
    <row r="16187" customFormat="false" ht="14.4" hidden="true" customHeight="false" outlineLevel="0" collapsed="false">
      <c r="A16187" s="34" t="n">
        <v>30286597000143</v>
      </c>
      <c r="B16187" s="34" t="s">
        <v>29962</v>
      </c>
      <c r="C16187" s="34" t="s">
        <v>77</v>
      </c>
      <c r="E16187" s="30" t="s">
        <v>29963</v>
      </c>
      <c r="F16187" s="34" t="n">
        <f aca="false">IFERROR(VLOOKUP($A16187,'319'!$B:$H,7,0),0)</f>
        <v>0</v>
      </c>
      <c r="G16187" s="34" t="n">
        <f aca="false">SUMIFS('12.326ana'!$C:$C,'12.326ana'!$M:$M,redes!A16187)</f>
        <v>0</v>
      </c>
    </row>
    <row r="16188" customFormat="false" ht="14.4" hidden="true" customHeight="false" outlineLevel="0" collapsed="false">
      <c r="A16188" s="34" t="n">
        <v>30293984000107</v>
      </c>
      <c r="B16188" s="34" t="s">
        <v>29964</v>
      </c>
      <c r="C16188" s="34" t="s">
        <v>77</v>
      </c>
      <c r="E16188" s="30" t="s">
        <v>29965</v>
      </c>
      <c r="F16188" s="34" t="n">
        <f aca="false">IFERROR(VLOOKUP($A16188,'319'!$B:$H,7,0),0)</f>
        <v>0</v>
      </c>
      <c r="G16188" s="34" t="n">
        <f aca="false">SUMIFS('12.326ana'!$C:$C,'12.326ana'!$M:$M,redes!A16188)</f>
        <v>0</v>
      </c>
    </row>
    <row r="16189" customFormat="false" ht="14.4" hidden="true" customHeight="false" outlineLevel="0" collapsed="false">
      <c r="A16189" s="34" t="n">
        <v>30314493000103</v>
      </c>
      <c r="B16189" s="34" t="s">
        <v>29966</v>
      </c>
      <c r="C16189" s="34" t="s">
        <v>77</v>
      </c>
      <c r="E16189" s="30" t="s">
        <v>26578</v>
      </c>
      <c r="F16189" s="34" t="n">
        <f aca="false">IFERROR(VLOOKUP($A16189,'319'!$B:$H,7,0),0)</f>
        <v>0</v>
      </c>
      <c r="G16189" s="34" t="n">
        <f aca="false">SUMIFS('12.326ana'!$C:$C,'12.326ana'!$M:$M,redes!A16189)</f>
        <v>0</v>
      </c>
    </row>
    <row r="16190" customFormat="false" ht="14.4" hidden="true" customHeight="false" outlineLevel="0" collapsed="false">
      <c r="A16190" s="34" t="n">
        <v>30324680000160</v>
      </c>
      <c r="B16190" s="34" t="s">
        <v>29967</v>
      </c>
      <c r="C16190" s="34" t="s">
        <v>89</v>
      </c>
      <c r="E16190" s="30" t="s">
        <v>29967</v>
      </c>
      <c r="F16190" s="34" t="n">
        <f aca="false">IFERROR(VLOOKUP($A16190,'319'!$B:$H,7,0),0)</f>
        <v>0</v>
      </c>
      <c r="G16190" s="34" t="n">
        <f aca="false">SUMIFS('12.326ana'!$C:$C,'12.326ana'!$M:$M,redes!A16190)</f>
        <v>0</v>
      </c>
    </row>
    <row r="16191" customFormat="false" ht="14.4" hidden="true" customHeight="false" outlineLevel="0" collapsed="false">
      <c r="A16191" s="34" t="n">
        <v>30331080000129</v>
      </c>
      <c r="B16191" s="34" t="s">
        <v>29968</v>
      </c>
      <c r="C16191" s="34" t="s">
        <v>103</v>
      </c>
      <c r="E16191" s="30" t="s">
        <v>29969</v>
      </c>
      <c r="F16191" s="34" t="n">
        <f aca="false">IFERROR(VLOOKUP($A16191,'319'!$B:$H,7,0),0)</f>
        <v>0</v>
      </c>
      <c r="G16191" s="34" t="n">
        <f aca="false">SUMIFS('12.326ana'!$C:$C,'12.326ana'!$M:$M,redes!A16191)</f>
        <v>0</v>
      </c>
    </row>
    <row r="16192" customFormat="false" ht="14.4" hidden="true" customHeight="false" outlineLevel="0" collapsed="false">
      <c r="A16192" s="34" t="n">
        <v>30344602000127</v>
      </c>
      <c r="B16192" s="34" t="s">
        <v>29970</v>
      </c>
      <c r="C16192" s="34" t="s">
        <v>77</v>
      </c>
      <c r="E16192" s="30" t="s">
        <v>3617</v>
      </c>
      <c r="F16192" s="34" t="n">
        <f aca="false">IFERROR(VLOOKUP($A16192,'319'!$B:$H,7,0),0)</f>
        <v>0</v>
      </c>
      <c r="G16192" s="34" t="n">
        <f aca="false">SUMIFS('12.326ana'!$C:$C,'12.326ana'!$M:$M,redes!A16192)</f>
        <v>0</v>
      </c>
    </row>
    <row r="16193" customFormat="false" ht="14.4" hidden="true" customHeight="false" outlineLevel="0" collapsed="false">
      <c r="A16193" s="34" t="n">
        <v>30345622000112</v>
      </c>
      <c r="B16193" s="34" t="s">
        <v>29971</v>
      </c>
      <c r="C16193" s="34" t="s">
        <v>979</v>
      </c>
      <c r="E16193" s="30" t="s">
        <v>27344</v>
      </c>
      <c r="F16193" s="34" t="n">
        <f aca="false">IFERROR(VLOOKUP($A16193,'319'!$B:$H,7,0),0)</f>
        <v>0</v>
      </c>
      <c r="G16193" s="34" t="n">
        <f aca="false">SUMIFS('12.326ana'!$C:$C,'12.326ana'!$M:$M,redes!A16193)</f>
        <v>0</v>
      </c>
    </row>
    <row r="16194" customFormat="false" ht="14.4" hidden="true" customHeight="false" outlineLevel="0" collapsed="false">
      <c r="A16194" s="34" t="n">
        <v>30346728000130</v>
      </c>
      <c r="B16194" s="34" t="s">
        <v>29972</v>
      </c>
      <c r="C16194" s="34" t="s">
        <v>737</v>
      </c>
      <c r="E16194" s="30" t="s">
        <v>29973</v>
      </c>
      <c r="F16194" s="34" t="n">
        <f aca="false">IFERROR(VLOOKUP($A16194,'319'!$B:$H,7,0),0)</f>
        <v>0</v>
      </c>
      <c r="G16194" s="34" t="n">
        <f aca="false">SUMIFS('12.326ana'!$C:$C,'12.326ana'!$M:$M,redes!A16194)</f>
        <v>0</v>
      </c>
    </row>
    <row r="16195" customFormat="false" ht="14.4" hidden="true" customHeight="false" outlineLevel="0" collapsed="false">
      <c r="A16195" s="34" t="n">
        <v>30379405000143</v>
      </c>
      <c r="B16195" s="34" t="s">
        <v>29974</v>
      </c>
      <c r="C16195" s="34" t="s">
        <v>309</v>
      </c>
      <c r="E16195" s="30" t="s">
        <v>29975</v>
      </c>
      <c r="F16195" s="34" t="n">
        <f aca="false">IFERROR(VLOOKUP($A16195,'319'!$B:$H,7,0),0)</f>
        <v>0</v>
      </c>
      <c r="G16195" s="34" t="n">
        <f aca="false">SUMIFS('12.326ana'!$C:$C,'12.326ana'!$M:$M,redes!A16195)</f>
        <v>0</v>
      </c>
    </row>
    <row r="16196" customFormat="false" ht="14.4" hidden="true" customHeight="false" outlineLevel="0" collapsed="false">
      <c r="A16196" s="34" t="n">
        <v>30381367000163</v>
      </c>
      <c r="B16196" s="34" t="s">
        <v>29976</v>
      </c>
      <c r="C16196" s="34" t="s">
        <v>1602</v>
      </c>
      <c r="E16196" s="30" t="s">
        <v>29977</v>
      </c>
      <c r="F16196" s="34" t="n">
        <f aca="false">IFERROR(VLOOKUP($A16196,'319'!$B:$H,7,0),0)</f>
        <v>0</v>
      </c>
      <c r="G16196" s="34" t="n">
        <f aca="false">SUMIFS('12.326ana'!$C:$C,'12.326ana'!$M:$M,redes!A16196)</f>
        <v>0</v>
      </c>
    </row>
    <row r="16197" customFormat="false" ht="14.4" hidden="true" customHeight="false" outlineLevel="0" collapsed="false">
      <c r="A16197" s="34" t="n">
        <v>30384023000108</v>
      </c>
      <c r="B16197" s="34" t="s">
        <v>29978</v>
      </c>
      <c r="C16197" s="34" t="s">
        <v>848</v>
      </c>
      <c r="E16197" s="30" t="s">
        <v>29979</v>
      </c>
      <c r="F16197" s="34" t="n">
        <f aca="false">IFERROR(VLOOKUP($A16197,'319'!$B:$H,7,0),0)</f>
        <v>0</v>
      </c>
      <c r="G16197" s="34" t="n">
        <f aca="false">SUMIFS('12.326ana'!$C:$C,'12.326ana'!$M:$M,redes!A16197)</f>
        <v>0</v>
      </c>
    </row>
    <row r="16198" customFormat="false" ht="14.4" hidden="true" customHeight="false" outlineLevel="0" collapsed="false">
      <c r="A16198" s="34" t="n">
        <v>30384589000130</v>
      </c>
      <c r="B16198" s="34" t="s">
        <v>29980</v>
      </c>
      <c r="C16198" s="34" t="s">
        <v>1341</v>
      </c>
      <c r="E16198" s="30" t="s">
        <v>29981</v>
      </c>
      <c r="F16198" s="34" t="n">
        <f aca="false">IFERROR(VLOOKUP($A16198,'319'!$B:$H,7,0),0)</f>
        <v>0</v>
      </c>
      <c r="G16198" s="34" t="n">
        <f aca="false">SUMIFS('12.326ana'!$C:$C,'12.326ana'!$M:$M,redes!A16198)</f>
        <v>0</v>
      </c>
    </row>
    <row r="16199" customFormat="false" ht="14.4" hidden="true" customHeight="false" outlineLevel="0" collapsed="false">
      <c r="A16199" s="34" t="n">
        <v>30420583000170</v>
      </c>
      <c r="B16199" s="34" t="s">
        <v>29982</v>
      </c>
      <c r="C16199" s="34" t="s">
        <v>89</v>
      </c>
      <c r="E16199" s="30" t="s">
        <v>29983</v>
      </c>
      <c r="F16199" s="34" t="n">
        <f aca="false">IFERROR(VLOOKUP($A16199,'319'!$B:$H,7,0),0)</f>
        <v>0</v>
      </c>
      <c r="G16199" s="34" t="n">
        <f aca="false">SUMIFS('12.326ana'!$C:$C,'12.326ana'!$M:$M,redes!A16199)</f>
        <v>0</v>
      </c>
    </row>
    <row r="16200" customFormat="false" ht="14.4" hidden="true" customHeight="false" outlineLevel="0" collapsed="false">
      <c r="A16200" s="34" t="n">
        <v>30432373000100</v>
      </c>
      <c r="B16200" s="34" t="s">
        <v>29984</v>
      </c>
      <c r="C16200" s="34" t="s">
        <v>77</v>
      </c>
      <c r="E16200" s="30" t="s">
        <v>29985</v>
      </c>
      <c r="F16200" s="34" t="n">
        <f aca="false">IFERROR(VLOOKUP($A16200,'319'!$B:$H,7,0),0)</f>
        <v>0</v>
      </c>
      <c r="G16200" s="34" t="n">
        <f aca="false">SUMIFS('12.326ana'!$C:$C,'12.326ana'!$M:$M,redes!A16200)</f>
        <v>0</v>
      </c>
    </row>
    <row r="16201" customFormat="false" ht="14.4" hidden="true" customHeight="false" outlineLevel="0" collapsed="false">
      <c r="A16201" s="34" t="n">
        <v>30444208000160</v>
      </c>
      <c r="B16201" s="34" t="s">
        <v>29986</v>
      </c>
      <c r="C16201" s="34" t="s">
        <v>77</v>
      </c>
      <c r="E16201" s="30" t="s">
        <v>5266</v>
      </c>
      <c r="F16201" s="34" t="n">
        <f aca="false">IFERROR(VLOOKUP($A16201,'319'!$B:$H,7,0),0)</f>
        <v>176.76</v>
      </c>
      <c r="G16201" s="34" t="n">
        <f aca="false">SUMIFS('12.326ana'!$C:$C,'12.326ana'!$M:$M,redes!A16201)</f>
        <v>0</v>
      </c>
    </row>
    <row r="16202" customFormat="false" ht="14.4" hidden="true" customHeight="false" outlineLevel="0" collapsed="false">
      <c r="A16202" s="34" t="n">
        <v>30445941000108</v>
      </c>
      <c r="B16202" s="34" t="s">
        <v>1380</v>
      </c>
      <c r="C16202" s="34" t="s">
        <v>77</v>
      </c>
      <c r="E16202" s="30" t="s">
        <v>7439</v>
      </c>
      <c r="F16202" s="34" t="n">
        <f aca="false">IFERROR(VLOOKUP($A16202,'319'!$B:$H,7,0),0)</f>
        <v>248.67</v>
      </c>
      <c r="G16202" s="34" t="n">
        <f aca="false">SUMIFS('12.326ana'!$C:$C,'12.326ana'!$M:$M,redes!A16202)</f>
        <v>0</v>
      </c>
    </row>
    <row r="16203" customFormat="false" ht="14.4" hidden="true" customHeight="false" outlineLevel="0" collapsed="false">
      <c r="A16203" s="34" t="n">
        <v>30470425000125</v>
      </c>
      <c r="B16203" s="34" t="s">
        <v>29987</v>
      </c>
      <c r="C16203" s="34" t="s">
        <v>1602</v>
      </c>
      <c r="E16203" s="30" t="s">
        <v>29987</v>
      </c>
      <c r="F16203" s="34" t="n">
        <f aca="false">IFERROR(VLOOKUP($A16203,'319'!$B:$H,7,0),0)</f>
        <v>0</v>
      </c>
      <c r="G16203" s="34" t="n">
        <f aca="false">SUMIFS('12.326ana'!$C:$C,'12.326ana'!$M:$M,redes!A16203)</f>
        <v>0</v>
      </c>
    </row>
    <row r="16204" customFormat="false" ht="14.4" hidden="true" customHeight="false" outlineLevel="0" collapsed="false">
      <c r="A16204" s="34" t="n">
        <v>30477730000149</v>
      </c>
      <c r="B16204" s="34" t="s">
        <v>29988</v>
      </c>
      <c r="C16204" s="34" t="s">
        <v>565</v>
      </c>
      <c r="E16204" s="30" t="s">
        <v>26863</v>
      </c>
      <c r="F16204" s="34" t="n">
        <f aca="false">IFERROR(VLOOKUP($A16204,'319'!$B:$H,7,0),0)</f>
        <v>0</v>
      </c>
      <c r="G16204" s="34" t="n">
        <f aca="false">SUMIFS('12.326ana'!$C:$C,'12.326ana'!$M:$M,redes!A16204)</f>
        <v>0</v>
      </c>
    </row>
    <row r="16205" customFormat="false" ht="14.4" hidden="true" customHeight="false" outlineLevel="0" collapsed="false">
      <c r="A16205" s="34" t="n">
        <v>30484410000116</v>
      </c>
      <c r="B16205" s="34" t="s">
        <v>29989</v>
      </c>
      <c r="C16205" s="34" t="s">
        <v>77</v>
      </c>
      <c r="E16205" s="30" t="s">
        <v>29990</v>
      </c>
      <c r="F16205" s="34" t="n">
        <f aca="false">IFERROR(VLOOKUP($A16205,'319'!$B:$H,7,0),0)</f>
        <v>0</v>
      </c>
      <c r="G16205" s="34" t="n">
        <f aca="false">SUMIFS('12.326ana'!$C:$C,'12.326ana'!$M:$M,redes!A16205)</f>
        <v>0</v>
      </c>
    </row>
    <row r="16206" customFormat="false" ht="14.4" hidden="true" customHeight="false" outlineLevel="0" collapsed="false">
      <c r="A16206" s="34" t="n">
        <v>30485104000102</v>
      </c>
      <c r="B16206" s="34" t="s">
        <v>29991</v>
      </c>
      <c r="C16206" s="34" t="s">
        <v>129</v>
      </c>
      <c r="E16206" s="30" t="s">
        <v>29991</v>
      </c>
      <c r="F16206" s="34" t="n">
        <f aca="false">IFERROR(VLOOKUP($A16206,'319'!$B:$H,7,0),0)</f>
        <v>0</v>
      </c>
      <c r="G16206" s="34" t="n">
        <f aca="false">SUMIFS('12.326ana'!$C:$C,'12.326ana'!$M:$M,redes!A16206)</f>
        <v>0</v>
      </c>
    </row>
    <row r="16207" customFormat="false" ht="14.4" hidden="true" customHeight="false" outlineLevel="0" collapsed="false">
      <c r="A16207" s="34" t="n">
        <v>30489354000102</v>
      </c>
      <c r="B16207" s="34" t="s">
        <v>29992</v>
      </c>
      <c r="C16207" s="34" t="s">
        <v>77</v>
      </c>
      <c r="E16207" s="30" t="s">
        <v>29993</v>
      </c>
      <c r="F16207" s="34" t="n">
        <f aca="false">IFERROR(VLOOKUP($A16207,'319'!$B:$H,7,0),0)</f>
        <v>0</v>
      </c>
      <c r="G16207" s="34" t="n">
        <f aca="false">SUMIFS('12.326ana'!$C:$C,'12.326ana'!$M:$M,redes!A16207)</f>
        <v>0</v>
      </c>
    </row>
    <row r="16208" customFormat="false" ht="14.4" hidden="true" customHeight="false" outlineLevel="0" collapsed="false">
      <c r="A16208" s="34" t="n">
        <v>30490641000132</v>
      </c>
      <c r="B16208" s="34" t="s">
        <v>29994</v>
      </c>
      <c r="C16208" s="34" t="s">
        <v>77</v>
      </c>
      <c r="E16208" s="30" t="s">
        <v>29995</v>
      </c>
      <c r="F16208" s="34" t="n">
        <f aca="false">IFERROR(VLOOKUP($A16208,'319'!$B:$H,7,0),0)</f>
        <v>0</v>
      </c>
      <c r="G16208" s="34" t="n">
        <f aca="false">SUMIFS('12.326ana'!$C:$C,'12.326ana'!$M:$M,redes!A16208)</f>
        <v>0</v>
      </c>
    </row>
    <row r="16209" customFormat="false" ht="14.4" hidden="true" customHeight="false" outlineLevel="0" collapsed="false">
      <c r="A16209" s="34" t="n">
        <v>30494978000118</v>
      </c>
      <c r="B16209" s="34" t="s">
        <v>29996</v>
      </c>
      <c r="C16209" s="34" t="s">
        <v>478</v>
      </c>
      <c r="E16209" s="30" t="s">
        <v>29997</v>
      </c>
      <c r="F16209" s="34" t="n">
        <f aca="false">IFERROR(VLOOKUP($A16209,'319'!$B:$H,7,0),0)</f>
        <v>0</v>
      </c>
      <c r="G16209" s="34" t="n">
        <f aca="false">SUMIFS('12.326ana'!$C:$C,'12.326ana'!$M:$M,redes!A16209)</f>
        <v>0</v>
      </c>
    </row>
    <row r="16210" customFormat="false" ht="14.4" hidden="true" customHeight="false" outlineLevel="0" collapsed="false">
      <c r="A16210" s="34" t="n">
        <v>30508669000150</v>
      </c>
      <c r="B16210" s="34" t="s">
        <v>29998</v>
      </c>
      <c r="C16210" s="34" t="s">
        <v>139</v>
      </c>
      <c r="E16210" s="30" t="s">
        <v>8451</v>
      </c>
      <c r="F16210" s="34" t="n">
        <f aca="false">IFERROR(VLOOKUP($A16210,'319'!$B:$H,7,0),0)</f>
        <v>0</v>
      </c>
      <c r="G16210" s="34" t="n">
        <f aca="false">SUMIFS('12.326ana'!$C:$C,'12.326ana'!$M:$M,redes!A16210)</f>
        <v>0</v>
      </c>
    </row>
    <row r="16211" customFormat="false" ht="14.4" hidden="true" customHeight="false" outlineLevel="0" collapsed="false">
      <c r="A16211" s="34" t="n">
        <v>30509689000145</v>
      </c>
      <c r="B16211" s="34" t="s">
        <v>29999</v>
      </c>
      <c r="C16211" s="34" t="s">
        <v>103</v>
      </c>
      <c r="E16211" s="30" t="s">
        <v>29999</v>
      </c>
      <c r="F16211" s="34" t="n">
        <f aca="false">IFERROR(VLOOKUP($A16211,'319'!$B:$H,7,0),0)</f>
        <v>0</v>
      </c>
      <c r="G16211" s="34" t="n">
        <f aca="false">SUMIFS('12.326ana'!$C:$C,'12.326ana'!$M:$M,redes!A16211)</f>
        <v>0</v>
      </c>
    </row>
    <row r="16212" customFormat="false" ht="14.4" hidden="true" customHeight="false" outlineLevel="0" collapsed="false">
      <c r="A16212" s="34" t="n">
        <v>30527825000120</v>
      </c>
      <c r="B16212" s="34" t="s">
        <v>30000</v>
      </c>
      <c r="C16212" s="34" t="s">
        <v>309</v>
      </c>
      <c r="E16212" s="30" t="s">
        <v>30001</v>
      </c>
      <c r="F16212" s="34" t="n">
        <f aca="false">IFERROR(VLOOKUP($A16212,'319'!$B:$H,7,0),0)</f>
        <v>0</v>
      </c>
      <c r="G16212" s="34" t="n">
        <f aca="false">SUMIFS('12.326ana'!$C:$C,'12.326ana'!$M:$M,redes!A16212)</f>
        <v>0</v>
      </c>
    </row>
    <row r="16213" customFormat="false" ht="14.4" hidden="true" customHeight="false" outlineLevel="0" collapsed="false">
      <c r="A16213" s="34" t="n">
        <v>30530878000280</v>
      </c>
      <c r="B16213" s="34" t="s">
        <v>30002</v>
      </c>
      <c r="C16213" s="34" t="s">
        <v>77</v>
      </c>
      <c r="E16213" s="30" t="s">
        <v>30003</v>
      </c>
      <c r="F16213" s="34" t="n">
        <f aca="false">IFERROR(VLOOKUP($A16213,'319'!$B:$H,7,0),0)</f>
        <v>0</v>
      </c>
      <c r="G16213" s="34" t="n">
        <f aca="false">SUMIFS('12.326ana'!$C:$C,'12.326ana'!$M:$M,redes!A16213)</f>
        <v>0</v>
      </c>
    </row>
    <row r="16214" customFormat="false" ht="14.4" hidden="true" customHeight="false" outlineLevel="0" collapsed="false">
      <c r="A16214" s="34" t="n">
        <v>30531806000177</v>
      </c>
      <c r="B16214" s="34" t="s">
        <v>30004</v>
      </c>
      <c r="C16214" s="34" t="s">
        <v>77</v>
      </c>
      <c r="E16214" s="30" t="s">
        <v>30005</v>
      </c>
      <c r="F16214" s="34" t="n">
        <f aca="false">IFERROR(VLOOKUP($A16214,'319'!$B:$H,7,0),0)</f>
        <v>0</v>
      </c>
      <c r="G16214" s="34" t="n">
        <f aca="false">SUMIFS('12.326ana'!$C:$C,'12.326ana'!$M:$M,redes!A16214)</f>
        <v>0</v>
      </c>
    </row>
    <row r="16215" customFormat="false" ht="14.4" hidden="true" customHeight="false" outlineLevel="0" collapsed="false">
      <c r="A16215" s="34" t="n">
        <v>30531806000258</v>
      </c>
      <c r="B16215" s="34" t="s">
        <v>30006</v>
      </c>
      <c r="C16215" s="34" t="s">
        <v>77</v>
      </c>
      <c r="E16215" s="30" t="s">
        <v>30005</v>
      </c>
      <c r="F16215" s="34" t="n">
        <f aca="false">IFERROR(VLOOKUP($A16215,'319'!$B:$H,7,0),0)</f>
        <v>0</v>
      </c>
      <c r="G16215" s="34" t="n">
        <f aca="false">SUMIFS('12.326ana'!$C:$C,'12.326ana'!$M:$M,redes!A16215)</f>
        <v>0</v>
      </c>
    </row>
    <row r="16216" customFormat="false" ht="14.4" hidden="true" customHeight="false" outlineLevel="0" collapsed="false">
      <c r="A16216" s="34" t="n">
        <v>30533726000150</v>
      </c>
      <c r="B16216" s="34" t="s">
        <v>30007</v>
      </c>
      <c r="C16216" s="34" t="s">
        <v>77</v>
      </c>
      <c r="E16216" s="30" t="s">
        <v>30008</v>
      </c>
      <c r="F16216" s="34" t="n">
        <f aca="false">IFERROR(VLOOKUP($A16216,'319'!$B:$H,7,0),0)</f>
        <v>0</v>
      </c>
      <c r="G16216" s="34" t="n">
        <f aca="false">SUMIFS('12.326ana'!$C:$C,'12.326ana'!$M:$M,redes!A16216)</f>
        <v>0</v>
      </c>
    </row>
    <row r="16217" customFormat="false" ht="14.4" hidden="true" customHeight="false" outlineLevel="0" collapsed="false">
      <c r="A16217" s="34" t="n">
        <v>30551617000166</v>
      </c>
      <c r="B16217" s="34" t="s">
        <v>30009</v>
      </c>
      <c r="C16217" s="34" t="s">
        <v>463</v>
      </c>
      <c r="E16217" s="30" t="s">
        <v>30009</v>
      </c>
      <c r="F16217" s="34" t="n">
        <f aca="false">IFERROR(VLOOKUP($A16217,'319'!$B:$H,7,0),0)</f>
        <v>0</v>
      </c>
      <c r="G16217" s="34" t="n">
        <f aca="false">SUMIFS('12.326ana'!$C:$C,'12.326ana'!$M:$M,redes!A16217)</f>
        <v>0</v>
      </c>
    </row>
    <row r="16218" customFormat="false" ht="14.4" hidden="true" customHeight="false" outlineLevel="0" collapsed="false">
      <c r="A16218" s="34" t="n">
        <v>30557621000131</v>
      </c>
      <c r="B16218" s="34" t="s">
        <v>30010</v>
      </c>
      <c r="C16218" s="34" t="s">
        <v>1054</v>
      </c>
      <c r="E16218" s="30" t="s">
        <v>10728</v>
      </c>
      <c r="F16218" s="34" t="n">
        <f aca="false">IFERROR(VLOOKUP($A16218,'319'!$B:$H,7,0),0)</f>
        <v>0</v>
      </c>
      <c r="G16218" s="34" t="n">
        <f aca="false">SUMIFS('12.326ana'!$C:$C,'12.326ana'!$M:$M,redes!A16218)</f>
        <v>0</v>
      </c>
    </row>
    <row r="16219" customFormat="false" ht="14.4" hidden="true" customHeight="false" outlineLevel="0" collapsed="false">
      <c r="A16219" s="34" t="n">
        <v>30558279000194</v>
      </c>
      <c r="B16219" s="34" t="s">
        <v>30011</v>
      </c>
      <c r="C16219" s="34" t="s">
        <v>207</v>
      </c>
      <c r="E16219" s="30" t="s">
        <v>30012</v>
      </c>
      <c r="F16219" s="34" t="n">
        <f aca="false">IFERROR(VLOOKUP($A16219,'319'!$B:$H,7,0),0)</f>
        <v>0</v>
      </c>
      <c r="G16219" s="34" t="n">
        <f aca="false">SUMIFS('12.326ana'!$C:$C,'12.326ana'!$M:$M,redes!A16219)</f>
        <v>0</v>
      </c>
    </row>
    <row r="16220" customFormat="false" ht="14.4" hidden="true" customHeight="false" outlineLevel="0" collapsed="false">
      <c r="A16220" s="34" t="n">
        <v>30581761000145</v>
      </c>
      <c r="B16220" s="34" t="s">
        <v>30013</v>
      </c>
      <c r="C16220" s="34" t="s">
        <v>77</v>
      </c>
      <c r="E16220" s="30" t="s">
        <v>30013</v>
      </c>
      <c r="F16220" s="34" t="n">
        <f aca="false">IFERROR(VLOOKUP($A16220,'319'!$B:$H,7,0),0)</f>
        <v>0</v>
      </c>
      <c r="G16220" s="34" t="n">
        <f aca="false">SUMIFS('12.326ana'!$C:$C,'12.326ana'!$M:$M,redes!A16220)</f>
        <v>0</v>
      </c>
    </row>
    <row r="16221" customFormat="false" ht="14.4" hidden="true" customHeight="false" outlineLevel="0" collapsed="false">
      <c r="A16221" s="34" t="n">
        <v>30583220000156</v>
      </c>
      <c r="B16221" s="34" t="s">
        <v>30014</v>
      </c>
      <c r="C16221" s="34" t="s">
        <v>737</v>
      </c>
      <c r="E16221" s="30" t="s">
        <v>3066</v>
      </c>
      <c r="F16221" s="34" t="n">
        <f aca="false">IFERROR(VLOOKUP($A16221,'319'!$B:$H,7,0),0)</f>
        <v>0</v>
      </c>
      <c r="G16221" s="34" t="n">
        <f aca="false">SUMIFS('12.326ana'!$C:$C,'12.326ana'!$M:$M,redes!A16221)</f>
        <v>0</v>
      </c>
    </row>
    <row r="16222" customFormat="false" ht="14.4" hidden="true" customHeight="false" outlineLevel="0" collapsed="false">
      <c r="A16222" s="34" t="n">
        <v>30589830000167</v>
      </c>
      <c r="B16222" s="34" t="s">
        <v>30015</v>
      </c>
      <c r="C16222" s="34" t="s">
        <v>77</v>
      </c>
      <c r="E16222" s="30" t="s">
        <v>30016</v>
      </c>
      <c r="F16222" s="34" t="n">
        <f aca="false">IFERROR(VLOOKUP($A16222,'319'!$B:$H,7,0),0)</f>
        <v>0</v>
      </c>
      <c r="G16222" s="34" t="n">
        <f aca="false">SUMIFS('12.326ana'!$C:$C,'12.326ana'!$M:$M,redes!A16222)</f>
        <v>0</v>
      </c>
    </row>
    <row r="16223" customFormat="false" ht="14.4" hidden="true" customHeight="false" outlineLevel="0" collapsed="false">
      <c r="A16223" s="34" t="n">
        <v>30598456000166</v>
      </c>
      <c r="B16223" s="34" t="s">
        <v>30017</v>
      </c>
      <c r="C16223" s="34" t="s">
        <v>129</v>
      </c>
      <c r="E16223" s="30" t="s">
        <v>30018</v>
      </c>
      <c r="F16223" s="34" t="n">
        <f aca="false">IFERROR(VLOOKUP($A16223,'319'!$B:$H,7,0),0)</f>
        <v>0</v>
      </c>
      <c r="G16223" s="34" t="n">
        <f aca="false">SUMIFS('12.326ana'!$C:$C,'12.326ana'!$M:$M,redes!A16223)</f>
        <v>0</v>
      </c>
    </row>
    <row r="16224" customFormat="false" ht="14.4" hidden="true" customHeight="false" outlineLevel="0" collapsed="false">
      <c r="A16224" s="34" t="n">
        <v>30600821000120</v>
      </c>
      <c r="B16224" s="34" t="s">
        <v>30019</v>
      </c>
      <c r="C16224" s="34" t="s">
        <v>631</v>
      </c>
      <c r="E16224" s="30" t="s">
        <v>30020</v>
      </c>
      <c r="F16224" s="34" t="n">
        <f aca="false">IFERROR(VLOOKUP($A16224,'319'!$B:$H,7,0),0)</f>
        <v>0</v>
      </c>
      <c r="G16224" s="34" t="n">
        <f aca="false">SUMIFS('12.326ana'!$C:$C,'12.326ana'!$M:$M,redes!A16224)</f>
        <v>0</v>
      </c>
    </row>
    <row r="16225" customFormat="false" ht="14.4" hidden="true" customHeight="false" outlineLevel="0" collapsed="false">
      <c r="A16225" s="34" t="n">
        <v>30606380000173</v>
      </c>
      <c r="B16225" s="34" t="s">
        <v>30021</v>
      </c>
      <c r="C16225" s="34" t="s">
        <v>77</v>
      </c>
      <c r="E16225" s="30" t="s">
        <v>30022</v>
      </c>
      <c r="F16225" s="34" t="n">
        <f aca="false">IFERROR(VLOOKUP($A16225,'319'!$B:$H,7,0),0)</f>
        <v>0</v>
      </c>
      <c r="G16225" s="34" t="n">
        <f aca="false">SUMIFS('12.326ana'!$C:$C,'12.326ana'!$M:$M,redes!A16225)</f>
        <v>0</v>
      </c>
    </row>
    <row r="16226" customFormat="false" ht="14.4" hidden="true" customHeight="false" outlineLevel="0" collapsed="false">
      <c r="A16226" s="34" t="n">
        <v>30627148000111</v>
      </c>
      <c r="B16226" s="34" t="s">
        <v>30023</v>
      </c>
      <c r="C16226" s="34" t="s">
        <v>77</v>
      </c>
      <c r="E16226" s="30" t="s">
        <v>30024</v>
      </c>
      <c r="F16226" s="34" t="n">
        <f aca="false">IFERROR(VLOOKUP($A16226,'319'!$B:$H,7,0),0)</f>
        <v>0</v>
      </c>
      <c r="G16226" s="34" t="n">
        <f aca="false">SUMIFS('12.326ana'!$C:$C,'12.326ana'!$M:$M,redes!A16226)</f>
        <v>0</v>
      </c>
    </row>
    <row r="16227" customFormat="false" ht="14.4" hidden="true" customHeight="false" outlineLevel="0" collapsed="false">
      <c r="A16227" s="34" t="n">
        <v>30630786000191</v>
      </c>
      <c r="B16227" s="34" t="s">
        <v>30025</v>
      </c>
      <c r="C16227" s="34" t="s">
        <v>77</v>
      </c>
      <c r="E16227" s="30" t="s">
        <v>30026</v>
      </c>
      <c r="F16227" s="34" t="n">
        <f aca="false">IFERROR(VLOOKUP($A16227,'319'!$B:$H,7,0),0)</f>
        <v>0</v>
      </c>
      <c r="G16227" s="34" t="n">
        <f aca="false">SUMIFS('12.326ana'!$C:$C,'12.326ana'!$M:$M,redes!A16227)</f>
        <v>0</v>
      </c>
    </row>
    <row r="16228" customFormat="false" ht="14.4" hidden="true" customHeight="false" outlineLevel="0" collapsed="false">
      <c r="A16228" s="34" t="n">
        <v>30644064000196</v>
      </c>
      <c r="B16228" s="34" t="s">
        <v>30027</v>
      </c>
      <c r="C16228" s="34" t="s">
        <v>77</v>
      </c>
      <c r="E16228" s="30" t="s">
        <v>30028</v>
      </c>
      <c r="F16228" s="34" t="n">
        <f aca="false">IFERROR(VLOOKUP($A16228,'319'!$B:$H,7,0),0)</f>
        <v>0</v>
      </c>
      <c r="G16228" s="34" t="n">
        <f aca="false">SUMIFS('12.326ana'!$C:$C,'12.326ana'!$M:$M,redes!A16228)</f>
        <v>0</v>
      </c>
    </row>
    <row r="16229" customFormat="false" ht="14.4" hidden="true" customHeight="false" outlineLevel="0" collapsed="false">
      <c r="A16229" s="34" t="n">
        <v>30656328000121</v>
      </c>
      <c r="B16229" s="34" t="s">
        <v>30029</v>
      </c>
      <c r="C16229" s="34" t="s">
        <v>475</v>
      </c>
      <c r="E16229" s="30" t="s">
        <v>30030</v>
      </c>
      <c r="F16229" s="34" t="n">
        <f aca="false">IFERROR(VLOOKUP($A16229,'319'!$B:$H,7,0),0)</f>
        <v>0</v>
      </c>
      <c r="G16229" s="34" t="n">
        <f aca="false">SUMIFS('12.326ana'!$C:$C,'12.326ana'!$M:$M,redes!A16229)</f>
        <v>0</v>
      </c>
    </row>
    <row r="16230" customFormat="false" ht="14.4" hidden="true" customHeight="false" outlineLevel="0" collapsed="false">
      <c r="A16230" s="34" t="n">
        <v>30658171000173</v>
      </c>
      <c r="B16230" s="34" t="s">
        <v>30031</v>
      </c>
      <c r="C16230" s="34" t="s">
        <v>77</v>
      </c>
      <c r="E16230" s="30" t="s">
        <v>23345</v>
      </c>
      <c r="F16230" s="34" t="n">
        <f aca="false">IFERROR(VLOOKUP($A16230,'319'!$B:$H,7,0),0)</f>
        <v>0</v>
      </c>
      <c r="G16230" s="34" t="n">
        <f aca="false">SUMIFS('12.326ana'!$C:$C,'12.326ana'!$M:$M,redes!A16230)</f>
        <v>0</v>
      </c>
    </row>
    <row r="16231" customFormat="false" ht="14.4" hidden="true" customHeight="false" outlineLevel="0" collapsed="false">
      <c r="A16231" s="34" t="n">
        <v>30681337000172</v>
      </c>
      <c r="B16231" s="34" t="s">
        <v>30032</v>
      </c>
      <c r="C16231" s="34" t="s">
        <v>129</v>
      </c>
      <c r="E16231" s="30" t="s">
        <v>3337</v>
      </c>
      <c r="F16231" s="34" t="n">
        <f aca="false">IFERROR(VLOOKUP($A16231,'319'!$B:$H,7,0),0)</f>
        <v>0</v>
      </c>
      <c r="G16231" s="34" t="n">
        <f aca="false">SUMIFS('12.326ana'!$C:$C,'12.326ana'!$M:$M,redes!A16231)</f>
        <v>0</v>
      </c>
    </row>
    <row r="16232" customFormat="false" ht="14.4" hidden="true" customHeight="false" outlineLevel="0" collapsed="false">
      <c r="A16232" s="34" t="n">
        <v>30685141000156</v>
      </c>
      <c r="B16232" s="34" t="s">
        <v>30033</v>
      </c>
      <c r="C16232" s="34" t="s">
        <v>77</v>
      </c>
      <c r="E16232" s="30" t="s">
        <v>18216</v>
      </c>
      <c r="F16232" s="34" t="n">
        <f aca="false">IFERROR(VLOOKUP($A16232,'319'!$B:$H,7,0),0)</f>
        <v>0</v>
      </c>
      <c r="G16232" s="34" t="n">
        <f aca="false">SUMIFS('12.326ana'!$C:$C,'12.326ana'!$M:$M,redes!A16232)</f>
        <v>0</v>
      </c>
    </row>
    <row r="16233" customFormat="false" ht="14.4" hidden="true" customHeight="false" outlineLevel="0" collapsed="false">
      <c r="A16233" s="34" t="n">
        <v>30719697000116</v>
      </c>
      <c r="B16233" s="34" t="s">
        <v>30034</v>
      </c>
      <c r="C16233" s="34" t="s">
        <v>139</v>
      </c>
      <c r="E16233" s="30" t="s">
        <v>5226</v>
      </c>
      <c r="F16233" s="34" t="n">
        <f aca="false">IFERROR(VLOOKUP($A16233,'319'!$B:$H,7,0),0)</f>
        <v>0</v>
      </c>
      <c r="G16233" s="34" t="n">
        <f aca="false">SUMIFS('12.326ana'!$C:$C,'12.326ana'!$M:$M,redes!A16233)</f>
        <v>0</v>
      </c>
    </row>
    <row r="16234" customFormat="false" ht="14.4" hidden="true" customHeight="false" outlineLevel="0" collapsed="false">
      <c r="A16234" s="34" t="n">
        <v>30720314000120</v>
      </c>
      <c r="B16234" s="34" t="s">
        <v>30035</v>
      </c>
      <c r="C16234" s="34" t="s">
        <v>89</v>
      </c>
      <c r="E16234" s="30" t="s">
        <v>30036</v>
      </c>
      <c r="F16234" s="34" t="n">
        <f aca="false">IFERROR(VLOOKUP($A16234,'319'!$B:$H,7,0),0)</f>
        <v>0</v>
      </c>
      <c r="G16234" s="34" t="n">
        <f aca="false">SUMIFS('12.326ana'!$C:$C,'12.326ana'!$M:$M,redes!A16234)</f>
        <v>0</v>
      </c>
    </row>
    <row r="16235" customFormat="false" ht="14.4" hidden="true" customHeight="false" outlineLevel="0" collapsed="false">
      <c r="A16235" s="34" t="n">
        <v>30720802000137</v>
      </c>
      <c r="B16235" s="34" t="s">
        <v>30037</v>
      </c>
      <c r="C16235" s="34" t="s">
        <v>764</v>
      </c>
      <c r="E16235" s="30" t="s">
        <v>30038</v>
      </c>
      <c r="F16235" s="34" t="n">
        <f aca="false">IFERROR(VLOOKUP($A16235,'319'!$B:$H,7,0),0)</f>
        <v>0</v>
      </c>
      <c r="G16235" s="34" t="n">
        <f aca="false">SUMIFS('12.326ana'!$C:$C,'12.326ana'!$M:$M,redes!A16235)</f>
        <v>0</v>
      </c>
    </row>
    <row r="16236" customFormat="false" ht="14.4" hidden="true" customHeight="false" outlineLevel="0" collapsed="false">
      <c r="A16236" s="34" t="n">
        <v>30734530000124</v>
      </c>
      <c r="B16236" s="34" t="s">
        <v>30039</v>
      </c>
      <c r="C16236" s="34" t="s">
        <v>77</v>
      </c>
      <c r="E16236" s="30" t="s">
        <v>30040</v>
      </c>
      <c r="F16236" s="34" t="n">
        <f aca="false">IFERROR(VLOOKUP($A16236,'319'!$B:$H,7,0),0)</f>
        <v>0</v>
      </c>
      <c r="G16236" s="34" t="n">
        <f aca="false">SUMIFS('12.326ana'!$C:$C,'12.326ana'!$M:$M,redes!A16236)</f>
        <v>0</v>
      </c>
    </row>
    <row r="16237" customFormat="false" ht="14.4" hidden="true" customHeight="false" outlineLevel="0" collapsed="false">
      <c r="A16237" s="34" t="n">
        <v>30742675000177</v>
      </c>
      <c r="B16237" s="34" t="s">
        <v>30041</v>
      </c>
      <c r="C16237" s="34" t="s">
        <v>107</v>
      </c>
      <c r="E16237" s="30" t="s">
        <v>30041</v>
      </c>
      <c r="F16237" s="34" t="n">
        <f aca="false">IFERROR(VLOOKUP($A16237,'319'!$B:$H,7,0),0)</f>
        <v>0</v>
      </c>
      <c r="G16237" s="34" t="n">
        <f aca="false">SUMIFS('12.326ana'!$C:$C,'12.326ana'!$M:$M,redes!A16237)</f>
        <v>0</v>
      </c>
    </row>
    <row r="16238" customFormat="false" ht="14.4" hidden="true" customHeight="false" outlineLevel="0" collapsed="false">
      <c r="A16238" s="34" t="n">
        <v>30746463000168</v>
      </c>
      <c r="B16238" s="34" t="s">
        <v>30042</v>
      </c>
      <c r="C16238" s="34" t="s">
        <v>976</v>
      </c>
      <c r="E16238" s="30" t="s">
        <v>5070</v>
      </c>
      <c r="F16238" s="34" t="n">
        <f aca="false">IFERROR(VLOOKUP($A16238,'319'!$B:$H,7,0),0)</f>
        <v>0</v>
      </c>
      <c r="G16238" s="34" t="n">
        <f aca="false">SUMIFS('12.326ana'!$C:$C,'12.326ana'!$M:$M,redes!A16238)</f>
        <v>0</v>
      </c>
    </row>
    <row r="16239" customFormat="false" ht="14.4" hidden="true" customHeight="false" outlineLevel="0" collapsed="false">
      <c r="A16239" s="34" t="n">
        <v>30747922000128</v>
      </c>
      <c r="B16239" s="34" t="s">
        <v>30043</v>
      </c>
      <c r="C16239" s="34" t="s">
        <v>680</v>
      </c>
      <c r="E16239" s="30" t="s">
        <v>30044</v>
      </c>
      <c r="F16239" s="34" t="n">
        <f aca="false">IFERROR(VLOOKUP($A16239,'319'!$B:$H,7,0),0)</f>
        <v>0</v>
      </c>
      <c r="G16239" s="34" t="n">
        <f aca="false">SUMIFS('12.326ana'!$C:$C,'12.326ana'!$M:$M,redes!A16239)</f>
        <v>0</v>
      </c>
    </row>
    <row r="16240" customFormat="false" ht="14.4" hidden="true" customHeight="false" outlineLevel="0" collapsed="false">
      <c r="A16240" s="34" t="n">
        <v>30750884000162</v>
      </c>
      <c r="B16240" s="34" t="s">
        <v>30045</v>
      </c>
      <c r="C16240" s="34" t="s">
        <v>77</v>
      </c>
      <c r="E16240" s="30" t="s">
        <v>30046</v>
      </c>
      <c r="F16240" s="34" t="n">
        <f aca="false">IFERROR(VLOOKUP($A16240,'319'!$B:$H,7,0),0)</f>
        <v>0</v>
      </c>
      <c r="G16240" s="34" t="n">
        <f aca="false">SUMIFS('12.326ana'!$C:$C,'12.326ana'!$M:$M,redes!A16240)</f>
        <v>0</v>
      </c>
    </row>
    <row r="16241" customFormat="false" ht="14.4" hidden="true" customHeight="false" outlineLevel="0" collapsed="false">
      <c r="A16241" s="34" t="n">
        <v>30754700000132</v>
      </c>
      <c r="B16241" s="34" t="s">
        <v>926</v>
      </c>
      <c r="C16241" s="34" t="s">
        <v>342</v>
      </c>
      <c r="E16241" s="30" t="s">
        <v>30047</v>
      </c>
      <c r="F16241" s="34" t="n">
        <f aca="false">IFERROR(VLOOKUP($A16241,'319'!$B:$H,7,0),0)</f>
        <v>1279.97</v>
      </c>
      <c r="G16241" s="34" t="n">
        <f aca="false">SUMIFS('12.326ana'!$C:$C,'12.326ana'!$M:$M,redes!A16241)</f>
        <v>0</v>
      </c>
    </row>
    <row r="16242" customFormat="false" ht="14.4" hidden="true" customHeight="false" outlineLevel="0" collapsed="false">
      <c r="A16242" s="34" t="n">
        <v>30758485000148</v>
      </c>
      <c r="B16242" s="34" t="s">
        <v>30048</v>
      </c>
      <c r="C16242" s="34" t="s">
        <v>77</v>
      </c>
      <c r="E16242" s="30" t="s">
        <v>30049</v>
      </c>
      <c r="F16242" s="34" t="n">
        <f aca="false">IFERROR(VLOOKUP($A16242,'319'!$B:$H,7,0),0)</f>
        <v>0</v>
      </c>
      <c r="G16242" s="34" t="n">
        <f aca="false">SUMIFS('12.326ana'!$C:$C,'12.326ana'!$M:$M,redes!A16242)</f>
        <v>0</v>
      </c>
    </row>
    <row r="16243" customFormat="false" ht="14.4" hidden="true" customHeight="false" outlineLevel="0" collapsed="false">
      <c r="A16243" s="34" t="n">
        <v>30759291000167</v>
      </c>
      <c r="B16243" s="34" t="s">
        <v>30050</v>
      </c>
      <c r="C16243" s="34" t="s">
        <v>1602</v>
      </c>
      <c r="E16243" s="30" t="s">
        <v>5613</v>
      </c>
      <c r="F16243" s="34" t="n">
        <f aca="false">IFERROR(VLOOKUP($A16243,'319'!$B:$H,7,0),0)</f>
        <v>0</v>
      </c>
      <c r="G16243" s="34" t="n">
        <f aca="false">SUMIFS('12.326ana'!$C:$C,'12.326ana'!$M:$M,redes!A16243)</f>
        <v>0</v>
      </c>
    </row>
    <row r="16244" customFormat="false" ht="14.4" hidden="true" customHeight="false" outlineLevel="0" collapsed="false">
      <c r="A16244" s="34" t="n">
        <v>30768043000182</v>
      </c>
      <c r="B16244" s="34" t="s">
        <v>30051</v>
      </c>
      <c r="C16244" s="34" t="s">
        <v>139</v>
      </c>
      <c r="E16244" s="30" t="s">
        <v>30052</v>
      </c>
      <c r="F16244" s="34" t="n">
        <f aca="false">IFERROR(VLOOKUP($A16244,'319'!$B:$H,7,0),0)</f>
        <v>0</v>
      </c>
      <c r="G16244" s="34" t="n">
        <f aca="false">SUMIFS('12.326ana'!$C:$C,'12.326ana'!$M:$M,redes!A16244)</f>
        <v>0</v>
      </c>
    </row>
    <row r="16245" customFormat="false" ht="14.4" hidden="true" customHeight="false" outlineLevel="0" collapsed="false">
      <c r="A16245" s="34" t="n">
        <v>30791653000105</v>
      </c>
      <c r="B16245" s="34" t="s">
        <v>30053</v>
      </c>
      <c r="C16245" s="34" t="s">
        <v>103</v>
      </c>
      <c r="E16245" s="30" t="s">
        <v>30054</v>
      </c>
      <c r="F16245" s="34" t="n">
        <f aca="false">IFERROR(VLOOKUP($A16245,'319'!$B:$H,7,0),0)</f>
        <v>0</v>
      </c>
      <c r="G16245" s="34" t="n">
        <f aca="false">SUMIFS('12.326ana'!$C:$C,'12.326ana'!$M:$M,redes!A16245)</f>
        <v>0</v>
      </c>
    </row>
    <row r="16246" customFormat="false" ht="14.4" hidden="true" customHeight="false" outlineLevel="0" collapsed="false">
      <c r="A16246" s="34" t="n">
        <v>30797441000127</v>
      </c>
      <c r="B16246" s="34" t="s">
        <v>30055</v>
      </c>
      <c r="C16246" s="34" t="s">
        <v>89</v>
      </c>
      <c r="E16246" s="30" t="s">
        <v>30056</v>
      </c>
      <c r="F16246" s="34" t="n">
        <f aca="false">IFERROR(VLOOKUP($A16246,'319'!$B:$H,7,0),0)</f>
        <v>0</v>
      </c>
      <c r="G16246" s="34" t="n">
        <f aca="false">SUMIFS('12.326ana'!$C:$C,'12.326ana'!$M:$M,redes!A16246)</f>
        <v>0</v>
      </c>
    </row>
    <row r="16247" customFormat="false" ht="14.4" hidden="true" customHeight="false" outlineLevel="0" collapsed="false">
      <c r="A16247" s="34" t="n">
        <v>30798451000187</v>
      </c>
      <c r="B16247" s="34" t="s">
        <v>30057</v>
      </c>
      <c r="C16247" s="34" t="s">
        <v>77</v>
      </c>
      <c r="E16247" s="30" t="s">
        <v>30058</v>
      </c>
      <c r="F16247" s="34" t="n">
        <f aca="false">IFERROR(VLOOKUP($A16247,'319'!$B:$H,7,0),0)</f>
        <v>0</v>
      </c>
      <c r="G16247" s="34" t="n">
        <f aca="false">SUMIFS('12.326ana'!$C:$C,'12.326ana'!$M:$M,redes!A16247)</f>
        <v>0</v>
      </c>
    </row>
    <row r="16248" customFormat="false" ht="14.4" hidden="true" customHeight="false" outlineLevel="0" collapsed="false">
      <c r="A16248" s="34" t="n">
        <v>30799196000197</v>
      </c>
      <c r="B16248" s="34" t="s">
        <v>30059</v>
      </c>
      <c r="C16248" s="34" t="s">
        <v>4418</v>
      </c>
      <c r="E16248" s="30" t="s">
        <v>30060</v>
      </c>
      <c r="F16248" s="34" t="n">
        <f aca="false">IFERROR(VLOOKUP($A16248,'319'!$B:$H,7,0),0)</f>
        <v>0</v>
      </c>
      <c r="G16248" s="34" t="n">
        <f aca="false">SUMIFS('12.326ana'!$C:$C,'12.326ana'!$M:$M,redes!A16248)</f>
        <v>0</v>
      </c>
    </row>
    <row r="16249" customFormat="false" ht="14.4" hidden="true" customHeight="false" outlineLevel="0" collapsed="false">
      <c r="A16249" s="34" t="n">
        <v>30800527000161</v>
      </c>
      <c r="B16249" s="34" t="s">
        <v>30061</v>
      </c>
      <c r="C16249" s="34" t="s">
        <v>77</v>
      </c>
      <c r="E16249" s="30" t="s">
        <v>12912</v>
      </c>
      <c r="F16249" s="34" t="n">
        <f aca="false">IFERROR(VLOOKUP($A16249,'319'!$B:$H,7,0),0)</f>
        <v>0</v>
      </c>
      <c r="G16249" s="34" t="n">
        <f aca="false">SUMIFS('12.326ana'!$C:$C,'12.326ana'!$M:$M,redes!A16249)</f>
        <v>0</v>
      </c>
    </row>
    <row r="16250" customFormat="false" ht="14.4" hidden="true" customHeight="false" outlineLevel="0" collapsed="false">
      <c r="A16250" s="34" t="n">
        <v>30809456000168</v>
      </c>
      <c r="B16250" s="34" t="s">
        <v>30062</v>
      </c>
      <c r="C16250" s="34" t="s">
        <v>77</v>
      </c>
      <c r="E16250" s="30" t="s">
        <v>30063</v>
      </c>
      <c r="F16250" s="34" t="n">
        <f aca="false">IFERROR(VLOOKUP($A16250,'319'!$B:$H,7,0),0)</f>
        <v>0</v>
      </c>
      <c r="G16250" s="34" t="n">
        <f aca="false">SUMIFS('12.326ana'!$C:$C,'12.326ana'!$M:$M,redes!A16250)</f>
        <v>0</v>
      </c>
    </row>
    <row r="16251" customFormat="false" ht="14.4" hidden="true" customHeight="false" outlineLevel="0" collapsed="false">
      <c r="A16251" s="34" t="n">
        <v>30816135000190</v>
      </c>
      <c r="B16251" s="34" t="s">
        <v>30064</v>
      </c>
      <c r="C16251" s="34" t="s">
        <v>77</v>
      </c>
      <c r="E16251" s="30" t="s">
        <v>30065</v>
      </c>
      <c r="F16251" s="34" t="n">
        <f aca="false">IFERROR(VLOOKUP($A16251,'319'!$B:$H,7,0),0)</f>
        <v>0</v>
      </c>
      <c r="G16251" s="34" t="n">
        <f aca="false">SUMIFS('12.326ana'!$C:$C,'12.326ana'!$M:$M,redes!A16251)</f>
        <v>0</v>
      </c>
    </row>
    <row r="16252" customFormat="false" ht="14.4" hidden="true" customHeight="false" outlineLevel="0" collapsed="false">
      <c r="A16252" s="34" t="n">
        <v>30848658000119</v>
      </c>
      <c r="B16252" s="34" t="s">
        <v>30066</v>
      </c>
      <c r="C16252" s="34" t="s">
        <v>565</v>
      </c>
      <c r="E16252" s="30" t="s">
        <v>24177</v>
      </c>
      <c r="F16252" s="34" t="n">
        <f aca="false">IFERROR(VLOOKUP($A16252,'319'!$B:$H,7,0),0)</f>
        <v>0</v>
      </c>
      <c r="G16252" s="34" t="n">
        <f aca="false">SUMIFS('12.326ana'!$C:$C,'12.326ana'!$M:$M,redes!A16252)</f>
        <v>0</v>
      </c>
    </row>
    <row r="16253" customFormat="false" ht="14.4" hidden="true" customHeight="false" outlineLevel="0" collapsed="false">
      <c r="A16253" s="34" t="n">
        <v>30865214000191</v>
      </c>
      <c r="B16253" s="34" t="s">
        <v>1357</v>
      </c>
      <c r="C16253" s="34" t="s">
        <v>309</v>
      </c>
      <c r="E16253" s="30" t="s">
        <v>30067</v>
      </c>
      <c r="F16253" s="34" t="n">
        <f aca="false">IFERROR(VLOOKUP($A16253,'319'!$B:$H,7,0),0)</f>
        <v>250.33</v>
      </c>
      <c r="G16253" s="34" t="n">
        <f aca="false">SUMIFS('12.326ana'!$C:$C,'12.326ana'!$M:$M,redes!A16253)</f>
        <v>0</v>
      </c>
    </row>
    <row r="16254" customFormat="false" ht="14.4" hidden="true" customHeight="false" outlineLevel="0" collapsed="false">
      <c r="A16254" s="34" t="n">
        <v>30889542000128</v>
      </c>
      <c r="B16254" s="34" t="s">
        <v>30068</v>
      </c>
      <c r="C16254" s="34" t="s">
        <v>2998</v>
      </c>
      <c r="E16254" s="30" t="s">
        <v>30069</v>
      </c>
      <c r="F16254" s="34" t="n">
        <f aca="false">IFERROR(VLOOKUP($A16254,'319'!$B:$H,7,0),0)</f>
        <v>0</v>
      </c>
      <c r="G16254" s="34" t="n">
        <f aca="false">SUMIFS('12.326ana'!$C:$C,'12.326ana'!$M:$M,redes!A16254)</f>
        <v>0</v>
      </c>
    </row>
    <row r="16255" customFormat="false" ht="14.4" hidden="true" customHeight="false" outlineLevel="0" collapsed="false">
      <c r="A16255" s="34" t="n">
        <v>30891507000143</v>
      </c>
      <c r="B16255" s="34" t="s">
        <v>30070</v>
      </c>
      <c r="C16255" s="34" t="s">
        <v>77</v>
      </c>
      <c r="E16255" s="30" t="s">
        <v>30071</v>
      </c>
      <c r="F16255" s="34" t="n">
        <f aca="false">IFERROR(VLOOKUP($A16255,'319'!$B:$H,7,0),0)</f>
        <v>0</v>
      </c>
      <c r="G16255" s="34" t="n">
        <f aca="false">SUMIFS('12.326ana'!$C:$C,'12.326ana'!$M:$M,redes!A16255)</f>
        <v>0</v>
      </c>
    </row>
    <row r="16256" customFormat="false" ht="14.4" hidden="true" customHeight="false" outlineLevel="0" collapsed="false">
      <c r="A16256" s="34" t="n">
        <v>30911854000190</v>
      </c>
      <c r="B16256" s="34" t="s">
        <v>30072</v>
      </c>
      <c r="C16256" s="34" t="s">
        <v>77</v>
      </c>
      <c r="E16256" s="30" t="s">
        <v>29769</v>
      </c>
      <c r="F16256" s="34" t="n">
        <f aca="false">IFERROR(VLOOKUP($A16256,'319'!$B:$H,7,0),0)</f>
        <v>0</v>
      </c>
      <c r="G16256" s="34" t="n">
        <f aca="false">SUMIFS('12.326ana'!$C:$C,'12.326ana'!$M:$M,redes!A16256)</f>
        <v>0</v>
      </c>
    </row>
    <row r="16257" customFormat="false" ht="14.4" hidden="true" customHeight="false" outlineLevel="0" collapsed="false">
      <c r="A16257" s="34" t="n">
        <v>30923086000195</v>
      </c>
      <c r="B16257" s="34" t="s">
        <v>30073</v>
      </c>
      <c r="C16257" s="34" t="s">
        <v>6278</v>
      </c>
      <c r="E16257" s="30" t="s">
        <v>22115</v>
      </c>
      <c r="F16257" s="34" t="n">
        <f aca="false">IFERROR(VLOOKUP($A16257,'319'!$B:$H,7,0),0)</f>
        <v>0</v>
      </c>
      <c r="G16257" s="34" t="n">
        <f aca="false">SUMIFS('12.326ana'!$C:$C,'12.326ana'!$M:$M,redes!A16257)</f>
        <v>0</v>
      </c>
    </row>
    <row r="16258" customFormat="false" ht="14.4" hidden="true" customHeight="false" outlineLevel="0" collapsed="false">
      <c r="A16258" s="34" t="n">
        <v>30923309000114</v>
      </c>
      <c r="B16258" s="34" t="s">
        <v>30074</v>
      </c>
      <c r="C16258" s="34" t="s">
        <v>107</v>
      </c>
      <c r="E16258" s="30" t="s">
        <v>5266</v>
      </c>
      <c r="F16258" s="34" t="n">
        <f aca="false">IFERROR(VLOOKUP($A16258,'319'!$B:$H,7,0),0)</f>
        <v>0</v>
      </c>
      <c r="G16258" s="34" t="n">
        <f aca="false">SUMIFS('12.326ana'!$C:$C,'12.326ana'!$M:$M,redes!A16258)</f>
        <v>0</v>
      </c>
    </row>
    <row r="16259" customFormat="false" ht="14.4" hidden="true" customHeight="false" outlineLevel="0" collapsed="false">
      <c r="A16259" s="34" t="n">
        <v>30927954000105</v>
      </c>
      <c r="B16259" s="34" t="s">
        <v>30075</v>
      </c>
      <c r="C16259" s="34" t="s">
        <v>77</v>
      </c>
      <c r="E16259" s="30" t="s">
        <v>30076</v>
      </c>
      <c r="F16259" s="34" t="n">
        <f aca="false">IFERROR(VLOOKUP($A16259,'319'!$B:$H,7,0),0)</f>
        <v>0</v>
      </c>
      <c r="G16259" s="34" t="n">
        <f aca="false">SUMIFS('12.326ana'!$C:$C,'12.326ana'!$M:$M,redes!A16259)</f>
        <v>0</v>
      </c>
    </row>
    <row r="16260" customFormat="false" ht="14.4" hidden="true" customHeight="false" outlineLevel="0" collapsed="false">
      <c r="A16260" s="34" t="n">
        <v>30937327000155</v>
      </c>
      <c r="B16260" s="34" t="s">
        <v>30077</v>
      </c>
      <c r="C16260" s="34" t="s">
        <v>448</v>
      </c>
      <c r="E16260" s="30" t="s">
        <v>29254</v>
      </c>
      <c r="F16260" s="34" t="n">
        <f aca="false">IFERROR(VLOOKUP($A16260,'319'!$B:$H,7,0),0)</f>
        <v>0</v>
      </c>
      <c r="G16260" s="34" t="n">
        <f aca="false">SUMIFS('12.326ana'!$C:$C,'12.326ana'!$M:$M,redes!A16260)</f>
        <v>0</v>
      </c>
    </row>
    <row r="16261" customFormat="false" ht="14.4" hidden="true" customHeight="false" outlineLevel="0" collapsed="false">
      <c r="A16261" s="34" t="n">
        <v>30939774000143</v>
      </c>
      <c r="B16261" s="34" t="s">
        <v>30078</v>
      </c>
      <c r="C16261" s="34" t="s">
        <v>77</v>
      </c>
      <c r="E16261" s="30" t="s">
        <v>30079</v>
      </c>
      <c r="F16261" s="34" t="n">
        <f aca="false">IFERROR(VLOOKUP($A16261,'319'!$B:$H,7,0),0)</f>
        <v>0</v>
      </c>
      <c r="G16261" s="34" t="n">
        <f aca="false">SUMIFS('12.326ana'!$C:$C,'12.326ana'!$M:$M,redes!A16261)</f>
        <v>0</v>
      </c>
    </row>
    <row r="16262" customFormat="false" ht="14.4" hidden="true" customHeight="false" outlineLevel="0" collapsed="false">
      <c r="A16262" s="34" t="n">
        <v>30945194000169</v>
      </c>
      <c r="B16262" s="34" t="s">
        <v>30080</v>
      </c>
      <c r="C16262" s="34" t="s">
        <v>107</v>
      </c>
      <c r="E16262" s="30" t="s">
        <v>27582</v>
      </c>
      <c r="F16262" s="34" t="n">
        <f aca="false">IFERROR(VLOOKUP($A16262,'319'!$B:$H,7,0),0)</f>
        <v>0</v>
      </c>
      <c r="G16262" s="34" t="n">
        <f aca="false">SUMIFS('12.326ana'!$C:$C,'12.326ana'!$M:$M,redes!A16262)</f>
        <v>0</v>
      </c>
    </row>
    <row r="16263" customFormat="false" ht="14.4" hidden="true" customHeight="false" outlineLevel="0" collapsed="false">
      <c r="A16263" s="34" t="n">
        <v>30945740000161</v>
      </c>
      <c r="B16263" s="34" t="s">
        <v>30081</v>
      </c>
      <c r="C16263" s="34" t="s">
        <v>463</v>
      </c>
      <c r="E16263" s="30" t="s">
        <v>5206</v>
      </c>
      <c r="F16263" s="34" t="n">
        <f aca="false">IFERROR(VLOOKUP($A16263,'319'!$B:$H,7,0),0)</f>
        <v>0</v>
      </c>
      <c r="G16263" s="34" t="n">
        <f aca="false">SUMIFS('12.326ana'!$C:$C,'12.326ana'!$M:$M,redes!A16263)</f>
        <v>0</v>
      </c>
    </row>
    <row r="16264" customFormat="false" ht="14.4" hidden="true" customHeight="false" outlineLevel="0" collapsed="false">
      <c r="A16264" s="34" t="n">
        <v>30947919000158</v>
      </c>
      <c r="B16264" s="34" t="s">
        <v>30082</v>
      </c>
      <c r="C16264" s="34" t="s">
        <v>77</v>
      </c>
      <c r="E16264" s="30" t="s">
        <v>30083</v>
      </c>
      <c r="F16264" s="34" t="n">
        <f aca="false">IFERROR(VLOOKUP($A16264,'319'!$B:$H,7,0),0)</f>
        <v>0</v>
      </c>
      <c r="G16264" s="34" t="n">
        <f aca="false">SUMIFS('12.326ana'!$C:$C,'12.326ana'!$M:$M,redes!A16264)</f>
        <v>0</v>
      </c>
    </row>
    <row r="16265" customFormat="false" ht="14.4" hidden="true" customHeight="false" outlineLevel="0" collapsed="false">
      <c r="A16265" s="34" t="n">
        <v>30958620000107</v>
      </c>
      <c r="B16265" s="34" t="s">
        <v>30084</v>
      </c>
      <c r="C16265" s="34" t="s">
        <v>1680</v>
      </c>
      <c r="E16265" s="30" t="s">
        <v>30085</v>
      </c>
      <c r="F16265" s="34" t="n">
        <f aca="false">IFERROR(VLOOKUP($A16265,'319'!$B:$H,7,0),0)</f>
        <v>0</v>
      </c>
      <c r="G16265" s="34" t="n">
        <f aca="false">SUMIFS('12.326ana'!$C:$C,'12.326ana'!$M:$M,redes!A16265)</f>
        <v>0</v>
      </c>
    </row>
    <row r="16266" customFormat="false" ht="14.4" hidden="true" customHeight="false" outlineLevel="0" collapsed="false">
      <c r="A16266" s="34" t="n">
        <v>30963691000190</v>
      </c>
      <c r="B16266" s="34" t="s">
        <v>30086</v>
      </c>
      <c r="C16266" s="34" t="s">
        <v>562</v>
      </c>
      <c r="E16266" s="30" t="s">
        <v>25921</v>
      </c>
      <c r="F16266" s="34" t="n">
        <f aca="false">IFERROR(VLOOKUP($A16266,'319'!$B:$H,7,0),0)</f>
        <v>0</v>
      </c>
      <c r="G16266" s="34" t="n">
        <f aca="false">SUMIFS('12.326ana'!$C:$C,'12.326ana'!$M:$M,redes!A16266)</f>
        <v>0</v>
      </c>
    </row>
    <row r="16267" customFormat="false" ht="14.4" hidden="true" customHeight="false" outlineLevel="0" collapsed="false">
      <c r="A16267" s="34" t="n">
        <v>30971342000110</v>
      </c>
      <c r="B16267" s="34" t="s">
        <v>30087</v>
      </c>
      <c r="C16267" s="34" t="s">
        <v>77</v>
      </c>
      <c r="E16267" s="30" t="s">
        <v>30087</v>
      </c>
      <c r="F16267" s="34" t="n">
        <f aca="false">IFERROR(VLOOKUP($A16267,'319'!$B:$H,7,0),0)</f>
        <v>0</v>
      </c>
      <c r="G16267" s="34" t="n">
        <f aca="false">SUMIFS('12.326ana'!$C:$C,'12.326ana'!$M:$M,redes!A16267)</f>
        <v>0</v>
      </c>
    </row>
    <row r="16268" customFormat="false" ht="14.4" hidden="true" customHeight="false" outlineLevel="0" collapsed="false">
      <c r="A16268" s="34" t="n">
        <v>30975226000179</v>
      </c>
      <c r="B16268" s="34" t="s">
        <v>30088</v>
      </c>
      <c r="C16268" s="34" t="s">
        <v>77</v>
      </c>
      <c r="E16268" s="30" t="s">
        <v>30089</v>
      </c>
      <c r="F16268" s="34" t="n">
        <f aca="false">IFERROR(VLOOKUP($A16268,'319'!$B:$H,7,0),0)</f>
        <v>0</v>
      </c>
      <c r="G16268" s="34" t="n">
        <f aca="false">SUMIFS('12.326ana'!$C:$C,'12.326ana'!$M:$M,redes!A16268)</f>
        <v>0</v>
      </c>
    </row>
    <row r="16269" customFormat="false" ht="14.4" hidden="true" customHeight="false" outlineLevel="0" collapsed="false">
      <c r="A16269" s="34" t="n">
        <v>30978710000151</v>
      </c>
      <c r="B16269" s="34" t="s">
        <v>30090</v>
      </c>
      <c r="C16269" s="34" t="s">
        <v>192</v>
      </c>
      <c r="E16269" s="30" t="s">
        <v>30091</v>
      </c>
      <c r="F16269" s="34" t="n">
        <f aca="false">IFERROR(VLOOKUP($A16269,'319'!$B:$H,7,0),0)</f>
        <v>0</v>
      </c>
      <c r="G16269" s="34" t="n">
        <f aca="false">SUMIFS('12.326ana'!$C:$C,'12.326ana'!$M:$M,redes!A16269)</f>
        <v>0</v>
      </c>
    </row>
    <row r="16270" customFormat="false" ht="14.4" hidden="true" customHeight="false" outlineLevel="0" collapsed="false">
      <c r="A16270" s="34" t="n">
        <v>30979399000165</v>
      </c>
      <c r="B16270" s="34" t="s">
        <v>30092</v>
      </c>
      <c r="C16270" s="34" t="s">
        <v>77</v>
      </c>
      <c r="E16270" s="30" t="s">
        <v>30092</v>
      </c>
      <c r="F16270" s="34" t="n">
        <f aca="false">IFERROR(VLOOKUP($A16270,'319'!$B:$H,7,0),0)</f>
        <v>0</v>
      </c>
      <c r="G16270" s="34" t="n">
        <f aca="false">SUMIFS('12.326ana'!$C:$C,'12.326ana'!$M:$M,redes!A16270)</f>
        <v>0</v>
      </c>
    </row>
    <row r="16271" customFormat="false" ht="14.4" hidden="true" customHeight="false" outlineLevel="0" collapsed="false">
      <c r="A16271" s="34" t="n">
        <v>30987984000107</v>
      </c>
      <c r="B16271" s="34" t="s">
        <v>30093</v>
      </c>
      <c r="C16271" s="34" t="s">
        <v>77</v>
      </c>
      <c r="E16271" s="30" t="s">
        <v>30094</v>
      </c>
      <c r="F16271" s="34" t="n">
        <f aca="false">IFERROR(VLOOKUP($A16271,'319'!$B:$H,7,0),0)</f>
        <v>0</v>
      </c>
      <c r="G16271" s="34" t="n">
        <f aca="false">SUMIFS('12.326ana'!$C:$C,'12.326ana'!$M:$M,redes!A16271)</f>
        <v>0</v>
      </c>
    </row>
    <row r="16272" customFormat="false" ht="14.4" hidden="true" customHeight="false" outlineLevel="0" collapsed="false">
      <c r="A16272" s="34" t="n">
        <v>30994948000170</v>
      </c>
      <c r="B16272" s="34" t="s">
        <v>30095</v>
      </c>
      <c r="C16272" s="34" t="s">
        <v>77</v>
      </c>
      <c r="E16272" s="30" t="s">
        <v>30096</v>
      </c>
      <c r="F16272" s="34" t="n">
        <f aca="false">IFERROR(VLOOKUP($A16272,'319'!$B:$H,7,0),0)</f>
        <v>0</v>
      </c>
      <c r="G16272" s="34" t="n">
        <f aca="false">SUMIFS('12.326ana'!$C:$C,'12.326ana'!$M:$M,redes!A16272)</f>
        <v>0</v>
      </c>
    </row>
    <row r="16273" customFormat="false" ht="14.4" hidden="true" customHeight="false" outlineLevel="0" collapsed="false">
      <c r="A16273" s="34" t="n">
        <v>30995055000140</v>
      </c>
      <c r="B16273" s="34" t="s">
        <v>1043</v>
      </c>
      <c r="C16273" s="34" t="s">
        <v>764</v>
      </c>
      <c r="E16273" s="30" t="s">
        <v>30097</v>
      </c>
      <c r="F16273" s="34" t="n">
        <f aca="false">IFERROR(VLOOKUP($A16273,'319'!$B:$H,7,0),0)</f>
        <v>761.23</v>
      </c>
      <c r="G16273" s="34" t="n">
        <f aca="false">SUMIFS('12.326ana'!$C:$C,'12.326ana'!$M:$M,redes!A16273)</f>
        <v>0</v>
      </c>
    </row>
    <row r="16274" customFormat="false" ht="14.4" hidden="true" customHeight="false" outlineLevel="0" collapsed="false">
      <c r="A16274" s="34" t="n">
        <v>30997223000136</v>
      </c>
      <c r="B16274" s="34" t="s">
        <v>30098</v>
      </c>
      <c r="C16274" s="34" t="s">
        <v>139</v>
      </c>
      <c r="E16274" s="30" t="s">
        <v>30099</v>
      </c>
      <c r="F16274" s="34" t="n">
        <f aca="false">IFERROR(VLOOKUP($A16274,'319'!$B:$H,7,0),0)</f>
        <v>0</v>
      </c>
      <c r="G16274" s="34" t="n">
        <f aca="false">SUMIFS('12.326ana'!$C:$C,'12.326ana'!$M:$M,redes!A16274)</f>
        <v>0</v>
      </c>
    </row>
    <row r="16275" customFormat="false" ht="14.4" hidden="true" customHeight="false" outlineLevel="0" collapsed="false">
      <c r="A16275" s="34" t="n">
        <v>31015403000138</v>
      </c>
      <c r="B16275" s="34" t="s">
        <v>30100</v>
      </c>
      <c r="C16275" s="34" t="s">
        <v>103</v>
      </c>
      <c r="E16275" s="30" t="s">
        <v>30101</v>
      </c>
      <c r="F16275" s="34" t="n">
        <f aca="false">IFERROR(VLOOKUP($A16275,'319'!$B:$H,7,0),0)</f>
        <v>0</v>
      </c>
      <c r="G16275" s="34" t="n">
        <f aca="false">SUMIFS('12.326ana'!$C:$C,'12.326ana'!$M:$M,redes!A16275)</f>
        <v>0</v>
      </c>
    </row>
    <row r="16276" customFormat="false" ht="14.4" hidden="true" customHeight="false" outlineLevel="0" collapsed="false">
      <c r="A16276" s="34" t="n">
        <v>31016307000104</v>
      </c>
      <c r="B16276" s="34" t="s">
        <v>30102</v>
      </c>
      <c r="C16276" s="34" t="s">
        <v>781</v>
      </c>
      <c r="E16276" s="30" t="s">
        <v>16065</v>
      </c>
      <c r="F16276" s="34" t="n">
        <f aca="false">IFERROR(VLOOKUP($A16276,'319'!$B:$H,7,0),0)</f>
        <v>0</v>
      </c>
      <c r="G16276" s="34" t="n">
        <f aca="false">SUMIFS('12.326ana'!$C:$C,'12.326ana'!$M:$M,redes!A16276)</f>
        <v>0</v>
      </c>
    </row>
    <row r="16277" customFormat="false" ht="14.4" hidden="true" customHeight="false" outlineLevel="0" collapsed="false">
      <c r="A16277" s="34" t="n">
        <v>31020493000155</v>
      </c>
      <c r="B16277" s="34" t="s">
        <v>30103</v>
      </c>
      <c r="C16277" s="34" t="s">
        <v>89</v>
      </c>
      <c r="E16277" s="30" t="s">
        <v>30104</v>
      </c>
      <c r="F16277" s="34" t="n">
        <f aca="false">IFERROR(VLOOKUP($A16277,'319'!$B:$H,7,0),0)</f>
        <v>0</v>
      </c>
      <c r="G16277" s="34" t="n">
        <f aca="false">SUMIFS('12.326ana'!$C:$C,'12.326ana'!$M:$M,redes!A16277)</f>
        <v>0</v>
      </c>
    </row>
    <row r="16278" customFormat="false" ht="14.4" hidden="true" customHeight="false" outlineLevel="0" collapsed="false">
      <c r="A16278" s="34" t="n">
        <v>31030481000101</v>
      </c>
      <c r="B16278" s="34" t="s">
        <v>30105</v>
      </c>
      <c r="C16278" s="34" t="s">
        <v>107</v>
      </c>
      <c r="E16278" s="30" t="s">
        <v>27569</v>
      </c>
      <c r="F16278" s="34" t="n">
        <f aca="false">IFERROR(VLOOKUP($A16278,'319'!$B:$H,7,0),0)</f>
        <v>0</v>
      </c>
      <c r="G16278" s="34" t="n">
        <f aca="false">SUMIFS('12.326ana'!$C:$C,'12.326ana'!$M:$M,redes!A16278)</f>
        <v>0</v>
      </c>
    </row>
    <row r="16279" customFormat="false" ht="14.4" hidden="true" customHeight="false" outlineLevel="0" collapsed="false">
      <c r="A16279" s="34" t="n">
        <v>31035143000162</v>
      </c>
      <c r="B16279" s="34" t="s">
        <v>30106</v>
      </c>
      <c r="C16279" s="34" t="s">
        <v>103</v>
      </c>
      <c r="E16279" s="30" t="s">
        <v>30106</v>
      </c>
      <c r="F16279" s="34" t="n">
        <f aca="false">IFERROR(VLOOKUP($A16279,'319'!$B:$H,7,0),0)</f>
        <v>0</v>
      </c>
      <c r="G16279" s="34" t="n">
        <f aca="false">SUMIFS('12.326ana'!$C:$C,'12.326ana'!$M:$M,redes!A16279)</f>
        <v>0</v>
      </c>
    </row>
    <row r="16280" customFormat="false" ht="14.4" hidden="true" customHeight="false" outlineLevel="0" collapsed="false">
      <c r="A16280" s="34" t="n">
        <v>31035608000185</v>
      </c>
      <c r="B16280" s="34" t="s">
        <v>30107</v>
      </c>
      <c r="C16280" s="34" t="s">
        <v>117</v>
      </c>
      <c r="E16280" s="30" t="s">
        <v>30108</v>
      </c>
      <c r="F16280" s="34" t="n">
        <f aca="false">IFERROR(VLOOKUP($A16280,'319'!$B:$H,7,0),0)</f>
        <v>0</v>
      </c>
      <c r="G16280" s="34" t="n">
        <f aca="false">SUMIFS('12.326ana'!$C:$C,'12.326ana'!$M:$M,redes!A16280)</f>
        <v>0</v>
      </c>
    </row>
    <row r="16281" customFormat="false" ht="14.4" hidden="true" customHeight="false" outlineLevel="0" collapsed="false">
      <c r="A16281" s="34" t="n">
        <v>31044093000180</v>
      </c>
      <c r="B16281" s="34" t="s">
        <v>30109</v>
      </c>
      <c r="C16281" s="34" t="s">
        <v>77</v>
      </c>
      <c r="E16281" s="30" t="s">
        <v>30110</v>
      </c>
      <c r="F16281" s="34" t="n">
        <f aca="false">IFERROR(VLOOKUP($A16281,'319'!$B:$H,7,0),0)</f>
        <v>0</v>
      </c>
      <c r="G16281" s="34" t="n">
        <f aca="false">SUMIFS('12.326ana'!$C:$C,'12.326ana'!$M:$M,redes!A16281)</f>
        <v>0</v>
      </c>
    </row>
    <row r="16282" customFormat="false" ht="14.4" hidden="true" customHeight="false" outlineLevel="0" collapsed="false">
      <c r="A16282" s="34" t="n">
        <v>31059434000190</v>
      </c>
      <c r="B16282" s="34" t="s">
        <v>30111</v>
      </c>
      <c r="C16282" s="34" t="s">
        <v>464</v>
      </c>
      <c r="E16282" s="30" t="s">
        <v>30112</v>
      </c>
      <c r="F16282" s="34" t="n">
        <f aca="false">IFERROR(VLOOKUP($A16282,'319'!$B:$H,7,0),0)</f>
        <v>0</v>
      </c>
      <c r="G16282" s="34" t="n">
        <f aca="false">SUMIFS('12.326ana'!$C:$C,'12.326ana'!$M:$M,redes!A16282)</f>
        <v>0</v>
      </c>
    </row>
    <row r="16283" customFormat="false" ht="14.4" hidden="true" customHeight="false" outlineLevel="0" collapsed="false">
      <c r="A16283" s="34" t="n">
        <v>31061205000100</v>
      </c>
      <c r="B16283" s="34" t="s">
        <v>30113</v>
      </c>
      <c r="C16283" s="34" t="s">
        <v>139</v>
      </c>
      <c r="E16283" s="30" t="s">
        <v>30114</v>
      </c>
      <c r="F16283" s="34" t="n">
        <f aca="false">IFERROR(VLOOKUP($A16283,'319'!$B:$H,7,0),0)</f>
        <v>0</v>
      </c>
      <c r="G16283" s="34" t="n">
        <f aca="false">SUMIFS('12.326ana'!$C:$C,'12.326ana'!$M:$M,redes!A16283)</f>
        <v>0</v>
      </c>
    </row>
    <row r="16284" customFormat="false" ht="14.4" hidden="true" customHeight="false" outlineLevel="0" collapsed="false">
      <c r="A16284" s="34" t="n">
        <v>31065920000111</v>
      </c>
      <c r="B16284" s="34" t="s">
        <v>30115</v>
      </c>
      <c r="C16284" s="34" t="s">
        <v>77</v>
      </c>
      <c r="E16284" s="30" t="s">
        <v>7143</v>
      </c>
      <c r="F16284" s="34" t="n">
        <f aca="false">IFERROR(VLOOKUP($A16284,'319'!$B:$H,7,0),0)</f>
        <v>0</v>
      </c>
      <c r="G16284" s="34" t="n">
        <f aca="false">SUMIFS('12.326ana'!$C:$C,'12.326ana'!$M:$M,redes!A16284)</f>
        <v>0</v>
      </c>
    </row>
    <row r="16285" customFormat="false" ht="14.4" hidden="true" customHeight="false" outlineLevel="0" collapsed="false">
      <c r="A16285" s="34" t="n">
        <v>31071405000144</v>
      </c>
      <c r="B16285" s="34" t="s">
        <v>30116</v>
      </c>
      <c r="C16285" s="34" t="s">
        <v>1272</v>
      </c>
      <c r="E16285" s="30" t="s">
        <v>30117</v>
      </c>
      <c r="F16285" s="34" t="n">
        <f aca="false">IFERROR(VLOOKUP($A16285,'319'!$B:$H,7,0),0)</f>
        <v>0</v>
      </c>
      <c r="G16285" s="34" t="n">
        <f aca="false">SUMIFS('12.326ana'!$C:$C,'12.326ana'!$M:$M,redes!A16285)</f>
        <v>0</v>
      </c>
    </row>
    <row r="16286" customFormat="false" ht="14.4" hidden="true" customHeight="false" outlineLevel="0" collapsed="false">
      <c r="A16286" s="34" t="n">
        <v>31095365000170</v>
      </c>
      <c r="B16286" s="34" t="s">
        <v>30118</v>
      </c>
      <c r="C16286" s="34" t="s">
        <v>77</v>
      </c>
      <c r="E16286" s="30" t="s">
        <v>30119</v>
      </c>
      <c r="F16286" s="34" t="n">
        <f aca="false">IFERROR(VLOOKUP($A16286,'319'!$B:$H,7,0),0)</f>
        <v>0</v>
      </c>
      <c r="G16286" s="34" t="n">
        <f aca="false">SUMIFS('12.326ana'!$C:$C,'12.326ana'!$M:$M,redes!A16286)</f>
        <v>0</v>
      </c>
    </row>
    <row r="16287" customFormat="false" ht="14.4" hidden="true" customHeight="false" outlineLevel="0" collapsed="false">
      <c r="A16287" s="34" t="n">
        <v>31103951000110</v>
      </c>
      <c r="B16287" s="34" t="s">
        <v>30120</v>
      </c>
      <c r="C16287" s="34" t="s">
        <v>77</v>
      </c>
      <c r="E16287" s="30" t="s">
        <v>30121</v>
      </c>
      <c r="F16287" s="34" t="n">
        <f aca="false">IFERROR(VLOOKUP($A16287,'319'!$B:$H,7,0),0)</f>
        <v>0</v>
      </c>
      <c r="G16287" s="34" t="n">
        <f aca="false">SUMIFS('12.326ana'!$C:$C,'12.326ana'!$M:$M,redes!A16287)</f>
        <v>0</v>
      </c>
    </row>
    <row r="16288" customFormat="false" ht="14.4" hidden="true" customHeight="false" outlineLevel="0" collapsed="false">
      <c r="A16288" s="34" t="n">
        <v>31105857000108</v>
      </c>
      <c r="B16288" s="34" t="s">
        <v>30122</v>
      </c>
      <c r="C16288" s="34" t="s">
        <v>197</v>
      </c>
      <c r="E16288" s="30" t="s">
        <v>30123</v>
      </c>
      <c r="F16288" s="34" t="n">
        <f aca="false">IFERROR(VLOOKUP($A16288,'319'!$B:$H,7,0),0)</f>
        <v>0</v>
      </c>
      <c r="G16288" s="34" t="n">
        <f aca="false">SUMIFS('12.326ana'!$C:$C,'12.326ana'!$M:$M,redes!A16288)</f>
        <v>0</v>
      </c>
    </row>
    <row r="16289" customFormat="false" ht="14.4" hidden="true" customHeight="false" outlineLevel="0" collapsed="false">
      <c r="A16289" s="34" t="n">
        <v>31114925000197</v>
      </c>
      <c r="B16289" s="34" t="s">
        <v>30124</v>
      </c>
      <c r="C16289" s="34" t="s">
        <v>77</v>
      </c>
      <c r="E16289" s="30" t="s">
        <v>30125</v>
      </c>
      <c r="F16289" s="34" t="n">
        <f aca="false">IFERROR(VLOOKUP($A16289,'319'!$B:$H,7,0),0)</f>
        <v>0</v>
      </c>
      <c r="G16289" s="34" t="n">
        <f aca="false">SUMIFS('12.326ana'!$C:$C,'12.326ana'!$M:$M,redes!A16289)</f>
        <v>0</v>
      </c>
    </row>
    <row r="16290" customFormat="false" ht="14.4" hidden="true" customHeight="false" outlineLevel="0" collapsed="false">
      <c r="A16290" s="34" t="n">
        <v>31120833000110</v>
      </c>
      <c r="B16290" s="34" t="s">
        <v>30126</v>
      </c>
      <c r="C16290" s="34" t="s">
        <v>192</v>
      </c>
      <c r="E16290" s="30" t="s">
        <v>30127</v>
      </c>
      <c r="F16290" s="34" t="n">
        <f aca="false">IFERROR(VLOOKUP($A16290,'319'!$B:$H,7,0),0)</f>
        <v>0</v>
      </c>
      <c r="G16290" s="34" t="n">
        <f aca="false">SUMIFS('12.326ana'!$C:$C,'12.326ana'!$M:$M,redes!A16290)</f>
        <v>0</v>
      </c>
    </row>
    <row r="16291" customFormat="false" ht="14.4" hidden="true" customHeight="false" outlineLevel="0" collapsed="false">
      <c r="A16291" s="34" t="n">
        <v>31122711000162</v>
      </c>
      <c r="B16291" s="34" t="s">
        <v>30128</v>
      </c>
      <c r="C16291" s="34" t="s">
        <v>77</v>
      </c>
      <c r="E16291" s="30" t="s">
        <v>30129</v>
      </c>
      <c r="F16291" s="34" t="n">
        <f aca="false">IFERROR(VLOOKUP($A16291,'319'!$B:$H,7,0),0)</f>
        <v>0</v>
      </c>
      <c r="G16291" s="34" t="n">
        <f aca="false">SUMIFS('12.326ana'!$C:$C,'12.326ana'!$M:$M,redes!A16291)</f>
        <v>0</v>
      </c>
    </row>
    <row r="16292" customFormat="false" ht="14.4" hidden="true" customHeight="false" outlineLevel="0" collapsed="false">
      <c r="A16292" s="34" t="n">
        <v>31124014000140</v>
      </c>
      <c r="B16292" s="34" t="s">
        <v>30130</v>
      </c>
      <c r="C16292" s="34" t="s">
        <v>77</v>
      </c>
      <c r="E16292" s="30" t="s">
        <v>30131</v>
      </c>
      <c r="F16292" s="34" t="n">
        <f aca="false">IFERROR(VLOOKUP($A16292,'319'!$B:$H,7,0),0)</f>
        <v>0</v>
      </c>
      <c r="G16292" s="34" t="n">
        <f aca="false">SUMIFS('12.326ana'!$C:$C,'12.326ana'!$M:$M,redes!A16292)</f>
        <v>0</v>
      </c>
    </row>
    <row r="16293" customFormat="false" ht="14.4" hidden="true" customHeight="false" outlineLevel="0" collapsed="false">
      <c r="A16293" s="34" t="n">
        <v>31124193000116</v>
      </c>
      <c r="B16293" s="34" t="s">
        <v>30132</v>
      </c>
      <c r="C16293" s="34" t="s">
        <v>89</v>
      </c>
      <c r="E16293" s="30" t="s">
        <v>30133</v>
      </c>
      <c r="F16293" s="34" t="n">
        <f aca="false">IFERROR(VLOOKUP($A16293,'319'!$B:$H,7,0),0)</f>
        <v>0</v>
      </c>
      <c r="G16293" s="34" t="n">
        <f aca="false">SUMIFS('12.326ana'!$C:$C,'12.326ana'!$M:$M,redes!A16293)</f>
        <v>0</v>
      </c>
    </row>
    <row r="16294" customFormat="false" ht="14.4" hidden="true" customHeight="false" outlineLevel="0" collapsed="false">
      <c r="A16294" s="34" t="n">
        <v>31127656000101</v>
      </c>
      <c r="B16294" s="34" t="s">
        <v>30134</v>
      </c>
      <c r="C16294" s="34" t="s">
        <v>77</v>
      </c>
      <c r="E16294" s="30" t="s">
        <v>30135</v>
      </c>
      <c r="F16294" s="34" t="n">
        <f aca="false">IFERROR(VLOOKUP($A16294,'319'!$B:$H,7,0),0)</f>
        <v>0</v>
      </c>
      <c r="G16294" s="34" t="n">
        <f aca="false">SUMIFS('12.326ana'!$C:$C,'12.326ana'!$M:$M,redes!A16294)</f>
        <v>0</v>
      </c>
    </row>
    <row r="16295" customFormat="false" ht="14.4" hidden="true" customHeight="false" outlineLevel="0" collapsed="false">
      <c r="A16295" s="34" t="n">
        <v>31134904000133</v>
      </c>
      <c r="B16295" s="34" t="s">
        <v>30136</v>
      </c>
      <c r="C16295" s="34" t="s">
        <v>77</v>
      </c>
      <c r="E16295" s="30" t="s">
        <v>30137</v>
      </c>
      <c r="F16295" s="34" t="n">
        <f aca="false">IFERROR(VLOOKUP($A16295,'319'!$B:$H,7,0),0)</f>
        <v>0</v>
      </c>
      <c r="G16295" s="34" t="n">
        <f aca="false">SUMIFS('12.326ana'!$C:$C,'12.326ana'!$M:$M,redes!A16295)</f>
        <v>0</v>
      </c>
    </row>
    <row r="16296" customFormat="false" ht="14.4" hidden="true" customHeight="false" outlineLevel="0" collapsed="false">
      <c r="A16296" s="34" t="n">
        <v>31135665000136</v>
      </c>
      <c r="B16296" s="34" t="s">
        <v>30138</v>
      </c>
      <c r="C16296" s="34" t="s">
        <v>77</v>
      </c>
      <c r="E16296" s="30" t="s">
        <v>30139</v>
      </c>
      <c r="F16296" s="34" t="n">
        <f aca="false">IFERROR(VLOOKUP($A16296,'319'!$B:$H,7,0),0)</f>
        <v>0</v>
      </c>
      <c r="G16296" s="34" t="n">
        <f aca="false">SUMIFS('12.326ana'!$C:$C,'12.326ana'!$M:$M,redes!A16296)</f>
        <v>0</v>
      </c>
    </row>
    <row r="16297" customFormat="false" ht="14.4" hidden="true" customHeight="false" outlineLevel="0" collapsed="false">
      <c r="A16297" s="34" t="n">
        <v>31138037000104</v>
      </c>
      <c r="B16297" s="34" t="s">
        <v>30140</v>
      </c>
      <c r="C16297" s="34" t="s">
        <v>192</v>
      </c>
      <c r="E16297" s="30" t="s">
        <v>30141</v>
      </c>
      <c r="F16297" s="34" t="n">
        <f aca="false">IFERROR(VLOOKUP($A16297,'319'!$B:$H,7,0),0)</f>
        <v>0</v>
      </c>
      <c r="G16297" s="34" t="n">
        <f aca="false">SUMIFS('12.326ana'!$C:$C,'12.326ana'!$M:$M,redes!A16297)</f>
        <v>0</v>
      </c>
    </row>
    <row r="16298" customFormat="false" ht="14.4" hidden="true" customHeight="false" outlineLevel="0" collapsed="false">
      <c r="A16298" s="34" t="n">
        <v>31140112000171</v>
      </c>
      <c r="B16298" s="34" t="s">
        <v>30142</v>
      </c>
      <c r="C16298" s="34" t="s">
        <v>77</v>
      </c>
      <c r="E16298" s="30" t="s">
        <v>30143</v>
      </c>
      <c r="F16298" s="34" t="n">
        <f aca="false">IFERROR(VLOOKUP($A16298,'319'!$B:$H,7,0),0)</f>
        <v>159.47</v>
      </c>
      <c r="G16298" s="34" t="n">
        <f aca="false">SUMIFS('12.326ana'!$C:$C,'12.326ana'!$M:$M,redes!A16298)</f>
        <v>0</v>
      </c>
    </row>
    <row r="16299" customFormat="false" ht="14.4" hidden="true" customHeight="false" outlineLevel="0" collapsed="false">
      <c r="A16299" s="34" t="n">
        <v>31147798000122</v>
      </c>
      <c r="B16299" s="34" t="s">
        <v>30144</v>
      </c>
      <c r="C16299" s="34" t="s">
        <v>107</v>
      </c>
      <c r="D16299" s="34" t="s">
        <v>30145</v>
      </c>
      <c r="E16299" s="30" t="s">
        <v>30146</v>
      </c>
      <c r="F16299" s="34" t="n">
        <f aca="false">IFERROR(VLOOKUP($A16299,'319'!$B:$H,7,0),0)</f>
        <v>1439.18</v>
      </c>
      <c r="G16299" s="34" t="n">
        <f aca="false">SUMIFS('12.326ana'!$C:$C,'12.326ana'!$M:$M,redes!A16299)</f>
        <v>0</v>
      </c>
    </row>
    <row r="16300" customFormat="false" ht="14.4" hidden="true" customHeight="false" outlineLevel="0" collapsed="false">
      <c r="A16300" s="34" t="n">
        <v>31147798000203</v>
      </c>
      <c r="B16300" s="34" t="s">
        <v>30144</v>
      </c>
      <c r="C16300" s="34" t="s">
        <v>107</v>
      </c>
      <c r="D16300" s="34" t="s">
        <v>30145</v>
      </c>
      <c r="E16300" s="30" t="s">
        <v>30147</v>
      </c>
      <c r="F16300" s="34" t="n">
        <f aca="false">IFERROR(VLOOKUP($A16300,'319'!$B:$H,7,0),0)</f>
        <v>0</v>
      </c>
      <c r="G16300" s="34" t="n">
        <f aca="false">SUMIFS('12.326ana'!$C:$C,'12.326ana'!$M:$M,redes!A16300)</f>
        <v>0</v>
      </c>
    </row>
    <row r="16301" customFormat="false" ht="14.4" hidden="true" customHeight="false" outlineLevel="0" collapsed="false">
      <c r="A16301" s="34" t="n">
        <v>31160629000122</v>
      </c>
      <c r="B16301" s="34" t="s">
        <v>30148</v>
      </c>
      <c r="C16301" s="34" t="s">
        <v>77</v>
      </c>
      <c r="E16301" s="30" t="s">
        <v>30149</v>
      </c>
      <c r="F16301" s="34" t="n">
        <f aca="false">IFERROR(VLOOKUP($A16301,'319'!$B:$H,7,0),0)</f>
        <v>0</v>
      </c>
      <c r="G16301" s="34" t="n">
        <f aca="false">SUMIFS('12.326ana'!$C:$C,'12.326ana'!$M:$M,redes!A16301)</f>
        <v>0</v>
      </c>
    </row>
    <row r="16302" customFormat="false" ht="14.4" hidden="true" customHeight="false" outlineLevel="0" collapsed="false">
      <c r="A16302" s="34" t="n">
        <v>31170487000184</v>
      </c>
      <c r="B16302" s="34" t="s">
        <v>30150</v>
      </c>
      <c r="C16302" s="34" t="s">
        <v>77</v>
      </c>
      <c r="E16302" s="30" t="s">
        <v>30151</v>
      </c>
      <c r="F16302" s="34" t="n">
        <f aca="false">IFERROR(VLOOKUP($A16302,'319'!$B:$H,7,0),0)</f>
        <v>0</v>
      </c>
      <c r="G16302" s="34" t="n">
        <f aca="false">SUMIFS('12.326ana'!$C:$C,'12.326ana'!$M:$M,redes!A16302)</f>
        <v>0</v>
      </c>
    </row>
    <row r="16303" customFormat="false" ht="14.4" hidden="true" customHeight="false" outlineLevel="0" collapsed="false">
      <c r="A16303" s="34" t="n">
        <v>31171199000144</v>
      </c>
      <c r="B16303" s="34" t="s">
        <v>30152</v>
      </c>
      <c r="C16303" s="34" t="s">
        <v>139</v>
      </c>
      <c r="E16303" s="30" t="s">
        <v>30153</v>
      </c>
      <c r="F16303" s="34" t="n">
        <f aca="false">IFERROR(VLOOKUP($A16303,'319'!$B:$H,7,0),0)</f>
        <v>0</v>
      </c>
      <c r="G16303" s="34" t="n">
        <f aca="false">SUMIFS('12.326ana'!$C:$C,'12.326ana'!$M:$M,redes!A16303)</f>
        <v>0</v>
      </c>
    </row>
    <row r="16304" customFormat="false" ht="14.4" hidden="true" customHeight="false" outlineLevel="0" collapsed="false">
      <c r="A16304" s="34" t="n">
        <v>31176462000198</v>
      </c>
      <c r="B16304" s="34" t="s">
        <v>30154</v>
      </c>
      <c r="C16304" s="34" t="s">
        <v>77</v>
      </c>
      <c r="E16304" s="30" t="s">
        <v>30155</v>
      </c>
      <c r="F16304" s="34" t="n">
        <f aca="false">IFERROR(VLOOKUP($A16304,'319'!$B:$H,7,0),0)</f>
        <v>0</v>
      </c>
      <c r="G16304" s="34" t="n">
        <f aca="false">SUMIFS('12.326ana'!$C:$C,'12.326ana'!$M:$M,redes!A16304)</f>
        <v>0</v>
      </c>
    </row>
    <row r="16305" customFormat="false" ht="14.4" hidden="true" customHeight="false" outlineLevel="0" collapsed="false">
      <c r="A16305" s="34" t="n">
        <v>31187709000171</v>
      </c>
      <c r="B16305" s="34" t="s">
        <v>30156</v>
      </c>
      <c r="C16305" s="34" t="s">
        <v>77</v>
      </c>
      <c r="E16305" s="30" t="s">
        <v>30157</v>
      </c>
      <c r="F16305" s="34" t="n">
        <f aca="false">IFERROR(VLOOKUP($A16305,'319'!$B:$H,7,0),0)</f>
        <v>0</v>
      </c>
      <c r="G16305" s="34" t="n">
        <f aca="false">SUMIFS('12.326ana'!$C:$C,'12.326ana'!$M:$M,redes!A16305)</f>
        <v>0</v>
      </c>
    </row>
    <row r="16306" customFormat="false" ht="14.4" hidden="true" customHeight="false" outlineLevel="0" collapsed="false">
      <c r="A16306" s="34" t="n">
        <v>31189086000176</v>
      </c>
      <c r="B16306" s="34" t="s">
        <v>30158</v>
      </c>
      <c r="C16306" s="34" t="s">
        <v>107</v>
      </c>
      <c r="E16306" s="30" t="s">
        <v>30159</v>
      </c>
      <c r="F16306" s="34" t="n">
        <f aca="false">IFERROR(VLOOKUP($A16306,'319'!$B:$H,7,0),0)</f>
        <v>0</v>
      </c>
      <c r="G16306" s="34" t="n">
        <f aca="false">SUMIFS('12.326ana'!$C:$C,'12.326ana'!$M:$M,redes!A16306)</f>
        <v>0</v>
      </c>
    </row>
    <row r="16307" customFormat="false" ht="14.4" hidden="true" customHeight="false" outlineLevel="0" collapsed="false">
      <c r="A16307" s="34" t="n">
        <v>31190962000184</v>
      </c>
      <c r="B16307" s="34" t="s">
        <v>30160</v>
      </c>
      <c r="C16307" s="34" t="s">
        <v>139</v>
      </c>
      <c r="E16307" s="30" t="s">
        <v>30161</v>
      </c>
      <c r="F16307" s="34" t="n">
        <f aca="false">IFERROR(VLOOKUP($A16307,'319'!$B:$H,7,0),0)</f>
        <v>0</v>
      </c>
      <c r="G16307" s="34" t="n">
        <f aca="false">SUMIFS('12.326ana'!$C:$C,'12.326ana'!$M:$M,redes!A16307)</f>
        <v>0</v>
      </c>
    </row>
    <row r="16308" customFormat="false" ht="14.4" hidden="true" customHeight="false" outlineLevel="0" collapsed="false">
      <c r="A16308" s="34" t="n">
        <v>31191298000198</v>
      </c>
      <c r="B16308" s="34" t="s">
        <v>30162</v>
      </c>
      <c r="C16308" s="34" t="s">
        <v>77</v>
      </c>
      <c r="E16308" s="30" t="s">
        <v>30163</v>
      </c>
      <c r="F16308" s="34" t="n">
        <f aca="false">IFERROR(VLOOKUP($A16308,'319'!$B:$H,7,0),0)</f>
        <v>0</v>
      </c>
      <c r="G16308" s="34" t="n">
        <f aca="false">SUMIFS('12.326ana'!$C:$C,'12.326ana'!$M:$M,redes!A16308)</f>
        <v>0</v>
      </c>
    </row>
    <row r="16309" customFormat="false" ht="14.4" hidden="true" customHeight="false" outlineLevel="0" collapsed="false">
      <c r="A16309" s="34" t="n">
        <v>31205220000185</v>
      </c>
      <c r="B16309" s="34" t="s">
        <v>30164</v>
      </c>
      <c r="C16309" s="34" t="s">
        <v>103</v>
      </c>
      <c r="E16309" s="30" t="s">
        <v>30165</v>
      </c>
      <c r="F16309" s="34" t="n">
        <f aca="false">IFERROR(VLOOKUP($A16309,'319'!$B:$H,7,0),0)</f>
        <v>0</v>
      </c>
      <c r="G16309" s="34" t="n">
        <f aca="false">SUMIFS('12.326ana'!$C:$C,'12.326ana'!$M:$M,redes!A16309)</f>
        <v>0</v>
      </c>
    </row>
    <row r="16310" customFormat="false" ht="14.4" hidden="true" customHeight="false" outlineLevel="0" collapsed="false">
      <c r="A16310" s="34" t="n">
        <v>31232163000123</v>
      </c>
      <c r="B16310" s="34" t="s">
        <v>30166</v>
      </c>
      <c r="C16310" s="34" t="s">
        <v>77</v>
      </c>
      <c r="E16310" s="30" t="s">
        <v>30166</v>
      </c>
      <c r="F16310" s="34" t="n">
        <f aca="false">IFERROR(VLOOKUP($A16310,'319'!$B:$H,7,0),0)</f>
        <v>0</v>
      </c>
      <c r="G16310" s="34" t="n">
        <f aca="false">SUMIFS('12.326ana'!$C:$C,'12.326ana'!$M:$M,redes!A16310)</f>
        <v>0</v>
      </c>
    </row>
    <row r="16311" customFormat="false" ht="14.4" hidden="true" customHeight="false" outlineLevel="0" collapsed="false">
      <c r="A16311" s="34" t="n">
        <v>31232392000148</v>
      </c>
      <c r="B16311" s="34" t="s">
        <v>30167</v>
      </c>
      <c r="C16311" s="34" t="s">
        <v>77</v>
      </c>
      <c r="E16311" s="30" t="s">
        <v>30168</v>
      </c>
      <c r="F16311" s="34" t="n">
        <f aca="false">IFERROR(VLOOKUP($A16311,'319'!$B:$H,7,0),0)</f>
        <v>0</v>
      </c>
      <c r="G16311" s="34" t="n">
        <f aca="false">SUMIFS('12.326ana'!$C:$C,'12.326ana'!$M:$M,redes!A16311)</f>
        <v>0</v>
      </c>
    </row>
    <row r="16312" customFormat="false" ht="14.4" hidden="true" customHeight="false" outlineLevel="0" collapsed="false">
      <c r="A16312" s="34" t="n">
        <v>31239751000199</v>
      </c>
      <c r="B16312" s="34" t="s">
        <v>30169</v>
      </c>
      <c r="C16312" s="34" t="s">
        <v>77</v>
      </c>
      <c r="E16312" s="30" t="s">
        <v>30170</v>
      </c>
      <c r="F16312" s="34" t="n">
        <f aca="false">IFERROR(VLOOKUP($A16312,'319'!$B:$H,7,0),0)</f>
        <v>0</v>
      </c>
      <c r="G16312" s="34" t="n">
        <f aca="false">SUMIFS('12.326ana'!$C:$C,'12.326ana'!$M:$M,redes!A16312)</f>
        <v>0</v>
      </c>
    </row>
    <row r="16313" customFormat="false" ht="14.4" hidden="true" customHeight="false" outlineLevel="0" collapsed="false">
      <c r="A16313" s="34" t="n">
        <v>31268888000171</v>
      </c>
      <c r="B16313" s="34" t="s">
        <v>9567</v>
      </c>
      <c r="C16313" s="34" t="s">
        <v>77</v>
      </c>
      <c r="E16313" s="30" t="s">
        <v>30171</v>
      </c>
      <c r="F16313" s="34" t="n">
        <f aca="false">IFERROR(VLOOKUP($A16313,'319'!$B:$H,7,0),0)</f>
        <v>0</v>
      </c>
      <c r="G16313" s="34" t="n">
        <f aca="false">SUMIFS('12.326ana'!$C:$C,'12.326ana'!$M:$M,redes!A16313)</f>
        <v>0</v>
      </c>
    </row>
    <row r="16314" customFormat="false" ht="14.4" hidden="true" customHeight="false" outlineLevel="0" collapsed="false">
      <c r="A16314" s="34" t="n">
        <v>31278557000112</v>
      </c>
      <c r="B16314" s="34" t="s">
        <v>30172</v>
      </c>
      <c r="C16314" s="34" t="s">
        <v>77</v>
      </c>
      <c r="E16314" s="30" t="s">
        <v>30173</v>
      </c>
      <c r="F16314" s="34" t="n">
        <f aca="false">IFERROR(VLOOKUP($A16314,'319'!$B:$H,7,0),0)</f>
        <v>0</v>
      </c>
      <c r="G16314" s="34" t="n">
        <f aca="false">SUMIFS('12.326ana'!$C:$C,'12.326ana'!$M:$M,redes!A16314)</f>
        <v>0</v>
      </c>
    </row>
    <row r="16315" customFormat="false" ht="14.4" hidden="true" customHeight="false" outlineLevel="0" collapsed="false">
      <c r="A16315" s="34" t="n">
        <v>31287586000140</v>
      </c>
      <c r="B16315" s="34" t="s">
        <v>30174</v>
      </c>
      <c r="C16315" s="34" t="s">
        <v>77</v>
      </c>
      <c r="E16315" s="30" t="s">
        <v>30175</v>
      </c>
      <c r="F16315" s="34" t="n">
        <f aca="false">IFERROR(VLOOKUP($A16315,'319'!$B:$H,7,0),0)</f>
        <v>0</v>
      </c>
      <c r="G16315" s="34" t="n">
        <f aca="false">SUMIFS('12.326ana'!$C:$C,'12.326ana'!$M:$M,redes!A16315)</f>
        <v>0</v>
      </c>
    </row>
    <row r="16316" customFormat="false" ht="14.4" hidden="true" customHeight="false" outlineLevel="0" collapsed="false">
      <c r="A16316" s="34" t="n">
        <v>31291379000160</v>
      </c>
      <c r="B16316" s="34" t="s">
        <v>30176</v>
      </c>
      <c r="C16316" s="34" t="s">
        <v>77</v>
      </c>
      <c r="E16316" s="30" t="s">
        <v>30177</v>
      </c>
      <c r="F16316" s="34" t="n">
        <f aca="false">IFERROR(VLOOKUP($A16316,'319'!$B:$H,7,0),0)</f>
        <v>0</v>
      </c>
      <c r="G16316" s="34" t="n">
        <f aca="false">SUMIFS('12.326ana'!$C:$C,'12.326ana'!$M:$M,redes!A16316)</f>
        <v>0</v>
      </c>
    </row>
    <row r="16317" customFormat="false" ht="14.4" hidden="true" customHeight="false" outlineLevel="0" collapsed="false">
      <c r="A16317" s="34" t="n">
        <v>31298163000126</v>
      </c>
      <c r="B16317" s="34" t="s">
        <v>30178</v>
      </c>
      <c r="C16317" s="34" t="s">
        <v>77</v>
      </c>
      <c r="E16317" s="30" t="s">
        <v>30179</v>
      </c>
      <c r="F16317" s="34" t="n">
        <f aca="false">IFERROR(VLOOKUP($A16317,'319'!$B:$H,7,0),0)</f>
        <v>0</v>
      </c>
      <c r="G16317" s="34" t="n">
        <f aca="false">SUMIFS('12.326ana'!$C:$C,'12.326ana'!$M:$M,redes!A16317)</f>
        <v>0</v>
      </c>
    </row>
    <row r="16318" customFormat="false" ht="14.4" hidden="true" customHeight="false" outlineLevel="0" collapsed="false">
      <c r="A16318" s="34" t="n">
        <v>31324885000108</v>
      </c>
      <c r="B16318" s="34" t="s">
        <v>30180</v>
      </c>
      <c r="C16318" s="34" t="s">
        <v>107</v>
      </c>
      <c r="E16318" s="30" t="s">
        <v>20612</v>
      </c>
      <c r="F16318" s="34" t="n">
        <f aca="false">IFERROR(VLOOKUP($A16318,'319'!$B:$H,7,0),0)</f>
        <v>0</v>
      </c>
      <c r="G16318" s="34" t="n">
        <f aca="false">SUMIFS('12.326ana'!$C:$C,'12.326ana'!$M:$M,redes!A16318)</f>
        <v>0</v>
      </c>
    </row>
    <row r="16319" customFormat="false" ht="14.4" hidden="true" customHeight="false" outlineLevel="0" collapsed="false">
      <c r="A16319" s="34" t="n">
        <v>31325352000140</v>
      </c>
      <c r="B16319" s="34" t="s">
        <v>30181</v>
      </c>
      <c r="C16319" s="34" t="s">
        <v>77</v>
      </c>
      <c r="E16319" s="30" t="s">
        <v>30182</v>
      </c>
      <c r="F16319" s="34" t="n">
        <f aca="false">IFERROR(VLOOKUP($A16319,'319'!$B:$H,7,0),0)</f>
        <v>0</v>
      </c>
      <c r="G16319" s="34" t="n">
        <f aca="false">SUMIFS('12.326ana'!$C:$C,'12.326ana'!$M:$M,redes!A16319)</f>
        <v>0</v>
      </c>
    </row>
    <row r="16320" customFormat="false" ht="14.4" hidden="true" customHeight="false" outlineLevel="0" collapsed="false">
      <c r="A16320" s="34" t="n">
        <v>31327173000142</v>
      </c>
      <c r="B16320" s="34" t="s">
        <v>30183</v>
      </c>
      <c r="C16320" s="34" t="s">
        <v>77</v>
      </c>
      <c r="E16320" s="30" t="s">
        <v>30184</v>
      </c>
      <c r="F16320" s="34" t="n">
        <f aca="false">IFERROR(VLOOKUP($A16320,'319'!$B:$H,7,0),0)</f>
        <v>0</v>
      </c>
      <c r="G16320" s="34" t="n">
        <f aca="false">SUMIFS('12.326ana'!$C:$C,'12.326ana'!$M:$M,redes!A16320)</f>
        <v>0</v>
      </c>
    </row>
    <row r="16321" customFormat="false" ht="14.4" hidden="true" customHeight="false" outlineLevel="0" collapsed="false">
      <c r="A16321" s="34" t="n">
        <v>31329144000110</v>
      </c>
      <c r="B16321" s="34" t="s">
        <v>30185</v>
      </c>
      <c r="C16321" s="34" t="s">
        <v>77</v>
      </c>
      <c r="E16321" s="30" t="s">
        <v>15506</v>
      </c>
      <c r="F16321" s="34" t="n">
        <f aca="false">IFERROR(VLOOKUP($A16321,'319'!$B:$H,7,0),0)</f>
        <v>0</v>
      </c>
      <c r="G16321" s="34" t="n">
        <f aca="false">SUMIFS('12.326ana'!$C:$C,'12.326ana'!$M:$M,redes!A16321)</f>
        <v>0</v>
      </c>
    </row>
    <row r="16322" customFormat="false" ht="14.4" hidden="true" customHeight="false" outlineLevel="0" collapsed="false">
      <c r="A16322" s="34" t="n">
        <v>31343527000142</v>
      </c>
      <c r="B16322" s="34" t="s">
        <v>30186</v>
      </c>
      <c r="C16322" s="34" t="s">
        <v>604</v>
      </c>
      <c r="E16322" s="30" t="s">
        <v>30187</v>
      </c>
      <c r="F16322" s="34" t="n">
        <f aca="false">IFERROR(VLOOKUP($A16322,'319'!$B:$H,7,0),0)</f>
        <v>0</v>
      </c>
      <c r="G16322" s="34" t="n">
        <f aca="false">SUMIFS('12.326ana'!$C:$C,'12.326ana'!$M:$M,redes!A16322)</f>
        <v>0</v>
      </c>
    </row>
    <row r="16323" customFormat="false" ht="14.4" hidden="true" customHeight="false" outlineLevel="0" collapsed="false">
      <c r="A16323" s="34" t="n">
        <v>31343527000223</v>
      </c>
      <c r="B16323" s="34" t="s">
        <v>30188</v>
      </c>
      <c r="C16323" s="34" t="s">
        <v>594</v>
      </c>
      <c r="E16323" s="30" t="s">
        <v>30189</v>
      </c>
      <c r="F16323" s="34" t="n">
        <f aca="false">IFERROR(VLOOKUP($A16323,'319'!$B:$H,7,0),0)</f>
        <v>0</v>
      </c>
      <c r="G16323" s="34" t="n">
        <f aca="false">SUMIFS('12.326ana'!$C:$C,'12.326ana'!$M:$M,redes!A16323)</f>
        <v>0</v>
      </c>
    </row>
    <row r="16324" customFormat="false" ht="14.4" hidden="true" customHeight="false" outlineLevel="0" collapsed="false">
      <c r="A16324" s="34" t="n">
        <v>31356597000135</v>
      </c>
      <c r="B16324" s="34" t="s">
        <v>30190</v>
      </c>
      <c r="C16324" s="34" t="s">
        <v>4462</v>
      </c>
      <c r="E16324" s="30" t="s">
        <v>30191</v>
      </c>
      <c r="F16324" s="34" t="n">
        <f aca="false">IFERROR(VLOOKUP($A16324,'319'!$B:$H,7,0),0)</f>
        <v>0</v>
      </c>
      <c r="G16324" s="34" t="n">
        <f aca="false">SUMIFS('12.326ana'!$C:$C,'12.326ana'!$M:$M,redes!A16324)</f>
        <v>0</v>
      </c>
    </row>
    <row r="16325" customFormat="false" ht="14.4" hidden="true" customHeight="false" outlineLevel="0" collapsed="false">
      <c r="A16325" s="34" t="n">
        <v>31392637000102</v>
      </c>
      <c r="B16325" s="34" t="s">
        <v>30192</v>
      </c>
      <c r="C16325" s="34" t="s">
        <v>954</v>
      </c>
      <c r="E16325" s="30" t="s">
        <v>30193</v>
      </c>
      <c r="F16325" s="34" t="n">
        <f aca="false">IFERROR(VLOOKUP($A16325,'319'!$B:$H,7,0),0)</f>
        <v>0</v>
      </c>
      <c r="G16325" s="34" t="n">
        <f aca="false">SUMIFS('12.326ana'!$C:$C,'12.326ana'!$M:$M,redes!A16325)</f>
        <v>0</v>
      </c>
    </row>
    <row r="16326" customFormat="false" ht="14.4" hidden="true" customHeight="false" outlineLevel="0" collapsed="false">
      <c r="A16326" s="34" t="n">
        <v>31392955000165</v>
      </c>
      <c r="B16326" s="34" t="s">
        <v>30194</v>
      </c>
      <c r="C16326" s="34" t="s">
        <v>77</v>
      </c>
      <c r="E16326" s="30" t="s">
        <v>30195</v>
      </c>
      <c r="F16326" s="34" t="n">
        <f aca="false">IFERROR(VLOOKUP($A16326,'319'!$B:$H,7,0),0)</f>
        <v>0</v>
      </c>
      <c r="G16326" s="34" t="n">
        <f aca="false">SUMIFS('12.326ana'!$C:$C,'12.326ana'!$M:$M,redes!A16326)</f>
        <v>0</v>
      </c>
    </row>
    <row r="16327" customFormat="false" ht="14.4" hidden="true" customHeight="false" outlineLevel="0" collapsed="false">
      <c r="A16327" s="34" t="n">
        <v>31398994000170</v>
      </c>
      <c r="B16327" s="34" t="s">
        <v>30196</v>
      </c>
      <c r="C16327" s="34" t="s">
        <v>604</v>
      </c>
      <c r="E16327" s="30" t="s">
        <v>8728</v>
      </c>
      <c r="F16327" s="34" t="n">
        <f aca="false">IFERROR(VLOOKUP($A16327,'319'!$B:$H,7,0),0)</f>
        <v>1435.84</v>
      </c>
      <c r="G16327" s="34" t="n">
        <f aca="false">SUMIFS('12.326ana'!$C:$C,'12.326ana'!$M:$M,redes!A16327)</f>
        <v>0</v>
      </c>
    </row>
    <row r="16328" customFormat="false" ht="14.4" hidden="true" customHeight="false" outlineLevel="0" collapsed="false">
      <c r="A16328" s="34" t="n">
        <v>31398994000331</v>
      </c>
      <c r="B16328" s="34" t="s">
        <v>1225</v>
      </c>
      <c r="C16328" s="34" t="s">
        <v>604</v>
      </c>
      <c r="E16328" s="30" t="s">
        <v>30197</v>
      </c>
      <c r="F16328" s="34" t="n">
        <f aca="false">IFERROR(VLOOKUP($A16328,'319'!$B:$H,7,0),0)</f>
        <v>304.29</v>
      </c>
      <c r="G16328" s="34" t="n">
        <f aca="false">SUMIFS('12.326ana'!$C:$C,'12.326ana'!$M:$M,redes!A16328)</f>
        <v>0</v>
      </c>
    </row>
    <row r="16329" customFormat="false" ht="14.4" hidden="true" customHeight="false" outlineLevel="0" collapsed="false">
      <c r="A16329" s="34" t="n">
        <v>31404826000140</v>
      </c>
      <c r="B16329" s="34" t="s">
        <v>30198</v>
      </c>
      <c r="C16329" s="34" t="s">
        <v>139</v>
      </c>
      <c r="E16329" s="30" t="s">
        <v>8888</v>
      </c>
      <c r="F16329" s="34" t="n">
        <f aca="false">IFERROR(VLOOKUP($A16329,'319'!$B:$H,7,0),0)</f>
        <v>0</v>
      </c>
      <c r="G16329" s="34" t="n">
        <f aca="false">SUMIFS('12.326ana'!$C:$C,'12.326ana'!$M:$M,redes!A16329)</f>
        <v>0</v>
      </c>
    </row>
    <row r="16330" customFormat="false" ht="14.4" hidden="true" customHeight="false" outlineLevel="0" collapsed="false">
      <c r="A16330" s="34" t="n">
        <v>31405398000170</v>
      </c>
      <c r="B16330" s="34" t="s">
        <v>30199</v>
      </c>
      <c r="C16330" s="34" t="s">
        <v>77</v>
      </c>
      <c r="E16330" s="30" t="s">
        <v>30200</v>
      </c>
      <c r="F16330" s="34" t="n">
        <f aca="false">IFERROR(VLOOKUP($A16330,'319'!$B:$H,7,0),0)</f>
        <v>0</v>
      </c>
      <c r="G16330" s="34" t="n">
        <f aca="false">SUMIFS('12.326ana'!$C:$C,'12.326ana'!$M:$M,redes!A16330)</f>
        <v>0</v>
      </c>
    </row>
    <row r="16331" customFormat="false" ht="14.4" hidden="true" customHeight="false" outlineLevel="0" collapsed="false">
      <c r="A16331" s="34" t="n">
        <v>31409894000100</v>
      </c>
      <c r="B16331" s="34" t="s">
        <v>30201</v>
      </c>
      <c r="C16331" s="34" t="s">
        <v>77</v>
      </c>
      <c r="E16331" s="30" t="s">
        <v>30202</v>
      </c>
      <c r="F16331" s="34" t="n">
        <f aca="false">IFERROR(VLOOKUP($A16331,'319'!$B:$H,7,0),0)</f>
        <v>0</v>
      </c>
      <c r="G16331" s="34" t="n">
        <f aca="false">SUMIFS('12.326ana'!$C:$C,'12.326ana'!$M:$M,redes!A16331)</f>
        <v>0</v>
      </c>
    </row>
    <row r="16332" customFormat="false" ht="14.4" hidden="true" customHeight="false" outlineLevel="0" collapsed="false">
      <c r="A16332" s="34" t="n">
        <v>31419079000113</v>
      </c>
      <c r="B16332" s="34" t="s">
        <v>30203</v>
      </c>
      <c r="C16332" s="34" t="s">
        <v>77</v>
      </c>
      <c r="E16332" s="30" t="s">
        <v>30204</v>
      </c>
      <c r="F16332" s="34" t="n">
        <f aca="false">IFERROR(VLOOKUP($A16332,'319'!$B:$H,7,0),0)</f>
        <v>0</v>
      </c>
      <c r="G16332" s="34" t="n">
        <f aca="false">SUMIFS('12.326ana'!$C:$C,'12.326ana'!$M:$M,redes!A16332)</f>
        <v>0</v>
      </c>
    </row>
    <row r="16333" customFormat="false" ht="14.4" hidden="true" customHeight="false" outlineLevel="0" collapsed="false">
      <c r="A16333" s="34" t="n">
        <v>31421262000153</v>
      </c>
      <c r="B16333" s="34" t="s">
        <v>30205</v>
      </c>
      <c r="C16333" s="34" t="s">
        <v>192</v>
      </c>
      <c r="E16333" s="30" t="s">
        <v>30206</v>
      </c>
      <c r="F16333" s="34" t="n">
        <f aca="false">IFERROR(VLOOKUP($A16333,'319'!$B:$H,7,0),0)</f>
        <v>0</v>
      </c>
      <c r="G16333" s="34" t="n">
        <f aca="false">SUMIFS('12.326ana'!$C:$C,'12.326ana'!$M:$M,redes!A16333)</f>
        <v>0</v>
      </c>
    </row>
    <row r="16334" customFormat="false" ht="14.4" hidden="true" customHeight="false" outlineLevel="0" collapsed="false">
      <c r="A16334" s="34" t="n">
        <v>31443652000124</v>
      </c>
      <c r="B16334" s="34" t="s">
        <v>30207</v>
      </c>
      <c r="C16334" s="34" t="s">
        <v>139</v>
      </c>
      <c r="E16334" s="30" t="s">
        <v>30208</v>
      </c>
      <c r="F16334" s="34" t="n">
        <f aca="false">IFERROR(VLOOKUP($A16334,'319'!$B:$H,7,0),0)</f>
        <v>0</v>
      </c>
      <c r="G16334" s="34" t="n">
        <f aca="false">SUMIFS('12.326ana'!$C:$C,'12.326ana'!$M:$M,redes!A16334)</f>
        <v>0</v>
      </c>
    </row>
    <row r="16335" customFormat="false" ht="14.4" hidden="true" customHeight="false" outlineLevel="0" collapsed="false">
      <c r="A16335" s="34" t="n">
        <v>31463190000107</v>
      </c>
      <c r="B16335" s="34" t="s">
        <v>30209</v>
      </c>
      <c r="C16335" s="34" t="s">
        <v>77</v>
      </c>
      <c r="E16335" s="30" t="s">
        <v>30209</v>
      </c>
      <c r="F16335" s="34" t="n">
        <f aca="false">IFERROR(VLOOKUP($A16335,'319'!$B:$H,7,0),0)</f>
        <v>0</v>
      </c>
      <c r="G16335" s="34" t="n">
        <f aca="false">SUMIFS('12.326ana'!$C:$C,'12.326ana'!$M:$M,redes!A16335)</f>
        <v>0</v>
      </c>
    </row>
    <row r="16336" customFormat="false" ht="14.4" hidden="true" customHeight="false" outlineLevel="0" collapsed="false">
      <c r="A16336" s="34" t="n">
        <v>31469873000171</v>
      </c>
      <c r="B16336" s="34" t="s">
        <v>30210</v>
      </c>
      <c r="C16336" s="34" t="s">
        <v>192</v>
      </c>
      <c r="E16336" s="30" t="s">
        <v>30211</v>
      </c>
      <c r="F16336" s="34" t="n">
        <f aca="false">IFERROR(VLOOKUP($A16336,'319'!$B:$H,7,0),0)</f>
        <v>0</v>
      </c>
      <c r="G16336" s="34" t="n">
        <f aca="false">SUMIFS('12.326ana'!$C:$C,'12.326ana'!$M:$M,redes!A16336)</f>
        <v>0</v>
      </c>
    </row>
    <row r="16337" customFormat="false" ht="14.4" hidden="true" customHeight="false" outlineLevel="0" collapsed="false">
      <c r="A16337" s="34" t="n">
        <v>31480375000120</v>
      </c>
      <c r="B16337" s="34" t="s">
        <v>30212</v>
      </c>
      <c r="C16337" s="34" t="s">
        <v>197</v>
      </c>
      <c r="E16337" s="30" t="s">
        <v>7538</v>
      </c>
      <c r="F16337" s="34" t="n">
        <f aca="false">IFERROR(VLOOKUP($A16337,'319'!$B:$H,7,0),0)</f>
        <v>0</v>
      </c>
      <c r="G16337" s="34" t="n">
        <f aca="false">SUMIFS('12.326ana'!$C:$C,'12.326ana'!$M:$M,redes!A16337)</f>
        <v>0</v>
      </c>
    </row>
    <row r="16338" customFormat="false" ht="14.4" hidden="true" customHeight="false" outlineLevel="0" collapsed="false">
      <c r="A16338" s="34" t="n">
        <v>31493781000127</v>
      </c>
      <c r="B16338" s="34" t="s">
        <v>30213</v>
      </c>
      <c r="C16338" s="34" t="s">
        <v>296</v>
      </c>
      <c r="E16338" s="30" t="s">
        <v>30214</v>
      </c>
      <c r="F16338" s="34" t="n">
        <f aca="false">IFERROR(VLOOKUP($A16338,'319'!$B:$H,7,0),0)</f>
        <v>0</v>
      </c>
      <c r="G16338" s="34" t="n">
        <f aca="false">SUMIFS('12.326ana'!$C:$C,'12.326ana'!$M:$M,redes!A16338)</f>
        <v>0</v>
      </c>
    </row>
    <row r="16339" customFormat="false" ht="14.4" hidden="true" customHeight="false" outlineLevel="0" collapsed="false">
      <c r="A16339" s="34" t="n">
        <v>31494665000122</v>
      </c>
      <c r="B16339" s="34" t="s">
        <v>30215</v>
      </c>
      <c r="C16339" s="34" t="s">
        <v>207</v>
      </c>
      <c r="E16339" s="30" t="s">
        <v>30216</v>
      </c>
      <c r="F16339" s="34" t="n">
        <f aca="false">IFERROR(VLOOKUP($A16339,'319'!$B:$H,7,0),0)</f>
        <v>0</v>
      </c>
      <c r="G16339" s="34" t="n">
        <f aca="false">SUMIFS('12.326ana'!$C:$C,'12.326ana'!$M:$M,redes!A16339)</f>
        <v>0</v>
      </c>
    </row>
    <row r="16340" customFormat="false" ht="14.4" hidden="true" customHeight="false" outlineLevel="0" collapsed="false">
      <c r="A16340" s="34" t="n">
        <v>31498425000104</v>
      </c>
      <c r="B16340" s="34" t="s">
        <v>30217</v>
      </c>
      <c r="C16340" s="34" t="s">
        <v>89</v>
      </c>
      <c r="E16340" s="30" t="s">
        <v>28609</v>
      </c>
      <c r="F16340" s="34" t="n">
        <f aca="false">IFERROR(VLOOKUP($A16340,'319'!$B:$H,7,0),0)</f>
        <v>0</v>
      </c>
      <c r="G16340" s="34" t="n">
        <f aca="false">SUMIFS('12.326ana'!$C:$C,'12.326ana'!$M:$M,redes!A16340)</f>
        <v>0</v>
      </c>
    </row>
    <row r="16341" customFormat="false" ht="14.4" hidden="true" customHeight="false" outlineLevel="0" collapsed="false">
      <c r="A16341" s="34" t="n">
        <v>31506813000181</v>
      </c>
      <c r="B16341" s="34" t="s">
        <v>30218</v>
      </c>
      <c r="C16341" s="34" t="s">
        <v>604</v>
      </c>
      <c r="D16341" s="34" t="s">
        <v>20482</v>
      </c>
      <c r="E16341" s="30" t="s">
        <v>30219</v>
      </c>
      <c r="F16341" s="34" t="n">
        <f aca="false">IFERROR(VLOOKUP($A16341,'319'!$B:$H,7,0),0)</f>
        <v>0</v>
      </c>
      <c r="G16341" s="34" t="n">
        <f aca="false">SUMIFS('12.326ana'!$C:$C,'12.326ana'!$M:$M,redes!A16341)</f>
        <v>0</v>
      </c>
    </row>
    <row r="16342" customFormat="false" ht="14.4" hidden="true" customHeight="false" outlineLevel="0" collapsed="false">
      <c r="A16342" s="34" t="n">
        <v>31519012000150</v>
      </c>
      <c r="B16342" s="34" t="s">
        <v>30220</v>
      </c>
      <c r="C16342" s="34" t="s">
        <v>848</v>
      </c>
      <c r="E16342" s="30" t="s">
        <v>4967</v>
      </c>
      <c r="F16342" s="34" t="n">
        <f aca="false">IFERROR(VLOOKUP($A16342,'319'!$B:$H,7,0),0)</f>
        <v>0</v>
      </c>
      <c r="G16342" s="34" t="n">
        <f aca="false">SUMIFS('12.326ana'!$C:$C,'12.326ana'!$M:$M,redes!A16342)</f>
        <v>0</v>
      </c>
    </row>
    <row r="16343" customFormat="false" ht="14.4" hidden="true" customHeight="false" outlineLevel="0" collapsed="false">
      <c r="A16343" s="34" t="n">
        <v>31521530000109</v>
      </c>
      <c r="B16343" s="34" t="s">
        <v>30221</v>
      </c>
      <c r="C16343" s="34" t="s">
        <v>107</v>
      </c>
      <c r="E16343" s="30" t="s">
        <v>28420</v>
      </c>
      <c r="F16343" s="34" t="n">
        <f aca="false">IFERROR(VLOOKUP($A16343,'319'!$B:$H,7,0),0)</f>
        <v>0</v>
      </c>
      <c r="G16343" s="34" t="n">
        <f aca="false">SUMIFS('12.326ana'!$C:$C,'12.326ana'!$M:$M,redes!A16343)</f>
        <v>0</v>
      </c>
    </row>
    <row r="16344" customFormat="false" ht="14.4" hidden="true" customHeight="false" outlineLevel="0" collapsed="false">
      <c r="A16344" s="34" t="n">
        <v>31525958000120</v>
      </c>
      <c r="B16344" s="34" t="s">
        <v>30222</v>
      </c>
      <c r="C16344" s="34" t="s">
        <v>197</v>
      </c>
      <c r="E16344" s="30" t="s">
        <v>30223</v>
      </c>
      <c r="F16344" s="34" t="n">
        <f aca="false">IFERROR(VLOOKUP($A16344,'319'!$B:$H,7,0),0)</f>
        <v>0</v>
      </c>
      <c r="G16344" s="34" t="n">
        <f aca="false">SUMIFS('12.326ana'!$C:$C,'12.326ana'!$M:$M,redes!A16344)</f>
        <v>0</v>
      </c>
    </row>
    <row r="16345" customFormat="false" ht="14.4" hidden="true" customHeight="false" outlineLevel="0" collapsed="false">
      <c r="A16345" s="34" t="n">
        <v>31528236000129</v>
      </c>
      <c r="B16345" s="34" t="s">
        <v>30224</v>
      </c>
      <c r="C16345" s="34" t="s">
        <v>994</v>
      </c>
      <c r="E16345" s="30" t="s">
        <v>30225</v>
      </c>
      <c r="F16345" s="34" t="n">
        <f aca="false">IFERROR(VLOOKUP($A16345,'319'!$B:$H,7,0),0)</f>
        <v>0</v>
      </c>
      <c r="G16345" s="34" t="n">
        <f aca="false">SUMIFS('12.326ana'!$C:$C,'12.326ana'!$M:$M,redes!A16345)</f>
        <v>0</v>
      </c>
    </row>
    <row r="16346" customFormat="false" ht="14.4" hidden="true" customHeight="false" outlineLevel="0" collapsed="false">
      <c r="A16346" s="34" t="n">
        <v>31534281000196</v>
      </c>
      <c r="B16346" s="34" t="s">
        <v>30226</v>
      </c>
      <c r="C16346" s="34" t="s">
        <v>103</v>
      </c>
      <c r="E16346" s="30" t="s">
        <v>30227</v>
      </c>
      <c r="F16346" s="34" t="n">
        <f aca="false">IFERROR(VLOOKUP($A16346,'319'!$B:$H,7,0),0)</f>
        <v>0</v>
      </c>
      <c r="G16346" s="34" t="n">
        <f aca="false">SUMIFS('12.326ana'!$C:$C,'12.326ana'!$M:$M,redes!A16346)</f>
        <v>0</v>
      </c>
    </row>
    <row r="16347" customFormat="false" ht="14.4" hidden="true" customHeight="false" outlineLevel="0" collapsed="false">
      <c r="A16347" s="34" t="n">
        <v>31544857000104</v>
      </c>
      <c r="B16347" s="34" t="s">
        <v>1485</v>
      </c>
      <c r="C16347" s="34" t="s">
        <v>357</v>
      </c>
      <c r="E16347" s="30" t="s">
        <v>30228</v>
      </c>
      <c r="F16347" s="34" t="n">
        <f aca="false">IFERROR(VLOOKUP($A16347,'319'!$B:$H,7,0),0)</f>
        <v>159.12</v>
      </c>
      <c r="G16347" s="34" t="n">
        <f aca="false">SUMIFS('12.326ana'!$C:$C,'12.326ana'!$M:$M,redes!A16347)</f>
        <v>0</v>
      </c>
    </row>
    <row r="16348" customFormat="false" ht="14.4" hidden="true" customHeight="false" outlineLevel="0" collapsed="false">
      <c r="A16348" s="34" t="n">
        <v>31552259000179</v>
      </c>
      <c r="B16348" s="34" t="s">
        <v>30229</v>
      </c>
      <c r="C16348" s="34" t="s">
        <v>117</v>
      </c>
      <c r="E16348" s="30" t="s">
        <v>30230</v>
      </c>
      <c r="F16348" s="34" t="n">
        <f aca="false">IFERROR(VLOOKUP($A16348,'319'!$B:$H,7,0),0)</f>
        <v>0</v>
      </c>
      <c r="G16348" s="34" t="n">
        <f aca="false">SUMIFS('12.326ana'!$C:$C,'12.326ana'!$M:$M,redes!A16348)</f>
        <v>0</v>
      </c>
    </row>
    <row r="16349" customFormat="false" ht="14.4" hidden="true" customHeight="false" outlineLevel="0" collapsed="false">
      <c r="A16349" s="34" t="n">
        <v>31553004000120</v>
      </c>
      <c r="B16349" s="34" t="s">
        <v>1204</v>
      </c>
      <c r="C16349" s="34" t="s">
        <v>117</v>
      </c>
      <c r="E16349" s="30" t="s">
        <v>18574</v>
      </c>
      <c r="F16349" s="34" t="n">
        <f aca="false">IFERROR(VLOOKUP($A16349,'319'!$B:$H,7,0),0)</f>
        <v>330.96</v>
      </c>
      <c r="G16349" s="34" t="n">
        <f aca="false">SUMIFS('12.326ana'!$C:$C,'12.326ana'!$M:$M,redes!A16349)</f>
        <v>0</v>
      </c>
    </row>
    <row r="16350" customFormat="false" ht="14.4" hidden="true" customHeight="false" outlineLevel="0" collapsed="false">
      <c r="A16350" s="34" t="n">
        <v>31557877000101</v>
      </c>
      <c r="B16350" s="34" t="s">
        <v>30231</v>
      </c>
      <c r="C16350" s="34" t="s">
        <v>77</v>
      </c>
      <c r="E16350" s="30" t="s">
        <v>30232</v>
      </c>
      <c r="F16350" s="34" t="n">
        <f aca="false">IFERROR(VLOOKUP($A16350,'319'!$B:$H,7,0),0)</f>
        <v>0</v>
      </c>
      <c r="G16350" s="34" t="n">
        <f aca="false">SUMIFS('12.326ana'!$C:$C,'12.326ana'!$M:$M,redes!A16350)</f>
        <v>0</v>
      </c>
    </row>
    <row r="16351" customFormat="false" ht="14.4" hidden="true" customHeight="false" outlineLevel="0" collapsed="false">
      <c r="A16351" s="35" t="n">
        <v>31571039000192</v>
      </c>
      <c r="B16351" s="34" t="s">
        <v>30233</v>
      </c>
      <c r="C16351" s="34" t="s">
        <v>77</v>
      </c>
      <c r="E16351" s="30" t="s">
        <v>30234</v>
      </c>
      <c r="F16351" s="34" t="n">
        <f aca="false">IFERROR(VLOOKUP($A16351,'319'!$B:$H,7,0),0)</f>
        <v>0</v>
      </c>
      <c r="G16351" s="34" t="n">
        <f aca="false">SUMIFS('12.326ana'!$C:$C,'12.326ana'!$M:$M,redes!A16351)</f>
        <v>0</v>
      </c>
    </row>
    <row r="16352" customFormat="false" ht="14.4" hidden="true" customHeight="false" outlineLevel="0" collapsed="false">
      <c r="A16352" s="34" t="n">
        <v>31573047000178</v>
      </c>
      <c r="B16352" s="34" t="s">
        <v>30235</v>
      </c>
      <c r="C16352" s="34" t="s">
        <v>77</v>
      </c>
      <c r="E16352" s="30" t="s">
        <v>30236</v>
      </c>
      <c r="F16352" s="34" t="n">
        <f aca="false">IFERROR(VLOOKUP($A16352,'319'!$B:$H,7,0),0)</f>
        <v>0</v>
      </c>
      <c r="G16352" s="34" t="n">
        <f aca="false">SUMIFS('12.326ana'!$C:$C,'12.326ana'!$M:$M,redes!A16352)</f>
        <v>0</v>
      </c>
    </row>
    <row r="16353" customFormat="false" ht="14.4" hidden="true" customHeight="false" outlineLevel="0" collapsed="false">
      <c r="A16353" s="34" t="n">
        <v>31589519000180</v>
      </c>
      <c r="B16353" s="34" t="s">
        <v>30237</v>
      </c>
      <c r="C16353" s="34" t="s">
        <v>342</v>
      </c>
      <c r="E16353" s="30" t="s">
        <v>30238</v>
      </c>
      <c r="F16353" s="34" t="n">
        <f aca="false">IFERROR(VLOOKUP($A16353,'319'!$B:$H,7,0),0)</f>
        <v>0</v>
      </c>
      <c r="G16353" s="34" t="n">
        <f aca="false">SUMIFS('12.326ana'!$C:$C,'12.326ana'!$M:$M,redes!A16353)</f>
        <v>0</v>
      </c>
    </row>
    <row r="16354" customFormat="false" ht="14.4" hidden="true" customHeight="false" outlineLevel="0" collapsed="false">
      <c r="A16354" s="34" t="n">
        <v>31595273000150</v>
      </c>
      <c r="B16354" s="34" t="s">
        <v>30239</v>
      </c>
      <c r="C16354" s="34" t="s">
        <v>979</v>
      </c>
      <c r="E16354" s="30" t="s">
        <v>30240</v>
      </c>
      <c r="F16354" s="34" t="n">
        <f aca="false">IFERROR(VLOOKUP($A16354,'319'!$B:$H,7,0),0)</f>
        <v>0</v>
      </c>
      <c r="G16354" s="34" t="n">
        <f aca="false">SUMIFS('12.326ana'!$C:$C,'12.326ana'!$M:$M,redes!A16354)</f>
        <v>0</v>
      </c>
    </row>
    <row r="16355" customFormat="false" ht="14.4" hidden="true" customHeight="false" outlineLevel="0" collapsed="false">
      <c r="A16355" s="34" t="n">
        <v>31598112000110</v>
      </c>
      <c r="B16355" s="34" t="s">
        <v>30241</v>
      </c>
      <c r="C16355" s="34" t="s">
        <v>309</v>
      </c>
      <c r="E16355" s="30" t="s">
        <v>30242</v>
      </c>
      <c r="F16355" s="34" t="n">
        <f aca="false">IFERROR(VLOOKUP($A16355,'319'!$B:$H,7,0),0)</f>
        <v>0</v>
      </c>
      <c r="G16355" s="34" t="n">
        <f aca="false">SUMIFS('12.326ana'!$C:$C,'12.326ana'!$M:$M,redes!A16355)</f>
        <v>0</v>
      </c>
    </row>
    <row r="16356" customFormat="false" ht="14.4" hidden="true" customHeight="false" outlineLevel="0" collapsed="false">
      <c r="A16356" s="34" t="n">
        <v>31612410000117</v>
      </c>
      <c r="B16356" s="34" t="s">
        <v>30243</v>
      </c>
      <c r="C16356" s="34" t="s">
        <v>89</v>
      </c>
      <c r="E16356" s="30" t="s">
        <v>30244</v>
      </c>
      <c r="F16356" s="34" t="n">
        <f aca="false">IFERROR(VLOOKUP($A16356,'319'!$B:$H,7,0),0)</f>
        <v>0</v>
      </c>
      <c r="G16356" s="34" t="n">
        <f aca="false">SUMIFS('12.326ana'!$C:$C,'12.326ana'!$M:$M,redes!A16356)</f>
        <v>0</v>
      </c>
    </row>
    <row r="16357" customFormat="false" ht="14.4" hidden="true" customHeight="false" outlineLevel="0" collapsed="false">
      <c r="A16357" s="34" t="n">
        <v>31623672000187</v>
      </c>
      <c r="B16357" s="34" t="s">
        <v>30245</v>
      </c>
      <c r="C16357" s="34" t="s">
        <v>117</v>
      </c>
      <c r="E16357" s="30" t="s">
        <v>30246</v>
      </c>
      <c r="F16357" s="34" t="n">
        <f aca="false">IFERROR(VLOOKUP($A16357,'319'!$B:$H,7,0),0)</f>
        <v>0</v>
      </c>
      <c r="G16357" s="34" t="n">
        <f aca="false">SUMIFS('12.326ana'!$C:$C,'12.326ana'!$M:$M,redes!A16357)</f>
        <v>0</v>
      </c>
    </row>
    <row r="16358" customFormat="false" ht="14.4" hidden="true" customHeight="false" outlineLevel="0" collapsed="false">
      <c r="A16358" s="34" t="n">
        <v>31640223000147</v>
      </c>
      <c r="B16358" s="34" t="s">
        <v>30247</v>
      </c>
      <c r="C16358" s="34" t="s">
        <v>77</v>
      </c>
      <c r="E16358" s="30" t="s">
        <v>30248</v>
      </c>
      <c r="F16358" s="34" t="n">
        <f aca="false">IFERROR(VLOOKUP($A16358,'319'!$B:$H,7,0),0)</f>
        <v>0</v>
      </c>
      <c r="G16358" s="34" t="n">
        <f aca="false">SUMIFS('12.326ana'!$C:$C,'12.326ana'!$M:$M,redes!A16358)</f>
        <v>0</v>
      </c>
    </row>
    <row r="16359" customFormat="false" ht="14.4" hidden="true" customHeight="false" outlineLevel="0" collapsed="false">
      <c r="A16359" s="34" t="n">
        <v>31642268000150</v>
      </c>
      <c r="B16359" s="34" t="s">
        <v>30249</v>
      </c>
      <c r="C16359" s="34" t="s">
        <v>77</v>
      </c>
      <c r="E16359" s="30" t="s">
        <v>30250</v>
      </c>
      <c r="F16359" s="34" t="n">
        <f aca="false">IFERROR(VLOOKUP($A16359,'319'!$B:$H,7,0),0)</f>
        <v>0</v>
      </c>
      <c r="G16359" s="34" t="n">
        <f aca="false">SUMIFS('12.326ana'!$C:$C,'12.326ana'!$M:$M,redes!A16359)</f>
        <v>0</v>
      </c>
    </row>
    <row r="16360" customFormat="false" ht="14.4" hidden="true" customHeight="false" outlineLevel="0" collapsed="false">
      <c r="A16360" s="34" t="n">
        <v>31649035000180</v>
      </c>
      <c r="B16360" s="34" t="s">
        <v>30251</v>
      </c>
      <c r="C16360" s="34" t="s">
        <v>954</v>
      </c>
      <c r="E16360" s="30" t="s">
        <v>3001</v>
      </c>
      <c r="F16360" s="34" t="n">
        <f aca="false">IFERROR(VLOOKUP($A16360,'319'!$B:$H,7,0),0)</f>
        <v>0</v>
      </c>
      <c r="G16360" s="34" t="n">
        <f aca="false">SUMIFS('12.326ana'!$C:$C,'12.326ana'!$M:$M,redes!A16360)</f>
        <v>0</v>
      </c>
    </row>
    <row r="16361" customFormat="false" ht="14.4" hidden="true" customHeight="false" outlineLevel="0" collapsed="false">
      <c r="A16361" s="34" t="n">
        <v>31649053000161</v>
      </c>
      <c r="B16361" s="34" t="s">
        <v>30252</v>
      </c>
      <c r="C16361" s="34" t="s">
        <v>299</v>
      </c>
      <c r="E16361" s="30" t="s">
        <v>30253</v>
      </c>
      <c r="F16361" s="34" t="n">
        <f aca="false">IFERROR(VLOOKUP($A16361,'319'!$B:$H,7,0),0)</f>
        <v>0</v>
      </c>
      <c r="G16361" s="34" t="n">
        <f aca="false">SUMIFS('12.326ana'!$C:$C,'12.326ana'!$M:$M,redes!A16361)</f>
        <v>0</v>
      </c>
    </row>
    <row r="16362" customFormat="false" ht="14.4" hidden="true" customHeight="false" outlineLevel="0" collapsed="false">
      <c r="A16362" s="34" t="n">
        <v>31659120000129</v>
      </c>
      <c r="B16362" s="34" t="s">
        <v>30254</v>
      </c>
      <c r="C16362" s="34" t="s">
        <v>77</v>
      </c>
      <c r="E16362" s="30" t="s">
        <v>30255</v>
      </c>
      <c r="F16362" s="34" t="n">
        <f aca="false">IFERROR(VLOOKUP($A16362,'319'!$B:$H,7,0),0)</f>
        <v>0</v>
      </c>
      <c r="G16362" s="34" t="n">
        <f aca="false">SUMIFS('12.326ana'!$C:$C,'12.326ana'!$M:$M,redes!A16362)</f>
        <v>0</v>
      </c>
    </row>
    <row r="16363" customFormat="false" ht="14.4" hidden="true" customHeight="false" outlineLevel="0" collapsed="false">
      <c r="A16363" s="34" t="n">
        <v>31665796000125</v>
      </c>
      <c r="B16363" s="34" t="s">
        <v>30256</v>
      </c>
      <c r="C16363" s="34" t="s">
        <v>77</v>
      </c>
      <c r="E16363" s="30" t="s">
        <v>30257</v>
      </c>
      <c r="F16363" s="34" t="n">
        <f aca="false">IFERROR(VLOOKUP($A16363,'319'!$B:$H,7,0),0)</f>
        <v>0</v>
      </c>
      <c r="G16363" s="34" t="n">
        <f aca="false">SUMIFS('12.326ana'!$C:$C,'12.326ana'!$M:$M,redes!A16363)</f>
        <v>0</v>
      </c>
    </row>
    <row r="16364" customFormat="false" ht="14.4" hidden="true" customHeight="false" outlineLevel="0" collapsed="false">
      <c r="A16364" s="34" t="n">
        <v>31674940000190</v>
      </c>
      <c r="B16364" s="34" t="s">
        <v>30258</v>
      </c>
      <c r="C16364" s="34" t="s">
        <v>1272</v>
      </c>
      <c r="E16364" s="30" t="s">
        <v>9339</v>
      </c>
      <c r="F16364" s="34" t="n">
        <f aca="false">IFERROR(VLOOKUP($A16364,'319'!$B:$H,7,0),0)</f>
        <v>0</v>
      </c>
      <c r="G16364" s="34" t="n">
        <f aca="false">SUMIFS('12.326ana'!$C:$C,'12.326ana'!$M:$M,redes!A16364)</f>
        <v>0</v>
      </c>
    </row>
    <row r="16365" customFormat="false" ht="14.4" hidden="true" customHeight="false" outlineLevel="0" collapsed="false">
      <c r="A16365" s="34" t="n">
        <v>31675179000100</v>
      </c>
      <c r="B16365" s="34" t="s">
        <v>30259</v>
      </c>
      <c r="C16365" s="34" t="s">
        <v>89</v>
      </c>
      <c r="E16365" s="30" t="s">
        <v>30260</v>
      </c>
      <c r="F16365" s="34" t="n">
        <f aca="false">IFERROR(VLOOKUP($A16365,'319'!$B:$H,7,0),0)</f>
        <v>0</v>
      </c>
      <c r="G16365" s="34" t="n">
        <f aca="false">SUMIFS('12.326ana'!$C:$C,'12.326ana'!$M:$M,redes!A16365)</f>
        <v>0</v>
      </c>
    </row>
    <row r="16366" customFormat="false" ht="14.4" hidden="true" customHeight="false" outlineLevel="0" collapsed="false">
      <c r="A16366" s="34" t="n">
        <v>31711605000114</v>
      </c>
      <c r="B16366" s="34" t="s">
        <v>30261</v>
      </c>
      <c r="C16366" s="34" t="s">
        <v>594</v>
      </c>
      <c r="E16366" s="30" t="s">
        <v>30262</v>
      </c>
      <c r="F16366" s="34" t="n">
        <f aca="false">IFERROR(VLOOKUP($A16366,'319'!$B:$H,7,0),0)</f>
        <v>0</v>
      </c>
      <c r="G16366" s="34" t="n">
        <f aca="false">SUMIFS('12.326ana'!$C:$C,'12.326ana'!$M:$M,redes!A16366)</f>
        <v>0</v>
      </c>
    </row>
    <row r="16367" customFormat="false" ht="14.4" hidden="true" customHeight="false" outlineLevel="0" collapsed="false">
      <c r="A16367" s="34" t="n">
        <v>31712562000191</v>
      </c>
      <c r="B16367" s="34" t="s">
        <v>30263</v>
      </c>
      <c r="C16367" s="34" t="s">
        <v>192</v>
      </c>
      <c r="E16367" s="30" t="s">
        <v>30264</v>
      </c>
      <c r="F16367" s="34" t="n">
        <f aca="false">IFERROR(VLOOKUP($A16367,'319'!$B:$H,7,0),0)</f>
        <v>0</v>
      </c>
      <c r="G16367" s="34" t="n">
        <f aca="false">SUMIFS('12.326ana'!$C:$C,'12.326ana'!$M:$M,redes!A16367)</f>
        <v>0</v>
      </c>
    </row>
    <row r="16368" customFormat="false" ht="14.4" hidden="true" customHeight="false" outlineLevel="0" collapsed="false">
      <c r="A16368" s="34" t="n">
        <v>31725281000173</v>
      </c>
      <c r="B16368" s="34" t="s">
        <v>30265</v>
      </c>
      <c r="C16368" s="34" t="s">
        <v>89</v>
      </c>
      <c r="E16368" s="30" t="s">
        <v>5814</v>
      </c>
      <c r="F16368" s="34" t="n">
        <f aca="false">IFERROR(VLOOKUP($A16368,'319'!$B:$H,7,0),0)</f>
        <v>0</v>
      </c>
      <c r="G16368" s="34" t="n">
        <f aca="false">SUMIFS('12.326ana'!$C:$C,'12.326ana'!$M:$M,redes!A16368)</f>
        <v>0</v>
      </c>
    </row>
    <row r="16369" customFormat="false" ht="14.4" hidden="true" customHeight="false" outlineLevel="0" collapsed="false">
      <c r="A16369" s="34" t="n">
        <v>31733356000168</v>
      </c>
      <c r="B16369" s="34" t="s">
        <v>30266</v>
      </c>
      <c r="C16369" s="34" t="s">
        <v>107</v>
      </c>
      <c r="E16369" s="30" t="s">
        <v>30267</v>
      </c>
      <c r="F16369" s="34" t="n">
        <f aca="false">IFERROR(VLOOKUP($A16369,'319'!$B:$H,7,0),0)</f>
        <v>0</v>
      </c>
      <c r="G16369" s="34" t="n">
        <f aca="false">SUMIFS('12.326ana'!$C:$C,'12.326ana'!$M:$M,redes!A16369)</f>
        <v>0</v>
      </c>
    </row>
    <row r="16370" customFormat="false" ht="14.4" hidden="true" customHeight="false" outlineLevel="0" collapsed="false">
      <c r="A16370" s="34" t="n">
        <v>31767107000193</v>
      </c>
      <c r="B16370" s="34" t="s">
        <v>30268</v>
      </c>
      <c r="C16370" s="34" t="s">
        <v>77</v>
      </c>
      <c r="E16370" s="30" t="s">
        <v>30269</v>
      </c>
      <c r="F16370" s="34" t="n">
        <f aca="false">IFERROR(VLOOKUP($A16370,'319'!$B:$H,7,0),0)</f>
        <v>0</v>
      </c>
      <c r="G16370" s="34" t="n">
        <f aca="false">SUMIFS('12.326ana'!$C:$C,'12.326ana'!$M:$M,redes!A16370)</f>
        <v>0</v>
      </c>
    </row>
    <row r="16371" customFormat="false" ht="14.4" hidden="true" customHeight="false" outlineLevel="0" collapsed="false">
      <c r="A16371" s="34" t="n">
        <v>31771390000127</v>
      </c>
      <c r="B16371" s="34" t="s">
        <v>30270</v>
      </c>
      <c r="C16371" s="34" t="s">
        <v>1272</v>
      </c>
      <c r="E16371" s="30" t="s">
        <v>30271</v>
      </c>
      <c r="F16371" s="34" t="n">
        <f aca="false">IFERROR(VLOOKUP($A16371,'319'!$B:$H,7,0),0)</f>
        <v>0</v>
      </c>
      <c r="G16371" s="34" t="n">
        <f aca="false">SUMIFS('12.326ana'!$C:$C,'12.326ana'!$M:$M,redes!A16371)</f>
        <v>0</v>
      </c>
    </row>
    <row r="16372" customFormat="false" ht="14.4" hidden="true" customHeight="false" outlineLevel="0" collapsed="false">
      <c r="A16372" s="34" t="n">
        <v>31771832000135</v>
      </c>
      <c r="B16372" s="34" t="s">
        <v>30272</v>
      </c>
      <c r="C16372" s="34" t="s">
        <v>77</v>
      </c>
      <c r="E16372" s="30" t="s">
        <v>30272</v>
      </c>
      <c r="F16372" s="34" t="n">
        <f aca="false">IFERROR(VLOOKUP($A16372,'319'!$B:$H,7,0),0)</f>
        <v>0</v>
      </c>
      <c r="G16372" s="34" t="n">
        <f aca="false">SUMIFS('12.326ana'!$C:$C,'12.326ana'!$M:$M,redes!A16372)</f>
        <v>0</v>
      </c>
    </row>
    <row r="16373" customFormat="false" ht="14.4" hidden="true" customHeight="false" outlineLevel="0" collapsed="false">
      <c r="A16373" s="34" t="n">
        <v>31772750000105</v>
      </c>
      <c r="B16373" s="34" t="s">
        <v>30273</v>
      </c>
      <c r="C16373" s="34" t="s">
        <v>631</v>
      </c>
      <c r="E16373" s="30" t="s">
        <v>26728</v>
      </c>
      <c r="F16373" s="34" t="n">
        <f aca="false">IFERROR(VLOOKUP($A16373,'319'!$B:$H,7,0),0)</f>
        <v>0</v>
      </c>
      <c r="G16373" s="34" t="n">
        <f aca="false">SUMIFS('12.326ana'!$C:$C,'12.326ana'!$M:$M,redes!A16373)</f>
        <v>0</v>
      </c>
    </row>
    <row r="16374" customFormat="false" ht="14.4" hidden="true" customHeight="false" outlineLevel="0" collapsed="false">
      <c r="A16374" s="34" t="n">
        <v>31778465000100</v>
      </c>
      <c r="B16374" s="34" t="s">
        <v>30274</v>
      </c>
      <c r="C16374" s="34" t="s">
        <v>89</v>
      </c>
      <c r="E16374" s="30" t="s">
        <v>28859</v>
      </c>
      <c r="F16374" s="34" t="n">
        <f aca="false">IFERROR(VLOOKUP($A16374,'319'!$B:$H,7,0),0)</f>
        <v>0</v>
      </c>
      <c r="G16374" s="34" t="n">
        <f aca="false">SUMIFS('12.326ana'!$C:$C,'12.326ana'!$M:$M,redes!A16374)</f>
        <v>0</v>
      </c>
    </row>
    <row r="16375" customFormat="false" ht="14.4" hidden="true" customHeight="false" outlineLevel="0" collapsed="false">
      <c r="A16375" s="34" t="n">
        <v>31793463000181</v>
      </c>
      <c r="B16375" s="34" t="s">
        <v>30275</v>
      </c>
      <c r="C16375" s="34" t="s">
        <v>77</v>
      </c>
      <c r="E16375" s="30" t="s">
        <v>11684</v>
      </c>
      <c r="F16375" s="34" t="n">
        <f aca="false">IFERROR(VLOOKUP($A16375,'319'!$B:$H,7,0),0)</f>
        <v>0</v>
      </c>
      <c r="G16375" s="34" t="n">
        <f aca="false">SUMIFS('12.326ana'!$C:$C,'12.326ana'!$M:$M,redes!A16375)</f>
        <v>0</v>
      </c>
    </row>
    <row r="16376" customFormat="false" ht="14.4" hidden="true" customHeight="false" outlineLevel="0" collapsed="false">
      <c r="A16376" s="34" t="n">
        <v>31810935000167</v>
      </c>
      <c r="B16376" s="34" t="s">
        <v>30276</v>
      </c>
      <c r="C16376" s="34" t="s">
        <v>139</v>
      </c>
      <c r="E16376" s="30" t="s">
        <v>19583</v>
      </c>
      <c r="F16376" s="34" t="n">
        <f aca="false">IFERROR(VLOOKUP($A16376,'319'!$B:$H,7,0),0)</f>
        <v>0</v>
      </c>
      <c r="G16376" s="34" t="n">
        <f aca="false">SUMIFS('12.326ana'!$C:$C,'12.326ana'!$M:$M,redes!A16376)</f>
        <v>0</v>
      </c>
    </row>
    <row r="16377" customFormat="false" ht="14.4" hidden="true" customHeight="false" outlineLevel="0" collapsed="false">
      <c r="A16377" s="34" t="n">
        <v>31817825000127</v>
      </c>
      <c r="B16377" s="34" t="s">
        <v>30277</v>
      </c>
      <c r="C16377" s="34" t="s">
        <v>77</v>
      </c>
      <c r="E16377" s="30" t="s">
        <v>30278</v>
      </c>
      <c r="F16377" s="34" t="n">
        <f aca="false">IFERROR(VLOOKUP($A16377,'319'!$B:$H,7,0),0)</f>
        <v>0</v>
      </c>
      <c r="G16377" s="34" t="n">
        <f aca="false">SUMIFS('12.326ana'!$C:$C,'12.326ana'!$M:$M,redes!A16377)</f>
        <v>0</v>
      </c>
    </row>
    <row r="16378" customFormat="false" ht="14.4" hidden="true" customHeight="false" outlineLevel="0" collapsed="false">
      <c r="A16378" s="34" t="n">
        <v>31868782000109</v>
      </c>
      <c r="B16378" s="34" t="s">
        <v>30279</v>
      </c>
      <c r="C16378" s="34" t="s">
        <v>2998</v>
      </c>
      <c r="E16378" s="30" t="s">
        <v>30280</v>
      </c>
      <c r="F16378" s="34" t="n">
        <f aca="false">IFERROR(VLOOKUP($A16378,'319'!$B:$H,7,0),0)</f>
        <v>0</v>
      </c>
      <c r="G16378" s="34" t="n">
        <f aca="false">SUMIFS('12.326ana'!$C:$C,'12.326ana'!$M:$M,redes!A16378)</f>
        <v>0</v>
      </c>
    </row>
    <row r="16379" customFormat="false" ht="14.4" hidden="true" customHeight="false" outlineLevel="0" collapsed="false">
      <c r="A16379" s="34" t="n">
        <v>31868864000153</v>
      </c>
      <c r="B16379" s="34" t="s">
        <v>30281</v>
      </c>
      <c r="C16379" s="34" t="s">
        <v>357</v>
      </c>
      <c r="E16379" s="30" t="s">
        <v>30282</v>
      </c>
      <c r="F16379" s="34" t="n">
        <f aca="false">IFERROR(VLOOKUP($A16379,'319'!$B:$H,7,0),0)</f>
        <v>0</v>
      </c>
      <c r="G16379" s="34" t="n">
        <f aca="false">SUMIFS('12.326ana'!$C:$C,'12.326ana'!$M:$M,redes!A16379)</f>
        <v>0</v>
      </c>
    </row>
    <row r="16380" customFormat="false" ht="14.4" hidden="true" customHeight="false" outlineLevel="0" collapsed="false">
      <c r="A16380" s="34" t="n">
        <v>31877537000168</v>
      </c>
      <c r="B16380" s="34" t="s">
        <v>30283</v>
      </c>
      <c r="C16380" s="34" t="s">
        <v>77</v>
      </c>
      <c r="E16380" s="30" t="s">
        <v>30284</v>
      </c>
      <c r="F16380" s="34" t="n">
        <f aca="false">IFERROR(VLOOKUP($A16380,'319'!$B:$H,7,0),0)</f>
        <v>0</v>
      </c>
      <c r="G16380" s="34" t="n">
        <f aca="false">SUMIFS('12.326ana'!$C:$C,'12.326ana'!$M:$M,redes!A16380)</f>
        <v>0</v>
      </c>
    </row>
    <row r="16381" customFormat="false" ht="14.4" hidden="true" customHeight="false" outlineLevel="0" collapsed="false">
      <c r="A16381" s="34" t="n">
        <v>31877899000159</v>
      </c>
      <c r="B16381" s="34" t="s">
        <v>30285</v>
      </c>
      <c r="C16381" s="34" t="s">
        <v>77</v>
      </c>
      <c r="E16381" s="30" t="s">
        <v>9344</v>
      </c>
      <c r="F16381" s="34" t="n">
        <f aca="false">IFERROR(VLOOKUP($A16381,'319'!$B:$H,7,0),0)</f>
        <v>0</v>
      </c>
      <c r="G16381" s="34" t="n">
        <f aca="false">SUMIFS('12.326ana'!$C:$C,'12.326ana'!$M:$M,redes!A16381)</f>
        <v>0</v>
      </c>
    </row>
    <row r="16382" customFormat="false" ht="14.4" hidden="true" customHeight="false" outlineLevel="0" collapsed="false">
      <c r="A16382" s="34" t="n">
        <v>31886097000105</v>
      </c>
      <c r="B16382" s="34" t="s">
        <v>30286</v>
      </c>
      <c r="C16382" s="34" t="s">
        <v>103</v>
      </c>
      <c r="E16382" s="30" t="s">
        <v>19601</v>
      </c>
      <c r="F16382" s="34" t="n">
        <f aca="false">IFERROR(VLOOKUP($A16382,'319'!$B:$H,7,0),0)</f>
        <v>0</v>
      </c>
      <c r="G16382" s="34" t="n">
        <f aca="false">SUMIFS('12.326ana'!$C:$C,'12.326ana'!$M:$M,redes!A16382)</f>
        <v>0</v>
      </c>
    </row>
    <row r="16383" customFormat="false" ht="14.4" hidden="true" customHeight="false" outlineLevel="0" collapsed="false">
      <c r="A16383" s="34" t="n">
        <v>31896407000172</v>
      </c>
      <c r="B16383" s="34" t="s">
        <v>30287</v>
      </c>
      <c r="C16383" s="34" t="s">
        <v>77</v>
      </c>
      <c r="E16383" s="30" t="s">
        <v>13744</v>
      </c>
      <c r="F16383" s="34" t="n">
        <f aca="false">IFERROR(VLOOKUP($A16383,'319'!$B:$H,7,0),0)</f>
        <v>0</v>
      </c>
      <c r="G16383" s="34" t="n">
        <f aca="false">SUMIFS('12.326ana'!$C:$C,'12.326ana'!$M:$M,redes!A16383)</f>
        <v>0</v>
      </c>
    </row>
    <row r="16384" customFormat="false" ht="14.4" hidden="true" customHeight="false" outlineLevel="0" collapsed="false">
      <c r="A16384" s="34" t="n">
        <v>31896843000141</v>
      </c>
      <c r="B16384" s="34" t="s">
        <v>30288</v>
      </c>
      <c r="C16384" s="34" t="s">
        <v>77</v>
      </c>
      <c r="E16384" s="30" t="s">
        <v>30288</v>
      </c>
      <c r="F16384" s="34" t="n">
        <f aca="false">IFERROR(VLOOKUP($A16384,'319'!$B:$H,7,0),0)</f>
        <v>0</v>
      </c>
      <c r="G16384" s="34" t="n">
        <f aca="false">SUMIFS('12.326ana'!$C:$C,'12.326ana'!$M:$M,redes!A16384)</f>
        <v>0</v>
      </c>
    </row>
    <row r="16385" customFormat="false" ht="14.4" hidden="true" customHeight="false" outlineLevel="0" collapsed="false">
      <c r="A16385" s="34" t="n">
        <v>31897078000184</v>
      </c>
      <c r="B16385" s="34" t="s">
        <v>30289</v>
      </c>
      <c r="C16385" s="34" t="s">
        <v>77</v>
      </c>
      <c r="E16385" s="30" t="s">
        <v>30289</v>
      </c>
      <c r="F16385" s="34" t="n">
        <f aca="false">IFERROR(VLOOKUP($A16385,'319'!$B:$H,7,0),0)</f>
        <v>0</v>
      </c>
      <c r="G16385" s="34" t="n">
        <f aca="false">SUMIFS('12.326ana'!$C:$C,'12.326ana'!$M:$M,redes!A16385)</f>
        <v>0</v>
      </c>
    </row>
    <row r="16386" customFormat="false" ht="14.4" hidden="true" customHeight="false" outlineLevel="0" collapsed="false">
      <c r="A16386" s="34" t="n">
        <v>31919658000125</v>
      </c>
      <c r="B16386" s="34" t="s">
        <v>30290</v>
      </c>
      <c r="C16386" s="34" t="s">
        <v>77</v>
      </c>
      <c r="E16386" s="30" t="s">
        <v>30291</v>
      </c>
      <c r="F16386" s="34" t="n">
        <f aca="false">IFERROR(VLOOKUP($A16386,'319'!$B:$H,7,0),0)</f>
        <v>0</v>
      </c>
      <c r="G16386" s="34" t="n">
        <f aca="false">SUMIFS('12.326ana'!$C:$C,'12.326ana'!$M:$M,redes!A16386)</f>
        <v>0</v>
      </c>
    </row>
    <row r="16387" customFormat="false" ht="14.4" hidden="true" customHeight="false" outlineLevel="0" collapsed="false">
      <c r="A16387" s="34" t="n">
        <v>31933147000168</v>
      </c>
      <c r="B16387" s="34" t="s">
        <v>30292</v>
      </c>
      <c r="C16387" s="34" t="s">
        <v>107</v>
      </c>
      <c r="E16387" s="30" t="s">
        <v>30293</v>
      </c>
      <c r="F16387" s="34" t="n">
        <f aca="false">IFERROR(VLOOKUP($A16387,'319'!$B:$H,7,0),0)</f>
        <v>0</v>
      </c>
      <c r="G16387" s="34" t="n">
        <f aca="false">SUMIFS('12.326ana'!$C:$C,'12.326ana'!$M:$M,redes!A16387)</f>
        <v>0</v>
      </c>
    </row>
    <row r="16388" customFormat="false" ht="14.4" hidden="true" customHeight="false" outlineLevel="0" collapsed="false">
      <c r="A16388" s="34" t="n">
        <v>31946059000109</v>
      </c>
      <c r="B16388" s="34" t="s">
        <v>30294</v>
      </c>
      <c r="C16388" s="34" t="s">
        <v>737</v>
      </c>
      <c r="E16388" s="30" t="s">
        <v>18942</v>
      </c>
      <c r="F16388" s="34" t="n">
        <f aca="false">IFERROR(VLOOKUP($A16388,'319'!$B:$H,7,0),0)</f>
        <v>0</v>
      </c>
      <c r="G16388" s="34" t="n">
        <f aca="false">SUMIFS('12.326ana'!$C:$C,'12.326ana'!$M:$M,redes!A16388)</f>
        <v>0</v>
      </c>
    </row>
    <row r="16389" customFormat="false" ht="14.4" hidden="true" customHeight="false" outlineLevel="0" collapsed="false">
      <c r="A16389" s="34" t="n">
        <v>31946710000132</v>
      </c>
      <c r="B16389" s="34" t="s">
        <v>30295</v>
      </c>
      <c r="C16389" s="34" t="s">
        <v>77</v>
      </c>
      <c r="E16389" s="30" t="s">
        <v>30296</v>
      </c>
      <c r="F16389" s="34" t="n">
        <f aca="false">IFERROR(VLOOKUP($A16389,'319'!$B:$H,7,0),0)</f>
        <v>0</v>
      </c>
      <c r="G16389" s="34" t="n">
        <f aca="false">SUMIFS('12.326ana'!$C:$C,'12.326ana'!$M:$M,redes!A16389)</f>
        <v>0</v>
      </c>
    </row>
    <row r="16390" customFormat="false" ht="14.4" hidden="true" customHeight="false" outlineLevel="0" collapsed="false">
      <c r="A16390" s="34" t="n">
        <v>31946764000106</v>
      </c>
      <c r="B16390" s="34" t="s">
        <v>30297</v>
      </c>
      <c r="C16390" s="34" t="s">
        <v>77</v>
      </c>
      <c r="E16390" s="30" t="s">
        <v>30298</v>
      </c>
      <c r="F16390" s="34" t="n">
        <f aca="false">IFERROR(VLOOKUP($A16390,'319'!$B:$H,7,0),0)</f>
        <v>0</v>
      </c>
      <c r="G16390" s="34" t="n">
        <f aca="false">SUMIFS('12.326ana'!$C:$C,'12.326ana'!$M:$M,redes!A16390)</f>
        <v>0</v>
      </c>
    </row>
    <row r="16391" customFormat="false" ht="14.4" hidden="true" customHeight="false" outlineLevel="0" collapsed="false">
      <c r="A16391" s="34" t="n">
        <v>31946892000141</v>
      </c>
      <c r="B16391" s="34" t="s">
        <v>1564</v>
      </c>
      <c r="C16391" s="34" t="s">
        <v>351</v>
      </c>
      <c r="E16391" s="30" t="s">
        <v>30299</v>
      </c>
      <c r="F16391" s="34" t="n">
        <f aca="false">IFERROR(VLOOKUP($A16391,'319'!$B:$H,7,0),0)</f>
        <v>103.19</v>
      </c>
      <c r="G16391" s="34" t="n">
        <f aca="false">SUMIFS('12.326ana'!$C:$C,'12.326ana'!$M:$M,redes!A16391)</f>
        <v>0</v>
      </c>
    </row>
    <row r="16392" customFormat="false" ht="14.4" hidden="true" customHeight="false" outlineLevel="0" collapsed="false">
      <c r="A16392" s="34" t="n">
        <v>31957610000101</v>
      </c>
      <c r="B16392" s="34" t="s">
        <v>30300</v>
      </c>
      <c r="C16392" s="34" t="s">
        <v>77</v>
      </c>
      <c r="E16392" s="30" t="s">
        <v>30301</v>
      </c>
      <c r="F16392" s="34" t="n">
        <f aca="false">IFERROR(VLOOKUP($A16392,'319'!$B:$H,7,0),0)</f>
        <v>0</v>
      </c>
      <c r="G16392" s="34" t="n">
        <f aca="false">SUMIFS('12.326ana'!$C:$C,'12.326ana'!$M:$M,redes!A16392)</f>
        <v>0</v>
      </c>
    </row>
    <row r="16393" customFormat="false" ht="14.4" hidden="true" customHeight="false" outlineLevel="0" collapsed="false">
      <c r="A16393" s="34" t="n">
        <v>31958667000125</v>
      </c>
      <c r="B16393" s="34" t="s">
        <v>30302</v>
      </c>
      <c r="C16393" s="34" t="s">
        <v>107</v>
      </c>
      <c r="E16393" s="30" t="s">
        <v>3922</v>
      </c>
      <c r="F16393" s="34" t="n">
        <f aca="false">IFERROR(VLOOKUP($A16393,'319'!$B:$H,7,0),0)</f>
        <v>0</v>
      </c>
      <c r="G16393" s="34" t="n">
        <f aca="false">SUMIFS('12.326ana'!$C:$C,'12.326ana'!$M:$M,redes!A16393)</f>
        <v>0</v>
      </c>
    </row>
    <row r="16394" customFormat="false" ht="14.4" hidden="true" customHeight="false" outlineLevel="0" collapsed="false">
      <c r="A16394" s="34" t="n">
        <v>31966597000157</v>
      </c>
      <c r="B16394" s="34" t="s">
        <v>30303</v>
      </c>
      <c r="C16394" s="34" t="s">
        <v>77</v>
      </c>
      <c r="E16394" s="30" t="s">
        <v>30304</v>
      </c>
      <c r="F16394" s="34" t="n">
        <f aca="false">IFERROR(VLOOKUP($A16394,'319'!$B:$H,7,0),0)</f>
        <v>0</v>
      </c>
      <c r="G16394" s="34" t="n">
        <f aca="false">SUMIFS('12.326ana'!$C:$C,'12.326ana'!$M:$M,redes!A16394)</f>
        <v>0</v>
      </c>
    </row>
    <row r="16395" customFormat="false" ht="14.4" hidden="true" customHeight="false" outlineLevel="0" collapsed="false">
      <c r="A16395" s="34" t="n">
        <v>31969885000165</v>
      </c>
      <c r="B16395" s="34" t="s">
        <v>30305</v>
      </c>
      <c r="C16395" s="34" t="s">
        <v>842</v>
      </c>
      <c r="E16395" s="30" t="s">
        <v>30306</v>
      </c>
      <c r="F16395" s="34" t="n">
        <f aca="false">IFERROR(VLOOKUP($A16395,'319'!$B:$H,7,0),0)</f>
        <v>0</v>
      </c>
      <c r="G16395" s="34" t="n">
        <f aca="false">SUMIFS('12.326ana'!$C:$C,'12.326ana'!$M:$M,redes!A16395)</f>
        <v>0</v>
      </c>
    </row>
    <row r="16396" customFormat="false" ht="14.4" hidden="true" customHeight="false" outlineLevel="0" collapsed="false">
      <c r="A16396" s="34" t="n">
        <v>31972125000107</v>
      </c>
      <c r="B16396" s="34" t="s">
        <v>30307</v>
      </c>
      <c r="C16396" s="34" t="s">
        <v>328</v>
      </c>
      <c r="E16396" s="30" t="s">
        <v>30308</v>
      </c>
      <c r="F16396" s="34" t="n">
        <f aca="false">IFERROR(VLOOKUP($A16396,'319'!$B:$H,7,0),0)</f>
        <v>0</v>
      </c>
      <c r="G16396" s="34" t="n">
        <f aca="false">SUMIFS('12.326ana'!$C:$C,'12.326ana'!$M:$M,redes!A16396)</f>
        <v>0</v>
      </c>
    </row>
    <row r="16397" customFormat="false" ht="14.4" hidden="true" customHeight="false" outlineLevel="0" collapsed="false">
      <c r="A16397" s="34" t="n">
        <v>31973192000146</v>
      </c>
      <c r="B16397" s="34" t="s">
        <v>30309</v>
      </c>
      <c r="C16397" s="34" t="s">
        <v>77</v>
      </c>
      <c r="E16397" s="30" t="s">
        <v>30310</v>
      </c>
      <c r="F16397" s="34" t="n">
        <f aca="false">IFERROR(VLOOKUP($A16397,'319'!$B:$H,7,0),0)</f>
        <v>0</v>
      </c>
      <c r="G16397" s="34" t="n">
        <f aca="false">SUMIFS('12.326ana'!$C:$C,'12.326ana'!$M:$M,redes!A16397)</f>
        <v>0</v>
      </c>
    </row>
    <row r="16398" customFormat="false" ht="14.4" hidden="true" customHeight="false" outlineLevel="0" collapsed="false">
      <c r="A16398" s="35" t="n">
        <v>31977060000192</v>
      </c>
      <c r="B16398" s="34" t="s">
        <v>30311</v>
      </c>
      <c r="C16398" s="34" t="s">
        <v>77</v>
      </c>
      <c r="E16398" s="30" t="s">
        <v>3206</v>
      </c>
      <c r="F16398" s="34" t="n">
        <f aca="false">IFERROR(VLOOKUP($A16398,'319'!$B:$H,7,0),0)</f>
        <v>0</v>
      </c>
      <c r="G16398" s="34" t="n">
        <f aca="false">SUMIFS('12.326ana'!$C:$C,'12.326ana'!$M:$M,redes!A16398)</f>
        <v>0</v>
      </c>
    </row>
    <row r="16399" customFormat="false" ht="14.4" hidden="true" customHeight="false" outlineLevel="0" collapsed="false">
      <c r="A16399" s="35" t="n">
        <v>31990248000170</v>
      </c>
      <c r="B16399" s="34" t="s">
        <v>30312</v>
      </c>
      <c r="C16399" s="34" t="s">
        <v>89</v>
      </c>
      <c r="E16399" s="30" t="s">
        <v>30313</v>
      </c>
      <c r="F16399" s="34" t="n">
        <f aca="false">IFERROR(VLOOKUP($A16399,'319'!$B:$H,7,0),0)</f>
        <v>0</v>
      </c>
      <c r="G16399" s="34" t="n">
        <f aca="false">SUMIFS('12.326ana'!$C:$C,'12.326ana'!$M:$M,redes!A16399)</f>
        <v>0</v>
      </c>
    </row>
    <row r="16400" customFormat="false" ht="14.4" hidden="true" customHeight="false" outlineLevel="0" collapsed="false">
      <c r="A16400" s="35" t="n">
        <v>32003898000148</v>
      </c>
      <c r="B16400" s="34" t="s">
        <v>30314</v>
      </c>
      <c r="C16400" s="34" t="s">
        <v>89</v>
      </c>
      <c r="E16400" s="30" t="s">
        <v>30315</v>
      </c>
      <c r="F16400" s="34" t="n">
        <f aca="false">IFERROR(VLOOKUP($A16400,'319'!$B:$H,7,0),0)</f>
        <v>0</v>
      </c>
      <c r="G16400" s="34" t="n">
        <f aca="false">SUMIFS('12.326ana'!$C:$C,'12.326ana'!$M:$M,redes!A16400)</f>
        <v>0</v>
      </c>
    </row>
    <row r="16401" customFormat="false" ht="14.4" hidden="true" customHeight="false" outlineLevel="0" collapsed="false">
      <c r="A16401" s="35" t="n">
        <v>32009035000188</v>
      </c>
      <c r="B16401" s="34" t="s">
        <v>30316</v>
      </c>
      <c r="C16401" s="34" t="s">
        <v>103</v>
      </c>
      <c r="E16401" s="30" t="s">
        <v>30317</v>
      </c>
      <c r="F16401" s="34" t="n">
        <f aca="false">IFERROR(VLOOKUP($A16401,'319'!$B:$H,7,0),0)</f>
        <v>0</v>
      </c>
      <c r="G16401" s="34" t="n">
        <f aca="false">SUMIFS('12.326ana'!$C:$C,'12.326ana'!$M:$M,redes!A16401)</f>
        <v>0</v>
      </c>
    </row>
    <row r="16402" customFormat="false" ht="14.4" hidden="true" customHeight="false" outlineLevel="0" collapsed="false">
      <c r="A16402" s="35" t="n">
        <v>32010722000113</v>
      </c>
      <c r="B16402" s="34" t="s">
        <v>30318</v>
      </c>
      <c r="C16402" s="34" t="s">
        <v>77</v>
      </c>
      <c r="E16402" s="30" t="s">
        <v>30319</v>
      </c>
      <c r="F16402" s="34" t="n">
        <f aca="false">IFERROR(VLOOKUP($A16402,'319'!$B:$H,7,0),0)</f>
        <v>0</v>
      </c>
      <c r="G16402" s="34" t="n">
        <f aca="false">SUMIFS('12.326ana'!$C:$C,'12.326ana'!$M:$M,redes!A16402)</f>
        <v>0</v>
      </c>
    </row>
    <row r="16403" customFormat="false" ht="14.4" hidden="true" customHeight="false" outlineLevel="0" collapsed="false">
      <c r="A16403" s="34" t="n">
        <v>32022904000104</v>
      </c>
      <c r="B16403" s="34" t="s">
        <v>30320</v>
      </c>
      <c r="C16403" s="34" t="s">
        <v>77</v>
      </c>
      <c r="E16403" s="30" t="s">
        <v>30321</v>
      </c>
      <c r="F16403" s="34" t="n">
        <f aca="false">IFERROR(VLOOKUP($A16403,'319'!$B:$H,7,0),0)</f>
        <v>0</v>
      </c>
      <c r="G16403" s="34" t="n">
        <f aca="false">SUMIFS('12.326ana'!$C:$C,'12.326ana'!$M:$M,redes!A16403)</f>
        <v>0</v>
      </c>
    </row>
    <row r="16404" customFormat="false" ht="14.4" hidden="true" customHeight="false" outlineLevel="0" collapsed="false">
      <c r="A16404" s="34" t="n">
        <v>32032147000150</v>
      </c>
      <c r="B16404" s="34" t="s">
        <v>30322</v>
      </c>
      <c r="C16404" s="34" t="s">
        <v>77</v>
      </c>
      <c r="E16404" s="30" t="s">
        <v>30322</v>
      </c>
      <c r="F16404" s="34" t="n">
        <f aca="false">IFERROR(VLOOKUP($A16404,'319'!$B:$H,7,0),0)</f>
        <v>0</v>
      </c>
      <c r="G16404" s="34" t="n">
        <f aca="false">SUMIFS('12.326ana'!$C:$C,'12.326ana'!$M:$M,redes!A16404)</f>
        <v>0</v>
      </c>
    </row>
    <row r="16405" customFormat="false" ht="14.4" hidden="true" customHeight="false" outlineLevel="0" collapsed="false">
      <c r="A16405" s="34" t="n">
        <v>32097576000105</v>
      </c>
      <c r="B16405" s="34" t="s">
        <v>30323</v>
      </c>
      <c r="C16405" s="34" t="s">
        <v>89</v>
      </c>
      <c r="E16405" s="30" t="s">
        <v>30324</v>
      </c>
      <c r="F16405" s="34" t="n">
        <f aca="false">IFERROR(VLOOKUP($A16405,'319'!$B:$H,7,0),0)</f>
        <v>0</v>
      </c>
      <c r="G16405" s="34" t="n">
        <f aca="false">SUMIFS('12.326ana'!$C:$C,'12.326ana'!$M:$M,redes!A16405)</f>
        <v>0</v>
      </c>
    </row>
    <row r="16406" customFormat="false" ht="14.4" hidden="true" customHeight="false" outlineLevel="0" collapsed="false">
      <c r="A16406" s="34" t="n">
        <v>32097593000142</v>
      </c>
      <c r="B16406" s="34" t="s">
        <v>30325</v>
      </c>
      <c r="C16406" s="34" t="s">
        <v>2998</v>
      </c>
      <c r="E16406" s="30" t="s">
        <v>30326</v>
      </c>
      <c r="F16406" s="34" t="n">
        <f aca="false">IFERROR(VLOOKUP($A16406,'319'!$B:$H,7,0),0)</f>
        <v>0</v>
      </c>
      <c r="G16406" s="34" t="n">
        <f aca="false">SUMIFS('12.326ana'!$C:$C,'12.326ana'!$M:$M,redes!A16406)</f>
        <v>0</v>
      </c>
    </row>
    <row r="16407" customFormat="false" ht="14.4" hidden="true" customHeight="false" outlineLevel="0" collapsed="false">
      <c r="A16407" s="34" t="n">
        <v>32099167000148</v>
      </c>
      <c r="B16407" s="34" t="s">
        <v>30327</v>
      </c>
      <c r="C16407" s="34" t="s">
        <v>77</v>
      </c>
      <c r="E16407" s="30" t="s">
        <v>30110</v>
      </c>
      <c r="F16407" s="34" t="n">
        <f aca="false">IFERROR(VLOOKUP($A16407,'319'!$B:$H,7,0),0)</f>
        <v>0</v>
      </c>
      <c r="G16407" s="34" t="n">
        <f aca="false">SUMIFS('12.326ana'!$C:$C,'12.326ana'!$M:$M,redes!A16407)</f>
        <v>0</v>
      </c>
    </row>
    <row r="16408" customFormat="false" ht="14.4" hidden="true" customHeight="false" outlineLevel="0" collapsed="false">
      <c r="A16408" s="34" t="n">
        <v>32100194000193</v>
      </c>
      <c r="B16408" s="34" t="s">
        <v>30328</v>
      </c>
      <c r="C16408" s="34" t="s">
        <v>103</v>
      </c>
      <c r="E16408" s="30" t="s">
        <v>12692</v>
      </c>
      <c r="F16408" s="34" t="n">
        <f aca="false">IFERROR(VLOOKUP($A16408,'319'!$B:$H,7,0),0)</f>
        <v>0</v>
      </c>
      <c r="G16408" s="34" t="n">
        <f aca="false">SUMIFS('12.326ana'!$C:$C,'12.326ana'!$M:$M,redes!A16408)</f>
        <v>0</v>
      </c>
    </row>
    <row r="16409" customFormat="false" ht="14.4" hidden="true" customHeight="false" outlineLevel="0" collapsed="false">
      <c r="A16409" s="34" t="n">
        <v>32103984000122</v>
      </c>
      <c r="B16409" s="34" t="s">
        <v>30329</v>
      </c>
      <c r="C16409" s="34" t="s">
        <v>631</v>
      </c>
      <c r="E16409" s="30" t="s">
        <v>30330</v>
      </c>
      <c r="F16409" s="34" t="n">
        <f aca="false">IFERROR(VLOOKUP($A16409,'319'!$B:$H,7,0),0)</f>
        <v>0</v>
      </c>
      <c r="G16409" s="34" t="n">
        <f aca="false">SUMIFS('12.326ana'!$C:$C,'12.326ana'!$M:$M,redes!A16409)</f>
        <v>0</v>
      </c>
    </row>
    <row r="16410" customFormat="false" ht="14.4" hidden="true" customHeight="false" outlineLevel="0" collapsed="false">
      <c r="A16410" s="34" t="n">
        <v>32111696000110</v>
      </c>
      <c r="B16410" s="34" t="s">
        <v>30331</v>
      </c>
      <c r="C16410" s="34" t="s">
        <v>546</v>
      </c>
      <c r="E16410" s="30" t="s">
        <v>30332</v>
      </c>
      <c r="F16410" s="34" t="n">
        <f aca="false">IFERROR(VLOOKUP($A16410,'319'!$B:$H,7,0),0)</f>
        <v>0</v>
      </c>
      <c r="G16410" s="34" t="n">
        <f aca="false">SUMIFS('12.326ana'!$C:$C,'12.326ana'!$M:$M,redes!A16410)</f>
        <v>0</v>
      </c>
    </row>
    <row r="16411" customFormat="false" ht="14.4" hidden="true" customHeight="false" outlineLevel="0" collapsed="false">
      <c r="A16411" s="34" t="n">
        <v>32115320000183</v>
      </c>
      <c r="B16411" s="34" t="s">
        <v>30333</v>
      </c>
      <c r="C16411" s="34" t="s">
        <v>77</v>
      </c>
      <c r="E16411" s="30" t="s">
        <v>30334</v>
      </c>
      <c r="F16411" s="34" t="n">
        <f aca="false">IFERROR(VLOOKUP($A16411,'319'!$B:$H,7,0),0)</f>
        <v>0</v>
      </c>
      <c r="G16411" s="34" t="n">
        <f aca="false">SUMIFS('12.326ana'!$C:$C,'12.326ana'!$M:$M,redes!A16411)</f>
        <v>0</v>
      </c>
    </row>
    <row r="16412" customFormat="false" ht="14.4" hidden="true" customHeight="false" outlineLevel="0" collapsed="false">
      <c r="A16412" s="34" t="n">
        <v>32122217000160</v>
      </c>
      <c r="B16412" s="34" t="s">
        <v>30335</v>
      </c>
      <c r="C16412" s="34" t="s">
        <v>565</v>
      </c>
      <c r="E16412" s="30" t="s">
        <v>6735</v>
      </c>
      <c r="F16412" s="34" t="n">
        <f aca="false">IFERROR(VLOOKUP($A16412,'319'!$B:$H,7,0),0)</f>
        <v>0</v>
      </c>
      <c r="G16412" s="34" t="n">
        <f aca="false">SUMIFS('12.326ana'!$C:$C,'12.326ana'!$M:$M,redes!A16412)</f>
        <v>0</v>
      </c>
    </row>
    <row r="16413" customFormat="false" ht="14.4" hidden="true" customHeight="false" outlineLevel="0" collapsed="false">
      <c r="A16413" s="34" t="n">
        <v>32124578000146</v>
      </c>
      <c r="B16413" s="34" t="s">
        <v>30336</v>
      </c>
      <c r="C16413" s="34" t="s">
        <v>299</v>
      </c>
      <c r="E16413" s="30" t="s">
        <v>30336</v>
      </c>
      <c r="F16413" s="34" t="n">
        <f aca="false">IFERROR(VLOOKUP($A16413,'319'!$B:$H,7,0),0)</f>
        <v>0</v>
      </c>
      <c r="G16413" s="34" t="n">
        <f aca="false">SUMIFS('12.326ana'!$C:$C,'12.326ana'!$M:$M,redes!A16413)</f>
        <v>0</v>
      </c>
    </row>
    <row r="16414" customFormat="false" ht="14.4" hidden="true" customHeight="false" outlineLevel="0" collapsed="false">
      <c r="A16414" s="34" t="n">
        <v>32138815000128</v>
      </c>
      <c r="B16414" s="34" t="s">
        <v>30337</v>
      </c>
      <c r="C16414" s="34" t="s">
        <v>117</v>
      </c>
      <c r="E16414" s="30" t="s">
        <v>30338</v>
      </c>
      <c r="F16414" s="34" t="n">
        <f aca="false">IFERROR(VLOOKUP($A16414,'319'!$B:$H,7,0),0)</f>
        <v>0</v>
      </c>
      <c r="G16414" s="34" t="n">
        <f aca="false">SUMIFS('12.326ana'!$C:$C,'12.326ana'!$M:$M,redes!A16414)</f>
        <v>0</v>
      </c>
    </row>
    <row r="16415" customFormat="false" ht="14.4" hidden="true" customHeight="false" outlineLevel="0" collapsed="false">
      <c r="A16415" s="34" t="n">
        <v>32141779000151</v>
      </c>
      <c r="B16415" s="34" t="s">
        <v>30339</v>
      </c>
      <c r="C16415" s="34" t="s">
        <v>77</v>
      </c>
      <c r="E16415" s="30" t="s">
        <v>30340</v>
      </c>
      <c r="F16415" s="34" t="n">
        <f aca="false">IFERROR(VLOOKUP($A16415,'319'!$B:$H,7,0),0)</f>
        <v>0</v>
      </c>
      <c r="G16415" s="34" t="n">
        <f aca="false">SUMIFS('12.326ana'!$C:$C,'12.326ana'!$M:$M,redes!A16415)</f>
        <v>0</v>
      </c>
    </row>
    <row r="16416" customFormat="false" ht="14.4" hidden="true" customHeight="false" outlineLevel="0" collapsed="false">
      <c r="A16416" s="34" t="n">
        <v>32150913000180</v>
      </c>
      <c r="B16416" s="34" t="s">
        <v>10346</v>
      </c>
      <c r="C16416" s="34" t="s">
        <v>77</v>
      </c>
      <c r="E16416" s="30" t="s">
        <v>3674</v>
      </c>
      <c r="F16416" s="34" t="n">
        <f aca="false">IFERROR(VLOOKUP($A16416,'319'!$B:$H,7,0),0)</f>
        <v>0</v>
      </c>
      <c r="G16416" s="34" t="n">
        <f aca="false">SUMIFS('12.326ana'!$C:$C,'12.326ana'!$M:$M,redes!A16416)</f>
        <v>0</v>
      </c>
    </row>
    <row r="16417" customFormat="false" ht="14.4" hidden="true" customHeight="false" outlineLevel="0" collapsed="false">
      <c r="A16417" s="34" t="n">
        <v>32158967000192</v>
      </c>
      <c r="B16417" s="34" t="s">
        <v>30341</v>
      </c>
      <c r="C16417" s="34" t="s">
        <v>478</v>
      </c>
      <c r="E16417" s="30" t="s">
        <v>30342</v>
      </c>
      <c r="F16417" s="34" t="n">
        <f aca="false">IFERROR(VLOOKUP($A16417,'319'!$B:$H,7,0),0)</f>
        <v>0</v>
      </c>
      <c r="G16417" s="34" t="n">
        <f aca="false">SUMIFS('12.326ana'!$C:$C,'12.326ana'!$M:$M,redes!A16417)</f>
        <v>0</v>
      </c>
    </row>
    <row r="16418" customFormat="false" ht="14.4" hidden="true" customHeight="false" outlineLevel="0" collapsed="false">
      <c r="A16418" s="34" t="n">
        <v>32160920000163</v>
      </c>
      <c r="B16418" s="34" t="s">
        <v>30343</v>
      </c>
      <c r="C16418" s="34" t="s">
        <v>77</v>
      </c>
      <c r="E16418" s="30" t="s">
        <v>30344</v>
      </c>
      <c r="F16418" s="34" t="n">
        <f aca="false">IFERROR(VLOOKUP($A16418,'319'!$B:$H,7,0),0)</f>
        <v>0</v>
      </c>
      <c r="G16418" s="34" t="n">
        <f aca="false">SUMIFS('12.326ana'!$C:$C,'12.326ana'!$M:$M,redes!A16418)</f>
        <v>0</v>
      </c>
    </row>
    <row r="16419" customFormat="false" ht="14.4" hidden="true" customHeight="false" outlineLevel="0" collapsed="false">
      <c r="A16419" s="34" t="n">
        <v>32161511000181</v>
      </c>
      <c r="B16419" s="34" t="s">
        <v>30345</v>
      </c>
      <c r="C16419" s="34" t="s">
        <v>473</v>
      </c>
      <c r="E16419" s="30" t="s">
        <v>30346</v>
      </c>
      <c r="F16419" s="34" t="n">
        <f aca="false">IFERROR(VLOOKUP($A16419,'319'!$B:$H,7,0),0)</f>
        <v>0</v>
      </c>
      <c r="G16419" s="34" t="n">
        <f aca="false">SUMIFS('12.326ana'!$C:$C,'12.326ana'!$M:$M,redes!A16419)</f>
        <v>0</v>
      </c>
    </row>
    <row r="16420" customFormat="false" ht="14.4" hidden="true" customHeight="false" outlineLevel="0" collapsed="false">
      <c r="A16420" s="34" t="n">
        <v>32166033000100</v>
      </c>
      <c r="B16420" s="34" t="s">
        <v>30347</v>
      </c>
      <c r="C16420" s="34" t="s">
        <v>89</v>
      </c>
      <c r="E16420" s="30" t="s">
        <v>30348</v>
      </c>
      <c r="F16420" s="34" t="n">
        <f aca="false">IFERROR(VLOOKUP($A16420,'319'!$B:$H,7,0),0)</f>
        <v>0</v>
      </c>
      <c r="G16420" s="34" t="n">
        <f aca="false">SUMIFS('12.326ana'!$C:$C,'12.326ana'!$M:$M,redes!A16420)</f>
        <v>0</v>
      </c>
    </row>
    <row r="16421" customFormat="false" ht="14.4" hidden="true" customHeight="false" outlineLevel="0" collapsed="false">
      <c r="A16421" s="34" t="n">
        <v>32169804000105</v>
      </c>
      <c r="B16421" s="34" t="s">
        <v>30349</v>
      </c>
      <c r="C16421" s="34" t="s">
        <v>89</v>
      </c>
      <c r="E16421" s="30" t="s">
        <v>30350</v>
      </c>
      <c r="F16421" s="34" t="n">
        <f aca="false">IFERROR(VLOOKUP($A16421,'319'!$B:$H,7,0),0)</f>
        <v>0</v>
      </c>
      <c r="G16421" s="34" t="n">
        <f aca="false">SUMIFS('12.326ana'!$C:$C,'12.326ana'!$M:$M,redes!A16421)</f>
        <v>0</v>
      </c>
    </row>
    <row r="16422" customFormat="false" ht="14.4" hidden="true" customHeight="false" outlineLevel="0" collapsed="false">
      <c r="A16422" s="34" t="n">
        <v>32174118000122</v>
      </c>
      <c r="B16422" s="34" t="s">
        <v>30351</v>
      </c>
      <c r="C16422" s="34" t="s">
        <v>309</v>
      </c>
      <c r="E16422" s="30" t="s">
        <v>30352</v>
      </c>
      <c r="F16422" s="34" t="n">
        <f aca="false">IFERROR(VLOOKUP($A16422,'319'!$B:$H,7,0),0)</f>
        <v>0</v>
      </c>
      <c r="G16422" s="34" t="n">
        <f aca="false">SUMIFS('12.326ana'!$C:$C,'12.326ana'!$M:$M,redes!A16422)</f>
        <v>0</v>
      </c>
    </row>
    <row r="16423" customFormat="false" ht="14.4" hidden="true" customHeight="false" outlineLevel="0" collapsed="false">
      <c r="A16423" s="34" t="n">
        <v>32191647000134</v>
      </c>
      <c r="B16423" s="34" t="s">
        <v>30353</v>
      </c>
      <c r="C16423" s="34" t="s">
        <v>448</v>
      </c>
      <c r="E16423" s="30" t="s">
        <v>30354</v>
      </c>
      <c r="F16423" s="34" t="n">
        <f aca="false">IFERROR(VLOOKUP($A16423,'319'!$B:$H,7,0),0)</f>
        <v>0</v>
      </c>
      <c r="G16423" s="34" t="n">
        <f aca="false">SUMIFS('12.326ana'!$C:$C,'12.326ana'!$M:$M,redes!A16423)</f>
        <v>0</v>
      </c>
    </row>
    <row r="16424" customFormat="false" ht="14.4" hidden="true" customHeight="false" outlineLevel="0" collapsed="false">
      <c r="A16424" s="34" t="n">
        <v>32198646000111</v>
      </c>
      <c r="B16424" s="34" t="s">
        <v>30355</v>
      </c>
      <c r="C16424" s="34" t="s">
        <v>631</v>
      </c>
      <c r="E16424" s="30" t="s">
        <v>30356</v>
      </c>
      <c r="F16424" s="34" t="n">
        <f aca="false">IFERROR(VLOOKUP($A16424,'319'!$B:$H,7,0),0)</f>
        <v>0</v>
      </c>
      <c r="G16424" s="34" t="n">
        <f aca="false">SUMIFS('12.326ana'!$C:$C,'12.326ana'!$M:$M,redes!A16424)</f>
        <v>0</v>
      </c>
    </row>
    <row r="16425" customFormat="false" ht="14.4" hidden="true" customHeight="false" outlineLevel="0" collapsed="false">
      <c r="A16425" s="34" t="n">
        <v>32201482000134</v>
      </c>
      <c r="B16425" s="34" t="s">
        <v>30357</v>
      </c>
      <c r="C16425" s="34" t="s">
        <v>77</v>
      </c>
      <c r="E16425" s="30" t="s">
        <v>30358</v>
      </c>
      <c r="F16425" s="34" t="n">
        <f aca="false">IFERROR(VLOOKUP($A16425,'319'!$B:$H,7,0),0)</f>
        <v>0</v>
      </c>
      <c r="G16425" s="34" t="n">
        <f aca="false">SUMIFS('12.326ana'!$C:$C,'12.326ana'!$M:$M,redes!A16425)</f>
        <v>0</v>
      </c>
    </row>
    <row r="16426" customFormat="false" ht="14.4" hidden="true" customHeight="false" outlineLevel="0" collapsed="false">
      <c r="A16426" s="34" t="n">
        <v>32203543000100</v>
      </c>
      <c r="B16426" s="34" t="s">
        <v>30359</v>
      </c>
      <c r="C16426" s="34" t="s">
        <v>103</v>
      </c>
      <c r="E16426" s="30" t="s">
        <v>30360</v>
      </c>
      <c r="F16426" s="34" t="n">
        <f aca="false">IFERROR(VLOOKUP($A16426,'319'!$B:$H,7,0),0)</f>
        <v>0</v>
      </c>
      <c r="G16426" s="34" t="n">
        <f aca="false">SUMIFS('12.326ana'!$C:$C,'12.326ana'!$M:$M,redes!A16426)</f>
        <v>0</v>
      </c>
    </row>
    <row r="16427" customFormat="false" ht="14.4" hidden="true" customHeight="false" outlineLevel="0" collapsed="false">
      <c r="A16427" s="34" t="n">
        <v>32203543000283</v>
      </c>
      <c r="B16427" s="34" t="s">
        <v>30361</v>
      </c>
      <c r="C16427" s="34" t="s">
        <v>103</v>
      </c>
      <c r="E16427" s="30" t="s">
        <v>30362</v>
      </c>
      <c r="F16427" s="34" t="n">
        <f aca="false">IFERROR(VLOOKUP($A16427,'319'!$B:$H,7,0),0)</f>
        <v>0</v>
      </c>
      <c r="G16427" s="34" t="n">
        <f aca="false">SUMIFS('12.326ana'!$C:$C,'12.326ana'!$M:$M,redes!A16427)</f>
        <v>0</v>
      </c>
    </row>
    <row r="16428" customFormat="false" ht="14.4" hidden="true" customHeight="false" outlineLevel="0" collapsed="false">
      <c r="A16428" s="34" t="n">
        <v>32212285000110</v>
      </c>
      <c r="B16428" s="34" t="s">
        <v>30363</v>
      </c>
      <c r="C16428" s="34" t="s">
        <v>77</v>
      </c>
      <c r="E16428" s="30" t="s">
        <v>4537</v>
      </c>
      <c r="F16428" s="34" t="n">
        <f aca="false">IFERROR(VLOOKUP($A16428,'319'!$B:$H,7,0),0)</f>
        <v>253.51</v>
      </c>
      <c r="G16428" s="34" t="n">
        <f aca="false">SUMIFS('12.326ana'!$C:$C,'12.326ana'!$M:$M,redes!A16428)</f>
        <v>0</v>
      </c>
    </row>
    <row r="16429" customFormat="false" ht="14.4" hidden="true" customHeight="false" outlineLevel="0" collapsed="false">
      <c r="A16429" s="34" t="n">
        <v>32216507000173</v>
      </c>
      <c r="B16429" s="34" t="s">
        <v>23566</v>
      </c>
      <c r="C16429" s="34" t="s">
        <v>737</v>
      </c>
      <c r="E16429" s="30" t="s">
        <v>30364</v>
      </c>
      <c r="F16429" s="34" t="n">
        <f aca="false">IFERROR(VLOOKUP($A16429,'319'!$B:$H,7,0),0)</f>
        <v>0</v>
      </c>
      <c r="G16429" s="34" t="n">
        <f aca="false">SUMIFS('12.326ana'!$C:$C,'12.326ana'!$M:$M,redes!A16429)</f>
        <v>0</v>
      </c>
    </row>
    <row r="16430" customFormat="false" ht="14.4" hidden="true" customHeight="false" outlineLevel="0" collapsed="false">
      <c r="A16430" s="34" t="n">
        <v>32241576000137</v>
      </c>
      <c r="B16430" s="34" t="s">
        <v>30365</v>
      </c>
      <c r="C16430" s="34" t="s">
        <v>77</v>
      </c>
      <c r="E16430" s="30" t="s">
        <v>30366</v>
      </c>
      <c r="F16430" s="34" t="n">
        <f aca="false">IFERROR(VLOOKUP($A16430,'319'!$B:$H,7,0),0)</f>
        <v>0</v>
      </c>
      <c r="G16430" s="34" t="n">
        <f aca="false">SUMIFS('12.326ana'!$C:$C,'12.326ana'!$M:$M,redes!A16430)</f>
        <v>0</v>
      </c>
    </row>
    <row r="16431" customFormat="false" ht="14.4" hidden="true" customHeight="false" outlineLevel="0" collapsed="false">
      <c r="A16431" s="34" t="n">
        <v>32244317000160</v>
      </c>
      <c r="B16431" s="34" t="s">
        <v>30367</v>
      </c>
      <c r="C16431" s="34" t="s">
        <v>77</v>
      </c>
      <c r="E16431" s="30" t="s">
        <v>30368</v>
      </c>
      <c r="F16431" s="34" t="n">
        <f aca="false">IFERROR(VLOOKUP($A16431,'319'!$B:$H,7,0),0)</f>
        <v>0</v>
      </c>
      <c r="G16431" s="34" t="n">
        <f aca="false">SUMIFS('12.326ana'!$C:$C,'12.326ana'!$M:$M,redes!A16431)</f>
        <v>0</v>
      </c>
    </row>
    <row r="16432" customFormat="false" ht="14.4" hidden="true" customHeight="false" outlineLevel="0" collapsed="false">
      <c r="A16432" s="34" t="n">
        <v>32253946000156</v>
      </c>
      <c r="B16432" s="34" t="s">
        <v>30369</v>
      </c>
      <c r="C16432" s="34" t="s">
        <v>77</v>
      </c>
      <c r="E16432" s="30" t="s">
        <v>30370</v>
      </c>
      <c r="F16432" s="34" t="n">
        <f aca="false">IFERROR(VLOOKUP($A16432,'319'!$B:$H,7,0),0)</f>
        <v>0</v>
      </c>
      <c r="G16432" s="34" t="n">
        <f aca="false">SUMIFS('12.326ana'!$C:$C,'12.326ana'!$M:$M,redes!A16432)</f>
        <v>0</v>
      </c>
    </row>
    <row r="16433" customFormat="false" ht="14.4" hidden="true" customHeight="false" outlineLevel="0" collapsed="false">
      <c r="A16433" s="34" t="n">
        <v>32255766000103</v>
      </c>
      <c r="B16433" s="34" t="s">
        <v>30371</v>
      </c>
      <c r="C16433" s="34" t="s">
        <v>77</v>
      </c>
      <c r="E16433" s="30" t="s">
        <v>30372</v>
      </c>
      <c r="F16433" s="34" t="n">
        <f aca="false">IFERROR(VLOOKUP($A16433,'319'!$B:$H,7,0),0)</f>
        <v>0</v>
      </c>
      <c r="G16433" s="34" t="n">
        <f aca="false">SUMIFS('12.326ana'!$C:$C,'12.326ana'!$M:$M,redes!A16433)</f>
        <v>0</v>
      </c>
    </row>
    <row r="16434" customFormat="false" ht="14.4" hidden="true" customHeight="false" outlineLevel="0" collapsed="false">
      <c r="A16434" s="34" t="n">
        <v>32273756000109</v>
      </c>
      <c r="B16434" s="34" t="s">
        <v>30373</v>
      </c>
      <c r="C16434" s="34" t="s">
        <v>77</v>
      </c>
      <c r="E16434" s="30" t="s">
        <v>30374</v>
      </c>
      <c r="F16434" s="34" t="n">
        <f aca="false">IFERROR(VLOOKUP($A16434,'319'!$B:$H,7,0),0)</f>
        <v>0</v>
      </c>
      <c r="G16434" s="34" t="n">
        <f aca="false">SUMIFS('12.326ana'!$C:$C,'12.326ana'!$M:$M,redes!A16434)</f>
        <v>0</v>
      </c>
    </row>
    <row r="16435" customFormat="false" ht="14.4" hidden="true" customHeight="false" outlineLevel="0" collapsed="false">
      <c r="A16435" s="34" t="n">
        <v>32274039000193</v>
      </c>
      <c r="B16435" s="34" t="s">
        <v>30375</v>
      </c>
      <c r="C16435" s="34" t="s">
        <v>89</v>
      </c>
      <c r="E16435" s="30" t="s">
        <v>30376</v>
      </c>
      <c r="F16435" s="34" t="n">
        <f aca="false">IFERROR(VLOOKUP($A16435,'319'!$B:$H,7,0),0)</f>
        <v>0</v>
      </c>
      <c r="G16435" s="34" t="n">
        <f aca="false">SUMIFS('12.326ana'!$C:$C,'12.326ana'!$M:$M,redes!A16435)</f>
        <v>0</v>
      </c>
    </row>
    <row r="16436" customFormat="false" ht="14.4" hidden="true" customHeight="false" outlineLevel="0" collapsed="false">
      <c r="A16436" s="34" t="n">
        <v>32323524000100</v>
      </c>
      <c r="B16436" s="34" t="s">
        <v>30377</v>
      </c>
      <c r="C16436" s="34" t="s">
        <v>77</v>
      </c>
      <c r="E16436" s="30" t="s">
        <v>30378</v>
      </c>
      <c r="F16436" s="34" t="n">
        <f aca="false">IFERROR(VLOOKUP($A16436,'319'!$B:$H,7,0),0)</f>
        <v>0</v>
      </c>
      <c r="G16436" s="34" t="n">
        <f aca="false">SUMIFS('12.326ana'!$C:$C,'12.326ana'!$M:$M,redes!A16436)</f>
        <v>0</v>
      </c>
    </row>
    <row r="16437" customFormat="false" ht="14.4" hidden="true" customHeight="false" outlineLevel="0" collapsed="false">
      <c r="A16437" s="34" t="n">
        <v>32324052000100</v>
      </c>
      <c r="B16437" s="34" t="s">
        <v>30379</v>
      </c>
      <c r="C16437" s="34" t="s">
        <v>954</v>
      </c>
      <c r="E16437" s="30" t="s">
        <v>30380</v>
      </c>
      <c r="F16437" s="34" t="n">
        <f aca="false">IFERROR(VLOOKUP($A16437,'319'!$B:$H,7,0),0)</f>
        <v>0</v>
      </c>
      <c r="G16437" s="34" t="n">
        <f aca="false">SUMIFS('12.326ana'!$C:$C,'12.326ana'!$M:$M,redes!A16437)</f>
        <v>0</v>
      </c>
    </row>
    <row r="16438" customFormat="false" ht="14.4" hidden="true" customHeight="false" outlineLevel="0" collapsed="false">
      <c r="A16438" s="34" t="n">
        <v>32341913000168</v>
      </c>
      <c r="B16438" s="34" t="s">
        <v>30381</v>
      </c>
      <c r="C16438" s="34" t="s">
        <v>631</v>
      </c>
      <c r="E16438" s="30" t="s">
        <v>30382</v>
      </c>
      <c r="F16438" s="34" t="n">
        <f aca="false">IFERROR(VLOOKUP($A16438,'319'!$B:$H,7,0),0)</f>
        <v>0</v>
      </c>
      <c r="G16438" s="34" t="n">
        <f aca="false">SUMIFS('12.326ana'!$C:$C,'12.326ana'!$M:$M,redes!A16438)</f>
        <v>0</v>
      </c>
    </row>
    <row r="16439" customFormat="false" ht="14.4" hidden="true" customHeight="false" outlineLevel="0" collapsed="false">
      <c r="A16439" s="34" t="n">
        <v>32348220000105</v>
      </c>
      <c r="B16439" s="34" t="s">
        <v>30383</v>
      </c>
      <c r="C16439" s="34" t="s">
        <v>77</v>
      </c>
      <c r="E16439" s="30" t="s">
        <v>30384</v>
      </c>
      <c r="F16439" s="34" t="n">
        <f aca="false">IFERROR(VLOOKUP($A16439,'319'!$B:$H,7,0),0)</f>
        <v>0</v>
      </c>
      <c r="G16439" s="34" t="n">
        <f aca="false">SUMIFS('12.326ana'!$C:$C,'12.326ana'!$M:$M,redes!A16439)</f>
        <v>0</v>
      </c>
    </row>
    <row r="16440" customFormat="false" ht="14.4" hidden="true" customHeight="false" outlineLevel="0" collapsed="false">
      <c r="A16440" s="34" t="n">
        <v>32393747000143</v>
      </c>
      <c r="B16440" s="34" t="s">
        <v>30385</v>
      </c>
      <c r="C16440" s="34" t="s">
        <v>89</v>
      </c>
      <c r="E16440" s="30" t="s">
        <v>30386</v>
      </c>
      <c r="F16440" s="34" t="n">
        <f aca="false">IFERROR(VLOOKUP($A16440,'319'!$B:$H,7,0),0)</f>
        <v>0</v>
      </c>
      <c r="G16440" s="34" t="n">
        <f aca="false">SUMIFS('12.326ana'!$C:$C,'12.326ana'!$M:$M,redes!A16440)</f>
        <v>0</v>
      </c>
    </row>
    <row r="16441" customFormat="false" ht="14.4" hidden="true" customHeight="false" outlineLevel="0" collapsed="false">
      <c r="A16441" s="34" t="n">
        <v>32397885000109</v>
      </c>
      <c r="B16441" s="34" t="s">
        <v>30387</v>
      </c>
      <c r="C16441" s="34" t="s">
        <v>13434</v>
      </c>
      <c r="E16441" s="30" t="s">
        <v>30388</v>
      </c>
      <c r="F16441" s="34" t="n">
        <f aca="false">IFERROR(VLOOKUP($A16441,'319'!$B:$H,7,0),0)</f>
        <v>0</v>
      </c>
      <c r="G16441" s="34" t="n">
        <f aca="false">SUMIFS('12.326ana'!$C:$C,'12.326ana'!$M:$M,redes!A16441)</f>
        <v>0</v>
      </c>
    </row>
    <row r="16442" customFormat="false" ht="14.4" hidden="true" customHeight="false" outlineLevel="0" collapsed="false">
      <c r="A16442" s="34" t="n">
        <v>32400377000124</v>
      </c>
      <c r="B16442" s="34" t="s">
        <v>30389</v>
      </c>
      <c r="C16442" s="34" t="s">
        <v>89</v>
      </c>
      <c r="E16442" s="30" t="s">
        <v>30390</v>
      </c>
      <c r="F16442" s="34" t="n">
        <f aca="false">IFERROR(VLOOKUP($A16442,'319'!$B:$H,7,0),0)</f>
        <v>0</v>
      </c>
      <c r="G16442" s="34" t="n">
        <f aca="false">SUMIFS('12.326ana'!$C:$C,'12.326ana'!$M:$M,redes!A16442)</f>
        <v>0</v>
      </c>
    </row>
    <row r="16443" customFormat="false" ht="14.4" hidden="true" customHeight="false" outlineLevel="0" collapsed="false">
      <c r="A16443" s="34" t="n">
        <v>32410244000139</v>
      </c>
      <c r="B16443" s="34" t="s">
        <v>30391</v>
      </c>
      <c r="C16443" s="34" t="s">
        <v>448</v>
      </c>
      <c r="E16443" s="30" t="s">
        <v>30392</v>
      </c>
      <c r="F16443" s="34" t="n">
        <f aca="false">IFERROR(VLOOKUP($A16443,'319'!$B:$H,7,0),0)</f>
        <v>0</v>
      </c>
      <c r="G16443" s="34" t="n">
        <f aca="false">SUMIFS('12.326ana'!$C:$C,'12.326ana'!$M:$M,redes!A16443)</f>
        <v>0</v>
      </c>
    </row>
    <row r="16444" customFormat="false" ht="14.4" hidden="true" customHeight="false" outlineLevel="0" collapsed="false">
      <c r="A16444" s="34" t="n">
        <v>32436664000194</v>
      </c>
      <c r="B16444" s="34" t="s">
        <v>30393</v>
      </c>
      <c r="C16444" s="34" t="s">
        <v>77</v>
      </c>
      <c r="E16444" s="30" t="s">
        <v>30394</v>
      </c>
      <c r="F16444" s="34" t="n">
        <f aca="false">IFERROR(VLOOKUP($A16444,'319'!$B:$H,7,0),0)</f>
        <v>0</v>
      </c>
      <c r="G16444" s="34" t="n">
        <f aca="false">SUMIFS('12.326ana'!$C:$C,'12.326ana'!$M:$M,redes!A16444)</f>
        <v>0</v>
      </c>
    </row>
    <row r="16445" customFormat="false" ht="14.4" hidden="true" customHeight="false" outlineLevel="0" collapsed="false">
      <c r="A16445" s="34" t="n">
        <v>32440052000175</v>
      </c>
      <c r="B16445" s="34" t="s">
        <v>30395</v>
      </c>
      <c r="C16445" s="34" t="s">
        <v>336</v>
      </c>
      <c r="E16445" s="30" t="s">
        <v>8635</v>
      </c>
      <c r="F16445" s="34" t="n">
        <f aca="false">IFERROR(VLOOKUP($A16445,'319'!$B:$H,7,0),0)</f>
        <v>0</v>
      </c>
      <c r="G16445" s="34" t="n">
        <f aca="false">SUMIFS('12.326ana'!$C:$C,'12.326ana'!$M:$M,redes!A16445)</f>
        <v>0</v>
      </c>
    </row>
    <row r="16446" customFormat="false" ht="14.4" hidden="true" customHeight="false" outlineLevel="0" collapsed="false">
      <c r="A16446" s="34" t="n">
        <v>32450154000171</v>
      </c>
      <c r="B16446" s="34" t="s">
        <v>30396</v>
      </c>
      <c r="C16446" s="34" t="s">
        <v>680</v>
      </c>
      <c r="E16446" s="30" t="s">
        <v>30397</v>
      </c>
      <c r="F16446" s="34" t="n">
        <f aca="false">IFERROR(VLOOKUP($A16446,'319'!$B:$H,7,0),0)</f>
        <v>0</v>
      </c>
      <c r="G16446" s="34" t="n">
        <f aca="false">SUMIFS('12.326ana'!$C:$C,'12.326ana'!$M:$M,redes!A16446)</f>
        <v>0</v>
      </c>
    </row>
    <row r="16447" customFormat="false" ht="14.4" hidden="true" customHeight="false" outlineLevel="0" collapsed="false">
      <c r="A16447" s="34" t="n">
        <v>32473406000188</v>
      </c>
      <c r="B16447" s="34" t="s">
        <v>30398</v>
      </c>
      <c r="C16447" s="34" t="s">
        <v>77</v>
      </c>
      <c r="E16447" s="30" t="s">
        <v>30399</v>
      </c>
      <c r="F16447" s="34" t="n">
        <f aca="false">IFERROR(VLOOKUP($A16447,'319'!$B:$H,7,0),0)</f>
        <v>0</v>
      </c>
      <c r="G16447" s="34" t="n">
        <f aca="false">SUMIFS('12.326ana'!$C:$C,'12.326ana'!$M:$M,redes!A16447)</f>
        <v>0</v>
      </c>
    </row>
    <row r="16448" customFormat="false" ht="14.4" hidden="true" customHeight="false" outlineLevel="0" collapsed="false">
      <c r="A16448" s="34" t="n">
        <v>32492561000141</v>
      </c>
      <c r="B16448" s="34" t="s">
        <v>30400</v>
      </c>
      <c r="C16448" s="34" t="s">
        <v>77</v>
      </c>
      <c r="E16448" s="30" t="s">
        <v>12692</v>
      </c>
      <c r="F16448" s="34" t="n">
        <f aca="false">IFERROR(VLOOKUP($A16448,'319'!$B:$H,7,0),0)</f>
        <v>0</v>
      </c>
      <c r="G16448" s="34" t="n">
        <f aca="false">SUMIFS('12.326ana'!$C:$C,'12.326ana'!$M:$M,redes!A16448)</f>
        <v>0</v>
      </c>
    </row>
    <row r="16449" customFormat="false" ht="14.4" hidden="true" customHeight="false" outlineLevel="0" collapsed="false">
      <c r="A16449" s="34" t="n">
        <v>32492561000222</v>
      </c>
      <c r="B16449" s="34" t="s">
        <v>30400</v>
      </c>
      <c r="C16449" s="34" t="s">
        <v>77</v>
      </c>
      <c r="E16449" s="30" t="s">
        <v>30401</v>
      </c>
      <c r="F16449" s="34" t="n">
        <f aca="false">IFERROR(VLOOKUP($A16449,'319'!$B:$H,7,0),0)</f>
        <v>0</v>
      </c>
      <c r="G16449" s="34" t="n">
        <f aca="false">SUMIFS('12.326ana'!$C:$C,'12.326ana'!$M:$M,redes!A16449)</f>
        <v>0</v>
      </c>
    </row>
    <row r="16450" customFormat="false" ht="14.4" hidden="true" customHeight="false" outlineLevel="0" collapsed="false">
      <c r="A16450" s="34" t="n">
        <v>32492561000303</v>
      </c>
      <c r="B16450" s="34" t="s">
        <v>30400</v>
      </c>
      <c r="C16450" s="34" t="s">
        <v>77</v>
      </c>
      <c r="E16450" s="30" t="s">
        <v>12692</v>
      </c>
      <c r="F16450" s="34" t="n">
        <f aca="false">IFERROR(VLOOKUP($A16450,'319'!$B:$H,7,0),0)</f>
        <v>0</v>
      </c>
      <c r="G16450" s="34" t="n">
        <f aca="false">SUMIFS('12.326ana'!$C:$C,'12.326ana'!$M:$M,redes!A16450)</f>
        <v>0</v>
      </c>
    </row>
    <row r="16451" customFormat="false" ht="14.4" hidden="true" customHeight="false" outlineLevel="0" collapsed="false">
      <c r="A16451" s="34" t="n">
        <v>32517937000125</v>
      </c>
      <c r="B16451" s="34" t="s">
        <v>1601</v>
      </c>
      <c r="C16451" s="34" t="s">
        <v>1602</v>
      </c>
      <c r="E16451" s="30" t="s">
        <v>1601</v>
      </c>
      <c r="F16451" s="34" t="n">
        <f aca="false">IFERROR(VLOOKUP($A16451,'319'!$B:$H,7,0),0)</f>
        <v>88.6</v>
      </c>
      <c r="G16451" s="34" t="n">
        <f aca="false">SUMIFS('12.326ana'!$C:$C,'12.326ana'!$M:$M,redes!A16451)</f>
        <v>0</v>
      </c>
    </row>
    <row r="16452" customFormat="false" ht="14.4" hidden="true" customHeight="false" outlineLevel="0" collapsed="false">
      <c r="A16452" s="34" t="n">
        <v>32537164000149</v>
      </c>
      <c r="B16452" s="34" t="s">
        <v>30402</v>
      </c>
      <c r="C16452" s="34" t="s">
        <v>77</v>
      </c>
      <c r="E16452" s="30" t="s">
        <v>30403</v>
      </c>
      <c r="F16452" s="34" t="n">
        <f aca="false">IFERROR(VLOOKUP($A16452,'319'!$B:$H,7,0),0)</f>
        <v>0</v>
      </c>
      <c r="G16452" s="34" t="n">
        <f aca="false">SUMIFS('12.326ana'!$C:$C,'12.326ana'!$M:$M,redes!A16452)</f>
        <v>0</v>
      </c>
    </row>
    <row r="16453" customFormat="false" ht="14.4" hidden="true" customHeight="false" outlineLevel="0" collapsed="false">
      <c r="A16453" s="34" t="n">
        <v>32540308000116</v>
      </c>
      <c r="B16453" s="34" t="s">
        <v>30404</v>
      </c>
      <c r="C16453" s="34" t="s">
        <v>77</v>
      </c>
      <c r="E16453" s="30" t="s">
        <v>21860</v>
      </c>
      <c r="F16453" s="34" t="n">
        <f aca="false">IFERROR(VLOOKUP($A16453,'319'!$B:$H,7,0),0)</f>
        <v>0</v>
      </c>
      <c r="G16453" s="34" t="n">
        <f aca="false">SUMIFS('12.326ana'!$C:$C,'12.326ana'!$M:$M,redes!A16453)</f>
        <v>0</v>
      </c>
    </row>
    <row r="16454" customFormat="false" ht="14.4" hidden="true" customHeight="false" outlineLevel="0" collapsed="false">
      <c r="A16454" s="34" t="n">
        <v>32564324000149</v>
      </c>
      <c r="B16454" s="34" t="s">
        <v>30405</v>
      </c>
      <c r="C16454" s="34" t="s">
        <v>10103</v>
      </c>
      <c r="E16454" s="30" t="s">
        <v>5750</v>
      </c>
      <c r="F16454" s="34" t="n">
        <f aca="false">IFERROR(VLOOKUP($A16454,'319'!$B:$H,7,0),0)</f>
        <v>0</v>
      </c>
      <c r="G16454" s="34" t="n">
        <f aca="false">SUMIFS('12.326ana'!$C:$C,'12.326ana'!$M:$M,redes!A16454)</f>
        <v>0</v>
      </c>
    </row>
    <row r="16455" customFormat="false" ht="14.4" hidden="true" customHeight="false" outlineLevel="0" collapsed="false">
      <c r="A16455" s="34" t="n">
        <v>32575310000120</v>
      </c>
      <c r="B16455" s="34" t="s">
        <v>8371</v>
      </c>
      <c r="C16455" s="34" t="s">
        <v>77</v>
      </c>
      <c r="E16455" s="30" t="s">
        <v>30406</v>
      </c>
      <c r="F16455" s="34" t="n">
        <f aca="false">IFERROR(VLOOKUP($A16455,'319'!$B:$H,7,0),0)</f>
        <v>0</v>
      </c>
      <c r="G16455" s="34" t="n">
        <f aca="false">SUMIFS('12.326ana'!$C:$C,'12.326ana'!$M:$M,redes!A16455)</f>
        <v>0</v>
      </c>
    </row>
    <row r="16456" customFormat="false" ht="14.4" hidden="true" customHeight="false" outlineLevel="0" collapsed="false">
      <c r="A16456" s="34" t="n">
        <v>32579090000103</v>
      </c>
      <c r="B16456" s="34" t="s">
        <v>30407</v>
      </c>
      <c r="C16456" s="34" t="s">
        <v>192</v>
      </c>
      <c r="E16456" s="30" t="s">
        <v>30408</v>
      </c>
      <c r="F16456" s="34" t="n">
        <f aca="false">IFERROR(VLOOKUP($A16456,'319'!$B:$H,7,0),0)</f>
        <v>0</v>
      </c>
      <c r="G16456" s="34" t="n">
        <f aca="false">SUMIFS('12.326ana'!$C:$C,'12.326ana'!$M:$M,redes!A16456)</f>
        <v>0</v>
      </c>
    </row>
    <row r="16457" customFormat="false" ht="14.4" hidden="true" customHeight="false" outlineLevel="0" collapsed="false">
      <c r="A16457" s="34" t="n">
        <v>32597689000170</v>
      </c>
      <c r="B16457" s="34" t="s">
        <v>30409</v>
      </c>
      <c r="C16457" s="34" t="s">
        <v>77</v>
      </c>
      <c r="E16457" s="30" t="s">
        <v>30410</v>
      </c>
      <c r="F16457" s="34" t="n">
        <f aca="false">IFERROR(VLOOKUP($A16457,'319'!$B:$H,7,0),0)</f>
        <v>0</v>
      </c>
      <c r="G16457" s="34" t="n">
        <f aca="false">SUMIFS('12.326ana'!$C:$C,'12.326ana'!$M:$M,redes!A16457)</f>
        <v>0</v>
      </c>
    </row>
    <row r="16458" customFormat="false" ht="14.4" hidden="true" customHeight="false" outlineLevel="0" collapsed="false">
      <c r="A16458" s="34" t="n">
        <v>32617475000118</v>
      </c>
      <c r="B16458" s="34" t="s">
        <v>30411</v>
      </c>
      <c r="C16458" s="34" t="s">
        <v>781</v>
      </c>
      <c r="E16458" s="30" t="s">
        <v>30411</v>
      </c>
      <c r="F16458" s="34" t="n">
        <f aca="false">IFERROR(VLOOKUP($A16458,'319'!$B:$H,7,0),0)</f>
        <v>0</v>
      </c>
      <c r="G16458" s="34" t="n">
        <f aca="false">SUMIFS('12.326ana'!$C:$C,'12.326ana'!$M:$M,redes!A16458)</f>
        <v>0</v>
      </c>
    </row>
    <row r="16459" customFormat="false" ht="14.4" hidden="true" customHeight="false" outlineLevel="0" collapsed="false">
      <c r="A16459" s="34" t="n">
        <v>32619519000149</v>
      </c>
      <c r="B16459" s="34" t="s">
        <v>30412</v>
      </c>
      <c r="C16459" s="34" t="s">
        <v>107</v>
      </c>
      <c r="E16459" s="30" t="s">
        <v>30413</v>
      </c>
      <c r="F16459" s="34" t="n">
        <f aca="false">IFERROR(VLOOKUP($A16459,'319'!$B:$H,7,0),0)</f>
        <v>0</v>
      </c>
      <c r="G16459" s="34" t="n">
        <f aca="false">SUMIFS('12.326ana'!$C:$C,'12.326ana'!$M:$M,redes!A16459)</f>
        <v>0</v>
      </c>
    </row>
    <row r="16460" customFormat="false" ht="14.4" hidden="true" customHeight="false" outlineLevel="0" collapsed="false">
      <c r="A16460" s="34" t="n">
        <v>32623551000106</v>
      </c>
      <c r="B16460" s="34" t="s">
        <v>30414</v>
      </c>
      <c r="C16460" s="34" t="s">
        <v>77</v>
      </c>
      <c r="E16460" s="30" t="s">
        <v>30415</v>
      </c>
      <c r="F16460" s="34" t="n">
        <f aca="false">IFERROR(VLOOKUP($A16460,'319'!$B:$H,7,0),0)</f>
        <v>0</v>
      </c>
      <c r="G16460" s="34" t="n">
        <f aca="false">SUMIFS('12.326ana'!$C:$C,'12.326ana'!$M:$M,redes!A16460)</f>
        <v>0</v>
      </c>
    </row>
    <row r="16461" customFormat="false" ht="14.4" hidden="true" customHeight="false" outlineLevel="0" collapsed="false">
      <c r="A16461" s="34" t="n">
        <v>32626314000190</v>
      </c>
      <c r="B16461" s="34" t="s">
        <v>30416</v>
      </c>
      <c r="C16461" s="34" t="s">
        <v>77</v>
      </c>
      <c r="E16461" s="30" t="s">
        <v>30417</v>
      </c>
      <c r="F16461" s="34" t="n">
        <f aca="false">IFERROR(VLOOKUP($A16461,'319'!$B:$H,7,0),0)</f>
        <v>0</v>
      </c>
      <c r="G16461" s="34" t="n">
        <f aca="false">SUMIFS('12.326ana'!$C:$C,'12.326ana'!$M:$M,redes!A16461)</f>
        <v>0</v>
      </c>
    </row>
    <row r="16462" customFormat="false" ht="14.4" hidden="true" customHeight="false" outlineLevel="0" collapsed="false">
      <c r="A16462" s="34" t="n">
        <v>32672285000101</v>
      </c>
      <c r="B16462" s="34" t="s">
        <v>30418</v>
      </c>
      <c r="C16462" s="34" t="s">
        <v>103</v>
      </c>
      <c r="E16462" s="30" t="s">
        <v>3583</v>
      </c>
      <c r="F16462" s="34" t="n">
        <f aca="false">IFERROR(VLOOKUP($A16462,'319'!$B:$H,7,0),0)</f>
        <v>0</v>
      </c>
      <c r="G16462" s="34" t="n">
        <f aca="false">SUMIFS('12.326ana'!$C:$C,'12.326ana'!$M:$M,redes!A16462)</f>
        <v>0</v>
      </c>
    </row>
    <row r="16463" customFormat="false" ht="14.4" hidden="true" customHeight="false" outlineLevel="0" collapsed="false">
      <c r="A16463" s="34" t="n">
        <v>32676649000113</v>
      </c>
      <c r="B16463" s="34" t="s">
        <v>30419</v>
      </c>
      <c r="C16463" s="34" t="s">
        <v>809</v>
      </c>
      <c r="E16463" s="30" t="s">
        <v>15549</v>
      </c>
      <c r="F16463" s="34" t="n">
        <f aca="false">IFERROR(VLOOKUP($A16463,'319'!$B:$H,7,0),0)</f>
        <v>0</v>
      </c>
      <c r="G16463" s="34" t="n">
        <f aca="false">SUMIFS('12.326ana'!$C:$C,'12.326ana'!$M:$M,redes!A16463)</f>
        <v>0</v>
      </c>
    </row>
    <row r="16464" customFormat="false" ht="14.4" hidden="true" customHeight="false" outlineLevel="0" collapsed="false">
      <c r="A16464" s="34" t="n">
        <v>32689386000187</v>
      </c>
      <c r="B16464" s="34" t="s">
        <v>30420</v>
      </c>
      <c r="C16464" s="34" t="s">
        <v>107</v>
      </c>
      <c r="E16464" s="30" t="s">
        <v>30421</v>
      </c>
      <c r="F16464" s="34" t="n">
        <f aca="false">IFERROR(VLOOKUP($A16464,'319'!$B:$H,7,0),0)</f>
        <v>0</v>
      </c>
      <c r="G16464" s="34" t="n">
        <f aca="false">SUMIFS('12.326ana'!$C:$C,'12.326ana'!$M:$M,redes!A16464)</f>
        <v>0</v>
      </c>
    </row>
    <row r="16465" customFormat="false" ht="14.4" hidden="true" customHeight="false" outlineLevel="0" collapsed="false">
      <c r="A16465" s="34" t="n">
        <v>32702429000117</v>
      </c>
      <c r="B16465" s="34" t="s">
        <v>30422</v>
      </c>
      <c r="C16465" s="34" t="s">
        <v>103</v>
      </c>
      <c r="E16465" s="30" t="s">
        <v>21255</v>
      </c>
      <c r="F16465" s="34" t="n">
        <f aca="false">IFERROR(VLOOKUP($A16465,'319'!$B:$H,7,0),0)</f>
        <v>0</v>
      </c>
      <c r="G16465" s="34" t="n">
        <f aca="false">SUMIFS('12.326ana'!$C:$C,'12.326ana'!$M:$M,redes!A16465)</f>
        <v>0</v>
      </c>
    </row>
    <row r="16466" customFormat="false" ht="14.4" hidden="true" customHeight="false" outlineLevel="0" collapsed="false">
      <c r="A16466" s="34" t="n">
        <v>32708061000102</v>
      </c>
      <c r="B16466" s="34" t="s">
        <v>30423</v>
      </c>
      <c r="C16466" s="34" t="s">
        <v>464</v>
      </c>
      <c r="E16466" s="30" t="s">
        <v>30424</v>
      </c>
      <c r="F16466" s="34" t="n">
        <f aca="false">IFERROR(VLOOKUP($A16466,'319'!$B:$H,7,0),0)</f>
        <v>0</v>
      </c>
      <c r="G16466" s="34" t="n">
        <f aca="false">SUMIFS('12.326ana'!$C:$C,'12.326ana'!$M:$M,redes!A16466)</f>
        <v>0</v>
      </c>
    </row>
    <row r="16467" customFormat="false" ht="14.4" hidden="true" customHeight="false" outlineLevel="0" collapsed="false">
      <c r="A16467" s="34" t="n">
        <v>32726332000144</v>
      </c>
      <c r="B16467" s="34" t="s">
        <v>30425</v>
      </c>
      <c r="C16467" s="34" t="s">
        <v>328</v>
      </c>
      <c r="E16467" s="30" t="s">
        <v>30426</v>
      </c>
      <c r="F16467" s="34" t="n">
        <f aca="false">IFERROR(VLOOKUP($A16467,'319'!$B:$H,7,0),0)</f>
        <v>0</v>
      </c>
      <c r="G16467" s="34" t="n">
        <f aca="false">SUMIFS('12.326ana'!$C:$C,'12.326ana'!$M:$M,redes!A16467)</f>
        <v>0</v>
      </c>
    </row>
    <row r="16468" customFormat="false" ht="14.4" hidden="true" customHeight="false" outlineLevel="0" collapsed="false">
      <c r="A16468" s="34" t="n">
        <v>32726707000176</v>
      </c>
      <c r="B16468" s="34" t="s">
        <v>30427</v>
      </c>
      <c r="C16468" s="34" t="s">
        <v>192</v>
      </c>
      <c r="E16468" s="30" t="s">
        <v>30428</v>
      </c>
      <c r="F16468" s="34" t="n">
        <f aca="false">IFERROR(VLOOKUP($A16468,'319'!$B:$H,7,0),0)</f>
        <v>0</v>
      </c>
      <c r="G16468" s="34" t="n">
        <f aca="false">SUMIFS('12.326ana'!$C:$C,'12.326ana'!$M:$M,redes!A16468)</f>
        <v>0</v>
      </c>
    </row>
    <row r="16469" customFormat="false" ht="14.4" hidden="true" customHeight="false" outlineLevel="0" collapsed="false">
      <c r="A16469" s="34" t="n">
        <v>32735806000114</v>
      </c>
      <c r="B16469" s="34" t="s">
        <v>30429</v>
      </c>
      <c r="C16469" s="34" t="s">
        <v>77</v>
      </c>
      <c r="E16469" s="30" t="s">
        <v>4772</v>
      </c>
      <c r="F16469" s="34" t="n">
        <f aca="false">IFERROR(VLOOKUP($A16469,'319'!$B:$H,7,0),0)</f>
        <v>0</v>
      </c>
      <c r="G16469" s="34" t="n">
        <f aca="false">SUMIFS('12.326ana'!$C:$C,'12.326ana'!$M:$M,redes!A16469)</f>
        <v>0</v>
      </c>
    </row>
    <row r="16470" customFormat="false" ht="14.4" hidden="true" customHeight="false" outlineLevel="0" collapsed="false">
      <c r="A16470" s="34" t="n">
        <v>32754878000109</v>
      </c>
      <c r="B16470" s="34" t="s">
        <v>30430</v>
      </c>
      <c r="C16470" s="34" t="s">
        <v>77</v>
      </c>
      <c r="D16470" s="34" t="s">
        <v>30431</v>
      </c>
      <c r="E16470" s="30" t="s">
        <v>30430</v>
      </c>
      <c r="F16470" s="34" t="n">
        <f aca="false">IFERROR(VLOOKUP($A16470,'319'!$B:$H,7,0),0)</f>
        <v>0</v>
      </c>
      <c r="G16470" s="34" t="n">
        <f aca="false">SUMIFS('12.326ana'!$C:$C,'12.326ana'!$M:$M,redes!A16470)</f>
        <v>0</v>
      </c>
    </row>
    <row r="16471" customFormat="false" ht="14.4" hidden="true" customHeight="false" outlineLevel="0" collapsed="false">
      <c r="A16471" s="34" t="n">
        <v>32754878000290</v>
      </c>
      <c r="B16471" s="34" t="s">
        <v>30430</v>
      </c>
      <c r="C16471" s="34" t="s">
        <v>77</v>
      </c>
      <c r="D16471" s="34" t="s">
        <v>13626</v>
      </c>
      <c r="E16471" s="30" t="s">
        <v>30430</v>
      </c>
      <c r="F16471" s="34" t="n">
        <f aca="false">IFERROR(VLOOKUP($A16471,'319'!$B:$H,7,0),0)</f>
        <v>0</v>
      </c>
      <c r="G16471" s="34" t="n">
        <f aca="false">SUMIFS('12.326ana'!$C:$C,'12.326ana'!$M:$M,redes!A16471)</f>
        <v>0</v>
      </c>
    </row>
    <row r="16472" customFormat="false" ht="14.4" hidden="true" customHeight="false" outlineLevel="0" collapsed="false">
      <c r="A16472" s="34" t="n">
        <v>32780466000143</v>
      </c>
      <c r="B16472" s="34" t="s">
        <v>30432</v>
      </c>
      <c r="C16472" s="34" t="s">
        <v>77</v>
      </c>
      <c r="E16472" s="30" t="s">
        <v>30433</v>
      </c>
      <c r="F16472" s="34" t="n">
        <f aca="false">IFERROR(VLOOKUP($A16472,'319'!$B:$H,7,0),0)</f>
        <v>0</v>
      </c>
      <c r="G16472" s="34" t="n">
        <f aca="false">SUMIFS('12.326ana'!$C:$C,'12.326ana'!$M:$M,redes!A16472)</f>
        <v>0</v>
      </c>
    </row>
    <row r="16473" customFormat="false" ht="14.4" hidden="true" customHeight="false" outlineLevel="0" collapsed="false">
      <c r="A16473" s="34" t="n">
        <v>32781192000107</v>
      </c>
      <c r="B16473" s="34" t="s">
        <v>30434</v>
      </c>
      <c r="C16473" s="34" t="s">
        <v>89</v>
      </c>
      <c r="E16473" s="30" t="s">
        <v>30435</v>
      </c>
      <c r="F16473" s="34" t="n">
        <f aca="false">IFERROR(VLOOKUP($A16473,'319'!$B:$H,7,0),0)</f>
        <v>0</v>
      </c>
      <c r="G16473" s="34" t="n">
        <f aca="false">SUMIFS('12.326ana'!$C:$C,'12.326ana'!$M:$M,redes!A16473)</f>
        <v>0</v>
      </c>
    </row>
    <row r="16474" customFormat="false" ht="14.4" hidden="true" customHeight="false" outlineLevel="0" collapsed="false">
      <c r="A16474" s="34" t="n">
        <v>32786046000174</v>
      </c>
      <c r="B16474" s="34" t="s">
        <v>30436</v>
      </c>
      <c r="C16474" s="34" t="s">
        <v>192</v>
      </c>
      <c r="E16474" s="30" t="s">
        <v>19293</v>
      </c>
      <c r="F16474" s="34" t="n">
        <f aca="false">IFERROR(VLOOKUP($A16474,'319'!$B:$H,7,0),0)</f>
        <v>0</v>
      </c>
      <c r="G16474" s="34" t="n">
        <f aca="false">SUMIFS('12.326ana'!$C:$C,'12.326ana'!$M:$M,redes!A16474)</f>
        <v>0</v>
      </c>
    </row>
    <row r="16475" customFormat="false" ht="14.4" hidden="true" customHeight="false" outlineLevel="0" collapsed="false">
      <c r="A16475" s="34" t="n">
        <v>32796370000173</v>
      </c>
      <c r="B16475" s="34" t="s">
        <v>30437</v>
      </c>
      <c r="C16475" s="34" t="s">
        <v>77</v>
      </c>
      <c r="E16475" s="30" t="s">
        <v>3601</v>
      </c>
      <c r="F16475" s="34" t="n">
        <f aca="false">IFERROR(VLOOKUP($A16475,'319'!$B:$H,7,0),0)</f>
        <v>515.72</v>
      </c>
      <c r="G16475" s="34" t="n">
        <f aca="false">SUMIFS('12.326ana'!$C:$C,'12.326ana'!$M:$M,redes!A16475)</f>
        <v>0</v>
      </c>
    </row>
    <row r="16476" customFormat="false" ht="14.4" hidden="true" customHeight="false" outlineLevel="0" collapsed="false">
      <c r="A16476" s="34" t="n">
        <v>32801164000104</v>
      </c>
      <c r="B16476" s="34" t="s">
        <v>30438</v>
      </c>
      <c r="C16476" s="34" t="s">
        <v>737</v>
      </c>
      <c r="E16476" s="30" t="s">
        <v>30439</v>
      </c>
      <c r="F16476" s="34" t="n">
        <f aca="false">IFERROR(VLOOKUP($A16476,'319'!$B:$H,7,0),0)</f>
        <v>0</v>
      </c>
      <c r="G16476" s="34" t="n">
        <f aca="false">SUMIFS('12.326ana'!$C:$C,'12.326ana'!$M:$M,redes!A16476)</f>
        <v>0</v>
      </c>
    </row>
    <row r="16477" customFormat="false" ht="14.4" hidden="true" customHeight="false" outlineLevel="0" collapsed="false">
      <c r="A16477" s="34" t="n">
        <v>32810787000143</v>
      </c>
      <c r="B16477" s="34" t="s">
        <v>30440</v>
      </c>
      <c r="C16477" s="34" t="s">
        <v>77</v>
      </c>
      <c r="E16477" s="30" t="s">
        <v>30441</v>
      </c>
      <c r="F16477" s="34" t="n">
        <f aca="false">IFERROR(VLOOKUP($A16477,'319'!$B:$H,7,0),0)</f>
        <v>0</v>
      </c>
      <c r="G16477" s="34" t="n">
        <f aca="false">SUMIFS('12.326ana'!$C:$C,'12.326ana'!$M:$M,redes!A16477)</f>
        <v>0</v>
      </c>
    </row>
    <row r="16478" customFormat="false" ht="14.4" hidden="true" customHeight="false" outlineLevel="0" collapsed="false">
      <c r="A16478" s="34" t="n">
        <v>32816599000122</v>
      </c>
      <c r="B16478" s="34" t="s">
        <v>30442</v>
      </c>
      <c r="C16478" s="34" t="s">
        <v>103</v>
      </c>
      <c r="E16478" s="30" t="s">
        <v>14110</v>
      </c>
      <c r="F16478" s="34" t="n">
        <f aca="false">IFERROR(VLOOKUP($A16478,'319'!$B:$H,7,0),0)</f>
        <v>0</v>
      </c>
      <c r="G16478" s="34" t="n">
        <f aca="false">SUMIFS('12.326ana'!$C:$C,'12.326ana'!$M:$M,redes!A16478)</f>
        <v>0</v>
      </c>
    </row>
    <row r="16479" customFormat="false" ht="14.4" hidden="true" customHeight="false" outlineLevel="0" collapsed="false">
      <c r="A16479" s="34" t="n">
        <v>32816954000163</v>
      </c>
      <c r="B16479" s="34" t="s">
        <v>30443</v>
      </c>
      <c r="C16479" s="34" t="s">
        <v>377</v>
      </c>
      <c r="E16479" s="30" t="s">
        <v>15312</v>
      </c>
      <c r="F16479" s="34" t="n">
        <f aca="false">IFERROR(VLOOKUP($A16479,'319'!$B:$H,7,0),0)</f>
        <v>2398.34</v>
      </c>
      <c r="G16479" s="34" t="n">
        <f aca="false">SUMIFS('12.326ana'!$C:$C,'12.326ana'!$M:$M,redes!A16479)</f>
        <v>0</v>
      </c>
    </row>
    <row r="16480" customFormat="false" ht="14.4" hidden="true" customHeight="false" outlineLevel="0" collapsed="false">
      <c r="A16480" s="34" t="n">
        <v>32817007000197</v>
      </c>
      <c r="B16480" s="34" t="s">
        <v>30444</v>
      </c>
      <c r="C16480" s="34" t="s">
        <v>77</v>
      </c>
      <c r="E16480" s="30" t="s">
        <v>30445</v>
      </c>
      <c r="F16480" s="34" t="n">
        <f aca="false">IFERROR(VLOOKUP($A16480,'319'!$B:$H,7,0),0)</f>
        <v>0</v>
      </c>
      <c r="G16480" s="34" t="n">
        <f aca="false">SUMIFS('12.326ana'!$C:$C,'12.326ana'!$M:$M,redes!A16480)</f>
        <v>0</v>
      </c>
    </row>
    <row r="16481" customFormat="false" ht="14.4" hidden="true" customHeight="false" outlineLevel="0" collapsed="false">
      <c r="A16481" s="34" t="n">
        <v>32819606000140</v>
      </c>
      <c r="B16481" s="34" t="s">
        <v>30446</v>
      </c>
      <c r="C16481" s="34" t="s">
        <v>336</v>
      </c>
      <c r="E16481" s="30" t="s">
        <v>30447</v>
      </c>
      <c r="F16481" s="34" t="n">
        <f aca="false">IFERROR(VLOOKUP($A16481,'319'!$B:$H,7,0),0)</f>
        <v>0</v>
      </c>
      <c r="G16481" s="34" t="n">
        <f aca="false">SUMIFS('12.326ana'!$C:$C,'12.326ana'!$M:$M,redes!A16481)</f>
        <v>0</v>
      </c>
    </row>
    <row r="16482" customFormat="false" ht="14.4" hidden="true" customHeight="false" outlineLevel="0" collapsed="false">
      <c r="A16482" s="34" t="n">
        <v>32825344000126</v>
      </c>
      <c r="B16482" s="34" t="s">
        <v>30448</v>
      </c>
      <c r="C16482" s="34" t="s">
        <v>77</v>
      </c>
      <c r="E16482" s="30" t="s">
        <v>30448</v>
      </c>
      <c r="F16482" s="34" t="n">
        <f aca="false">IFERROR(VLOOKUP($A16482,'319'!$B:$H,7,0),0)</f>
        <v>0</v>
      </c>
      <c r="G16482" s="34" t="n">
        <f aca="false">SUMIFS('12.326ana'!$C:$C,'12.326ana'!$M:$M,redes!A16482)</f>
        <v>0</v>
      </c>
    </row>
    <row r="16483" customFormat="false" ht="14.4" hidden="true" customHeight="false" outlineLevel="0" collapsed="false">
      <c r="A16483" s="34" t="n">
        <v>32828572000150</v>
      </c>
      <c r="B16483" s="34" t="s">
        <v>30449</v>
      </c>
      <c r="C16483" s="34" t="s">
        <v>139</v>
      </c>
      <c r="E16483" s="30" t="s">
        <v>30450</v>
      </c>
      <c r="F16483" s="34" t="n">
        <f aca="false">IFERROR(VLOOKUP($A16483,'319'!$B:$H,7,0),0)</f>
        <v>0</v>
      </c>
      <c r="G16483" s="34" t="n">
        <f aca="false">SUMIFS('12.326ana'!$C:$C,'12.326ana'!$M:$M,redes!A16483)</f>
        <v>0</v>
      </c>
    </row>
    <row r="16484" customFormat="false" ht="14.4" hidden="true" customHeight="false" outlineLevel="0" collapsed="false">
      <c r="A16484" s="34" t="n">
        <v>32841627000161</v>
      </c>
      <c r="B16484" s="34" t="s">
        <v>30451</v>
      </c>
      <c r="C16484" s="34" t="s">
        <v>139</v>
      </c>
      <c r="E16484" s="30" t="s">
        <v>6401</v>
      </c>
      <c r="F16484" s="34" t="n">
        <f aca="false">IFERROR(VLOOKUP($A16484,'319'!$B:$H,7,0),0)</f>
        <v>0</v>
      </c>
      <c r="G16484" s="34" t="n">
        <f aca="false">SUMIFS('12.326ana'!$C:$C,'12.326ana'!$M:$M,redes!A16484)</f>
        <v>0</v>
      </c>
    </row>
    <row r="16485" customFormat="false" ht="14.4" hidden="true" customHeight="false" outlineLevel="0" collapsed="false">
      <c r="A16485" s="34" t="n">
        <v>32846942000181</v>
      </c>
      <c r="B16485" s="34" t="s">
        <v>30452</v>
      </c>
      <c r="C16485" s="34" t="s">
        <v>213</v>
      </c>
      <c r="E16485" s="30" t="s">
        <v>4630</v>
      </c>
      <c r="F16485" s="34" t="n">
        <f aca="false">IFERROR(VLOOKUP($A16485,'319'!$B:$H,7,0),0)</f>
        <v>-111.79</v>
      </c>
      <c r="G16485" s="34" t="n">
        <f aca="false">SUMIFS('12.326ana'!$C:$C,'12.326ana'!$M:$M,redes!A16485)</f>
        <v>0</v>
      </c>
    </row>
    <row r="16486" customFormat="false" ht="14.4" hidden="true" customHeight="false" outlineLevel="0" collapsed="false">
      <c r="A16486" s="34" t="n">
        <v>32850683000162</v>
      </c>
      <c r="B16486" s="34" t="s">
        <v>26704</v>
      </c>
      <c r="C16486" s="34" t="s">
        <v>77</v>
      </c>
      <c r="E16486" s="30" t="s">
        <v>30453</v>
      </c>
      <c r="F16486" s="34" t="n">
        <f aca="false">IFERROR(VLOOKUP($A16486,'319'!$B:$H,7,0),0)</f>
        <v>0</v>
      </c>
      <c r="G16486" s="34" t="n">
        <f aca="false">SUMIFS('12.326ana'!$C:$C,'12.326ana'!$M:$M,redes!A16486)</f>
        <v>0</v>
      </c>
    </row>
    <row r="16487" customFormat="false" ht="14.4" hidden="true" customHeight="false" outlineLevel="0" collapsed="false">
      <c r="A16487" s="34" t="n">
        <v>32875456000191</v>
      </c>
      <c r="B16487" s="34" t="s">
        <v>30454</v>
      </c>
      <c r="C16487" s="34" t="s">
        <v>192</v>
      </c>
      <c r="E16487" s="30" t="s">
        <v>30455</v>
      </c>
      <c r="F16487" s="34" t="n">
        <f aca="false">IFERROR(VLOOKUP($A16487,'319'!$B:$H,7,0),0)</f>
        <v>0</v>
      </c>
      <c r="G16487" s="34" t="n">
        <f aca="false">SUMIFS('12.326ana'!$C:$C,'12.326ana'!$M:$M,redes!A16487)</f>
        <v>0</v>
      </c>
    </row>
    <row r="16488" customFormat="false" ht="14.4" hidden="true" customHeight="false" outlineLevel="0" collapsed="false">
      <c r="A16488" s="34" t="n">
        <v>32879374000115</v>
      </c>
      <c r="B16488" s="34" t="s">
        <v>30456</v>
      </c>
      <c r="C16488" s="34" t="s">
        <v>77</v>
      </c>
      <c r="E16488" s="30" t="s">
        <v>30457</v>
      </c>
      <c r="F16488" s="34" t="n">
        <f aca="false">IFERROR(VLOOKUP($A16488,'319'!$B:$H,7,0),0)</f>
        <v>0</v>
      </c>
      <c r="G16488" s="34" t="n">
        <f aca="false">SUMIFS('12.326ana'!$C:$C,'12.326ana'!$M:$M,redes!A16488)</f>
        <v>0</v>
      </c>
    </row>
    <row r="16489" customFormat="false" ht="14.4" hidden="true" customHeight="false" outlineLevel="0" collapsed="false">
      <c r="A16489" s="34" t="n">
        <v>32880805000163</v>
      </c>
      <c r="B16489" s="34" t="s">
        <v>30458</v>
      </c>
      <c r="C16489" s="34" t="s">
        <v>77</v>
      </c>
      <c r="E16489" s="30" t="s">
        <v>28951</v>
      </c>
      <c r="F16489" s="34" t="n">
        <f aca="false">IFERROR(VLOOKUP($A16489,'319'!$B:$H,7,0),0)</f>
        <v>0</v>
      </c>
      <c r="G16489" s="34" t="n">
        <f aca="false">SUMIFS('12.326ana'!$C:$C,'12.326ana'!$M:$M,redes!A16489)</f>
        <v>0</v>
      </c>
    </row>
    <row r="16490" customFormat="false" ht="14.4" hidden="true" customHeight="false" outlineLevel="0" collapsed="false">
      <c r="A16490" s="34" t="n">
        <v>32885169000162</v>
      </c>
      <c r="B16490" s="34" t="s">
        <v>30459</v>
      </c>
      <c r="C16490" s="34" t="s">
        <v>1680</v>
      </c>
      <c r="E16490" s="30" t="s">
        <v>30460</v>
      </c>
      <c r="F16490" s="34" t="n">
        <f aca="false">IFERROR(VLOOKUP($A16490,'319'!$B:$H,7,0),0)</f>
        <v>0</v>
      </c>
      <c r="G16490" s="34" t="n">
        <f aca="false">SUMIFS('12.326ana'!$C:$C,'12.326ana'!$M:$M,redes!A16490)</f>
        <v>0</v>
      </c>
    </row>
    <row r="16491" customFormat="false" ht="14.4" hidden="true" customHeight="false" outlineLevel="0" collapsed="false">
      <c r="A16491" s="34" t="n">
        <v>32886128000190</v>
      </c>
      <c r="B16491" s="34" t="s">
        <v>30461</v>
      </c>
      <c r="C16491" s="34" t="s">
        <v>77</v>
      </c>
      <c r="E16491" s="30" t="s">
        <v>30462</v>
      </c>
      <c r="F16491" s="34" t="n">
        <f aca="false">IFERROR(VLOOKUP($A16491,'319'!$B:$H,7,0),0)</f>
        <v>0</v>
      </c>
      <c r="G16491" s="34" t="n">
        <f aca="false">SUMIFS('12.326ana'!$C:$C,'12.326ana'!$M:$M,redes!A16491)</f>
        <v>0</v>
      </c>
    </row>
    <row r="16492" customFormat="false" ht="14.4" hidden="true" customHeight="false" outlineLevel="0" collapsed="false">
      <c r="A16492" s="34" t="n">
        <v>32891776000135</v>
      </c>
      <c r="B16492" s="34" t="s">
        <v>30463</v>
      </c>
      <c r="C16492" s="34" t="s">
        <v>631</v>
      </c>
      <c r="E16492" s="30" t="s">
        <v>30464</v>
      </c>
      <c r="F16492" s="34" t="n">
        <f aca="false">IFERROR(VLOOKUP($A16492,'319'!$B:$H,7,0),0)</f>
        <v>0</v>
      </c>
      <c r="G16492" s="34" t="n">
        <f aca="false">SUMIFS('12.326ana'!$C:$C,'12.326ana'!$M:$M,redes!A16492)</f>
        <v>0</v>
      </c>
    </row>
    <row r="16493" customFormat="false" ht="14.4" hidden="true" customHeight="false" outlineLevel="0" collapsed="false">
      <c r="A16493" s="34" t="n">
        <v>32900209000106</v>
      </c>
      <c r="B16493" s="34" t="s">
        <v>30465</v>
      </c>
      <c r="C16493" s="34" t="s">
        <v>631</v>
      </c>
      <c r="E16493" s="30" t="s">
        <v>30466</v>
      </c>
      <c r="F16493" s="34" t="n">
        <f aca="false">IFERROR(VLOOKUP($A16493,'319'!$B:$H,7,0),0)</f>
        <v>0</v>
      </c>
      <c r="G16493" s="34" t="n">
        <f aca="false">SUMIFS('12.326ana'!$C:$C,'12.326ana'!$M:$M,redes!A16493)</f>
        <v>0</v>
      </c>
    </row>
    <row r="16494" customFormat="false" ht="14.4" hidden="true" customHeight="false" outlineLevel="0" collapsed="false">
      <c r="A16494" s="34" t="n">
        <v>32904028000140</v>
      </c>
      <c r="B16494" s="34" t="s">
        <v>30467</v>
      </c>
      <c r="C16494" s="34" t="s">
        <v>77</v>
      </c>
      <c r="E16494" s="30" t="s">
        <v>30468</v>
      </c>
      <c r="F16494" s="34" t="n">
        <f aca="false">IFERROR(VLOOKUP($A16494,'319'!$B:$H,7,0),0)</f>
        <v>0</v>
      </c>
      <c r="G16494" s="34" t="n">
        <f aca="false">SUMIFS('12.326ana'!$C:$C,'12.326ana'!$M:$M,redes!A16494)</f>
        <v>0</v>
      </c>
    </row>
    <row r="16495" customFormat="false" ht="14.4" hidden="true" customHeight="false" outlineLevel="0" collapsed="false">
      <c r="A16495" s="34" t="n">
        <v>32925522000190</v>
      </c>
      <c r="B16495" s="34" t="s">
        <v>30469</v>
      </c>
      <c r="C16495" s="34" t="s">
        <v>377</v>
      </c>
      <c r="E16495" s="30" t="s">
        <v>30470</v>
      </c>
      <c r="F16495" s="34" t="n">
        <f aca="false">IFERROR(VLOOKUP($A16495,'319'!$B:$H,7,0),0)</f>
        <v>0</v>
      </c>
      <c r="G16495" s="34" t="n">
        <f aca="false">SUMIFS('12.326ana'!$C:$C,'12.326ana'!$M:$M,redes!A16495)</f>
        <v>0</v>
      </c>
    </row>
    <row r="16496" customFormat="false" ht="14.4" hidden="true" customHeight="false" outlineLevel="0" collapsed="false">
      <c r="A16496" s="34" t="n">
        <v>32928722000105</v>
      </c>
      <c r="B16496" s="34" t="s">
        <v>30471</v>
      </c>
      <c r="C16496" s="34" t="s">
        <v>89</v>
      </c>
      <c r="E16496" s="30" t="s">
        <v>30472</v>
      </c>
      <c r="F16496" s="34" t="n">
        <f aca="false">IFERROR(VLOOKUP($A16496,'319'!$B:$H,7,0),0)</f>
        <v>40.46</v>
      </c>
      <c r="G16496" s="34" t="n">
        <f aca="false">SUMIFS('12.326ana'!$C:$C,'12.326ana'!$M:$M,redes!A16496)</f>
        <v>0</v>
      </c>
    </row>
    <row r="16497" customFormat="false" ht="14.4" hidden="true" customHeight="false" outlineLevel="0" collapsed="false">
      <c r="A16497" s="34" t="n">
        <v>32953926000198</v>
      </c>
      <c r="B16497" s="34" t="s">
        <v>30473</v>
      </c>
      <c r="C16497" s="34" t="s">
        <v>309</v>
      </c>
      <c r="E16497" s="30" t="s">
        <v>30474</v>
      </c>
      <c r="F16497" s="34" t="n">
        <f aca="false">IFERROR(VLOOKUP($A16497,'319'!$B:$H,7,0),0)</f>
        <v>0</v>
      </c>
      <c r="G16497" s="34" t="n">
        <f aca="false">SUMIFS('12.326ana'!$C:$C,'12.326ana'!$M:$M,redes!A16497)</f>
        <v>0</v>
      </c>
    </row>
    <row r="16498" customFormat="false" ht="14.4" hidden="true" customHeight="false" outlineLevel="0" collapsed="false">
      <c r="A16498" s="34" t="n">
        <v>32962539000118</v>
      </c>
      <c r="B16498" s="34" t="s">
        <v>30475</v>
      </c>
      <c r="C16498" s="34" t="s">
        <v>154</v>
      </c>
      <c r="E16498" s="30" t="s">
        <v>30476</v>
      </c>
      <c r="F16498" s="34" t="n">
        <f aca="false">IFERROR(VLOOKUP($A16498,'319'!$B:$H,7,0),0)</f>
        <v>0</v>
      </c>
      <c r="G16498" s="34" t="n">
        <f aca="false">SUMIFS('12.326ana'!$C:$C,'12.326ana'!$M:$M,redes!A16498)</f>
        <v>0</v>
      </c>
    </row>
    <row r="16499" customFormat="false" ht="14.4" hidden="true" customHeight="false" outlineLevel="0" collapsed="false">
      <c r="A16499" s="34" t="n">
        <v>32966074000173</v>
      </c>
      <c r="B16499" s="34" t="s">
        <v>30477</v>
      </c>
      <c r="C16499" s="34" t="s">
        <v>77</v>
      </c>
      <c r="E16499" s="30" t="s">
        <v>30478</v>
      </c>
      <c r="F16499" s="34" t="n">
        <f aca="false">IFERROR(VLOOKUP($A16499,'319'!$B:$H,7,0),0)</f>
        <v>0</v>
      </c>
      <c r="G16499" s="34" t="n">
        <f aca="false">SUMIFS('12.326ana'!$C:$C,'12.326ana'!$M:$M,redes!A16499)</f>
        <v>0</v>
      </c>
    </row>
    <row r="16500" customFormat="false" ht="14.4" hidden="true" customHeight="false" outlineLevel="0" collapsed="false">
      <c r="A16500" s="34" t="n">
        <v>32970108000101</v>
      </c>
      <c r="B16500" s="34" t="s">
        <v>30479</v>
      </c>
      <c r="C16500" s="34" t="s">
        <v>77</v>
      </c>
      <c r="E16500" s="30" t="s">
        <v>30480</v>
      </c>
      <c r="F16500" s="34" t="n">
        <f aca="false">IFERROR(VLOOKUP($A16500,'319'!$B:$H,7,0),0)</f>
        <v>0</v>
      </c>
      <c r="G16500" s="34" t="n">
        <f aca="false">SUMIFS('12.326ana'!$C:$C,'12.326ana'!$M:$M,redes!A16500)</f>
        <v>0</v>
      </c>
    </row>
    <row r="16501" customFormat="false" ht="14.4" hidden="true" customHeight="false" outlineLevel="0" collapsed="false">
      <c r="A16501" s="34" t="n">
        <v>32972950000174</v>
      </c>
      <c r="B16501" s="34" t="s">
        <v>30481</v>
      </c>
      <c r="C16501" s="34" t="s">
        <v>77</v>
      </c>
      <c r="E16501" s="30" t="s">
        <v>30482</v>
      </c>
      <c r="F16501" s="34" t="n">
        <f aca="false">IFERROR(VLOOKUP($A16501,'319'!$B:$H,7,0),0)</f>
        <v>0</v>
      </c>
      <c r="G16501" s="34" t="n">
        <f aca="false">SUMIFS('12.326ana'!$C:$C,'12.326ana'!$M:$M,redes!A16501)</f>
        <v>0</v>
      </c>
    </row>
    <row r="16502" customFormat="false" ht="14.4" hidden="true" customHeight="false" outlineLevel="0" collapsed="false">
      <c r="A16502" s="34" t="n">
        <v>32997136000295</v>
      </c>
      <c r="B16502" s="34" t="s">
        <v>30483</v>
      </c>
      <c r="C16502" s="34" t="s">
        <v>107</v>
      </c>
      <c r="E16502" s="30" t="s">
        <v>28469</v>
      </c>
      <c r="F16502" s="34" t="n">
        <f aca="false">IFERROR(VLOOKUP($A16502,'319'!$B:$H,7,0),0)</f>
        <v>0</v>
      </c>
      <c r="G16502" s="34" t="n">
        <f aca="false">SUMIFS('12.326ana'!$C:$C,'12.326ana'!$M:$M,redes!A16502)</f>
        <v>0</v>
      </c>
    </row>
    <row r="16503" customFormat="false" ht="14.4" hidden="true" customHeight="false" outlineLevel="0" collapsed="false">
      <c r="A16503" s="34" t="n">
        <v>33008662000167</v>
      </c>
      <c r="B16503" s="34" t="s">
        <v>30484</v>
      </c>
      <c r="C16503" s="34" t="s">
        <v>107</v>
      </c>
      <c r="E16503" s="30" t="s">
        <v>30484</v>
      </c>
      <c r="F16503" s="34" t="n">
        <f aca="false">IFERROR(VLOOKUP($A16503,'319'!$B:$H,7,0),0)</f>
        <v>0</v>
      </c>
      <c r="G16503" s="34" t="n">
        <f aca="false">SUMIFS('12.326ana'!$C:$C,'12.326ana'!$M:$M,redes!A16503)</f>
        <v>0</v>
      </c>
    </row>
    <row r="16504" customFormat="false" ht="14.4" hidden="true" customHeight="false" outlineLevel="0" collapsed="false">
      <c r="A16504" s="34" t="n">
        <v>33009911005106</v>
      </c>
      <c r="B16504" s="34" t="s">
        <v>30485</v>
      </c>
      <c r="C16504" s="34" t="s">
        <v>77</v>
      </c>
      <c r="E16504" s="30" t="s">
        <v>30486</v>
      </c>
      <c r="F16504" s="34" t="n">
        <f aca="false">IFERROR(VLOOKUP($A16504,'319'!$B:$H,7,0),0)</f>
        <v>0</v>
      </c>
      <c r="G16504" s="34" t="n">
        <f aca="false">SUMIFS('12.326ana'!$C:$C,'12.326ana'!$M:$M,redes!A16504)</f>
        <v>0</v>
      </c>
    </row>
    <row r="16505" customFormat="false" ht="14.4" hidden="true" customHeight="false" outlineLevel="0" collapsed="false">
      <c r="A16505" s="34" t="n">
        <v>33012213000192</v>
      </c>
      <c r="B16505" s="34" t="s">
        <v>1838</v>
      </c>
      <c r="C16505" s="34" t="s">
        <v>848</v>
      </c>
      <c r="E16505" s="30" t="s">
        <v>1838</v>
      </c>
      <c r="F16505" s="34" t="n">
        <f aca="false">IFERROR(VLOOKUP($A16505,'319'!$B:$H,7,0),0)</f>
        <v>-587.44</v>
      </c>
      <c r="G16505" s="34" t="n">
        <f aca="false">SUMIFS('12.326ana'!$C:$C,'12.326ana'!$M:$M,redes!A16505)</f>
        <v>0</v>
      </c>
    </row>
    <row r="16506" customFormat="false" ht="14.4" hidden="true" customHeight="false" outlineLevel="0" collapsed="false">
      <c r="A16506" s="34" t="n">
        <v>33014556004000</v>
      </c>
      <c r="B16506" s="34" t="s">
        <v>30487</v>
      </c>
      <c r="C16506" s="34" t="s">
        <v>77</v>
      </c>
      <c r="E16506" s="30" t="s">
        <v>30488</v>
      </c>
      <c r="F16506" s="34" t="n">
        <f aca="false">IFERROR(VLOOKUP($A16506,'319'!$B:$H,7,0),0)</f>
        <v>0</v>
      </c>
      <c r="G16506" s="34" t="n">
        <f aca="false">SUMIFS('12.326ana'!$C:$C,'12.326ana'!$M:$M,redes!A16506)</f>
        <v>0</v>
      </c>
    </row>
    <row r="16507" customFormat="false" ht="14.4" hidden="true" customHeight="false" outlineLevel="0" collapsed="false">
      <c r="A16507" s="34" t="n">
        <v>33030956000195</v>
      </c>
      <c r="B16507" s="34" t="s">
        <v>30489</v>
      </c>
      <c r="C16507" s="34" t="s">
        <v>77</v>
      </c>
      <c r="E16507" s="30" t="s">
        <v>30490</v>
      </c>
      <c r="F16507" s="34" t="n">
        <f aca="false">IFERROR(VLOOKUP($A16507,'319'!$B:$H,7,0),0)</f>
        <v>0</v>
      </c>
      <c r="G16507" s="34" t="n">
        <f aca="false">SUMIFS('12.326ana'!$C:$C,'12.326ana'!$M:$M,redes!A16507)</f>
        <v>0</v>
      </c>
    </row>
    <row r="16508" customFormat="false" ht="14.4" hidden="true" customHeight="false" outlineLevel="0" collapsed="false">
      <c r="A16508" s="34" t="n">
        <v>33032216000198</v>
      </c>
      <c r="B16508" s="34" t="s">
        <v>30491</v>
      </c>
      <c r="C16508" s="34" t="s">
        <v>103</v>
      </c>
      <c r="E16508" s="30" t="s">
        <v>30492</v>
      </c>
      <c r="F16508" s="34" t="n">
        <f aca="false">IFERROR(VLOOKUP($A16508,'319'!$B:$H,7,0),0)</f>
        <v>0</v>
      </c>
      <c r="G16508" s="34" t="n">
        <f aca="false">SUMIFS('12.326ana'!$C:$C,'12.326ana'!$M:$M,redes!A16508)</f>
        <v>0</v>
      </c>
    </row>
    <row r="16509" customFormat="false" ht="14.4" hidden="true" customHeight="false" outlineLevel="0" collapsed="false">
      <c r="A16509" s="34" t="n">
        <v>33040747000718</v>
      </c>
      <c r="B16509" s="34" t="s">
        <v>30493</v>
      </c>
      <c r="C16509" s="34" t="s">
        <v>77</v>
      </c>
      <c r="E16509" s="30" t="s">
        <v>30494</v>
      </c>
      <c r="F16509" s="34" t="n">
        <f aca="false">IFERROR(VLOOKUP($A16509,'319'!$B:$H,7,0),0)</f>
        <v>0</v>
      </c>
      <c r="G16509" s="34" t="n">
        <f aca="false">SUMIFS('12.326ana'!$C:$C,'12.326ana'!$M:$M,redes!A16509)</f>
        <v>0</v>
      </c>
    </row>
    <row r="16510" customFormat="false" ht="14.4" hidden="true" customHeight="false" outlineLevel="0" collapsed="false">
      <c r="A16510" s="34" t="n">
        <v>33057273000121</v>
      </c>
      <c r="B16510" s="34" t="s">
        <v>30495</v>
      </c>
      <c r="C16510" s="34" t="s">
        <v>77</v>
      </c>
      <c r="E16510" s="30" t="s">
        <v>30496</v>
      </c>
      <c r="F16510" s="34" t="n">
        <f aca="false">IFERROR(VLOOKUP($A16510,'319'!$B:$H,7,0),0)</f>
        <v>0</v>
      </c>
      <c r="G16510" s="34" t="n">
        <f aca="false">SUMIFS('12.326ana'!$C:$C,'12.326ana'!$M:$M,redes!A16510)</f>
        <v>0</v>
      </c>
    </row>
    <row r="16511" customFormat="false" ht="14.4" hidden="true" customHeight="false" outlineLevel="0" collapsed="false">
      <c r="A16511" s="34" t="n">
        <v>33057683000172</v>
      </c>
      <c r="B16511" s="34" t="s">
        <v>30497</v>
      </c>
      <c r="C16511" s="34" t="s">
        <v>351</v>
      </c>
      <c r="E16511" s="30" t="s">
        <v>30498</v>
      </c>
      <c r="F16511" s="34" t="n">
        <f aca="false">IFERROR(VLOOKUP($A16511,'319'!$B:$H,7,0),0)</f>
        <v>0</v>
      </c>
      <c r="G16511" s="34" t="n">
        <f aca="false">SUMIFS('12.326ana'!$C:$C,'12.326ana'!$M:$M,redes!A16511)</f>
        <v>0</v>
      </c>
    </row>
    <row r="16512" customFormat="false" ht="14.4" hidden="true" customHeight="false" outlineLevel="0" collapsed="false">
      <c r="A16512" s="34" t="n">
        <v>33065629000179</v>
      </c>
      <c r="B16512" s="34" t="s">
        <v>30499</v>
      </c>
      <c r="C16512" s="34" t="s">
        <v>77</v>
      </c>
      <c r="E16512" s="30" t="s">
        <v>30500</v>
      </c>
      <c r="F16512" s="34" t="n">
        <f aca="false">IFERROR(VLOOKUP($A16512,'319'!$B:$H,7,0),0)</f>
        <v>0</v>
      </c>
      <c r="G16512" s="34" t="n">
        <f aca="false">SUMIFS('12.326ana'!$C:$C,'12.326ana'!$M:$M,redes!A16512)</f>
        <v>0</v>
      </c>
    </row>
    <row r="16513" customFormat="false" ht="14.4" hidden="true" customHeight="false" outlineLevel="0" collapsed="false">
      <c r="A16513" s="34" t="n">
        <v>33069771000194</v>
      </c>
      <c r="B16513" s="34" t="s">
        <v>30501</v>
      </c>
      <c r="C16513" s="34" t="s">
        <v>139</v>
      </c>
      <c r="D16513" s="34" t="s">
        <v>30502</v>
      </c>
      <c r="E16513" s="30" t="s">
        <v>23801</v>
      </c>
      <c r="F16513" s="34" t="n">
        <f aca="false">IFERROR(VLOOKUP($A16513,'319'!$B:$H,7,0),0)</f>
        <v>282.69</v>
      </c>
      <c r="G16513" s="34" t="n">
        <f aca="false">SUMIFS('12.326ana'!$C:$C,'12.326ana'!$M:$M,redes!A16513)</f>
        <v>0</v>
      </c>
    </row>
    <row r="16514" customFormat="false" ht="14.4" hidden="true" customHeight="false" outlineLevel="0" collapsed="false">
      <c r="A16514" s="34" t="n">
        <v>33070028000154</v>
      </c>
      <c r="B16514" s="34" t="s">
        <v>30503</v>
      </c>
      <c r="C16514" s="34" t="s">
        <v>213</v>
      </c>
      <c r="E16514" s="30" t="s">
        <v>6154</v>
      </c>
      <c r="F16514" s="34" t="n">
        <f aca="false">IFERROR(VLOOKUP($A16514,'319'!$B:$H,7,0),0)</f>
        <v>0</v>
      </c>
      <c r="G16514" s="34" t="n">
        <f aca="false">SUMIFS('12.326ana'!$C:$C,'12.326ana'!$M:$M,redes!A16514)</f>
        <v>0</v>
      </c>
    </row>
    <row r="16515" customFormat="false" ht="14.4" hidden="true" customHeight="false" outlineLevel="0" collapsed="false">
      <c r="A16515" s="34" t="n">
        <v>33070814000909</v>
      </c>
      <c r="B16515" s="34" t="s">
        <v>30504</v>
      </c>
      <c r="C16515" s="34" t="s">
        <v>77</v>
      </c>
      <c r="E16515" s="30" t="s">
        <v>30504</v>
      </c>
      <c r="F16515" s="34" t="n">
        <f aca="false">IFERROR(VLOOKUP($A16515,'319'!$B:$H,7,0),0)</f>
        <v>0</v>
      </c>
      <c r="G16515" s="34" t="n">
        <f aca="false">SUMIFS('12.326ana'!$C:$C,'12.326ana'!$M:$M,redes!A16515)</f>
        <v>0</v>
      </c>
    </row>
    <row r="16516" customFormat="false" ht="14.4" hidden="true" customHeight="false" outlineLevel="0" collapsed="false">
      <c r="A16516" s="34" t="n">
        <v>33071459000135</v>
      </c>
      <c r="B16516" s="34" t="s">
        <v>30505</v>
      </c>
      <c r="C16516" s="34" t="s">
        <v>4139</v>
      </c>
      <c r="E16516" s="30" t="s">
        <v>12164</v>
      </c>
      <c r="F16516" s="34" t="n">
        <f aca="false">IFERROR(VLOOKUP($A16516,'319'!$B:$H,7,0),0)</f>
        <v>0</v>
      </c>
      <c r="G16516" s="34" t="n">
        <f aca="false">SUMIFS('12.326ana'!$C:$C,'12.326ana'!$M:$M,redes!A16516)</f>
        <v>0</v>
      </c>
    </row>
    <row r="16517" customFormat="false" ht="14.4" hidden="true" customHeight="false" outlineLevel="0" collapsed="false">
      <c r="A16517" s="34" t="n">
        <v>33072547000151</v>
      </c>
      <c r="B16517" s="34" t="s">
        <v>30506</v>
      </c>
      <c r="C16517" s="34" t="s">
        <v>77</v>
      </c>
      <c r="E16517" s="30" t="s">
        <v>30507</v>
      </c>
      <c r="F16517" s="34" t="n">
        <f aca="false">IFERROR(VLOOKUP($A16517,'319'!$B:$H,7,0),0)</f>
        <v>0</v>
      </c>
      <c r="G16517" s="34" t="n">
        <f aca="false">SUMIFS('12.326ana'!$C:$C,'12.326ana'!$M:$M,redes!A16517)</f>
        <v>0</v>
      </c>
    </row>
    <row r="16518" customFormat="false" ht="14.4" hidden="true" customHeight="false" outlineLevel="0" collapsed="false">
      <c r="A16518" s="34" t="n">
        <v>33078155000108</v>
      </c>
      <c r="B16518" s="34" t="s">
        <v>30508</v>
      </c>
      <c r="C16518" s="34" t="s">
        <v>107</v>
      </c>
      <c r="E16518" s="30" t="s">
        <v>30509</v>
      </c>
      <c r="F16518" s="34" t="n">
        <f aca="false">IFERROR(VLOOKUP($A16518,'319'!$B:$H,7,0),0)</f>
        <v>0</v>
      </c>
      <c r="G16518" s="34" t="n">
        <f aca="false">SUMIFS('12.326ana'!$C:$C,'12.326ana'!$M:$M,redes!A16518)</f>
        <v>0</v>
      </c>
    </row>
    <row r="16519" customFormat="false" ht="14.4" hidden="true" customHeight="false" outlineLevel="0" collapsed="false">
      <c r="A16519" s="34" t="n">
        <v>33080334000171</v>
      </c>
      <c r="B16519" s="34" t="s">
        <v>30510</v>
      </c>
      <c r="C16519" s="34" t="s">
        <v>594</v>
      </c>
      <c r="E16519" s="30" t="s">
        <v>30511</v>
      </c>
      <c r="F16519" s="34" t="n">
        <f aca="false">IFERROR(VLOOKUP($A16519,'319'!$B:$H,7,0),0)</f>
        <v>0</v>
      </c>
      <c r="G16519" s="34" t="n">
        <f aca="false">SUMIFS('12.326ana'!$C:$C,'12.326ana'!$M:$M,redes!A16519)</f>
        <v>0</v>
      </c>
    </row>
    <row r="16520" customFormat="false" ht="14.4" hidden="true" customHeight="false" outlineLevel="0" collapsed="false">
      <c r="A16520" s="34" t="n">
        <v>33080953000166</v>
      </c>
      <c r="B16520" s="34" t="s">
        <v>30512</v>
      </c>
      <c r="C16520" s="34" t="s">
        <v>744</v>
      </c>
      <c r="E16520" s="30" t="s">
        <v>3933</v>
      </c>
      <c r="F16520" s="34" t="n">
        <f aca="false">IFERROR(VLOOKUP($A16520,'319'!$B:$H,7,0),0)</f>
        <v>0</v>
      </c>
      <c r="G16520" s="34" t="n">
        <f aca="false">SUMIFS('12.326ana'!$C:$C,'12.326ana'!$M:$M,redes!A16520)</f>
        <v>0</v>
      </c>
    </row>
    <row r="16521" customFormat="false" ht="14.4" hidden="true" customHeight="false" outlineLevel="0" collapsed="false">
      <c r="A16521" s="34" t="n">
        <v>33083491000130</v>
      </c>
      <c r="B16521" s="34" t="s">
        <v>30513</v>
      </c>
      <c r="C16521" s="34" t="s">
        <v>107</v>
      </c>
      <c r="E16521" s="30" t="s">
        <v>30514</v>
      </c>
      <c r="F16521" s="34" t="n">
        <f aca="false">IFERROR(VLOOKUP($A16521,'319'!$B:$H,7,0),0)</f>
        <v>0</v>
      </c>
      <c r="G16521" s="34" t="n">
        <f aca="false">SUMIFS('12.326ana'!$C:$C,'12.326ana'!$M:$M,redes!A16521)</f>
        <v>0</v>
      </c>
    </row>
    <row r="16522" customFormat="false" ht="14.4" hidden="true" customHeight="false" outlineLevel="0" collapsed="false">
      <c r="A16522" s="34" t="n">
        <v>33084526000318</v>
      </c>
      <c r="B16522" s="34" t="s">
        <v>30515</v>
      </c>
      <c r="C16522" s="34" t="s">
        <v>77</v>
      </c>
      <c r="D16522" s="34" t="s">
        <v>17018</v>
      </c>
      <c r="E16522" s="30" t="s">
        <v>30516</v>
      </c>
      <c r="F16522" s="34" t="n">
        <f aca="false">IFERROR(VLOOKUP($A16522,'319'!$B:$H,7,0),0)</f>
        <v>0</v>
      </c>
      <c r="G16522" s="34" t="n">
        <f aca="false">SUMIFS('12.326ana'!$C:$C,'12.326ana'!$M:$M,redes!A16522)</f>
        <v>0</v>
      </c>
    </row>
    <row r="16523" customFormat="false" ht="14.4" hidden="true" customHeight="false" outlineLevel="0" collapsed="false">
      <c r="A16523" s="34" t="n">
        <v>33084526000407</v>
      </c>
      <c r="B16523" s="34" t="s">
        <v>30515</v>
      </c>
      <c r="C16523" s="34" t="s">
        <v>77</v>
      </c>
      <c r="D16523" s="34" t="s">
        <v>17018</v>
      </c>
      <c r="E16523" s="30" t="s">
        <v>30517</v>
      </c>
      <c r="F16523" s="34" t="n">
        <f aca="false">IFERROR(VLOOKUP($A16523,'319'!$B:$H,7,0),0)</f>
        <v>0</v>
      </c>
      <c r="G16523" s="34" t="n">
        <f aca="false">SUMIFS('12.326ana'!$C:$C,'12.326ana'!$M:$M,redes!A16523)</f>
        <v>0</v>
      </c>
    </row>
    <row r="16524" customFormat="false" ht="14.4" hidden="true" customHeight="false" outlineLevel="0" collapsed="false">
      <c r="A16524" s="34" t="n">
        <v>33084526000660</v>
      </c>
      <c r="B16524" s="34" t="s">
        <v>30518</v>
      </c>
      <c r="C16524" s="34" t="s">
        <v>77</v>
      </c>
      <c r="D16524" s="34" t="s">
        <v>17018</v>
      </c>
      <c r="E16524" s="30" t="s">
        <v>17019</v>
      </c>
      <c r="F16524" s="34" t="n">
        <f aca="false">IFERROR(VLOOKUP($A16524,'319'!$B:$H,7,0),0)</f>
        <v>0</v>
      </c>
      <c r="G16524" s="34" t="n">
        <f aca="false">SUMIFS('12.326ana'!$C:$C,'12.326ana'!$M:$M,redes!A16524)</f>
        <v>0</v>
      </c>
    </row>
    <row r="16525" customFormat="false" ht="14.4" hidden="true" customHeight="false" outlineLevel="0" collapsed="false">
      <c r="A16525" s="34" t="n">
        <v>33084526000741</v>
      </c>
      <c r="B16525" s="34" t="s">
        <v>30519</v>
      </c>
      <c r="C16525" s="34" t="s">
        <v>77</v>
      </c>
      <c r="D16525" s="34" t="s">
        <v>17018</v>
      </c>
      <c r="E16525" s="30" t="s">
        <v>30520</v>
      </c>
      <c r="F16525" s="34" t="n">
        <f aca="false">IFERROR(VLOOKUP($A16525,'319'!$B:$H,7,0),0)</f>
        <v>0</v>
      </c>
      <c r="G16525" s="34" t="n">
        <f aca="false">SUMIFS('12.326ana'!$C:$C,'12.326ana'!$M:$M,redes!A16525)</f>
        <v>0</v>
      </c>
    </row>
    <row r="16526" customFormat="false" ht="14.4" hidden="true" customHeight="false" outlineLevel="0" collapsed="false">
      <c r="A16526" s="34" t="n">
        <v>33085226000191</v>
      </c>
      <c r="B16526" s="34" t="s">
        <v>30521</v>
      </c>
      <c r="C16526" s="34" t="s">
        <v>10103</v>
      </c>
      <c r="E16526" s="30" t="s">
        <v>30522</v>
      </c>
      <c r="F16526" s="34" t="n">
        <f aca="false">IFERROR(VLOOKUP($A16526,'319'!$B:$H,7,0),0)</f>
        <v>0</v>
      </c>
      <c r="G16526" s="34" t="n">
        <f aca="false">SUMIFS('12.326ana'!$C:$C,'12.326ana'!$M:$M,redes!A16526)</f>
        <v>0</v>
      </c>
    </row>
    <row r="16527" customFormat="false" ht="14.4" hidden="true" customHeight="false" outlineLevel="0" collapsed="false">
      <c r="A16527" s="34" t="n">
        <v>33086307000106</v>
      </c>
      <c r="B16527" s="34" t="s">
        <v>30523</v>
      </c>
      <c r="C16527" s="34" t="s">
        <v>103</v>
      </c>
      <c r="E16527" s="30" t="s">
        <v>30524</v>
      </c>
      <c r="F16527" s="34" t="n">
        <f aca="false">IFERROR(VLOOKUP($A16527,'319'!$B:$H,7,0),0)</f>
        <v>0</v>
      </c>
      <c r="G16527" s="34" t="n">
        <f aca="false">SUMIFS('12.326ana'!$C:$C,'12.326ana'!$M:$M,redes!A16527)</f>
        <v>0</v>
      </c>
    </row>
    <row r="16528" customFormat="false" ht="14.4" hidden="true" customHeight="false" outlineLevel="0" collapsed="false">
      <c r="A16528" s="34" t="n">
        <v>33086851000158</v>
      </c>
      <c r="B16528" s="34" t="s">
        <v>30525</v>
      </c>
      <c r="C16528" s="34" t="s">
        <v>1054</v>
      </c>
      <c r="E16528" s="30" t="s">
        <v>30526</v>
      </c>
      <c r="F16528" s="34" t="n">
        <f aca="false">IFERROR(VLOOKUP($A16528,'319'!$B:$H,7,0),0)</f>
        <v>0</v>
      </c>
      <c r="G16528" s="34" t="n">
        <f aca="false">SUMIFS('12.326ana'!$C:$C,'12.326ana'!$M:$M,redes!A16528)</f>
        <v>0</v>
      </c>
    </row>
    <row r="16529" customFormat="false" ht="14.4" hidden="true" customHeight="false" outlineLevel="0" collapsed="false">
      <c r="A16529" s="34" t="n">
        <v>33089558000144</v>
      </c>
      <c r="B16529" s="34" t="s">
        <v>30527</v>
      </c>
      <c r="C16529" s="34" t="s">
        <v>77</v>
      </c>
      <c r="E16529" s="30" t="s">
        <v>30528</v>
      </c>
      <c r="F16529" s="34" t="n">
        <f aca="false">IFERROR(VLOOKUP($A16529,'319'!$B:$H,7,0),0)</f>
        <v>0</v>
      </c>
      <c r="G16529" s="34" t="n">
        <f aca="false">SUMIFS('12.326ana'!$C:$C,'12.326ana'!$M:$M,redes!A16529)</f>
        <v>0</v>
      </c>
    </row>
    <row r="16530" customFormat="false" ht="14.4" hidden="true" customHeight="false" outlineLevel="0" collapsed="false">
      <c r="A16530" s="34" t="n">
        <v>33089848000198</v>
      </c>
      <c r="B16530" s="34" t="s">
        <v>30529</v>
      </c>
      <c r="C16530" s="34" t="s">
        <v>89</v>
      </c>
      <c r="E16530" s="30" t="s">
        <v>30530</v>
      </c>
      <c r="F16530" s="34" t="n">
        <f aca="false">IFERROR(VLOOKUP($A16530,'319'!$B:$H,7,0),0)</f>
        <v>0</v>
      </c>
      <c r="G16530" s="34" t="n">
        <f aca="false">SUMIFS('12.326ana'!$C:$C,'12.326ana'!$M:$M,redes!A16530)</f>
        <v>0</v>
      </c>
    </row>
    <row r="16531" customFormat="false" ht="14.4" hidden="true" customHeight="false" outlineLevel="0" collapsed="false">
      <c r="A16531" s="34" t="n">
        <v>33090432000190</v>
      </c>
      <c r="B16531" s="34" t="s">
        <v>30531</v>
      </c>
      <c r="C16531" s="34" t="s">
        <v>207</v>
      </c>
      <c r="E16531" s="30" t="s">
        <v>30532</v>
      </c>
      <c r="F16531" s="34" t="n">
        <f aca="false">IFERROR(VLOOKUP($A16531,'319'!$B:$H,7,0),0)</f>
        <v>0</v>
      </c>
      <c r="G16531" s="34" t="n">
        <f aca="false">SUMIFS('12.326ana'!$C:$C,'12.326ana'!$M:$M,redes!A16531)</f>
        <v>0</v>
      </c>
    </row>
    <row r="16532" customFormat="false" ht="14.4" hidden="true" customHeight="false" outlineLevel="0" collapsed="false">
      <c r="A16532" s="34" t="n">
        <v>33090564000111</v>
      </c>
      <c r="B16532" s="34" t="s">
        <v>30533</v>
      </c>
      <c r="C16532" s="34" t="s">
        <v>4139</v>
      </c>
      <c r="E16532" s="30" t="s">
        <v>30534</v>
      </c>
      <c r="F16532" s="34" t="n">
        <f aca="false">IFERROR(VLOOKUP($A16532,'319'!$B:$H,7,0),0)</f>
        <v>0</v>
      </c>
      <c r="G16532" s="34" t="n">
        <f aca="false">SUMIFS('12.326ana'!$C:$C,'12.326ana'!$M:$M,redes!A16532)</f>
        <v>0</v>
      </c>
    </row>
    <row r="16533" customFormat="false" ht="14.4" hidden="true" customHeight="false" outlineLevel="0" collapsed="false">
      <c r="A16533" s="34" t="n">
        <v>33090721000431</v>
      </c>
      <c r="B16533" s="34" t="s">
        <v>30535</v>
      </c>
      <c r="C16533" s="34" t="s">
        <v>107</v>
      </c>
      <c r="E16533" s="30" t="s">
        <v>9302</v>
      </c>
      <c r="F16533" s="34" t="n">
        <f aca="false">IFERROR(VLOOKUP($A16533,'319'!$B:$H,7,0),0)</f>
        <v>0</v>
      </c>
      <c r="G16533" s="34" t="n">
        <f aca="false">SUMIFS('12.326ana'!$C:$C,'12.326ana'!$M:$M,redes!A16533)</f>
        <v>0</v>
      </c>
    </row>
    <row r="16534" customFormat="false" ht="14.4" hidden="true" customHeight="false" outlineLevel="0" collapsed="false">
      <c r="A16534" s="34" t="n">
        <v>33091133000170</v>
      </c>
      <c r="B16534" s="34" t="s">
        <v>30536</v>
      </c>
      <c r="C16534" s="34" t="s">
        <v>848</v>
      </c>
      <c r="E16534" s="30" t="s">
        <v>2846</v>
      </c>
      <c r="F16534" s="34" t="n">
        <f aca="false">IFERROR(VLOOKUP($A16534,'319'!$B:$H,7,0),0)</f>
        <v>0</v>
      </c>
      <c r="G16534" s="34" t="n">
        <f aca="false">SUMIFS('12.326ana'!$C:$C,'12.326ana'!$M:$M,redes!A16534)</f>
        <v>0</v>
      </c>
    </row>
    <row r="16535" customFormat="false" ht="14.4" hidden="true" customHeight="false" outlineLevel="0" collapsed="false">
      <c r="A16535" s="34" t="n">
        <v>33094483000190</v>
      </c>
      <c r="B16535" s="34" t="s">
        <v>30537</v>
      </c>
      <c r="C16535" s="34" t="s">
        <v>463</v>
      </c>
      <c r="E16535" s="30" t="s">
        <v>30538</v>
      </c>
      <c r="F16535" s="34" t="n">
        <f aca="false">IFERROR(VLOOKUP($A16535,'319'!$B:$H,7,0),0)</f>
        <v>0</v>
      </c>
      <c r="G16535" s="34" t="n">
        <f aca="false">SUMIFS('12.326ana'!$C:$C,'12.326ana'!$M:$M,redes!A16535)</f>
        <v>0</v>
      </c>
    </row>
    <row r="16536" customFormat="false" ht="14.4" hidden="true" customHeight="false" outlineLevel="0" collapsed="false">
      <c r="A16536" s="34" t="n">
        <v>33097924000107</v>
      </c>
      <c r="B16536" s="34" t="s">
        <v>30539</v>
      </c>
      <c r="C16536" s="34" t="s">
        <v>77</v>
      </c>
      <c r="E16536" s="30" t="s">
        <v>30540</v>
      </c>
      <c r="F16536" s="34" t="n">
        <f aca="false">IFERROR(VLOOKUP($A16536,'319'!$B:$H,7,0),0)</f>
        <v>0</v>
      </c>
      <c r="G16536" s="34" t="n">
        <f aca="false">SUMIFS('12.326ana'!$C:$C,'12.326ana'!$M:$M,redes!A16536)</f>
        <v>0</v>
      </c>
    </row>
    <row r="16537" customFormat="false" ht="14.4" hidden="true" customHeight="false" outlineLevel="0" collapsed="false">
      <c r="A16537" s="34" t="n">
        <v>33098948000180</v>
      </c>
      <c r="B16537" s="34" t="s">
        <v>30541</v>
      </c>
      <c r="C16537" s="34" t="s">
        <v>77</v>
      </c>
      <c r="D16537" s="34" t="s">
        <v>3324</v>
      </c>
      <c r="E16537" s="30" t="s">
        <v>30542</v>
      </c>
      <c r="F16537" s="34" t="n">
        <f aca="false">IFERROR(VLOOKUP($A16537,'319'!$B:$H,7,0),0)</f>
        <v>0</v>
      </c>
      <c r="G16537" s="34" t="n">
        <f aca="false">SUMIFS('12.326ana'!$C:$C,'12.326ana'!$M:$M,redes!A16537)</f>
        <v>0</v>
      </c>
    </row>
    <row r="16538" customFormat="false" ht="14.4" hidden="true" customHeight="false" outlineLevel="0" collapsed="false">
      <c r="A16538" s="34" t="n">
        <v>33099714000158</v>
      </c>
      <c r="B16538" s="34" t="s">
        <v>30543</v>
      </c>
      <c r="C16538" s="34" t="s">
        <v>680</v>
      </c>
      <c r="E16538" s="30" t="s">
        <v>30544</v>
      </c>
      <c r="F16538" s="34" t="n">
        <f aca="false">IFERROR(VLOOKUP($A16538,'319'!$B:$H,7,0),0)</f>
        <v>0</v>
      </c>
      <c r="G16538" s="34" t="n">
        <f aca="false">SUMIFS('12.326ana'!$C:$C,'12.326ana'!$M:$M,redes!A16538)</f>
        <v>0</v>
      </c>
    </row>
    <row r="16539" customFormat="false" ht="14.4" hidden="true" customHeight="false" outlineLevel="0" collapsed="false">
      <c r="A16539" s="34" t="n">
        <v>33100348000100</v>
      </c>
      <c r="B16539" s="34" t="s">
        <v>30545</v>
      </c>
      <c r="C16539" s="34" t="s">
        <v>77</v>
      </c>
      <c r="E16539" s="30" t="s">
        <v>30546</v>
      </c>
      <c r="F16539" s="34" t="n">
        <f aca="false">IFERROR(VLOOKUP($A16539,'319'!$B:$H,7,0),0)</f>
        <v>0</v>
      </c>
      <c r="G16539" s="34" t="n">
        <f aca="false">SUMIFS('12.326ana'!$C:$C,'12.326ana'!$M:$M,redes!A16539)</f>
        <v>0</v>
      </c>
    </row>
    <row r="16540" customFormat="false" ht="14.4" hidden="true" customHeight="false" outlineLevel="0" collapsed="false">
      <c r="A16540" s="34" t="n">
        <v>33101262000100</v>
      </c>
      <c r="B16540" s="34" t="s">
        <v>30547</v>
      </c>
      <c r="C16540" s="34" t="s">
        <v>77</v>
      </c>
      <c r="E16540" s="30" t="s">
        <v>30548</v>
      </c>
      <c r="F16540" s="34" t="n">
        <f aca="false">IFERROR(VLOOKUP($A16540,'319'!$B:$H,7,0),0)</f>
        <v>0</v>
      </c>
      <c r="G16540" s="34" t="n">
        <f aca="false">SUMIFS('12.326ana'!$C:$C,'12.326ana'!$M:$M,redes!A16540)</f>
        <v>0</v>
      </c>
    </row>
    <row r="16541" customFormat="false" ht="14.4" hidden="true" customHeight="false" outlineLevel="0" collapsed="false">
      <c r="A16541" s="34" t="n">
        <v>33101411000122</v>
      </c>
      <c r="B16541" s="34" t="s">
        <v>30549</v>
      </c>
      <c r="C16541" s="34" t="s">
        <v>296</v>
      </c>
      <c r="E16541" s="30" t="s">
        <v>6310</v>
      </c>
      <c r="F16541" s="34" t="n">
        <f aca="false">IFERROR(VLOOKUP($A16541,'319'!$B:$H,7,0),0)</f>
        <v>0</v>
      </c>
      <c r="G16541" s="34" t="n">
        <f aca="false">SUMIFS('12.326ana'!$C:$C,'12.326ana'!$M:$M,redes!A16541)</f>
        <v>0</v>
      </c>
    </row>
    <row r="16542" customFormat="false" ht="14.4" hidden="true" customHeight="false" outlineLevel="0" collapsed="false">
      <c r="A16542" s="34" t="n">
        <v>33103576000133</v>
      </c>
      <c r="B16542" s="34" t="s">
        <v>30550</v>
      </c>
      <c r="C16542" s="34" t="s">
        <v>77</v>
      </c>
      <c r="E16542" s="30" t="s">
        <v>30551</v>
      </c>
      <c r="F16542" s="34" t="n">
        <f aca="false">IFERROR(VLOOKUP($A16542,'319'!$B:$H,7,0),0)</f>
        <v>0</v>
      </c>
      <c r="G16542" s="34" t="n">
        <f aca="false">SUMIFS('12.326ana'!$C:$C,'12.326ana'!$M:$M,redes!A16542)</f>
        <v>0</v>
      </c>
    </row>
    <row r="16543" customFormat="false" ht="14.4" hidden="true" customHeight="false" outlineLevel="0" collapsed="false">
      <c r="A16543" s="34" t="n">
        <v>33105115000108</v>
      </c>
      <c r="B16543" s="34" t="s">
        <v>30552</v>
      </c>
      <c r="C16543" s="34" t="s">
        <v>129</v>
      </c>
      <c r="E16543" s="30" t="s">
        <v>30553</v>
      </c>
      <c r="F16543" s="34" t="n">
        <f aca="false">IFERROR(VLOOKUP($A16543,'319'!$B:$H,7,0),0)</f>
        <v>0</v>
      </c>
      <c r="G16543" s="34" t="n">
        <f aca="false">SUMIFS('12.326ana'!$C:$C,'12.326ana'!$M:$M,redes!A16543)</f>
        <v>0</v>
      </c>
    </row>
    <row r="16544" customFormat="false" ht="14.4" hidden="true" customHeight="false" outlineLevel="0" collapsed="false">
      <c r="A16544" s="34" t="n">
        <v>33106493000106</v>
      </c>
      <c r="B16544" s="34" t="s">
        <v>30554</v>
      </c>
      <c r="C16544" s="34" t="s">
        <v>107</v>
      </c>
      <c r="E16544" s="30" t="s">
        <v>12711</v>
      </c>
      <c r="F16544" s="34" t="n">
        <f aca="false">IFERROR(VLOOKUP($A16544,'319'!$B:$H,7,0),0)</f>
        <v>0</v>
      </c>
      <c r="G16544" s="34" t="n">
        <f aca="false">SUMIFS('12.326ana'!$C:$C,'12.326ana'!$M:$M,redes!A16544)</f>
        <v>0</v>
      </c>
    </row>
    <row r="16545" customFormat="false" ht="14.4" hidden="true" customHeight="false" outlineLevel="0" collapsed="false">
      <c r="A16545" s="34" t="n">
        <v>33106816000153</v>
      </c>
      <c r="B16545" s="34" t="s">
        <v>30555</v>
      </c>
      <c r="C16545" s="34" t="s">
        <v>77</v>
      </c>
      <c r="E16545" s="30" t="s">
        <v>30556</v>
      </c>
      <c r="F16545" s="34" t="n">
        <f aca="false">IFERROR(VLOOKUP($A16545,'319'!$B:$H,7,0),0)</f>
        <v>0</v>
      </c>
      <c r="G16545" s="34" t="n">
        <f aca="false">SUMIFS('12.326ana'!$C:$C,'12.326ana'!$M:$M,redes!A16545)</f>
        <v>0</v>
      </c>
    </row>
    <row r="16546" customFormat="false" ht="14.4" hidden="true" customHeight="false" outlineLevel="0" collapsed="false">
      <c r="A16546" s="35" t="n">
        <v>33107319000170</v>
      </c>
      <c r="B16546" s="34" t="s">
        <v>30557</v>
      </c>
      <c r="C16546" s="34" t="s">
        <v>77</v>
      </c>
      <c r="D16546" s="34" t="s">
        <v>23</v>
      </c>
      <c r="E16546" s="30" t="s">
        <v>8633</v>
      </c>
      <c r="F16546" s="34" t="n">
        <f aca="false">IFERROR(VLOOKUP($A16546,'319'!$B:$H,7,0),0)</f>
        <v>0</v>
      </c>
      <c r="G16546" s="34" t="n">
        <f aca="false">SUMIFS('12.326ana'!$C:$C,'12.326ana'!$M:$M,redes!A16546)</f>
        <v>0</v>
      </c>
    </row>
    <row r="16547" customFormat="false" ht="14.4" hidden="true" customHeight="false" outlineLevel="0" collapsed="false">
      <c r="A16547" s="35" t="n">
        <v>33107459000148</v>
      </c>
      <c r="B16547" s="34" t="s">
        <v>30558</v>
      </c>
      <c r="C16547" s="34" t="s">
        <v>192</v>
      </c>
      <c r="E16547" s="30" t="s">
        <v>30559</v>
      </c>
      <c r="F16547" s="34" t="n">
        <f aca="false">IFERROR(VLOOKUP($A16547,'319'!$B:$H,7,0),0)</f>
        <v>0</v>
      </c>
      <c r="G16547" s="34" t="n">
        <f aca="false">SUMIFS('12.326ana'!$C:$C,'12.326ana'!$M:$M,redes!A16547)</f>
        <v>0</v>
      </c>
    </row>
    <row r="16548" customFormat="false" ht="14.4" hidden="true" customHeight="false" outlineLevel="0" collapsed="false">
      <c r="A16548" s="34" t="n">
        <v>33109471000191</v>
      </c>
      <c r="B16548" s="34" t="s">
        <v>5948</v>
      </c>
      <c r="C16548" s="34" t="s">
        <v>77</v>
      </c>
      <c r="E16548" s="30" t="s">
        <v>12267</v>
      </c>
      <c r="F16548" s="34" t="n">
        <f aca="false">IFERROR(VLOOKUP($A16548,'319'!$B:$H,7,0),0)</f>
        <v>0</v>
      </c>
      <c r="G16548" s="34" t="n">
        <f aca="false">SUMIFS('12.326ana'!$C:$C,'12.326ana'!$M:$M,redes!A16548)</f>
        <v>0</v>
      </c>
    </row>
    <row r="16549" customFormat="false" ht="14.4" hidden="true" customHeight="false" outlineLevel="0" collapsed="false">
      <c r="A16549" s="35" t="n">
        <v>33110388000132</v>
      </c>
      <c r="B16549" s="34" t="s">
        <v>30560</v>
      </c>
      <c r="C16549" s="34" t="s">
        <v>139</v>
      </c>
      <c r="E16549" s="30" t="s">
        <v>30561</v>
      </c>
      <c r="F16549" s="34" t="n">
        <f aca="false">IFERROR(VLOOKUP($A16549,'319'!$B:$H,7,0),0)</f>
        <v>0</v>
      </c>
      <c r="G16549" s="34" t="n">
        <f aca="false">SUMIFS('12.326ana'!$C:$C,'12.326ana'!$M:$M,redes!A16549)</f>
        <v>0</v>
      </c>
    </row>
    <row r="16550" customFormat="false" ht="14.4" hidden="true" customHeight="false" outlineLevel="0" collapsed="false">
      <c r="A16550" s="34" t="n">
        <v>33112509000185</v>
      </c>
      <c r="B16550" s="34" t="s">
        <v>30562</v>
      </c>
      <c r="C16550" s="34" t="s">
        <v>89</v>
      </c>
      <c r="E16550" s="30" t="s">
        <v>30563</v>
      </c>
      <c r="F16550" s="34" t="n">
        <f aca="false">IFERROR(VLOOKUP($A16550,'319'!$B:$H,7,0),0)</f>
        <v>0</v>
      </c>
      <c r="G16550" s="34" t="n">
        <f aca="false">SUMIFS('12.326ana'!$C:$C,'12.326ana'!$M:$M,redes!A16550)</f>
        <v>0</v>
      </c>
    </row>
    <row r="16551" customFormat="false" ht="14.4" hidden="true" customHeight="false" outlineLevel="0" collapsed="false">
      <c r="A16551" s="34" t="n">
        <v>33113405000195</v>
      </c>
      <c r="B16551" s="34" t="s">
        <v>30564</v>
      </c>
      <c r="C16551" s="34" t="s">
        <v>77</v>
      </c>
      <c r="E16551" s="30" t="s">
        <v>30564</v>
      </c>
      <c r="F16551" s="34" t="n">
        <f aca="false">IFERROR(VLOOKUP($A16551,'319'!$B:$H,7,0),0)</f>
        <v>0</v>
      </c>
      <c r="G16551" s="34" t="n">
        <f aca="false">SUMIFS('12.326ana'!$C:$C,'12.326ana'!$M:$M,redes!A16551)</f>
        <v>0</v>
      </c>
    </row>
    <row r="16552" customFormat="false" ht="14.4" hidden="true" customHeight="false" outlineLevel="0" collapsed="false">
      <c r="A16552" s="34" t="n">
        <v>33113747000105</v>
      </c>
      <c r="B16552" s="34" t="s">
        <v>30565</v>
      </c>
      <c r="C16552" s="34" t="s">
        <v>475</v>
      </c>
      <c r="E16552" s="30" t="s">
        <v>19466</v>
      </c>
      <c r="F16552" s="34" t="n">
        <f aca="false">IFERROR(VLOOKUP($A16552,'319'!$B:$H,7,0),0)</f>
        <v>0</v>
      </c>
      <c r="G16552" s="34" t="n">
        <f aca="false">SUMIFS('12.326ana'!$C:$C,'12.326ana'!$M:$M,redes!A16552)</f>
        <v>0</v>
      </c>
    </row>
    <row r="16553" customFormat="false" ht="14.4" hidden="true" customHeight="false" outlineLevel="0" collapsed="false">
      <c r="A16553" s="34" t="n">
        <v>33113986000165</v>
      </c>
      <c r="B16553" s="34" t="s">
        <v>30566</v>
      </c>
      <c r="C16553" s="34" t="s">
        <v>804</v>
      </c>
      <c r="E16553" s="30" t="s">
        <v>30567</v>
      </c>
      <c r="F16553" s="34" t="n">
        <f aca="false">IFERROR(VLOOKUP($A16553,'319'!$B:$H,7,0),0)</f>
        <v>0</v>
      </c>
      <c r="G16553" s="34" t="n">
        <f aca="false">SUMIFS('12.326ana'!$C:$C,'12.326ana'!$M:$M,redes!A16553)</f>
        <v>0</v>
      </c>
    </row>
    <row r="16554" customFormat="false" ht="14.4" hidden="true" customHeight="false" outlineLevel="0" collapsed="false">
      <c r="A16554" s="34" t="n">
        <v>33116070000169</v>
      </c>
      <c r="B16554" s="34" t="s">
        <v>30568</v>
      </c>
      <c r="C16554" s="34" t="s">
        <v>737</v>
      </c>
      <c r="E16554" s="30" t="s">
        <v>30569</v>
      </c>
      <c r="F16554" s="34" t="n">
        <f aca="false">IFERROR(VLOOKUP($A16554,'319'!$B:$H,7,0),0)</f>
        <v>0</v>
      </c>
      <c r="G16554" s="34" t="n">
        <f aca="false">SUMIFS('12.326ana'!$C:$C,'12.326ana'!$M:$M,redes!A16554)</f>
        <v>0</v>
      </c>
    </row>
    <row r="16555" customFormat="false" ht="14.4" hidden="true" customHeight="false" outlineLevel="0" collapsed="false">
      <c r="A16555" s="34" t="n">
        <v>33118564000182</v>
      </c>
      <c r="B16555" s="34" t="s">
        <v>30570</v>
      </c>
      <c r="C16555" s="34" t="s">
        <v>89</v>
      </c>
      <c r="E16555" s="30" t="s">
        <v>30571</v>
      </c>
      <c r="F16555" s="34" t="n">
        <f aca="false">IFERROR(VLOOKUP($A16555,'319'!$B:$H,7,0),0)</f>
        <v>0</v>
      </c>
      <c r="G16555" s="34" t="n">
        <f aca="false">SUMIFS('12.326ana'!$C:$C,'12.326ana'!$M:$M,redes!A16555)</f>
        <v>0</v>
      </c>
    </row>
    <row r="16556" customFormat="false" ht="14.4" hidden="true" customHeight="false" outlineLevel="0" collapsed="false">
      <c r="A16556" s="34" t="n">
        <v>33122953000181</v>
      </c>
      <c r="B16556" s="34" t="s">
        <v>30572</v>
      </c>
      <c r="C16556" s="34" t="s">
        <v>89</v>
      </c>
      <c r="E16556" s="30" t="s">
        <v>30573</v>
      </c>
      <c r="F16556" s="34" t="n">
        <f aca="false">IFERROR(VLOOKUP($A16556,'319'!$B:$H,7,0),0)</f>
        <v>0</v>
      </c>
      <c r="G16556" s="34" t="n">
        <f aca="false">SUMIFS('12.326ana'!$C:$C,'12.326ana'!$M:$M,redes!A16556)</f>
        <v>0</v>
      </c>
    </row>
    <row r="16557" customFormat="false" ht="14.4" hidden="true" customHeight="false" outlineLevel="0" collapsed="false">
      <c r="A16557" s="34" t="n">
        <v>33122953000262</v>
      </c>
      <c r="B16557" s="34" t="s">
        <v>30572</v>
      </c>
      <c r="C16557" s="34" t="s">
        <v>89</v>
      </c>
      <c r="E16557" s="30" t="s">
        <v>30574</v>
      </c>
      <c r="F16557" s="34" t="n">
        <f aca="false">IFERROR(VLOOKUP($A16557,'319'!$B:$H,7,0),0)</f>
        <v>0</v>
      </c>
      <c r="G16557" s="34" t="n">
        <f aca="false">SUMIFS('12.326ana'!$C:$C,'12.326ana'!$M:$M,redes!A16557)</f>
        <v>0</v>
      </c>
    </row>
    <row r="16558" customFormat="false" ht="14.4" hidden="true" customHeight="false" outlineLevel="0" collapsed="false">
      <c r="A16558" s="34" t="n">
        <v>33123357000116</v>
      </c>
      <c r="B16558" s="34" t="s">
        <v>30575</v>
      </c>
      <c r="C16558" s="34" t="s">
        <v>565</v>
      </c>
      <c r="E16558" s="30" t="s">
        <v>30576</v>
      </c>
      <c r="F16558" s="34" t="n">
        <f aca="false">IFERROR(VLOOKUP($A16558,'319'!$B:$H,7,0),0)</f>
        <v>0</v>
      </c>
      <c r="G16558" s="34" t="n">
        <f aca="false">SUMIFS('12.326ana'!$C:$C,'12.326ana'!$M:$M,redes!A16558)</f>
        <v>0</v>
      </c>
    </row>
    <row r="16559" customFormat="false" ht="14.4" hidden="true" customHeight="false" outlineLevel="0" collapsed="false">
      <c r="A16559" s="34" t="n">
        <v>33123654000161</v>
      </c>
      <c r="B16559" s="34" t="s">
        <v>30577</v>
      </c>
      <c r="C16559" s="34" t="s">
        <v>804</v>
      </c>
      <c r="E16559" s="30" t="s">
        <v>30578</v>
      </c>
      <c r="F16559" s="34" t="n">
        <f aca="false">IFERROR(VLOOKUP($A16559,'319'!$B:$H,7,0),0)</f>
        <v>0</v>
      </c>
      <c r="G16559" s="34" t="n">
        <f aca="false">SUMIFS('12.326ana'!$C:$C,'12.326ana'!$M:$M,redes!A16559)</f>
        <v>0</v>
      </c>
    </row>
    <row r="16560" customFormat="false" ht="14.4" hidden="true" customHeight="false" outlineLevel="0" collapsed="false">
      <c r="A16560" s="34" t="n">
        <v>33123753000143</v>
      </c>
      <c r="B16560" s="34" t="s">
        <v>30579</v>
      </c>
      <c r="C16560" s="34" t="s">
        <v>77</v>
      </c>
      <c r="E16560" s="30" t="s">
        <v>30580</v>
      </c>
      <c r="F16560" s="34" t="n">
        <f aca="false">IFERROR(VLOOKUP($A16560,'319'!$B:$H,7,0),0)</f>
        <v>0</v>
      </c>
      <c r="G16560" s="34" t="n">
        <f aca="false">SUMIFS('12.326ana'!$C:$C,'12.326ana'!$M:$M,redes!A16560)</f>
        <v>0</v>
      </c>
    </row>
    <row r="16561" customFormat="false" ht="14.4" hidden="true" customHeight="false" outlineLevel="0" collapsed="false">
      <c r="A16561" s="34" t="n">
        <v>33125147000167</v>
      </c>
      <c r="B16561" s="34" t="s">
        <v>30581</v>
      </c>
      <c r="C16561" s="34" t="s">
        <v>77</v>
      </c>
      <c r="E16561" s="30" t="s">
        <v>30582</v>
      </c>
      <c r="F16561" s="34" t="n">
        <f aca="false">IFERROR(VLOOKUP($A16561,'319'!$B:$H,7,0),0)</f>
        <v>0</v>
      </c>
      <c r="G16561" s="34" t="n">
        <f aca="false">SUMIFS('12.326ana'!$C:$C,'12.326ana'!$M:$M,redes!A16561)</f>
        <v>0</v>
      </c>
    </row>
    <row r="16562" customFormat="false" ht="14.4" hidden="true" customHeight="false" outlineLevel="0" collapsed="false">
      <c r="A16562" s="34" t="n">
        <v>33126921000154</v>
      </c>
      <c r="B16562" s="34" t="s">
        <v>30583</v>
      </c>
      <c r="C16562" s="34" t="s">
        <v>107</v>
      </c>
      <c r="E16562" s="30" t="s">
        <v>19130</v>
      </c>
      <c r="F16562" s="34" t="n">
        <f aca="false">IFERROR(VLOOKUP($A16562,'319'!$B:$H,7,0),0)</f>
        <v>0</v>
      </c>
      <c r="G16562" s="34" t="n">
        <f aca="false">SUMIFS('12.326ana'!$C:$C,'12.326ana'!$M:$M,redes!A16562)</f>
        <v>0</v>
      </c>
    </row>
    <row r="16563" customFormat="false" ht="14.4" hidden="true" customHeight="false" outlineLevel="0" collapsed="false">
      <c r="A16563" s="34" t="n">
        <v>33127564000149</v>
      </c>
      <c r="B16563" s="34" t="s">
        <v>30584</v>
      </c>
      <c r="C16563" s="34" t="s">
        <v>744</v>
      </c>
      <c r="E16563" s="30" t="s">
        <v>27186</v>
      </c>
      <c r="F16563" s="34" t="n">
        <f aca="false">IFERROR(VLOOKUP($A16563,'319'!$B:$H,7,0),0)</f>
        <v>0</v>
      </c>
      <c r="G16563" s="34" t="n">
        <f aca="false">SUMIFS('12.326ana'!$C:$C,'12.326ana'!$M:$M,redes!A16563)</f>
        <v>0</v>
      </c>
    </row>
    <row r="16564" customFormat="false" ht="14.4" hidden="true" customHeight="false" outlineLevel="0" collapsed="false">
      <c r="A16564" s="34" t="n">
        <v>33127713000170</v>
      </c>
      <c r="B16564" s="34" t="s">
        <v>30585</v>
      </c>
      <c r="C16564" s="34" t="s">
        <v>565</v>
      </c>
      <c r="E16564" s="30" t="s">
        <v>30586</v>
      </c>
      <c r="F16564" s="34" t="n">
        <f aca="false">IFERROR(VLOOKUP($A16564,'319'!$B:$H,7,0),0)</f>
        <v>0</v>
      </c>
      <c r="G16564" s="34" t="n">
        <f aca="false">SUMIFS('12.326ana'!$C:$C,'12.326ana'!$M:$M,redes!A16564)</f>
        <v>0</v>
      </c>
    </row>
    <row r="16565" customFormat="false" ht="14.4" hidden="true" customHeight="false" outlineLevel="0" collapsed="false">
      <c r="A16565" s="34" t="n">
        <v>33127762000102</v>
      </c>
      <c r="B16565" s="34" t="s">
        <v>30587</v>
      </c>
      <c r="C16565" s="34" t="s">
        <v>296</v>
      </c>
      <c r="E16565" s="30" t="s">
        <v>30588</v>
      </c>
      <c r="F16565" s="34" t="n">
        <f aca="false">IFERROR(VLOOKUP($A16565,'319'!$B:$H,7,0),0)</f>
        <v>0</v>
      </c>
      <c r="G16565" s="34" t="n">
        <f aca="false">SUMIFS('12.326ana'!$C:$C,'12.326ana'!$M:$M,redes!A16565)</f>
        <v>0</v>
      </c>
    </row>
    <row r="16566" customFormat="false" ht="14.4" hidden="true" customHeight="false" outlineLevel="0" collapsed="false">
      <c r="A16566" s="34" t="n">
        <v>33128620000160</v>
      </c>
      <c r="B16566" s="34" t="s">
        <v>30589</v>
      </c>
      <c r="C16566" s="34" t="s">
        <v>478</v>
      </c>
      <c r="D16566" s="34" t="s">
        <v>24358</v>
      </c>
      <c r="E16566" s="30" t="s">
        <v>30590</v>
      </c>
      <c r="F16566" s="34" t="n">
        <f aca="false">IFERROR(VLOOKUP($A16566,'319'!$B:$H,7,0),0)</f>
        <v>0</v>
      </c>
      <c r="G16566" s="34" t="n">
        <f aca="false">SUMIFS('12.326ana'!$C:$C,'12.326ana'!$M:$M,redes!A16566)</f>
        <v>0</v>
      </c>
    </row>
    <row r="16567" customFormat="false" ht="14.4" hidden="true" customHeight="false" outlineLevel="0" collapsed="false">
      <c r="A16567" s="34" t="n">
        <v>33128620000240</v>
      </c>
      <c r="B16567" s="34" t="s">
        <v>30589</v>
      </c>
      <c r="C16567" s="34" t="s">
        <v>478</v>
      </c>
      <c r="D16567" s="34" t="s">
        <v>24358</v>
      </c>
      <c r="E16567" s="30" t="s">
        <v>30591</v>
      </c>
      <c r="F16567" s="34" t="n">
        <f aca="false">IFERROR(VLOOKUP($A16567,'319'!$B:$H,7,0),0)</f>
        <v>0</v>
      </c>
      <c r="G16567" s="34" t="n">
        <f aca="false">SUMIFS('12.326ana'!$C:$C,'12.326ana'!$M:$M,redes!A16567)</f>
        <v>0</v>
      </c>
    </row>
    <row r="16568" customFormat="false" ht="14.4" hidden="true" customHeight="false" outlineLevel="0" collapsed="false">
      <c r="A16568" s="34" t="n">
        <v>33129529000240</v>
      </c>
      <c r="B16568" s="34" t="s">
        <v>30592</v>
      </c>
      <c r="C16568" s="34" t="s">
        <v>207</v>
      </c>
      <c r="E16568" s="30" t="s">
        <v>30593</v>
      </c>
      <c r="F16568" s="34" t="n">
        <f aca="false">IFERROR(VLOOKUP($A16568,'319'!$B:$H,7,0),0)</f>
        <v>0</v>
      </c>
      <c r="G16568" s="34" t="n">
        <f aca="false">SUMIFS('12.326ana'!$C:$C,'12.326ana'!$M:$M,redes!A16568)</f>
        <v>0</v>
      </c>
    </row>
    <row r="16569" customFormat="false" ht="14.4" hidden="true" customHeight="false" outlineLevel="0" collapsed="false">
      <c r="A16569" s="34" t="n">
        <v>33129644000133</v>
      </c>
      <c r="B16569" s="34" t="s">
        <v>30594</v>
      </c>
      <c r="C16569" s="34" t="s">
        <v>357</v>
      </c>
      <c r="E16569" s="30"/>
      <c r="F16569" s="34" t="n">
        <f aca="false">IFERROR(VLOOKUP($A16569,'319'!$B:$H,7,0),0)</f>
        <v>0</v>
      </c>
      <c r="G16569" s="34" t="n">
        <f aca="false">SUMIFS('12.326ana'!$C:$C,'12.326ana'!$M:$M,redes!A16569)</f>
        <v>0</v>
      </c>
    </row>
    <row r="16570" customFormat="false" ht="14.4" hidden="true" customHeight="false" outlineLevel="0" collapsed="false">
      <c r="A16570" s="34" t="n">
        <v>33130469000102</v>
      </c>
      <c r="B16570" s="34" t="s">
        <v>30595</v>
      </c>
      <c r="C16570" s="34" t="s">
        <v>473</v>
      </c>
      <c r="E16570" s="30" t="s">
        <v>3337</v>
      </c>
      <c r="F16570" s="34" t="n">
        <f aca="false">IFERROR(VLOOKUP($A16570,'319'!$B:$H,7,0),0)</f>
        <v>0</v>
      </c>
      <c r="G16570" s="34" t="n">
        <f aca="false">SUMIFS('12.326ana'!$C:$C,'12.326ana'!$M:$M,redes!A16570)</f>
        <v>0</v>
      </c>
    </row>
    <row r="16571" customFormat="false" ht="14.4" hidden="true" customHeight="false" outlineLevel="0" collapsed="false">
      <c r="A16571" s="34" t="n">
        <v>33131327000151</v>
      </c>
      <c r="B16571" s="34" t="s">
        <v>30596</v>
      </c>
      <c r="C16571" s="34" t="s">
        <v>4462</v>
      </c>
      <c r="E16571" s="30"/>
      <c r="F16571" s="34" t="n">
        <f aca="false">IFERROR(VLOOKUP($A16571,'319'!$B:$H,7,0),0)</f>
        <v>0</v>
      </c>
      <c r="G16571" s="34" t="n">
        <f aca="false">SUMIFS('12.326ana'!$C:$C,'12.326ana'!$M:$M,redes!A16571)</f>
        <v>0</v>
      </c>
    </row>
    <row r="16572" customFormat="false" ht="14.4" hidden="true" customHeight="false" outlineLevel="0" collapsed="false">
      <c r="A16572" s="34" t="n">
        <v>33131962000139</v>
      </c>
      <c r="B16572" s="34" t="s">
        <v>30597</v>
      </c>
      <c r="C16572" s="34" t="s">
        <v>737</v>
      </c>
      <c r="E16572" s="30" t="s">
        <v>30598</v>
      </c>
      <c r="F16572" s="34" t="n">
        <f aca="false">IFERROR(VLOOKUP($A16572,'319'!$B:$H,7,0),0)</f>
        <v>0</v>
      </c>
      <c r="G16572" s="34" t="n">
        <f aca="false">SUMIFS('12.326ana'!$C:$C,'12.326ana'!$M:$M,redes!A16572)</f>
        <v>0</v>
      </c>
    </row>
    <row r="16573" customFormat="false" ht="14.4" hidden="true" customHeight="false" outlineLevel="0" collapsed="false">
      <c r="A16573" s="34" t="n">
        <v>33136110000134</v>
      </c>
      <c r="B16573" s="34" t="s">
        <v>30599</v>
      </c>
      <c r="C16573" s="34" t="s">
        <v>107</v>
      </c>
      <c r="D16573" s="34" t="s">
        <v>4797</v>
      </c>
      <c r="E16573" s="30"/>
      <c r="F16573" s="34" t="n">
        <f aca="false">IFERROR(VLOOKUP($A16573,'319'!$B:$H,7,0),0)</f>
        <v>0</v>
      </c>
      <c r="G16573" s="34" t="n">
        <f aca="false">SUMIFS('12.326ana'!$C:$C,'12.326ana'!$M:$M,redes!A16573)</f>
        <v>0</v>
      </c>
    </row>
    <row r="16574" customFormat="false" ht="14.4" hidden="true" customHeight="false" outlineLevel="0" collapsed="false">
      <c r="A16574" s="34" t="n">
        <v>33137985000150</v>
      </c>
      <c r="B16574" s="34" t="s">
        <v>30600</v>
      </c>
      <c r="C16574" s="34" t="s">
        <v>77</v>
      </c>
      <c r="D16574" s="34" t="s">
        <v>9598</v>
      </c>
      <c r="E16574" s="30" t="s">
        <v>13233</v>
      </c>
      <c r="F16574" s="34" t="n">
        <f aca="false">IFERROR(VLOOKUP($A16574,'319'!$B:$H,7,0),0)</f>
        <v>0</v>
      </c>
      <c r="G16574" s="34" t="n">
        <f aca="false">SUMIFS('12.326ana'!$C:$C,'12.326ana'!$M:$M,redes!A16574)</f>
        <v>0</v>
      </c>
    </row>
    <row r="16575" customFormat="false" ht="14.4" hidden="true" customHeight="false" outlineLevel="0" collapsed="false">
      <c r="A16575" s="34" t="n">
        <v>33138520000114</v>
      </c>
      <c r="B16575" s="34" t="s">
        <v>30601</v>
      </c>
      <c r="C16575" s="34" t="s">
        <v>77</v>
      </c>
      <c r="D16575" s="34" t="s">
        <v>3324</v>
      </c>
      <c r="E16575" s="30" t="s">
        <v>30602</v>
      </c>
      <c r="F16575" s="34" t="n">
        <f aca="false">IFERROR(VLOOKUP($A16575,'319'!$B:$H,7,0),0)</f>
        <v>0</v>
      </c>
      <c r="G16575" s="34" t="n">
        <f aca="false">SUMIFS('12.326ana'!$C:$C,'12.326ana'!$M:$M,redes!A16575)</f>
        <v>0</v>
      </c>
    </row>
    <row r="16576" customFormat="false" ht="14.4" hidden="true" customHeight="false" outlineLevel="0" collapsed="false">
      <c r="A16576" s="34" t="n">
        <v>33139700000110</v>
      </c>
      <c r="B16576" s="34" t="s">
        <v>30603</v>
      </c>
      <c r="C16576" s="34" t="s">
        <v>299</v>
      </c>
      <c r="E16576" s="30" t="s">
        <v>30604</v>
      </c>
      <c r="F16576" s="34" t="n">
        <f aca="false">IFERROR(VLOOKUP($A16576,'319'!$B:$H,7,0),0)</f>
        <v>0</v>
      </c>
      <c r="G16576" s="34" t="n">
        <f aca="false">SUMIFS('12.326ana'!$C:$C,'12.326ana'!$M:$M,redes!A16576)</f>
        <v>0</v>
      </c>
    </row>
    <row r="16577" customFormat="false" ht="14.4" hidden="true" customHeight="false" outlineLevel="0" collapsed="false">
      <c r="A16577" s="34" t="n">
        <v>33140435000190</v>
      </c>
      <c r="B16577" s="34" t="s">
        <v>30605</v>
      </c>
      <c r="C16577" s="34" t="s">
        <v>89</v>
      </c>
      <c r="E16577" s="30" t="s">
        <v>30606</v>
      </c>
      <c r="F16577" s="34" t="n">
        <f aca="false">IFERROR(VLOOKUP($A16577,'319'!$B:$H,7,0),0)</f>
        <v>0</v>
      </c>
      <c r="G16577" s="34" t="n">
        <f aca="false">SUMIFS('12.326ana'!$C:$C,'12.326ana'!$M:$M,redes!A16577)</f>
        <v>0</v>
      </c>
    </row>
    <row r="16578" customFormat="false" ht="14.4" hidden="true" customHeight="false" outlineLevel="0" collapsed="false">
      <c r="A16578" s="34" t="n">
        <v>33140644000134</v>
      </c>
      <c r="B16578" s="34" t="s">
        <v>30607</v>
      </c>
      <c r="C16578" s="34" t="s">
        <v>77</v>
      </c>
      <c r="E16578" s="30" t="s">
        <v>30608</v>
      </c>
      <c r="F16578" s="34" t="n">
        <f aca="false">IFERROR(VLOOKUP($A16578,'319'!$B:$H,7,0),0)</f>
        <v>0</v>
      </c>
      <c r="G16578" s="34" t="n">
        <f aca="false">SUMIFS('12.326ana'!$C:$C,'12.326ana'!$M:$M,redes!A16578)</f>
        <v>0</v>
      </c>
    </row>
    <row r="16579" customFormat="false" ht="14.4" hidden="true" customHeight="false" outlineLevel="0" collapsed="false">
      <c r="A16579" s="34" t="n">
        <v>33141193000150</v>
      </c>
      <c r="B16579" s="34" t="s">
        <v>30609</v>
      </c>
      <c r="C16579" s="34" t="s">
        <v>129</v>
      </c>
      <c r="E16579" s="30" t="s">
        <v>30610</v>
      </c>
      <c r="F16579" s="34" t="n">
        <f aca="false">IFERROR(VLOOKUP($A16579,'319'!$B:$H,7,0),0)</f>
        <v>0</v>
      </c>
      <c r="G16579" s="34" t="n">
        <f aca="false">SUMIFS('12.326ana'!$C:$C,'12.326ana'!$M:$M,redes!A16579)</f>
        <v>0</v>
      </c>
    </row>
    <row r="16580" customFormat="false" ht="14.4" hidden="true" customHeight="false" outlineLevel="0" collapsed="false">
      <c r="A16580" s="34" t="n">
        <v>33143652000134</v>
      </c>
      <c r="B16580" s="34" t="s">
        <v>30611</v>
      </c>
      <c r="C16580" s="34" t="s">
        <v>139</v>
      </c>
      <c r="E16580" s="30" t="s">
        <v>30612</v>
      </c>
      <c r="F16580" s="34" t="n">
        <f aca="false">IFERROR(VLOOKUP($A16580,'319'!$B:$H,7,0),0)</f>
        <v>0</v>
      </c>
      <c r="G16580" s="34" t="n">
        <f aca="false">SUMIFS('12.326ana'!$C:$C,'12.326ana'!$M:$M,redes!A16580)</f>
        <v>0</v>
      </c>
    </row>
    <row r="16581" customFormat="false" ht="14.4" hidden="true" customHeight="false" outlineLevel="0" collapsed="false">
      <c r="A16581" s="34" t="n">
        <v>33145160000188</v>
      </c>
      <c r="B16581" s="34" t="s">
        <v>30613</v>
      </c>
      <c r="C16581" s="34" t="s">
        <v>103</v>
      </c>
      <c r="E16581" s="30" t="s">
        <v>30614</v>
      </c>
      <c r="F16581" s="34" t="n">
        <f aca="false">IFERROR(VLOOKUP($A16581,'319'!$B:$H,7,0),0)</f>
        <v>0</v>
      </c>
      <c r="G16581" s="34" t="n">
        <f aca="false">SUMIFS('12.326ana'!$C:$C,'12.326ana'!$M:$M,redes!A16581)</f>
        <v>0</v>
      </c>
    </row>
    <row r="16582" customFormat="false" ht="14.4" hidden="true" customHeight="false" outlineLevel="0" collapsed="false">
      <c r="A16582" s="34" t="n">
        <v>33145678000111</v>
      </c>
      <c r="B16582" s="34" t="s">
        <v>30615</v>
      </c>
      <c r="C16582" s="34" t="s">
        <v>12298</v>
      </c>
      <c r="E16582" s="30" t="s">
        <v>30616</v>
      </c>
      <c r="F16582" s="34" t="n">
        <f aca="false">IFERROR(VLOOKUP($A16582,'319'!$B:$H,7,0),0)</f>
        <v>0</v>
      </c>
      <c r="G16582" s="34" t="n">
        <f aca="false">SUMIFS('12.326ana'!$C:$C,'12.326ana'!$M:$M,redes!A16582)</f>
        <v>0</v>
      </c>
    </row>
    <row r="16583" customFormat="false" ht="14.4" hidden="true" customHeight="false" outlineLevel="0" collapsed="false">
      <c r="A16583" s="34" t="n">
        <v>33146432000164</v>
      </c>
      <c r="B16583" s="34" t="s">
        <v>30617</v>
      </c>
      <c r="C16583" s="34" t="s">
        <v>77</v>
      </c>
      <c r="E16583" s="30" t="s">
        <v>30618</v>
      </c>
      <c r="F16583" s="34" t="n">
        <f aca="false">IFERROR(VLOOKUP($A16583,'319'!$B:$H,7,0),0)</f>
        <v>0</v>
      </c>
      <c r="G16583" s="34" t="n">
        <f aca="false">SUMIFS('12.326ana'!$C:$C,'12.326ana'!$M:$M,redes!A16583)</f>
        <v>0</v>
      </c>
    </row>
    <row r="16584" customFormat="false" ht="14.4" hidden="true" customHeight="false" outlineLevel="0" collapsed="false">
      <c r="A16584" s="34" t="n">
        <v>33148669000184</v>
      </c>
      <c r="B16584" s="34" t="s">
        <v>30619</v>
      </c>
      <c r="C16584" s="34" t="s">
        <v>207</v>
      </c>
      <c r="E16584" s="30"/>
      <c r="F16584" s="34" t="n">
        <f aca="false">IFERROR(VLOOKUP($A16584,'319'!$B:$H,7,0),0)</f>
        <v>0</v>
      </c>
      <c r="G16584" s="34" t="n">
        <f aca="false">SUMIFS('12.326ana'!$C:$C,'12.326ana'!$M:$M,redes!A16584)</f>
        <v>0</v>
      </c>
    </row>
    <row r="16585" customFormat="false" ht="14.4" hidden="true" customHeight="false" outlineLevel="0" collapsed="false">
      <c r="A16585" s="34" t="n">
        <v>33151143000153</v>
      </c>
      <c r="B16585" s="34" t="s">
        <v>30620</v>
      </c>
      <c r="C16585" s="34" t="s">
        <v>473</v>
      </c>
      <c r="E16585" s="30" t="s">
        <v>30621</v>
      </c>
      <c r="F16585" s="34" t="n">
        <f aca="false">IFERROR(VLOOKUP($A16585,'319'!$B:$H,7,0),0)</f>
        <v>0</v>
      </c>
      <c r="G16585" s="34" t="n">
        <f aca="false">SUMIFS('12.326ana'!$C:$C,'12.326ana'!$M:$M,redes!A16585)</f>
        <v>0</v>
      </c>
    </row>
    <row r="16586" customFormat="false" ht="14.4" hidden="true" customHeight="false" outlineLevel="0" collapsed="false">
      <c r="A16586" s="34" t="n">
        <v>33153066000170</v>
      </c>
      <c r="B16586" s="34" t="s">
        <v>30622</v>
      </c>
      <c r="C16586" s="34" t="s">
        <v>77</v>
      </c>
      <c r="E16586" s="30" t="s">
        <v>30622</v>
      </c>
      <c r="F16586" s="34" t="n">
        <f aca="false">IFERROR(VLOOKUP($A16586,'319'!$B:$H,7,0),0)</f>
        <v>0</v>
      </c>
      <c r="G16586" s="34" t="n">
        <f aca="false">SUMIFS('12.326ana'!$C:$C,'12.326ana'!$M:$M,redes!A16586)</f>
        <v>0</v>
      </c>
    </row>
    <row r="16587" customFormat="false" ht="14.4" hidden="true" customHeight="false" outlineLevel="0" collapsed="false">
      <c r="A16587" s="34" t="n">
        <v>33153982000100</v>
      </c>
      <c r="B16587" s="34" t="s">
        <v>30623</v>
      </c>
      <c r="C16587" s="34" t="s">
        <v>77</v>
      </c>
      <c r="E16587" s="30" t="s">
        <v>30624</v>
      </c>
      <c r="F16587" s="34" t="n">
        <f aca="false">IFERROR(VLOOKUP($A16587,'319'!$B:$H,7,0),0)</f>
        <v>0</v>
      </c>
      <c r="G16587" s="34" t="n">
        <f aca="false">SUMIFS('12.326ana'!$C:$C,'12.326ana'!$M:$M,redes!A16587)</f>
        <v>0</v>
      </c>
    </row>
    <row r="16588" customFormat="false" ht="14.4" hidden="true" customHeight="false" outlineLevel="0" collapsed="false">
      <c r="A16588" s="34" t="n">
        <v>33158346000171</v>
      </c>
      <c r="B16588" s="34" t="s">
        <v>30625</v>
      </c>
      <c r="C16588" s="34" t="s">
        <v>565</v>
      </c>
      <c r="E16588" s="30" t="s">
        <v>13527</v>
      </c>
      <c r="F16588" s="34" t="n">
        <f aca="false">IFERROR(VLOOKUP($A16588,'319'!$B:$H,7,0),0)</f>
        <v>0</v>
      </c>
      <c r="G16588" s="34" t="n">
        <f aca="false">SUMIFS('12.326ana'!$C:$C,'12.326ana'!$M:$M,redes!A16588)</f>
        <v>0</v>
      </c>
    </row>
    <row r="16589" customFormat="false" ht="14.4" hidden="true" customHeight="false" outlineLevel="0" collapsed="false">
      <c r="A16589" s="34" t="n">
        <v>33158676000167</v>
      </c>
      <c r="B16589" s="34" t="s">
        <v>30626</v>
      </c>
      <c r="C16589" s="34" t="s">
        <v>77</v>
      </c>
      <c r="D16589" s="34" t="s">
        <v>3324</v>
      </c>
      <c r="E16589" s="30" t="s">
        <v>6972</v>
      </c>
      <c r="F16589" s="34" t="n">
        <f aca="false">IFERROR(VLOOKUP($A16589,'319'!$B:$H,7,0),0)</f>
        <v>0</v>
      </c>
      <c r="G16589" s="34" t="n">
        <f aca="false">SUMIFS('12.326ana'!$C:$C,'12.326ana'!$M:$M,redes!A16589)</f>
        <v>0</v>
      </c>
    </row>
    <row r="16590" customFormat="false" ht="14.4" hidden="true" customHeight="false" outlineLevel="0" collapsed="false">
      <c r="A16590" s="34" t="n">
        <v>33159294000158</v>
      </c>
      <c r="B16590" s="34" t="s">
        <v>30627</v>
      </c>
      <c r="C16590" s="34" t="s">
        <v>935</v>
      </c>
      <c r="E16590" s="30" t="s">
        <v>30628</v>
      </c>
      <c r="F16590" s="34" t="n">
        <f aca="false">IFERROR(VLOOKUP($A16590,'319'!$B:$H,7,0),0)</f>
        <v>0</v>
      </c>
      <c r="G16590" s="34" t="n">
        <f aca="false">SUMIFS('12.326ana'!$C:$C,'12.326ana'!$M:$M,redes!A16590)</f>
        <v>0</v>
      </c>
    </row>
    <row r="16591" customFormat="false" ht="14.4" hidden="true" customHeight="false" outlineLevel="0" collapsed="false">
      <c r="A16591" s="34" t="n">
        <v>33159856000163</v>
      </c>
      <c r="B16591" s="34" t="s">
        <v>30629</v>
      </c>
      <c r="C16591" s="34" t="s">
        <v>77</v>
      </c>
      <c r="E16591" s="30" t="s">
        <v>30630</v>
      </c>
      <c r="F16591" s="34" t="n">
        <f aca="false">IFERROR(VLOOKUP($A16591,'319'!$B:$H,7,0),0)</f>
        <v>0</v>
      </c>
      <c r="G16591" s="34" t="n">
        <f aca="false">SUMIFS('12.326ana'!$C:$C,'12.326ana'!$M:$M,redes!A16591)</f>
        <v>0</v>
      </c>
    </row>
    <row r="16592" customFormat="false" ht="14.4" hidden="true" customHeight="false" outlineLevel="0" collapsed="false">
      <c r="A16592" s="34" t="n">
        <v>33163627000112</v>
      </c>
      <c r="B16592" s="34" t="s">
        <v>30631</v>
      </c>
      <c r="C16592" s="34" t="s">
        <v>103</v>
      </c>
      <c r="E16592" s="30" t="s">
        <v>30632</v>
      </c>
      <c r="F16592" s="34" t="n">
        <f aca="false">IFERROR(VLOOKUP($A16592,'319'!$B:$H,7,0),0)</f>
        <v>0</v>
      </c>
      <c r="G16592" s="34" t="n">
        <f aca="false">SUMIFS('12.326ana'!$C:$C,'12.326ana'!$M:$M,redes!A16592)</f>
        <v>0</v>
      </c>
    </row>
    <row r="16593" customFormat="false" ht="14.4" hidden="true" customHeight="false" outlineLevel="0" collapsed="false">
      <c r="A16593" s="34" t="n">
        <v>33165713000164</v>
      </c>
      <c r="B16593" s="34" t="s">
        <v>30633</v>
      </c>
      <c r="C16593" s="34" t="s">
        <v>77</v>
      </c>
      <c r="E16593" s="30" t="s">
        <v>30634</v>
      </c>
      <c r="F16593" s="34" t="n">
        <f aca="false">IFERROR(VLOOKUP($A16593,'319'!$B:$H,7,0),0)</f>
        <v>0</v>
      </c>
      <c r="G16593" s="34" t="n">
        <f aca="false">SUMIFS('12.326ana'!$C:$C,'12.326ana'!$M:$M,redes!A16593)</f>
        <v>0</v>
      </c>
    </row>
    <row r="16594" customFormat="false" ht="14.4" hidden="true" customHeight="false" outlineLevel="0" collapsed="false">
      <c r="A16594" s="34" t="n">
        <v>33166281000106</v>
      </c>
      <c r="B16594" s="34" t="s">
        <v>30635</v>
      </c>
      <c r="C16594" s="34" t="s">
        <v>1680</v>
      </c>
      <c r="E16594" s="30" t="s">
        <v>30636</v>
      </c>
      <c r="F16594" s="34" t="n">
        <f aca="false">IFERROR(VLOOKUP($A16594,'319'!$B:$H,7,0),0)</f>
        <v>0</v>
      </c>
      <c r="G16594" s="34" t="n">
        <f aca="false">SUMIFS('12.326ana'!$C:$C,'12.326ana'!$M:$M,redes!A16594)</f>
        <v>0</v>
      </c>
    </row>
    <row r="16595" customFormat="false" ht="14.4" hidden="true" customHeight="false" outlineLevel="0" collapsed="false">
      <c r="A16595" s="34" t="n">
        <v>33168717000104</v>
      </c>
      <c r="B16595" s="34" t="s">
        <v>2957</v>
      </c>
      <c r="C16595" s="34" t="s">
        <v>464</v>
      </c>
      <c r="D16595" s="34" t="s">
        <v>32</v>
      </c>
      <c r="E16595" s="30" t="s">
        <v>2958</v>
      </c>
      <c r="F16595" s="34" t="n">
        <f aca="false">IFERROR(VLOOKUP($A16595,'319'!$B:$H,7,0),0)</f>
        <v>17908.15</v>
      </c>
      <c r="G16595" s="34" t="n">
        <f aca="false">SUMIFS('12.326ana'!$C:$C,'12.326ana'!$M:$M,redes!A16595)</f>
        <v>178.56</v>
      </c>
    </row>
    <row r="16596" customFormat="false" ht="14.4" hidden="true" customHeight="false" outlineLevel="0" collapsed="false">
      <c r="A16596" s="34" t="n">
        <v>33168717000287</v>
      </c>
      <c r="B16596" s="34" t="s">
        <v>2957</v>
      </c>
      <c r="C16596" s="34" t="s">
        <v>464</v>
      </c>
      <c r="D16596" s="34" t="s">
        <v>32</v>
      </c>
      <c r="E16596" s="30" t="s">
        <v>2959</v>
      </c>
      <c r="F16596" s="34" t="n">
        <f aca="false">IFERROR(VLOOKUP($A16596,'319'!$B:$H,7,0),0)</f>
        <v>0</v>
      </c>
      <c r="G16596" s="34" t="n">
        <f aca="false">SUMIFS('12.326ana'!$C:$C,'12.326ana'!$M:$M,redes!A16596)</f>
        <v>0</v>
      </c>
    </row>
    <row r="16597" customFormat="false" ht="14.4" hidden="true" customHeight="false" outlineLevel="0" collapsed="false">
      <c r="A16597" s="34" t="n">
        <v>33168717000368</v>
      </c>
      <c r="B16597" s="34" t="s">
        <v>2957</v>
      </c>
      <c r="C16597" s="34" t="s">
        <v>464</v>
      </c>
      <c r="D16597" s="34" t="s">
        <v>32</v>
      </c>
      <c r="E16597" s="30" t="s">
        <v>2959</v>
      </c>
      <c r="F16597" s="34" t="n">
        <f aca="false">IFERROR(VLOOKUP($A16597,'319'!$B:$H,7,0),0)</f>
        <v>10038.28</v>
      </c>
      <c r="G16597" s="34" t="n">
        <f aca="false">SUMIFS('12.326ana'!$C:$C,'12.326ana'!$M:$M,redes!A16597)</f>
        <v>0</v>
      </c>
    </row>
    <row r="16598" customFormat="false" ht="14.4" hidden="true" customHeight="false" outlineLevel="0" collapsed="false">
      <c r="A16598" s="34" t="n">
        <v>33168717000449</v>
      </c>
      <c r="B16598" s="34" t="s">
        <v>2957</v>
      </c>
      <c r="C16598" s="34" t="s">
        <v>463</v>
      </c>
      <c r="D16598" s="34" t="s">
        <v>32</v>
      </c>
      <c r="E16598" s="30" t="s">
        <v>2960</v>
      </c>
      <c r="F16598" s="34" t="n">
        <f aca="false">IFERROR(VLOOKUP($A16598,'319'!$B:$H,7,0),0)</f>
        <v>4981.28</v>
      </c>
      <c r="G16598" s="34" t="n">
        <f aca="false">SUMIFS('12.326ana'!$C:$C,'12.326ana'!$M:$M,redes!A16598)</f>
        <v>178.56</v>
      </c>
    </row>
    <row r="16599" customFormat="false" ht="14.4" hidden="true" customHeight="false" outlineLevel="0" collapsed="false">
      <c r="A16599" s="34" t="n">
        <v>33168717000600</v>
      </c>
      <c r="B16599" s="34" t="s">
        <v>2957</v>
      </c>
      <c r="C16599" s="34" t="s">
        <v>129</v>
      </c>
      <c r="D16599" s="34" t="s">
        <v>32</v>
      </c>
      <c r="E16599" s="30" t="s">
        <v>2961</v>
      </c>
      <c r="F16599" s="34" t="n">
        <f aca="false">IFERROR(VLOOKUP($A16599,'319'!$B:$H,7,0),0)</f>
        <v>0</v>
      </c>
      <c r="G16599" s="34" t="n">
        <f aca="false">SUMIFS('12.326ana'!$C:$C,'12.326ana'!$M:$M,redes!A16599)</f>
        <v>0</v>
      </c>
    </row>
    <row r="16600" customFormat="false" ht="14.4" hidden="true" customHeight="false" outlineLevel="0" collapsed="false">
      <c r="A16600" s="34" t="n">
        <v>33169137000123</v>
      </c>
      <c r="B16600" s="34" t="s">
        <v>30637</v>
      </c>
      <c r="C16600" s="34" t="s">
        <v>77</v>
      </c>
      <c r="E16600" s="30" t="s">
        <v>30638</v>
      </c>
      <c r="F16600" s="34" t="n">
        <f aca="false">IFERROR(VLOOKUP($A16600,'319'!$B:$H,7,0),0)</f>
        <v>0</v>
      </c>
      <c r="G16600" s="34" t="n">
        <f aca="false">SUMIFS('12.326ana'!$C:$C,'12.326ana'!$M:$M,redes!A16600)</f>
        <v>0</v>
      </c>
    </row>
    <row r="16601" customFormat="false" ht="14.4" hidden="true" customHeight="false" outlineLevel="0" collapsed="false">
      <c r="A16601" s="34" t="n">
        <v>33169855000108</v>
      </c>
      <c r="B16601" s="34" t="s">
        <v>30639</v>
      </c>
      <c r="C16601" s="34" t="s">
        <v>848</v>
      </c>
      <c r="D16601" s="34" t="s">
        <v>4797</v>
      </c>
      <c r="E16601" s="30" t="s">
        <v>30640</v>
      </c>
      <c r="F16601" s="34" t="n">
        <f aca="false">IFERROR(VLOOKUP($A16601,'319'!$B:$H,7,0),0)</f>
        <v>0</v>
      </c>
      <c r="G16601" s="34" t="n">
        <f aca="false">SUMIFS('12.326ana'!$C:$C,'12.326ana'!$M:$M,redes!A16601)</f>
        <v>0</v>
      </c>
    </row>
    <row r="16602" customFormat="false" ht="14.4" hidden="true" customHeight="false" outlineLevel="0" collapsed="false">
      <c r="A16602" s="34" t="n">
        <v>33172081000166</v>
      </c>
      <c r="B16602" s="34" t="s">
        <v>30641</v>
      </c>
      <c r="C16602" s="34" t="s">
        <v>89</v>
      </c>
      <c r="E16602" s="30" t="s">
        <v>30641</v>
      </c>
      <c r="F16602" s="34" t="n">
        <f aca="false">IFERROR(VLOOKUP($A16602,'319'!$B:$H,7,0),0)</f>
        <v>0</v>
      </c>
      <c r="G16602" s="34" t="n">
        <f aca="false">SUMIFS('12.326ana'!$C:$C,'12.326ana'!$M:$M,redes!A16602)</f>
        <v>0</v>
      </c>
    </row>
    <row r="16603" customFormat="false" ht="14.4" hidden="true" customHeight="false" outlineLevel="0" collapsed="false">
      <c r="A16603" s="34" t="n">
        <v>33172230000197</v>
      </c>
      <c r="B16603" s="34" t="s">
        <v>30642</v>
      </c>
      <c r="C16603" s="34" t="s">
        <v>954</v>
      </c>
      <c r="E16603" s="30" t="s">
        <v>30643</v>
      </c>
      <c r="F16603" s="34" t="n">
        <f aca="false">IFERROR(VLOOKUP($A16603,'319'!$B:$H,7,0),0)</f>
        <v>0</v>
      </c>
      <c r="G16603" s="34" t="n">
        <f aca="false">SUMIFS('12.326ana'!$C:$C,'12.326ana'!$M:$M,redes!A16603)</f>
        <v>0</v>
      </c>
    </row>
    <row r="16604" customFormat="false" ht="14.4" hidden="true" customHeight="false" outlineLevel="0" collapsed="false">
      <c r="A16604" s="34" t="n">
        <v>33172776000148</v>
      </c>
      <c r="B16604" s="34" t="s">
        <v>30644</v>
      </c>
      <c r="C16604" s="34" t="s">
        <v>89</v>
      </c>
      <c r="E16604" s="30" t="s">
        <v>5776</v>
      </c>
      <c r="F16604" s="34" t="n">
        <f aca="false">IFERROR(VLOOKUP($A16604,'319'!$B:$H,7,0),0)</f>
        <v>0</v>
      </c>
      <c r="G16604" s="34" t="n">
        <f aca="false">SUMIFS('12.326ana'!$C:$C,'12.326ana'!$M:$M,redes!A16604)</f>
        <v>0</v>
      </c>
    </row>
    <row r="16605" customFormat="false" ht="14.4" hidden="true" customHeight="false" outlineLevel="0" collapsed="false">
      <c r="A16605" s="34" t="n">
        <v>33173584000156</v>
      </c>
      <c r="B16605" s="34" t="s">
        <v>30645</v>
      </c>
      <c r="C16605" s="34" t="s">
        <v>77</v>
      </c>
      <c r="E16605" s="30" t="s">
        <v>30646</v>
      </c>
      <c r="F16605" s="34" t="n">
        <f aca="false">IFERROR(VLOOKUP($A16605,'319'!$B:$H,7,0),0)</f>
        <v>0</v>
      </c>
      <c r="G16605" s="34" t="n">
        <f aca="false">SUMIFS('12.326ana'!$C:$C,'12.326ana'!$M:$M,redes!A16605)</f>
        <v>0</v>
      </c>
    </row>
    <row r="16606" customFormat="false" ht="14.4" hidden="true" customHeight="false" outlineLevel="0" collapsed="false">
      <c r="A16606" s="34" t="n">
        <v>33174135000122</v>
      </c>
      <c r="B16606" s="34" t="s">
        <v>30647</v>
      </c>
      <c r="C16606" s="34" t="s">
        <v>77</v>
      </c>
      <c r="E16606" s="30" t="s">
        <v>30648</v>
      </c>
      <c r="F16606" s="34" t="n">
        <f aca="false">IFERROR(VLOOKUP($A16606,'319'!$B:$H,7,0),0)</f>
        <v>0</v>
      </c>
      <c r="G16606" s="34" t="n">
        <f aca="false">SUMIFS('12.326ana'!$C:$C,'12.326ana'!$M:$M,redes!A16606)</f>
        <v>0</v>
      </c>
    </row>
    <row r="16607" customFormat="false" ht="14.4" hidden="true" customHeight="false" outlineLevel="0" collapsed="false">
      <c r="A16607" s="34" t="n">
        <v>33177031000171</v>
      </c>
      <c r="B16607" s="34" t="s">
        <v>30649</v>
      </c>
      <c r="C16607" s="34" t="s">
        <v>328</v>
      </c>
      <c r="E16607" s="30" t="s">
        <v>5121</v>
      </c>
      <c r="F16607" s="34" t="n">
        <f aca="false">IFERROR(VLOOKUP($A16607,'319'!$B:$H,7,0),0)</f>
        <v>0</v>
      </c>
      <c r="G16607" s="34" t="n">
        <f aca="false">SUMIFS('12.326ana'!$C:$C,'12.326ana'!$M:$M,redes!A16607)</f>
        <v>0</v>
      </c>
    </row>
    <row r="16608" customFormat="false" ht="14.4" hidden="true" customHeight="false" outlineLevel="0" collapsed="false">
      <c r="A16608" s="34" t="n">
        <v>33177213000142</v>
      </c>
      <c r="B16608" s="34" t="s">
        <v>30650</v>
      </c>
      <c r="C16608" s="34" t="s">
        <v>357</v>
      </c>
      <c r="E16608" s="30" t="s">
        <v>30651</v>
      </c>
      <c r="F16608" s="34" t="n">
        <f aca="false">IFERROR(VLOOKUP($A16608,'319'!$B:$H,7,0),0)</f>
        <v>0</v>
      </c>
      <c r="G16608" s="34" t="n">
        <f aca="false">SUMIFS('12.326ana'!$C:$C,'12.326ana'!$M:$M,redes!A16608)</f>
        <v>0</v>
      </c>
    </row>
    <row r="16609" customFormat="false" ht="14.4" hidden="true" customHeight="false" outlineLevel="0" collapsed="false">
      <c r="A16609" s="34" t="n">
        <v>33178278000102</v>
      </c>
      <c r="B16609" s="34" t="s">
        <v>30652</v>
      </c>
      <c r="C16609" s="34" t="s">
        <v>77</v>
      </c>
      <c r="E16609" s="30" t="s">
        <v>30653</v>
      </c>
      <c r="F16609" s="34" t="n">
        <f aca="false">IFERROR(VLOOKUP($A16609,'319'!$B:$H,7,0),0)</f>
        <v>0</v>
      </c>
      <c r="G16609" s="34" t="n">
        <f aca="false">SUMIFS('12.326ana'!$C:$C,'12.326ana'!$M:$M,redes!A16609)</f>
        <v>0</v>
      </c>
    </row>
    <row r="16610" customFormat="false" ht="14.4" hidden="true" customHeight="false" outlineLevel="0" collapsed="false">
      <c r="A16610" s="34" t="n">
        <v>33178765000175</v>
      </c>
      <c r="B16610" s="34" t="s">
        <v>4898</v>
      </c>
      <c r="C16610" s="34" t="s">
        <v>107</v>
      </c>
      <c r="E16610" s="30" t="s">
        <v>30654</v>
      </c>
      <c r="F16610" s="34" t="n">
        <f aca="false">IFERROR(VLOOKUP($A16610,'319'!$B:$H,7,0),0)</f>
        <v>0</v>
      </c>
      <c r="G16610" s="34" t="n">
        <f aca="false">SUMIFS('12.326ana'!$C:$C,'12.326ana'!$M:$M,redes!A16610)</f>
        <v>0</v>
      </c>
    </row>
    <row r="16611" customFormat="false" ht="14.4" hidden="true" customHeight="false" outlineLevel="0" collapsed="false">
      <c r="A16611" s="34" t="n">
        <v>33178765000256</v>
      </c>
      <c r="B16611" s="34" t="s">
        <v>4898</v>
      </c>
      <c r="C16611" s="34" t="s">
        <v>107</v>
      </c>
      <c r="E16611" s="30" t="s">
        <v>30655</v>
      </c>
      <c r="F16611" s="34" t="n">
        <f aca="false">IFERROR(VLOOKUP($A16611,'319'!$B:$H,7,0),0)</f>
        <v>0</v>
      </c>
      <c r="G16611" s="34" t="n">
        <f aca="false">SUMIFS('12.326ana'!$C:$C,'12.326ana'!$M:$M,redes!A16611)</f>
        <v>0</v>
      </c>
    </row>
    <row r="16612" customFormat="false" ht="14.4" hidden="true" customHeight="false" outlineLevel="0" collapsed="false">
      <c r="A16612" s="34" t="n">
        <v>33178781000168</v>
      </c>
      <c r="B16612" s="34" t="s">
        <v>30656</v>
      </c>
      <c r="C16612" s="34" t="s">
        <v>1591</v>
      </c>
      <c r="E16612" s="30" t="s">
        <v>30657</v>
      </c>
      <c r="F16612" s="34" t="n">
        <f aca="false">IFERROR(VLOOKUP($A16612,'319'!$B:$H,7,0),0)</f>
        <v>0</v>
      </c>
      <c r="G16612" s="34" t="n">
        <f aca="false">SUMIFS('12.326ana'!$C:$C,'12.326ana'!$M:$M,redes!A16612)</f>
        <v>0</v>
      </c>
    </row>
    <row r="16613" customFormat="false" ht="14.4" hidden="true" customHeight="false" outlineLevel="0" collapsed="false">
      <c r="A16613" s="34" t="n">
        <v>33179201000157</v>
      </c>
      <c r="B16613" s="34" t="s">
        <v>30658</v>
      </c>
      <c r="C16613" s="34" t="s">
        <v>77</v>
      </c>
      <c r="E16613" s="30" t="s">
        <v>30659</v>
      </c>
      <c r="F16613" s="34" t="n">
        <f aca="false">IFERROR(VLOOKUP($A16613,'319'!$B:$H,7,0),0)</f>
        <v>0</v>
      </c>
      <c r="G16613" s="34" t="n">
        <f aca="false">SUMIFS('12.326ana'!$C:$C,'12.326ana'!$M:$M,redes!A16613)</f>
        <v>0</v>
      </c>
    </row>
    <row r="16614" customFormat="false" ht="14.4" hidden="true" customHeight="false" outlineLevel="0" collapsed="false">
      <c r="A16614" s="34" t="n">
        <v>33179409000176</v>
      </c>
      <c r="B16614" s="34" t="s">
        <v>30660</v>
      </c>
      <c r="C16614" s="34" t="s">
        <v>77</v>
      </c>
      <c r="E16614" s="30" t="s">
        <v>13505</v>
      </c>
      <c r="F16614" s="34" t="n">
        <f aca="false">IFERROR(VLOOKUP($A16614,'319'!$B:$H,7,0),0)</f>
        <v>0</v>
      </c>
      <c r="G16614" s="34" t="n">
        <f aca="false">SUMIFS('12.326ana'!$C:$C,'12.326ana'!$M:$M,redes!A16614)</f>
        <v>0</v>
      </c>
    </row>
    <row r="16615" customFormat="false" ht="14.4" hidden="true" customHeight="false" outlineLevel="0" collapsed="false">
      <c r="A16615" s="34" t="n">
        <v>33180050000157</v>
      </c>
      <c r="B16615" s="34" t="s">
        <v>30661</v>
      </c>
      <c r="C16615" s="34" t="s">
        <v>463</v>
      </c>
      <c r="E16615" s="30" t="s">
        <v>30662</v>
      </c>
      <c r="F16615" s="34" t="n">
        <f aca="false">IFERROR(VLOOKUP($A16615,'319'!$B:$H,7,0),0)</f>
        <v>0</v>
      </c>
      <c r="G16615" s="34" t="n">
        <f aca="false">SUMIFS('12.326ana'!$C:$C,'12.326ana'!$M:$M,redes!A16615)</f>
        <v>0</v>
      </c>
    </row>
    <row r="16616" customFormat="false" ht="14.4" hidden="true" customHeight="false" outlineLevel="0" collapsed="false">
      <c r="A16616" s="34" t="n">
        <v>33180936000109</v>
      </c>
      <c r="B16616" s="34" t="s">
        <v>30663</v>
      </c>
      <c r="C16616" s="34" t="s">
        <v>744</v>
      </c>
      <c r="E16616" s="30" t="s">
        <v>3112</v>
      </c>
      <c r="F16616" s="34" t="n">
        <f aca="false">IFERROR(VLOOKUP($A16616,'319'!$B:$H,7,0),0)</f>
        <v>0</v>
      </c>
      <c r="G16616" s="34" t="n">
        <f aca="false">SUMIFS('12.326ana'!$C:$C,'12.326ana'!$M:$M,redes!A16616)</f>
        <v>0</v>
      </c>
    </row>
    <row r="16617" customFormat="false" ht="14.4" hidden="true" customHeight="false" outlineLevel="0" collapsed="false">
      <c r="A16617" s="34" t="n">
        <v>33182023000113</v>
      </c>
      <c r="B16617" s="34" t="s">
        <v>4557</v>
      </c>
      <c r="C16617" s="34" t="s">
        <v>77</v>
      </c>
      <c r="E16617" s="30" t="s">
        <v>4558</v>
      </c>
      <c r="F16617" s="34" t="n">
        <f aca="false">IFERROR(VLOOKUP($A16617,'319'!$B:$H,7,0),0)</f>
        <v>0</v>
      </c>
      <c r="G16617" s="34" t="n">
        <f aca="false">SUMIFS('12.326ana'!$C:$C,'12.326ana'!$M:$M,redes!A16617)</f>
        <v>0</v>
      </c>
    </row>
    <row r="16618" customFormat="false" ht="14.4" hidden="true" customHeight="false" outlineLevel="0" collapsed="false">
      <c r="A16618" s="34" t="n">
        <v>33183088000183</v>
      </c>
      <c r="B16618" s="34" t="s">
        <v>30664</v>
      </c>
      <c r="C16618" s="34" t="s">
        <v>107</v>
      </c>
      <c r="E16618" s="30" t="s">
        <v>3291</v>
      </c>
      <c r="F16618" s="34" t="n">
        <f aca="false">IFERROR(VLOOKUP($A16618,'319'!$B:$H,7,0),0)</f>
        <v>0</v>
      </c>
      <c r="G16618" s="34" t="n">
        <f aca="false">SUMIFS('12.326ana'!$C:$C,'12.326ana'!$M:$M,redes!A16618)</f>
        <v>0</v>
      </c>
    </row>
    <row r="16619" customFormat="false" ht="14.4" hidden="true" customHeight="false" outlineLevel="0" collapsed="false">
      <c r="A16619" s="34" t="n">
        <v>33183187000165</v>
      </c>
      <c r="B16619" s="34" t="s">
        <v>30665</v>
      </c>
      <c r="C16619" s="34" t="s">
        <v>737</v>
      </c>
      <c r="E16619" s="30" t="s">
        <v>30666</v>
      </c>
      <c r="F16619" s="34" t="n">
        <f aca="false">IFERROR(VLOOKUP($A16619,'319'!$B:$H,7,0),0)</f>
        <v>0</v>
      </c>
      <c r="G16619" s="34" t="n">
        <f aca="false">SUMIFS('12.326ana'!$C:$C,'12.326ana'!$M:$M,redes!A16619)</f>
        <v>0</v>
      </c>
    </row>
    <row r="16620" customFormat="false" ht="14.4" hidden="true" customHeight="false" outlineLevel="0" collapsed="false">
      <c r="A16620" s="34" t="n">
        <v>33183690000110</v>
      </c>
      <c r="B16620" s="34" t="s">
        <v>30667</v>
      </c>
      <c r="C16620" s="34" t="s">
        <v>77</v>
      </c>
      <c r="E16620" s="30" t="s">
        <v>30668</v>
      </c>
      <c r="F16620" s="34" t="n">
        <f aca="false">IFERROR(VLOOKUP($A16620,'319'!$B:$H,7,0),0)</f>
        <v>0</v>
      </c>
      <c r="G16620" s="34" t="n">
        <f aca="false">SUMIFS('12.326ana'!$C:$C,'12.326ana'!$M:$M,redes!A16620)</f>
        <v>0</v>
      </c>
    </row>
    <row r="16621" customFormat="false" ht="14.4" hidden="true" customHeight="false" outlineLevel="0" collapsed="false">
      <c r="A16621" s="34" t="n">
        <v>33184698000100</v>
      </c>
      <c r="B16621" s="34" t="s">
        <v>30669</v>
      </c>
      <c r="C16621" s="34" t="s">
        <v>77</v>
      </c>
      <c r="E16621" s="30" t="s">
        <v>30670</v>
      </c>
      <c r="F16621" s="34" t="n">
        <f aca="false">IFERROR(VLOOKUP($A16621,'319'!$B:$H,7,0),0)</f>
        <v>0</v>
      </c>
      <c r="G16621" s="34" t="n">
        <f aca="false">SUMIFS('12.326ana'!$C:$C,'12.326ana'!$M:$M,redes!A16621)</f>
        <v>0</v>
      </c>
    </row>
    <row r="16622" customFormat="false" ht="14.4" hidden="true" customHeight="false" outlineLevel="0" collapsed="false">
      <c r="A16622" s="34" t="n">
        <v>33187177000289</v>
      </c>
      <c r="B16622" s="34" t="s">
        <v>30671</v>
      </c>
      <c r="C16622" s="34" t="s">
        <v>77</v>
      </c>
      <c r="E16622" s="30" t="s">
        <v>30672</v>
      </c>
      <c r="F16622" s="34" t="n">
        <f aca="false">IFERROR(VLOOKUP($A16622,'319'!$B:$H,7,0),0)</f>
        <v>0</v>
      </c>
      <c r="G16622" s="34" t="n">
        <f aca="false">SUMIFS('12.326ana'!$C:$C,'12.326ana'!$M:$M,redes!A16622)</f>
        <v>0</v>
      </c>
    </row>
    <row r="16623" customFormat="false" ht="14.4" hidden="true" customHeight="false" outlineLevel="0" collapsed="false">
      <c r="A16623" s="34" t="n">
        <v>33188134000137</v>
      </c>
      <c r="B16623" s="34" t="s">
        <v>30673</v>
      </c>
      <c r="C16623" s="34" t="s">
        <v>979</v>
      </c>
      <c r="D16623" s="34" t="s">
        <v>30145</v>
      </c>
      <c r="E16623" s="30" t="s">
        <v>30674</v>
      </c>
      <c r="F16623" s="34" t="n">
        <f aca="false">IFERROR(VLOOKUP($A16623,'319'!$B:$H,7,0),0)</f>
        <v>0</v>
      </c>
      <c r="G16623" s="34" t="n">
        <f aca="false">SUMIFS('12.326ana'!$C:$C,'12.326ana'!$M:$M,redes!A16623)</f>
        <v>0</v>
      </c>
    </row>
    <row r="16624" customFormat="false" ht="14.4" hidden="true" customHeight="false" outlineLevel="0" collapsed="false">
      <c r="A16624" s="34" t="n">
        <v>33188475000102</v>
      </c>
      <c r="B16624" s="34" t="s">
        <v>30675</v>
      </c>
      <c r="C16624" s="34" t="s">
        <v>562</v>
      </c>
      <c r="E16624" s="30" t="s">
        <v>30676</v>
      </c>
      <c r="F16624" s="34" t="n">
        <f aca="false">IFERROR(VLOOKUP($A16624,'319'!$B:$H,7,0),0)</f>
        <v>0</v>
      </c>
      <c r="G16624" s="34" t="n">
        <f aca="false">SUMIFS('12.326ana'!$C:$C,'12.326ana'!$M:$M,redes!A16624)</f>
        <v>0</v>
      </c>
    </row>
    <row r="16625" customFormat="false" ht="14.4" hidden="true" customHeight="false" outlineLevel="0" collapsed="false">
      <c r="A16625" s="34" t="n">
        <v>33188798000104</v>
      </c>
      <c r="B16625" s="34" t="s">
        <v>30677</v>
      </c>
      <c r="C16625" s="34" t="s">
        <v>478</v>
      </c>
      <c r="E16625" s="30" t="s">
        <v>24382</v>
      </c>
      <c r="F16625" s="34" t="n">
        <f aca="false">IFERROR(VLOOKUP($A16625,'319'!$B:$H,7,0),0)</f>
        <v>0</v>
      </c>
      <c r="G16625" s="34" t="n">
        <f aca="false">SUMIFS('12.326ana'!$C:$C,'12.326ana'!$M:$M,redes!A16625)</f>
        <v>0</v>
      </c>
    </row>
    <row r="16626" customFormat="false" ht="14.4" hidden="true" customHeight="false" outlineLevel="0" collapsed="false">
      <c r="A16626" s="34" t="n">
        <v>33189093000101</v>
      </c>
      <c r="B16626" s="34" t="s">
        <v>30678</v>
      </c>
      <c r="C16626" s="34" t="s">
        <v>77</v>
      </c>
      <c r="E16626" s="30" t="s">
        <v>4630</v>
      </c>
      <c r="F16626" s="34" t="n">
        <f aca="false">IFERROR(VLOOKUP($A16626,'319'!$B:$H,7,0),0)</f>
        <v>0</v>
      </c>
      <c r="G16626" s="34" t="n">
        <f aca="false">SUMIFS('12.326ana'!$C:$C,'12.326ana'!$M:$M,redes!A16626)</f>
        <v>0</v>
      </c>
    </row>
    <row r="16627" customFormat="false" ht="14.4" hidden="true" customHeight="false" outlineLevel="0" collapsed="false">
      <c r="A16627" s="34" t="n">
        <v>33189457000145</v>
      </c>
      <c r="B16627" s="34" t="s">
        <v>30679</v>
      </c>
      <c r="C16627" s="34" t="s">
        <v>357</v>
      </c>
      <c r="E16627" s="30" t="s">
        <v>30680</v>
      </c>
      <c r="F16627" s="34" t="n">
        <f aca="false">IFERROR(VLOOKUP($A16627,'319'!$B:$H,7,0),0)</f>
        <v>0</v>
      </c>
      <c r="G16627" s="34" t="n">
        <f aca="false">SUMIFS('12.326ana'!$C:$C,'12.326ana'!$M:$M,redes!A16627)</f>
        <v>0</v>
      </c>
    </row>
    <row r="16628" customFormat="false" ht="14.4" hidden="true" customHeight="false" outlineLevel="0" collapsed="false">
      <c r="A16628" s="34" t="n">
        <v>33189598000168</v>
      </c>
      <c r="B16628" s="34" t="s">
        <v>1243</v>
      </c>
      <c r="C16628" s="34" t="s">
        <v>299</v>
      </c>
      <c r="E16628" s="30" t="s">
        <v>30681</v>
      </c>
      <c r="F16628" s="34" t="n">
        <f aca="false">IFERROR(VLOOKUP($A16628,'319'!$B:$H,7,0),0)</f>
        <v>293.49</v>
      </c>
      <c r="G16628" s="34" t="n">
        <f aca="false">SUMIFS('12.326ana'!$C:$C,'12.326ana'!$M:$M,redes!A16628)</f>
        <v>0</v>
      </c>
    </row>
    <row r="16629" customFormat="false" ht="14.4" hidden="true" customHeight="false" outlineLevel="0" collapsed="false">
      <c r="A16629" s="34" t="n">
        <v>33190901000142</v>
      </c>
      <c r="B16629" s="34" t="s">
        <v>6139</v>
      </c>
      <c r="C16629" s="34" t="s">
        <v>77</v>
      </c>
      <c r="E16629" s="30" t="s">
        <v>4630</v>
      </c>
      <c r="F16629" s="34" t="n">
        <f aca="false">IFERROR(VLOOKUP($A16629,'319'!$B:$H,7,0),0)</f>
        <v>0</v>
      </c>
      <c r="G16629" s="34" t="n">
        <f aca="false">SUMIFS('12.326ana'!$C:$C,'12.326ana'!$M:$M,redes!A16629)</f>
        <v>0</v>
      </c>
    </row>
    <row r="16630" customFormat="false" ht="14.4" hidden="true" customHeight="false" outlineLevel="0" collapsed="false">
      <c r="A16630" s="34" t="n">
        <v>33191933000162</v>
      </c>
      <c r="B16630" s="34" t="s">
        <v>30682</v>
      </c>
      <c r="C16630" s="34" t="s">
        <v>192</v>
      </c>
      <c r="E16630" s="30" t="s">
        <v>30683</v>
      </c>
      <c r="F16630" s="34" t="n">
        <f aca="false">IFERROR(VLOOKUP($A16630,'319'!$B:$H,7,0),0)</f>
        <v>0</v>
      </c>
      <c r="G16630" s="34" t="n">
        <f aca="false">SUMIFS('12.326ana'!$C:$C,'12.326ana'!$M:$M,redes!A16630)</f>
        <v>0</v>
      </c>
    </row>
    <row r="16631" customFormat="false" ht="14.4" hidden="true" customHeight="false" outlineLevel="0" collapsed="false">
      <c r="A16631" s="34" t="n">
        <v>33193095000166</v>
      </c>
      <c r="B16631" s="34" t="s">
        <v>30684</v>
      </c>
      <c r="C16631" s="34" t="s">
        <v>463</v>
      </c>
      <c r="E16631" s="30" t="s">
        <v>30685</v>
      </c>
      <c r="F16631" s="34" t="n">
        <f aca="false">IFERROR(VLOOKUP($A16631,'319'!$B:$H,7,0),0)</f>
        <v>0</v>
      </c>
      <c r="G16631" s="34" t="n">
        <f aca="false">SUMIFS('12.326ana'!$C:$C,'12.326ana'!$M:$M,redes!A16631)</f>
        <v>0</v>
      </c>
    </row>
    <row r="16632" customFormat="false" ht="14.4" hidden="true" customHeight="false" outlineLevel="0" collapsed="false">
      <c r="A16632" s="34" t="n">
        <v>33193145000105</v>
      </c>
      <c r="B16632" s="34" t="s">
        <v>30686</v>
      </c>
      <c r="C16632" s="34" t="s">
        <v>77</v>
      </c>
      <c r="E16632" s="30" t="s">
        <v>30687</v>
      </c>
      <c r="F16632" s="34" t="n">
        <f aca="false">IFERROR(VLOOKUP($A16632,'319'!$B:$H,7,0),0)</f>
        <v>0</v>
      </c>
      <c r="G16632" s="34" t="n">
        <f aca="false">SUMIFS('12.326ana'!$C:$C,'12.326ana'!$M:$M,redes!A16632)</f>
        <v>0</v>
      </c>
    </row>
    <row r="16633" customFormat="false" ht="14.4" hidden="true" customHeight="false" outlineLevel="0" collapsed="false">
      <c r="A16633" s="34" t="n">
        <v>33193152000107</v>
      </c>
      <c r="B16633" s="34" t="s">
        <v>30688</v>
      </c>
      <c r="C16633" s="34" t="s">
        <v>77</v>
      </c>
      <c r="E16633" s="30" t="s">
        <v>30689</v>
      </c>
      <c r="F16633" s="34" t="n">
        <f aca="false">IFERROR(VLOOKUP($A16633,'319'!$B:$H,7,0),0)</f>
        <v>0</v>
      </c>
      <c r="G16633" s="34" t="n">
        <f aca="false">SUMIFS('12.326ana'!$C:$C,'12.326ana'!$M:$M,redes!A16633)</f>
        <v>0</v>
      </c>
    </row>
    <row r="16634" customFormat="false" ht="14.4" hidden="true" customHeight="false" outlineLevel="0" collapsed="false">
      <c r="A16634" s="34" t="n">
        <v>33193160000153</v>
      </c>
      <c r="B16634" s="34" t="s">
        <v>30690</v>
      </c>
      <c r="C16634" s="34" t="s">
        <v>473</v>
      </c>
      <c r="E16634" s="30" t="s">
        <v>30691</v>
      </c>
      <c r="F16634" s="34" t="n">
        <f aca="false">IFERROR(VLOOKUP($A16634,'319'!$B:$H,7,0),0)</f>
        <v>0</v>
      </c>
      <c r="G16634" s="34" t="n">
        <f aca="false">SUMIFS('12.326ana'!$C:$C,'12.326ana'!$M:$M,redes!A16634)</f>
        <v>0</v>
      </c>
    </row>
    <row r="16635" customFormat="false" ht="14.4" hidden="true" customHeight="false" outlineLevel="0" collapsed="false">
      <c r="A16635" s="34" t="n">
        <v>33193285000183</v>
      </c>
      <c r="B16635" s="34" t="s">
        <v>30692</v>
      </c>
      <c r="C16635" s="34" t="s">
        <v>139</v>
      </c>
      <c r="E16635" s="30" t="s">
        <v>30693</v>
      </c>
      <c r="F16635" s="34" t="n">
        <f aca="false">IFERROR(VLOOKUP($A16635,'319'!$B:$H,7,0),0)</f>
        <v>0</v>
      </c>
      <c r="G16635" s="34" t="n">
        <f aca="false">SUMIFS('12.326ana'!$C:$C,'12.326ana'!$M:$M,redes!A16635)</f>
        <v>0</v>
      </c>
    </row>
    <row r="16636" customFormat="false" ht="14.4" hidden="true" customHeight="false" outlineLevel="0" collapsed="false">
      <c r="A16636" s="34" t="n">
        <v>33203173000166</v>
      </c>
      <c r="B16636" s="34" t="s">
        <v>8160</v>
      </c>
      <c r="C16636" s="34" t="s">
        <v>77</v>
      </c>
      <c r="E16636" s="30" t="s">
        <v>30694</v>
      </c>
      <c r="F16636" s="34" t="n">
        <f aca="false">IFERROR(VLOOKUP($A16636,'319'!$B:$H,7,0),0)</f>
        <v>0</v>
      </c>
      <c r="G16636" s="34" t="n">
        <f aca="false">SUMIFS('12.326ana'!$C:$C,'12.326ana'!$M:$M,redes!A16636)</f>
        <v>0</v>
      </c>
    </row>
    <row r="16637" customFormat="false" ht="14.4" hidden="true" customHeight="false" outlineLevel="0" collapsed="false">
      <c r="A16637" s="34" t="n">
        <v>33209812000109</v>
      </c>
      <c r="B16637" s="34" t="s">
        <v>30695</v>
      </c>
      <c r="C16637" s="34" t="s">
        <v>737</v>
      </c>
      <c r="E16637" s="30" t="s">
        <v>30696</v>
      </c>
      <c r="F16637" s="34" t="n">
        <f aca="false">IFERROR(VLOOKUP($A16637,'319'!$B:$H,7,0),0)</f>
        <v>0</v>
      </c>
      <c r="G16637" s="34" t="n">
        <f aca="false">SUMIFS('12.326ana'!$C:$C,'12.326ana'!$M:$M,redes!A16637)</f>
        <v>0</v>
      </c>
    </row>
    <row r="16638" customFormat="false" ht="14.4" hidden="true" customHeight="false" outlineLevel="0" collapsed="false">
      <c r="A16638" s="34" t="n">
        <v>33218599000193</v>
      </c>
      <c r="B16638" s="34" t="s">
        <v>30697</v>
      </c>
      <c r="C16638" s="34" t="s">
        <v>77</v>
      </c>
      <c r="E16638" s="30" t="s">
        <v>24394</v>
      </c>
      <c r="F16638" s="34" t="n">
        <f aca="false">IFERROR(VLOOKUP($A16638,'319'!$B:$H,7,0),0)</f>
        <v>0</v>
      </c>
      <c r="G16638" s="34" t="n">
        <f aca="false">SUMIFS('12.326ana'!$C:$C,'12.326ana'!$M:$M,redes!A16638)</f>
        <v>0</v>
      </c>
    </row>
    <row r="16639" customFormat="false" ht="14.4" hidden="true" customHeight="false" outlineLevel="0" collapsed="false">
      <c r="A16639" s="34" t="n">
        <v>33236414000173</v>
      </c>
      <c r="B16639" s="34" t="s">
        <v>30698</v>
      </c>
      <c r="C16639" s="34" t="s">
        <v>77</v>
      </c>
      <c r="E16639" s="30" t="s">
        <v>30699</v>
      </c>
      <c r="F16639" s="34" t="n">
        <f aca="false">IFERROR(VLOOKUP($A16639,'319'!$B:$H,7,0),0)</f>
        <v>0</v>
      </c>
      <c r="G16639" s="34" t="n">
        <f aca="false">SUMIFS('12.326ana'!$C:$C,'12.326ana'!$M:$M,redes!A16639)</f>
        <v>0</v>
      </c>
    </row>
    <row r="16640" customFormat="false" ht="14.4" hidden="true" customHeight="false" outlineLevel="0" collapsed="false">
      <c r="A16640" s="34" t="n">
        <v>33242869000100</v>
      </c>
      <c r="B16640" s="34" t="s">
        <v>30700</v>
      </c>
      <c r="C16640" s="34" t="s">
        <v>77</v>
      </c>
      <c r="E16640" s="30" t="s">
        <v>30701</v>
      </c>
      <c r="F16640" s="34" t="n">
        <f aca="false">IFERROR(VLOOKUP($A16640,'319'!$B:$H,7,0),0)</f>
        <v>0</v>
      </c>
      <c r="G16640" s="34" t="n">
        <f aca="false">SUMIFS('12.326ana'!$C:$C,'12.326ana'!$M:$M,redes!A16640)</f>
        <v>0</v>
      </c>
    </row>
    <row r="16641" customFormat="false" ht="14.4" hidden="true" customHeight="false" outlineLevel="0" collapsed="false">
      <c r="A16641" s="34" t="n">
        <v>33247859000159</v>
      </c>
      <c r="B16641" s="34" t="s">
        <v>30702</v>
      </c>
      <c r="C16641" s="34" t="s">
        <v>4156</v>
      </c>
      <c r="E16641" s="30" t="s">
        <v>8633</v>
      </c>
      <c r="F16641" s="34" t="n">
        <f aca="false">IFERROR(VLOOKUP($A16641,'319'!$B:$H,7,0),0)</f>
        <v>0</v>
      </c>
      <c r="G16641" s="34" t="n">
        <f aca="false">SUMIFS('12.326ana'!$C:$C,'12.326ana'!$M:$M,redes!A16641)</f>
        <v>0</v>
      </c>
    </row>
    <row r="16642" customFormat="false" ht="14.4" hidden="true" customHeight="false" outlineLevel="0" collapsed="false">
      <c r="A16642" s="34" t="n">
        <v>33249563000177</v>
      </c>
      <c r="B16642" s="34" t="s">
        <v>30703</v>
      </c>
      <c r="C16642" s="34" t="s">
        <v>197</v>
      </c>
      <c r="E16642" s="30" t="s">
        <v>30704</v>
      </c>
      <c r="F16642" s="34" t="n">
        <f aca="false">IFERROR(VLOOKUP($A16642,'319'!$B:$H,7,0),0)</f>
        <v>137.86</v>
      </c>
      <c r="G16642" s="34" t="n">
        <f aca="false">SUMIFS('12.326ana'!$C:$C,'12.326ana'!$M:$M,redes!A16642)</f>
        <v>0</v>
      </c>
    </row>
    <row r="16643" customFormat="false" ht="14.4" hidden="true" customHeight="false" outlineLevel="0" collapsed="false">
      <c r="A16643" s="34" t="n">
        <v>33249563000258</v>
      </c>
      <c r="B16643" s="34" t="s">
        <v>30703</v>
      </c>
      <c r="C16643" s="34" t="s">
        <v>197</v>
      </c>
      <c r="E16643" s="30" t="s">
        <v>30705</v>
      </c>
      <c r="F16643" s="34" t="n">
        <f aca="false">IFERROR(VLOOKUP($A16643,'319'!$B:$H,7,0),0)</f>
        <v>194.44</v>
      </c>
      <c r="G16643" s="34" t="n">
        <f aca="false">SUMIFS('12.326ana'!$C:$C,'12.326ana'!$M:$M,redes!A16643)</f>
        <v>0</v>
      </c>
    </row>
    <row r="16644" customFormat="false" ht="14.4" hidden="true" customHeight="false" outlineLevel="0" collapsed="false">
      <c r="A16644" s="34" t="n">
        <v>33262388000158</v>
      </c>
      <c r="B16644" s="34" t="s">
        <v>30706</v>
      </c>
      <c r="C16644" s="34" t="s">
        <v>77</v>
      </c>
      <c r="E16644" s="30" t="s">
        <v>30707</v>
      </c>
      <c r="F16644" s="34" t="n">
        <f aca="false">IFERROR(VLOOKUP($A16644,'319'!$B:$H,7,0),0)</f>
        <v>0</v>
      </c>
      <c r="G16644" s="34" t="n">
        <f aca="false">SUMIFS('12.326ana'!$C:$C,'12.326ana'!$M:$M,redes!A16644)</f>
        <v>0</v>
      </c>
    </row>
    <row r="16645" customFormat="false" ht="14.4" hidden="true" customHeight="false" outlineLevel="0" collapsed="false">
      <c r="A16645" s="34" t="n">
        <v>33274525000174</v>
      </c>
      <c r="B16645" s="34" t="s">
        <v>30708</v>
      </c>
      <c r="C16645" s="34" t="s">
        <v>77</v>
      </c>
      <c r="E16645" s="30" t="s">
        <v>30709</v>
      </c>
      <c r="F16645" s="34" t="n">
        <f aca="false">IFERROR(VLOOKUP($A16645,'319'!$B:$H,7,0),0)</f>
        <v>0</v>
      </c>
      <c r="G16645" s="34" t="n">
        <f aca="false">SUMIFS('12.326ana'!$C:$C,'12.326ana'!$M:$M,redes!A16645)</f>
        <v>0</v>
      </c>
    </row>
    <row r="16646" customFormat="false" ht="14.4" hidden="true" customHeight="false" outlineLevel="0" collapsed="false">
      <c r="A16646" s="34" t="n">
        <v>33294374000116</v>
      </c>
      <c r="B16646" s="34" t="s">
        <v>30710</v>
      </c>
      <c r="C16646" s="34" t="s">
        <v>139</v>
      </c>
      <c r="E16646" s="30" t="s">
        <v>30711</v>
      </c>
      <c r="F16646" s="34" t="n">
        <f aca="false">IFERROR(VLOOKUP($A16646,'319'!$B:$H,7,0),0)</f>
        <v>0</v>
      </c>
      <c r="G16646" s="34" t="n">
        <f aca="false">SUMIFS('12.326ana'!$C:$C,'12.326ana'!$M:$M,redes!A16646)</f>
        <v>0</v>
      </c>
    </row>
    <row r="16647" customFormat="false" ht="14.4" hidden="true" customHeight="false" outlineLevel="0" collapsed="false">
      <c r="A16647" s="34" t="n">
        <v>33308424003516</v>
      </c>
      <c r="B16647" s="34" t="s">
        <v>30712</v>
      </c>
      <c r="C16647" s="34" t="s">
        <v>77</v>
      </c>
      <c r="E16647" s="30" t="s">
        <v>30713</v>
      </c>
      <c r="F16647" s="34" t="n">
        <f aca="false">IFERROR(VLOOKUP($A16647,'319'!$B:$H,7,0),0)</f>
        <v>0</v>
      </c>
      <c r="G16647" s="34" t="n">
        <f aca="false">SUMIFS('12.326ana'!$C:$C,'12.326ana'!$M:$M,redes!A16647)</f>
        <v>0</v>
      </c>
    </row>
    <row r="16648" customFormat="false" ht="14.4" hidden="true" customHeight="false" outlineLevel="0" collapsed="false">
      <c r="A16648" s="34" t="n">
        <v>33308424003605</v>
      </c>
      <c r="B16648" s="34" t="s">
        <v>30712</v>
      </c>
      <c r="C16648" s="34" t="s">
        <v>77</v>
      </c>
      <c r="E16648" s="30" t="s">
        <v>30714</v>
      </c>
      <c r="F16648" s="34" t="n">
        <f aca="false">IFERROR(VLOOKUP($A16648,'319'!$B:$H,7,0),0)</f>
        <v>0</v>
      </c>
      <c r="G16648" s="34" t="n">
        <f aca="false">SUMIFS('12.326ana'!$C:$C,'12.326ana'!$M:$M,redes!A16648)</f>
        <v>0</v>
      </c>
    </row>
    <row r="16649" customFormat="false" ht="14.4" hidden="true" customHeight="false" outlineLevel="0" collapsed="false">
      <c r="A16649" s="34" t="n">
        <v>33315280000186</v>
      </c>
      <c r="B16649" s="34" t="s">
        <v>30715</v>
      </c>
      <c r="C16649" s="34" t="s">
        <v>77</v>
      </c>
      <c r="E16649" s="30" t="s">
        <v>30716</v>
      </c>
      <c r="F16649" s="34" t="n">
        <f aca="false">IFERROR(VLOOKUP($A16649,'319'!$B:$H,7,0),0)</f>
        <v>0</v>
      </c>
      <c r="G16649" s="34" t="n">
        <f aca="false">SUMIFS('12.326ana'!$C:$C,'12.326ana'!$M:$M,redes!A16649)</f>
        <v>0</v>
      </c>
    </row>
    <row r="16650" customFormat="false" ht="14.4" hidden="true" customHeight="false" outlineLevel="0" collapsed="false">
      <c r="A16650" s="34" t="n">
        <v>33329412000129</v>
      </c>
      <c r="B16650" s="34" t="s">
        <v>1140</v>
      </c>
      <c r="C16650" s="34" t="s">
        <v>309</v>
      </c>
      <c r="E16650" s="30" t="s">
        <v>30717</v>
      </c>
      <c r="F16650" s="34" t="n">
        <f aca="false">IFERROR(VLOOKUP($A16650,'319'!$B:$H,7,0),0)</f>
        <v>508.77</v>
      </c>
      <c r="G16650" s="34" t="n">
        <f aca="false">SUMIFS('12.326ana'!$C:$C,'12.326ana'!$M:$M,redes!A16650)</f>
        <v>0</v>
      </c>
    </row>
    <row r="16651" customFormat="false" ht="14.4" hidden="true" customHeight="false" outlineLevel="0" collapsed="false">
      <c r="A16651" s="34" t="n">
        <v>33353562000178</v>
      </c>
      <c r="B16651" s="34" t="s">
        <v>30718</v>
      </c>
      <c r="C16651" s="34" t="s">
        <v>809</v>
      </c>
      <c r="E16651" s="30" t="s">
        <v>4098</v>
      </c>
      <c r="F16651" s="34" t="n">
        <f aca="false">IFERROR(VLOOKUP($A16651,'319'!$B:$H,7,0),0)</f>
        <v>0</v>
      </c>
      <c r="G16651" s="34" t="n">
        <f aca="false">SUMIFS('12.326ana'!$C:$C,'12.326ana'!$M:$M,redes!A16651)</f>
        <v>0</v>
      </c>
    </row>
    <row r="16652" customFormat="false" ht="14.4" hidden="true" customHeight="false" outlineLevel="0" collapsed="false">
      <c r="A16652" s="34" t="n">
        <v>33354844000190</v>
      </c>
      <c r="B16652" s="34" t="s">
        <v>30719</v>
      </c>
      <c r="C16652" s="34" t="s">
        <v>107</v>
      </c>
      <c r="E16652" s="30" t="s">
        <v>25954</v>
      </c>
      <c r="F16652" s="34" t="n">
        <f aca="false">IFERROR(VLOOKUP($A16652,'319'!$B:$H,7,0),0)</f>
        <v>0</v>
      </c>
      <c r="G16652" s="34" t="n">
        <f aca="false">SUMIFS('12.326ana'!$C:$C,'12.326ana'!$M:$M,redes!A16652)</f>
        <v>0</v>
      </c>
    </row>
    <row r="16653" customFormat="false" ht="14.4" hidden="true" customHeight="false" outlineLevel="0" collapsed="false">
      <c r="A16653" s="34" t="n">
        <v>33358113000112</v>
      </c>
      <c r="B16653" s="34" t="s">
        <v>30720</v>
      </c>
      <c r="C16653" s="34" t="s">
        <v>89</v>
      </c>
      <c r="E16653" s="30" t="s">
        <v>28835</v>
      </c>
      <c r="F16653" s="34" t="n">
        <f aca="false">IFERROR(VLOOKUP($A16653,'319'!$B:$H,7,0),0)</f>
        <v>0</v>
      </c>
      <c r="G16653" s="34" t="n">
        <f aca="false">SUMIFS('12.326ana'!$C:$C,'12.326ana'!$M:$M,redes!A16653)</f>
        <v>0</v>
      </c>
    </row>
    <row r="16654" customFormat="false" ht="14.4" hidden="true" customHeight="false" outlineLevel="0" collapsed="false">
      <c r="A16654" s="34" t="n">
        <v>33396471000110</v>
      </c>
      <c r="B16654" s="34" t="s">
        <v>30721</v>
      </c>
      <c r="C16654" s="34" t="s">
        <v>89</v>
      </c>
      <c r="E16654" s="30" t="s">
        <v>30722</v>
      </c>
      <c r="F16654" s="34" t="n">
        <f aca="false">IFERROR(VLOOKUP($A16654,'319'!$B:$H,7,0),0)</f>
        <v>0</v>
      </c>
      <c r="G16654" s="34" t="n">
        <f aca="false">SUMIFS('12.326ana'!$C:$C,'12.326ana'!$M:$M,redes!A16654)</f>
        <v>0</v>
      </c>
    </row>
    <row r="16655" customFormat="false" ht="14.4" hidden="true" customHeight="false" outlineLevel="0" collapsed="false">
      <c r="A16655" s="34" t="n">
        <v>33403672000105</v>
      </c>
      <c r="B16655" s="34" t="s">
        <v>30723</v>
      </c>
      <c r="C16655" s="34" t="s">
        <v>1272</v>
      </c>
      <c r="E16655" s="30" t="s">
        <v>3337</v>
      </c>
      <c r="F16655" s="34" t="n">
        <f aca="false">IFERROR(VLOOKUP($A16655,'319'!$B:$H,7,0),0)</f>
        <v>0</v>
      </c>
      <c r="G16655" s="34" t="n">
        <f aca="false">SUMIFS('12.326ana'!$C:$C,'12.326ana'!$M:$M,redes!A16655)</f>
        <v>0</v>
      </c>
    </row>
    <row r="16656" customFormat="false" ht="14.4" hidden="true" customHeight="false" outlineLevel="0" collapsed="false">
      <c r="A16656" s="34" t="n">
        <v>33416790000140</v>
      </c>
      <c r="B16656" s="34" t="s">
        <v>30724</v>
      </c>
      <c r="C16656" s="34" t="s">
        <v>77</v>
      </c>
      <c r="E16656" s="30" t="s">
        <v>30725</v>
      </c>
      <c r="F16656" s="34" t="n">
        <f aca="false">IFERROR(VLOOKUP($A16656,'319'!$B:$H,7,0),0)</f>
        <v>0</v>
      </c>
      <c r="G16656" s="34" t="n">
        <f aca="false">SUMIFS('12.326ana'!$C:$C,'12.326ana'!$M:$M,redes!A16656)</f>
        <v>0</v>
      </c>
    </row>
    <row r="16657" customFormat="false" ht="14.4" hidden="true" customHeight="false" outlineLevel="0" collapsed="false">
      <c r="A16657" s="34" t="n">
        <v>33419945000100</v>
      </c>
      <c r="B16657" s="34" t="s">
        <v>30726</v>
      </c>
      <c r="C16657" s="34" t="s">
        <v>1054</v>
      </c>
      <c r="E16657" s="30" t="s">
        <v>30727</v>
      </c>
      <c r="F16657" s="34" t="n">
        <f aca="false">IFERROR(VLOOKUP($A16657,'319'!$B:$H,7,0),0)</f>
        <v>0</v>
      </c>
      <c r="G16657" s="34" t="n">
        <f aca="false">SUMIFS('12.326ana'!$C:$C,'12.326ana'!$M:$M,redes!A16657)</f>
        <v>0</v>
      </c>
    </row>
    <row r="16658" customFormat="false" ht="14.4" hidden="true" customHeight="false" outlineLevel="0" collapsed="false">
      <c r="A16658" s="34" t="n">
        <v>33441520000199</v>
      </c>
      <c r="B16658" s="34" t="s">
        <v>30728</v>
      </c>
      <c r="C16658" s="34" t="s">
        <v>77</v>
      </c>
      <c r="E16658" s="30" t="s">
        <v>30729</v>
      </c>
      <c r="F16658" s="34" t="n">
        <f aca="false">IFERROR(VLOOKUP($A16658,'319'!$B:$H,7,0),0)</f>
        <v>0</v>
      </c>
      <c r="G16658" s="34" t="n">
        <f aca="false">SUMIFS('12.326ana'!$C:$C,'12.326ana'!$M:$M,redes!A16658)</f>
        <v>0</v>
      </c>
    </row>
    <row r="16659" customFormat="false" ht="14.4" hidden="true" customHeight="false" outlineLevel="0" collapsed="false">
      <c r="A16659" s="34" t="n">
        <v>33458080000182</v>
      </c>
      <c r="B16659" s="34" t="s">
        <v>30730</v>
      </c>
      <c r="C16659" s="34" t="s">
        <v>737</v>
      </c>
      <c r="E16659" s="30" t="s">
        <v>30731</v>
      </c>
      <c r="F16659" s="34" t="n">
        <f aca="false">IFERROR(VLOOKUP($A16659,'319'!$B:$H,7,0),0)</f>
        <v>0</v>
      </c>
      <c r="G16659" s="34" t="n">
        <f aca="false">SUMIFS('12.326ana'!$C:$C,'12.326ana'!$M:$M,redes!A16659)</f>
        <v>0</v>
      </c>
    </row>
    <row r="16660" customFormat="false" ht="14.4" hidden="true" customHeight="false" outlineLevel="0" collapsed="false">
      <c r="A16660" s="34" t="n">
        <v>33470841000111</v>
      </c>
      <c r="B16660" s="34" t="s">
        <v>30732</v>
      </c>
      <c r="C16660" s="34" t="s">
        <v>680</v>
      </c>
      <c r="E16660" s="30" t="s">
        <v>30733</v>
      </c>
      <c r="F16660" s="34" t="n">
        <f aca="false">IFERROR(VLOOKUP($A16660,'319'!$B:$H,7,0),0)</f>
        <v>0</v>
      </c>
      <c r="G16660" s="34" t="n">
        <f aca="false">SUMIFS('12.326ana'!$C:$C,'12.326ana'!$M:$M,redes!A16660)</f>
        <v>0</v>
      </c>
    </row>
    <row r="16661" customFormat="false" ht="14.4" hidden="true" customHeight="false" outlineLevel="0" collapsed="false">
      <c r="A16661" s="34" t="n">
        <v>33481134000120</v>
      </c>
      <c r="B16661" s="34" t="s">
        <v>30734</v>
      </c>
      <c r="C16661" s="34" t="s">
        <v>139</v>
      </c>
      <c r="E16661" s="30" t="s">
        <v>30735</v>
      </c>
      <c r="F16661" s="34" t="n">
        <f aca="false">IFERROR(VLOOKUP($A16661,'319'!$B:$H,7,0),0)</f>
        <v>0</v>
      </c>
      <c r="G16661" s="34" t="n">
        <f aca="false">SUMIFS('12.326ana'!$C:$C,'12.326ana'!$M:$M,redes!A16661)</f>
        <v>0</v>
      </c>
    </row>
    <row r="16662" customFormat="false" ht="14.4" hidden="true" customHeight="false" outlineLevel="0" collapsed="false">
      <c r="A16662" s="34" t="n">
        <v>33481209000173</v>
      </c>
      <c r="B16662" s="34" t="s">
        <v>30736</v>
      </c>
      <c r="C16662" s="34" t="s">
        <v>139</v>
      </c>
      <c r="E16662" s="30" t="s">
        <v>30737</v>
      </c>
      <c r="F16662" s="34" t="n">
        <f aca="false">IFERROR(VLOOKUP($A16662,'319'!$B:$H,7,0),0)</f>
        <v>0</v>
      </c>
      <c r="G16662" s="34" t="n">
        <f aca="false">SUMIFS('12.326ana'!$C:$C,'12.326ana'!$M:$M,redes!A16662)</f>
        <v>0</v>
      </c>
    </row>
    <row r="16663" customFormat="false" ht="14.4" hidden="true" customHeight="false" outlineLevel="0" collapsed="false">
      <c r="A16663" s="34" t="n">
        <v>33483565000126</v>
      </c>
      <c r="B16663" s="34" t="s">
        <v>30738</v>
      </c>
      <c r="C16663" s="34" t="s">
        <v>77</v>
      </c>
      <c r="E16663" s="30" t="s">
        <v>30739</v>
      </c>
      <c r="F16663" s="34" t="n">
        <f aca="false">IFERROR(VLOOKUP($A16663,'319'!$B:$H,7,0),0)</f>
        <v>0</v>
      </c>
      <c r="G16663" s="34" t="n">
        <f aca="false">SUMIFS('12.326ana'!$C:$C,'12.326ana'!$M:$M,redes!A16663)</f>
        <v>0</v>
      </c>
    </row>
    <row r="16664" customFormat="false" ht="14.4" hidden="true" customHeight="false" outlineLevel="0" collapsed="false">
      <c r="A16664" s="34" t="n">
        <v>33489558000131</v>
      </c>
      <c r="B16664" s="34" t="s">
        <v>30740</v>
      </c>
      <c r="C16664" s="34" t="s">
        <v>77</v>
      </c>
      <c r="E16664" s="30" t="s">
        <v>30741</v>
      </c>
      <c r="F16664" s="34" t="n">
        <f aca="false">IFERROR(VLOOKUP($A16664,'319'!$B:$H,7,0),0)</f>
        <v>0</v>
      </c>
      <c r="G16664" s="34" t="n">
        <f aca="false">SUMIFS('12.326ana'!$C:$C,'12.326ana'!$M:$M,redes!A16664)</f>
        <v>0</v>
      </c>
    </row>
    <row r="16665" customFormat="false" ht="14.4" hidden="true" customHeight="false" outlineLevel="0" collapsed="false">
      <c r="A16665" s="34" t="n">
        <v>33495236000103</v>
      </c>
      <c r="B16665" s="34" t="s">
        <v>30742</v>
      </c>
      <c r="C16665" s="34" t="s">
        <v>631</v>
      </c>
      <c r="E16665" s="30" t="s">
        <v>30743</v>
      </c>
      <c r="F16665" s="34" t="n">
        <f aca="false">IFERROR(VLOOKUP($A16665,'319'!$B:$H,7,0),0)</f>
        <v>0</v>
      </c>
      <c r="G16665" s="34" t="n">
        <f aca="false">SUMIFS('12.326ana'!$C:$C,'12.326ana'!$M:$M,redes!A16665)</f>
        <v>0</v>
      </c>
    </row>
    <row r="16666" customFormat="false" ht="14.4" hidden="true" customHeight="false" outlineLevel="0" collapsed="false">
      <c r="A16666" s="34" t="n">
        <v>33496544000145</v>
      </c>
      <c r="B16666" s="34" t="s">
        <v>30744</v>
      </c>
      <c r="C16666" s="34" t="s">
        <v>299</v>
      </c>
      <c r="E16666" s="30" t="s">
        <v>6896</v>
      </c>
      <c r="F16666" s="34" t="n">
        <f aca="false">IFERROR(VLOOKUP($A16666,'319'!$B:$H,7,0),0)</f>
        <v>250.33</v>
      </c>
      <c r="G16666" s="34" t="n">
        <f aca="false">SUMIFS('12.326ana'!$C:$C,'12.326ana'!$M:$M,redes!A16666)</f>
        <v>0</v>
      </c>
    </row>
    <row r="16667" customFormat="false" ht="14.4" hidden="true" customHeight="false" outlineLevel="0" collapsed="false">
      <c r="A16667" s="34" t="n">
        <v>33520476000102</v>
      </c>
      <c r="B16667" s="34" t="s">
        <v>30745</v>
      </c>
      <c r="C16667" s="34" t="s">
        <v>77</v>
      </c>
      <c r="E16667" s="30" t="s">
        <v>30746</v>
      </c>
      <c r="F16667" s="34" t="n">
        <f aca="false">IFERROR(VLOOKUP($A16667,'319'!$B:$H,7,0),0)</f>
        <v>0</v>
      </c>
      <c r="G16667" s="34" t="n">
        <f aca="false">SUMIFS('12.326ana'!$C:$C,'12.326ana'!$M:$M,redes!A16667)</f>
        <v>0</v>
      </c>
    </row>
    <row r="16668" customFormat="false" ht="14.4" hidden="true" customHeight="false" outlineLevel="0" collapsed="false">
      <c r="A16668" s="34" t="n">
        <v>33530486002687</v>
      </c>
      <c r="B16668" s="34" t="s">
        <v>30747</v>
      </c>
      <c r="C16668" s="34" t="s">
        <v>77</v>
      </c>
      <c r="E16668" s="30" t="s">
        <v>30748</v>
      </c>
      <c r="F16668" s="34" t="n">
        <f aca="false">IFERROR(VLOOKUP($A16668,'319'!$B:$H,7,0),0)</f>
        <v>0</v>
      </c>
      <c r="G16668" s="34" t="n">
        <f aca="false">SUMIFS('12.326ana'!$C:$C,'12.326ana'!$M:$M,redes!A16668)</f>
        <v>0</v>
      </c>
    </row>
    <row r="16669" customFormat="false" ht="14.4" hidden="true" customHeight="false" outlineLevel="0" collapsed="false">
      <c r="A16669" s="34" t="n">
        <v>33532655000160</v>
      </c>
      <c r="B16669" s="34" t="s">
        <v>30749</v>
      </c>
      <c r="C16669" s="34" t="s">
        <v>77</v>
      </c>
      <c r="E16669" s="30" t="s">
        <v>30750</v>
      </c>
      <c r="F16669" s="34" t="n">
        <f aca="false">IFERROR(VLOOKUP($A16669,'319'!$B:$H,7,0),0)</f>
        <v>0</v>
      </c>
      <c r="G16669" s="34" t="n">
        <f aca="false">SUMIFS('12.326ana'!$C:$C,'12.326ana'!$M:$M,redes!A16669)</f>
        <v>0</v>
      </c>
    </row>
    <row r="16670" customFormat="false" ht="14.4" hidden="true" customHeight="false" outlineLevel="0" collapsed="false">
      <c r="A16670" s="34" t="n">
        <v>33534771000118</v>
      </c>
      <c r="B16670" s="34" t="s">
        <v>30751</v>
      </c>
      <c r="C16670" s="34" t="s">
        <v>77</v>
      </c>
      <c r="E16670" s="30" t="s">
        <v>30752</v>
      </c>
      <c r="F16670" s="34" t="n">
        <f aca="false">IFERROR(VLOOKUP($A16670,'319'!$B:$H,7,0),0)</f>
        <v>0</v>
      </c>
      <c r="G16670" s="34" t="n">
        <f aca="false">SUMIFS('12.326ana'!$C:$C,'12.326ana'!$M:$M,redes!A16670)</f>
        <v>0</v>
      </c>
    </row>
    <row r="16671" customFormat="false" ht="14.4" hidden="true" customHeight="false" outlineLevel="0" collapsed="false">
      <c r="A16671" s="34" t="n">
        <v>33539358000227</v>
      </c>
      <c r="B16671" s="34" t="s">
        <v>30753</v>
      </c>
      <c r="C16671" s="34" t="s">
        <v>107</v>
      </c>
      <c r="E16671" s="30" t="s">
        <v>30754</v>
      </c>
      <c r="F16671" s="34" t="n">
        <f aca="false">IFERROR(VLOOKUP($A16671,'319'!$B:$H,7,0),0)</f>
        <v>0</v>
      </c>
      <c r="G16671" s="34" t="n">
        <f aca="false">SUMIFS('12.326ana'!$C:$C,'12.326ana'!$M:$M,redes!A16671)</f>
        <v>0</v>
      </c>
    </row>
    <row r="16672" customFormat="false" ht="14.4" hidden="true" customHeight="false" outlineLevel="0" collapsed="false">
      <c r="A16672" s="34" t="n">
        <v>33548329000140</v>
      </c>
      <c r="B16672" s="34" t="s">
        <v>30755</v>
      </c>
      <c r="C16672" s="34" t="s">
        <v>77</v>
      </c>
      <c r="E16672" s="30" t="s">
        <v>30756</v>
      </c>
      <c r="F16672" s="34" t="n">
        <f aca="false">IFERROR(VLOOKUP($A16672,'319'!$B:$H,7,0),0)</f>
        <v>0</v>
      </c>
      <c r="G16672" s="34" t="n">
        <f aca="false">SUMIFS('12.326ana'!$C:$C,'12.326ana'!$M:$M,redes!A16672)</f>
        <v>0</v>
      </c>
    </row>
    <row r="16673" customFormat="false" ht="14.4" hidden="true" customHeight="false" outlineLevel="0" collapsed="false">
      <c r="A16673" s="34" t="n">
        <v>33571105000150</v>
      </c>
      <c r="B16673" s="34" t="s">
        <v>30757</v>
      </c>
      <c r="C16673" s="34" t="s">
        <v>342</v>
      </c>
      <c r="E16673" s="30" t="s">
        <v>30758</v>
      </c>
      <c r="F16673" s="34" t="n">
        <f aca="false">IFERROR(VLOOKUP($A16673,'319'!$B:$H,7,0),0)</f>
        <v>0</v>
      </c>
      <c r="G16673" s="34" t="n">
        <f aca="false">SUMIFS('12.326ana'!$C:$C,'12.326ana'!$M:$M,redes!A16673)</f>
        <v>0</v>
      </c>
    </row>
    <row r="16674" customFormat="false" ht="14.4" hidden="true" customHeight="false" outlineLevel="0" collapsed="false">
      <c r="A16674" s="34" t="n">
        <v>33573919000123</v>
      </c>
      <c r="B16674" s="34" t="s">
        <v>30759</v>
      </c>
      <c r="C16674" s="34" t="s">
        <v>103</v>
      </c>
      <c r="E16674" s="30" t="s">
        <v>30760</v>
      </c>
      <c r="F16674" s="34" t="n">
        <f aca="false">IFERROR(VLOOKUP($A16674,'319'!$B:$H,7,0),0)</f>
        <v>0</v>
      </c>
      <c r="G16674" s="34" t="n">
        <f aca="false">SUMIFS('12.326ana'!$C:$C,'12.326ana'!$M:$M,redes!A16674)</f>
        <v>0</v>
      </c>
    </row>
    <row r="16675" customFormat="false" ht="14.4" hidden="true" customHeight="false" outlineLevel="0" collapsed="false">
      <c r="A16675" s="34" t="n">
        <v>33577976000180</v>
      </c>
      <c r="B16675" s="34" t="s">
        <v>30761</v>
      </c>
      <c r="C16675" s="34" t="s">
        <v>89</v>
      </c>
      <c r="E16675" s="30" t="s">
        <v>30762</v>
      </c>
      <c r="F16675" s="34" t="n">
        <f aca="false">IFERROR(VLOOKUP($A16675,'319'!$B:$H,7,0),0)</f>
        <v>0</v>
      </c>
      <c r="G16675" s="34" t="n">
        <f aca="false">SUMIFS('12.326ana'!$C:$C,'12.326ana'!$M:$M,redes!A16675)</f>
        <v>0</v>
      </c>
    </row>
    <row r="16676" customFormat="false" ht="14.4" hidden="true" customHeight="false" outlineLevel="0" collapsed="false">
      <c r="A16676" s="34" t="n">
        <v>33582449000164</v>
      </c>
      <c r="B16676" s="34" t="s">
        <v>30763</v>
      </c>
      <c r="C16676" s="34" t="s">
        <v>107</v>
      </c>
      <c r="E16676" s="30" t="s">
        <v>30764</v>
      </c>
      <c r="F16676" s="34" t="n">
        <f aca="false">IFERROR(VLOOKUP($A16676,'319'!$B:$H,7,0),0)</f>
        <v>0</v>
      </c>
      <c r="G16676" s="34" t="n">
        <f aca="false">SUMIFS('12.326ana'!$C:$C,'12.326ana'!$M:$M,redes!A16676)</f>
        <v>0</v>
      </c>
    </row>
    <row r="16677" customFormat="false" ht="14.4" hidden="true" customHeight="false" outlineLevel="0" collapsed="false">
      <c r="A16677" s="34" t="n">
        <v>33587172000162</v>
      </c>
      <c r="B16677" s="34" t="s">
        <v>30765</v>
      </c>
      <c r="C16677" s="34" t="s">
        <v>631</v>
      </c>
      <c r="E16677" s="30" t="s">
        <v>30766</v>
      </c>
      <c r="F16677" s="34" t="n">
        <f aca="false">IFERROR(VLOOKUP($A16677,'319'!$B:$H,7,0),0)</f>
        <v>0</v>
      </c>
      <c r="G16677" s="34" t="n">
        <f aca="false">SUMIFS('12.326ana'!$C:$C,'12.326ana'!$M:$M,redes!A16677)</f>
        <v>0</v>
      </c>
    </row>
    <row r="16678" customFormat="false" ht="14.4" hidden="true" customHeight="false" outlineLevel="0" collapsed="false">
      <c r="A16678" s="34" t="n">
        <v>33587215000100</v>
      </c>
      <c r="B16678" s="34" t="s">
        <v>30767</v>
      </c>
      <c r="C16678" s="34" t="s">
        <v>139</v>
      </c>
      <c r="E16678" s="30" t="s">
        <v>30768</v>
      </c>
      <c r="F16678" s="34" t="n">
        <f aca="false">IFERROR(VLOOKUP($A16678,'319'!$B:$H,7,0),0)</f>
        <v>0</v>
      </c>
      <c r="G16678" s="34" t="n">
        <f aca="false">SUMIFS('12.326ana'!$C:$C,'12.326ana'!$M:$M,redes!A16678)</f>
        <v>0</v>
      </c>
    </row>
    <row r="16679" customFormat="false" ht="14.4" hidden="true" customHeight="false" outlineLevel="0" collapsed="false">
      <c r="A16679" s="34" t="n">
        <v>33599463000170</v>
      </c>
      <c r="B16679" s="34" t="s">
        <v>30769</v>
      </c>
      <c r="C16679" s="34" t="s">
        <v>103</v>
      </c>
      <c r="E16679" s="30" t="s">
        <v>30770</v>
      </c>
      <c r="F16679" s="34" t="n">
        <f aca="false">IFERROR(VLOOKUP($A16679,'319'!$B:$H,7,0),0)</f>
        <v>0</v>
      </c>
      <c r="G16679" s="34" t="n">
        <f aca="false">SUMIFS('12.326ana'!$C:$C,'12.326ana'!$M:$M,redes!A16679)</f>
        <v>0</v>
      </c>
    </row>
    <row r="16680" customFormat="false" ht="14.4" hidden="true" customHeight="false" outlineLevel="0" collapsed="false">
      <c r="A16680" s="34" t="n">
        <v>33603749000182</v>
      </c>
      <c r="B16680" s="34" t="s">
        <v>30771</v>
      </c>
      <c r="C16680" s="34" t="s">
        <v>475</v>
      </c>
      <c r="E16680" s="30" t="s">
        <v>30772</v>
      </c>
      <c r="F16680" s="34" t="n">
        <f aca="false">IFERROR(VLOOKUP($A16680,'319'!$B:$H,7,0),0)</f>
        <v>0</v>
      </c>
      <c r="G16680" s="34" t="n">
        <f aca="false">SUMIFS('12.326ana'!$C:$C,'12.326ana'!$M:$M,redes!A16680)</f>
        <v>0</v>
      </c>
    </row>
    <row r="16681" customFormat="false" ht="14.4" hidden="true" customHeight="false" outlineLevel="0" collapsed="false">
      <c r="A16681" s="34" t="n">
        <v>33616068000159</v>
      </c>
      <c r="B16681" s="34" t="s">
        <v>30773</v>
      </c>
      <c r="C16681" s="34" t="s">
        <v>139</v>
      </c>
      <c r="E16681" s="30" t="s">
        <v>30774</v>
      </c>
      <c r="F16681" s="34" t="n">
        <f aca="false">IFERROR(VLOOKUP($A16681,'319'!$B:$H,7,0),0)</f>
        <v>0</v>
      </c>
      <c r="G16681" s="34" t="n">
        <f aca="false">SUMIFS('12.326ana'!$C:$C,'12.326ana'!$M:$M,redes!A16681)</f>
        <v>0</v>
      </c>
    </row>
    <row r="16682" customFormat="false" ht="14.4" hidden="true" customHeight="false" outlineLevel="0" collapsed="false">
      <c r="A16682" s="34" t="n">
        <v>33618564000141</v>
      </c>
      <c r="B16682" s="34" t="s">
        <v>30775</v>
      </c>
      <c r="C16682" s="34" t="s">
        <v>77</v>
      </c>
      <c r="E16682" s="30" t="s">
        <v>30776</v>
      </c>
      <c r="F16682" s="34" t="n">
        <f aca="false">IFERROR(VLOOKUP($A16682,'319'!$B:$H,7,0),0)</f>
        <v>0</v>
      </c>
      <c r="G16682" s="34" t="n">
        <f aca="false">SUMIFS('12.326ana'!$C:$C,'12.326ana'!$M:$M,redes!A16682)</f>
        <v>0</v>
      </c>
    </row>
    <row r="16683" customFormat="false" ht="14.4" hidden="true" customHeight="false" outlineLevel="0" collapsed="false">
      <c r="A16683" s="34" t="n">
        <v>33637880000160</v>
      </c>
      <c r="B16683" s="34" t="s">
        <v>30777</v>
      </c>
      <c r="C16683" s="34" t="s">
        <v>77</v>
      </c>
      <c r="E16683" s="30" t="s">
        <v>30778</v>
      </c>
      <c r="F16683" s="34" t="n">
        <f aca="false">IFERROR(VLOOKUP($A16683,'319'!$B:$H,7,0),0)</f>
        <v>0</v>
      </c>
      <c r="G16683" s="34" t="n">
        <f aca="false">SUMIFS('12.326ana'!$C:$C,'12.326ana'!$M:$M,redes!A16683)</f>
        <v>0</v>
      </c>
    </row>
    <row r="16684" customFormat="false" ht="14.4" hidden="true" customHeight="false" outlineLevel="0" collapsed="false">
      <c r="A16684" s="34" t="n">
        <v>33649883000114</v>
      </c>
      <c r="B16684" s="34" t="s">
        <v>30779</v>
      </c>
      <c r="C16684" s="34" t="s">
        <v>77</v>
      </c>
      <c r="E16684" s="30" t="s">
        <v>30780</v>
      </c>
      <c r="F16684" s="34" t="n">
        <f aca="false">IFERROR(VLOOKUP($A16684,'319'!$B:$H,7,0),0)</f>
        <v>0</v>
      </c>
      <c r="G16684" s="34" t="n">
        <f aca="false">SUMIFS('12.326ana'!$C:$C,'12.326ana'!$M:$M,redes!A16684)</f>
        <v>0</v>
      </c>
    </row>
    <row r="16685" customFormat="false" ht="14.4" hidden="true" customHeight="false" outlineLevel="0" collapsed="false">
      <c r="A16685" s="34" t="n">
        <v>33653389000123</v>
      </c>
      <c r="B16685" s="34" t="s">
        <v>30781</v>
      </c>
      <c r="C16685" s="34" t="s">
        <v>463</v>
      </c>
      <c r="E16685" s="30" t="s">
        <v>30782</v>
      </c>
      <c r="F16685" s="34" t="n">
        <f aca="false">IFERROR(VLOOKUP($A16685,'319'!$B:$H,7,0),0)</f>
        <v>0</v>
      </c>
      <c r="G16685" s="34" t="n">
        <f aca="false">SUMIFS('12.326ana'!$C:$C,'12.326ana'!$M:$M,redes!A16685)</f>
        <v>0</v>
      </c>
    </row>
    <row r="16686" customFormat="false" ht="14.4" hidden="true" customHeight="false" outlineLevel="0" collapsed="false">
      <c r="A16686" s="34" t="n">
        <v>33660897000139</v>
      </c>
      <c r="B16686" s="34" t="s">
        <v>30783</v>
      </c>
      <c r="C16686" s="34" t="s">
        <v>473</v>
      </c>
      <c r="E16686" s="30" t="s">
        <v>30784</v>
      </c>
      <c r="F16686" s="34" t="n">
        <f aca="false">IFERROR(VLOOKUP($A16686,'319'!$B:$H,7,0),0)</f>
        <v>0</v>
      </c>
      <c r="G16686" s="34" t="n">
        <f aca="false">SUMIFS('12.326ana'!$C:$C,'12.326ana'!$M:$M,redes!A16686)</f>
        <v>0</v>
      </c>
    </row>
    <row r="16687" customFormat="false" ht="14.4" hidden="true" customHeight="false" outlineLevel="0" collapsed="false">
      <c r="A16687" s="34" t="n">
        <v>33661389000175</v>
      </c>
      <c r="B16687" s="34" t="s">
        <v>8040</v>
      </c>
      <c r="C16687" s="34" t="s">
        <v>77</v>
      </c>
      <c r="E16687" s="30" t="s">
        <v>30785</v>
      </c>
      <c r="F16687" s="34" t="n">
        <f aca="false">IFERROR(VLOOKUP($A16687,'319'!$B:$H,7,0),0)</f>
        <v>0</v>
      </c>
      <c r="G16687" s="34" t="n">
        <f aca="false">SUMIFS('12.326ana'!$C:$C,'12.326ana'!$M:$M,redes!A16687)</f>
        <v>0</v>
      </c>
    </row>
    <row r="16688" customFormat="false" ht="14.4" hidden="true" customHeight="false" outlineLevel="0" collapsed="false">
      <c r="A16688" s="34" t="n">
        <v>33686929000175</v>
      </c>
      <c r="B16688" s="34" t="s">
        <v>30786</v>
      </c>
      <c r="C16688" s="34" t="s">
        <v>478</v>
      </c>
      <c r="E16688" s="30" t="s">
        <v>30786</v>
      </c>
      <c r="F16688" s="34" t="n">
        <f aca="false">IFERROR(VLOOKUP($A16688,'319'!$B:$H,7,0),0)</f>
        <v>0</v>
      </c>
      <c r="G16688" s="34" t="n">
        <f aca="false">SUMIFS('12.326ana'!$C:$C,'12.326ana'!$M:$M,redes!A16688)</f>
        <v>0</v>
      </c>
    </row>
    <row r="16689" customFormat="false" ht="14.4" hidden="true" customHeight="false" outlineLevel="0" collapsed="false">
      <c r="A16689" s="34" t="n">
        <v>33691909000192</v>
      </c>
      <c r="B16689" s="34" t="s">
        <v>30787</v>
      </c>
      <c r="C16689" s="34" t="s">
        <v>77</v>
      </c>
      <c r="E16689" s="30" t="s">
        <v>29684</v>
      </c>
      <c r="F16689" s="34" t="n">
        <f aca="false">IFERROR(VLOOKUP($A16689,'319'!$B:$H,7,0),0)</f>
        <v>0</v>
      </c>
      <c r="G16689" s="34" t="n">
        <f aca="false">SUMIFS('12.326ana'!$C:$C,'12.326ana'!$M:$M,redes!A16689)</f>
        <v>0</v>
      </c>
    </row>
    <row r="16690" customFormat="false" ht="14.4" hidden="true" customHeight="false" outlineLevel="0" collapsed="false">
      <c r="A16690" s="34" t="n">
        <v>33692738000116</v>
      </c>
      <c r="B16690" s="34" t="s">
        <v>1033</v>
      </c>
      <c r="C16690" s="34" t="s">
        <v>546</v>
      </c>
      <c r="E16690" s="30" t="s">
        <v>30788</v>
      </c>
      <c r="F16690" s="34" t="n">
        <f aca="false">IFERROR(VLOOKUP($A16690,'319'!$B:$H,7,0),0)</f>
        <v>807.54</v>
      </c>
      <c r="G16690" s="34" t="n">
        <f aca="false">SUMIFS('12.326ana'!$C:$C,'12.326ana'!$M:$M,redes!A16690)</f>
        <v>0</v>
      </c>
    </row>
    <row r="16691" customFormat="false" ht="14.4" hidden="true" customHeight="false" outlineLevel="0" collapsed="false">
      <c r="A16691" s="34" t="n">
        <v>33693008000130</v>
      </c>
      <c r="B16691" s="34" t="s">
        <v>30789</v>
      </c>
      <c r="C16691" s="34" t="s">
        <v>77</v>
      </c>
      <c r="E16691" s="30" t="s">
        <v>30790</v>
      </c>
      <c r="F16691" s="34" t="n">
        <f aca="false">IFERROR(VLOOKUP($A16691,'319'!$B:$H,7,0),0)</f>
        <v>0</v>
      </c>
      <c r="G16691" s="34" t="n">
        <f aca="false">SUMIFS('12.326ana'!$C:$C,'12.326ana'!$M:$M,redes!A16691)</f>
        <v>0</v>
      </c>
    </row>
    <row r="16692" customFormat="false" ht="14.4" hidden="true" customHeight="false" outlineLevel="0" collapsed="false">
      <c r="A16692" s="34" t="n">
        <v>33693691000105</v>
      </c>
      <c r="B16692" s="34" t="s">
        <v>30791</v>
      </c>
      <c r="C16692" s="34" t="s">
        <v>77</v>
      </c>
      <c r="E16692" s="30" t="s">
        <v>30792</v>
      </c>
      <c r="F16692" s="34" t="n">
        <f aca="false">IFERROR(VLOOKUP($A16692,'319'!$B:$H,7,0),0)</f>
        <v>0</v>
      </c>
      <c r="G16692" s="34" t="n">
        <f aca="false">SUMIFS('12.326ana'!$C:$C,'12.326ana'!$M:$M,redes!A16692)</f>
        <v>0</v>
      </c>
    </row>
    <row r="16693" customFormat="false" ht="14.4" hidden="true" customHeight="false" outlineLevel="0" collapsed="false">
      <c r="A16693" s="34" t="n">
        <v>33697634000102</v>
      </c>
      <c r="B16693" s="34" t="s">
        <v>30793</v>
      </c>
      <c r="C16693" s="34" t="s">
        <v>77</v>
      </c>
      <c r="E16693" s="30" t="s">
        <v>30794</v>
      </c>
      <c r="F16693" s="34" t="n">
        <f aca="false">IFERROR(VLOOKUP($A16693,'319'!$B:$H,7,0),0)</f>
        <v>0</v>
      </c>
      <c r="G16693" s="34" t="n">
        <f aca="false">SUMIFS('12.326ana'!$C:$C,'12.326ana'!$M:$M,redes!A16693)</f>
        <v>0</v>
      </c>
    </row>
    <row r="16694" customFormat="false" ht="14.4" hidden="true" customHeight="false" outlineLevel="0" collapsed="false">
      <c r="A16694" s="34" t="n">
        <v>33698879000146</v>
      </c>
      <c r="B16694" s="34" t="s">
        <v>30795</v>
      </c>
      <c r="C16694" s="34" t="s">
        <v>744</v>
      </c>
      <c r="E16694" s="30" t="s">
        <v>30796</v>
      </c>
      <c r="F16694" s="34" t="n">
        <f aca="false">IFERROR(VLOOKUP($A16694,'319'!$B:$H,7,0),0)</f>
        <v>0</v>
      </c>
      <c r="G16694" s="34" t="n">
        <f aca="false">SUMIFS('12.326ana'!$C:$C,'12.326ana'!$M:$M,redes!A16694)</f>
        <v>0</v>
      </c>
    </row>
    <row r="16695" customFormat="false" ht="14.4" hidden="true" customHeight="false" outlineLevel="0" collapsed="false">
      <c r="A16695" s="34" t="n">
        <v>33703791000175</v>
      </c>
      <c r="B16695" s="34" t="s">
        <v>30797</v>
      </c>
      <c r="C16695" s="34" t="s">
        <v>1272</v>
      </c>
      <c r="E16695" s="30" t="s">
        <v>30798</v>
      </c>
      <c r="F16695" s="34" t="n">
        <f aca="false">IFERROR(VLOOKUP($A16695,'319'!$B:$H,7,0),0)</f>
        <v>0</v>
      </c>
      <c r="G16695" s="34" t="n">
        <f aca="false">SUMIFS('12.326ana'!$C:$C,'12.326ana'!$M:$M,redes!A16695)</f>
        <v>0</v>
      </c>
    </row>
    <row r="16696" customFormat="false" ht="14.4" hidden="true" customHeight="false" outlineLevel="0" collapsed="false">
      <c r="A16696" s="34" t="n">
        <v>33705803000109</v>
      </c>
      <c r="B16696" s="34" t="s">
        <v>30799</v>
      </c>
      <c r="C16696" s="34" t="s">
        <v>77</v>
      </c>
      <c r="E16696" s="30" t="s">
        <v>30800</v>
      </c>
      <c r="F16696" s="34" t="n">
        <f aca="false">IFERROR(VLOOKUP($A16696,'319'!$B:$H,7,0),0)</f>
        <v>0</v>
      </c>
      <c r="G16696" s="34" t="n">
        <f aca="false">SUMIFS('12.326ana'!$C:$C,'12.326ana'!$M:$M,redes!A16696)</f>
        <v>0</v>
      </c>
    </row>
    <row r="16697" customFormat="false" ht="14.4" hidden="true" customHeight="false" outlineLevel="0" collapsed="false">
      <c r="A16697" s="34" t="n">
        <v>33712310000198</v>
      </c>
      <c r="B16697" s="34" t="s">
        <v>30801</v>
      </c>
      <c r="C16697" s="34" t="s">
        <v>139</v>
      </c>
      <c r="E16697" s="30" t="s">
        <v>30802</v>
      </c>
      <c r="F16697" s="34" t="n">
        <f aca="false">IFERROR(VLOOKUP($A16697,'319'!$B:$H,7,0),0)</f>
        <v>0</v>
      </c>
      <c r="G16697" s="34" t="n">
        <f aca="false">SUMIFS('12.326ana'!$C:$C,'12.326ana'!$M:$M,redes!A16697)</f>
        <v>0</v>
      </c>
    </row>
    <row r="16698" customFormat="false" ht="14.4" hidden="true" customHeight="false" outlineLevel="0" collapsed="false">
      <c r="A16698" s="34" t="n">
        <v>33725346000106</v>
      </c>
      <c r="B16698" s="34" t="s">
        <v>30803</v>
      </c>
      <c r="C16698" s="34" t="s">
        <v>744</v>
      </c>
      <c r="E16698" s="30" t="s">
        <v>30804</v>
      </c>
      <c r="F16698" s="34" t="n">
        <f aca="false">IFERROR(VLOOKUP($A16698,'319'!$B:$H,7,0),0)</f>
        <v>0</v>
      </c>
      <c r="G16698" s="34" t="n">
        <f aca="false">SUMIFS('12.326ana'!$C:$C,'12.326ana'!$M:$M,redes!A16698)</f>
        <v>0</v>
      </c>
    </row>
    <row r="16699" customFormat="false" ht="14.4" hidden="true" customHeight="false" outlineLevel="0" collapsed="false">
      <c r="A16699" s="34" t="n">
        <v>33727744000161</v>
      </c>
      <c r="B16699" s="34" t="s">
        <v>30805</v>
      </c>
      <c r="C16699" s="34" t="s">
        <v>475</v>
      </c>
      <c r="E16699" s="30" t="s">
        <v>30806</v>
      </c>
      <c r="F16699" s="34" t="n">
        <f aca="false">IFERROR(VLOOKUP($A16699,'319'!$B:$H,7,0),0)</f>
        <v>0</v>
      </c>
      <c r="G16699" s="34" t="n">
        <f aca="false">SUMIFS('12.326ana'!$C:$C,'12.326ana'!$M:$M,redes!A16699)</f>
        <v>0</v>
      </c>
    </row>
    <row r="16700" customFormat="false" ht="14.4" hidden="true" customHeight="false" outlineLevel="0" collapsed="false">
      <c r="A16700" s="34" t="n">
        <v>33727785000158</v>
      </c>
      <c r="B16700" s="34" t="s">
        <v>30807</v>
      </c>
      <c r="C16700" s="34" t="s">
        <v>77</v>
      </c>
      <c r="E16700" s="30" t="s">
        <v>30808</v>
      </c>
      <c r="F16700" s="34" t="n">
        <f aca="false">IFERROR(VLOOKUP($A16700,'319'!$B:$H,7,0),0)</f>
        <v>0</v>
      </c>
      <c r="G16700" s="34" t="n">
        <f aca="false">SUMIFS('12.326ana'!$C:$C,'12.326ana'!$M:$M,redes!A16700)</f>
        <v>0</v>
      </c>
    </row>
    <row r="16701" customFormat="false" ht="14.4" hidden="true" customHeight="false" outlineLevel="0" collapsed="false">
      <c r="A16701" s="34" t="n">
        <v>33728270000172</v>
      </c>
      <c r="B16701" s="34" t="s">
        <v>30809</v>
      </c>
      <c r="C16701" s="34" t="s">
        <v>631</v>
      </c>
      <c r="E16701" s="30" t="s">
        <v>30810</v>
      </c>
      <c r="F16701" s="34" t="n">
        <f aca="false">IFERROR(VLOOKUP($A16701,'319'!$B:$H,7,0),0)</f>
        <v>0</v>
      </c>
      <c r="G16701" s="34" t="n">
        <f aca="false">SUMIFS('12.326ana'!$C:$C,'12.326ana'!$M:$M,redes!A16701)</f>
        <v>0</v>
      </c>
    </row>
    <row r="16702" customFormat="false" ht="14.4" hidden="true" customHeight="false" outlineLevel="0" collapsed="false">
      <c r="A16702" s="34" t="n">
        <v>33728688000180</v>
      </c>
      <c r="B16702" s="34" t="s">
        <v>30811</v>
      </c>
      <c r="C16702" s="34" t="s">
        <v>299</v>
      </c>
      <c r="E16702" s="30" t="s">
        <v>30812</v>
      </c>
      <c r="F16702" s="34" t="n">
        <f aca="false">IFERROR(VLOOKUP($A16702,'319'!$B:$H,7,0),0)</f>
        <v>0</v>
      </c>
      <c r="G16702" s="34" t="n">
        <f aca="false">SUMIFS('12.326ana'!$C:$C,'12.326ana'!$M:$M,redes!A16702)</f>
        <v>0</v>
      </c>
    </row>
    <row r="16703" customFormat="false" ht="14.4" hidden="true" customHeight="false" outlineLevel="0" collapsed="false">
      <c r="A16703" s="34" t="n">
        <v>33729526000166</v>
      </c>
      <c r="B16703" s="34" t="s">
        <v>30813</v>
      </c>
      <c r="C16703" s="34" t="s">
        <v>594</v>
      </c>
      <c r="E16703" s="30" t="s">
        <v>30814</v>
      </c>
      <c r="F16703" s="34" t="n">
        <f aca="false">IFERROR(VLOOKUP($A16703,'319'!$B:$H,7,0),0)</f>
        <v>0</v>
      </c>
      <c r="G16703" s="34" t="n">
        <f aca="false">SUMIFS('12.326ana'!$C:$C,'12.326ana'!$M:$M,redes!A16703)</f>
        <v>0</v>
      </c>
    </row>
    <row r="16704" customFormat="false" ht="14.4" hidden="true" customHeight="false" outlineLevel="0" collapsed="false">
      <c r="A16704" s="34" t="n">
        <v>33731076000146</v>
      </c>
      <c r="B16704" s="34" t="s">
        <v>30815</v>
      </c>
      <c r="C16704" s="34" t="s">
        <v>129</v>
      </c>
      <c r="E16704" s="30" t="s">
        <v>30816</v>
      </c>
      <c r="F16704" s="34" t="n">
        <f aca="false">IFERROR(VLOOKUP($A16704,'319'!$B:$H,7,0),0)</f>
        <v>0</v>
      </c>
      <c r="G16704" s="34" t="n">
        <f aca="false">SUMIFS('12.326ana'!$C:$C,'12.326ana'!$M:$M,redes!A16704)</f>
        <v>0</v>
      </c>
    </row>
    <row r="16705" customFormat="false" ht="14.4" hidden="true" customHeight="false" outlineLevel="0" collapsed="false">
      <c r="A16705" s="34" t="n">
        <v>33731480000110</v>
      </c>
      <c r="B16705" s="34" t="s">
        <v>30817</v>
      </c>
      <c r="C16705" s="34" t="s">
        <v>103</v>
      </c>
      <c r="E16705" s="30" t="s">
        <v>30818</v>
      </c>
      <c r="F16705" s="34" t="n">
        <f aca="false">IFERROR(VLOOKUP($A16705,'319'!$B:$H,7,0),0)</f>
        <v>0</v>
      </c>
      <c r="G16705" s="34" t="n">
        <f aca="false">SUMIFS('12.326ana'!$C:$C,'12.326ana'!$M:$M,redes!A16705)</f>
        <v>0</v>
      </c>
    </row>
    <row r="16706" customFormat="false" ht="14.4" hidden="true" customHeight="false" outlineLevel="0" collapsed="false">
      <c r="A16706" s="34" t="n">
        <v>33731845000106</v>
      </c>
      <c r="B16706" s="34" t="s">
        <v>30819</v>
      </c>
      <c r="C16706" s="34" t="s">
        <v>737</v>
      </c>
      <c r="E16706" s="30" t="s">
        <v>24020</v>
      </c>
      <c r="F16706" s="34" t="n">
        <f aca="false">IFERROR(VLOOKUP($A16706,'319'!$B:$H,7,0),0)</f>
        <v>0</v>
      </c>
      <c r="G16706" s="34" t="n">
        <f aca="false">SUMIFS('12.326ana'!$C:$C,'12.326ana'!$M:$M,redes!A16706)</f>
        <v>0</v>
      </c>
    </row>
    <row r="16707" customFormat="false" ht="14.4" hidden="true" customHeight="false" outlineLevel="0" collapsed="false">
      <c r="A16707" s="34" t="n">
        <v>33732868000135</v>
      </c>
      <c r="B16707" s="34" t="s">
        <v>30820</v>
      </c>
      <c r="C16707" s="34" t="s">
        <v>336</v>
      </c>
      <c r="E16707" s="30" t="s">
        <v>30820</v>
      </c>
      <c r="F16707" s="34" t="n">
        <f aca="false">IFERROR(VLOOKUP($A16707,'319'!$B:$H,7,0),0)</f>
        <v>0</v>
      </c>
      <c r="G16707" s="34" t="n">
        <f aca="false">SUMIFS('12.326ana'!$C:$C,'12.326ana'!$M:$M,redes!A16707)</f>
        <v>0</v>
      </c>
    </row>
    <row r="16708" customFormat="false" ht="14.4" hidden="true" customHeight="false" outlineLevel="0" collapsed="false">
      <c r="A16708" s="34" t="n">
        <v>33734005000105</v>
      </c>
      <c r="B16708" s="34" t="s">
        <v>30821</v>
      </c>
      <c r="C16708" s="34" t="s">
        <v>1272</v>
      </c>
      <c r="E16708" s="30" t="s">
        <v>30822</v>
      </c>
      <c r="F16708" s="34" t="n">
        <f aca="false">IFERROR(VLOOKUP($A16708,'319'!$B:$H,7,0),0)</f>
        <v>0</v>
      </c>
      <c r="G16708" s="34" t="n">
        <f aca="false">SUMIFS('12.326ana'!$C:$C,'12.326ana'!$M:$M,redes!A16708)</f>
        <v>0</v>
      </c>
    </row>
    <row r="16709" customFormat="false" ht="14.4" hidden="true" customHeight="false" outlineLevel="0" collapsed="false">
      <c r="A16709" s="34" t="n">
        <v>33734359000141</v>
      </c>
      <c r="B16709" s="34" t="s">
        <v>30823</v>
      </c>
      <c r="C16709" s="34" t="s">
        <v>77</v>
      </c>
      <c r="E16709" s="30" t="s">
        <v>30824</v>
      </c>
      <c r="F16709" s="34" t="n">
        <f aca="false">IFERROR(VLOOKUP($A16709,'319'!$B:$H,7,0),0)</f>
        <v>0</v>
      </c>
      <c r="G16709" s="34" t="n">
        <f aca="false">SUMIFS('12.326ana'!$C:$C,'12.326ana'!$M:$M,redes!A16709)</f>
        <v>0</v>
      </c>
    </row>
    <row r="16710" customFormat="false" ht="14.4" hidden="true" customHeight="false" outlineLevel="0" collapsed="false">
      <c r="A16710" s="34" t="n">
        <v>33736810000160</v>
      </c>
      <c r="B16710" s="34" t="s">
        <v>30825</v>
      </c>
      <c r="C16710" s="34" t="s">
        <v>848</v>
      </c>
      <c r="E16710" s="30" t="s">
        <v>30826</v>
      </c>
      <c r="F16710" s="34" t="n">
        <f aca="false">IFERROR(VLOOKUP($A16710,'319'!$B:$H,7,0),0)</f>
        <v>0</v>
      </c>
      <c r="G16710" s="34" t="n">
        <f aca="false">SUMIFS('12.326ana'!$C:$C,'12.326ana'!$M:$M,redes!A16710)</f>
        <v>0</v>
      </c>
    </row>
    <row r="16711" customFormat="false" ht="14.4" hidden="true" customHeight="false" outlineLevel="0" collapsed="false">
      <c r="A16711" s="34" t="n">
        <v>33737149000107</v>
      </c>
      <c r="B16711" s="34" t="s">
        <v>30827</v>
      </c>
      <c r="C16711" s="34" t="s">
        <v>89</v>
      </c>
      <c r="E16711" s="30" t="s">
        <v>30828</v>
      </c>
      <c r="F16711" s="34" t="n">
        <f aca="false">IFERROR(VLOOKUP($A16711,'319'!$B:$H,7,0),0)</f>
        <v>0</v>
      </c>
      <c r="G16711" s="34" t="n">
        <f aca="false">SUMIFS('12.326ana'!$C:$C,'12.326ana'!$M:$M,redes!A16711)</f>
        <v>0</v>
      </c>
    </row>
    <row r="16712" customFormat="false" ht="14.4" hidden="true" customHeight="false" outlineLevel="0" collapsed="false">
      <c r="A16712" s="34" t="n">
        <v>33738048000150</v>
      </c>
      <c r="B16712" s="34" t="s">
        <v>30829</v>
      </c>
      <c r="C16712" s="34" t="s">
        <v>107</v>
      </c>
      <c r="E16712" s="30" t="s">
        <v>27663</v>
      </c>
      <c r="F16712" s="34" t="n">
        <f aca="false">IFERROR(VLOOKUP($A16712,'319'!$B:$H,7,0),0)</f>
        <v>0</v>
      </c>
      <c r="G16712" s="34" t="n">
        <f aca="false">SUMIFS('12.326ana'!$C:$C,'12.326ana'!$M:$M,redes!A16712)</f>
        <v>0</v>
      </c>
    </row>
    <row r="16713" customFormat="false" ht="14.4" hidden="true" customHeight="false" outlineLevel="0" collapsed="false">
      <c r="A16713" s="34" t="n">
        <v>33738071000145</v>
      </c>
      <c r="B16713" s="34" t="s">
        <v>30830</v>
      </c>
      <c r="C16713" s="34" t="s">
        <v>1591</v>
      </c>
      <c r="E16713" s="30" t="s">
        <v>30831</v>
      </c>
      <c r="F16713" s="34" t="n">
        <f aca="false">IFERROR(VLOOKUP($A16713,'319'!$B:$H,7,0),0)</f>
        <v>0</v>
      </c>
      <c r="G16713" s="34" t="n">
        <f aca="false">SUMIFS('12.326ana'!$C:$C,'12.326ana'!$M:$M,redes!A16713)</f>
        <v>0</v>
      </c>
    </row>
    <row r="16714" customFormat="false" ht="14.4" hidden="true" customHeight="false" outlineLevel="0" collapsed="false">
      <c r="A16714" s="34" t="n">
        <v>33738436000131</v>
      </c>
      <c r="B16714" s="34" t="s">
        <v>30832</v>
      </c>
      <c r="C16714" s="34" t="s">
        <v>77</v>
      </c>
      <c r="E16714" s="30" t="s">
        <v>11109</v>
      </c>
      <c r="F16714" s="34" t="n">
        <f aca="false">IFERROR(VLOOKUP($A16714,'319'!$B:$H,7,0),0)</f>
        <v>0</v>
      </c>
      <c r="G16714" s="34" t="n">
        <f aca="false">SUMIFS('12.326ana'!$C:$C,'12.326ana'!$M:$M,redes!A16714)</f>
        <v>0</v>
      </c>
    </row>
    <row r="16715" customFormat="false" ht="14.4" hidden="true" customHeight="false" outlineLevel="0" collapsed="false">
      <c r="A16715" s="34" t="n">
        <v>33738683000138</v>
      </c>
      <c r="B16715" s="34" t="s">
        <v>30833</v>
      </c>
      <c r="C16715" s="34" t="s">
        <v>77</v>
      </c>
      <c r="E16715" s="30" t="s">
        <v>30834</v>
      </c>
      <c r="F16715" s="34" t="n">
        <f aca="false">IFERROR(VLOOKUP($A16715,'319'!$B:$H,7,0),0)</f>
        <v>0</v>
      </c>
      <c r="G16715" s="34" t="n">
        <f aca="false">SUMIFS('12.326ana'!$C:$C,'12.326ana'!$M:$M,redes!A16715)</f>
        <v>0</v>
      </c>
    </row>
    <row r="16716" customFormat="false" ht="14.4" hidden="true" customHeight="false" outlineLevel="0" collapsed="false">
      <c r="A16716" s="34" t="n">
        <v>33738840000105</v>
      </c>
      <c r="B16716" s="34" t="s">
        <v>30835</v>
      </c>
      <c r="C16716" s="34" t="s">
        <v>77</v>
      </c>
      <c r="E16716" s="30" t="s">
        <v>30836</v>
      </c>
      <c r="F16716" s="34" t="n">
        <f aca="false">IFERROR(VLOOKUP($A16716,'319'!$B:$H,7,0),0)</f>
        <v>0</v>
      </c>
      <c r="G16716" s="34" t="n">
        <f aca="false">SUMIFS('12.326ana'!$C:$C,'12.326ana'!$M:$M,redes!A16716)</f>
        <v>0</v>
      </c>
    </row>
    <row r="16717" customFormat="false" ht="14.4" hidden="true" customHeight="false" outlineLevel="0" collapsed="false">
      <c r="A16717" s="34" t="n">
        <v>33738931000140</v>
      </c>
      <c r="B16717" s="34" t="s">
        <v>30837</v>
      </c>
      <c r="C16717" s="34" t="s">
        <v>77</v>
      </c>
      <c r="E16717" s="30" t="s">
        <v>30838</v>
      </c>
      <c r="F16717" s="34" t="n">
        <f aca="false">IFERROR(VLOOKUP($A16717,'319'!$B:$H,7,0),0)</f>
        <v>0</v>
      </c>
      <c r="G16717" s="34" t="n">
        <f aca="false">SUMIFS('12.326ana'!$C:$C,'12.326ana'!$M:$M,redes!A16717)</f>
        <v>0</v>
      </c>
    </row>
    <row r="16718" customFormat="false" ht="14.4" hidden="true" customHeight="false" outlineLevel="0" collapsed="false">
      <c r="A16718" s="34" t="n">
        <v>33739285000136</v>
      </c>
      <c r="B16718" s="34" t="s">
        <v>30839</v>
      </c>
      <c r="C16718" s="34" t="s">
        <v>77</v>
      </c>
      <c r="E16718" s="30" t="s">
        <v>30840</v>
      </c>
      <c r="F16718" s="34" t="n">
        <f aca="false">IFERROR(VLOOKUP($A16718,'319'!$B:$H,7,0),0)</f>
        <v>0</v>
      </c>
      <c r="G16718" s="34" t="n">
        <f aca="false">SUMIFS('12.326ana'!$C:$C,'12.326ana'!$M:$M,redes!A16718)</f>
        <v>0</v>
      </c>
    </row>
    <row r="16719" customFormat="false" ht="14.4" hidden="true" customHeight="false" outlineLevel="0" collapsed="false">
      <c r="A16719" s="34" t="n">
        <v>33739286000180</v>
      </c>
      <c r="B16719" s="34" t="s">
        <v>30841</v>
      </c>
      <c r="C16719" s="34" t="s">
        <v>6278</v>
      </c>
      <c r="E16719" s="30" t="s">
        <v>11474</v>
      </c>
      <c r="F16719" s="34" t="n">
        <f aca="false">IFERROR(VLOOKUP($A16719,'319'!$B:$H,7,0),0)</f>
        <v>0</v>
      </c>
      <c r="G16719" s="34" t="n">
        <f aca="false">SUMIFS('12.326ana'!$C:$C,'12.326ana'!$M:$M,redes!A16719)</f>
        <v>0</v>
      </c>
    </row>
    <row r="16720" customFormat="false" ht="14.4" hidden="true" customHeight="false" outlineLevel="0" collapsed="false">
      <c r="A16720" s="34" t="n">
        <v>33740291000103</v>
      </c>
      <c r="B16720" s="34" t="s">
        <v>30842</v>
      </c>
      <c r="C16720" s="34" t="s">
        <v>328</v>
      </c>
      <c r="E16720" s="30" t="s">
        <v>30843</v>
      </c>
      <c r="F16720" s="34" t="n">
        <f aca="false">IFERROR(VLOOKUP($A16720,'319'!$B:$H,7,0),0)</f>
        <v>0</v>
      </c>
      <c r="G16720" s="34" t="n">
        <f aca="false">SUMIFS('12.326ana'!$C:$C,'12.326ana'!$M:$M,redes!A16720)</f>
        <v>0</v>
      </c>
    </row>
    <row r="16721" customFormat="false" ht="14.4" hidden="true" customHeight="false" outlineLevel="0" collapsed="false">
      <c r="A16721" s="34" t="n">
        <v>33740903000168</v>
      </c>
      <c r="B16721" s="34" t="s">
        <v>30844</v>
      </c>
      <c r="C16721" s="34" t="s">
        <v>77</v>
      </c>
      <c r="E16721" s="30" t="s">
        <v>30845</v>
      </c>
      <c r="F16721" s="34" t="n">
        <f aca="false">IFERROR(VLOOKUP($A16721,'319'!$B:$H,7,0),0)</f>
        <v>0</v>
      </c>
      <c r="G16721" s="34" t="n">
        <f aca="false">SUMIFS('12.326ana'!$C:$C,'12.326ana'!$M:$M,redes!A16721)</f>
        <v>0</v>
      </c>
    </row>
    <row r="16722" customFormat="false" ht="14.4" hidden="true" customHeight="false" outlineLevel="0" collapsed="false">
      <c r="A16722" s="34" t="n">
        <v>33741034000196</v>
      </c>
      <c r="B16722" s="34" t="s">
        <v>30846</v>
      </c>
      <c r="C16722" s="34" t="s">
        <v>2998</v>
      </c>
      <c r="E16722" s="30" t="s">
        <v>30847</v>
      </c>
      <c r="F16722" s="34" t="n">
        <f aca="false">IFERROR(VLOOKUP($A16722,'319'!$B:$H,7,0),0)</f>
        <v>0</v>
      </c>
      <c r="G16722" s="34" t="n">
        <f aca="false">SUMIFS('12.326ana'!$C:$C,'12.326ana'!$M:$M,redes!A16722)</f>
        <v>0</v>
      </c>
    </row>
    <row r="16723" customFormat="false" ht="14.4" hidden="true" customHeight="false" outlineLevel="0" collapsed="false">
      <c r="A16723" s="34" t="n">
        <v>33741802000101</v>
      </c>
      <c r="B16723" s="34" t="s">
        <v>30848</v>
      </c>
      <c r="C16723" s="34" t="s">
        <v>562</v>
      </c>
      <c r="E16723" s="30" t="s">
        <v>30849</v>
      </c>
      <c r="F16723" s="34" t="n">
        <f aca="false">IFERROR(VLOOKUP($A16723,'319'!$B:$H,7,0),0)</f>
        <v>0</v>
      </c>
      <c r="G16723" s="34" t="n">
        <f aca="false">SUMIFS('12.326ana'!$C:$C,'12.326ana'!$M:$M,redes!A16723)</f>
        <v>0</v>
      </c>
    </row>
    <row r="16724" customFormat="false" ht="14.4" hidden="true" customHeight="false" outlineLevel="0" collapsed="false">
      <c r="A16724" s="34" t="n">
        <v>33742719000157</v>
      </c>
      <c r="B16724" s="34" t="s">
        <v>30850</v>
      </c>
      <c r="C16724" s="34" t="s">
        <v>77</v>
      </c>
      <c r="E16724" s="30" t="s">
        <v>9384</v>
      </c>
      <c r="F16724" s="34" t="n">
        <f aca="false">IFERROR(VLOOKUP($A16724,'319'!$B:$H,7,0),0)</f>
        <v>0</v>
      </c>
      <c r="G16724" s="34" t="n">
        <f aca="false">SUMIFS('12.326ana'!$C:$C,'12.326ana'!$M:$M,redes!A16724)</f>
        <v>0</v>
      </c>
    </row>
    <row r="16725" customFormat="false" ht="14.4" hidden="true" customHeight="false" outlineLevel="0" collapsed="false">
      <c r="A16725" s="34" t="n">
        <v>33743030000147</v>
      </c>
      <c r="B16725" s="34" t="s">
        <v>30851</v>
      </c>
      <c r="C16725" s="34" t="s">
        <v>764</v>
      </c>
      <c r="E16725" s="30"/>
      <c r="F16725" s="34" t="n">
        <f aca="false">IFERROR(VLOOKUP($A16725,'319'!$B:$H,7,0),0)</f>
        <v>0</v>
      </c>
      <c r="G16725" s="34" t="n">
        <f aca="false">SUMIFS('12.326ana'!$C:$C,'12.326ana'!$M:$M,redes!A16725)</f>
        <v>0</v>
      </c>
    </row>
    <row r="16726" customFormat="false" ht="14.4" hidden="true" customHeight="false" outlineLevel="0" collapsed="false">
      <c r="A16726" s="34" t="n">
        <v>33744699000153</v>
      </c>
      <c r="B16726" s="34" t="s">
        <v>30852</v>
      </c>
      <c r="C16726" s="34" t="s">
        <v>464</v>
      </c>
      <c r="E16726" s="30"/>
      <c r="F16726" s="34" t="n">
        <f aca="false">IFERROR(VLOOKUP($A16726,'319'!$B:$H,7,0),0)</f>
        <v>0</v>
      </c>
      <c r="G16726" s="34" t="n">
        <f aca="false">SUMIFS('12.326ana'!$C:$C,'12.326ana'!$M:$M,redes!A16726)</f>
        <v>0</v>
      </c>
    </row>
    <row r="16727" customFormat="false" ht="14.4" hidden="true" customHeight="false" outlineLevel="0" collapsed="false">
      <c r="A16727" s="34" t="n">
        <v>33745340000109</v>
      </c>
      <c r="B16727" s="34" t="s">
        <v>30853</v>
      </c>
      <c r="C16727" s="34" t="s">
        <v>764</v>
      </c>
      <c r="E16727" s="30" t="s">
        <v>30854</v>
      </c>
      <c r="F16727" s="34" t="n">
        <f aca="false">IFERROR(VLOOKUP($A16727,'319'!$B:$H,7,0),0)</f>
        <v>0</v>
      </c>
      <c r="G16727" s="34" t="n">
        <f aca="false">SUMIFS('12.326ana'!$C:$C,'12.326ana'!$M:$M,redes!A16727)</f>
        <v>0</v>
      </c>
    </row>
    <row r="16728" customFormat="false" ht="14.4" hidden="true" customHeight="false" outlineLevel="0" collapsed="false">
      <c r="A16728" s="34" t="n">
        <v>33745670000196</v>
      </c>
      <c r="B16728" s="34" t="s">
        <v>30855</v>
      </c>
      <c r="C16728" s="34" t="s">
        <v>631</v>
      </c>
      <c r="E16728" s="30" t="s">
        <v>30856</v>
      </c>
      <c r="F16728" s="34" t="n">
        <f aca="false">IFERROR(VLOOKUP($A16728,'319'!$B:$H,7,0),0)</f>
        <v>0</v>
      </c>
      <c r="G16728" s="34" t="n">
        <f aca="false">SUMIFS('12.326ana'!$C:$C,'12.326ana'!$M:$M,redes!A16728)</f>
        <v>0</v>
      </c>
    </row>
    <row r="16729" customFormat="false" ht="14.4" hidden="true" customHeight="false" outlineLevel="0" collapsed="false">
      <c r="A16729" s="34" t="n">
        <v>33745969000140</v>
      </c>
      <c r="B16729" s="34" t="s">
        <v>30857</v>
      </c>
      <c r="C16729" s="34" t="s">
        <v>351</v>
      </c>
      <c r="E16729" s="30" t="s">
        <v>30858</v>
      </c>
      <c r="F16729" s="34" t="n">
        <f aca="false">IFERROR(VLOOKUP($A16729,'319'!$B:$H,7,0),0)</f>
        <v>0</v>
      </c>
      <c r="G16729" s="34" t="n">
        <f aca="false">SUMIFS('12.326ana'!$C:$C,'12.326ana'!$M:$M,redes!A16729)</f>
        <v>0</v>
      </c>
    </row>
    <row r="16730" customFormat="false" ht="14.4" hidden="true" customHeight="false" outlineLevel="0" collapsed="false">
      <c r="A16730" s="34" t="n">
        <v>33747460000137</v>
      </c>
      <c r="B16730" s="34" t="s">
        <v>30859</v>
      </c>
      <c r="C16730" s="34" t="s">
        <v>77</v>
      </c>
      <c r="E16730" s="30" t="s">
        <v>6461</v>
      </c>
      <c r="F16730" s="34" t="n">
        <f aca="false">IFERROR(VLOOKUP($A16730,'319'!$B:$H,7,0),0)</f>
        <v>0</v>
      </c>
      <c r="G16730" s="34" t="n">
        <f aca="false">SUMIFS('12.326ana'!$C:$C,'12.326ana'!$M:$M,redes!A16730)</f>
        <v>0</v>
      </c>
    </row>
    <row r="16731" customFormat="false" ht="14.4" hidden="true" customHeight="false" outlineLevel="0" collapsed="false">
      <c r="A16731" s="34" t="n">
        <v>33747478000139</v>
      </c>
      <c r="B16731" s="34" t="s">
        <v>30860</v>
      </c>
      <c r="C16731" s="34" t="s">
        <v>781</v>
      </c>
      <c r="E16731" s="30" t="s">
        <v>30861</v>
      </c>
      <c r="F16731" s="34" t="n">
        <f aca="false">IFERROR(VLOOKUP($A16731,'319'!$B:$H,7,0),0)</f>
        <v>0</v>
      </c>
      <c r="G16731" s="34" t="n">
        <f aca="false">SUMIFS('12.326ana'!$C:$C,'12.326ana'!$M:$M,redes!A16731)</f>
        <v>0</v>
      </c>
    </row>
    <row r="16732" customFormat="false" ht="14.4" hidden="true" customHeight="false" outlineLevel="0" collapsed="false">
      <c r="A16732" s="34" t="n">
        <v>33748310000148</v>
      </c>
      <c r="B16732" s="34" t="s">
        <v>30862</v>
      </c>
      <c r="C16732" s="34" t="s">
        <v>77</v>
      </c>
      <c r="E16732" s="30" t="s">
        <v>30863</v>
      </c>
      <c r="F16732" s="34" t="n">
        <f aca="false">IFERROR(VLOOKUP($A16732,'319'!$B:$H,7,0),0)</f>
        <v>0</v>
      </c>
      <c r="G16732" s="34" t="n">
        <f aca="false">SUMIFS('12.326ana'!$C:$C,'12.326ana'!$M:$M,redes!A16732)</f>
        <v>0</v>
      </c>
    </row>
    <row r="16733" customFormat="false" ht="14.4" hidden="true" customHeight="false" outlineLevel="0" collapsed="false">
      <c r="A16733" s="34" t="n">
        <v>33750134000189</v>
      </c>
      <c r="B16733" s="34" t="s">
        <v>1119</v>
      </c>
      <c r="C16733" s="34" t="s">
        <v>604</v>
      </c>
      <c r="E16733" s="30" t="s">
        <v>30864</v>
      </c>
      <c r="F16733" s="34" t="n">
        <f aca="false">IFERROR(VLOOKUP($A16733,'319'!$B:$H,7,0),0)</f>
        <v>548.09</v>
      </c>
      <c r="G16733" s="34" t="n">
        <f aca="false">SUMIFS('12.326ana'!$C:$C,'12.326ana'!$M:$M,redes!A16733)</f>
        <v>0</v>
      </c>
    </row>
    <row r="16734" customFormat="false" ht="14.4" hidden="true" customHeight="false" outlineLevel="0" collapsed="false">
      <c r="A16734" s="34" t="n">
        <v>33750407000195</v>
      </c>
      <c r="B16734" s="34" t="s">
        <v>30865</v>
      </c>
      <c r="C16734" s="34" t="s">
        <v>594</v>
      </c>
      <c r="E16734" s="30" t="s">
        <v>5725</v>
      </c>
      <c r="F16734" s="34" t="n">
        <f aca="false">IFERROR(VLOOKUP($A16734,'319'!$B:$H,7,0),0)</f>
        <v>0</v>
      </c>
      <c r="G16734" s="34" t="n">
        <f aca="false">SUMIFS('12.326ana'!$C:$C,'12.326ana'!$M:$M,redes!A16734)</f>
        <v>0</v>
      </c>
    </row>
    <row r="16735" customFormat="false" ht="14.4" hidden="true" customHeight="false" outlineLevel="0" collapsed="false">
      <c r="A16735" s="34" t="n">
        <v>33750837000107</v>
      </c>
      <c r="B16735" s="34" t="s">
        <v>30866</v>
      </c>
      <c r="C16735" s="34" t="s">
        <v>351</v>
      </c>
      <c r="E16735" s="30" t="s">
        <v>30867</v>
      </c>
      <c r="F16735" s="34" t="n">
        <f aca="false">IFERROR(VLOOKUP($A16735,'319'!$B:$H,7,0),0)</f>
        <v>0</v>
      </c>
      <c r="G16735" s="34" t="n">
        <f aca="false">SUMIFS('12.326ana'!$C:$C,'12.326ana'!$M:$M,redes!A16735)</f>
        <v>0</v>
      </c>
    </row>
    <row r="16736" customFormat="false" ht="14.4" hidden="true" customHeight="false" outlineLevel="0" collapsed="false">
      <c r="A16736" s="34" t="n">
        <v>33751827000196</v>
      </c>
      <c r="B16736" s="34" t="s">
        <v>30868</v>
      </c>
      <c r="C16736" s="34" t="s">
        <v>848</v>
      </c>
      <c r="E16736" s="30" t="s">
        <v>30869</v>
      </c>
      <c r="F16736" s="34" t="n">
        <f aca="false">IFERROR(VLOOKUP($A16736,'319'!$B:$H,7,0),0)</f>
        <v>0</v>
      </c>
      <c r="G16736" s="34" t="n">
        <f aca="false">SUMIFS('12.326ana'!$C:$C,'12.326ana'!$M:$M,redes!A16736)</f>
        <v>0</v>
      </c>
    </row>
    <row r="16737" customFormat="false" ht="14.4" hidden="true" customHeight="false" outlineLevel="0" collapsed="false">
      <c r="A16737" s="34" t="n">
        <v>33755075000131</v>
      </c>
      <c r="B16737" s="34" t="s">
        <v>30870</v>
      </c>
      <c r="C16737" s="34" t="s">
        <v>103</v>
      </c>
      <c r="E16737" s="30" t="s">
        <v>30871</v>
      </c>
      <c r="F16737" s="34" t="n">
        <f aca="false">IFERROR(VLOOKUP($A16737,'319'!$B:$H,7,0),0)</f>
        <v>0</v>
      </c>
      <c r="G16737" s="34" t="n">
        <f aca="false">SUMIFS('12.326ana'!$C:$C,'12.326ana'!$M:$M,redes!A16737)</f>
        <v>0</v>
      </c>
    </row>
    <row r="16738" customFormat="false" ht="14.4" hidden="true" customHeight="false" outlineLevel="0" collapsed="false">
      <c r="A16738" s="34" t="n">
        <v>33755125000180</v>
      </c>
      <c r="B16738" s="34" t="s">
        <v>30872</v>
      </c>
      <c r="C16738" s="34" t="s">
        <v>77</v>
      </c>
      <c r="E16738" s="30" t="s">
        <v>30873</v>
      </c>
      <c r="F16738" s="34" t="n">
        <f aca="false">IFERROR(VLOOKUP($A16738,'319'!$B:$H,7,0),0)</f>
        <v>0</v>
      </c>
      <c r="G16738" s="34" t="n">
        <f aca="false">SUMIFS('12.326ana'!$C:$C,'12.326ana'!$M:$M,redes!A16738)</f>
        <v>0</v>
      </c>
    </row>
    <row r="16739" customFormat="false" ht="14.4" hidden="true" customHeight="false" outlineLevel="0" collapsed="false">
      <c r="A16739" s="34" t="n">
        <v>33755526000130</v>
      </c>
      <c r="B16739" s="34" t="s">
        <v>10558</v>
      </c>
      <c r="C16739" s="34" t="s">
        <v>77</v>
      </c>
      <c r="E16739" s="30" t="s">
        <v>30874</v>
      </c>
      <c r="F16739" s="34" t="n">
        <f aca="false">IFERROR(VLOOKUP($A16739,'319'!$B:$H,7,0),0)</f>
        <v>0</v>
      </c>
      <c r="G16739" s="34" t="n">
        <f aca="false">SUMIFS('12.326ana'!$C:$C,'12.326ana'!$M:$M,redes!A16739)</f>
        <v>0</v>
      </c>
    </row>
    <row r="16740" customFormat="false" ht="14.4" hidden="true" customHeight="false" outlineLevel="0" collapsed="false">
      <c r="A16740" s="34" t="n">
        <v>33756461000148</v>
      </c>
      <c r="B16740" s="34" t="s">
        <v>30875</v>
      </c>
      <c r="C16740" s="34" t="s">
        <v>357</v>
      </c>
      <c r="D16740" s="34" t="s">
        <v>18652</v>
      </c>
      <c r="E16740" s="30" t="s">
        <v>30876</v>
      </c>
      <c r="F16740" s="34" t="n">
        <f aca="false">IFERROR(VLOOKUP($A16740,'319'!$B:$H,7,0),0)</f>
        <v>0</v>
      </c>
      <c r="G16740" s="34" t="n">
        <f aca="false">SUMIFS('12.326ana'!$C:$C,'12.326ana'!$M:$M,redes!A16740)</f>
        <v>0</v>
      </c>
    </row>
    <row r="16741" customFormat="false" ht="14.4" hidden="true" customHeight="false" outlineLevel="0" collapsed="false">
      <c r="A16741" s="34" t="n">
        <v>33757089000194</v>
      </c>
      <c r="B16741" s="34" t="s">
        <v>30877</v>
      </c>
      <c r="C16741" s="34" t="s">
        <v>598</v>
      </c>
      <c r="E16741" s="30" t="s">
        <v>30878</v>
      </c>
      <c r="F16741" s="34" t="n">
        <f aca="false">IFERROR(VLOOKUP($A16741,'319'!$B:$H,7,0),0)</f>
        <v>0</v>
      </c>
      <c r="G16741" s="34" t="n">
        <f aca="false">SUMIFS('12.326ana'!$C:$C,'12.326ana'!$M:$M,redes!A16741)</f>
        <v>0</v>
      </c>
    </row>
    <row r="16742" customFormat="false" ht="14.4" hidden="true" customHeight="false" outlineLevel="0" collapsed="false">
      <c r="A16742" s="34" t="n">
        <v>33759887000155</v>
      </c>
      <c r="B16742" s="34" t="s">
        <v>30879</v>
      </c>
      <c r="C16742" s="34" t="s">
        <v>631</v>
      </c>
      <c r="E16742" s="30" t="s">
        <v>30880</v>
      </c>
      <c r="F16742" s="34" t="n">
        <f aca="false">IFERROR(VLOOKUP($A16742,'319'!$B:$H,7,0),0)</f>
        <v>0</v>
      </c>
      <c r="G16742" s="34" t="n">
        <f aca="false">SUMIFS('12.326ana'!$C:$C,'12.326ana'!$M:$M,redes!A16742)</f>
        <v>0</v>
      </c>
    </row>
    <row r="16743" customFormat="false" ht="14.4" hidden="true" customHeight="false" outlineLevel="0" collapsed="false">
      <c r="A16743" s="34" t="n">
        <v>33760646000126</v>
      </c>
      <c r="B16743" s="34" t="s">
        <v>30881</v>
      </c>
      <c r="C16743" s="34" t="s">
        <v>77</v>
      </c>
      <c r="E16743" s="30" t="s">
        <v>30882</v>
      </c>
      <c r="F16743" s="34" t="n">
        <f aca="false">IFERROR(VLOOKUP($A16743,'319'!$B:$H,7,0),0)</f>
        <v>0</v>
      </c>
      <c r="G16743" s="34" t="n">
        <f aca="false">SUMIFS('12.326ana'!$C:$C,'12.326ana'!$M:$M,redes!A16743)</f>
        <v>0</v>
      </c>
    </row>
    <row r="16744" customFormat="false" ht="14.4" hidden="true" customHeight="false" outlineLevel="0" collapsed="false">
      <c r="A16744" s="34" t="n">
        <v>33761818000186</v>
      </c>
      <c r="B16744" s="34" t="s">
        <v>30883</v>
      </c>
      <c r="C16744" s="34" t="s">
        <v>3594</v>
      </c>
      <c r="E16744" s="30" t="s">
        <v>30884</v>
      </c>
      <c r="F16744" s="34" t="n">
        <f aca="false">IFERROR(VLOOKUP($A16744,'319'!$B:$H,7,0),0)</f>
        <v>0</v>
      </c>
      <c r="G16744" s="34" t="n">
        <f aca="false">SUMIFS('12.326ana'!$C:$C,'12.326ana'!$M:$M,redes!A16744)</f>
        <v>0</v>
      </c>
    </row>
    <row r="16745" customFormat="false" ht="14.4" hidden="true" customHeight="false" outlineLevel="0" collapsed="false">
      <c r="A16745" s="34" t="n">
        <v>33763004000180</v>
      </c>
      <c r="B16745" s="34" t="s">
        <v>30885</v>
      </c>
      <c r="C16745" s="34" t="s">
        <v>77</v>
      </c>
      <c r="E16745" s="30" t="s">
        <v>30886</v>
      </c>
      <c r="F16745" s="34" t="n">
        <f aca="false">IFERROR(VLOOKUP($A16745,'319'!$B:$H,7,0),0)</f>
        <v>0</v>
      </c>
      <c r="G16745" s="34" t="n">
        <f aca="false">SUMIFS('12.326ana'!$C:$C,'12.326ana'!$M:$M,redes!A16745)</f>
        <v>0</v>
      </c>
    </row>
    <row r="16746" customFormat="false" ht="14.4" hidden="true" customHeight="false" outlineLevel="0" collapsed="false">
      <c r="A16746" s="34" t="n">
        <v>33763777000167</v>
      </c>
      <c r="B16746" s="34" t="s">
        <v>30887</v>
      </c>
      <c r="C16746" s="34" t="s">
        <v>77</v>
      </c>
      <c r="E16746" s="30" t="s">
        <v>30888</v>
      </c>
      <c r="F16746" s="34" t="n">
        <f aca="false">IFERROR(VLOOKUP($A16746,'319'!$B:$H,7,0),0)</f>
        <v>0</v>
      </c>
      <c r="G16746" s="34" t="n">
        <f aca="false">SUMIFS('12.326ana'!$C:$C,'12.326ana'!$M:$M,redes!A16746)</f>
        <v>0</v>
      </c>
    </row>
    <row r="16747" customFormat="false" ht="14.4" hidden="true" customHeight="false" outlineLevel="0" collapsed="false">
      <c r="A16747" s="34" t="n">
        <v>33763962000151</v>
      </c>
      <c r="B16747" s="34" t="s">
        <v>30889</v>
      </c>
      <c r="C16747" s="34" t="s">
        <v>377</v>
      </c>
      <c r="E16747" s="30" t="s">
        <v>22586</v>
      </c>
      <c r="F16747" s="34" t="n">
        <f aca="false">IFERROR(VLOOKUP($A16747,'319'!$B:$H,7,0),0)</f>
        <v>0</v>
      </c>
      <c r="G16747" s="34" t="n">
        <f aca="false">SUMIFS('12.326ana'!$C:$C,'12.326ana'!$M:$M,redes!A16747)</f>
        <v>0</v>
      </c>
    </row>
    <row r="16748" customFormat="false" ht="14.4" hidden="true" customHeight="false" outlineLevel="0" collapsed="false">
      <c r="A16748" s="34" t="n">
        <v>33764002000106</v>
      </c>
      <c r="B16748" s="34" t="s">
        <v>30890</v>
      </c>
      <c r="C16748" s="34" t="s">
        <v>377</v>
      </c>
      <c r="E16748" s="30" t="s">
        <v>13293</v>
      </c>
      <c r="F16748" s="34" t="n">
        <f aca="false">IFERROR(VLOOKUP($A16748,'319'!$B:$H,7,0),0)</f>
        <v>0</v>
      </c>
      <c r="G16748" s="34" t="n">
        <f aca="false">SUMIFS('12.326ana'!$C:$C,'12.326ana'!$M:$M,redes!A16748)</f>
        <v>0</v>
      </c>
    </row>
    <row r="16749" customFormat="false" ht="14.4" hidden="true" customHeight="false" outlineLevel="0" collapsed="false">
      <c r="A16749" s="34" t="n">
        <v>33764036000109</v>
      </c>
      <c r="B16749" s="34" t="s">
        <v>30891</v>
      </c>
      <c r="C16749" s="34" t="s">
        <v>737</v>
      </c>
      <c r="E16749" s="30" t="s">
        <v>30892</v>
      </c>
      <c r="F16749" s="34" t="n">
        <f aca="false">IFERROR(VLOOKUP($A16749,'319'!$B:$H,7,0),0)</f>
        <v>0</v>
      </c>
      <c r="G16749" s="34" t="n">
        <f aca="false">SUMIFS('12.326ana'!$C:$C,'12.326ana'!$M:$M,redes!A16749)</f>
        <v>0</v>
      </c>
    </row>
    <row r="16750" customFormat="false" ht="14.4" hidden="true" customHeight="false" outlineLevel="0" collapsed="false">
      <c r="A16750" s="34" t="n">
        <v>33765811000132</v>
      </c>
      <c r="B16750" s="34" t="s">
        <v>30893</v>
      </c>
      <c r="C16750" s="34" t="s">
        <v>77</v>
      </c>
      <c r="E16750" s="30" t="s">
        <v>30894</v>
      </c>
      <c r="F16750" s="34" t="n">
        <f aca="false">IFERROR(VLOOKUP($A16750,'319'!$B:$H,7,0),0)</f>
        <v>0</v>
      </c>
      <c r="G16750" s="34" t="n">
        <f aca="false">SUMIFS('12.326ana'!$C:$C,'12.326ana'!$M:$M,redes!A16750)</f>
        <v>0</v>
      </c>
    </row>
    <row r="16751" customFormat="false" ht="14.4" hidden="true" customHeight="false" outlineLevel="0" collapsed="false">
      <c r="A16751" s="34" t="n">
        <v>33768854000171</v>
      </c>
      <c r="B16751" s="34" t="s">
        <v>2962</v>
      </c>
      <c r="C16751" s="34" t="s">
        <v>89</v>
      </c>
      <c r="D16751" s="34" t="s">
        <v>31</v>
      </c>
      <c r="E16751" s="30" t="s">
        <v>2963</v>
      </c>
      <c r="F16751" s="34" t="n">
        <f aca="false">IFERROR(VLOOKUP($A16751,'319'!$B:$H,7,0),0)</f>
        <v>12377.91</v>
      </c>
      <c r="G16751" s="34" t="n">
        <f aca="false">SUMIFS('12.326ana'!$C:$C,'12.326ana'!$M:$M,redes!A16751)</f>
        <v>879.28</v>
      </c>
    </row>
    <row r="16752" customFormat="false" ht="14.4" hidden="true" customHeight="false" outlineLevel="0" collapsed="false">
      <c r="A16752" s="34" t="n">
        <v>33768854000252</v>
      </c>
      <c r="B16752" s="34" t="s">
        <v>2964</v>
      </c>
      <c r="C16752" s="34" t="s">
        <v>89</v>
      </c>
      <c r="D16752" s="34" t="s">
        <v>31</v>
      </c>
      <c r="E16752" s="30" t="s">
        <v>2963</v>
      </c>
      <c r="F16752" s="34" t="n">
        <f aca="false">IFERROR(VLOOKUP($A16752,'319'!$B:$H,7,0),0)</f>
        <v>-754.43</v>
      </c>
      <c r="G16752" s="34" t="n">
        <f aca="false">SUMIFS('12.326ana'!$C:$C,'12.326ana'!$M:$M,redes!A16752)</f>
        <v>0</v>
      </c>
    </row>
    <row r="16753" customFormat="false" ht="14.4" hidden="true" customHeight="false" outlineLevel="0" collapsed="false">
      <c r="A16753" s="34" t="n">
        <v>33768854000333</v>
      </c>
      <c r="B16753" s="34" t="s">
        <v>30895</v>
      </c>
      <c r="C16753" s="34" t="s">
        <v>89</v>
      </c>
      <c r="E16753" s="30" t="s">
        <v>30896</v>
      </c>
      <c r="F16753" s="34" t="n">
        <f aca="false">IFERROR(VLOOKUP($A16753,'319'!$B:$H,7,0),0)</f>
        <v>0</v>
      </c>
      <c r="G16753" s="34" t="n">
        <f aca="false">SUMIFS('12.326ana'!$C:$C,'12.326ana'!$M:$M,redes!A16753)</f>
        <v>0</v>
      </c>
    </row>
    <row r="16754" customFormat="false" ht="14.4" hidden="true" customHeight="false" outlineLevel="0" collapsed="false">
      <c r="A16754" s="34" t="n">
        <v>33768854000414</v>
      </c>
      <c r="B16754" s="34" t="s">
        <v>1840</v>
      </c>
      <c r="C16754" s="34" t="s">
        <v>89</v>
      </c>
      <c r="D16754" s="34" t="s">
        <v>31</v>
      </c>
      <c r="E16754" s="30" t="s">
        <v>1840</v>
      </c>
      <c r="F16754" s="34" t="n">
        <f aca="false">IFERROR(VLOOKUP($A16754,'319'!$B:$H,7,0),0)</f>
        <v>-677.34</v>
      </c>
      <c r="G16754" s="34" t="n">
        <f aca="false">SUMIFS('12.326ana'!$C:$C,'12.326ana'!$M:$M,redes!A16754)</f>
        <v>0</v>
      </c>
    </row>
    <row r="16755" customFormat="false" ht="14.4" hidden="true" customHeight="false" outlineLevel="0" collapsed="false">
      <c r="A16755" s="34" t="n">
        <v>33769407000137</v>
      </c>
      <c r="B16755" s="34" t="s">
        <v>30897</v>
      </c>
      <c r="C16755" s="34" t="s">
        <v>107</v>
      </c>
      <c r="E16755" s="30" t="s">
        <v>13730</v>
      </c>
      <c r="F16755" s="34" t="n">
        <f aca="false">IFERROR(VLOOKUP($A16755,'319'!$B:$H,7,0),0)</f>
        <v>0</v>
      </c>
      <c r="G16755" s="34" t="n">
        <f aca="false">SUMIFS('12.326ana'!$C:$C,'12.326ana'!$M:$M,redes!A16755)</f>
        <v>0</v>
      </c>
    </row>
    <row r="16756" customFormat="false" ht="14.4" hidden="true" customHeight="false" outlineLevel="0" collapsed="false">
      <c r="A16756" s="34" t="n">
        <v>33769662000180</v>
      </c>
      <c r="B16756" s="34" t="s">
        <v>30898</v>
      </c>
      <c r="C16756" s="34" t="s">
        <v>107</v>
      </c>
      <c r="E16756" s="30" t="s">
        <v>30899</v>
      </c>
      <c r="F16756" s="34" t="n">
        <f aca="false">IFERROR(VLOOKUP($A16756,'319'!$B:$H,7,0),0)</f>
        <v>0</v>
      </c>
      <c r="G16756" s="34" t="n">
        <f aca="false">SUMIFS('12.326ana'!$C:$C,'12.326ana'!$M:$M,redes!A16756)</f>
        <v>0</v>
      </c>
    </row>
    <row r="16757" customFormat="false" ht="14.4" hidden="true" customHeight="false" outlineLevel="0" collapsed="false">
      <c r="A16757" s="34" t="n">
        <v>33771981000200</v>
      </c>
      <c r="B16757" s="34" t="s">
        <v>30900</v>
      </c>
      <c r="C16757" s="34" t="s">
        <v>744</v>
      </c>
      <c r="E16757" s="30" t="s">
        <v>30901</v>
      </c>
      <c r="F16757" s="34" t="n">
        <f aca="false">IFERROR(VLOOKUP($A16757,'319'!$B:$H,7,0),0)</f>
        <v>0</v>
      </c>
      <c r="G16757" s="34" t="n">
        <f aca="false">SUMIFS('12.326ana'!$C:$C,'12.326ana'!$M:$M,redes!A16757)</f>
        <v>0</v>
      </c>
    </row>
    <row r="16758" customFormat="false" ht="14.4" hidden="true" customHeight="false" outlineLevel="0" collapsed="false">
      <c r="A16758" s="34" t="n">
        <v>33772187000109</v>
      </c>
      <c r="B16758" s="34" t="s">
        <v>30902</v>
      </c>
      <c r="C16758" s="34" t="s">
        <v>4139</v>
      </c>
      <c r="E16758" s="30" t="s">
        <v>7826</v>
      </c>
      <c r="F16758" s="34" t="n">
        <f aca="false">IFERROR(VLOOKUP($A16758,'319'!$B:$H,7,0),0)</f>
        <v>0</v>
      </c>
      <c r="G16758" s="34" t="n">
        <f aca="false">SUMIFS('12.326ana'!$C:$C,'12.326ana'!$M:$M,redes!A16758)</f>
        <v>0</v>
      </c>
    </row>
    <row r="16759" customFormat="false" ht="14.4" hidden="true" customHeight="false" outlineLevel="0" collapsed="false">
      <c r="A16759" s="34" t="n">
        <v>33772914000120</v>
      </c>
      <c r="B16759" s="34" t="s">
        <v>30903</v>
      </c>
      <c r="C16759" s="34" t="s">
        <v>107</v>
      </c>
      <c r="E16759" s="30" t="s">
        <v>30904</v>
      </c>
      <c r="F16759" s="34" t="n">
        <f aca="false">IFERROR(VLOOKUP($A16759,'319'!$B:$H,7,0),0)</f>
        <v>0</v>
      </c>
      <c r="G16759" s="34" t="n">
        <f aca="false">SUMIFS('12.326ana'!$C:$C,'12.326ana'!$M:$M,redes!A16759)</f>
        <v>0</v>
      </c>
    </row>
    <row r="16760" customFormat="false" ht="14.4" hidden="true" customHeight="false" outlineLevel="0" collapsed="false">
      <c r="A16760" s="34" t="n">
        <v>33773474000125</v>
      </c>
      <c r="B16760" s="34" t="s">
        <v>30905</v>
      </c>
      <c r="C16760" s="34" t="s">
        <v>77</v>
      </c>
      <c r="E16760" s="30" t="s">
        <v>23242</v>
      </c>
      <c r="F16760" s="34" t="n">
        <f aca="false">IFERROR(VLOOKUP($A16760,'319'!$B:$H,7,0),0)</f>
        <v>0</v>
      </c>
      <c r="G16760" s="34" t="n">
        <f aca="false">SUMIFS('12.326ana'!$C:$C,'12.326ana'!$M:$M,redes!A16760)</f>
        <v>0</v>
      </c>
    </row>
    <row r="16761" customFormat="false" ht="14.4" hidden="true" customHeight="false" outlineLevel="0" collapsed="false">
      <c r="A16761" s="34" t="n">
        <v>33774803000152</v>
      </c>
      <c r="B16761" s="34" t="s">
        <v>8676</v>
      </c>
      <c r="C16761" s="34" t="s">
        <v>213</v>
      </c>
      <c r="E16761" s="30" t="s">
        <v>6805</v>
      </c>
      <c r="F16761" s="34" t="n">
        <f aca="false">IFERROR(VLOOKUP($A16761,'319'!$B:$H,7,0),0)</f>
        <v>0</v>
      </c>
      <c r="G16761" s="34" t="n">
        <f aca="false">SUMIFS('12.326ana'!$C:$C,'12.326ana'!$M:$M,redes!A16761)</f>
        <v>0</v>
      </c>
    </row>
    <row r="16762" customFormat="false" ht="14.4" hidden="true" customHeight="false" outlineLevel="0" collapsed="false">
      <c r="A16762" s="35" t="n">
        <v>33775073000104</v>
      </c>
      <c r="B16762" s="34" t="s">
        <v>30906</v>
      </c>
      <c r="C16762" s="34" t="s">
        <v>197</v>
      </c>
      <c r="E16762" s="30" t="s">
        <v>4071</v>
      </c>
      <c r="F16762" s="34" t="n">
        <f aca="false">IFERROR(VLOOKUP($A16762,'319'!$B:$H,7,0),0)</f>
        <v>0</v>
      </c>
      <c r="G16762" s="34" t="n">
        <f aca="false">SUMIFS('12.326ana'!$C:$C,'12.326ana'!$M:$M,redes!A16762)</f>
        <v>0</v>
      </c>
    </row>
    <row r="16763" customFormat="false" ht="14.4" hidden="true" customHeight="false" outlineLevel="0" collapsed="false">
      <c r="A16763" s="35" t="n">
        <v>33776733000171</v>
      </c>
      <c r="B16763" s="34" t="s">
        <v>30907</v>
      </c>
      <c r="C16763" s="34" t="s">
        <v>192</v>
      </c>
      <c r="E16763" s="30" t="s">
        <v>30908</v>
      </c>
      <c r="F16763" s="34" t="n">
        <f aca="false">IFERROR(VLOOKUP($A16763,'319'!$B:$H,7,0),0)</f>
        <v>0</v>
      </c>
      <c r="G16763" s="34" t="n">
        <f aca="false">SUMIFS('12.326ana'!$C:$C,'12.326ana'!$M:$M,redes!A16763)</f>
        <v>0</v>
      </c>
    </row>
    <row r="16764" customFormat="false" ht="14.4" hidden="true" customHeight="false" outlineLevel="0" collapsed="false">
      <c r="A16764" s="35" t="n">
        <v>33777319000187</v>
      </c>
      <c r="B16764" s="34" t="s">
        <v>30909</v>
      </c>
      <c r="C16764" s="34" t="s">
        <v>107</v>
      </c>
      <c r="E16764" s="30" t="s">
        <v>16354</v>
      </c>
      <c r="F16764" s="34" t="n">
        <f aca="false">IFERROR(VLOOKUP($A16764,'319'!$B:$H,7,0),0)</f>
        <v>0</v>
      </c>
      <c r="G16764" s="34" t="n">
        <f aca="false">SUMIFS('12.326ana'!$C:$C,'12.326ana'!$M:$M,redes!A16764)</f>
        <v>0</v>
      </c>
    </row>
    <row r="16765" customFormat="false" ht="14.4" hidden="true" customHeight="false" outlineLevel="0" collapsed="false">
      <c r="A16765" s="35" t="n">
        <v>33778572000155</v>
      </c>
      <c r="B16765" s="34" t="s">
        <v>30910</v>
      </c>
      <c r="C16765" s="34" t="s">
        <v>336</v>
      </c>
      <c r="E16765" s="30" t="s">
        <v>27535</v>
      </c>
      <c r="F16765" s="34" t="n">
        <f aca="false">IFERROR(VLOOKUP($A16765,'319'!$B:$H,7,0),0)</f>
        <v>0</v>
      </c>
      <c r="G16765" s="34" t="n">
        <f aca="false">SUMIFS('12.326ana'!$C:$C,'12.326ana'!$M:$M,redes!A16765)</f>
        <v>0</v>
      </c>
    </row>
    <row r="16766" customFormat="false" ht="14.4" hidden="true" customHeight="false" outlineLevel="0" collapsed="false">
      <c r="A16766" s="35" t="n">
        <v>33778846000106</v>
      </c>
      <c r="B16766" s="34" t="s">
        <v>30911</v>
      </c>
      <c r="C16766" s="34" t="s">
        <v>77</v>
      </c>
      <c r="E16766" s="30" t="s">
        <v>30912</v>
      </c>
      <c r="F16766" s="34" t="n">
        <f aca="false">IFERROR(VLOOKUP($A16766,'319'!$B:$H,7,0),0)</f>
        <v>0</v>
      </c>
      <c r="G16766" s="34" t="n">
        <f aca="false">SUMIFS('12.326ana'!$C:$C,'12.326ana'!$M:$M,redes!A16766)</f>
        <v>0</v>
      </c>
    </row>
    <row r="16767" customFormat="false" ht="14.4" hidden="true" customHeight="false" outlineLevel="0" collapsed="false">
      <c r="A16767" s="35" t="n">
        <v>33779265000199</v>
      </c>
      <c r="B16767" s="34" t="s">
        <v>30913</v>
      </c>
      <c r="C16767" s="34" t="s">
        <v>594</v>
      </c>
      <c r="E16767" s="30" t="s">
        <v>30914</v>
      </c>
      <c r="F16767" s="34" t="n">
        <f aca="false">IFERROR(VLOOKUP($A16767,'319'!$B:$H,7,0),0)</f>
        <v>0</v>
      </c>
      <c r="G16767" s="34" t="n">
        <f aca="false">SUMIFS('12.326ana'!$C:$C,'12.326ana'!$M:$M,redes!A16767)</f>
        <v>0</v>
      </c>
    </row>
    <row r="16768" customFormat="false" ht="14.4" hidden="true" customHeight="false" outlineLevel="0" collapsed="false">
      <c r="A16768" s="35" t="n">
        <v>33779463000152</v>
      </c>
      <c r="B16768" s="34" t="s">
        <v>30915</v>
      </c>
      <c r="C16768" s="34" t="s">
        <v>967</v>
      </c>
      <c r="E16768" s="30" t="s">
        <v>30916</v>
      </c>
      <c r="F16768" s="34" t="n">
        <f aca="false">IFERROR(VLOOKUP($A16768,'319'!$B:$H,7,0),0)</f>
        <v>0</v>
      </c>
      <c r="G16768" s="34" t="n">
        <f aca="false">SUMIFS('12.326ana'!$C:$C,'12.326ana'!$M:$M,redes!A16768)</f>
        <v>0</v>
      </c>
    </row>
    <row r="16769" customFormat="false" ht="14.4" hidden="true" customHeight="false" outlineLevel="0" collapsed="false">
      <c r="A16769" s="34" t="n">
        <v>33780388000140</v>
      </c>
      <c r="B16769" s="34" t="s">
        <v>30917</v>
      </c>
      <c r="C16769" s="34" t="s">
        <v>77</v>
      </c>
      <c r="E16769" s="30" t="s">
        <v>30918</v>
      </c>
      <c r="F16769" s="34" t="n">
        <f aca="false">IFERROR(VLOOKUP($A16769,'319'!$B:$H,7,0),0)</f>
        <v>0</v>
      </c>
      <c r="G16769" s="34" t="n">
        <f aca="false">SUMIFS('12.326ana'!$C:$C,'12.326ana'!$M:$M,redes!A16769)</f>
        <v>0</v>
      </c>
    </row>
    <row r="16770" customFormat="false" ht="14.4" hidden="true" customHeight="false" outlineLevel="0" collapsed="false">
      <c r="A16770" s="34" t="n">
        <v>33781386000175</v>
      </c>
      <c r="B16770" s="34" t="s">
        <v>30919</v>
      </c>
      <c r="C16770" s="34" t="s">
        <v>299</v>
      </c>
      <c r="D16770" s="34" t="s">
        <v>4797</v>
      </c>
      <c r="E16770" s="30" t="s">
        <v>30920</v>
      </c>
      <c r="F16770" s="34" t="n">
        <f aca="false">IFERROR(VLOOKUP($A16770,'319'!$B:$H,7,0),0)</f>
        <v>0</v>
      </c>
      <c r="G16770" s="34" t="n">
        <f aca="false">SUMIFS('12.326ana'!$C:$C,'12.326ana'!$M:$M,redes!A16770)</f>
        <v>0</v>
      </c>
    </row>
    <row r="16771" customFormat="false" ht="14.4" hidden="true" customHeight="false" outlineLevel="0" collapsed="false">
      <c r="A16771" s="34" t="n">
        <v>33781485000157</v>
      </c>
      <c r="B16771" s="34" t="s">
        <v>30921</v>
      </c>
      <c r="C16771" s="34" t="s">
        <v>594</v>
      </c>
      <c r="E16771" s="30" t="s">
        <v>30922</v>
      </c>
      <c r="F16771" s="34" t="n">
        <f aca="false">IFERROR(VLOOKUP($A16771,'319'!$B:$H,7,0),0)</f>
        <v>0</v>
      </c>
      <c r="G16771" s="34" t="n">
        <f aca="false">SUMIFS('12.326ana'!$C:$C,'12.326ana'!$M:$M,redes!A16771)</f>
        <v>0</v>
      </c>
    </row>
    <row r="16772" customFormat="false" ht="14.4" hidden="true" customHeight="false" outlineLevel="0" collapsed="false">
      <c r="A16772" s="34" t="n">
        <v>33784430000109</v>
      </c>
      <c r="B16772" s="34" t="s">
        <v>30923</v>
      </c>
      <c r="C16772" s="34" t="s">
        <v>77</v>
      </c>
      <c r="E16772" s="30" t="s">
        <v>5750</v>
      </c>
      <c r="F16772" s="34" t="n">
        <f aca="false">IFERROR(VLOOKUP($A16772,'319'!$B:$H,7,0),0)</f>
        <v>0</v>
      </c>
      <c r="G16772" s="34" t="n">
        <f aca="false">SUMIFS('12.326ana'!$C:$C,'12.326ana'!$M:$M,redes!A16772)</f>
        <v>0</v>
      </c>
    </row>
    <row r="16773" customFormat="false" ht="14.4" hidden="true" customHeight="false" outlineLevel="0" collapsed="false">
      <c r="A16773" s="34" t="n">
        <v>33785148000219</v>
      </c>
      <c r="B16773" s="34" t="s">
        <v>30924</v>
      </c>
      <c r="C16773" s="34" t="s">
        <v>107</v>
      </c>
      <c r="E16773" s="30" t="s">
        <v>30925</v>
      </c>
      <c r="F16773" s="34" t="n">
        <f aca="false">IFERROR(VLOOKUP($A16773,'319'!$B:$H,7,0),0)</f>
        <v>0</v>
      </c>
      <c r="G16773" s="34" t="n">
        <f aca="false">SUMIFS('12.326ana'!$C:$C,'12.326ana'!$M:$M,redes!A16773)</f>
        <v>0</v>
      </c>
    </row>
    <row r="16774" customFormat="false" ht="14.4" hidden="true" customHeight="false" outlineLevel="0" collapsed="false">
      <c r="A16774" s="34" t="n">
        <v>33785353000284</v>
      </c>
      <c r="B16774" s="34" t="s">
        <v>30926</v>
      </c>
      <c r="C16774" s="34" t="s">
        <v>680</v>
      </c>
      <c r="E16774" s="30" t="s">
        <v>30927</v>
      </c>
      <c r="F16774" s="34" t="n">
        <f aca="false">IFERROR(VLOOKUP($A16774,'319'!$B:$H,7,0),0)</f>
        <v>0</v>
      </c>
      <c r="G16774" s="34" t="n">
        <f aca="false">SUMIFS('12.326ana'!$C:$C,'12.326ana'!$M:$M,redes!A16774)</f>
        <v>0</v>
      </c>
    </row>
    <row r="16775" customFormat="false" ht="14.4" hidden="true" customHeight="false" outlineLevel="0" collapsed="false">
      <c r="A16775" s="34" t="n">
        <v>33786567000194</v>
      </c>
      <c r="B16775" s="34" t="s">
        <v>30928</v>
      </c>
      <c r="C16775" s="34" t="s">
        <v>357</v>
      </c>
      <c r="E16775" s="30" t="s">
        <v>30929</v>
      </c>
      <c r="F16775" s="34" t="n">
        <f aca="false">IFERROR(VLOOKUP($A16775,'319'!$B:$H,7,0),0)</f>
        <v>0</v>
      </c>
      <c r="G16775" s="34" t="n">
        <f aca="false">SUMIFS('12.326ana'!$C:$C,'12.326ana'!$M:$M,redes!A16775)</f>
        <v>0</v>
      </c>
    </row>
    <row r="16776" customFormat="false" ht="14.4" hidden="true" customHeight="false" outlineLevel="0" collapsed="false">
      <c r="A16776" s="34" t="n">
        <v>33787565000110</v>
      </c>
      <c r="B16776" s="34" t="s">
        <v>30930</v>
      </c>
      <c r="C16776" s="34" t="s">
        <v>107</v>
      </c>
      <c r="E16776" s="30" t="s">
        <v>30931</v>
      </c>
      <c r="F16776" s="34" t="n">
        <f aca="false">IFERROR(VLOOKUP($A16776,'319'!$B:$H,7,0),0)</f>
        <v>0</v>
      </c>
      <c r="G16776" s="34" t="n">
        <f aca="false">SUMIFS('12.326ana'!$C:$C,'12.326ana'!$M:$M,redes!A16776)</f>
        <v>0</v>
      </c>
    </row>
    <row r="16777" customFormat="false" ht="14.4" hidden="true" customHeight="false" outlineLevel="0" collapsed="false">
      <c r="A16777" s="34" t="n">
        <v>33788928000131</v>
      </c>
      <c r="B16777" s="34" t="s">
        <v>30932</v>
      </c>
      <c r="C16777" s="34" t="s">
        <v>962</v>
      </c>
      <c r="E16777" s="30" t="s">
        <v>30933</v>
      </c>
      <c r="F16777" s="34" t="n">
        <f aca="false">IFERROR(VLOOKUP($A16777,'319'!$B:$H,7,0),0)</f>
        <v>0</v>
      </c>
      <c r="G16777" s="34" t="n">
        <f aca="false">SUMIFS('12.326ana'!$C:$C,'12.326ana'!$M:$M,redes!A16777)</f>
        <v>0</v>
      </c>
    </row>
    <row r="16778" customFormat="false" ht="14.4" hidden="true" customHeight="false" outlineLevel="0" collapsed="false">
      <c r="A16778" s="34" t="n">
        <v>33789538000186</v>
      </c>
      <c r="B16778" s="34" t="s">
        <v>30934</v>
      </c>
      <c r="C16778" s="34" t="s">
        <v>737</v>
      </c>
      <c r="E16778" s="30" t="s">
        <v>30935</v>
      </c>
      <c r="F16778" s="34" t="n">
        <f aca="false">IFERROR(VLOOKUP($A16778,'319'!$B:$H,7,0),0)</f>
        <v>0</v>
      </c>
      <c r="G16778" s="34" t="n">
        <f aca="false">SUMIFS('12.326ana'!$C:$C,'12.326ana'!$M:$M,redes!A16778)</f>
        <v>0</v>
      </c>
    </row>
    <row r="16779" customFormat="false" ht="14.4" hidden="true" customHeight="false" outlineLevel="0" collapsed="false">
      <c r="A16779" s="34" t="n">
        <v>33789942000150</v>
      </c>
      <c r="B16779" s="34" t="s">
        <v>1391</v>
      </c>
      <c r="C16779" s="34" t="s">
        <v>594</v>
      </c>
      <c r="E16779" s="30" t="s">
        <v>30936</v>
      </c>
      <c r="F16779" s="34" t="n">
        <f aca="false">IFERROR(VLOOKUP($A16779,'319'!$B:$H,7,0),0)</f>
        <v>240.27</v>
      </c>
      <c r="G16779" s="34" t="n">
        <f aca="false">SUMIFS('12.326ana'!$C:$C,'12.326ana'!$M:$M,redes!A16779)</f>
        <v>0</v>
      </c>
    </row>
    <row r="16780" customFormat="false" ht="14.4" hidden="true" customHeight="false" outlineLevel="0" collapsed="false">
      <c r="A16780" s="34" t="n">
        <v>33790106000195</v>
      </c>
      <c r="B16780" s="34" t="s">
        <v>30937</v>
      </c>
      <c r="C16780" s="34" t="s">
        <v>77</v>
      </c>
      <c r="E16780" s="30" t="s">
        <v>30938</v>
      </c>
      <c r="F16780" s="34" t="n">
        <f aca="false">IFERROR(VLOOKUP($A16780,'319'!$B:$H,7,0),0)</f>
        <v>0</v>
      </c>
      <c r="G16780" s="34" t="n">
        <f aca="false">SUMIFS('12.326ana'!$C:$C,'12.326ana'!$M:$M,redes!A16780)</f>
        <v>0</v>
      </c>
    </row>
    <row r="16781" customFormat="false" ht="14.4" hidden="true" customHeight="false" outlineLevel="0" collapsed="false">
      <c r="A16781" s="34" t="n">
        <v>33790254000100</v>
      </c>
      <c r="B16781" s="34" t="s">
        <v>30939</v>
      </c>
      <c r="C16781" s="34" t="s">
        <v>357</v>
      </c>
      <c r="E16781" s="30" t="s">
        <v>30940</v>
      </c>
      <c r="F16781" s="34" t="n">
        <f aca="false">IFERROR(VLOOKUP($A16781,'319'!$B:$H,7,0),0)</f>
        <v>0</v>
      </c>
      <c r="G16781" s="34" t="n">
        <f aca="false">SUMIFS('12.326ana'!$C:$C,'12.326ana'!$M:$M,redes!A16781)</f>
        <v>0</v>
      </c>
    </row>
    <row r="16782" customFormat="false" ht="14.4" hidden="true" customHeight="false" outlineLevel="0" collapsed="false">
      <c r="A16782" s="34" t="n">
        <v>33790437000125</v>
      </c>
      <c r="B16782" s="34" t="s">
        <v>30941</v>
      </c>
      <c r="C16782" s="34" t="s">
        <v>604</v>
      </c>
      <c r="E16782" s="30" t="s">
        <v>13507</v>
      </c>
      <c r="F16782" s="34" t="n">
        <f aca="false">IFERROR(VLOOKUP($A16782,'319'!$B:$H,7,0),0)</f>
        <v>0</v>
      </c>
      <c r="G16782" s="34" t="n">
        <f aca="false">SUMIFS('12.326ana'!$C:$C,'12.326ana'!$M:$M,redes!A16782)</f>
        <v>0</v>
      </c>
    </row>
    <row r="16783" customFormat="false" ht="14.4" hidden="true" customHeight="false" outlineLevel="0" collapsed="false">
      <c r="A16783" s="34" t="n">
        <v>33790783000103</v>
      </c>
      <c r="B16783" s="34" t="s">
        <v>30942</v>
      </c>
      <c r="C16783" s="34" t="s">
        <v>848</v>
      </c>
      <c r="E16783" s="30" t="s">
        <v>30943</v>
      </c>
      <c r="F16783" s="34" t="n">
        <f aca="false">IFERROR(VLOOKUP($A16783,'319'!$B:$H,7,0),0)</f>
        <v>0</v>
      </c>
      <c r="G16783" s="34" t="n">
        <f aca="false">SUMIFS('12.326ana'!$C:$C,'12.326ana'!$M:$M,redes!A16783)</f>
        <v>0</v>
      </c>
    </row>
    <row r="16784" customFormat="false" ht="14.4" hidden="true" customHeight="false" outlineLevel="0" collapsed="false">
      <c r="A16784" s="34" t="n">
        <v>33791062000118</v>
      </c>
      <c r="B16784" s="34" t="s">
        <v>30944</v>
      </c>
      <c r="C16784" s="34" t="s">
        <v>631</v>
      </c>
      <c r="D16784" s="34" t="s">
        <v>24117</v>
      </c>
      <c r="E16784" s="30" t="s">
        <v>3558</v>
      </c>
      <c r="F16784" s="34" t="n">
        <f aca="false">IFERROR(VLOOKUP($A16784,'319'!$B:$H,7,0),0)</f>
        <v>9567.69</v>
      </c>
      <c r="G16784" s="34" t="n">
        <f aca="false">SUMIFS('12.326ana'!$C:$C,'12.326ana'!$M:$M,redes!A16784)</f>
        <v>0</v>
      </c>
    </row>
    <row r="16785" customFormat="false" ht="14.4" hidden="true" customHeight="false" outlineLevel="0" collapsed="false">
      <c r="A16785" s="34" t="n">
        <v>33792169000180</v>
      </c>
      <c r="B16785" s="34" t="s">
        <v>30945</v>
      </c>
      <c r="C16785" s="34" t="s">
        <v>604</v>
      </c>
      <c r="E16785" s="30" t="s">
        <v>30946</v>
      </c>
      <c r="F16785" s="34" t="n">
        <f aca="false">IFERROR(VLOOKUP($A16785,'319'!$B:$H,7,0),0)</f>
        <v>0</v>
      </c>
      <c r="G16785" s="34" t="n">
        <f aca="false">SUMIFS('12.326ana'!$C:$C,'12.326ana'!$M:$M,redes!A16785)</f>
        <v>0</v>
      </c>
    </row>
    <row r="16786" customFormat="false" ht="14.4" hidden="true" customHeight="false" outlineLevel="0" collapsed="false">
      <c r="A16786" s="34" t="n">
        <v>33792169000261</v>
      </c>
      <c r="B16786" s="34" t="s">
        <v>30945</v>
      </c>
      <c r="C16786" s="34" t="s">
        <v>604</v>
      </c>
      <c r="E16786" s="30" t="s">
        <v>18253</v>
      </c>
      <c r="F16786" s="34" t="n">
        <f aca="false">IFERROR(VLOOKUP($A16786,'319'!$B:$H,7,0),0)</f>
        <v>0</v>
      </c>
      <c r="G16786" s="34" t="n">
        <f aca="false">SUMIFS('12.326ana'!$C:$C,'12.326ana'!$M:$M,redes!A16786)</f>
        <v>0</v>
      </c>
    </row>
    <row r="16787" customFormat="false" ht="14.4" hidden="true" customHeight="false" outlineLevel="0" collapsed="false">
      <c r="A16787" s="34" t="n">
        <v>33792300000100</v>
      </c>
      <c r="B16787" s="34" t="s">
        <v>30947</v>
      </c>
      <c r="C16787" s="34" t="s">
        <v>475</v>
      </c>
      <c r="E16787" s="30" t="s">
        <v>30948</v>
      </c>
      <c r="F16787" s="34" t="n">
        <f aca="false">IFERROR(VLOOKUP($A16787,'319'!$B:$H,7,0),0)</f>
        <v>0</v>
      </c>
      <c r="G16787" s="34" t="n">
        <f aca="false">SUMIFS('12.326ana'!$C:$C,'12.326ana'!$M:$M,redes!A16787)</f>
        <v>0</v>
      </c>
    </row>
    <row r="16788" customFormat="false" ht="14.4" hidden="true" customHeight="false" outlineLevel="0" collapsed="false">
      <c r="A16788" s="34" t="n">
        <v>33792698000184</v>
      </c>
      <c r="B16788" s="34" t="s">
        <v>30949</v>
      </c>
      <c r="C16788" s="34" t="s">
        <v>107</v>
      </c>
      <c r="E16788" s="30" t="s">
        <v>7141</v>
      </c>
      <c r="F16788" s="34" t="n">
        <f aca="false">IFERROR(VLOOKUP($A16788,'319'!$B:$H,7,0),0)</f>
        <v>0</v>
      </c>
      <c r="G16788" s="34" t="n">
        <f aca="false">SUMIFS('12.326ana'!$C:$C,'12.326ana'!$M:$M,redes!A16788)</f>
        <v>0</v>
      </c>
    </row>
    <row r="16789" customFormat="false" ht="14.4" hidden="true" customHeight="false" outlineLevel="0" collapsed="false">
      <c r="A16789" s="34" t="n">
        <v>33792722000185</v>
      </c>
      <c r="B16789" s="34" t="s">
        <v>30950</v>
      </c>
      <c r="C16789" s="34" t="s">
        <v>594</v>
      </c>
      <c r="E16789" s="30" t="s">
        <v>30951</v>
      </c>
      <c r="F16789" s="34" t="n">
        <f aca="false">IFERROR(VLOOKUP($A16789,'319'!$B:$H,7,0),0)</f>
        <v>0</v>
      </c>
      <c r="G16789" s="34" t="n">
        <f aca="false">SUMIFS('12.326ana'!$C:$C,'12.326ana'!$M:$M,redes!A16789)</f>
        <v>0</v>
      </c>
    </row>
    <row r="16790" customFormat="false" ht="14.4" hidden="true" customHeight="false" outlineLevel="0" collapsed="false">
      <c r="A16790" s="34" t="n">
        <v>33792896000148</v>
      </c>
      <c r="B16790" s="34" t="s">
        <v>30952</v>
      </c>
      <c r="C16790" s="34" t="s">
        <v>77</v>
      </c>
      <c r="E16790" s="30" t="s">
        <v>30953</v>
      </c>
      <c r="F16790" s="34" t="n">
        <f aca="false">IFERROR(VLOOKUP($A16790,'319'!$B:$H,7,0),0)</f>
        <v>0</v>
      </c>
      <c r="G16790" s="34" t="n">
        <f aca="false">SUMIFS('12.326ana'!$C:$C,'12.326ana'!$M:$M,redes!A16790)</f>
        <v>0</v>
      </c>
    </row>
    <row r="16791" customFormat="false" ht="14.4" hidden="true" customHeight="false" outlineLevel="0" collapsed="false">
      <c r="A16791" s="34" t="n">
        <v>33799582000177</v>
      </c>
      <c r="B16791" s="34" t="s">
        <v>30954</v>
      </c>
      <c r="C16791" s="34" t="s">
        <v>77</v>
      </c>
      <c r="E16791" s="30"/>
      <c r="F16791" s="34" t="n">
        <f aca="false">IFERROR(VLOOKUP($A16791,'319'!$B:$H,7,0),0)</f>
        <v>0</v>
      </c>
      <c r="G16791" s="34" t="n">
        <f aca="false">SUMIFS('12.326ana'!$C:$C,'12.326ana'!$M:$M,redes!A16791)</f>
        <v>0</v>
      </c>
    </row>
    <row r="16792" customFormat="false" ht="14.4" hidden="true" customHeight="false" outlineLevel="0" collapsed="false">
      <c r="A16792" s="34" t="n">
        <v>33820141000100</v>
      </c>
      <c r="B16792" s="34" t="s">
        <v>897</v>
      </c>
      <c r="C16792" s="34" t="s">
        <v>342</v>
      </c>
      <c r="D16792" s="34" t="s">
        <v>27857</v>
      </c>
      <c r="E16792" s="30" t="s">
        <v>30955</v>
      </c>
      <c r="F16792" s="34" t="n">
        <f aca="false">IFERROR(VLOOKUP($A16792,'319'!$B:$H,7,0),0)</f>
        <v>1444.35</v>
      </c>
      <c r="G16792" s="34" t="n">
        <f aca="false">SUMIFS('12.326ana'!$C:$C,'12.326ana'!$M:$M,redes!A16792)</f>
        <v>0</v>
      </c>
    </row>
    <row r="16793" customFormat="false" ht="14.4" hidden="true" customHeight="false" outlineLevel="0" collapsed="false">
      <c r="A16793" s="34" t="n">
        <v>33836927000115</v>
      </c>
      <c r="B16793" s="34" t="s">
        <v>30956</v>
      </c>
      <c r="C16793" s="34" t="s">
        <v>77</v>
      </c>
      <c r="E16793" s="30" t="s">
        <v>30956</v>
      </c>
      <c r="F16793" s="34" t="n">
        <f aca="false">IFERROR(VLOOKUP($A16793,'319'!$B:$H,7,0),0)</f>
        <v>0</v>
      </c>
      <c r="G16793" s="34" t="n">
        <f aca="false">SUMIFS('12.326ana'!$C:$C,'12.326ana'!$M:$M,redes!A16793)</f>
        <v>0</v>
      </c>
    </row>
    <row r="16794" customFormat="false" ht="14.4" hidden="true" customHeight="false" outlineLevel="0" collapsed="false">
      <c r="A16794" s="34" t="n">
        <v>33848845000190</v>
      </c>
      <c r="B16794" s="34" t="s">
        <v>30957</v>
      </c>
      <c r="C16794" s="34" t="s">
        <v>107</v>
      </c>
      <c r="D16794" s="34" t="s">
        <v>26763</v>
      </c>
      <c r="E16794" s="30" t="s">
        <v>30958</v>
      </c>
      <c r="F16794" s="34" t="n">
        <f aca="false">IFERROR(VLOOKUP($A16794,'319'!$B:$H,7,0),0)</f>
        <v>0</v>
      </c>
      <c r="G16794" s="34" t="n">
        <f aca="false">SUMIFS('12.326ana'!$C:$C,'12.326ana'!$M:$M,redes!A16794)</f>
        <v>0</v>
      </c>
    </row>
    <row r="16795" customFormat="false" ht="14.4" hidden="true" customHeight="false" outlineLevel="0" collapsed="false">
      <c r="A16795" s="34" t="n">
        <v>33848845000271</v>
      </c>
      <c r="B16795" s="34" t="s">
        <v>30957</v>
      </c>
      <c r="C16795" s="34" t="s">
        <v>107</v>
      </c>
      <c r="D16795" s="34" t="s">
        <v>26763</v>
      </c>
      <c r="E16795" s="30" t="s">
        <v>30958</v>
      </c>
      <c r="F16795" s="34" t="n">
        <f aca="false">IFERROR(VLOOKUP($A16795,'319'!$B:$H,7,0),0)</f>
        <v>0</v>
      </c>
      <c r="G16795" s="34" t="n">
        <f aca="false">SUMIFS('12.326ana'!$C:$C,'12.326ana'!$M:$M,redes!A16795)</f>
        <v>0</v>
      </c>
    </row>
    <row r="16796" customFormat="false" ht="14.4" hidden="true" customHeight="false" outlineLevel="0" collapsed="false">
      <c r="A16796" s="34" t="n">
        <v>33850746000143</v>
      </c>
      <c r="B16796" s="34" t="s">
        <v>30959</v>
      </c>
      <c r="C16796" s="34" t="s">
        <v>77</v>
      </c>
      <c r="E16796" s="30" t="s">
        <v>30960</v>
      </c>
      <c r="F16796" s="34" t="n">
        <f aca="false">IFERROR(VLOOKUP($A16796,'319'!$B:$H,7,0),0)</f>
        <v>0</v>
      </c>
      <c r="G16796" s="34" t="n">
        <f aca="false">SUMIFS('12.326ana'!$C:$C,'12.326ana'!$M:$M,redes!A16796)</f>
        <v>0</v>
      </c>
    </row>
    <row r="16797" customFormat="false" ht="14.4" hidden="true" customHeight="false" outlineLevel="0" collapsed="false">
      <c r="A16797" s="34" t="n">
        <v>33851216000110</v>
      </c>
      <c r="B16797" s="34" t="s">
        <v>30961</v>
      </c>
      <c r="C16797" s="34" t="s">
        <v>473</v>
      </c>
      <c r="E16797" s="30" t="s">
        <v>30962</v>
      </c>
      <c r="F16797" s="34" t="n">
        <f aca="false">IFERROR(VLOOKUP($A16797,'319'!$B:$H,7,0),0)</f>
        <v>0</v>
      </c>
      <c r="G16797" s="34" t="n">
        <f aca="false">SUMIFS('12.326ana'!$C:$C,'12.326ana'!$M:$M,redes!A16797)</f>
        <v>0</v>
      </c>
    </row>
    <row r="16798" customFormat="false" ht="14.4" hidden="true" customHeight="false" outlineLevel="0" collapsed="false">
      <c r="A16798" s="34" t="n">
        <v>33857451000107</v>
      </c>
      <c r="B16798" s="34" t="s">
        <v>30963</v>
      </c>
      <c r="C16798" s="34" t="s">
        <v>107</v>
      </c>
      <c r="E16798" s="30" t="s">
        <v>30964</v>
      </c>
      <c r="F16798" s="34" t="n">
        <f aca="false">IFERROR(VLOOKUP($A16798,'319'!$B:$H,7,0),0)</f>
        <v>0</v>
      </c>
      <c r="G16798" s="34" t="n">
        <f aca="false">SUMIFS('12.326ana'!$C:$C,'12.326ana'!$M:$M,redes!A16798)</f>
        <v>0</v>
      </c>
    </row>
    <row r="16799" customFormat="false" ht="14.4" hidden="true" customHeight="false" outlineLevel="0" collapsed="false">
      <c r="A16799" s="34" t="n">
        <v>33890051000195</v>
      </c>
      <c r="B16799" s="34" t="s">
        <v>30965</v>
      </c>
      <c r="C16799" s="34" t="s">
        <v>77</v>
      </c>
      <c r="E16799" s="30" t="s">
        <v>30966</v>
      </c>
      <c r="F16799" s="34" t="n">
        <f aca="false">IFERROR(VLOOKUP($A16799,'319'!$B:$H,7,0),0)</f>
        <v>0</v>
      </c>
      <c r="G16799" s="34" t="n">
        <f aca="false">SUMIFS('12.326ana'!$C:$C,'12.326ana'!$M:$M,redes!A16799)</f>
        <v>0</v>
      </c>
    </row>
    <row r="16800" customFormat="false" ht="14.4" hidden="true" customHeight="false" outlineLevel="0" collapsed="false">
      <c r="A16800" s="34" t="n">
        <v>33891265000186</v>
      </c>
      <c r="B16800" s="34" t="s">
        <v>6852</v>
      </c>
      <c r="C16800" s="34" t="s">
        <v>77</v>
      </c>
      <c r="E16800" s="30" t="s">
        <v>30967</v>
      </c>
      <c r="F16800" s="34" t="n">
        <f aca="false">IFERROR(VLOOKUP($A16800,'319'!$B:$H,7,0),0)</f>
        <v>0</v>
      </c>
      <c r="G16800" s="34" t="n">
        <f aca="false">SUMIFS('12.326ana'!$C:$C,'12.326ana'!$M:$M,redes!A16800)</f>
        <v>0</v>
      </c>
    </row>
    <row r="16801" customFormat="false" ht="14.4" hidden="true" customHeight="false" outlineLevel="0" collapsed="false">
      <c r="A16801" s="34" t="n">
        <v>33902798000116</v>
      </c>
      <c r="B16801" s="34" t="s">
        <v>30968</v>
      </c>
      <c r="C16801" s="34" t="s">
        <v>89</v>
      </c>
      <c r="E16801" s="30" t="s">
        <v>30969</v>
      </c>
      <c r="F16801" s="34" t="n">
        <f aca="false">IFERROR(VLOOKUP($A16801,'319'!$B:$H,7,0),0)</f>
        <v>0</v>
      </c>
      <c r="G16801" s="34" t="n">
        <f aca="false">SUMIFS('12.326ana'!$C:$C,'12.326ana'!$M:$M,redes!A16801)</f>
        <v>0</v>
      </c>
    </row>
    <row r="16802" customFormat="false" ht="14.4" hidden="true" customHeight="false" outlineLevel="0" collapsed="false">
      <c r="A16802" s="34" t="n">
        <v>33911408000174</v>
      </c>
      <c r="B16802" s="34" t="s">
        <v>30970</v>
      </c>
      <c r="C16802" s="34" t="s">
        <v>405</v>
      </c>
      <c r="E16802" s="30" t="s">
        <v>8024</v>
      </c>
      <c r="F16802" s="34" t="n">
        <f aca="false">IFERROR(VLOOKUP($A16802,'319'!$B:$H,7,0),0)</f>
        <v>0</v>
      </c>
      <c r="G16802" s="34" t="n">
        <f aca="false">SUMIFS('12.326ana'!$C:$C,'12.326ana'!$M:$M,redes!A16802)</f>
        <v>0</v>
      </c>
    </row>
    <row r="16803" customFormat="false" ht="14.4" hidden="true" customHeight="false" outlineLevel="0" collapsed="false">
      <c r="A16803" s="34" t="n">
        <v>33918000000124</v>
      </c>
      <c r="B16803" s="34" t="s">
        <v>30971</v>
      </c>
      <c r="C16803" s="34" t="s">
        <v>77</v>
      </c>
      <c r="E16803" s="30" t="s">
        <v>30972</v>
      </c>
      <c r="F16803" s="34" t="n">
        <f aca="false">IFERROR(VLOOKUP($A16803,'319'!$B:$H,7,0),0)</f>
        <v>0</v>
      </c>
      <c r="G16803" s="34" t="n">
        <f aca="false">SUMIFS('12.326ana'!$C:$C,'12.326ana'!$M:$M,redes!A16803)</f>
        <v>0</v>
      </c>
    </row>
    <row r="16804" customFormat="false" ht="14.4" hidden="true" customHeight="false" outlineLevel="0" collapsed="false">
      <c r="A16804" s="34" t="n">
        <v>33919587000196</v>
      </c>
      <c r="B16804" s="34" t="s">
        <v>30973</v>
      </c>
      <c r="C16804" s="34" t="s">
        <v>77</v>
      </c>
      <c r="E16804" s="30" t="s">
        <v>30974</v>
      </c>
      <c r="F16804" s="34" t="n">
        <f aca="false">IFERROR(VLOOKUP($A16804,'319'!$B:$H,7,0),0)</f>
        <v>0</v>
      </c>
      <c r="G16804" s="34" t="n">
        <f aca="false">SUMIFS('12.326ana'!$C:$C,'12.326ana'!$M:$M,redes!A16804)</f>
        <v>0</v>
      </c>
    </row>
    <row r="16805" customFormat="false" ht="14.4" hidden="true" customHeight="false" outlineLevel="0" collapsed="false">
      <c r="A16805" s="34" t="n">
        <v>33938001000130</v>
      </c>
      <c r="B16805" s="34" t="s">
        <v>30975</v>
      </c>
      <c r="C16805" s="34" t="s">
        <v>1341</v>
      </c>
      <c r="E16805" s="30" t="s">
        <v>30976</v>
      </c>
      <c r="F16805" s="34" t="n">
        <f aca="false">IFERROR(VLOOKUP($A16805,'319'!$B:$H,7,0),0)</f>
        <v>0</v>
      </c>
      <c r="G16805" s="34" t="n">
        <f aca="false">SUMIFS('12.326ana'!$C:$C,'12.326ana'!$M:$M,redes!A16805)</f>
        <v>0</v>
      </c>
    </row>
    <row r="16806" customFormat="false" ht="14.4" hidden="true" customHeight="false" outlineLevel="0" collapsed="false">
      <c r="A16806" s="34" t="n">
        <v>33944360000109</v>
      </c>
      <c r="B16806" s="34" t="s">
        <v>30977</v>
      </c>
      <c r="C16806" s="34" t="s">
        <v>77</v>
      </c>
      <c r="E16806" s="30" t="s">
        <v>5750</v>
      </c>
      <c r="F16806" s="34" t="n">
        <f aca="false">IFERROR(VLOOKUP($A16806,'319'!$B:$H,7,0),0)</f>
        <v>0</v>
      </c>
      <c r="G16806" s="34" t="n">
        <f aca="false">SUMIFS('12.326ana'!$C:$C,'12.326ana'!$M:$M,redes!A16806)</f>
        <v>0</v>
      </c>
    </row>
    <row r="16807" customFormat="false" ht="14.4" hidden="true" customHeight="false" outlineLevel="0" collapsed="false">
      <c r="A16807" s="34" t="n">
        <v>33960418000108</v>
      </c>
      <c r="B16807" s="34" t="s">
        <v>30978</v>
      </c>
      <c r="C16807" s="34" t="s">
        <v>744</v>
      </c>
      <c r="E16807" s="30" t="s">
        <v>25292</v>
      </c>
      <c r="F16807" s="34" t="n">
        <f aca="false">IFERROR(VLOOKUP($A16807,'319'!$B:$H,7,0),0)</f>
        <v>0</v>
      </c>
      <c r="G16807" s="34" t="n">
        <f aca="false">SUMIFS('12.326ana'!$C:$C,'12.326ana'!$M:$M,redes!A16807)</f>
        <v>0</v>
      </c>
    </row>
    <row r="16808" customFormat="false" ht="14.4" hidden="true" customHeight="false" outlineLevel="0" collapsed="false">
      <c r="A16808" s="34" t="n">
        <v>34000815000192</v>
      </c>
      <c r="B16808" s="34" t="s">
        <v>30979</v>
      </c>
      <c r="C16808" s="34" t="s">
        <v>2998</v>
      </c>
      <c r="E16808" s="30" t="s">
        <v>30980</v>
      </c>
      <c r="F16808" s="34" t="n">
        <f aca="false">IFERROR(VLOOKUP($A16808,'319'!$B:$H,7,0),0)</f>
        <v>0</v>
      </c>
      <c r="G16808" s="34" t="n">
        <f aca="false">SUMIFS('12.326ana'!$C:$C,'12.326ana'!$M:$M,redes!A16808)</f>
        <v>0</v>
      </c>
    </row>
    <row r="16809" customFormat="false" ht="14.4" hidden="true" customHeight="false" outlineLevel="0" collapsed="false">
      <c r="A16809" s="34" t="n">
        <v>34018915000146</v>
      </c>
      <c r="B16809" s="34" t="s">
        <v>30981</v>
      </c>
      <c r="C16809" s="34" t="s">
        <v>139</v>
      </c>
      <c r="E16809" s="30" t="s">
        <v>30982</v>
      </c>
      <c r="F16809" s="34" t="n">
        <f aca="false">IFERROR(VLOOKUP($A16809,'319'!$B:$H,7,0),0)</f>
        <v>0</v>
      </c>
      <c r="G16809" s="34" t="n">
        <f aca="false">SUMIFS('12.326ana'!$C:$C,'12.326ana'!$M:$M,redes!A16809)</f>
        <v>0</v>
      </c>
    </row>
    <row r="16810" customFormat="false" ht="14.4" hidden="true" customHeight="false" outlineLevel="0" collapsed="false">
      <c r="A16810" s="34" t="n">
        <v>34019693000186</v>
      </c>
      <c r="B16810" s="34" t="s">
        <v>30983</v>
      </c>
      <c r="C16810" s="34" t="s">
        <v>192</v>
      </c>
      <c r="E16810" s="30" t="s">
        <v>30984</v>
      </c>
      <c r="F16810" s="34" t="n">
        <f aca="false">IFERROR(VLOOKUP($A16810,'319'!$B:$H,7,0),0)</f>
        <v>0</v>
      </c>
      <c r="G16810" s="34" t="n">
        <f aca="false">SUMIFS('12.326ana'!$C:$C,'12.326ana'!$M:$M,redes!A16810)</f>
        <v>0</v>
      </c>
    </row>
    <row r="16811" customFormat="false" ht="14.4" hidden="true" customHeight="false" outlineLevel="0" collapsed="false">
      <c r="A16811" s="34" t="n">
        <v>34040848000166</v>
      </c>
      <c r="B16811" s="34" t="s">
        <v>30985</v>
      </c>
      <c r="C16811" s="34" t="s">
        <v>77</v>
      </c>
      <c r="E16811" s="30" t="s">
        <v>30985</v>
      </c>
      <c r="F16811" s="34" t="n">
        <f aca="false">IFERROR(VLOOKUP($A16811,'319'!$B:$H,7,0),0)</f>
        <v>0</v>
      </c>
      <c r="G16811" s="34" t="n">
        <f aca="false">SUMIFS('12.326ana'!$C:$C,'12.326ana'!$M:$M,redes!A16811)</f>
        <v>0</v>
      </c>
    </row>
    <row r="16812" customFormat="false" ht="14.4" hidden="true" customHeight="false" outlineLevel="0" collapsed="false">
      <c r="A16812" s="34" t="n">
        <v>34049257000150</v>
      </c>
      <c r="B16812" s="34" t="s">
        <v>30986</v>
      </c>
      <c r="C16812" s="34" t="s">
        <v>89</v>
      </c>
      <c r="E16812" s="30" t="s">
        <v>30987</v>
      </c>
      <c r="F16812" s="34" t="n">
        <f aca="false">IFERROR(VLOOKUP($A16812,'319'!$B:$H,7,0),0)</f>
        <v>0</v>
      </c>
      <c r="G16812" s="34" t="n">
        <f aca="false">SUMIFS('12.326ana'!$C:$C,'12.326ana'!$M:$M,redes!A16812)</f>
        <v>0</v>
      </c>
    </row>
    <row r="16813" customFormat="false" ht="14.4" hidden="true" customHeight="false" outlineLevel="0" collapsed="false">
      <c r="A16813" s="34" t="n">
        <v>34049929000127</v>
      </c>
      <c r="B16813" s="34" t="s">
        <v>30988</v>
      </c>
      <c r="C16813" s="34" t="s">
        <v>77</v>
      </c>
      <c r="E16813" s="30" t="s">
        <v>30989</v>
      </c>
      <c r="F16813" s="34" t="n">
        <f aca="false">IFERROR(VLOOKUP($A16813,'319'!$B:$H,7,0),0)</f>
        <v>0</v>
      </c>
      <c r="G16813" s="34" t="n">
        <f aca="false">SUMIFS('12.326ana'!$C:$C,'12.326ana'!$M:$M,redes!A16813)</f>
        <v>0</v>
      </c>
    </row>
    <row r="16814" customFormat="false" ht="14.4" hidden="true" customHeight="false" outlineLevel="0" collapsed="false">
      <c r="A16814" s="34" t="n">
        <v>34056843000121</v>
      </c>
      <c r="B16814" s="34" t="s">
        <v>30990</v>
      </c>
      <c r="C16814" s="34" t="s">
        <v>77</v>
      </c>
      <c r="E16814" s="30" t="s">
        <v>30991</v>
      </c>
      <c r="F16814" s="34" t="n">
        <f aca="false">IFERROR(VLOOKUP($A16814,'319'!$B:$H,7,0),0)</f>
        <v>0</v>
      </c>
      <c r="G16814" s="34" t="n">
        <f aca="false">SUMIFS('12.326ana'!$C:$C,'12.326ana'!$M:$M,redes!A16814)</f>
        <v>0</v>
      </c>
    </row>
    <row r="16815" customFormat="false" ht="14.4" hidden="true" customHeight="false" outlineLevel="0" collapsed="false">
      <c r="A16815" s="34" t="n">
        <v>34057173000168</v>
      </c>
      <c r="B16815" s="34" t="s">
        <v>30992</v>
      </c>
      <c r="C16815" s="34" t="s">
        <v>139</v>
      </c>
      <c r="E16815" s="30" t="s">
        <v>30992</v>
      </c>
      <c r="F16815" s="34" t="n">
        <f aca="false">IFERROR(VLOOKUP($A16815,'319'!$B:$H,7,0),0)</f>
        <v>0</v>
      </c>
      <c r="G16815" s="34" t="n">
        <f aca="false">SUMIFS('12.326ana'!$C:$C,'12.326ana'!$M:$M,redes!A16815)</f>
        <v>0</v>
      </c>
    </row>
    <row r="16816" customFormat="false" ht="14.4" hidden="true" customHeight="false" outlineLevel="0" collapsed="false">
      <c r="A16816" s="34" t="n">
        <v>34057284000174</v>
      </c>
      <c r="B16816" s="34" t="s">
        <v>30993</v>
      </c>
      <c r="C16816" s="34" t="s">
        <v>77</v>
      </c>
      <c r="E16816" s="30" t="s">
        <v>30993</v>
      </c>
      <c r="F16816" s="34" t="n">
        <f aca="false">IFERROR(VLOOKUP($A16816,'319'!$B:$H,7,0),0)</f>
        <v>0</v>
      </c>
      <c r="G16816" s="34" t="n">
        <f aca="false">SUMIFS('12.326ana'!$C:$C,'12.326ana'!$M:$M,redes!A16816)</f>
        <v>0</v>
      </c>
    </row>
    <row r="16817" customFormat="false" ht="14.4" hidden="true" customHeight="false" outlineLevel="0" collapsed="false">
      <c r="A16817" s="34" t="n">
        <v>34077871000125</v>
      </c>
      <c r="B16817" s="34" t="s">
        <v>29116</v>
      </c>
      <c r="C16817" s="34" t="s">
        <v>192</v>
      </c>
      <c r="E16817" s="30" t="s">
        <v>29117</v>
      </c>
      <c r="F16817" s="34" t="n">
        <f aca="false">IFERROR(VLOOKUP($A16817,'319'!$B:$H,7,0),0)</f>
        <v>0</v>
      </c>
      <c r="G16817" s="34" t="n">
        <f aca="false">SUMIFS('12.326ana'!$C:$C,'12.326ana'!$M:$M,redes!A16817)</f>
        <v>0</v>
      </c>
    </row>
    <row r="16818" customFormat="false" ht="14.4" hidden="true" customHeight="false" outlineLevel="0" collapsed="false">
      <c r="A16818" s="34" t="n">
        <v>34081780000163</v>
      </c>
      <c r="B16818" s="34" t="s">
        <v>30994</v>
      </c>
      <c r="C16818" s="34" t="s">
        <v>107</v>
      </c>
      <c r="E16818" s="30" t="s">
        <v>30995</v>
      </c>
      <c r="F16818" s="34" t="n">
        <f aca="false">IFERROR(VLOOKUP($A16818,'319'!$B:$H,7,0),0)</f>
        <v>0</v>
      </c>
      <c r="G16818" s="34" t="n">
        <f aca="false">SUMIFS('12.326ana'!$C:$C,'12.326ana'!$M:$M,redes!A16818)</f>
        <v>0</v>
      </c>
    </row>
    <row r="16819" customFormat="false" ht="14.4" hidden="true" customHeight="false" outlineLevel="0" collapsed="false">
      <c r="A16819" s="34" t="n">
        <v>34087703000110</v>
      </c>
      <c r="B16819" s="34" t="s">
        <v>30996</v>
      </c>
      <c r="C16819" s="34" t="s">
        <v>7250</v>
      </c>
      <c r="E16819" s="30" t="s">
        <v>30997</v>
      </c>
      <c r="F16819" s="34" t="n">
        <f aca="false">IFERROR(VLOOKUP($A16819,'319'!$B:$H,7,0),0)</f>
        <v>0</v>
      </c>
      <c r="G16819" s="34" t="n">
        <f aca="false">SUMIFS('12.326ana'!$C:$C,'12.326ana'!$M:$M,redes!A16819)</f>
        <v>0</v>
      </c>
    </row>
    <row r="16820" customFormat="false" ht="14.4" hidden="true" customHeight="false" outlineLevel="0" collapsed="false">
      <c r="A16820" s="34" t="n">
        <v>34090421000172</v>
      </c>
      <c r="B16820" s="34" t="s">
        <v>30998</v>
      </c>
      <c r="C16820" s="34" t="s">
        <v>77</v>
      </c>
      <c r="E16820" s="30" t="s">
        <v>30999</v>
      </c>
      <c r="F16820" s="34" t="n">
        <f aca="false">IFERROR(VLOOKUP($A16820,'319'!$B:$H,7,0),0)</f>
        <v>317.39</v>
      </c>
      <c r="G16820" s="34" t="n">
        <f aca="false">SUMIFS('12.326ana'!$C:$C,'12.326ana'!$M:$M,redes!A16820)</f>
        <v>0</v>
      </c>
    </row>
    <row r="16821" customFormat="false" ht="14.4" hidden="true" customHeight="false" outlineLevel="0" collapsed="false">
      <c r="A16821" s="34" t="n">
        <v>34104532000190</v>
      </c>
      <c r="B16821" s="34" t="s">
        <v>31000</v>
      </c>
      <c r="C16821" s="34" t="s">
        <v>77</v>
      </c>
      <c r="E16821" s="30" t="s">
        <v>31001</v>
      </c>
      <c r="F16821" s="34" t="n">
        <f aca="false">IFERROR(VLOOKUP($A16821,'319'!$B:$H,7,0),0)</f>
        <v>0</v>
      </c>
      <c r="G16821" s="34" t="n">
        <f aca="false">SUMIFS('12.326ana'!$C:$C,'12.326ana'!$M:$M,redes!A16821)</f>
        <v>0</v>
      </c>
    </row>
    <row r="16822" customFormat="false" ht="14.4" hidden="true" customHeight="false" outlineLevel="0" collapsed="false">
      <c r="A16822" s="34" t="n">
        <v>34108967000103</v>
      </c>
      <c r="B16822" s="34" t="s">
        <v>31002</v>
      </c>
      <c r="C16822" s="34" t="s">
        <v>77</v>
      </c>
      <c r="E16822" s="30" t="s">
        <v>31003</v>
      </c>
      <c r="F16822" s="34" t="n">
        <f aca="false">IFERROR(VLOOKUP($A16822,'319'!$B:$H,7,0),0)</f>
        <v>0</v>
      </c>
      <c r="G16822" s="34" t="n">
        <f aca="false">SUMIFS('12.326ana'!$C:$C,'12.326ana'!$M:$M,redes!A16822)</f>
        <v>0</v>
      </c>
    </row>
    <row r="16823" customFormat="false" ht="14.4" hidden="true" customHeight="false" outlineLevel="0" collapsed="false">
      <c r="A16823" s="34" t="n">
        <v>34116280000110</v>
      </c>
      <c r="B16823" s="34" t="s">
        <v>31004</v>
      </c>
      <c r="C16823" s="34" t="s">
        <v>77</v>
      </c>
      <c r="E16823" s="30" t="s">
        <v>31005</v>
      </c>
      <c r="F16823" s="34" t="n">
        <f aca="false">IFERROR(VLOOKUP($A16823,'319'!$B:$H,7,0),0)</f>
        <v>0</v>
      </c>
      <c r="G16823" s="34" t="n">
        <f aca="false">SUMIFS('12.326ana'!$C:$C,'12.326ana'!$M:$M,redes!A16823)</f>
        <v>0</v>
      </c>
    </row>
    <row r="16824" customFormat="false" ht="14.4" hidden="true" customHeight="false" outlineLevel="0" collapsed="false">
      <c r="A16824" s="34" t="n">
        <v>34126843000150</v>
      </c>
      <c r="B16824" s="34" t="s">
        <v>31006</v>
      </c>
      <c r="C16824" s="34" t="s">
        <v>139</v>
      </c>
      <c r="E16824" s="30" t="s">
        <v>31007</v>
      </c>
      <c r="F16824" s="34" t="n">
        <f aca="false">IFERROR(VLOOKUP($A16824,'319'!$B:$H,7,0),0)</f>
        <v>0</v>
      </c>
      <c r="G16824" s="34" t="n">
        <f aca="false">SUMIFS('12.326ana'!$C:$C,'12.326ana'!$M:$M,redes!A16824)</f>
        <v>0</v>
      </c>
    </row>
    <row r="16825" customFormat="false" ht="14.4" hidden="true" customHeight="false" outlineLevel="0" collapsed="false">
      <c r="A16825" s="34" t="n">
        <v>34133534000108</v>
      </c>
      <c r="B16825" s="34" t="s">
        <v>31008</v>
      </c>
      <c r="C16825" s="34" t="s">
        <v>77</v>
      </c>
      <c r="D16825" s="34" t="s">
        <v>31009</v>
      </c>
      <c r="E16825" s="30" t="s">
        <v>29826</v>
      </c>
      <c r="F16825" s="34" t="n">
        <f aca="false">IFERROR(VLOOKUP($A16825,'319'!$B:$H,7,0),0)</f>
        <v>0</v>
      </c>
      <c r="G16825" s="34" t="n">
        <f aca="false">SUMIFS('12.326ana'!$C:$C,'12.326ana'!$M:$M,redes!A16825)</f>
        <v>0</v>
      </c>
    </row>
    <row r="16826" customFormat="false" ht="14.4" hidden="true" customHeight="false" outlineLevel="0" collapsed="false">
      <c r="A16826" s="34" t="n">
        <v>34133534000299</v>
      </c>
      <c r="B16826" s="34" t="s">
        <v>31008</v>
      </c>
      <c r="C16826" s="34" t="s">
        <v>77</v>
      </c>
      <c r="D16826" s="34" t="s">
        <v>31009</v>
      </c>
      <c r="E16826" s="30" t="s">
        <v>29826</v>
      </c>
      <c r="F16826" s="34" t="n">
        <f aca="false">IFERROR(VLOOKUP($A16826,'319'!$B:$H,7,0),0)</f>
        <v>0</v>
      </c>
      <c r="G16826" s="34" t="n">
        <f aca="false">SUMIFS('12.326ana'!$C:$C,'12.326ana'!$M:$M,redes!A16826)</f>
        <v>0</v>
      </c>
    </row>
    <row r="16827" customFormat="false" ht="14.4" hidden="true" customHeight="false" outlineLevel="0" collapsed="false">
      <c r="A16827" s="34" t="n">
        <v>34133534000370</v>
      </c>
      <c r="B16827" s="34" t="s">
        <v>31008</v>
      </c>
      <c r="C16827" s="34" t="s">
        <v>77</v>
      </c>
      <c r="D16827" s="34" t="s">
        <v>31009</v>
      </c>
      <c r="E16827" s="30" t="s">
        <v>29826</v>
      </c>
      <c r="F16827" s="34" t="n">
        <f aca="false">IFERROR(VLOOKUP($A16827,'319'!$B:$H,7,0),0)</f>
        <v>0</v>
      </c>
      <c r="G16827" s="34" t="n">
        <f aca="false">SUMIFS('12.326ana'!$C:$C,'12.326ana'!$M:$M,redes!A16827)</f>
        <v>0</v>
      </c>
    </row>
    <row r="16828" customFormat="false" ht="14.4" hidden="true" customHeight="false" outlineLevel="0" collapsed="false">
      <c r="A16828" s="34" t="n">
        <v>34133534000450</v>
      </c>
      <c r="B16828" s="34" t="s">
        <v>19757</v>
      </c>
      <c r="C16828" s="34" t="s">
        <v>77</v>
      </c>
      <c r="D16828" s="34" t="s">
        <v>31009</v>
      </c>
      <c r="E16828" s="30" t="s">
        <v>29826</v>
      </c>
      <c r="F16828" s="34" t="n">
        <f aca="false">IFERROR(VLOOKUP($A16828,'319'!$B:$H,7,0),0)</f>
        <v>0</v>
      </c>
      <c r="G16828" s="34" t="n">
        <f aca="false">SUMIFS('12.326ana'!$C:$C,'12.326ana'!$M:$M,redes!A16828)</f>
        <v>0</v>
      </c>
    </row>
    <row r="16829" customFormat="false" ht="14.4" hidden="true" customHeight="false" outlineLevel="0" collapsed="false">
      <c r="A16829" s="34" t="n">
        <v>34133534000531</v>
      </c>
      <c r="B16829" s="34" t="s">
        <v>19757</v>
      </c>
      <c r="C16829" s="34" t="s">
        <v>77</v>
      </c>
      <c r="D16829" s="34" t="s">
        <v>31009</v>
      </c>
      <c r="E16829" s="30" t="s">
        <v>29826</v>
      </c>
      <c r="F16829" s="34" t="n">
        <f aca="false">IFERROR(VLOOKUP($A16829,'319'!$B:$H,7,0),0)</f>
        <v>0</v>
      </c>
      <c r="G16829" s="34" t="n">
        <f aca="false">SUMIFS('12.326ana'!$C:$C,'12.326ana'!$M:$M,redes!A16829)</f>
        <v>0</v>
      </c>
    </row>
    <row r="16830" customFormat="false" ht="14.4" hidden="true" customHeight="false" outlineLevel="0" collapsed="false">
      <c r="A16830" s="34" t="n">
        <v>34133534000612</v>
      </c>
      <c r="B16830" s="34" t="s">
        <v>19757</v>
      </c>
      <c r="C16830" s="34" t="s">
        <v>77</v>
      </c>
      <c r="D16830" s="34" t="s">
        <v>31009</v>
      </c>
      <c r="E16830" s="30" t="s">
        <v>29826</v>
      </c>
      <c r="F16830" s="34" t="n">
        <f aca="false">IFERROR(VLOOKUP($A16830,'319'!$B:$H,7,0),0)</f>
        <v>0</v>
      </c>
      <c r="G16830" s="34" t="n">
        <f aca="false">SUMIFS('12.326ana'!$C:$C,'12.326ana'!$M:$M,redes!A16830)</f>
        <v>0</v>
      </c>
    </row>
    <row r="16831" customFormat="false" ht="14.4" hidden="true" customHeight="false" outlineLevel="0" collapsed="false">
      <c r="A16831" s="34" t="n">
        <v>34143145000163</v>
      </c>
      <c r="B16831" s="34" t="s">
        <v>31010</v>
      </c>
      <c r="C16831" s="34" t="s">
        <v>77</v>
      </c>
      <c r="E16831" s="30" t="s">
        <v>31011</v>
      </c>
      <c r="F16831" s="34" t="n">
        <f aca="false">IFERROR(VLOOKUP($A16831,'319'!$B:$H,7,0),0)</f>
        <v>0</v>
      </c>
      <c r="G16831" s="34" t="n">
        <f aca="false">SUMIFS('12.326ana'!$C:$C,'12.326ana'!$M:$M,redes!A16831)</f>
        <v>0</v>
      </c>
    </row>
    <row r="16832" customFormat="false" ht="14.4" hidden="true" customHeight="false" outlineLevel="0" collapsed="false">
      <c r="A16832" s="34" t="n">
        <v>34151042000145</v>
      </c>
      <c r="B16832" s="34" t="s">
        <v>31012</v>
      </c>
      <c r="C16832" s="34" t="s">
        <v>604</v>
      </c>
      <c r="E16832" s="30" t="s">
        <v>8949</v>
      </c>
      <c r="F16832" s="34" t="n">
        <f aca="false">IFERROR(VLOOKUP($A16832,'319'!$B:$H,7,0),0)</f>
        <v>0</v>
      </c>
      <c r="G16832" s="34" t="n">
        <f aca="false">SUMIFS('12.326ana'!$C:$C,'12.326ana'!$M:$M,redes!A16832)</f>
        <v>0</v>
      </c>
    </row>
    <row r="16833" customFormat="false" ht="14.4" hidden="true" customHeight="false" outlineLevel="0" collapsed="false">
      <c r="A16833" s="34" t="n">
        <v>34161716000192</v>
      </c>
      <c r="B16833" s="34" t="s">
        <v>31013</v>
      </c>
      <c r="C16833" s="34" t="s">
        <v>213</v>
      </c>
      <c r="E16833" s="30" t="s">
        <v>31014</v>
      </c>
      <c r="F16833" s="34" t="n">
        <f aca="false">IFERROR(VLOOKUP($A16833,'319'!$B:$H,7,0),0)</f>
        <v>0</v>
      </c>
      <c r="G16833" s="34" t="n">
        <f aca="false">SUMIFS('12.326ana'!$C:$C,'12.326ana'!$M:$M,redes!A16833)</f>
        <v>0</v>
      </c>
    </row>
    <row r="16834" customFormat="false" ht="14.4" hidden="true" customHeight="false" outlineLevel="0" collapsed="false">
      <c r="A16834" s="34" t="n">
        <v>34164039000166</v>
      </c>
      <c r="B16834" s="34" t="s">
        <v>31015</v>
      </c>
      <c r="C16834" s="34" t="s">
        <v>77</v>
      </c>
      <c r="E16834" s="30" t="s">
        <v>31016</v>
      </c>
      <c r="F16834" s="34" t="n">
        <f aca="false">IFERROR(VLOOKUP($A16834,'319'!$B:$H,7,0),0)</f>
        <v>0</v>
      </c>
      <c r="G16834" s="34" t="n">
        <f aca="false">SUMIFS('12.326ana'!$C:$C,'12.326ana'!$M:$M,redes!A16834)</f>
        <v>0</v>
      </c>
    </row>
    <row r="16835" customFormat="false" ht="14.4" hidden="true" customHeight="false" outlineLevel="0" collapsed="false">
      <c r="A16835" s="34" t="n">
        <v>34178550000117</v>
      </c>
      <c r="B16835" s="34" t="s">
        <v>31017</v>
      </c>
      <c r="C16835" s="34" t="s">
        <v>299</v>
      </c>
      <c r="E16835" s="30" t="s">
        <v>20759</v>
      </c>
      <c r="F16835" s="34" t="n">
        <f aca="false">IFERROR(VLOOKUP($A16835,'319'!$B:$H,7,0),0)</f>
        <v>0</v>
      </c>
      <c r="G16835" s="34" t="n">
        <f aca="false">SUMIFS('12.326ana'!$C:$C,'12.326ana'!$M:$M,redes!A16835)</f>
        <v>0</v>
      </c>
    </row>
    <row r="16836" customFormat="false" ht="14.4" hidden="true" customHeight="false" outlineLevel="0" collapsed="false">
      <c r="A16836" s="34" t="n">
        <v>34194507000145</v>
      </c>
      <c r="B16836" s="34" t="s">
        <v>31018</v>
      </c>
      <c r="C16836" s="34" t="s">
        <v>107</v>
      </c>
      <c r="E16836" s="30" t="s">
        <v>31019</v>
      </c>
      <c r="F16836" s="34" t="n">
        <f aca="false">IFERROR(VLOOKUP($A16836,'319'!$B:$H,7,0),0)</f>
        <v>0</v>
      </c>
      <c r="G16836" s="34" t="n">
        <f aca="false">SUMIFS('12.326ana'!$C:$C,'12.326ana'!$M:$M,redes!A16836)</f>
        <v>0</v>
      </c>
    </row>
    <row r="16837" customFormat="false" ht="14.4" hidden="true" customHeight="false" outlineLevel="0" collapsed="false">
      <c r="A16837" s="34" t="n">
        <v>34206634000117</v>
      </c>
      <c r="B16837" s="34" t="s">
        <v>31020</v>
      </c>
      <c r="C16837" s="34" t="s">
        <v>77</v>
      </c>
      <c r="E16837" s="30" t="s">
        <v>31021</v>
      </c>
      <c r="F16837" s="34" t="n">
        <f aca="false">IFERROR(VLOOKUP($A16837,'319'!$B:$H,7,0),0)</f>
        <v>0</v>
      </c>
      <c r="G16837" s="34" t="n">
        <f aca="false">SUMIFS('12.326ana'!$C:$C,'12.326ana'!$M:$M,redes!A16837)</f>
        <v>0</v>
      </c>
    </row>
    <row r="16838" customFormat="false" ht="14.4" hidden="true" customHeight="false" outlineLevel="0" collapsed="false">
      <c r="A16838" s="34" t="n">
        <v>34213729000168</v>
      </c>
      <c r="B16838" s="34" t="s">
        <v>31022</v>
      </c>
      <c r="C16838" s="34" t="s">
        <v>77</v>
      </c>
      <c r="E16838" s="30"/>
      <c r="F16838" s="34" t="n">
        <f aca="false">IFERROR(VLOOKUP($A16838,'319'!$B:$H,7,0),0)</f>
        <v>0</v>
      </c>
      <c r="G16838" s="34" t="n">
        <f aca="false">SUMIFS('12.326ana'!$C:$C,'12.326ana'!$M:$M,redes!A16838)</f>
        <v>0</v>
      </c>
    </row>
    <row r="16839" customFormat="false" ht="14.4" hidden="true" customHeight="false" outlineLevel="0" collapsed="false">
      <c r="A16839" s="34" t="n">
        <v>34227886000122</v>
      </c>
      <c r="B16839" s="34" t="s">
        <v>31023</v>
      </c>
      <c r="C16839" s="34" t="s">
        <v>77</v>
      </c>
      <c r="E16839" s="30" t="s">
        <v>31024</v>
      </c>
      <c r="F16839" s="34" t="n">
        <f aca="false">IFERROR(VLOOKUP($A16839,'319'!$B:$H,7,0),0)</f>
        <v>0</v>
      </c>
      <c r="G16839" s="34" t="n">
        <f aca="false">SUMIFS('12.326ana'!$C:$C,'12.326ana'!$M:$M,redes!A16839)</f>
        <v>0</v>
      </c>
    </row>
    <row r="16840" customFormat="false" ht="14.4" hidden="true" customHeight="false" outlineLevel="0" collapsed="false">
      <c r="A16840" s="34" t="n">
        <v>34228952000189</v>
      </c>
      <c r="B16840" s="34" t="s">
        <v>31025</v>
      </c>
      <c r="C16840" s="34" t="s">
        <v>77</v>
      </c>
      <c r="E16840" s="30" t="s">
        <v>31026</v>
      </c>
      <c r="F16840" s="34" t="n">
        <f aca="false">IFERROR(VLOOKUP($A16840,'319'!$B:$H,7,0),0)</f>
        <v>0</v>
      </c>
      <c r="G16840" s="34" t="n">
        <f aca="false">SUMIFS('12.326ana'!$C:$C,'12.326ana'!$M:$M,redes!A16840)</f>
        <v>0</v>
      </c>
    </row>
    <row r="16841" customFormat="false" ht="14.4" hidden="true" customHeight="false" outlineLevel="0" collapsed="false">
      <c r="A16841" s="34" t="n">
        <v>34238516000190</v>
      </c>
      <c r="B16841" s="34" t="s">
        <v>31027</v>
      </c>
      <c r="C16841" s="34" t="s">
        <v>77</v>
      </c>
      <c r="E16841" s="30" t="s">
        <v>31028</v>
      </c>
      <c r="F16841" s="34" t="n">
        <f aca="false">IFERROR(VLOOKUP($A16841,'319'!$B:$H,7,0),0)</f>
        <v>0</v>
      </c>
      <c r="G16841" s="34" t="n">
        <f aca="false">SUMIFS('12.326ana'!$C:$C,'12.326ana'!$M:$M,redes!A16841)</f>
        <v>0</v>
      </c>
    </row>
    <row r="16842" customFormat="false" ht="14.4" hidden="true" customHeight="false" outlineLevel="0" collapsed="false">
      <c r="A16842" s="35" t="n">
        <v>34245630000148</v>
      </c>
      <c r="B16842" s="34" t="s">
        <v>31029</v>
      </c>
      <c r="C16842" s="34" t="s">
        <v>107</v>
      </c>
      <c r="E16842" s="30" t="s">
        <v>31030</v>
      </c>
      <c r="F16842" s="34" t="n">
        <f aca="false">IFERROR(VLOOKUP($A16842,'319'!$B:$H,7,0),0)</f>
        <v>0</v>
      </c>
      <c r="G16842" s="34" t="n">
        <f aca="false">SUMIFS('12.326ana'!$C:$C,'12.326ana'!$M:$M,redes!A16842)</f>
        <v>0</v>
      </c>
    </row>
    <row r="16843" customFormat="false" ht="14.4" hidden="true" customHeight="false" outlineLevel="0" collapsed="false">
      <c r="A16843" s="34" t="n">
        <v>34253169000175</v>
      </c>
      <c r="B16843" s="34" t="s">
        <v>31031</v>
      </c>
      <c r="C16843" s="34" t="s">
        <v>77</v>
      </c>
      <c r="E16843" s="30" t="s">
        <v>17125</v>
      </c>
      <c r="F16843" s="34" t="n">
        <f aca="false">IFERROR(VLOOKUP($A16843,'319'!$B:$H,7,0),0)</f>
        <v>88.6</v>
      </c>
      <c r="G16843" s="34" t="n">
        <f aca="false">SUMIFS('12.326ana'!$C:$C,'12.326ana'!$M:$M,redes!A16843)</f>
        <v>0</v>
      </c>
    </row>
    <row r="16844" customFormat="false" ht="14.4" hidden="true" customHeight="false" outlineLevel="0" collapsed="false">
      <c r="A16844" s="34" t="n">
        <v>34253169000256</v>
      </c>
      <c r="B16844" s="34" t="s">
        <v>31031</v>
      </c>
      <c r="C16844" s="34" t="s">
        <v>77</v>
      </c>
      <c r="E16844" s="30" t="s">
        <v>17125</v>
      </c>
      <c r="F16844" s="34" t="n">
        <f aca="false">IFERROR(VLOOKUP($A16844,'319'!$B:$H,7,0),0)</f>
        <v>0</v>
      </c>
      <c r="G16844" s="34" t="n">
        <f aca="false">SUMIFS('12.326ana'!$C:$C,'12.326ana'!$M:$M,redes!A16844)</f>
        <v>0</v>
      </c>
    </row>
    <row r="16845" customFormat="false" ht="14.4" hidden="true" customHeight="false" outlineLevel="0" collapsed="false">
      <c r="A16845" s="34" t="n">
        <v>34273047000140</v>
      </c>
      <c r="B16845" s="34" t="s">
        <v>31032</v>
      </c>
      <c r="C16845" s="34" t="s">
        <v>77</v>
      </c>
      <c r="E16845" s="30" t="s">
        <v>31033</v>
      </c>
      <c r="F16845" s="34" t="n">
        <f aca="false">IFERROR(VLOOKUP($A16845,'319'!$B:$H,7,0),0)</f>
        <v>0</v>
      </c>
      <c r="G16845" s="34" t="n">
        <f aca="false">SUMIFS('12.326ana'!$C:$C,'12.326ana'!$M:$M,redes!A16845)</f>
        <v>0</v>
      </c>
    </row>
    <row r="16846" customFormat="false" ht="14.4" hidden="true" customHeight="false" outlineLevel="0" collapsed="false">
      <c r="A16846" s="34" t="n">
        <v>34293615000175</v>
      </c>
      <c r="B16846" s="34" t="s">
        <v>31034</v>
      </c>
      <c r="C16846" s="34" t="s">
        <v>77</v>
      </c>
      <c r="E16846" s="30" t="s">
        <v>31035</v>
      </c>
      <c r="F16846" s="34" t="n">
        <f aca="false">IFERROR(VLOOKUP($A16846,'319'!$B:$H,7,0),0)</f>
        <v>0</v>
      </c>
      <c r="G16846" s="34" t="n">
        <f aca="false">SUMIFS('12.326ana'!$C:$C,'12.326ana'!$M:$M,redes!A16846)</f>
        <v>0</v>
      </c>
    </row>
    <row r="16847" customFormat="false" ht="14.4" hidden="true" customHeight="false" outlineLevel="0" collapsed="false">
      <c r="A16847" s="34" t="n">
        <v>34306483000179</v>
      </c>
      <c r="B16847" s="34" t="s">
        <v>31036</v>
      </c>
      <c r="C16847" s="34" t="s">
        <v>77</v>
      </c>
      <c r="E16847" s="30" t="s">
        <v>9840</v>
      </c>
      <c r="F16847" s="34" t="n">
        <f aca="false">IFERROR(VLOOKUP($A16847,'319'!$B:$H,7,0),0)</f>
        <v>0</v>
      </c>
      <c r="G16847" s="34" t="n">
        <f aca="false">SUMIFS('12.326ana'!$C:$C,'12.326ana'!$M:$M,redes!A16847)</f>
        <v>0</v>
      </c>
    </row>
    <row r="16848" customFormat="false" ht="14.4" hidden="true" customHeight="false" outlineLevel="0" collapsed="false">
      <c r="A16848" s="34" t="n">
        <v>34317761000193</v>
      </c>
      <c r="B16848" s="34" t="s">
        <v>31037</v>
      </c>
      <c r="C16848" s="34" t="s">
        <v>842</v>
      </c>
      <c r="E16848" s="30" t="s">
        <v>31038</v>
      </c>
      <c r="F16848" s="34" t="n">
        <f aca="false">IFERROR(VLOOKUP($A16848,'319'!$B:$H,7,0),0)</f>
        <v>0</v>
      </c>
      <c r="G16848" s="34" t="n">
        <f aca="false">SUMIFS('12.326ana'!$C:$C,'12.326ana'!$M:$M,redes!A16848)</f>
        <v>0</v>
      </c>
    </row>
    <row r="16849" customFormat="false" ht="14.4" hidden="true" customHeight="false" outlineLevel="0" collapsed="false">
      <c r="A16849" s="34" t="n">
        <v>34327085000139</v>
      </c>
      <c r="B16849" s="34" t="s">
        <v>31039</v>
      </c>
      <c r="C16849" s="34" t="s">
        <v>77</v>
      </c>
      <c r="E16849" s="30" t="s">
        <v>31040</v>
      </c>
      <c r="F16849" s="34" t="n">
        <f aca="false">IFERROR(VLOOKUP($A16849,'319'!$B:$H,7,0),0)</f>
        <v>0</v>
      </c>
      <c r="G16849" s="34" t="n">
        <f aca="false">SUMIFS('12.326ana'!$C:$C,'12.326ana'!$M:$M,redes!A16849)</f>
        <v>0</v>
      </c>
    </row>
    <row r="16850" customFormat="false" ht="14.4" hidden="true" customHeight="false" outlineLevel="0" collapsed="false">
      <c r="A16850" s="34" t="n">
        <v>34332401000160</v>
      </c>
      <c r="B16850" s="34" t="s">
        <v>31041</v>
      </c>
      <c r="C16850" s="34" t="s">
        <v>77</v>
      </c>
      <c r="E16850" s="30" t="s">
        <v>31042</v>
      </c>
      <c r="F16850" s="34" t="n">
        <f aca="false">IFERROR(VLOOKUP($A16850,'319'!$B:$H,7,0),0)</f>
        <v>0</v>
      </c>
      <c r="G16850" s="34" t="n">
        <f aca="false">SUMIFS('12.326ana'!$C:$C,'12.326ana'!$M:$M,redes!A16850)</f>
        <v>0</v>
      </c>
    </row>
    <row r="16851" customFormat="false" ht="14.4" hidden="true" customHeight="false" outlineLevel="0" collapsed="false">
      <c r="A16851" s="34" t="n">
        <v>34333091000107</v>
      </c>
      <c r="B16851" s="34" t="s">
        <v>31043</v>
      </c>
      <c r="C16851" s="34" t="s">
        <v>77</v>
      </c>
      <c r="E16851" s="30" t="s">
        <v>31044</v>
      </c>
      <c r="F16851" s="34" t="n">
        <f aca="false">IFERROR(VLOOKUP($A16851,'319'!$B:$H,7,0),0)</f>
        <v>0</v>
      </c>
      <c r="G16851" s="34" t="n">
        <f aca="false">SUMIFS('12.326ana'!$C:$C,'12.326ana'!$M:$M,redes!A16851)</f>
        <v>0</v>
      </c>
    </row>
    <row r="16852" customFormat="false" ht="14.4" hidden="true" customHeight="false" outlineLevel="0" collapsed="false">
      <c r="A16852" s="34" t="n">
        <v>34336558000164</v>
      </c>
      <c r="B16852" s="34" t="s">
        <v>31045</v>
      </c>
      <c r="C16852" s="34" t="s">
        <v>604</v>
      </c>
      <c r="E16852" s="30" t="s">
        <v>31045</v>
      </c>
      <c r="F16852" s="34" t="n">
        <f aca="false">IFERROR(VLOOKUP($A16852,'319'!$B:$H,7,0),0)</f>
        <v>0</v>
      </c>
      <c r="G16852" s="34" t="n">
        <f aca="false">SUMIFS('12.326ana'!$C:$C,'12.326ana'!$M:$M,redes!A16852)</f>
        <v>0</v>
      </c>
    </row>
    <row r="16853" customFormat="false" ht="14.4" hidden="true" customHeight="false" outlineLevel="0" collapsed="false">
      <c r="A16853" s="34" t="n">
        <v>34349051000145</v>
      </c>
      <c r="B16853" s="34" t="s">
        <v>31046</v>
      </c>
      <c r="C16853" s="34" t="s">
        <v>935</v>
      </c>
      <c r="E16853" s="30" t="s">
        <v>4630</v>
      </c>
      <c r="F16853" s="34" t="n">
        <f aca="false">IFERROR(VLOOKUP($A16853,'319'!$B:$H,7,0),0)</f>
        <v>0</v>
      </c>
      <c r="G16853" s="34" t="n">
        <f aca="false">SUMIFS('12.326ana'!$C:$C,'12.326ana'!$M:$M,redes!A16853)</f>
        <v>0</v>
      </c>
    </row>
    <row r="16854" customFormat="false" ht="14.4" hidden="true" customHeight="false" outlineLevel="0" collapsed="false">
      <c r="A16854" s="34" t="n">
        <v>34366620000160</v>
      </c>
      <c r="B16854" s="34" t="s">
        <v>31047</v>
      </c>
      <c r="C16854" s="34" t="s">
        <v>139</v>
      </c>
      <c r="E16854" s="30" t="s">
        <v>31048</v>
      </c>
      <c r="F16854" s="34" t="n">
        <f aca="false">IFERROR(VLOOKUP($A16854,'319'!$B:$H,7,0),0)</f>
        <v>0</v>
      </c>
      <c r="G16854" s="34" t="n">
        <f aca="false">SUMIFS('12.326ana'!$C:$C,'12.326ana'!$M:$M,redes!A16854)</f>
        <v>0</v>
      </c>
    </row>
    <row r="16855" customFormat="false" ht="14.4" hidden="true" customHeight="false" outlineLevel="0" collapsed="false">
      <c r="A16855" s="34" t="n">
        <v>34371561000119</v>
      </c>
      <c r="B16855" s="34" t="s">
        <v>31049</v>
      </c>
      <c r="C16855" s="34" t="s">
        <v>3594</v>
      </c>
      <c r="E16855" s="30" t="s">
        <v>31050</v>
      </c>
      <c r="F16855" s="34" t="n">
        <f aca="false">IFERROR(VLOOKUP($A16855,'319'!$B:$H,7,0),0)</f>
        <v>0</v>
      </c>
      <c r="G16855" s="34" t="n">
        <f aca="false">SUMIFS('12.326ana'!$C:$C,'12.326ana'!$M:$M,redes!A16855)</f>
        <v>0</v>
      </c>
    </row>
    <row r="16856" customFormat="false" ht="14.4" hidden="true" customHeight="false" outlineLevel="0" collapsed="false">
      <c r="A16856" s="34" t="n">
        <v>34372319000160</v>
      </c>
      <c r="B16856" s="34" t="s">
        <v>31051</v>
      </c>
      <c r="C16856" s="34" t="s">
        <v>77</v>
      </c>
      <c r="E16856" s="30" t="s">
        <v>31052</v>
      </c>
      <c r="F16856" s="34" t="n">
        <f aca="false">IFERROR(VLOOKUP($A16856,'319'!$B:$H,7,0),0)</f>
        <v>0</v>
      </c>
      <c r="G16856" s="34" t="n">
        <f aca="false">SUMIFS('12.326ana'!$C:$C,'12.326ana'!$M:$M,redes!A16856)</f>
        <v>0</v>
      </c>
    </row>
    <row r="16857" customFormat="false" ht="14.4" hidden="true" customHeight="false" outlineLevel="0" collapsed="false">
      <c r="A16857" s="34" t="n">
        <v>34376272000293</v>
      </c>
      <c r="B16857" s="34" t="s">
        <v>31053</v>
      </c>
      <c r="C16857" s="34" t="s">
        <v>77</v>
      </c>
      <c r="E16857" s="30" t="s">
        <v>31054</v>
      </c>
      <c r="F16857" s="34" t="n">
        <f aca="false">IFERROR(VLOOKUP($A16857,'319'!$B:$H,7,0),0)</f>
        <v>0</v>
      </c>
      <c r="G16857" s="34" t="n">
        <f aca="false">SUMIFS('12.326ana'!$C:$C,'12.326ana'!$M:$M,redes!A16857)</f>
        <v>0</v>
      </c>
    </row>
    <row r="16858" customFormat="false" ht="14.4" hidden="true" customHeight="false" outlineLevel="0" collapsed="false">
      <c r="A16858" s="35" t="n">
        <v>34379816000190</v>
      </c>
      <c r="B16858" s="34" t="s">
        <v>31055</v>
      </c>
      <c r="C16858" s="34" t="s">
        <v>77</v>
      </c>
      <c r="E16858" s="30" t="s">
        <v>31056</v>
      </c>
      <c r="F16858" s="34" t="n">
        <f aca="false">IFERROR(VLOOKUP($A16858,'319'!$B:$H,7,0),0)</f>
        <v>0</v>
      </c>
      <c r="G16858" s="34" t="n">
        <f aca="false">SUMIFS('12.326ana'!$C:$C,'12.326ana'!$M:$M,redes!A16858)</f>
        <v>0</v>
      </c>
    </row>
    <row r="16859" customFormat="false" ht="14.4" hidden="true" customHeight="false" outlineLevel="0" collapsed="false">
      <c r="A16859" s="34" t="n">
        <v>34385842000120</v>
      </c>
      <c r="B16859" s="34" t="s">
        <v>31057</v>
      </c>
      <c r="C16859" s="34" t="s">
        <v>781</v>
      </c>
      <c r="E16859" s="30" t="s">
        <v>31058</v>
      </c>
      <c r="F16859" s="34" t="n">
        <f aca="false">IFERROR(VLOOKUP($A16859,'319'!$B:$H,7,0),0)</f>
        <v>0</v>
      </c>
      <c r="G16859" s="34" t="n">
        <f aca="false">SUMIFS('12.326ana'!$C:$C,'12.326ana'!$M:$M,redes!A16859)</f>
        <v>0</v>
      </c>
    </row>
    <row r="16860" customFormat="false" ht="14.4" hidden="true" customHeight="false" outlineLevel="0" collapsed="false">
      <c r="A16860" s="34" t="n">
        <v>34386127000102</v>
      </c>
      <c r="B16860" s="34" t="s">
        <v>31059</v>
      </c>
      <c r="C16860" s="34" t="s">
        <v>103</v>
      </c>
      <c r="E16860" s="30" t="s">
        <v>31060</v>
      </c>
      <c r="F16860" s="34" t="n">
        <f aca="false">IFERROR(VLOOKUP($A16860,'319'!$B:$H,7,0),0)</f>
        <v>0</v>
      </c>
      <c r="G16860" s="34" t="n">
        <f aca="false">SUMIFS('12.326ana'!$C:$C,'12.326ana'!$M:$M,redes!A16860)</f>
        <v>0</v>
      </c>
    </row>
    <row r="16861" customFormat="false" ht="14.4" hidden="true" customHeight="false" outlineLevel="0" collapsed="false">
      <c r="A16861" s="34" t="n">
        <v>34386127000293</v>
      </c>
      <c r="B16861" s="34" t="s">
        <v>31061</v>
      </c>
      <c r="C16861" s="34" t="s">
        <v>103</v>
      </c>
      <c r="E16861" s="30" t="s">
        <v>31062</v>
      </c>
      <c r="F16861" s="34" t="n">
        <f aca="false">IFERROR(VLOOKUP($A16861,'319'!$B:$H,7,0),0)</f>
        <v>0</v>
      </c>
      <c r="G16861" s="34" t="n">
        <f aca="false">SUMIFS('12.326ana'!$C:$C,'12.326ana'!$M:$M,redes!A16861)</f>
        <v>0</v>
      </c>
    </row>
    <row r="16862" customFormat="false" ht="14.4" hidden="true" customHeight="false" outlineLevel="0" collapsed="false">
      <c r="A16862" s="34" t="n">
        <v>34394173000153</v>
      </c>
      <c r="B16862" s="34" t="s">
        <v>31063</v>
      </c>
      <c r="C16862" s="34" t="s">
        <v>77</v>
      </c>
      <c r="E16862" s="30" t="s">
        <v>31064</v>
      </c>
      <c r="F16862" s="34" t="n">
        <f aca="false">IFERROR(VLOOKUP($A16862,'319'!$B:$H,7,0),0)</f>
        <v>0</v>
      </c>
      <c r="G16862" s="34" t="n">
        <f aca="false">SUMIFS('12.326ana'!$C:$C,'12.326ana'!$M:$M,redes!A16862)</f>
        <v>0</v>
      </c>
    </row>
    <row r="16863" customFormat="false" ht="14.4" hidden="true" customHeight="false" outlineLevel="0" collapsed="false">
      <c r="A16863" s="34" t="n">
        <v>34395366000129</v>
      </c>
      <c r="B16863" s="34" t="s">
        <v>1235</v>
      </c>
      <c r="C16863" s="34" t="s">
        <v>604</v>
      </c>
      <c r="E16863" s="30" t="s">
        <v>31065</v>
      </c>
      <c r="F16863" s="34" t="n">
        <f aca="false">IFERROR(VLOOKUP($A16863,'319'!$B:$H,7,0),0)</f>
        <v>298.51</v>
      </c>
      <c r="G16863" s="34" t="n">
        <f aca="false">SUMIFS('12.326ana'!$C:$C,'12.326ana'!$M:$M,redes!A16863)</f>
        <v>0</v>
      </c>
    </row>
    <row r="16864" customFormat="false" ht="14.4" hidden="true" customHeight="false" outlineLevel="0" collapsed="false">
      <c r="A16864" s="34" t="n">
        <v>34398041000108</v>
      </c>
      <c r="B16864" s="34" t="s">
        <v>1326</v>
      </c>
      <c r="C16864" s="34" t="s">
        <v>631</v>
      </c>
      <c r="E16864" s="30" t="s">
        <v>31066</v>
      </c>
      <c r="F16864" s="34" t="n">
        <f aca="false">IFERROR(VLOOKUP($A16864,'319'!$B:$H,7,0),0)</f>
        <v>253.51</v>
      </c>
      <c r="G16864" s="34" t="n">
        <f aca="false">SUMIFS('12.326ana'!$C:$C,'12.326ana'!$M:$M,redes!A16864)</f>
        <v>0</v>
      </c>
    </row>
    <row r="16865" customFormat="false" ht="14.4" hidden="true" customHeight="false" outlineLevel="0" collapsed="false">
      <c r="A16865" s="34" t="n">
        <v>34414288000162</v>
      </c>
      <c r="B16865" s="34" t="s">
        <v>31067</v>
      </c>
      <c r="C16865" s="34" t="s">
        <v>77</v>
      </c>
      <c r="E16865" s="30" t="s">
        <v>31068</v>
      </c>
      <c r="F16865" s="34" t="n">
        <f aca="false">IFERROR(VLOOKUP($A16865,'319'!$B:$H,7,0),0)</f>
        <v>0</v>
      </c>
      <c r="G16865" s="34" t="n">
        <f aca="false">SUMIFS('12.326ana'!$C:$C,'12.326ana'!$M:$M,redes!A16865)</f>
        <v>0</v>
      </c>
    </row>
    <row r="16866" customFormat="false" ht="14.4" hidden="true" customHeight="false" outlineLevel="0" collapsed="false">
      <c r="A16866" s="34" t="n">
        <v>34415122000160</v>
      </c>
      <c r="B16866" s="34" t="s">
        <v>31069</v>
      </c>
      <c r="C16866" s="34" t="s">
        <v>77</v>
      </c>
      <c r="E16866" s="30" t="s">
        <v>31070</v>
      </c>
      <c r="F16866" s="34" t="n">
        <f aca="false">IFERROR(VLOOKUP($A16866,'319'!$B:$H,7,0),0)</f>
        <v>0</v>
      </c>
      <c r="G16866" s="34" t="n">
        <f aca="false">SUMIFS('12.326ana'!$C:$C,'12.326ana'!$M:$M,redes!A16866)</f>
        <v>0</v>
      </c>
    </row>
    <row r="16867" customFormat="false" ht="14.4" hidden="true" customHeight="false" outlineLevel="0" collapsed="false">
      <c r="A16867" s="34" t="n">
        <v>34422548000141</v>
      </c>
      <c r="B16867" s="34" t="s">
        <v>31071</v>
      </c>
      <c r="C16867" s="34" t="s">
        <v>77</v>
      </c>
      <c r="E16867" s="30" t="s">
        <v>11123</v>
      </c>
      <c r="F16867" s="34" t="n">
        <f aca="false">IFERROR(VLOOKUP($A16867,'319'!$B:$H,7,0),0)</f>
        <v>0</v>
      </c>
      <c r="G16867" s="34" t="n">
        <f aca="false">SUMIFS('12.326ana'!$C:$C,'12.326ana'!$M:$M,redes!A16867)</f>
        <v>0</v>
      </c>
    </row>
    <row r="16868" customFormat="false" ht="14.4" hidden="true" customHeight="false" outlineLevel="0" collapsed="false">
      <c r="A16868" s="34" t="n">
        <v>34432961000197</v>
      </c>
      <c r="B16868" s="34" t="s">
        <v>31072</v>
      </c>
      <c r="C16868" s="34" t="s">
        <v>192</v>
      </c>
      <c r="E16868" s="30" t="s">
        <v>31073</v>
      </c>
      <c r="F16868" s="34" t="n">
        <f aca="false">IFERROR(VLOOKUP($A16868,'319'!$B:$H,7,0),0)</f>
        <v>0</v>
      </c>
      <c r="G16868" s="34" t="n">
        <f aca="false">SUMIFS('12.326ana'!$C:$C,'12.326ana'!$M:$M,redes!A16868)</f>
        <v>0</v>
      </c>
    </row>
    <row r="16869" customFormat="false" ht="14.4" hidden="true" customHeight="false" outlineLevel="0" collapsed="false">
      <c r="A16869" s="34" t="n">
        <v>34433248000168</v>
      </c>
      <c r="B16869" s="34" t="s">
        <v>31074</v>
      </c>
      <c r="C16869" s="34" t="s">
        <v>139</v>
      </c>
      <c r="E16869" s="30" t="s">
        <v>31075</v>
      </c>
      <c r="F16869" s="34" t="n">
        <f aca="false">IFERROR(VLOOKUP($A16869,'319'!$B:$H,7,0),0)</f>
        <v>0</v>
      </c>
      <c r="G16869" s="34" t="n">
        <f aca="false">SUMIFS('12.326ana'!$C:$C,'12.326ana'!$M:$M,redes!A16869)</f>
        <v>0</v>
      </c>
    </row>
    <row r="16870" customFormat="false" ht="14.4" hidden="true" customHeight="false" outlineLevel="0" collapsed="false">
      <c r="A16870" s="34" t="n">
        <v>34437771000162</v>
      </c>
      <c r="B16870" s="34" t="s">
        <v>31076</v>
      </c>
      <c r="C16870" s="34" t="s">
        <v>103</v>
      </c>
      <c r="E16870" s="30" t="s">
        <v>20160</v>
      </c>
      <c r="F16870" s="34" t="n">
        <f aca="false">IFERROR(VLOOKUP($A16870,'319'!$B:$H,7,0),0)</f>
        <v>0</v>
      </c>
      <c r="G16870" s="34" t="n">
        <f aca="false">SUMIFS('12.326ana'!$C:$C,'12.326ana'!$M:$M,redes!A16870)</f>
        <v>0</v>
      </c>
    </row>
    <row r="16871" customFormat="false" ht="14.4" hidden="true" customHeight="false" outlineLevel="0" collapsed="false">
      <c r="A16871" s="34" t="n">
        <v>34438873000100</v>
      </c>
      <c r="B16871" s="34" t="s">
        <v>31077</v>
      </c>
      <c r="C16871" s="34" t="s">
        <v>77</v>
      </c>
      <c r="E16871" s="30" t="s">
        <v>31078</v>
      </c>
      <c r="F16871" s="34" t="n">
        <f aca="false">IFERROR(VLOOKUP($A16871,'319'!$B:$H,7,0),0)</f>
        <v>0</v>
      </c>
      <c r="G16871" s="34" t="n">
        <f aca="false">SUMIFS('12.326ana'!$C:$C,'12.326ana'!$M:$M,redes!A16871)</f>
        <v>0</v>
      </c>
    </row>
    <row r="16872" customFormat="false" ht="14.4" hidden="true" customHeight="false" outlineLevel="0" collapsed="false">
      <c r="A16872" s="34" t="n">
        <v>34458628000157</v>
      </c>
      <c r="B16872" s="34" t="s">
        <v>31079</v>
      </c>
      <c r="C16872" s="34" t="s">
        <v>957</v>
      </c>
      <c r="E16872" s="30" t="s">
        <v>26944</v>
      </c>
      <c r="F16872" s="34" t="n">
        <f aca="false">IFERROR(VLOOKUP($A16872,'319'!$B:$H,7,0),0)</f>
        <v>0</v>
      </c>
      <c r="G16872" s="34" t="n">
        <f aca="false">SUMIFS('12.326ana'!$C:$C,'12.326ana'!$M:$M,redes!A16872)</f>
        <v>0</v>
      </c>
    </row>
    <row r="16873" customFormat="false" ht="14.4" hidden="true" customHeight="false" outlineLevel="0" collapsed="false">
      <c r="A16873" s="34" t="n">
        <v>34460970000191</v>
      </c>
      <c r="B16873" s="34" t="s">
        <v>31080</v>
      </c>
      <c r="C16873" s="34" t="s">
        <v>77</v>
      </c>
      <c r="E16873" s="30" t="s">
        <v>31081</v>
      </c>
      <c r="F16873" s="34" t="n">
        <f aca="false">IFERROR(VLOOKUP($A16873,'319'!$B:$H,7,0),0)</f>
        <v>0</v>
      </c>
      <c r="G16873" s="34" t="n">
        <f aca="false">SUMIFS('12.326ana'!$C:$C,'12.326ana'!$M:$M,redes!A16873)</f>
        <v>0</v>
      </c>
    </row>
    <row r="16874" customFormat="false" ht="14.4" hidden="true" customHeight="false" outlineLevel="0" collapsed="false">
      <c r="A16874" s="34" t="n">
        <v>34475648000136</v>
      </c>
      <c r="B16874" s="34" t="s">
        <v>31082</v>
      </c>
      <c r="C16874" s="34" t="s">
        <v>207</v>
      </c>
      <c r="E16874" s="30" t="s">
        <v>27907</v>
      </c>
      <c r="F16874" s="34" t="n">
        <f aca="false">IFERROR(VLOOKUP($A16874,'319'!$B:$H,7,0),0)</f>
        <v>0</v>
      </c>
      <c r="G16874" s="34" t="n">
        <f aca="false">SUMIFS('12.326ana'!$C:$C,'12.326ana'!$M:$M,redes!A16874)</f>
        <v>0</v>
      </c>
    </row>
    <row r="16875" customFormat="false" ht="14.4" hidden="true" customHeight="false" outlineLevel="0" collapsed="false">
      <c r="A16875" s="34" t="n">
        <v>34480402000152</v>
      </c>
      <c r="B16875" s="34" t="s">
        <v>31083</v>
      </c>
      <c r="C16875" s="34" t="s">
        <v>89</v>
      </c>
      <c r="E16875" s="30" t="s">
        <v>31084</v>
      </c>
      <c r="F16875" s="34" t="n">
        <f aca="false">IFERROR(VLOOKUP($A16875,'319'!$B:$H,7,0),0)</f>
        <v>0</v>
      </c>
      <c r="G16875" s="34" t="n">
        <f aca="false">SUMIFS('12.326ana'!$C:$C,'12.326ana'!$M:$M,redes!A16875)</f>
        <v>0</v>
      </c>
    </row>
    <row r="16876" customFormat="false" ht="14.4" hidden="true" customHeight="false" outlineLevel="0" collapsed="false">
      <c r="A16876" s="34" t="n">
        <v>34497639000146</v>
      </c>
      <c r="B16876" s="34" t="s">
        <v>31085</v>
      </c>
      <c r="C16876" s="34" t="s">
        <v>631</v>
      </c>
      <c r="E16876" s="30" t="s">
        <v>31085</v>
      </c>
      <c r="F16876" s="34" t="n">
        <f aca="false">IFERROR(VLOOKUP($A16876,'319'!$B:$H,7,0),0)</f>
        <v>0</v>
      </c>
      <c r="G16876" s="34" t="n">
        <f aca="false">SUMIFS('12.326ana'!$C:$C,'12.326ana'!$M:$M,redes!A16876)</f>
        <v>0</v>
      </c>
    </row>
    <row r="16877" customFormat="false" ht="14.4" hidden="true" customHeight="false" outlineLevel="0" collapsed="false">
      <c r="A16877" s="34" t="n">
        <v>34498500000117</v>
      </c>
      <c r="B16877" s="34" t="s">
        <v>31086</v>
      </c>
      <c r="C16877" s="34" t="s">
        <v>77</v>
      </c>
      <c r="E16877" s="30" t="s">
        <v>31087</v>
      </c>
      <c r="F16877" s="34" t="n">
        <f aca="false">IFERROR(VLOOKUP($A16877,'319'!$B:$H,7,0),0)</f>
        <v>0</v>
      </c>
      <c r="G16877" s="34" t="n">
        <f aca="false">SUMIFS('12.326ana'!$C:$C,'12.326ana'!$M:$M,redes!A16877)</f>
        <v>0</v>
      </c>
    </row>
    <row r="16878" customFormat="false" ht="14.4" hidden="true" customHeight="false" outlineLevel="0" collapsed="false">
      <c r="A16878" s="34" t="n">
        <v>34500242000166</v>
      </c>
      <c r="B16878" s="34" t="s">
        <v>31088</v>
      </c>
      <c r="C16878" s="34" t="s">
        <v>994</v>
      </c>
      <c r="E16878" s="30" t="s">
        <v>31089</v>
      </c>
      <c r="F16878" s="34" t="n">
        <f aca="false">IFERROR(VLOOKUP($A16878,'319'!$B:$H,7,0),0)</f>
        <v>0</v>
      </c>
      <c r="G16878" s="34" t="n">
        <f aca="false">SUMIFS('12.326ana'!$C:$C,'12.326ana'!$M:$M,redes!A16878)</f>
        <v>0</v>
      </c>
    </row>
    <row r="16879" customFormat="false" ht="14.4" hidden="true" customHeight="false" outlineLevel="0" collapsed="false">
      <c r="A16879" s="34" t="n">
        <v>34510718000140</v>
      </c>
      <c r="B16879" s="34" t="s">
        <v>31090</v>
      </c>
      <c r="C16879" s="34" t="s">
        <v>77</v>
      </c>
      <c r="E16879" s="30" t="s">
        <v>31091</v>
      </c>
      <c r="F16879" s="34" t="n">
        <f aca="false">IFERROR(VLOOKUP($A16879,'319'!$B:$H,7,0),0)</f>
        <v>0</v>
      </c>
      <c r="G16879" s="34" t="n">
        <f aca="false">SUMIFS('12.326ana'!$C:$C,'12.326ana'!$M:$M,redes!A16879)</f>
        <v>0</v>
      </c>
    </row>
    <row r="16880" customFormat="false" ht="14.4" hidden="true" customHeight="false" outlineLevel="0" collapsed="false">
      <c r="A16880" s="34" t="n">
        <v>34512579000193</v>
      </c>
      <c r="B16880" s="34" t="s">
        <v>31092</v>
      </c>
      <c r="C16880" s="34" t="s">
        <v>107</v>
      </c>
      <c r="E16880" s="30" t="s">
        <v>31093</v>
      </c>
      <c r="F16880" s="34" t="n">
        <f aca="false">IFERROR(VLOOKUP($A16880,'319'!$B:$H,7,0),0)</f>
        <v>0</v>
      </c>
      <c r="G16880" s="34" t="n">
        <f aca="false">SUMIFS('12.326ana'!$C:$C,'12.326ana'!$M:$M,redes!A16880)</f>
        <v>0</v>
      </c>
    </row>
    <row r="16881" customFormat="false" ht="14.4" hidden="true" customHeight="false" outlineLevel="0" collapsed="false">
      <c r="A16881" s="34" t="n">
        <v>34538622000190</v>
      </c>
      <c r="B16881" s="34" t="s">
        <v>31094</v>
      </c>
      <c r="C16881" s="34" t="s">
        <v>77</v>
      </c>
      <c r="E16881" s="30" t="s">
        <v>27990</v>
      </c>
      <c r="F16881" s="34" t="n">
        <f aca="false">IFERROR(VLOOKUP($A16881,'319'!$B:$H,7,0),0)</f>
        <v>0</v>
      </c>
      <c r="G16881" s="34" t="n">
        <f aca="false">SUMIFS('12.326ana'!$C:$C,'12.326ana'!$M:$M,redes!A16881)</f>
        <v>0</v>
      </c>
    </row>
    <row r="16882" customFormat="false" ht="14.4" hidden="true" customHeight="false" outlineLevel="0" collapsed="false">
      <c r="A16882" s="34" t="n">
        <v>34555769000198</v>
      </c>
      <c r="B16882" s="34" t="s">
        <v>21873</v>
      </c>
      <c r="C16882" s="34" t="s">
        <v>342</v>
      </c>
      <c r="E16882" s="30" t="s">
        <v>23389</v>
      </c>
      <c r="F16882" s="34" t="n">
        <f aca="false">IFERROR(VLOOKUP($A16882,'319'!$B:$H,7,0),0)</f>
        <v>0</v>
      </c>
      <c r="G16882" s="34" t="n">
        <f aca="false">SUMIFS('12.326ana'!$C:$C,'12.326ana'!$M:$M,redes!A16882)</f>
        <v>0</v>
      </c>
    </row>
    <row r="16883" customFormat="false" ht="14.4" hidden="true" customHeight="false" outlineLevel="0" collapsed="false">
      <c r="A16883" s="34" t="n">
        <v>34565893000134</v>
      </c>
      <c r="B16883" s="34" t="s">
        <v>31095</v>
      </c>
      <c r="C16883" s="34" t="s">
        <v>77</v>
      </c>
      <c r="E16883" s="30" t="s">
        <v>13216</v>
      </c>
      <c r="F16883" s="34" t="n">
        <f aca="false">IFERROR(VLOOKUP($A16883,'319'!$B:$H,7,0),0)</f>
        <v>0</v>
      </c>
      <c r="G16883" s="34" t="n">
        <f aca="false">SUMIFS('12.326ana'!$C:$C,'12.326ana'!$M:$M,redes!A16883)</f>
        <v>0</v>
      </c>
    </row>
    <row r="16884" customFormat="false" ht="14.4" hidden="true" customHeight="false" outlineLevel="0" collapsed="false">
      <c r="A16884" s="34" t="n">
        <v>34565893000215</v>
      </c>
      <c r="B16884" s="34" t="s">
        <v>31095</v>
      </c>
      <c r="C16884" s="34" t="s">
        <v>77</v>
      </c>
      <c r="E16884" s="30" t="s">
        <v>31096</v>
      </c>
      <c r="F16884" s="34" t="n">
        <f aca="false">IFERROR(VLOOKUP($A16884,'319'!$B:$H,7,0),0)</f>
        <v>0</v>
      </c>
      <c r="G16884" s="34" t="n">
        <f aca="false">SUMIFS('12.326ana'!$C:$C,'12.326ana'!$M:$M,redes!A16884)</f>
        <v>0</v>
      </c>
    </row>
    <row r="16885" customFormat="false" ht="14.4" hidden="true" customHeight="false" outlineLevel="0" collapsed="false">
      <c r="A16885" s="34" t="n">
        <v>34574094000124</v>
      </c>
      <c r="B16885" s="34" t="s">
        <v>31097</v>
      </c>
      <c r="C16885" s="34" t="s">
        <v>77</v>
      </c>
      <c r="E16885" s="30" t="s">
        <v>31098</v>
      </c>
      <c r="F16885" s="34" t="n">
        <f aca="false">IFERROR(VLOOKUP($A16885,'319'!$B:$H,7,0),0)</f>
        <v>0</v>
      </c>
      <c r="G16885" s="34" t="n">
        <f aca="false">SUMIFS('12.326ana'!$C:$C,'12.326ana'!$M:$M,redes!A16885)</f>
        <v>0</v>
      </c>
    </row>
    <row r="16886" customFormat="false" ht="14.4" hidden="true" customHeight="false" outlineLevel="0" collapsed="false">
      <c r="A16886" s="34" t="n">
        <v>34577374000196</v>
      </c>
      <c r="B16886" s="34" t="s">
        <v>31099</v>
      </c>
      <c r="C16886" s="34" t="s">
        <v>357</v>
      </c>
      <c r="E16886" s="30" t="s">
        <v>31100</v>
      </c>
      <c r="F16886" s="34" t="n">
        <f aca="false">IFERROR(VLOOKUP($A16886,'319'!$B:$H,7,0),0)</f>
        <v>0</v>
      </c>
      <c r="G16886" s="34" t="n">
        <f aca="false">SUMIFS('12.326ana'!$C:$C,'12.326ana'!$M:$M,redes!A16886)</f>
        <v>0</v>
      </c>
    </row>
    <row r="16887" customFormat="false" ht="14.4" hidden="true" customHeight="false" outlineLevel="0" collapsed="false">
      <c r="A16887" s="34" t="n">
        <v>34599673000121</v>
      </c>
      <c r="B16887" s="34" t="s">
        <v>31101</v>
      </c>
      <c r="C16887" s="34" t="s">
        <v>107</v>
      </c>
      <c r="E16887" s="30" t="s">
        <v>31102</v>
      </c>
      <c r="F16887" s="34" t="n">
        <f aca="false">IFERROR(VLOOKUP($A16887,'319'!$B:$H,7,0),0)</f>
        <v>0</v>
      </c>
      <c r="G16887" s="34" t="n">
        <f aca="false">SUMIFS('12.326ana'!$C:$C,'12.326ana'!$M:$M,redes!A16887)</f>
        <v>0</v>
      </c>
    </row>
    <row r="16888" customFormat="false" ht="14.4" hidden="true" customHeight="false" outlineLevel="0" collapsed="false">
      <c r="A16888" s="34" t="n">
        <v>34605009000148</v>
      </c>
      <c r="B16888" s="34" t="s">
        <v>31103</v>
      </c>
      <c r="C16888" s="34" t="s">
        <v>299</v>
      </c>
      <c r="E16888" s="30" t="s">
        <v>31104</v>
      </c>
      <c r="F16888" s="34" t="n">
        <f aca="false">IFERROR(VLOOKUP($A16888,'319'!$B:$H,7,0),0)</f>
        <v>0</v>
      </c>
      <c r="G16888" s="34" t="n">
        <f aca="false">SUMIFS('12.326ana'!$C:$C,'12.326ana'!$M:$M,redes!A16888)</f>
        <v>0</v>
      </c>
    </row>
    <row r="16889" customFormat="false" ht="14.4" hidden="true" customHeight="false" outlineLevel="0" collapsed="false">
      <c r="A16889" s="34" t="n">
        <v>34631393000153</v>
      </c>
      <c r="B16889" s="34" t="s">
        <v>31105</v>
      </c>
      <c r="C16889" s="34" t="s">
        <v>77</v>
      </c>
      <c r="E16889" s="30" t="s">
        <v>31105</v>
      </c>
      <c r="F16889" s="34" t="n">
        <f aca="false">IFERROR(VLOOKUP($A16889,'319'!$B:$H,7,0),0)</f>
        <v>0</v>
      </c>
      <c r="G16889" s="34" t="n">
        <f aca="false">SUMIFS('12.326ana'!$C:$C,'12.326ana'!$M:$M,redes!A16889)</f>
        <v>0</v>
      </c>
    </row>
    <row r="16890" customFormat="false" ht="14.4" hidden="true" customHeight="false" outlineLevel="0" collapsed="false">
      <c r="A16890" s="34" t="n">
        <v>34633737000163</v>
      </c>
      <c r="B16890" s="34" t="s">
        <v>31106</v>
      </c>
      <c r="C16890" s="34" t="s">
        <v>296</v>
      </c>
      <c r="E16890" s="30" t="s">
        <v>3337</v>
      </c>
      <c r="F16890" s="34" t="n">
        <f aca="false">IFERROR(VLOOKUP($A16890,'319'!$B:$H,7,0),0)</f>
        <v>0</v>
      </c>
      <c r="G16890" s="34" t="n">
        <f aca="false">SUMIFS('12.326ana'!$C:$C,'12.326ana'!$M:$M,redes!A16890)</f>
        <v>0</v>
      </c>
    </row>
    <row r="16891" customFormat="false" ht="14.4" hidden="true" customHeight="false" outlineLevel="0" collapsed="false">
      <c r="A16891" s="34" t="n">
        <v>34645870000130</v>
      </c>
      <c r="B16891" s="34" t="s">
        <v>31107</v>
      </c>
      <c r="C16891" s="34" t="s">
        <v>979</v>
      </c>
      <c r="E16891" s="30" t="s">
        <v>31108</v>
      </c>
      <c r="F16891" s="34" t="n">
        <f aca="false">IFERROR(VLOOKUP($A16891,'319'!$B:$H,7,0),0)</f>
        <v>0</v>
      </c>
      <c r="G16891" s="34" t="n">
        <f aca="false">SUMIFS('12.326ana'!$C:$C,'12.326ana'!$M:$M,redes!A16891)</f>
        <v>0</v>
      </c>
    </row>
    <row r="16892" customFormat="false" ht="14.4" hidden="true" customHeight="false" outlineLevel="0" collapsed="false">
      <c r="A16892" s="34" t="n">
        <v>34649478000169</v>
      </c>
      <c r="B16892" s="34" t="s">
        <v>31109</v>
      </c>
      <c r="C16892" s="34" t="s">
        <v>103</v>
      </c>
      <c r="E16892" s="30" t="s">
        <v>8070</v>
      </c>
      <c r="F16892" s="34" t="n">
        <f aca="false">IFERROR(VLOOKUP($A16892,'319'!$B:$H,7,0),0)</f>
        <v>0</v>
      </c>
      <c r="G16892" s="34" t="n">
        <f aca="false">SUMIFS('12.326ana'!$C:$C,'12.326ana'!$M:$M,redes!A16892)</f>
        <v>0</v>
      </c>
    </row>
    <row r="16893" customFormat="false" ht="14.4" hidden="true" customHeight="false" outlineLevel="0" collapsed="false">
      <c r="A16893" s="34" t="n">
        <v>34650741000130</v>
      </c>
      <c r="B16893" s="34" t="s">
        <v>31110</v>
      </c>
      <c r="C16893" s="34" t="s">
        <v>89</v>
      </c>
      <c r="E16893" s="30" t="s">
        <v>31111</v>
      </c>
      <c r="F16893" s="34" t="n">
        <f aca="false">IFERROR(VLOOKUP($A16893,'319'!$B:$H,7,0),0)</f>
        <v>0</v>
      </c>
      <c r="G16893" s="34" t="n">
        <f aca="false">SUMIFS('12.326ana'!$C:$C,'12.326ana'!$M:$M,redes!A16893)</f>
        <v>0</v>
      </c>
    </row>
    <row r="16894" customFormat="false" ht="14.4" hidden="true" customHeight="false" outlineLevel="0" collapsed="false">
      <c r="A16894" s="34" t="n">
        <v>34653893000196</v>
      </c>
      <c r="B16894" s="34" t="s">
        <v>31112</v>
      </c>
      <c r="C16894" s="34" t="s">
        <v>77</v>
      </c>
      <c r="E16894" s="30" t="s">
        <v>31113</v>
      </c>
      <c r="F16894" s="34" t="n">
        <f aca="false">IFERROR(VLOOKUP($A16894,'319'!$B:$H,7,0),0)</f>
        <v>0</v>
      </c>
      <c r="G16894" s="34" t="n">
        <f aca="false">SUMIFS('12.326ana'!$C:$C,'12.326ana'!$M:$M,redes!A16894)</f>
        <v>0</v>
      </c>
    </row>
    <row r="16895" customFormat="false" ht="14.4" hidden="true" customHeight="false" outlineLevel="0" collapsed="false">
      <c r="A16895" s="34" t="n">
        <v>34662878000104</v>
      </c>
      <c r="B16895" s="34" t="s">
        <v>31114</v>
      </c>
      <c r="C16895" s="34" t="s">
        <v>89</v>
      </c>
      <c r="E16895" s="30" t="s">
        <v>23196</v>
      </c>
      <c r="F16895" s="34" t="n">
        <f aca="false">IFERROR(VLOOKUP($A16895,'319'!$B:$H,7,0),0)</f>
        <v>588.69</v>
      </c>
      <c r="G16895" s="34" t="n">
        <f aca="false">SUMIFS('12.326ana'!$C:$C,'12.326ana'!$M:$M,redes!A16895)</f>
        <v>0</v>
      </c>
    </row>
    <row r="16896" customFormat="false" ht="14.4" hidden="true" customHeight="false" outlineLevel="0" collapsed="false">
      <c r="A16896" s="34" t="n">
        <v>34681995000115</v>
      </c>
      <c r="B16896" s="34" t="s">
        <v>31115</v>
      </c>
      <c r="C16896" s="34" t="s">
        <v>77</v>
      </c>
      <c r="E16896" s="30" t="s">
        <v>31116</v>
      </c>
      <c r="F16896" s="34" t="n">
        <f aca="false">IFERROR(VLOOKUP($A16896,'319'!$B:$H,7,0),0)</f>
        <v>0</v>
      </c>
      <c r="G16896" s="34" t="n">
        <f aca="false">SUMIFS('12.326ana'!$C:$C,'12.326ana'!$M:$M,redes!A16896)</f>
        <v>0</v>
      </c>
    </row>
    <row r="16897" customFormat="false" ht="14.4" hidden="true" customHeight="false" outlineLevel="0" collapsed="false">
      <c r="A16897" s="34" t="n">
        <v>34683531000148</v>
      </c>
      <c r="B16897" s="34" t="s">
        <v>31117</v>
      </c>
      <c r="C16897" s="34" t="s">
        <v>77</v>
      </c>
      <c r="E16897" s="30" t="s">
        <v>31118</v>
      </c>
      <c r="F16897" s="34" t="n">
        <f aca="false">IFERROR(VLOOKUP($A16897,'319'!$B:$H,7,0),0)</f>
        <v>0</v>
      </c>
      <c r="G16897" s="34" t="n">
        <f aca="false">SUMIFS('12.326ana'!$C:$C,'12.326ana'!$M:$M,redes!A16897)</f>
        <v>0</v>
      </c>
    </row>
    <row r="16898" customFormat="false" ht="14.4" hidden="true" customHeight="false" outlineLevel="0" collapsed="false">
      <c r="A16898" s="34" t="n">
        <v>34707413000122</v>
      </c>
      <c r="B16898" s="34" t="s">
        <v>31119</v>
      </c>
      <c r="C16898" s="34" t="s">
        <v>935</v>
      </c>
      <c r="E16898" s="30" t="s">
        <v>31120</v>
      </c>
      <c r="F16898" s="34" t="n">
        <f aca="false">IFERROR(VLOOKUP($A16898,'319'!$B:$H,7,0),0)</f>
        <v>0</v>
      </c>
      <c r="G16898" s="34" t="n">
        <f aca="false">SUMIFS('12.326ana'!$C:$C,'12.326ana'!$M:$M,redes!A16898)</f>
        <v>0</v>
      </c>
    </row>
    <row r="16899" customFormat="false" ht="14.4" hidden="true" customHeight="false" outlineLevel="0" collapsed="false">
      <c r="A16899" s="34" t="n">
        <v>34714641000120</v>
      </c>
      <c r="B16899" s="34" t="s">
        <v>31121</v>
      </c>
      <c r="C16899" s="34" t="s">
        <v>77</v>
      </c>
      <c r="E16899" s="30" t="s">
        <v>31122</v>
      </c>
      <c r="F16899" s="34" t="n">
        <f aca="false">IFERROR(VLOOKUP($A16899,'319'!$B:$H,7,0),0)</f>
        <v>0</v>
      </c>
      <c r="G16899" s="34" t="n">
        <f aca="false">SUMIFS('12.326ana'!$C:$C,'12.326ana'!$M:$M,redes!A16899)</f>
        <v>0</v>
      </c>
    </row>
    <row r="16900" customFormat="false" ht="14.4" hidden="true" customHeight="false" outlineLevel="0" collapsed="false">
      <c r="A16900" s="34" t="n">
        <v>34716735000138</v>
      </c>
      <c r="B16900" s="34" t="s">
        <v>31123</v>
      </c>
      <c r="C16900" s="34" t="s">
        <v>77</v>
      </c>
      <c r="E16900" s="30" t="s">
        <v>31124</v>
      </c>
      <c r="F16900" s="34" t="n">
        <f aca="false">IFERROR(VLOOKUP($A16900,'319'!$B:$H,7,0),0)</f>
        <v>0</v>
      </c>
      <c r="G16900" s="34" t="n">
        <f aca="false">SUMIFS('12.326ana'!$C:$C,'12.326ana'!$M:$M,redes!A16900)</f>
        <v>0</v>
      </c>
    </row>
    <row r="16901" customFormat="false" ht="14.4" hidden="true" customHeight="false" outlineLevel="0" collapsed="false">
      <c r="A16901" s="34" t="n">
        <v>34716814000149</v>
      </c>
      <c r="B16901" s="34" t="s">
        <v>31125</v>
      </c>
      <c r="C16901" s="34" t="s">
        <v>103</v>
      </c>
      <c r="E16901" s="30" t="s">
        <v>31126</v>
      </c>
      <c r="F16901" s="34" t="n">
        <f aca="false">IFERROR(VLOOKUP($A16901,'319'!$B:$H,7,0),0)</f>
        <v>0</v>
      </c>
      <c r="G16901" s="34" t="n">
        <f aca="false">SUMIFS('12.326ana'!$C:$C,'12.326ana'!$M:$M,redes!A16901)</f>
        <v>0</v>
      </c>
    </row>
    <row r="16902" customFormat="false" ht="14.4" hidden="true" customHeight="false" outlineLevel="0" collapsed="false">
      <c r="A16902" s="34" t="n">
        <v>34737707000105</v>
      </c>
      <c r="B16902" s="34" t="s">
        <v>31127</v>
      </c>
      <c r="C16902" s="34" t="s">
        <v>77</v>
      </c>
      <c r="E16902" s="30" t="s">
        <v>31128</v>
      </c>
      <c r="F16902" s="34" t="n">
        <f aca="false">IFERROR(VLOOKUP($A16902,'319'!$B:$H,7,0),0)</f>
        <v>0</v>
      </c>
      <c r="G16902" s="34" t="n">
        <f aca="false">SUMIFS('12.326ana'!$C:$C,'12.326ana'!$M:$M,redes!A16902)</f>
        <v>0</v>
      </c>
    </row>
    <row r="16903" customFormat="false" ht="14.4" hidden="true" customHeight="false" outlineLevel="0" collapsed="false">
      <c r="A16903" s="34" t="n">
        <v>34762787000140</v>
      </c>
      <c r="B16903" s="34" t="s">
        <v>31129</v>
      </c>
      <c r="C16903" s="34" t="s">
        <v>107</v>
      </c>
      <c r="E16903" s="30" t="s">
        <v>31130</v>
      </c>
      <c r="F16903" s="34" t="n">
        <f aca="false">IFERROR(VLOOKUP($A16903,'319'!$B:$H,7,0),0)</f>
        <v>0</v>
      </c>
      <c r="G16903" s="34" t="n">
        <f aca="false">SUMIFS('12.326ana'!$C:$C,'12.326ana'!$M:$M,redes!A16903)</f>
        <v>0</v>
      </c>
    </row>
    <row r="16904" customFormat="false" ht="14.4" hidden="true" customHeight="false" outlineLevel="0" collapsed="false">
      <c r="A16904" s="34" t="n">
        <v>34770030000107</v>
      </c>
      <c r="B16904" s="34" t="s">
        <v>31131</v>
      </c>
      <c r="C16904" s="34" t="s">
        <v>77</v>
      </c>
      <c r="E16904" s="30" t="s">
        <v>31132</v>
      </c>
      <c r="F16904" s="34" t="n">
        <f aca="false">IFERROR(VLOOKUP($A16904,'319'!$B:$H,7,0),0)</f>
        <v>0</v>
      </c>
      <c r="G16904" s="34" t="n">
        <f aca="false">SUMIFS('12.326ana'!$C:$C,'12.326ana'!$M:$M,redes!A16904)</f>
        <v>0</v>
      </c>
    </row>
    <row r="16905" customFormat="false" ht="14.4" hidden="true" customHeight="false" outlineLevel="0" collapsed="false">
      <c r="A16905" s="34" t="n">
        <v>34814537000107</v>
      </c>
      <c r="B16905" s="34" t="s">
        <v>31133</v>
      </c>
      <c r="C16905" s="34" t="s">
        <v>77</v>
      </c>
      <c r="E16905" s="30" t="s">
        <v>31134</v>
      </c>
      <c r="F16905" s="34" t="n">
        <f aca="false">IFERROR(VLOOKUP($A16905,'319'!$B:$H,7,0),0)</f>
        <v>0</v>
      </c>
      <c r="G16905" s="34" t="n">
        <f aca="false">SUMIFS('12.326ana'!$C:$C,'12.326ana'!$M:$M,redes!A16905)</f>
        <v>0</v>
      </c>
    </row>
    <row r="16906" customFormat="false" ht="14.4" hidden="true" customHeight="false" outlineLevel="0" collapsed="false">
      <c r="A16906" s="34" t="n">
        <v>34814588000139</v>
      </c>
      <c r="B16906" s="34" t="s">
        <v>31135</v>
      </c>
      <c r="C16906" s="34" t="s">
        <v>565</v>
      </c>
      <c r="E16906" s="30" t="s">
        <v>31136</v>
      </c>
      <c r="F16906" s="34" t="n">
        <f aca="false">IFERROR(VLOOKUP($A16906,'319'!$B:$H,7,0),0)</f>
        <v>0</v>
      </c>
      <c r="G16906" s="34" t="n">
        <f aca="false">SUMIFS('12.326ana'!$C:$C,'12.326ana'!$M:$M,redes!A16906)</f>
        <v>0</v>
      </c>
    </row>
    <row r="16907" customFormat="false" ht="14.4" hidden="true" customHeight="false" outlineLevel="0" collapsed="false">
      <c r="A16907" s="34" t="n">
        <v>34815967000143</v>
      </c>
      <c r="B16907" s="34" t="s">
        <v>31137</v>
      </c>
      <c r="C16907" s="34" t="s">
        <v>192</v>
      </c>
      <c r="E16907" s="30" t="s">
        <v>31138</v>
      </c>
      <c r="F16907" s="34" t="n">
        <f aca="false">IFERROR(VLOOKUP($A16907,'319'!$B:$H,7,0),0)</f>
        <v>0</v>
      </c>
      <c r="G16907" s="34" t="n">
        <f aca="false">SUMIFS('12.326ana'!$C:$C,'12.326ana'!$M:$M,redes!A16907)</f>
        <v>0</v>
      </c>
    </row>
    <row r="16908" customFormat="false" ht="14.4" hidden="true" customHeight="false" outlineLevel="0" collapsed="false">
      <c r="A16908" s="34" t="n">
        <v>34835353000123</v>
      </c>
      <c r="B16908" s="34" t="s">
        <v>31139</v>
      </c>
      <c r="C16908" s="34" t="s">
        <v>979</v>
      </c>
      <c r="E16908" s="30" t="s">
        <v>31140</v>
      </c>
      <c r="F16908" s="34" t="n">
        <f aca="false">IFERROR(VLOOKUP($A16908,'319'!$B:$H,7,0),0)</f>
        <v>0</v>
      </c>
      <c r="G16908" s="34" t="n">
        <f aca="false">SUMIFS('12.326ana'!$C:$C,'12.326ana'!$M:$M,redes!A16908)</f>
        <v>0</v>
      </c>
    </row>
    <row r="16909" customFormat="false" ht="14.4" hidden="true" customHeight="false" outlineLevel="0" collapsed="false">
      <c r="A16909" s="34" t="n">
        <v>34836607000128</v>
      </c>
      <c r="B16909" s="34" t="s">
        <v>31141</v>
      </c>
      <c r="C16909" s="34" t="s">
        <v>631</v>
      </c>
      <c r="E16909" s="30" t="s">
        <v>23196</v>
      </c>
      <c r="F16909" s="34" t="n">
        <f aca="false">IFERROR(VLOOKUP($A16909,'319'!$B:$H,7,0),0)</f>
        <v>0</v>
      </c>
      <c r="G16909" s="34" t="n">
        <f aca="false">SUMIFS('12.326ana'!$C:$C,'12.326ana'!$M:$M,redes!A16909)</f>
        <v>0</v>
      </c>
    </row>
    <row r="16910" customFormat="false" ht="14.4" hidden="true" customHeight="false" outlineLevel="0" collapsed="false">
      <c r="A16910" s="34" t="n">
        <v>34846721000139</v>
      </c>
      <c r="B16910" s="34" t="s">
        <v>31142</v>
      </c>
      <c r="C16910" s="34" t="s">
        <v>103</v>
      </c>
      <c r="E16910" s="30" t="s">
        <v>31143</v>
      </c>
      <c r="F16910" s="34" t="n">
        <f aca="false">IFERROR(VLOOKUP($A16910,'319'!$B:$H,7,0),0)</f>
        <v>0</v>
      </c>
      <c r="G16910" s="34" t="n">
        <f aca="false">SUMIFS('12.326ana'!$C:$C,'12.326ana'!$M:$M,redes!A16910)</f>
        <v>0</v>
      </c>
    </row>
    <row r="16911" customFormat="false" ht="14.4" hidden="true" customHeight="false" outlineLevel="0" collapsed="false">
      <c r="A16911" s="34" t="n">
        <v>34850120000108</v>
      </c>
      <c r="B16911" s="34" t="s">
        <v>31144</v>
      </c>
      <c r="C16911" s="34" t="s">
        <v>77</v>
      </c>
      <c r="E16911" s="30" t="s">
        <v>31145</v>
      </c>
      <c r="F16911" s="34" t="n">
        <f aca="false">IFERROR(VLOOKUP($A16911,'319'!$B:$H,7,0),0)</f>
        <v>0</v>
      </c>
      <c r="G16911" s="34" t="n">
        <f aca="false">SUMIFS('12.326ana'!$C:$C,'12.326ana'!$M:$M,redes!A16911)</f>
        <v>0</v>
      </c>
    </row>
    <row r="16912" customFormat="false" ht="14.4" hidden="true" customHeight="false" outlineLevel="0" collapsed="false">
      <c r="A16912" s="34" t="n">
        <v>34853379000102</v>
      </c>
      <c r="B16912" s="34" t="s">
        <v>31146</v>
      </c>
      <c r="C16912" s="34" t="s">
        <v>77</v>
      </c>
      <c r="E16912" s="30" t="s">
        <v>28637</v>
      </c>
      <c r="F16912" s="34" t="n">
        <f aca="false">IFERROR(VLOOKUP($A16912,'319'!$B:$H,7,0),0)</f>
        <v>0</v>
      </c>
      <c r="G16912" s="34" t="n">
        <f aca="false">SUMIFS('12.326ana'!$C:$C,'12.326ana'!$M:$M,redes!A16912)</f>
        <v>0</v>
      </c>
    </row>
    <row r="16913" customFormat="false" ht="14.4" hidden="true" customHeight="false" outlineLevel="0" collapsed="false">
      <c r="A16913" s="34" t="n">
        <v>34900463000121</v>
      </c>
      <c r="B16913" s="34" t="s">
        <v>31147</v>
      </c>
      <c r="C16913" s="34" t="s">
        <v>139</v>
      </c>
      <c r="E16913" s="30" t="s">
        <v>31148</v>
      </c>
      <c r="F16913" s="34" t="n">
        <f aca="false">IFERROR(VLOOKUP($A16913,'319'!$B:$H,7,0),0)</f>
        <v>0</v>
      </c>
      <c r="G16913" s="34" t="n">
        <f aca="false">SUMIFS('12.326ana'!$C:$C,'12.326ana'!$M:$M,redes!A16913)</f>
        <v>0</v>
      </c>
    </row>
    <row r="16914" customFormat="false" ht="14.4" hidden="true" customHeight="false" outlineLevel="0" collapsed="false">
      <c r="A16914" s="34" t="n">
        <v>34901170000169</v>
      </c>
      <c r="B16914" s="34" t="s">
        <v>31149</v>
      </c>
      <c r="C16914" s="34" t="s">
        <v>77</v>
      </c>
      <c r="E16914" s="30" t="s">
        <v>31150</v>
      </c>
      <c r="F16914" s="34" t="n">
        <f aca="false">IFERROR(VLOOKUP($A16914,'319'!$B:$H,7,0),0)</f>
        <v>0</v>
      </c>
      <c r="G16914" s="34" t="n">
        <f aca="false">SUMIFS('12.326ana'!$C:$C,'12.326ana'!$M:$M,redes!A16914)</f>
        <v>0</v>
      </c>
    </row>
    <row r="16915" customFormat="false" ht="14.4" hidden="true" customHeight="false" outlineLevel="0" collapsed="false">
      <c r="A16915" s="34" t="n">
        <v>34904099000178</v>
      </c>
      <c r="B16915" s="34" t="s">
        <v>31151</v>
      </c>
      <c r="C16915" s="34" t="s">
        <v>342</v>
      </c>
      <c r="E16915" s="30" t="s">
        <v>31152</v>
      </c>
      <c r="F16915" s="34" t="n">
        <f aca="false">IFERROR(VLOOKUP($A16915,'319'!$B:$H,7,0),0)</f>
        <v>0</v>
      </c>
      <c r="G16915" s="34" t="n">
        <f aca="false">SUMIFS('12.326ana'!$C:$C,'12.326ana'!$M:$M,redes!A16915)</f>
        <v>0</v>
      </c>
    </row>
    <row r="16916" customFormat="false" ht="14.4" hidden="true" customHeight="false" outlineLevel="0" collapsed="false">
      <c r="A16916" s="34" t="n">
        <v>34923228000175</v>
      </c>
      <c r="B16916" s="34" t="s">
        <v>31153</v>
      </c>
      <c r="C16916" s="34" t="s">
        <v>77</v>
      </c>
      <c r="E16916" s="30" t="s">
        <v>8398</v>
      </c>
      <c r="F16916" s="34" t="n">
        <f aca="false">IFERROR(VLOOKUP($A16916,'319'!$B:$H,7,0),0)</f>
        <v>0</v>
      </c>
      <c r="G16916" s="34" t="n">
        <f aca="false">SUMIFS('12.326ana'!$C:$C,'12.326ana'!$M:$M,redes!A16916)</f>
        <v>0</v>
      </c>
    </row>
    <row r="16917" customFormat="false" ht="14.4" hidden="true" customHeight="false" outlineLevel="0" collapsed="false">
      <c r="A16917" s="34" t="n">
        <v>34929369000103</v>
      </c>
      <c r="B16917" s="34" t="s">
        <v>31154</v>
      </c>
      <c r="C16917" s="34" t="s">
        <v>77</v>
      </c>
      <c r="E16917" s="30" t="s">
        <v>31155</v>
      </c>
      <c r="F16917" s="34" t="n">
        <f aca="false">IFERROR(VLOOKUP($A16917,'319'!$B:$H,7,0),0)</f>
        <v>0</v>
      </c>
      <c r="G16917" s="34" t="n">
        <f aca="false">SUMIFS('12.326ana'!$C:$C,'12.326ana'!$M:$M,redes!A16917)</f>
        <v>0</v>
      </c>
    </row>
    <row r="16918" customFormat="false" ht="14.4" hidden="true" customHeight="false" outlineLevel="0" collapsed="false">
      <c r="A16918" s="34" t="n">
        <v>34937993000144</v>
      </c>
      <c r="B16918" s="34" t="s">
        <v>31156</v>
      </c>
      <c r="C16918" s="34" t="s">
        <v>103</v>
      </c>
      <c r="E16918" s="30" t="s">
        <v>31157</v>
      </c>
      <c r="F16918" s="34" t="n">
        <f aca="false">IFERROR(VLOOKUP($A16918,'319'!$B:$H,7,0),0)</f>
        <v>0</v>
      </c>
      <c r="G16918" s="34" t="n">
        <f aca="false">SUMIFS('12.326ana'!$C:$C,'12.326ana'!$M:$M,redes!A16918)</f>
        <v>0</v>
      </c>
    </row>
    <row r="16919" customFormat="false" ht="14.4" hidden="true" customHeight="false" outlineLevel="0" collapsed="false">
      <c r="A16919" s="34" t="n">
        <v>34944896000189</v>
      </c>
      <c r="B16919" s="34" t="s">
        <v>31158</v>
      </c>
      <c r="C16919" s="34" t="s">
        <v>77</v>
      </c>
      <c r="E16919" s="30" t="s">
        <v>31159</v>
      </c>
      <c r="F16919" s="34" t="n">
        <f aca="false">IFERROR(VLOOKUP($A16919,'319'!$B:$H,7,0),0)</f>
        <v>0</v>
      </c>
      <c r="G16919" s="34" t="n">
        <f aca="false">SUMIFS('12.326ana'!$C:$C,'12.326ana'!$M:$M,redes!A16919)</f>
        <v>0</v>
      </c>
    </row>
    <row r="16920" customFormat="false" ht="14.4" hidden="true" customHeight="false" outlineLevel="0" collapsed="false">
      <c r="A16920" s="34" t="n">
        <v>34954664000101</v>
      </c>
      <c r="B16920" s="34" t="s">
        <v>31160</v>
      </c>
      <c r="C16920" s="34" t="s">
        <v>1618</v>
      </c>
      <c r="E16920" s="30" t="s">
        <v>31161</v>
      </c>
      <c r="F16920" s="34" t="n">
        <f aca="false">IFERROR(VLOOKUP($A16920,'319'!$B:$H,7,0),0)</f>
        <v>0</v>
      </c>
      <c r="G16920" s="34" t="n">
        <f aca="false">SUMIFS('12.326ana'!$C:$C,'12.326ana'!$M:$M,redes!A16920)</f>
        <v>0</v>
      </c>
    </row>
    <row r="16921" customFormat="false" ht="14.4" hidden="true" customHeight="false" outlineLevel="0" collapsed="false">
      <c r="A16921" s="34" t="n">
        <v>34959952000159</v>
      </c>
      <c r="B16921" s="34" t="s">
        <v>31162</v>
      </c>
      <c r="C16921" s="34" t="s">
        <v>77</v>
      </c>
      <c r="E16921" s="30" t="s">
        <v>31163</v>
      </c>
      <c r="F16921" s="34" t="n">
        <f aca="false">IFERROR(VLOOKUP($A16921,'319'!$B:$H,7,0),0)</f>
        <v>0</v>
      </c>
      <c r="G16921" s="34" t="n">
        <f aca="false">SUMIFS('12.326ana'!$C:$C,'12.326ana'!$M:$M,redes!A16921)</f>
        <v>0</v>
      </c>
    </row>
    <row r="16922" customFormat="false" ht="14.4" hidden="true" customHeight="false" outlineLevel="0" collapsed="false">
      <c r="A16922" s="34" t="n">
        <v>34964195000101</v>
      </c>
      <c r="B16922" s="34" t="s">
        <v>31164</v>
      </c>
      <c r="C16922" s="34" t="s">
        <v>781</v>
      </c>
      <c r="E16922" s="30" t="s">
        <v>31165</v>
      </c>
      <c r="F16922" s="34" t="n">
        <f aca="false">IFERROR(VLOOKUP($A16922,'319'!$B:$H,7,0),0)</f>
        <v>0</v>
      </c>
      <c r="G16922" s="34" t="n">
        <f aca="false">SUMIFS('12.326ana'!$C:$C,'12.326ana'!$M:$M,redes!A16922)</f>
        <v>0</v>
      </c>
    </row>
    <row r="16923" customFormat="false" ht="14.4" hidden="true" customHeight="false" outlineLevel="0" collapsed="false">
      <c r="A16923" s="34" t="n">
        <v>34966198000184</v>
      </c>
      <c r="B16923" s="34" t="s">
        <v>31166</v>
      </c>
      <c r="C16923" s="34" t="s">
        <v>463</v>
      </c>
      <c r="E16923" s="30" t="s">
        <v>31166</v>
      </c>
      <c r="F16923" s="34" t="n">
        <f aca="false">IFERROR(VLOOKUP($A16923,'319'!$B:$H,7,0),0)</f>
        <v>0</v>
      </c>
      <c r="G16923" s="34" t="n">
        <f aca="false">SUMIFS('12.326ana'!$C:$C,'12.326ana'!$M:$M,redes!A16923)</f>
        <v>0</v>
      </c>
    </row>
    <row r="16924" customFormat="false" ht="14.4" hidden="true" customHeight="false" outlineLevel="0" collapsed="false">
      <c r="A16924" s="34" t="n">
        <v>34977302000136</v>
      </c>
      <c r="B16924" s="34" t="s">
        <v>31167</v>
      </c>
      <c r="C16924" s="34" t="s">
        <v>309</v>
      </c>
      <c r="E16924" s="30" t="s">
        <v>31168</v>
      </c>
      <c r="F16924" s="34" t="n">
        <f aca="false">IFERROR(VLOOKUP($A16924,'319'!$B:$H,7,0),0)</f>
        <v>0</v>
      </c>
      <c r="G16924" s="34" t="n">
        <f aca="false">SUMIFS('12.326ana'!$C:$C,'12.326ana'!$M:$M,redes!A16924)</f>
        <v>0</v>
      </c>
    </row>
    <row r="16925" customFormat="false" ht="14.4" hidden="true" customHeight="false" outlineLevel="0" collapsed="false">
      <c r="A16925" s="34" t="n">
        <v>34980339000113</v>
      </c>
      <c r="B16925" s="34" t="s">
        <v>31169</v>
      </c>
      <c r="C16925" s="34" t="s">
        <v>77</v>
      </c>
      <c r="E16925" s="30" t="s">
        <v>11123</v>
      </c>
      <c r="F16925" s="34" t="n">
        <f aca="false">IFERROR(VLOOKUP($A16925,'319'!$B:$H,7,0),0)</f>
        <v>0</v>
      </c>
      <c r="G16925" s="34" t="n">
        <f aca="false">SUMIFS('12.326ana'!$C:$C,'12.326ana'!$M:$M,redes!A16925)</f>
        <v>0</v>
      </c>
    </row>
    <row r="16926" customFormat="false" ht="14.4" hidden="true" customHeight="false" outlineLevel="0" collapsed="false">
      <c r="A16926" s="34" t="n">
        <v>35003370000167</v>
      </c>
      <c r="B16926" s="34" t="s">
        <v>31170</v>
      </c>
      <c r="C16926" s="34" t="s">
        <v>77</v>
      </c>
      <c r="E16926" s="30" t="s">
        <v>31171</v>
      </c>
      <c r="F16926" s="34" t="n">
        <f aca="false">IFERROR(VLOOKUP($A16926,'319'!$B:$H,7,0),0)</f>
        <v>0</v>
      </c>
      <c r="G16926" s="34" t="n">
        <f aca="false">SUMIFS('12.326ana'!$C:$C,'12.326ana'!$M:$M,redes!A16926)</f>
        <v>0</v>
      </c>
    </row>
    <row r="16927" customFormat="false" ht="14.4" hidden="true" customHeight="false" outlineLevel="0" collapsed="false">
      <c r="A16927" s="34" t="n">
        <v>35008629000162</v>
      </c>
      <c r="B16927" s="34" t="s">
        <v>31172</v>
      </c>
      <c r="C16927" s="34" t="s">
        <v>77</v>
      </c>
      <c r="E16927" s="30" t="s">
        <v>27869</v>
      </c>
      <c r="F16927" s="34" t="n">
        <f aca="false">IFERROR(VLOOKUP($A16927,'319'!$B:$H,7,0),0)</f>
        <v>0</v>
      </c>
      <c r="G16927" s="34" t="n">
        <f aca="false">SUMIFS('12.326ana'!$C:$C,'12.326ana'!$M:$M,redes!A16927)</f>
        <v>0</v>
      </c>
    </row>
    <row r="16928" customFormat="false" ht="14.4" hidden="true" customHeight="false" outlineLevel="0" collapsed="false">
      <c r="A16928" s="34" t="n">
        <v>35014126000108</v>
      </c>
      <c r="B16928" s="34" t="s">
        <v>31173</v>
      </c>
      <c r="C16928" s="34" t="s">
        <v>357</v>
      </c>
      <c r="E16928" s="30" t="s">
        <v>31174</v>
      </c>
      <c r="F16928" s="34" t="n">
        <f aca="false">IFERROR(VLOOKUP($A16928,'319'!$B:$H,7,0),0)</f>
        <v>0</v>
      </c>
      <c r="G16928" s="34" t="n">
        <f aca="false">SUMIFS('12.326ana'!$C:$C,'12.326ana'!$M:$M,redes!A16928)</f>
        <v>0</v>
      </c>
    </row>
    <row r="16929" customFormat="false" ht="14.4" hidden="true" customHeight="false" outlineLevel="0" collapsed="false">
      <c r="A16929" s="34" t="n">
        <v>35017721000199</v>
      </c>
      <c r="B16929" s="34" t="s">
        <v>31175</v>
      </c>
      <c r="C16929" s="34" t="s">
        <v>744</v>
      </c>
      <c r="E16929" s="30" t="s">
        <v>12960</v>
      </c>
      <c r="F16929" s="34" t="n">
        <f aca="false">IFERROR(VLOOKUP($A16929,'319'!$B:$H,7,0),0)</f>
        <v>0</v>
      </c>
      <c r="G16929" s="34" t="n">
        <f aca="false">SUMIFS('12.326ana'!$C:$C,'12.326ana'!$M:$M,redes!A16929)</f>
        <v>0</v>
      </c>
    </row>
    <row r="16930" customFormat="false" ht="14.4" hidden="true" customHeight="false" outlineLevel="0" collapsed="false">
      <c r="A16930" s="34" t="n">
        <v>35067431000150</v>
      </c>
      <c r="B16930" s="34" t="s">
        <v>31176</v>
      </c>
      <c r="C16930" s="34" t="s">
        <v>107</v>
      </c>
      <c r="E16930" s="30" t="s">
        <v>31177</v>
      </c>
      <c r="F16930" s="34" t="n">
        <f aca="false">IFERROR(VLOOKUP($A16930,'319'!$B:$H,7,0),0)</f>
        <v>372.45</v>
      </c>
      <c r="G16930" s="34" t="n">
        <f aca="false">SUMIFS('12.326ana'!$C:$C,'12.326ana'!$M:$M,redes!A16930)</f>
        <v>0</v>
      </c>
    </row>
    <row r="16931" customFormat="false" ht="14.4" hidden="true" customHeight="false" outlineLevel="0" collapsed="false">
      <c r="A16931" s="34" t="n">
        <v>35072862000104</v>
      </c>
      <c r="B16931" s="34" t="s">
        <v>31178</v>
      </c>
      <c r="C16931" s="34" t="s">
        <v>804</v>
      </c>
      <c r="E16931" s="30" t="s">
        <v>31179</v>
      </c>
      <c r="F16931" s="34" t="n">
        <f aca="false">IFERROR(VLOOKUP($A16931,'319'!$B:$H,7,0),0)</f>
        <v>0</v>
      </c>
      <c r="G16931" s="34" t="n">
        <f aca="false">SUMIFS('12.326ana'!$C:$C,'12.326ana'!$M:$M,redes!A16931)</f>
        <v>0</v>
      </c>
    </row>
    <row r="16932" customFormat="false" ht="14.4" hidden="true" customHeight="false" outlineLevel="0" collapsed="false">
      <c r="A16932" s="34" t="n">
        <v>35081591000153</v>
      </c>
      <c r="B16932" s="34" t="s">
        <v>31180</v>
      </c>
      <c r="C16932" s="34" t="s">
        <v>77</v>
      </c>
      <c r="E16932" s="30" t="s">
        <v>31180</v>
      </c>
      <c r="F16932" s="34" t="n">
        <f aca="false">IFERROR(VLOOKUP($A16932,'319'!$B:$H,7,0),0)</f>
        <v>0</v>
      </c>
      <c r="G16932" s="34" t="n">
        <f aca="false">SUMIFS('12.326ana'!$C:$C,'12.326ana'!$M:$M,redes!A16932)</f>
        <v>0</v>
      </c>
    </row>
    <row r="16933" customFormat="false" ht="14.4" hidden="true" customHeight="false" outlineLevel="0" collapsed="false">
      <c r="A16933" s="34" t="n">
        <v>35082561000161</v>
      </c>
      <c r="B16933" s="34" t="s">
        <v>31181</v>
      </c>
      <c r="C16933" s="34" t="s">
        <v>77</v>
      </c>
      <c r="E16933" s="30" t="s">
        <v>31182</v>
      </c>
      <c r="F16933" s="34" t="n">
        <f aca="false">IFERROR(VLOOKUP($A16933,'319'!$B:$H,7,0),0)</f>
        <v>0</v>
      </c>
      <c r="G16933" s="34" t="n">
        <f aca="false">SUMIFS('12.326ana'!$C:$C,'12.326ana'!$M:$M,redes!A16933)</f>
        <v>0</v>
      </c>
    </row>
    <row r="16934" customFormat="false" ht="14.4" hidden="true" customHeight="false" outlineLevel="0" collapsed="false">
      <c r="A16934" s="34" t="n">
        <v>35108199000150</v>
      </c>
      <c r="B16934" s="34" t="s">
        <v>31183</v>
      </c>
      <c r="C16934" s="34" t="s">
        <v>336</v>
      </c>
      <c r="E16934" s="30" t="s">
        <v>31184</v>
      </c>
      <c r="F16934" s="34" t="n">
        <f aca="false">IFERROR(VLOOKUP($A16934,'319'!$B:$H,7,0),0)</f>
        <v>0</v>
      </c>
      <c r="G16934" s="34" t="n">
        <f aca="false">SUMIFS('12.326ana'!$C:$C,'12.326ana'!$M:$M,redes!A16934)</f>
        <v>0</v>
      </c>
    </row>
    <row r="16935" customFormat="false" ht="14.4" hidden="true" customHeight="false" outlineLevel="0" collapsed="false">
      <c r="A16935" s="34" t="n">
        <v>35109266000151</v>
      </c>
      <c r="B16935" s="34" t="s">
        <v>31185</v>
      </c>
      <c r="C16935" s="34" t="s">
        <v>77</v>
      </c>
      <c r="E16935" s="30" t="s">
        <v>31186</v>
      </c>
      <c r="F16935" s="34" t="n">
        <f aca="false">IFERROR(VLOOKUP($A16935,'319'!$B:$H,7,0),0)</f>
        <v>0</v>
      </c>
      <c r="G16935" s="34" t="n">
        <f aca="false">SUMIFS('12.326ana'!$C:$C,'12.326ana'!$M:$M,redes!A16935)</f>
        <v>0</v>
      </c>
    </row>
    <row r="16936" customFormat="false" ht="14.4" hidden="true" customHeight="false" outlineLevel="0" collapsed="false">
      <c r="A16936" s="34" t="n">
        <v>35110940000118</v>
      </c>
      <c r="B16936" s="34" t="s">
        <v>31187</v>
      </c>
      <c r="C16936" s="34" t="s">
        <v>357</v>
      </c>
      <c r="E16936" s="30" t="s">
        <v>31188</v>
      </c>
      <c r="F16936" s="34" t="n">
        <f aca="false">IFERROR(VLOOKUP($A16936,'319'!$B:$H,7,0),0)</f>
        <v>0</v>
      </c>
      <c r="G16936" s="34" t="n">
        <f aca="false">SUMIFS('12.326ana'!$C:$C,'12.326ana'!$M:$M,redes!A16936)</f>
        <v>0</v>
      </c>
    </row>
    <row r="16937" customFormat="false" ht="14.4" hidden="true" customHeight="false" outlineLevel="0" collapsed="false">
      <c r="A16937" s="34" t="n">
        <v>35121445000104</v>
      </c>
      <c r="B16937" s="34" t="s">
        <v>31189</v>
      </c>
      <c r="C16937" s="34" t="s">
        <v>192</v>
      </c>
      <c r="E16937" s="30" t="s">
        <v>31190</v>
      </c>
      <c r="F16937" s="34" t="n">
        <f aca="false">IFERROR(VLOOKUP($A16937,'319'!$B:$H,7,0),0)</f>
        <v>0</v>
      </c>
      <c r="G16937" s="34" t="n">
        <f aca="false">SUMIFS('12.326ana'!$C:$C,'12.326ana'!$M:$M,redes!A16937)</f>
        <v>0</v>
      </c>
    </row>
    <row r="16938" customFormat="false" ht="14.4" hidden="true" customHeight="false" outlineLevel="0" collapsed="false">
      <c r="A16938" s="34" t="n">
        <v>35121940000113</v>
      </c>
      <c r="B16938" s="34" t="s">
        <v>31191</v>
      </c>
      <c r="C16938" s="34" t="s">
        <v>7250</v>
      </c>
      <c r="E16938" s="30" t="s">
        <v>16644</v>
      </c>
      <c r="F16938" s="34" t="n">
        <f aca="false">IFERROR(VLOOKUP($A16938,'319'!$B:$H,7,0),0)</f>
        <v>0</v>
      </c>
      <c r="G16938" s="34" t="n">
        <f aca="false">SUMIFS('12.326ana'!$C:$C,'12.326ana'!$M:$M,redes!A16938)</f>
        <v>0</v>
      </c>
    </row>
    <row r="16939" customFormat="false" ht="14.4" hidden="true" customHeight="false" outlineLevel="0" collapsed="false">
      <c r="A16939" s="34" t="n">
        <v>35137333000141</v>
      </c>
      <c r="B16939" s="34" t="s">
        <v>31192</v>
      </c>
      <c r="C16939" s="34" t="s">
        <v>139</v>
      </c>
      <c r="E16939" s="30" t="s">
        <v>31193</v>
      </c>
      <c r="F16939" s="34" t="n">
        <f aca="false">IFERROR(VLOOKUP($A16939,'319'!$B:$H,7,0),0)</f>
        <v>0</v>
      </c>
      <c r="G16939" s="34" t="n">
        <f aca="false">SUMIFS('12.326ana'!$C:$C,'12.326ana'!$M:$M,redes!A16939)</f>
        <v>0</v>
      </c>
    </row>
    <row r="16940" customFormat="false" ht="14.4" hidden="true" customHeight="false" outlineLevel="0" collapsed="false">
      <c r="A16940" s="34" t="n">
        <v>35173983000142</v>
      </c>
      <c r="B16940" s="34" t="s">
        <v>31194</v>
      </c>
      <c r="C16940" s="34" t="s">
        <v>107</v>
      </c>
      <c r="E16940" s="30" t="s">
        <v>31195</v>
      </c>
      <c r="F16940" s="34" t="n">
        <f aca="false">IFERROR(VLOOKUP($A16940,'319'!$B:$H,7,0),0)</f>
        <v>0</v>
      </c>
      <c r="G16940" s="34" t="n">
        <f aca="false">SUMIFS('12.326ana'!$C:$C,'12.326ana'!$M:$M,redes!A16940)</f>
        <v>0</v>
      </c>
    </row>
    <row r="16941" customFormat="false" ht="14.4" hidden="true" customHeight="false" outlineLevel="0" collapsed="false">
      <c r="A16941" s="34" t="n">
        <v>35191619000105</v>
      </c>
      <c r="B16941" s="34" t="s">
        <v>31196</v>
      </c>
      <c r="C16941" s="34" t="s">
        <v>4139</v>
      </c>
      <c r="E16941" s="30" t="s">
        <v>31196</v>
      </c>
      <c r="F16941" s="34" t="n">
        <f aca="false">IFERROR(VLOOKUP($A16941,'319'!$B:$H,7,0),0)</f>
        <v>0</v>
      </c>
      <c r="G16941" s="34" t="n">
        <f aca="false">SUMIFS('12.326ana'!$C:$C,'12.326ana'!$M:$M,redes!A16941)</f>
        <v>0</v>
      </c>
    </row>
    <row r="16942" customFormat="false" ht="14.4" hidden="true" customHeight="false" outlineLevel="0" collapsed="false">
      <c r="A16942" s="34" t="n">
        <v>35206068000106</v>
      </c>
      <c r="B16942" s="34" t="s">
        <v>31197</v>
      </c>
      <c r="C16942" s="34" t="s">
        <v>77</v>
      </c>
      <c r="E16942" s="30" t="s">
        <v>31198</v>
      </c>
      <c r="F16942" s="34" t="n">
        <f aca="false">IFERROR(VLOOKUP($A16942,'319'!$B:$H,7,0),0)</f>
        <v>0</v>
      </c>
      <c r="G16942" s="34" t="n">
        <f aca="false">SUMIFS('12.326ana'!$C:$C,'12.326ana'!$M:$M,redes!A16942)</f>
        <v>0</v>
      </c>
    </row>
    <row r="16943" customFormat="false" ht="14.4" hidden="true" customHeight="false" outlineLevel="0" collapsed="false">
      <c r="A16943" s="34" t="n">
        <v>35213094000161</v>
      </c>
      <c r="B16943" s="34" t="s">
        <v>31199</v>
      </c>
      <c r="C16943" s="34" t="s">
        <v>77</v>
      </c>
      <c r="E16943" s="30" t="s">
        <v>31200</v>
      </c>
      <c r="F16943" s="34" t="n">
        <f aca="false">IFERROR(VLOOKUP($A16943,'319'!$B:$H,7,0),0)</f>
        <v>0</v>
      </c>
      <c r="G16943" s="34" t="n">
        <f aca="false">SUMIFS('12.326ana'!$C:$C,'12.326ana'!$M:$M,redes!A16943)</f>
        <v>0</v>
      </c>
    </row>
    <row r="16944" customFormat="false" ht="14.4" hidden="true" customHeight="false" outlineLevel="0" collapsed="false">
      <c r="A16944" s="35" t="n">
        <v>35238181000173</v>
      </c>
      <c r="B16944" s="34" t="s">
        <v>31201</v>
      </c>
      <c r="C16944" s="34" t="s">
        <v>994</v>
      </c>
      <c r="E16944" s="30" t="s">
        <v>31202</v>
      </c>
      <c r="F16944" s="34" t="n">
        <f aca="false">IFERROR(VLOOKUP($A16944,'319'!$B:$H,7,0),0)</f>
        <v>0</v>
      </c>
      <c r="G16944" s="34" t="n">
        <f aca="false">SUMIFS('12.326ana'!$C:$C,'12.326ana'!$M:$M,redes!A16944)</f>
        <v>0</v>
      </c>
    </row>
    <row r="16945" customFormat="false" ht="14.4" hidden="true" customHeight="false" outlineLevel="0" collapsed="false">
      <c r="A16945" s="34" t="n">
        <v>35285861000148</v>
      </c>
      <c r="B16945" s="34" t="s">
        <v>31203</v>
      </c>
      <c r="C16945" s="34" t="s">
        <v>10103</v>
      </c>
      <c r="E16945" s="30" t="s">
        <v>31204</v>
      </c>
      <c r="F16945" s="34" t="n">
        <f aca="false">IFERROR(VLOOKUP($A16945,'319'!$B:$H,7,0),0)</f>
        <v>0</v>
      </c>
      <c r="G16945" s="34" t="n">
        <f aca="false">SUMIFS('12.326ana'!$C:$C,'12.326ana'!$M:$M,redes!A16945)</f>
        <v>0</v>
      </c>
    </row>
    <row r="16946" customFormat="false" ht="14.4" hidden="true" customHeight="false" outlineLevel="0" collapsed="false">
      <c r="A16946" s="34" t="n">
        <v>35301867000161</v>
      </c>
      <c r="B16946" s="34" t="s">
        <v>31205</v>
      </c>
      <c r="C16946" s="34" t="s">
        <v>192</v>
      </c>
      <c r="E16946" s="30" t="s">
        <v>31206</v>
      </c>
      <c r="F16946" s="34" t="n">
        <f aca="false">IFERROR(VLOOKUP($A16946,'319'!$B:$H,7,0),0)</f>
        <v>0</v>
      </c>
      <c r="G16946" s="34" t="n">
        <f aca="false">SUMIFS('12.326ana'!$C:$C,'12.326ana'!$M:$M,redes!A16946)</f>
        <v>0</v>
      </c>
    </row>
    <row r="16947" customFormat="false" ht="14.4" hidden="true" customHeight="false" outlineLevel="0" collapsed="false">
      <c r="A16947" s="34" t="n">
        <v>35302874000188</v>
      </c>
      <c r="B16947" s="34" t="s">
        <v>31207</v>
      </c>
      <c r="C16947" s="34" t="s">
        <v>77</v>
      </c>
      <c r="E16947" s="30" t="s">
        <v>31207</v>
      </c>
      <c r="F16947" s="34" t="n">
        <f aca="false">IFERROR(VLOOKUP($A16947,'319'!$B:$H,7,0),0)</f>
        <v>0</v>
      </c>
      <c r="G16947" s="34" t="n">
        <f aca="false">SUMIFS('12.326ana'!$C:$C,'12.326ana'!$M:$M,redes!A16947)</f>
        <v>0</v>
      </c>
    </row>
    <row r="16948" customFormat="false" ht="14.4" hidden="true" customHeight="false" outlineLevel="0" collapsed="false">
      <c r="A16948" s="34" t="n">
        <v>35303519000123</v>
      </c>
      <c r="B16948" s="34" t="s">
        <v>868</v>
      </c>
      <c r="C16948" s="34" t="s">
        <v>764</v>
      </c>
      <c r="E16948" s="30" t="s">
        <v>868</v>
      </c>
      <c r="F16948" s="34" t="n">
        <f aca="false">IFERROR(VLOOKUP($A16948,'319'!$B:$H,7,0),0)</f>
        <v>1864.74</v>
      </c>
      <c r="G16948" s="34" t="n">
        <f aca="false">SUMIFS('12.326ana'!$C:$C,'12.326ana'!$M:$M,redes!A16948)</f>
        <v>0</v>
      </c>
    </row>
    <row r="16949" customFormat="false" ht="14.4" hidden="true" customHeight="false" outlineLevel="0" collapsed="false">
      <c r="A16949" s="34" t="n">
        <v>35325492000170</v>
      </c>
      <c r="B16949" s="34" t="s">
        <v>31208</v>
      </c>
      <c r="C16949" s="34" t="s">
        <v>154</v>
      </c>
      <c r="E16949" s="30" t="s">
        <v>31209</v>
      </c>
      <c r="F16949" s="34" t="n">
        <f aca="false">IFERROR(VLOOKUP($A16949,'319'!$B:$H,7,0),0)</f>
        <v>0</v>
      </c>
      <c r="G16949" s="34" t="n">
        <f aca="false">SUMIFS('12.326ana'!$C:$C,'12.326ana'!$M:$M,redes!A16949)</f>
        <v>0</v>
      </c>
    </row>
    <row r="16950" customFormat="false" ht="14.4" hidden="true" customHeight="false" outlineLevel="0" collapsed="false">
      <c r="A16950" s="34" t="n">
        <v>35329048000122</v>
      </c>
      <c r="B16950" s="34" t="s">
        <v>31210</v>
      </c>
      <c r="C16950" s="34" t="s">
        <v>631</v>
      </c>
      <c r="E16950" s="30" t="s">
        <v>31211</v>
      </c>
      <c r="F16950" s="34" t="n">
        <f aca="false">IFERROR(VLOOKUP($A16950,'319'!$B:$H,7,0),0)</f>
        <v>0</v>
      </c>
      <c r="G16950" s="34" t="n">
        <f aca="false">SUMIFS('12.326ana'!$C:$C,'12.326ana'!$M:$M,redes!A16950)</f>
        <v>0</v>
      </c>
    </row>
    <row r="16951" customFormat="false" ht="14.4" hidden="true" customHeight="false" outlineLevel="0" collapsed="false">
      <c r="A16951" s="34" t="n">
        <v>35336977000169</v>
      </c>
      <c r="B16951" s="34" t="s">
        <v>31212</v>
      </c>
      <c r="C16951" s="34" t="s">
        <v>1272</v>
      </c>
      <c r="E16951" s="30" t="s">
        <v>3066</v>
      </c>
      <c r="F16951" s="34" t="n">
        <f aca="false">IFERROR(VLOOKUP($A16951,'319'!$B:$H,7,0),0)</f>
        <v>-374.24</v>
      </c>
      <c r="G16951" s="34" t="n">
        <f aca="false">SUMIFS('12.326ana'!$C:$C,'12.326ana'!$M:$M,redes!A16951)</f>
        <v>0</v>
      </c>
    </row>
    <row r="16952" customFormat="false" ht="14.4" hidden="true" customHeight="false" outlineLevel="0" collapsed="false">
      <c r="A16952" s="34" t="n">
        <v>35343868000179</v>
      </c>
      <c r="B16952" s="34" t="s">
        <v>31213</v>
      </c>
      <c r="C16952" s="34" t="s">
        <v>77</v>
      </c>
      <c r="E16952" s="30" t="s">
        <v>31214</v>
      </c>
      <c r="F16952" s="34" t="n">
        <f aca="false">IFERROR(VLOOKUP($A16952,'319'!$B:$H,7,0),0)</f>
        <v>0</v>
      </c>
      <c r="G16952" s="34" t="n">
        <f aca="false">SUMIFS('12.326ana'!$C:$C,'12.326ana'!$M:$M,redes!A16952)</f>
        <v>0</v>
      </c>
    </row>
    <row r="16953" customFormat="false" ht="14.4" hidden="true" customHeight="false" outlineLevel="0" collapsed="false">
      <c r="A16953" s="34" t="n">
        <v>35363558000116</v>
      </c>
      <c r="B16953" s="34" t="s">
        <v>31215</v>
      </c>
      <c r="C16953" s="34" t="s">
        <v>377</v>
      </c>
      <c r="E16953" s="30" t="s">
        <v>31216</v>
      </c>
      <c r="F16953" s="34" t="n">
        <f aca="false">IFERROR(VLOOKUP($A16953,'319'!$B:$H,7,0),0)</f>
        <v>0</v>
      </c>
      <c r="G16953" s="34" t="n">
        <f aca="false">SUMIFS('12.326ana'!$C:$C,'12.326ana'!$M:$M,redes!A16953)</f>
        <v>0</v>
      </c>
    </row>
    <row r="16954" customFormat="false" ht="14.4" hidden="true" customHeight="false" outlineLevel="0" collapsed="false">
      <c r="A16954" s="34" t="n">
        <v>35395802000122</v>
      </c>
      <c r="B16954" s="34" t="s">
        <v>31217</v>
      </c>
      <c r="C16954" s="34" t="s">
        <v>565</v>
      </c>
      <c r="E16954" s="30" t="s">
        <v>31217</v>
      </c>
      <c r="F16954" s="34" t="n">
        <f aca="false">IFERROR(VLOOKUP($A16954,'319'!$B:$H,7,0),0)</f>
        <v>0</v>
      </c>
      <c r="G16954" s="34" t="n">
        <f aca="false">SUMIFS('12.326ana'!$C:$C,'12.326ana'!$M:$M,redes!A16954)</f>
        <v>0</v>
      </c>
    </row>
    <row r="16955" customFormat="false" ht="14.4" hidden="true" customHeight="false" outlineLevel="0" collapsed="false">
      <c r="A16955" s="34" t="n">
        <v>35419141000128</v>
      </c>
      <c r="B16955" s="34" t="s">
        <v>31218</v>
      </c>
      <c r="C16955" s="34" t="s">
        <v>2998</v>
      </c>
      <c r="E16955" s="30" t="s">
        <v>31219</v>
      </c>
      <c r="F16955" s="34" t="n">
        <f aca="false">IFERROR(VLOOKUP($A16955,'319'!$B:$H,7,0),0)</f>
        <v>0</v>
      </c>
      <c r="G16955" s="34" t="n">
        <f aca="false">SUMIFS('12.326ana'!$C:$C,'12.326ana'!$M:$M,redes!A16955)</f>
        <v>0</v>
      </c>
    </row>
    <row r="16956" customFormat="false" ht="14.4" hidden="true" customHeight="false" outlineLevel="0" collapsed="false">
      <c r="A16956" s="34" t="n">
        <v>35419576000172</v>
      </c>
      <c r="B16956" s="34" t="s">
        <v>31220</v>
      </c>
      <c r="C16956" s="34" t="s">
        <v>103</v>
      </c>
      <c r="E16956" s="30" t="s">
        <v>31221</v>
      </c>
      <c r="F16956" s="34" t="n">
        <f aca="false">IFERROR(VLOOKUP($A16956,'319'!$B:$H,7,0),0)</f>
        <v>0</v>
      </c>
      <c r="G16956" s="34" t="n">
        <f aca="false">SUMIFS('12.326ana'!$C:$C,'12.326ana'!$M:$M,redes!A16956)</f>
        <v>0</v>
      </c>
    </row>
    <row r="16957" customFormat="false" ht="14.4" hidden="true" customHeight="false" outlineLevel="0" collapsed="false">
      <c r="A16957" s="34" t="n">
        <v>35433807000100</v>
      </c>
      <c r="B16957" s="34" t="s">
        <v>31222</v>
      </c>
      <c r="C16957" s="34" t="s">
        <v>77</v>
      </c>
      <c r="E16957" s="30" t="s">
        <v>31223</v>
      </c>
      <c r="F16957" s="34" t="n">
        <f aca="false">IFERROR(VLOOKUP($A16957,'319'!$B:$H,7,0),0)</f>
        <v>0</v>
      </c>
      <c r="G16957" s="34" t="n">
        <f aca="false">SUMIFS('12.326ana'!$C:$C,'12.326ana'!$M:$M,redes!A16957)</f>
        <v>0</v>
      </c>
    </row>
    <row r="16958" customFormat="false" ht="14.4" hidden="true" customHeight="false" outlineLevel="0" collapsed="false">
      <c r="A16958" s="34" t="n">
        <v>35447339000115</v>
      </c>
      <c r="B16958" s="34" t="s">
        <v>1745</v>
      </c>
      <c r="C16958" s="34" t="s">
        <v>336</v>
      </c>
      <c r="E16958" s="30" t="s">
        <v>29943</v>
      </c>
      <c r="F16958" s="34" t="n">
        <f aca="false">IFERROR(VLOOKUP($A16958,'319'!$B:$H,7,0),0)</f>
        <v>0</v>
      </c>
      <c r="G16958" s="34" t="n">
        <f aca="false">SUMIFS('12.326ana'!$C:$C,'12.326ana'!$M:$M,redes!A16958)</f>
        <v>0</v>
      </c>
    </row>
    <row r="16959" customFormat="false" ht="14.4" hidden="true" customHeight="false" outlineLevel="0" collapsed="false">
      <c r="A16959" s="34" t="n">
        <v>35449789000147</v>
      </c>
      <c r="B16959" s="34" t="s">
        <v>31224</v>
      </c>
      <c r="C16959" s="34" t="s">
        <v>192</v>
      </c>
      <c r="E16959" s="30" t="s">
        <v>31225</v>
      </c>
      <c r="F16959" s="34" t="n">
        <f aca="false">IFERROR(VLOOKUP($A16959,'319'!$B:$H,7,0),0)</f>
        <v>0</v>
      </c>
      <c r="G16959" s="34" t="n">
        <f aca="false">SUMIFS('12.326ana'!$C:$C,'12.326ana'!$M:$M,redes!A16959)</f>
        <v>0</v>
      </c>
    </row>
    <row r="16960" customFormat="false" ht="14.4" hidden="true" customHeight="false" outlineLevel="0" collapsed="false">
      <c r="A16960" s="34" t="n">
        <v>35470354000184</v>
      </c>
      <c r="B16960" s="34" t="s">
        <v>31226</v>
      </c>
      <c r="C16960" s="34" t="s">
        <v>77</v>
      </c>
      <c r="E16960" s="30" t="s">
        <v>6533</v>
      </c>
      <c r="F16960" s="34" t="n">
        <f aca="false">IFERROR(VLOOKUP($A16960,'319'!$B:$H,7,0),0)</f>
        <v>0</v>
      </c>
      <c r="G16960" s="34" t="n">
        <f aca="false">SUMIFS('12.326ana'!$C:$C,'12.326ana'!$M:$M,redes!A16960)</f>
        <v>0</v>
      </c>
    </row>
    <row r="16961" customFormat="false" ht="14.4" hidden="true" customHeight="false" outlineLevel="0" collapsed="false">
      <c r="A16961" s="34" t="n">
        <v>35491953000184</v>
      </c>
      <c r="B16961" s="34" t="s">
        <v>31227</v>
      </c>
      <c r="C16961" s="34" t="s">
        <v>2998</v>
      </c>
      <c r="E16961" s="30" t="s">
        <v>31228</v>
      </c>
      <c r="F16961" s="34" t="n">
        <f aca="false">IFERROR(VLOOKUP($A16961,'319'!$B:$H,7,0),0)</f>
        <v>0</v>
      </c>
      <c r="G16961" s="34" t="n">
        <f aca="false">SUMIFS('12.326ana'!$C:$C,'12.326ana'!$M:$M,redes!A16961)</f>
        <v>0</v>
      </c>
    </row>
    <row r="16962" customFormat="false" ht="14.4" hidden="true" customHeight="false" outlineLevel="0" collapsed="false">
      <c r="A16962" s="34" t="n">
        <v>35500744000150</v>
      </c>
      <c r="B16962" s="34" t="s">
        <v>1523</v>
      </c>
      <c r="C16962" s="34" t="s">
        <v>89</v>
      </c>
      <c r="E16962" s="30" t="s">
        <v>3001</v>
      </c>
      <c r="F16962" s="34" t="n">
        <f aca="false">IFERROR(VLOOKUP($A16962,'319'!$B:$H,7,0),0)</f>
        <v>127.8</v>
      </c>
      <c r="G16962" s="34" t="n">
        <f aca="false">SUMIFS('12.326ana'!$C:$C,'12.326ana'!$M:$M,redes!A16962)</f>
        <v>0</v>
      </c>
    </row>
    <row r="16963" customFormat="false" ht="14.4" hidden="true" customHeight="false" outlineLevel="0" collapsed="false">
      <c r="A16963" s="34" t="n">
        <v>35511975000169</v>
      </c>
      <c r="B16963" s="34" t="s">
        <v>31229</v>
      </c>
      <c r="C16963" s="34" t="s">
        <v>77</v>
      </c>
      <c r="E16963" s="30" t="s">
        <v>26375</v>
      </c>
      <c r="F16963" s="34" t="n">
        <f aca="false">IFERROR(VLOOKUP($A16963,'319'!$B:$H,7,0),0)</f>
        <v>0</v>
      </c>
      <c r="G16963" s="34" t="n">
        <f aca="false">SUMIFS('12.326ana'!$C:$C,'12.326ana'!$M:$M,redes!A16963)</f>
        <v>0</v>
      </c>
    </row>
    <row r="16964" customFormat="false" ht="14.4" hidden="true" customHeight="false" outlineLevel="0" collapsed="false">
      <c r="A16964" s="34" t="n">
        <v>35535195000159</v>
      </c>
      <c r="B16964" s="34" t="s">
        <v>31230</v>
      </c>
      <c r="C16964" s="34" t="s">
        <v>77</v>
      </c>
      <c r="E16964" s="30" t="s">
        <v>3965</v>
      </c>
      <c r="F16964" s="34" t="n">
        <f aca="false">IFERROR(VLOOKUP($A16964,'319'!$B:$H,7,0),0)</f>
        <v>0</v>
      </c>
      <c r="G16964" s="34" t="n">
        <f aca="false">SUMIFS('12.326ana'!$C:$C,'12.326ana'!$M:$M,redes!A16964)</f>
        <v>0</v>
      </c>
    </row>
    <row r="16965" customFormat="false" ht="14.4" hidden="true" customHeight="false" outlineLevel="0" collapsed="false">
      <c r="A16965" s="34" t="n">
        <v>35541106000187</v>
      </c>
      <c r="B16965" s="34" t="s">
        <v>31231</v>
      </c>
      <c r="C16965" s="34" t="s">
        <v>680</v>
      </c>
      <c r="E16965" s="30" t="s">
        <v>31231</v>
      </c>
      <c r="F16965" s="34" t="n">
        <f aca="false">IFERROR(VLOOKUP($A16965,'319'!$B:$H,7,0),0)</f>
        <v>0</v>
      </c>
      <c r="G16965" s="34" t="n">
        <f aca="false">SUMIFS('12.326ana'!$C:$C,'12.326ana'!$M:$M,redes!A16965)</f>
        <v>0</v>
      </c>
    </row>
    <row r="16966" customFormat="false" ht="14.4" hidden="true" customHeight="false" outlineLevel="0" collapsed="false">
      <c r="A16966" s="34" t="n">
        <v>35547760000106</v>
      </c>
      <c r="B16966" s="34" t="s">
        <v>31232</v>
      </c>
      <c r="C16966" s="34" t="s">
        <v>77</v>
      </c>
      <c r="E16966" s="30" t="s">
        <v>31233</v>
      </c>
      <c r="F16966" s="34" t="n">
        <f aca="false">IFERROR(VLOOKUP($A16966,'319'!$B:$H,7,0),0)</f>
        <v>0</v>
      </c>
      <c r="G16966" s="34" t="n">
        <f aca="false">SUMIFS('12.326ana'!$C:$C,'12.326ana'!$M:$M,redes!A16966)</f>
        <v>0</v>
      </c>
    </row>
    <row r="16967" customFormat="false" ht="14.4" hidden="true" customHeight="false" outlineLevel="0" collapsed="false">
      <c r="A16967" s="34" t="n">
        <v>35574935000166</v>
      </c>
      <c r="B16967" s="34" t="s">
        <v>31234</v>
      </c>
      <c r="C16967" s="34" t="s">
        <v>737</v>
      </c>
      <c r="E16967" s="30" t="s">
        <v>31235</v>
      </c>
      <c r="F16967" s="34" t="n">
        <f aca="false">IFERROR(VLOOKUP($A16967,'319'!$B:$H,7,0),0)</f>
        <v>0</v>
      </c>
      <c r="G16967" s="34" t="n">
        <f aca="false">SUMIFS('12.326ana'!$C:$C,'12.326ana'!$M:$M,redes!A16967)</f>
        <v>0</v>
      </c>
    </row>
    <row r="16968" customFormat="false" ht="14.4" hidden="true" customHeight="false" outlineLevel="0" collapsed="false">
      <c r="A16968" s="34" t="n">
        <v>35585570000175</v>
      </c>
      <c r="B16968" s="34" t="s">
        <v>31236</v>
      </c>
      <c r="C16968" s="34" t="s">
        <v>103</v>
      </c>
      <c r="E16968" s="30" t="s">
        <v>31237</v>
      </c>
      <c r="F16968" s="34" t="n">
        <f aca="false">IFERROR(VLOOKUP($A16968,'319'!$B:$H,7,0),0)</f>
        <v>822</v>
      </c>
      <c r="G16968" s="34" t="n">
        <f aca="false">SUMIFS('12.326ana'!$C:$C,'12.326ana'!$M:$M,redes!A16968)</f>
        <v>0</v>
      </c>
    </row>
    <row r="16969" customFormat="false" ht="14.4" hidden="true" customHeight="false" outlineLevel="0" collapsed="false">
      <c r="A16969" s="34" t="n">
        <v>35587359000191</v>
      </c>
      <c r="B16969" s="34" t="s">
        <v>31238</v>
      </c>
      <c r="C16969" s="34" t="s">
        <v>77</v>
      </c>
      <c r="E16969" s="30" t="s">
        <v>31239</v>
      </c>
      <c r="F16969" s="34" t="n">
        <f aca="false">IFERROR(VLOOKUP($A16969,'319'!$B:$H,7,0),0)</f>
        <v>0</v>
      </c>
      <c r="G16969" s="34" t="n">
        <f aca="false">SUMIFS('12.326ana'!$C:$C,'12.326ana'!$M:$M,redes!A16969)</f>
        <v>0</v>
      </c>
    </row>
    <row r="16970" customFormat="false" ht="14.4" hidden="true" customHeight="false" outlineLevel="0" collapsed="false">
      <c r="A16970" s="34" t="n">
        <v>35588327000100</v>
      </c>
      <c r="B16970" s="34" t="s">
        <v>31240</v>
      </c>
      <c r="C16970" s="34" t="s">
        <v>89</v>
      </c>
      <c r="E16970" s="30" t="s">
        <v>31241</v>
      </c>
      <c r="F16970" s="34" t="n">
        <f aca="false">IFERROR(VLOOKUP($A16970,'319'!$B:$H,7,0),0)</f>
        <v>0</v>
      </c>
      <c r="G16970" s="34" t="n">
        <f aca="false">SUMIFS('12.326ana'!$C:$C,'12.326ana'!$M:$M,redes!A16970)</f>
        <v>0</v>
      </c>
    </row>
    <row r="16971" customFormat="false" ht="14.4" hidden="true" customHeight="false" outlineLevel="0" collapsed="false">
      <c r="A16971" s="34" t="n">
        <v>35601336000194</v>
      </c>
      <c r="B16971" s="34" t="s">
        <v>31242</v>
      </c>
      <c r="C16971" s="34" t="s">
        <v>117</v>
      </c>
      <c r="E16971" s="30" t="s">
        <v>24623</v>
      </c>
      <c r="F16971" s="34" t="n">
        <f aca="false">IFERROR(VLOOKUP($A16971,'319'!$B:$H,7,0),0)</f>
        <v>0</v>
      </c>
      <c r="G16971" s="34" t="n">
        <f aca="false">SUMIFS('12.326ana'!$C:$C,'12.326ana'!$M:$M,redes!A16971)</f>
        <v>0</v>
      </c>
    </row>
    <row r="16972" customFormat="false" ht="14.4" hidden="true" customHeight="false" outlineLevel="0" collapsed="false">
      <c r="A16972" s="34" t="n">
        <v>35603840000123</v>
      </c>
      <c r="B16972" s="34" t="s">
        <v>31243</v>
      </c>
      <c r="C16972" s="34" t="s">
        <v>77</v>
      </c>
      <c r="E16972" s="30" t="s">
        <v>31244</v>
      </c>
      <c r="F16972" s="34" t="n">
        <f aca="false">IFERROR(VLOOKUP($A16972,'319'!$B:$H,7,0),0)</f>
        <v>0</v>
      </c>
      <c r="G16972" s="34" t="n">
        <f aca="false">SUMIFS('12.326ana'!$C:$C,'12.326ana'!$M:$M,redes!A16972)</f>
        <v>0</v>
      </c>
    </row>
    <row r="16973" customFormat="false" ht="14.4" hidden="true" customHeight="false" outlineLevel="0" collapsed="false">
      <c r="A16973" s="34" t="n">
        <v>35615477000166</v>
      </c>
      <c r="B16973" s="34" t="s">
        <v>31245</v>
      </c>
      <c r="C16973" s="34" t="s">
        <v>77</v>
      </c>
      <c r="E16973" s="30" t="s">
        <v>4630</v>
      </c>
      <c r="F16973" s="34" t="n">
        <f aca="false">IFERROR(VLOOKUP($A16973,'319'!$B:$H,7,0),0)</f>
        <v>1784.17</v>
      </c>
      <c r="G16973" s="34" t="n">
        <f aca="false">SUMIFS('12.326ana'!$C:$C,'12.326ana'!$M:$M,redes!A16973)</f>
        <v>0</v>
      </c>
    </row>
    <row r="16974" customFormat="false" ht="14.4" hidden="true" customHeight="false" outlineLevel="0" collapsed="false">
      <c r="A16974" s="34" t="n">
        <v>35615904000106</v>
      </c>
      <c r="B16974" s="34" t="s">
        <v>31246</v>
      </c>
      <c r="C16974" s="34" t="s">
        <v>377</v>
      </c>
      <c r="E16974" s="30" t="s">
        <v>31247</v>
      </c>
      <c r="F16974" s="34" t="n">
        <f aca="false">IFERROR(VLOOKUP($A16974,'319'!$B:$H,7,0),0)</f>
        <v>0</v>
      </c>
      <c r="G16974" s="34" t="n">
        <f aca="false">SUMIFS('12.326ana'!$C:$C,'12.326ana'!$M:$M,redes!A16974)</f>
        <v>0</v>
      </c>
    </row>
    <row r="16975" customFormat="false" ht="14.4" hidden="true" customHeight="false" outlineLevel="0" collapsed="false">
      <c r="A16975" s="34" t="n">
        <v>35619859000168</v>
      </c>
      <c r="B16975" s="34" t="s">
        <v>31248</v>
      </c>
      <c r="C16975" s="34" t="s">
        <v>139</v>
      </c>
      <c r="E16975" s="30" t="s">
        <v>30768</v>
      </c>
      <c r="F16975" s="34" t="n">
        <f aca="false">IFERROR(VLOOKUP($A16975,'319'!$B:$H,7,0),0)</f>
        <v>0</v>
      </c>
      <c r="G16975" s="34" t="n">
        <f aca="false">SUMIFS('12.326ana'!$C:$C,'12.326ana'!$M:$M,redes!A16975)</f>
        <v>0</v>
      </c>
    </row>
    <row r="16976" customFormat="false" ht="14.4" hidden="true" customHeight="false" outlineLevel="0" collapsed="false">
      <c r="A16976" s="34" t="n">
        <v>35640555000182</v>
      </c>
      <c r="B16976" s="34" t="s">
        <v>31249</v>
      </c>
      <c r="C16976" s="34" t="s">
        <v>77</v>
      </c>
      <c r="E16976" s="30" t="s">
        <v>3206</v>
      </c>
      <c r="F16976" s="34" t="n">
        <f aca="false">IFERROR(VLOOKUP($A16976,'319'!$B:$H,7,0),0)</f>
        <v>0</v>
      </c>
      <c r="G16976" s="34" t="n">
        <f aca="false">SUMIFS('12.326ana'!$C:$C,'12.326ana'!$M:$M,redes!A16976)</f>
        <v>0</v>
      </c>
    </row>
    <row r="16977" customFormat="false" ht="14.4" hidden="true" customHeight="false" outlineLevel="0" collapsed="false">
      <c r="A16977" s="34" t="n">
        <v>35644067000143</v>
      </c>
      <c r="B16977" s="34" t="s">
        <v>31250</v>
      </c>
      <c r="C16977" s="34" t="s">
        <v>77</v>
      </c>
      <c r="E16977" s="30" t="s">
        <v>30716</v>
      </c>
      <c r="F16977" s="34" t="n">
        <f aca="false">IFERROR(VLOOKUP($A16977,'319'!$B:$H,7,0),0)</f>
        <v>0</v>
      </c>
      <c r="G16977" s="34" t="n">
        <f aca="false">SUMIFS('12.326ana'!$C:$C,'12.326ana'!$M:$M,redes!A16977)</f>
        <v>0</v>
      </c>
    </row>
    <row r="16978" customFormat="false" ht="14.4" hidden="true" customHeight="false" outlineLevel="0" collapsed="false">
      <c r="A16978" s="34" t="n">
        <v>35663746000160</v>
      </c>
      <c r="B16978" s="34" t="s">
        <v>31251</v>
      </c>
      <c r="C16978" s="34" t="s">
        <v>77</v>
      </c>
      <c r="E16978" s="30" t="s">
        <v>31252</v>
      </c>
      <c r="F16978" s="34" t="n">
        <f aca="false">IFERROR(VLOOKUP($A16978,'319'!$B:$H,7,0),0)</f>
        <v>0</v>
      </c>
      <c r="G16978" s="34" t="n">
        <f aca="false">SUMIFS('12.326ana'!$C:$C,'12.326ana'!$M:$M,redes!A16978)</f>
        <v>0</v>
      </c>
    </row>
    <row r="16979" customFormat="false" ht="14.4" hidden="true" customHeight="false" outlineLevel="0" collapsed="false">
      <c r="A16979" s="34" t="n">
        <v>35693271000154</v>
      </c>
      <c r="B16979" s="34" t="s">
        <v>31253</v>
      </c>
      <c r="C16979" s="34" t="s">
        <v>192</v>
      </c>
      <c r="E16979" s="30" t="s">
        <v>31254</v>
      </c>
      <c r="F16979" s="34" t="n">
        <f aca="false">IFERROR(VLOOKUP($A16979,'319'!$B:$H,7,0),0)</f>
        <v>0</v>
      </c>
      <c r="G16979" s="34" t="n">
        <f aca="false">SUMIFS('12.326ana'!$C:$C,'12.326ana'!$M:$M,redes!A16979)</f>
        <v>0</v>
      </c>
    </row>
    <row r="16980" customFormat="false" ht="14.4" hidden="true" customHeight="false" outlineLevel="0" collapsed="false">
      <c r="A16980" s="34" t="n">
        <v>35728276000175</v>
      </c>
      <c r="B16980" s="34" t="s">
        <v>31255</v>
      </c>
      <c r="C16980" s="34" t="s">
        <v>89</v>
      </c>
      <c r="E16980" s="30" t="s">
        <v>31256</v>
      </c>
      <c r="F16980" s="34" t="n">
        <f aca="false">IFERROR(VLOOKUP($A16980,'319'!$B:$H,7,0),0)</f>
        <v>0</v>
      </c>
      <c r="G16980" s="34" t="n">
        <f aca="false">SUMIFS('12.326ana'!$C:$C,'12.326ana'!$M:$M,redes!A16980)</f>
        <v>0</v>
      </c>
    </row>
    <row r="16981" customFormat="false" ht="14.4" hidden="true" customHeight="false" outlineLevel="0" collapsed="false">
      <c r="A16981" s="34" t="n">
        <v>35730349000163</v>
      </c>
      <c r="B16981" s="34" t="s">
        <v>31257</v>
      </c>
      <c r="C16981" s="34" t="s">
        <v>781</v>
      </c>
      <c r="E16981" s="30" t="s">
        <v>3579</v>
      </c>
      <c r="F16981" s="34" t="n">
        <f aca="false">IFERROR(VLOOKUP($A16981,'319'!$B:$H,7,0),0)</f>
        <v>0</v>
      </c>
      <c r="G16981" s="34" t="n">
        <f aca="false">SUMIFS('12.326ana'!$C:$C,'12.326ana'!$M:$M,redes!A16981)</f>
        <v>0</v>
      </c>
    </row>
    <row r="16982" customFormat="false" ht="14.4" hidden="true" customHeight="false" outlineLevel="0" collapsed="false">
      <c r="A16982" s="34" t="n">
        <v>35747314000137</v>
      </c>
      <c r="B16982" s="34" t="s">
        <v>31258</v>
      </c>
      <c r="C16982" s="34" t="s">
        <v>107</v>
      </c>
      <c r="E16982" s="30" t="s">
        <v>31259</v>
      </c>
      <c r="F16982" s="34" t="n">
        <f aca="false">IFERROR(VLOOKUP($A16982,'319'!$B:$H,7,0),0)</f>
        <v>0</v>
      </c>
      <c r="G16982" s="34" t="n">
        <f aca="false">SUMIFS('12.326ana'!$C:$C,'12.326ana'!$M:$M,redes!A16982)</f>
        <v>0</v>
      </c>
    </row>
    <row r="16983" customFormat="false" ht="14.4" hidden="true" customHeight="false" outlineLevel="0" collapsed="false">
      <c r="A16983" s="34" t="n">
        <v>35748841000166</v>
      </c>
      <c r="B16983" s="34" t="s">
        <v>31260</v>
      </c>
      <c r="C16983" s="34" t="s">
        <v>77</v>
      </c>
      <c r="E16983" s="30" t="s">
        <v>31261</v>
      </c>
      <c r="F16983" s="34" t="n">
        <f aca="false">IFERROR(VLOOKUP($A16983,'319'!$B:$H,7,0),0)</f>
        <v>0</v>
      </c>
      <c r="G16983" s="34" t="n">
        <f aca="false">SUMIFS('12.326ana'!$C:$C,'12.326ana'!$M:$M,redes!A16983)</f>
        <v>0</v>
      </c>
    </row>
    <row r="16984" customFormat="false" ht="14.4" hidden="true" customHeight="false" outlineLevel="0" collapsed="false">
      <c r="A16984" s="34" t="n">
        <v>35777413000161</v>
      </c>
      <c r="B16984" s="34" t="s">
        <v>31262</v>
      </c>
      <c r="C16984" s="34" t="s">
        <v>2998</v>
      </c>
      <c r="E16984" s="30" t="s">
        <v>31263</v>
      </c>
      <c r="F16984" s="34" t="n">
        <f aca="false">IFERROR(VLOOKUP($A16984,'319'!$B:$H,7,0),0)</f>
        <v>0</v>
      </c>
      <c r="G16984" s="34" t="n">
        <f aca="false">SUMIFS('12.326ana'!$C:$C,'12.326ana'!$M:$M,redes!A16984)</f>
        <v>0</v>
      </c>
    </row>
    <row r="16985" customFormat="false" ht="14.4" hidden="true" customHeight="false" outlineLevel="0" collapsed="false">
      <c r="A16985" s="34" t="n">
        <v>35795689000172</v>
      </c>
      <c r="B16985" s="34" t="s">
        <v>31264</v>
      </c>
      <c r="C16985" s="34" t="s">
        <v>77</v>
      </c>
      <c r="E16985" s="30" t="s">
        <v>3066</v>
      </c>
      <c r="F16985" s="34" t="n">
        <f aca="false">IFERROR(VLOOKUP($A16985,'319'!$B:$H,7,0),0)</f>
        <v>0</v>
      </c>
      <c r="G16985" s="34" t="n">
        <f aca="false">SUMIFS('12.326ana'!$C:$C,'12.326ana'!$M:$M,redes!A16985)</f>
        <v>0</v>
      </c>
    </row>
    <row r="16986" customFormat="false" ht="14.4" hidden="true" customHeight="false" outlineLevel="0" collapsed="false">
      <c r="A16986" s="34" t="n">
        <v>35795689000253</v>
      </c>
      <c r="B16986" s="34" t="s">
        <v>31264</v>
      </c>
      <c r="C16986" s="34" t="s">
        <v>77</v>
      </c>
      <c r="E16986" s="30" t="s">
        <v>31265</v>
      </c>
      <c r="F16986" s="34" t="n">
        <f aca="false">IFERROR(VLOOKUP($A16986,'319'!$B:$H,7,0),0)</f>
        <v>0</v>
      </c>
      <c r="G16986" s="34" t="n">
        <f aca="false">SUMIFS('12.326ana'!$C:$C,'12.326ana'!$M:$M,redes!A16986)</f>
        <v>0</v>
      </c>
    </row>
    <row r="16987" customFormat="false" ht="14.4" hidden="true" customHeight="false" outlineLevel="0" collapsed="false">
      <c r="A16987" s="34" t="n">
        <v>35797862000171</v>
      </c>
      <c r="B16987" s="34" t="s">
        <v>31266</v>
      </c>
      <c r="C16987" s="34" t="s">
        <v>598</v>
      </c>
      <c r="E16987" s="30" t="s">
        <v>31267</v>
      </c>
      <c r="F16987" s="34" t="n">
        <f aca="false">IFERROR(VLOOKUP($A16987,'319'!$B:$H,7,0),0)</f>
        <v>0</v>
      </c>
      <c r="G16987" s="34" t="n">
        <f aca="false">SUMIFS('12.326ana'!$C:$C,'12.326ana'!$M:$M,redes!A16987)</f>
        <v>0</v>
      </c>
    </row>
    <row r="16988" customFormat="false" ht="14.4" hidden="true" customHeight="false" outlineLevel="0" collapsed="false">
      <c r="A16988" s="34" t="n">
        <v>35811527000180</v>
      </c>
      <c r="B16988" s="34" t="s">
        <v>31268</v>
      </c>
      <c r="C16988" s="34" t="s">
        <v>192</v>
      </c>
      <c r="E16988" s="30" t="s">
        <v>31269</v>
      </c>
      <c r="F16988" s="34" t="n">
        <f aca="false">IFERROR(VLOOKUP($A16988,'319'!$B:$H,7,0),0)</f>
        <v>0</v>
      </c>
      <c r="G16988" s="34" t="n">
        <f aca="false">SUMIFS('12.326ana'!$C:$C,'12.326ana'!$M:$M,redes!A16988)</f>
        <v>0</v>
      </c>
    </row>
    <row r="16989" customFormat="false" ht="14.4" hidden="true" customHeight="false" outlineLevel="0" collapsed="false">
      <c r="A16989" s="34" t="n">
        <v>35831943000140</v>
      </c>
      <c r="B16989" s="34" t="s">
        <v>2965</v>
      </c>
      <c r="C16989" s="34" t="s">
        <v>77</v>
      </c>
      <c r="D16989" s="34" t="s">
        <v>38</v>
      </c>
      <c r="E16989" s="30" t="s">
        <v>2965</v>
      </c>
      <c r="F16989" s="34" t="n">
        <f aca="false">IFERROR(VLOOKUP($A16989,'319'!$B:$H,7,0),0)</f>
        <v>12395.95</v>
      </c>
      <c r="G16989" s="34" t="n">
        <f aca="false">SUMIFS('12.326ana'!$C:$C,'12.326ana'!$M:$M,redes!A16989)</f>
        <v>790.72</v>
      </c>
    </row>
    <row r="16990" customFormat="false" ht="14.4" hidden="true" customHeight="false" outlineLevel="0" collapsed="false">
      <c r="A16990" s="34" t="n">
        <v>35831943000221</v>
      </c>
      <c r="B16990" s="34" t="s">
        <v>2965</v>
      </c>
      <c r="C16990" s="34" t="s">
        <v>129</v>
      </c>
      <c r="D16990" s="34" t="s">
        <v>38</v>
      </c>
      <c r="E16990" s="30" t="s">
        <v>108</v>
      </c>
      <c r="F16990" s="34" t="n">
        <f aca="false">IFERROR(VLOOKUP($A16990,'319'!$B:$H,7,0),0)</f>
        <v>15944.57</v>
      </c>
      <c r="G16990" s="34" t="n">
        <f aca="false">SUMIFS('12.326ana'!$C:$C,'12.326ana'!$M:$M,redes!A16990)</f>
        <v>853.6</v>
      </c>
    </row>
    <row r="16991" customFormat="false" ht="14.4" hidden="true" customHeight="false" outlineLevel="0" collapsed="false">
      <c r="A16991" s="34" t="n">
        <v>35831943000302</v>
      </c>
      <c r="B16991" s="34" t="s">
        <v>2965</v>
      </c>
      <c r="C16991" s="34" t="s">
        <v>77</v>
      </c>
      <c r="D16991" s="34" t="s">
        <v>38</v>
      </c>
      <c r="E16991" s="30" t="s">
        <v>108</v>
      </c>
      <c r="F16991" s="34" t="n">
        <f aca="false">IFERROR(VLOOKUP($A16991,'319'!$B:$H,7,0),0)</f>
        <v>13782.95</v>
      </c>
      <c r="G16991" s="34" t="n">
        <f aca="false">SUMIFS('12.326ana'!$C:$C,'12.326ana'!$M:$M,redes!A16991)</f>
        <v>790.72</v>
      </c>
    </row>
    <row r="16992" customFormat="false" ht="14.4" hidden="true" customHeight="false" outlineLevel="0" collapsed="false">
      <c r="A16992" s="34" t="n">
        <v>35831943000493</v>
      </c>
      <c r="B16992" s="34" t="s">
        <v>2965</v>
      </c>
      <c r="C16992" s="34" t="s">
        <v>117</v>
      </c>
      <c r="D16992" s="34" t="s">
        <v>38</v>
      </c>
      <c r="E16992" s="30" t="s">
        <v>108</v>
      </c>
      <c r="F16992" s="34" t="n">
        <f aca="false">IFERROR(VLOOKUP($A16992,'319'!$B:$H,7,0),0)</f>
        <v>13736.94</v>
      </c>
      <c r="G16992" s="34" t="n">
        <f aca="false">SUMIFS('12.326ana'!$C:$C,'12.326ana'!$M:$M,redes!A16992)</f>
        <v>790.72</v>
      </c>
    </row>
    <row r="16993" customFormat="false" ht="14.4" hidden="true" customHeight="false" outlineLevel="0" collapsed="false">
      <c r="A16993" s="34" t="n">
        <v>35831943000574</v>
      </c>
      <c r="B16993" s="34" t="s">
        <v>2965</v>
      </c>
      <c r="C16993" s="34" t="s">
        <v>77</v>
      </c>
      <c r="D16993" s="34" t="s">
        <v>38</v>
      </c>
      <c r="E16993" s="30" t="s">
        <v>108</v>
      </c>
      <c r="F16993" s="34" t="n">
        <f aca="false">IFERROR(VLOOKUP($A16993,'319'!$B:$H,7,0),0)</f>
        <v>11480.03</v>
      </c>
      <c r="G16993" s="34" t="n">
        <f aca="false">SUMIFS('12.326ana'!$C:$C,'12.326ana'!$M:$M,redes!A16993)</f>
        <v>790.72</v>
      </c>
    </row>
    <row r="16994" customFormat="false" ht="14.4" hidden="true" customHeight="false" outlineLevel="0" collapsed="false">
      <c r="A16994" s="34" t="n">
        <v>35831943000655</v>
      </c>
      <c r="B16994" s="34" t="s">
        <v>2965</v>
      </c>
      <c r="C16994" s="34" t="s">
        <v>77</v>
      </c>
      <c r="D16994" s="34" t="s">
        <v>38</v>
      </c>
      <c r="E16994" s="30" t="s">
        <v>108</v>
      </c>
      <c r="F16994" s="34" t="n">
        <f aca="false">IFERROR(VLOOKUP($A16994,'319'!$B:$H,7,0),0)</f>
        <v>182.83</v>
      </c>
      <c r="G16994" s="34" t="n">
        <f aca="false">SUMIFS('12.326ana'!$C:$C,'12.326ana'!$M:$M,redes!A16994)</f>
        <v>178.56</v>
      </c>
    </row>
    <row r="16995" customFormat="false" ht="14.4" hidden="true" customHeight="false" outlineLevel="0" collapsed="false">
      <c r="A16995" s="34" t="n">
        <v>35831943000736</v>
      </c>
      <c r="B16995" s="34" t="s">
        <v>2965</v>
      </c>
      <c r="C16995" s="34" t="s">
        <v>77</v>
      </c>
      <c r="D16995" s="34" t="s">
        <v>38</v>
      </c>
      <c r="E16995" s="30" t="s">
        <v>108</v>
      </c>
      <c r="F16995" s="34" t="n">
        <f aca="false">IFERROR(VLOOKUP($A16995,'319'!$B:$H,7,0),0)</f>
        <v>6604.26</v>
      </c>
      <c r="G16995" s="34" t="n">
        <f aca="false">SUMIFS('12.326ana'!$C:$C,'12.326ana'!$M:$M,redes!A16995)</f>
        <v>665.32</v>
      </c>
    </row>
    <row r="16996" customFormat="false" ht="14.4" hidden="true" customHeight="false" outlineLevel="0" collapsed="false">
      <c r="A16996" s="34" t="n">
        <v>35831943000906</v>
      </c>
      <c r="B16996" s="34" t="s">
        <v>2965</v>
      </c>
      <c r="C16996" s="34" t="s">
        <v>127</v>
      </c>
      <c r="D16996" s="34" t="s">
        <v>38</v>
      </c>
      <c r="E16996" s="30" t="s">
        <v>2965</v>
      </c>
      <c r="F16996" s="34" t="n">
        <f aca="false">IFERROR(VLOOKUP($A16996,'319'!$B:$H,7,0),0)</f>
        <v>8093.4</v>
      </c>
      <c r="G16996" s="34" t="n">
        <f aca="false">SUMIFS('12.326ana'!$C:$C,'12.326ana'!$M:$M,redes!A16996)</f>
        <v>853.6</v>
      </c>
    </row>
    <row r="16997" customFormat="false" ht="14.4" hidden="true" customHeight="false" outlineLevel="0" collapsed="false">
      <c r="A16997" s="34" t="n">
        <v>35835186000183</v>
      </c>
      <c r="B16997" s="34" t="s">
        <v>31270</v>
      </c>
      <c r="C16997" s="34" t="s">
        <v>473</v>
      </c>
      <c r="E16997" s="30" t="s">
        <v>31271</v>
      </c>
      <c r="F16997" s="34" t="n">
        <f aca="false">IFERROR(VLOOKUP($A16997,'319'!$B:$H,7,0),0)</f>
        <v>0</v>
      </c>
      <c r="G16997" s="34" t="n">
        <f aca="false">SUMIFS('12.326ana'!$C:$C,'12.326ana'!$M:$M,redes!A16997)</f>
        <v>0</v>
      </c>
    </row>
    <row r="16998" customFormat="false" ht="14.4" hidden="true" customHeight="false" outlineLevel="0" collapsed="false">
      <c r="A16998" s="34" t="n">
        <v>35848029000102</v>
      </c>
      <c r="B16998" s="34" t="s">
        <v>31272</v>
      </c>
      <c r="C16998" s="34" t="s">
        <v>207</v>
      </c>
      <c r="E16998" s="30" t="s">
        <v>31273</v>
      </c>
      <c r="F16998" s="34" t="n">
        <f aca="false">IFERROR(VLOOKUP($A16998,'319'!$B:$H,7,0),0)</f>
        <v>0</v>
      </c>
      <c r="G16998" s="34" t="n">
        <f aca="false">SUMIFS('12.326ana'!$C:$C,'12.326ana'!$M:$M,redes!A16998)</f>
        <v>0</v>
      </c>
    </row>
    <row r="16999" customFormat="false" ht="14.4" hidden="true" customHeight="false" outlineLevel="0" collapsed="false">
      <c r="A16999" s="34" t="n">
        <v>35856448000196</v>
      </c>
      <c r="B16999" s="34" t="s">
        <v>31274</v>
      </c>
      <c r="C16999" s="34" t="s">
        <v>77</v>
      </c>
      <c r="E16999" s="30" t="s">
        <v>31275</v>
      </c>
      <c r="F16999" s="34" t="n">
        <f aca="false">IFERROR(VLOOKUP($A16999,'319'!$B:$H,7,0),0)</f>
        <v>0</v>
      </c>
      <c r="G16999" s="34" t="n">
        <f aca="false">SUMIFS('12.326ana'!$C:$C,'12.326ana'!$M:$M,redes!A16999)</f>
        <v>0</v>
      </c>
    </row>
    <row r="17000" customFormat="false" ht="14.4" hidden="true" customHeight="false" outlineLevel="0" collapsed="false">
      <c r="A17000" s="34" t="n">
        <v>35914671000142</v>
      </c>
      <c r="B17000" s="34" t="s">
        <v>31276</v>
      </c>
      <c r="C17000" s="34" t="s">
        <v>139</v>
      </c>
      <c r="E17000" s="30" t="s">
        <v>31277</v>
      </c>
      <c r="F17000" s="34" t="n">
        <f aca="false">IFERROR(VLOOKUP($A17000,'319'!$B:$H,7,0),0)</f>
        <v>0</v>
      </c>
      <c r="G17000" s="34" t="n">
        <f aca="false">SUMIFS('12.326ana'!$C:$C,'12.326ana'!$M:$M,redes!A17000)</f>
        <v>0</v>
      </c>
    </row>
    <row r="17001" customFormat="false" ht="14.4" hidden="true" customHeight="false" outlineLevel="0" collapsed="false">
      <c r="A17001" s="34" t="n">
        <v>35940049000109</v>
      </c>
      <c r="B17001" s="34" t="s">
        <v>31278</v>
      </c>
      <c r="C17001" s="34" t="s">
        <v>604</v>
      </c>
      <c r="E17001" s="30" t="s">
        <v>31278</v>
      </c>
      <c r="F17001" s="34" t="n">
        <f aca="false">IFERROR(VLOOKUP($A17001,'319'!$B:$H,7,0),0)</f>
        <v>0</v>
      </c>
      <c r="G17001" s="34" t="n">
        <f aca="false">SUMIFS('12.326ana'!$C:$C,'12.326ana'!$M:$M,redes!A17001)</f>
        <v>0</v>
      </c>
    </row>
    <row r="17002" customFormat="false" ht="14.4" hidden="true" customHeight="false" outlineLevel="0" collapsed="false">
      <c r="A17002" s="34" t="n">
        <v>35955725000118</v>
      </c>
      <c r="B17002" s="34" t="s">
        <v>31279</v>
      </c>
      <c r="C17002" s="34" t="s">
        <v>77</v>
      </c>
      <c r="E17002" s="30" t="s">
        <v>6944</v>
      </c>
      <c r="F17002" s="34" t="n">
        <f aca="false">IFERROR(VLOOKUP($A17002,'319'!$B:$H,7,0),0)</f>
        <v>0</v>
      </c>
      <c r="G17002" s="34" t="n">
        <f aca="false">SUMIFS('12.326ana'!$C:$C,'12.326ana'!$M:$M,redes!A17002)</f>
        <v>0</v>
      </c>
    </row>
    <row r="17003" customFormat="false" ht="14.4" hidden="true" customHeight="false" outlineLevel="0" collapsed="false">
      <c r="A17003" s="34" t="n">
        <v>35962041000143</v>
      </c>
      <c r="B17003" s="34" t="s">
        <v>31280</v>
      </c>
      <c r="C17003" s="34" t="s">
        <v>107</v>
      </c>
      <c r="E17003" s="30" t="s">
        <v>4010</v>
      </c>
      <c r="F17003" s="34" t="n">
        <f aca="false">IFERROR(VLOOKUP($A17003,'319'!$B:$H,7,0),0)</f>
        <v>0</v>
      </c>
      <c r="G17003" s="34" t="n">
        <f aca="false">SUMIFS('12.326ana'!$C:$C,'12.326ana'!$M:$M,redes!A17003)</f>
        <v>0</v>
      </c>
    </row>
    <row r="17004" customFormat="false" ht="14.4" hidden="true" customHeight="false" outlineLevel="0" collapsed="false">
      <c r="A17004" s="34" t="n">
        <v>35962041000224</v>
      </c>
      <c r="B17004" s="34" t="s">
        <v>31281</v>
      </c>
      <c r="C17004" s="34" t="s">
        <v>107</v>
      </c>
      <c r="E17004" s="30" t="s">
        <v>1323</v>
      </c>
      <c r="F17004" s="34" t="n">
        <f aca="false">IFERROR(VLOOKUP($A17004,'319'!$B:$H,7,0),0)</f>
        <v>0</v>
      </c>
      <c r="G17004" s="34" t="n">
        <f aca="false">SUMIFS('12.326ana'!$C:$C,'12.326ana'!$M:$M,redes!A17004)</f>
        <v>0</v>
      </c>
    </row>
    <row r="17005" customFormat="false" ht="14.4" hidden="true" customHeight="false" outlineLevel="0" collapsed="false">
      <c r="A17005" s="34" t="n">
        <v>35981295000109</v>
      </c>
      <c r="B17005" s="34" t="s">
        <v>31282</v>
      </c>
      <c r="C17005" s="34" t="s">
        <v>103</v>
      </c>
      <c r="E17005" s="30" t="s">
        <v>5240</v>
      </c>
      <c r="F17005" s="34" t="n">
        <f aca="false">IFERROR(VLOOKUP($A17005,'319'!$B:$H,7,0),0)</f>
        <v>0</v>
      </c>
      <c r="G17005" s="34" t="n">
        <f aca="false">SUMIFS('12.326ana'!$C:$C,'12.326ana'!$M:$M,redes!A17005)</f>
        <v>0</v>
      </c>
    </row>
    <row r="17006" customFormat="false" ht="14.4" hidden="true" customHeight="false" outlineLevel="0" collapsed="false">
      <c r="A17006" s="34" t="n">
        <v>35984946000114</v>
      </c>
      <c r="B17006" s="34" t="s">
        <v>31283</v>
      </c>
      <c r="C17006" s="34" t="s">
        <v>197</v>
      </c>
      <c r="E17006" s="30" t="s">
        <v>31284</v>
      </c>
      <c r="F17006" s="34" t="n">
        <f aca="false">IFERROR(VLOOKUP($A17006,'319'!$B:$H,7,0),0)</f>
        <v>0</v>
      </c>
      <c r="G17006" s="34" t="n">
        <f aca="false">SUMIFS('12.326ana'!$C:$C,'12.326ana'!$M:$M,redes!A17006)</f>
        <v>0</v>
      </c>
    </row>
    <row r="17007" customFormat="false" ht="14.4" hidden="true" customHeight="false" outlineLevel="0" collapsed="false">
      <c r="A17007" s="34" t="n">
        <v>36026558000193</v>
      </c>
      <c r="B17007" s="34" t="s">
        <v>31285</v>
      </c>
      <c r="C17007" s="34" t="s">
        <v>77</v>
      </c>
      <c r="E17007" s="30" t="s">
        <v>31286</v>
      </c>
      <c r="F17007" s="34" t="n">
        <f aca="false">IFERROR(VLOOKUP($A17007,'319'!$B:$H,7,0),0)</f>
        <v>0</v>
      </c>
      <c r="G17007" s="34" t="n">
        <f aca="false">SUMIFS('12.326ana'!$C:$C,'12.326ana'!$M:$M,redes!A17007)</f>
        <v>0</v>
      </c>
    </row>
    <row r="17008" customFormat="false" ht="14.4" hidden="true" customHeight="false" outlineLevel="0" collapsed="false">
      <c r="A17008" s="34" t="n">
        <v>36026558000274</v>
      </c>
      <c r="B17008" s="34" t="s">
        <v>31285</v>
      </c>
      <c r="C17008" s="34" t="s">
        <v>77</v>
      </c>
      <c r="E17008" s="30" t="s">
        <v>31287</v>
      </c>
      <c r="F17008" s="34" t="n">
        <f aca="false">IFERROR(VLOOKUP($A17008,'319'!$B:$H,7,0),0)</f>
        <v>0</v>
      </c>
      <c r="G17008" s="34" t="n">
        <f aca="false">SUMIFS('12.326ana'!$C:$C,'12.326ana'!$M:$M,redes!A17008)</f>
        <v>0</v>
      </c>
    </row>
    <row r="17009" customFormat="false" ht="14.4" hidden="true" customHeight="false" outlineLevel="0" collapsed="false">
      <c r="A17009" s="34" t="n">
        <v>36040465000113</v>
      </c>
      <c r="B17009" s="34" t="s">
        <v>31288</v>
      </c>
      <c r="C17009" s="34" t="s">
        <v>89</v>
      </c>
      <c r="E17009" s="30" t="s">
        <v>31289</v>
      </c>
      <c r="F17009" s="34" t="n">
        <f aca="false">IFERROR(VLOOKUP($A17009,'319'!$B:$H,7,0),0)</f>
        <v>171.28</v>
      </c>
      <c r="G17009" s="34" t="n">
        <f aca="false">SUMIFS('12.326ana'!$C:$C,'12.326ana'!$M:$M,redes!A17009)</f>
        <v>0</v>
      </c>
    </row>
    <row r="17010" customFormat="false" ht="14.4" hidden="true" customHeight="false" outlineLevel="0" collapsed="false">
      <c r="A17010" s="34" t="n">
        <v>36058599000161</v>
      </c>
      <c r="B17010" s="34" t="s">
        <v>31290</v>
      </c>
      <c r="C17010" s="34" t="s">
        <v>77</v>
      </c>
      <c r="E17010" s="30" t="s">
        <v>31291</v>
      </c>
      <c r="F17010" s="34" t="n">
        <f aca="false">IFERROR(VLOOKUP($A17010,'319'!$B:$H,7,0),0)</f>
        <v>0</v>
      </c>
      <c r="G17010" s="34" t="n">
        <f aca="false">SUMIFS('12.326ana'!$C:$C,'12.326ana'!$M:$M,redes!A17010)</f>
        <v>0</v>
      </c>
    </row>
    <row r="17011" customFormat="false" ht="14.4" hidden="true" customHeight="false" outlineLevel="0" collapsed="false">
      <c r="A17011" s="34" t="n">
        <v>36059003000148</v>
      </c>
      <c r="B17011" s="34" t="s">
        <v>31292</v>
      </c>
      <c r="C17011" s="34" t="s">
        <v>77</v>
      </c>
      <c r="E17011" s="30" t="s">
        <v>27865</v>
      </c>
      <c r="F17011" s="34" t="n">
        <f aca="false">IFERROR(VLOOKUP($A17011,'319'!$B:$H,7,0),0)</f>
        <v>0</v>
      </c>
      <c r="G17011" s="34" t="n">
        <f aca="false">SUMIFS('12.326ana'!$C:$C,'12.326ana'!$M:$M,redes!A17011)</f>
        <v>0</v>
      </c>
    </row>
    <row r="17012" customFormat="false" ht="14.4" hidden="true" customHeight="false" outlineLevel="0" collapsed="false">
      <c r="A17012" s="34" t="n">
        <v>36099369000140</v>
      </c>
      <c r="B17012" s="34" t="s">
        <v>31293</v>
      </c>
      <c r="C17012" s="34" t="s">
        <v>77</v>
      </c>
      <c r="E17012" s="30" t="s">
        <v>3831</v>
      </c>
      <c r="F17012" s="34" t="n">
        <f aca="false">IFERROR(VLOOKUP($A17012,'319'!$B:$H,7,0),0)</f>
        <v>0</v>
      </c>
      <c r="G17012" s="34" t="n">
        <f aca="false">SUMIFS('12.326ana'!$C:$C,'12.326ana'!$M:$M,redes!A17012)</f>
        <v>0</v>
      </c>
    </row>
    <row r="17013" customFormat="false" ht="14.4" hidden="true" customHeight="false" outlineLevel="0" collapsed="false">
      <c r="A17013" s="34" t="n">
        <v>36103640000174</v>
      </c>
      <c r="B17013" s="34" t="s">
        <v>31294</v>
      </c>
      <c r="C17013" s="34" t="s">
        <v>207</v>
      </c>
      <c r="E17013" s="30" t="s">
        <v>31295</v>
      </c>
      <c r="F17013" s="34" t="n">
        <f aca="false">IFERROR(VLOOKUP($A17013,'319'!$B:$H,7,0),0)</f>
        <v>0</v>
      </c>
      <c r="G17013" s="34" t="n">
        <f aca="false">SUMIFS('12.326ana'!$C:$C,'12.326ana'!$M:$M,redes!A17013)</f>
        <v>0</v>
      </c>
    </row>
    <row r="17014" customFormat="false" ht="14.4" hidden="true" customHeight="false" outlineLevel="0" collapsed="false">
      <c r="A17014" s="34" t="n">
        <v>36104471000197</v>
      </c>
      <c r="B17014" s="34" t="s">
        <v>31296</v>
      </c>
      <c r="C17014" s="34" t="s">
        <v>77</v>
      </c>
      <c r="E17014" s="30" t="s">
        <v>31297</v>
      </c>
      <c r="F17014" s="34" t="n">
        <f aca="false">IFERROR(VLOOKUP($A17014,'319'!$B:$H,7,0),0)</f>
        <v>0</v>
      </c>
      <c r="G17014" s="34" t="n">
        <f aca="false">SUMIFS('12.326ana'!$C:$C,'12.326ana'!$M:$M,redes!A17014)</f>
        <v>0</v>
      </c>
    </row>
    <row r="17015" customFormat="false" ht="14.4" hidden="true" customHeight="false" outlineLevel="0" collapsed="false">
      <c r="A17015" s="34" t="n">
        <v>36109043000157</v>
      </c>
      <c r="B17015" s="34" t="s">
        <v>31298</v>
      </c>
      <c r="C17015" s="34" t="s">
        <v>107</v>
      </c>
      <c r="E17015" s="30" t="s">
        <v>31299</v>
      </c>
      <c r="F17015" s="34" t="n">
        <f aca="false">IFERROR(VLOOKUP($A17015,'319'!$B:$H,7,0),0)</f>
        <v>0</v>
      </c>
      <c r="G17015" s="34" t="n">
        <f aca="false">SUMIFS('12.326ana'!$C:$C,'12.326ana'!$M:$M,redes!A17015)</f>
        <v>0</v>
      </c>
    </row>
    <row r="17016" customFormat="false" ht="14.4" hidden="true" customHeight="false" outlineLevel="0" collapsed="false">
      <c r="A17016" s="34" t="n">
        <v>36116717000140</v>
      </c>
      <c r="B17016" s="34" t="s">
        <v>31300</v>
      </c>
      <c r="C17016" s="34" t="s">
        <v>77</v>
      </c>
      <c r="E17016" s="30" t="s">
        <v>31301</v>
      </c>
      <c r="F17016" s="34" t="n">
        <f aca="false">IFERROR(VLOOKUP($A17016,'319'!$B:$H,7,0),0)</f>
        <v>0</v>
      </c>
      <c r="G17016" s="34" t="n">
        <f aca="false">SUMIFS('12.326ana'!$C:$C,'12.326ana'!$M:$M,redes!A17016)</f>
        <v>0</v>
      </c>
    </row>
    <row r="17017" customFormat="false" ht="14.4" hidden="true" customHeight="false" outlineLevel="0" collapsed="false">
      <c r="A17017" s="34" t="n">
        <v>36149324000133</v>
      </c>
      <c r="B17017" s="34" t="s">
        <v>31302</v>
      </c>
      <c r="C17017" s="34" t="s">
        <v>77</v>
      </c>
      <c r="E17017" s="30" t="s">
        <v>31303</v>
      </c>
      <c r="F17017" s="34" t="n">
        <f aca="false">IFERROR(VLOOKUP($A17017,'319'!$B:$H,7,0),0)</f>
        <v>0</v>
      </c>
      <c r="G17017" s="34" t="n">
        <f aca="false">SUMIFS('12.326ana'!$C:$C,'12.326ana'!$M:$M,redes!A17017)</f>
        <v>0</v>
      </c>
    </row>
    <row r="17018" customFormat="false" ht="14.4" hidden="true" customHeight="false" outlineLevel="0" collapsed="false">
      <c r="A17018" s="34" t="n">
        <v>36154369000104</v>
      </c>
      <c r="B17018" s="34" t="s">
        <v>31304</v>
      </c>
      <c r="C17018" s="34" t="s">
        <v>77</v>
      </c>
      <c r="E17018" s="30" t="s">
        <v>31305</v>
      </c>
      <c r="F17018" s="34" t="n">
        <f aca="false">IFERROR(VLOOKUP($A17018,'319'!$B:$H,7,0),0)</f>
        <v>0</v>
      </c>
      <c r="G17018" s="34" t="n">
        <f aca="false">SUMIFS('12.326ana'!$C:$C,'12.326ana'!$M:$M,redes!A17018)</f>
        <v>0</v>
      </c>
    </row>
    <row r="17019" customFormat="false" ht="14.4" hidden="true" customHeight="false" outlineLevel="0" collapsed="false">
      <c r="A17019" s="34" t="n">
        <v>36158639000147</v>
      </c>
      <c r="B17019" s="34" t="s">
        <v>31306</v>
      </c>
      <c r="C17019" s="34" t="s">
        <v>77</v>
      </c>
      <c r="E17019" s="30" t="s">
        <v>31307</v>
      </c>
      <c r="F17019" s="34" t="n">
        <f aca="false">IFERROR(VLOOKUP($A17019,'319'!$B:$H,7,0),0)</f>
        <v>0</v>
      </c>
      <c r="G17019" s="34" t="n">
        <f aca="false">SUMIFS('12.326ana'!$C:$C,'12.326ana'!$M:$M,redes!A17019)</f>
        <v>0</v>
      </c>
    </row>
    <row r="17020" customFormat="false" ht="14.4" hidden="true" customHeight="false" outlineLevel="0" collapsed="false">
      <c r="A17020" s="34" t="n">
        <v>36199591000115</v>
      </c>
      <c r="B17020" s="34" t="s">
        <v>31308</v>
      </c>
      <c r="C17020" s="34" t="s">
        <v>77</v>
      </c>
      <c r="E17020" s="30" t="s">
        <v>31309</v>
      </c>
      <c r="F17020" s="34" t="n">
        <f aca="false">IFERROR(VLOOKUP($A17020,'319'!$B:$H,7,0),0)</f>
        <v>0</v>
      </c>
      <c r="G17020" s="34" t="n">
        <f aca="false">SUMIFS('12.326ana'!$C:$C,'12.326ana'!$M:$M,redes!A17020)</f>
        <v>0</v>
      </c>
    </row>
    <row r="17021" customFormat="false" ht="14.4" hidden="true" customHeight="false" outlineLevel="0" collapsed="false">
      <c r="A17021" s="34" t="n">
        <v>36230499000170</v>
      </c>
      <c r="B17021" s="34" t="s">
        <v>31310</v>
      </c>
      <c r="C17021" s="34" t="s">
        <v>107</v>
      </c>
      <c r="E17021" s="30" t="s">
        <v>12716</v>
      </c>
      <c r="F17021" s="34" t="n">
        <f aca="false">IFERROR(VLOOKUP($A17021,'319'!$B:$H,7,0),0)</f>
        <v>0</v>
      </c>
      <c r="G17021" s="34" t="n">
        <f aca="false">SUMIFS('12.326ana'!$C:$C,'12.326ana'!$M:$M,redes!A17021)</f>
        <v>0</v>
      </c>
    </row>
    <row r="17022" customFormat="false" ht="14.4" hidden="true" customHeight="false" outlineLevel="0" collapsed="false">
      <c r="A17022" s="34" t="n">
        <v>36231026000198</v>
      </c>
      <c r="B17022" s="34" t="s">
        <v>31311</v>
      </c>
      <c r="C17022" s="34" t="s">
        <v>351</v>
      </c>
      <c r="E17022" s="30" t="s">
        <v>31312</v>
      </c>
      <c r="F17022" s="34" t="n">
        <f aca="false">IFERROR(VLOOKUP($A17022,'319'!$B:$H,7,0),0)</f>
        <v>0</v>
      </c>
      <c r="G17022" s="34" t="n">
        <f aca="false">SUMIFS('12.326ana'!$C:$C,'12.326ana'!$M:$M,redes!A17022)</f>
        <v>0</v>
      </c>
    </row>
    <row r="17023" customFormat="false" ht="14.4" hidden="true" customHeight="false" outlineLevel="0" collapsed="false">
      <c r="A17023" s="34" t="n">
        <v>36238594000110</v>
      </c>
      <c r="B17023" s="34" t="s">
        <v>31313</v>
      </c>
      <c r="C17023" s="34" t="s">
        <v>89</v>
      </c>
      <c r="E17023" s="30" t="s">
        <v>31314</v>
      </c>
      <c r="F17023" s="34" t="n">
        <f aca="false">IFERROR(VLOOKUP($A17023,'319'!$B:$H,7,0),0)</f>
        <v>0</v>
      </c>
      <c r="G17023" s="34" t="n">
        <f aca="false">SUMIFS('12.326ana'!$C:$C,'12.326ana'!$M:$M,redes!A17023)</f>
        <v>0</v>
      </c>
    </row>
    <row r="17024" customFormat="false" ht="14.4" hidden="true" customHeight="false" outlineLevel="0" collapsed="false">
      <c r="A17024" s="34" t="n">
        <v>36243917000164</v>
      </c>
      <c r="B17024" s="34" t="s">
        <v>31315</v>
      </c>
      <c r="C17024" s="34" t="s">
        <v>77</v>
      </c>
      <c r="E17024" s="30" t="s">
        <v>31316</v>
      </c>
      <c r="F17024" s="34" t="n">
        <f aca="false">IFERROR(VLOOKUP($A17024,'319'!$B:$H,7,0),0)</f>
        <v>0</v>
      </c>
      <c r="G17024" s="34" t="n">
        <f aca="false">SUMIFS('12.326ana'!$C:$C,'12.326ana'!$M:$M,redes!A17024)</f>
        <v>0</v>
      </c>
    </row>
    <row r="17025" customFormat="false" ht="14.4" hidden="true" customHeight="false" outlineLevel="0" collapsed="false">
      <c r="A17025" s="34" t="n">
        <v>36254923000117</v>
      </c>
      <c r="B17025" s="34" t="s">
        <v>31317</v>
      </c>
      <c r="C17025" s="34" t="s">
        <v>842</v>
      </c>
      <c r="E17025" s="30" t="s">
        <v>3337</v>
      </c>
      <c r="F17025" s="34" t="n">
        <f aca="false">IFERROR(VLOOKUP($A17025,'319'!$B:$H,7,0),0)</f>
        <v>0</v>
      </c>
      <c r="G17025" s="34" t="n">
        <f aca="false">SUMIFS('12.326ana'!$C:$C,'12.326ana'!$M:$M,redes!A17025)</f>
        <v>0</v>
      </c>
    </row>
    <row r="17026" customFormat="false" ht="14.4" hidden="true" customHeight="false" outlineLevel="0" collapsed="false">
      <c r="A17026" s="34" t="n">
        <v>36259468000142</v>
      </c>
      <c r="B17026" s="34" t="s">
        <v>31318</v>
      </c>
      <c r="C17026" s="34" t="s">
        <v>77</v>
      </c>
      <c r="E17026" s="30" t="s">
        <v>31319</v>
      </c>
      <c r="F17026" s="34" t="n">
        <f aca="false">IFERROR(VLOOKUP($A17026,'319'!$B:$H,7,0),0)</f>
        <v>0</v>
      </c>
      <c r="G17026" s="34" t="n">
        <f aca="false">SUMIFS('12.326ana'!$C:$C,'12.326ana'!$M:$M,redes!A17026)</f>
        <v>0</v>
      </c>
    </row>
    <row r="17027" customFormat="false" ht="14.4" hidden="true" customHeight="false" outlineLevel="0" collapsed="false">
      <c r="A17027" s="34" t="n">
        <v>36261610000196</v>
      </c>
      <c r="B17027" s="34" t="s">
        <v>31320</v>
      </c>
      <c r="C17027" s="34" t="s">
        <v>979</v>
      </c>
      <c r="E17027" s="30" t="s">
        <v>31321</v>
      </c>
      <c r="F17027" s="34" t="n">
        <f aca="false">IFERROR(VLOOKUP($A17027,'319'!$B:$H,7,0),0)</f>
        <v>0</v>
      </c>
      <c r="G17027" s="34" t="n">
        <f aca="false">SUMIFS('12.326ana'!$C:$C,'12.326ana'!$M:$M,redes!A17027)</f>
        <v>0</v>
      </c>
    </row>
    <row r="17028" customFormat="false" ht="14.4" hidden="true" customHeight="false" outlineLevel="0" collapsed="false">
      <c r="A17028" s="34" t="n">
        <v>36265686000190</v>
      </c>
      <c r="B17028" s="34" t="s">
        <v>31322</v>
      </c>
      <c r="C17028" s="34" t="s">
        <v>377</v>
      </c>
      <c r="E17028" s="30" t="s">
        <v>31323</v>
      </c>
      <c r="F17028" s="34" t="n">
        <f aca="false">IFERROR(VLOOKUP($A17028,'319'!$B:$H,7,0),0)</f>
        <v>0</v>
      </c>
      <c r="G17028" s="34" t="n">
        <f aca="false">SUMIFS('12.326ana'!$C:$C,'12.326ana'!$M:$M,redes!A17028)</f>
        <v>0</v>
      </c>
    </row>
    <row r="17029" customFormat="false" ht="14.4" hidden="true" customHeight="false" outlineLevel="0" collapsed="false">
      <c r="A17029" s="34" t="n">
        <v>36291752000104</v>
      </c>
      <c r="B17029" s="34" t="s">
        <v>31324</v>
      </c>
      <c r="C17029" s="34" t="s">
        <v>77</v>
      </c>
      <c r="E17029" s="30" t="s">
        <v>31325</v>
      </c>
      <c r="F17029" s="34" t="n">
        <f aca="false">IFERROR(VLOOKUP($A17029,'319'!$B:$H,7,0),0)</f>
        <v>0</v>
      </c>
      <c r="G17029" s="34" t="n">
        <f aca="false">SUMIFS('12.326ana'!$C:$C,'12.326ana'!$M:$M,redes!A17029)</f>
        <v>0</v>
      </c>
    </row>
    <row r="17030" customFormat="false" ht="14.4" hidden="true" customHeight="false" outlineLevel="0" collapsed="false">
      <c r="A17030" s="34" t="n">
        <v>36309885000152</v>
      </c>
      <c r="B17030" s="34" t="s">
        <v>31326</v>
      </c>
      <c r="C17030" s="34" t="s">
        <v>77</v>
      </c>
      <c r="E17030" s="30" t="s">
        <v>31327</v>
      </c>
      <c r="F17030" s="34" t="n">
        <f aca="false">IFERROR(VLOOKUP($A17030,'319'!$B:$H,7,0),0)</f>
        <v>0</v>
      </c>
      <c r="G17030" s="34" t="n">
        <f aca="false">SUMIFS('12.326ana'!$C:$C,'12.326ana'!$M:$M,redes!A17030)</f>
        <v>0</v>
      </c>
    </row>
    <row r="17031" customFormat="false" ht="14.4" hidden="true" customHeight="false" outlineLevel="0" collapsed="false">
      <c r="A17031" s="34" t="n">
        <v>36319634000159</v>
      </c>
      <c r="B17031" s="34" t="s">
        <v>31328</v>
      </c>
      <c r="C17031" s="34" t="s">
        <v>77</v>
      </c>
      <c r="E17031" s="30" t="s">
        <v>31329</v>
      </c>
      <c r="F17031" s="34" t="n">
        <f aca="false">IFERROR(VLOOKUP($A17031,'319'!$B:$H,7,0),0)</f>
        <v>0</v>
      </c>
      <c r="G17031" s="34" t="n">
        <f aca="false">SUMIFS('12.326ana'!$C:$C,'12.326ana'!$M:$M,redes!A17031)</f>
        <v>0</v>
      </c>
    </row>
    <row r="17032" customFormat="false" ht="14.4" hidden="true" customHeight="false" outlineLevel="0" collapsed="false">
      <c r="A17032" s="34" t="n">
        <v>36322096000151</v>
      </c>
      <c r="B17032" s="34" t="s">
        <v>31330</v>
      </c>
      <c r="C17032" s="34" t="s">
        <v>139</v>
      </c>
      <c r="E17032" s="30" t="s">
        <v>31331</v>
      </c>
      <c r="F17032" s="34" t="n">
        <f aca="false">IFERROR(VLOOKUP($A17032,'319'!$B:$H,7,0),0)</f>
        <v>0</v>
      </c>
      <c r="G17032" s="34" t="n">
        <f aca="false">SUMIFS('12.326ana'!$C:$C,'12.326ana'!$M:$M,redes!A17032)</f>
        <v>0</v>
      </c>
    </row>
    <row r="17033" customFormat="false" ht="14.4" hidden="true" customHeight="false" outlineLevel="0" collapsed="false">
      <c r="A17033" s="34" t="n">
        <v>36324732000184</v>
      </c>
      <c r="B17033" s="34" t="s">
        <v>31332</v>
      </c>
      <c r="C17033" s="34" t="s">
        <v>192</v>
      </c>
      <c r="E17033" s="30" t="s">
        <v>31333</v>
      </c>
      <c r="F17033" s="34" t="n">
        <f aca="false">IFERROR(VLOOKUP($A17033,'319'!$B:$H,7,0),0)</f>
        <v>0</v>
      </c>
      <c r="G17033" s="34" t="n">
        <f aca="false">SUMIFS('12.326ana'!$C:$C,'12.326ana'!$M:$M,redes!A17033)</f>
        <v>0</v>
      </c>
    </row>
    <row r="17034" customFormat="false" ht="14.4" hidden="true" customHeight="false" outlineLevel="0" collapsed="false">
      <c r="A17034" s="34" t="n">
        <v>36324799000119</v>
      </c>
      <c r="B17034" s="34" t="s">
        <v>31334</v>
      </c>
      <c r="C17034" s="34" t="s">
        <v>139</v>
      </c>
      <c r="E17034" s="30" t="s">
        <v>31335</v>
      </c>
      <c r="F17034" s="34" t="n">
        <f aca="false">IFERROR(VLOOKUP($A17034,'319'!$B:$H,7,0),0)</f>
        <v>0</v>
      </c>
      <c r="G17034" s="34" t="n">
        <f aca="false">SUMIFS('12.326ana'!$C:$C,'12.326ana'!$M:$M,redes!A17034)</f>
        <v>0</v>
      </c>
    </row>
    <row r="17035" customFormat="false" ht="14.4" hidden="true" customHeight="false" outlineLevel="0" collapsed="false">
      <c r="A17035" s="34" t="n">
        <v>36343214000108</v>
      </c>
      <c r="B17035" s="34" t="s">
        <v>31336</v>
      </c>
      <c r="C17035" s="34" t="s">
        <v>77</v>
      </c>
      <c r="E17035" s="30" t="s">
        <v>4630</v>
      </c>
      <c r="F17035" s="34" t="n">
        <f aca="false">IFERROR(VLOOKUP($A17035,'319'!$B:$H,7,0),0)</f>
        <v>0</v>
      </c>
      <c r="G17035" s="34" t="n">
        <f aca="false">SUMIFS('12.326ana'!$C:$C,'12.326ana'!$M:$M,redes!A17035)</f>
        <v>0</v>
      </c>
    </row>
    <row r="17036" customFormat="false" ht="14.4" hidden="true" customHeight="false" outlineLevel="0" collapsed="false">
      <c r="A17036" s="34" t="n">
        <v>36348419000186</v>
      </c>
      <c r="B17036" s="34" t="s">
        <v>31337</v>
      </c>
      <c r="C17036" s="34" t="s">
        <v>107</v>
      </c>
      <c r="E17036" s="30" t="s">
        <v>31338</v>
      </c>
      <c r="F17036" s="34" t="n">
        <f aca="false">IFERROR(VLOOKUP($A17036,'319'!$B:$H,7,0),0)</f>
        <v>0</v>
      </c>
      <c r="G17036" s="34" t="n">
        <f aca="false">SUMIFS('12.326ana'!$C:$C,'12.326ana'!$M:$M,redes!A17036)</f>
        <v>0</v>
      </c>
    </row>
    <row r="17037" customFormat="false" ht="14.4" hidden="true" customHeight="false" outlineLevel="0" collapsed="false">
      <c r="A17037" s="34" t="n">
        <v>36348754000184</v>
      </c>
      <c r="B17037" s="34" t="s">
        <v>31339</v>
      </c>
      <c r="C17037" s="34" t="s">
        <v>77</v>
      </c>
      <c r="E17037" s="30" t="s">
        <v>4776</v>
      </c>
      <c r="F17037" s="34" t="n">
        <f aca="false">IFERROR(VLOOKUP($A17037,'319'!$B:$H,7,0),0)</f>
        <v>0</v>
      </c>
      <c r="G17037" s="34" t="n">
        <f aca="false">SUMIFS('12.326ana'!$C:$C,'12.326ana'!$M:$M,redes!A17037)</f>
        <v>0</v>
      </c>
    </row>
    <row r="17038" customFormat="false" ht="14.4" hidden="true" customHeight="false" outlineLevel="0" collapsed="false">
      <c r="A17038" s="34" t="n">
        <v>36351473000180</v>
      </c>
      <c r="B17038" s="34" t="s">
        <v>31340</v>
      </c>
      <c r="C17038" s="34" t="s">
        <v>77</v>
      </c>
      <c r="E17038" s="30" t="s">
        <v>31341</v>
      </c>
      <c r="F17038" s="34" t="n">
        <f aca="false">IFERROR(VLOOKUP($A17038,'319'!$B:$H,7,0),0)</f>
        <v>0</v>
      </c>
      <c r="G17038" s="34" t="n">
        <f aca="false">SUMIFS('12.326ana'!$C:$C,'12.326ana'!$M:$M,redes!A17038)</f>
        <v>0</v>
      </c>
    </row>
    <row r="17039" customFormat="false" ht="14.4" hidden="true" customHeight="false" outlineLevel="0" collapsed="false">
      <c r="A17039" s="34" t="n">
        <v>36357551000154</v>
      </c>
      <c r="B17039" s="34" t="s">
        <v>31342</v>
      </c>
      <c r="C17039" s="34" t="s">
        <v>103</v>
      </c>
      <c r="E17039" s="30" t="s">
        <v>31343</v>
      </c>
      <c r="F17039" s="34" t="n">
        <f aca="false">IFERROR(VLOOKUP($A17039,'319'!$B:$H,7,0),0)</f>
        <v>0</v>
      </c>
      <c r="G17039" s="34" t="n">
        <f aca="false">SUMIFS('12.326ana'!$C:$C,'12.326ana'!$M:$M,redes!A17039)</f>
        <v>0</v>
      </c>
    </row>
    <row r="17040" customFormat="false" ht="14.4" hidden="true" customHeight="false" outlineLevel="0" collapsed="false">
      <c r="A17040" s="34" t="n">
        <v>36366309000147</v>
      </c>
      <c r="B17040" s="34" t="s">
        <v>31344</v>
      </c>
      <c r="C17040" s="34" t="s">
        <v>77</v>
      </c>
      <c r="E17040" s="30" t="s">
        <v>31344</v>
      </c>
      <c r="F17040" s="34" t="n">
        <f aca="false">IFERROR(VLOOKUP($A17040,'319'!$B:$H,7,0),0)</f>
        <v>0</v>
      </c>
      <c r="G17040" s="34" t="n">
        <f aca="false">SUMIFS('12.326ana'!$C:$C,'12.326ana'!$M:$M,redes!A17040)</f>
        <v>0</v>
      </c>
    </row>
    <row r="17041" customFormat="false" ht="14.4" hidden="true" customHeight="false" outlineLevel="0" collapsed="false">
      <c r="A17041" s="34" t="n">
        <v>36441070000122</v>
      </c>
      <c r="B17041" s="34" t="s">
        <v>1427</v>
      </c>
      <c r="C17041" s="34" t="s">
        <v>377</v>
      </c>
      <c r="E17041" s="30" t="s">
        <v>31345</v>
      </c>
      <c r="F17041" s="34" t="n">
        <f aca="false">IFERROR(VLOOKUP($A17041,'319'!$B:$H,7,0),0)</f>
        <v>201.33</v>
      </c>
      <c r="G17041" s="34" t="n">
        <f aca="false">SUMIFS('12.326ana'!$C:$C,'12.326ana'!$M:$M,redes!A17041)</f>
        <v>0</v>
      </c>
    </row>
    <row r="17042" customFormat="false" ht="14.4" hidden="true" customHeight="false" outlineLevel="0" collapsed="false">
      <c r="A17042" s="34" t="n">
        <v>36455763000174</v>
      </c>
      <c r="B17042" s="34" t="s">
        <v>31346</v>
      </c>
      <c r="C17042" s="34" t="s">
        <v>631</v>
      </c>
      <c r="E17042" s="30" t="s">
        <v>30382</v>
      </c>
      <c r="F17042" s="34" t="n">
        <f aca="false">IFERROR(VLOOKUP($A17042,'319'!$B:$H,7,0),0)</f>
        <v>0</v>
      </c>
      <c r="G17042" s="34" t="n">
        <f aca="false">SUMIFS('12.326ana'!$C:$C,'12.326ana'!$M:$M,redes!A17042)</f>
        <v>0</v>
      </c>
    </row>
    <row r="17043" customFormat="false" ht="14.4" hidden="true" customHeight="false" outlineLevel="0" collapsed="false">
      <c r="A17043" s="34" t="n">
        <v>36475871000109</v>
      </c>
      <c r="B17043" s="34" t="s">
        <v>31347</v>
      </c>
      <c r="C17043" s="34" t="s">
        <v>77</v>
      </c>
      <c r="E17043" s="30" t="s">
        <v>31348</v>
      </c>
      <c r="F17043" s="34" t="n">
        <f aca="false">IFERROR(VLOOKUP($A17043,'319'!$B:$H,7,0),0)</f>
        <v>0</v>
      </c>
      <c r="G17043" s="34" t="n">
        <f aca="false">SUMIFS('12.326ana'!$C:$C,'12.326ana'!$M:$M,redes!A17043)</f>
        <v>0</v>
      </c>
    </row>
    <row r="17044" customFormat="false" ht="14.4" hidden="true" customHeight="false" outlineLevel="0" collapsed="false">
      <c r="A17044" s="34" t="n">
        <v>36479527000198</v>
      </c>
      <c r="B17044" s="34" t="s">
        <v>31349</v>
      </c>
      <c r="C17044" s="34" t="s">
        <v>631</v>
      </c>
      <c r="E17044" s="30" t="s">
        <v>4276</v>
      </c>
      <c r="F17044" s="34" t="n">
        <f aca="false">IFERROR(VLOOKUP($A17044,'319'!$B:$H,7,0),0)</f>
        <v>0</v>
      </c>
      <c r="G17044" s="34" t="n">
        <f aca="false">SUMIFS('12.326ana'!$C:$C,'12.326ana'!$M:$M,redes!A17044)</f>
        <v>0</v>
      </c>
    </row>
    <row r="17045" customFormat="false" ht="14.4" hidden="true" customHeight="false" outlineLevel="0" collapsed="false">
      <c r="A17045" s="34" t="n">
        <v>36495789000146</v>
      </c>
      <c r="B17045" s="34" t="s">
        <v>31350</v>
      </c>
      <c r="C17045" s="34" t="s">
        <v>89</v>
      </c>
      <c r="E17045" s="30" t="s">
        <v>31351</v>
      </c>
      <c r="F17045" s="34" t="n">
        <f aca="false">IFERROR(VLOOKUP($A17045,'319'!$B:$H,7,0),0)</f>
        <v>0</v>
      </c>
      <c r="G17045" s="34" t="n">
        <f aca="false">SUMIFS('12.326ana'!$C:$C,'12.326ana'!$M:$M,redes!A17045)</f>
        <v>0</v>
      </c>
    </row>
    <row r="17046" customFormat="false" ht="14.4" hidden="true" customHeight="false" outlineLevel="0" collapsed="false">
      <c r="A17046" s="34" t="n">
        <v>36506235000105</v>
      </c>
      <c r="B17046" s="34" t="s">
        <v>31352</v>
      </c>
      <c r="C17046" s="34" t="s">
        <v>77</v>
      </c>
      <c r="E17046" s="30" t="s">
        <v>31353</v>
      </c>
      <c r="F17046" s="34" t="n">
        <f aca="false">IFERROR(VLOOKUP($A17046,'319'!$B:$H,7,0),0)</f>
        <v>0</v>
      </c>
      <c r="G17046" s="34" t="n">
        <f aca="false">SUMIFS('12.326ana'!$C:$C,'12.326ana'!$M:$M,redes!A17046)</f>
        <v>0</v>
      </c>
    </row>
    <row r="17047" customFormat="false" ht="14.4" hidden="true" customHeight="false" outlineLevel="0" collapsed="false">
      <c r="A17047" s="34" t="n">
        <v>36518156000106</v>
      </c>
      <c r="B17047" s="34" t="s">
        <v>31354</v>
      </c>
      <c r="C17047" s="34" t="s">
        <v>77</v>
      </c>
      <c r="E17047" s="30" t="s">
        <v>31355</v>
      </c>
      <c r="F17047" s="34" t="n">
        <f aca="false">IFERROR(VLOOKUP($A17047,'319'!$B:$H,7,0),0)</f>
        <v>125.44</v>
      </c>
      <c r="G17047" s="34" t="n">
        <f aca="false">SUMIFS('12.326ana'!$C:$C,'12.326ana'!$M:$M,redes!A17047)</f>
        <v>0</v>
      </c>
    </row>
    <row r="17048" customFormat="false" ht="14.4" hidden="true" customHeight="false" outlineLevel="0" collapsed="false">
      <c r="A17048" s="34" t="n">
        <v>36520489000170</v>
      </c>
      <c r="B17048" s="34" t="s">
        <v>21391</v>
      </c>
      <c r="C17048" s="34" t="s">
        <v>89</v>
      </c>
      <c r="E17048" s="30" t="s">
        <v>9288</v>
      </c>
      <c r="F17048" s="34" t="n">
        <f aca="false">IFERROR(VLOOKUP($A17048,'319'!$B:$H,7,0),0)</f>
        <v>928.05</v>
      </c>
      <c r="G17048" s="34" t="n">
        <f aca="false">SUMIFS('12.326ana'!$C:$C,'12.326ana'!$M:$M,redes!A17048)</f>
        <v>0</v>
      </c>
    </row>
    <row r="17049" customFormat="false" ht="14.4" hidden="true" customHeight="false" outlineLevel="0" collapsed="false">
      <c r="A17049" s="34" t="n">
        <v>36529856000104</v>
      </c>
      <c r="B17049" s="34" t="s">
        <v>11104</v>
      </c>
      <c r="C17049" s="34" t="s">
        <v>77</v>
      </c>
      <c r="E17049" s="30" t="s">
        <v>31356</v>
      </c>
      <c r="F17049" s="34" t="n">
        <f aca="false">IFERROR(VLOOKUP($A17049,'319'!$B:$H,7,0),0)</f>
        <v>65.52</v>
      </c>
      <c r="G17049" s="34" t="n">
        <f aca="false">SUMIFS('12.326ana'!$C:$C,'12.326ana'!$M:$M,redes!A17049)</f>
        <v>0</v>
      </c>
    </row>
    <row r="17050" customFormat="false" ht="14.4" hidden="true" customHeight="false" outlineLevel="0" collapsed="false">
      <c r="A17050" s="34" t="n">
        <v>36530542000113</v>
      </c>
      <c r="B17050" s="34" t="s">
        <v>31357</v>
      </c>
      <c r="C17050" s="34" t="s">
        <v>737</v>
      </c>
      <c r="E17050" s="30" t="s">
        <v>19583</v>
      </c>
      <c r="F17050" s="34" t="n">
        <f aca="false">IFERROR(VLOOKUP($A17050,'319'!$B:$H,7,0),0)</f>
        <v>0</v>
      </c>
      <c r="G17050" s="34" t="n">
        <f aca="false">SUMIFS('12.326ana'!$C:$C,'12.326ana'!$M:$M,redes!A17050)</f>
        <v>0</v>
      </c>
    </row>
    <row r="17051" customFormat="false" ht="14.4" hidden="true" customHeight="false" outlineLevel="0" collapsed="false">
      <c r="A17051" s="34" t="n">
        <v>36538850000195</v>
      </c>
      <c r="B17051" s="34" t="s">
        <v>31358</v>
      </c>
      <c r="C17051" s="34" t="s">
        <v>77</v>
      </c>
      <c r="E17051" s="30" t="s">
        <v>31359</v>
      </c>
      <c r="F17051" s="34" t="n">
        <f aca="false">IFERROR(VLOOKUP($A17051,'319'!$B:$H,7,0),0)</f>
        <v>0</v>
      </c>
      <c r="G17051" s="34" t="n">
        <f aca="false">SUMIFS('12.326ana'!$C:$C,'12.326ana'!$M:$M,redes!A17051)</f>
        <v>0</v>
      </c>
    </row>
    <row r="17052" customFormat="false" ht="14.4" hidden="true" customHeight="false" outlineLevel="0" collapsed="false">
      <c r="A17052" s="34" t="n">
        <v>36597900000105</v>
      </c>
      <c r="B17052" s="34" t="s">
        <v>31360</v>
      </c>
      <c r="C17052" s="34" t="s">
        <v>809</v>
      </c>
      <c r="E17052" s="30" t="s">
        <v>24268</v>
      </c>
      <c r="F17052" s="34" t="n">
        <f aca="false">IFERROR(VLOOKUP($A17052,'319'!$B:$H,7,0),0)</f>
        <v>0</v>
      </c>
      <c r="G17052" s="34" t="n">
        <f aca="false">SUMIFS('12.326ana'!$C:$C,'12.326ana'!$M:$M,redes!A17052)</f>
        <v>0</v>
      </c>
    </row>
    <row r="17053" customFormat="false" ht="14.4" hidden="true" customHeight="false" outlineLevel="0" collapsed="false">
      <c r="A17053" s="34" t="n">
        <v>36613314000107</v>
      </c>
      <c r="B17053" s="34" t="s">
        <v>31361</v>
      </c>
      <c r="C17053" s="34" t="s">
        <v>89</v>
      </c>
      <c r="E17053" s="30" t="s">
        <v>31362</v>
      </c>
      <c r="F17053" s="34" t="n">
        <f aca="false">IFERROR(VLOOKUP($A17053,'319'!$B:$H,7,0),0)</f>
        <v>0</v>
      </c>
      <c r="G17053" s="34" t="n">
        <f aca="false">SUMIFS('12.326ana'!$C:$C,'12.326ana'!$M:$M,redes!A17053)</f>
        <v>0</v>
      </c>
    </row>
    <row r="17054" customFormat="false" ht="14.4" hidden="true" customHeight="false" outlineLevel="0" collapsed="false">
      <c r="A17054" s="34" t="n">
        <v>36642316000124</v>
      </c>
      <c r="B17054" s="34" t="s">
        <v>31363</v>
      </c>
      <c r="C17054" s="34" t="s">
        <v>192</v>
      </c>
      <c r="E17054" s="30" t="s">
        <v>31364</v>
      </c>
      <c r="F17054" s="34" t="n">
        <f aca="false">IFERROR(VLOOKUP($A17054,'319'!$B:$H,7,0),0)</f>
        <v>0</v>
      </c>
      <c r="G17054" s="34" t="n">
        <f aca="false">SUMIFS('12.326ana'!$C:$C,'12.326ana'!$M:$M,redes!A17054)</f>
        <v>0</v>
      </c>
    </row>
    <row r="17055" customFormat="false" ht="14.4" hidden="true" customHeight="false" outlineLevel="0" collapsed="false">
      <c r="A17055" s="34" t="n">
        <v>36642815000111</v>
      </c>
      <c r="B17055" s="34" t="s">
        <v>31365</v>
      </c>
      <c r="C17055" s="34" t="s">
        <v>737</v>
      </c>
      <c r="E17055" s="30" t="s">
        <v>31366</v>
      </c>
      <c r="F17055" s="34" t="n">
        <f aca="false">IFERROR(VLOOKUP($A17055,'319'!$B:$H,7,0),0)</f>
        <v>0</v>
      </c>
      <c r="G17055" s="34" t="n">
        <f aca="false">SUMIFS('12.326ana'!$C:$C,'12.326ana'!$M:$M,redes!A17055)</f>
        <v>0</v>
      </c>
    </row>
    <row r="17056" customFormat="false" ht="14.4" hidden="true" customHeight="false" outlineLevel="0" collapsed="false">
      <c r="A17056" s="34" t="n">
        <v>36656986000108</v>
      </c>
      <c r="B17056" s="34" t="s">
        <v>31367</v>
      </c>
      <c r="C17056" s="34" t="s">
        <v>77</v>
      </c>
      <c r="E17056" s="30" t="s">
        <v>31368</v>
      </c>
      <c r="F17056" s="34" t="n">
        <f aca="false">IFERROR(VLOOKUP($A17056,'319'!$B:$H,7,0),0)</f>
        <v>0</v>
      </c>
      <c r="G17056" s="34" t="n">
        <f aca="false">SUMIFS('12.326ana'!$C:$C,'12.326ana'!$M:$M,redes!A17056)</f>
        <v>0</v>
      </c>
    </row>
    <row r="17057" customFormat="false" ht="14.4" hidden="true" customHeight="false" outlineLevel="0" collapsed="false">
      <c r="A17057" s="34" t="n">
        <v>36664345000197</v>
      </c>
      <c r="B17057" s="34" t="s">
        <v>31369</v>
      </c>
      <c r="C17057" s="34" t="s">
        <v>77</v>
      </c>
      <c r="E17057" s="30" t="s">
        <v>31370</v>
      </c>
      <c r="F17057" s="34" t="n">
        <f aca="false">IFERROR(VLOOKUP($A17057,'319'!$B:$H,7,0),0)</f>
        <v>787.75</v>
      </c>
      <c r="G17057" s="34" t="n">
        <f aca="false">SUMIFS('12.326ana'!$C:$C,'12.326ana'!$M:$M,redes!A17057)</f>
        <v>0</v>
      </c>
    </row>
    <row r="17058" customFormat="false" ht="14.4" hidden="true" customHeight="false" outlineLevel="0" collapsed="false">
      <c r="A17058" s="34" t="n">
        <v>36669955000183</v>
      </c>
      <c r="B17058" s="34" t="s">
        <v>31371</v>
      </c>
      <c r="C17058" s="34" t="s">
        <v>357</v>
      </c>
      <c r="E17058" s="30" t="s">
        <v>24645</v>
      </c>
      <c r="F17058" s="34" t="n">
        <f aca="false">IFERROR(VLOOKUP($A17058,'319'!$B:$H,7,0),0)</f>
        <v>0</v>
      </c>
      <c r="G17058" s="34" t="n">
        <f aca="false">SUMIFS('12.326ana'!$C:$C,'12.326ana'!$M:$M,redes!A17058)</f>
        <v>0</v>
      </c>
    </row>
    <row r="17059" customFormat="false" ht="14.4" hidden="true" customHeight="false" outlineLevel="0" collapsed="false">
      <c r="A17059" s="34" t="n">
        <v>36670549000130</v>
      </c>
      <c r="B17059" s="34" t="s">
        <v>31372</v>
      </c>
      <c r="C17059" s="34" t="s">
        <v>77</v>
      </c>
      <c r="E17059" s="30" t="s">
        <v>31373</v>
      </c>
      <c r="F17059" s="34" t="n">
        <f aca="false">IFERROR(VLOOKUP($A17059,'319'!$B:$H,7,0),0)</f>
        <v>0</v>
      </c>
      <c r="G17059" s="34" t="n">
        <f aca="false">SUMIFS('12.326ana'!$C:$C,'12.326ana'!$M:$M,redes!A17059)</f>
        <v>0</v>
      </c>
    </row>
    <row r="17060" customFormat="false" ht="14.4" hidden="true" customHeight="false" outlineLevel="0" collapsed="false">
      <c r="A17060" s="34" t="n">
        <v>36673908000103</v>
      </c>
      <c r="B17060" s="34" t="s">
        <v>31374</v>
      </c>
      <c r="C17060" s="34" t="s">
        <v>1272</v>
      </c>
      <c r="E17060" s="30" t="s">
        <v>31375</v>
      </c>
      <c r="F17060" s="34" t="n">
        <f aca="false">IFERROR(VLOOKUP($A17060,'319'!$B:$H,7,0),0)</f>
        <v>0</v>
      </c>
      <c r="G17060" s="34" t="n">
        <f aca="false">SUMIFS('12.326ana'!$C:$C,'12.326ana'!$M:$M,redes!A17060)</f>
        <v>0</v>
      </c>
    </row>
    <row r="17061" customFormat="false" ht="14.4" hidden="true" customHeight="false" outlineLevel="0" collapsed="false">
      <c r="A17061" s="34" t="n">
        <v>36689300000177</v>
      </c>
      <c r="B17061" s="34" t="s">
        <v>31376</v>
      </c>
      <c r="C17061" s="34" t="s">
        <v>342</v>
      </c>
      <c r="E17061" s="30" t="s">
        <v>31377</v>
      </c>
      <c r="F17061" s="34" t="n">
        <f aca="false">IFERROR(VLOOKUP($A17061,'319'!$B:$H,7,0),0)</f>
        <v>0</v>
      </c>
      <c r="G17061" s="34" t="n">
        <f aca="false">SUMIFS('12.326ana'!$C:$C,'12.326ana'!$M:$M,redes!A17061)</f>
        <v>0</v>
      </c>
    </row>
    <row r="17062" customFormat="false" ht="14.4" hidden="true" customHeight="false" outlineLevel="0" collapsed="false">
      <c r="A17062" s="34" t="n">
        <v>36692070000103</v>
      </c>
      <c r="B17062" s="34" t="s">
        <v>31378</v>
      </c>
      <c r="C17062" s="34" t="s">
        <v>77</v>
      </c>
      <c r="E17062" s="30" t="s">
        <v>31379</v>
      </c>
      <c r="F17062" s="34" t="n">
        <f aca="false">IFERROR(VLOOKUP($A17062,'319'!$B:$H,7,0),0)</f>
        <v>0</v>
      </c>
      <c r="G17062" s="34" t="n">
        <f aca="false">SUMIFS('12.326ana'!$C:$C,'12.326ana'!$M:$M,redes!A17062)</f>
        <v>0</v>
      </c>
    </row>
    <row r="17063" customFormat="false" ht="14.4" hidden="true" customHeight="false" outlineLevel="0" collapsed="false">
      <c r="A17063" s="34" t="n">
        <v>36703117000189</v>
      </c>
      <c r="B17063" s="34" t="s">
        <v>31380</v>
      </c>
      <c r="C17063" s="34" t="s">
        <v>77</v>
      </c>
      <c r="E17063" s="30" t="s">
        <v>31381</v>
      </c>
      <c r="F17063" s="34" t="n">
        <f aca="false">IFERROR(VLOOKUP($A17063,'319'!$B:$H,7,0),0)</f>
        <v>0</v>
      </c>
      <c r="G17063" s="34" t="n">
        <f aca="false">SUMIFS('12.326ana'!$C:$C,'12.326ana'!$M:$M,redes!A17063)</f>
        <v>0</v>
      </c>
    </row>
    <row r="17064" customFormat="false" ht="14.4" hidden="true" customHeight="false" outlineLevel="0" collapsed="false">
      <c r="A17064" s="34" t="n">
        <v>36716502000160</v>
      </c>
      <c r="B17064" s="34" t="s">
        <v>31382</v>
      </c>
      <c r="C17064" s="34" t="s">
        <v>77</v>
      </c>
      <c r="E17064" s="30" t="s">
        <v>31383</v>
      </c>
      <c r="F17064" s="34" t="n">
        <f aca="false">IFERROR(VLOOKUP($A17064,'319'!$B:$H,7,0),0)</f>
        <v>0</v>
      </c>
      <c r="G17064" s="34" t="n">
        <f aca="false">SUMIFS('12.326ana'!$C:$C,'12.326ana'!$M:$M,redes!A17064)</f>
        <v>0</v>
      </c>
    </row>
    <row r="17065" customFormat="false" ht="14.4" hidden="true" customHeight="false" outlineLevel="0" collapsed="false">
      <c r="A17065" s="34" t="n">
        <v>36717594000101</v>
      </c>
      <c r="B17065" s="34" t="s">
        <v>31384</v>
      </c>
      <c r="C17065" s="34" t="s">
        <v>631</v>
      </c>
      <c r="E17065" s="30" t="s">
        <v>31385</v>
      </c>
      <c r="F17065" s="34" t="n">
        <f aca="false">IFERROR(VLOOKUP($A17065,'319'!$B:$H,7,0),0)</f>
        <v>0</v>
      </c>
      <c r="G17065" s="34" t="n">
        <f aca="false">SUMIFS('12.326ana'!$C:$C,'12.326ana'!$M:$M,redes!A17065)</f>
        <v>0</v>
      </c>
    </row>
    <row r="17066" customFormat="false" ht="14.4" hidden="true" customHeight="false" outlineLevel="0" collapsed="false">
      <c r="A17066" s="34" t="n">
        <v>36722165000114</v>
      </c>
      <c r="B17066" s="34" t="s">
        <v>31386</v>
      </c>
      <c r="C17066" s="34" t="s">
        <v>77</v>
      </c>
      <c r="E17066" s="30" t="s">
        <v>31387</v>
      </c>
      <c r="F17066" s="34" t="n">
        <f aca="false">IFERROR(VLOOKUP($A17066,'319'!$B:$H,7,0),0)</f>
        <v>0</v>
      </c>
      <c r="G17066" s="34" t="n">
        <f aca="false">SUMIFS('12.326ana'!$C:$C,'12.326ana'!$M:$M,redes!A17066)</f>
        <v>0</v>
      </c>
    </row>
    <row r="17067" customFormat="false" ht="14.4" hidden="true" customHeight="false" outlineLevel="0" collapsed="false">
      <c r="A17067" s="34" t="n">
        <v>36725437000130</v>
      </c>
      <c r="B17067" s="34" t="s">
        <v>31388</v>
      </c>
      <c r="C17067" s="34" t="s">
        <v>197</v>
      </c>
      <c r="E17067" s="30" t="s">
        <v>18526</v>
      </c>
      <c r="F17067" s="34" t="n">
        <f aca="false">IFERROR(VLOOKUP($A17067,'319'!$B:$H,7,0),0)</f>
        <v>0</v>
      </c>
      <c r="G17067" s="34" t="n">
        <f aca="false">SUMIFS('12.326ana'!$C:$C,'12.326ana'!$M:$M,redes!A17067)</f>
        <v>0</v>
      </c>
    </row>
    <row r="17068" customFormat="false" ht="14.4" hidden="true" customHeight="false" outlineLevel="0" collapsed="false">
      <c r="A17068" s="34" t="n">
        <v>36732069000157</v>
      </c>
      <c r="B17068" s="34" t="s">
        <v>31389</v>
      </c>
      <c r="C17068" s="34" t="s">
        <v>77</v>
      </c>
      <c r="E17068" s="30" t="s">
        <v>24697</v>
      </c>
      <c r="F17068" s="34" t="n">
        <f aca="false">IFERROR(VLOOKUP($A17068,'319'!$B:$H,7,0),0)</f>
        <v>0</v>
      </c>
      <c r="G17068" s="34" t="n">
        <f aca="false">SUMIFS('12.326ana'!$C:$C,'12.326ana'!$M:$M,redes!A17068)</f>
        <v>0</v>
      </c>
    </row>
    <row r="17069" customFormat="false" ht="14.4" hidden="true" customHeight="false" outlineLevel="0" collapsed="false">
      <c r="A17069" s="34" t="n">
        <v>36759238000142</v>
      </c>
      <c r="B17069" s="34" t="s">
        <v>31390</v>
      </c>
      <c r="C17069" s="34" t="s">
        <v>77</v>
      </c>
      <c r="E17069" s="30" t="s">
        <v>31391</v>
      </c>
      <c r="F17069" s="34" t="n">
        <f aca="false">IFERROR(VLOOKUP($A17069,'319'!$B:$H,7,0),0)</f>
        <v>0</v>
      </c>
      <c r="G17069" s="34" t="n">
        <f aca="false">SUMIFS('12.326ana'!$C:$C,'12.326ana'!$M:$M,redes!A17069)</f>
        <v>0</v>
      </c>
    </row>
    <row r="17070" customFormat="false" ht="14.4" hidden="true" customHeight="false" outlineLevel="0" collapsed="false">
      <c r="A17070" s="34" t="n">
        <v>36766069000178</v>
      </c>
      <c r="B17070" s="34" t="s">
        <v>31392</v>
      </c>
      <c r="C17070" s="34" t="s">
        <v>463</v>
      </c>
      <c r="E17070" s="30" t="s">
        <v>31393</v>
      </c>
      <c r="F17070" s="34" t="n">
        <f aca="false">IFERROR(VLOOKUP($A17070,'319'!$B:$H,7,0),0)</f>
        <v>0</v>
      </c>
      <c r="G17070" s="34" t="n">
        <f aca="false">SUMIFS('12.326ana'!$C:$C,'12.326ana'!$M:$M,redes!A17070)</f>
        <v>0</v>
      </c>
    </row>
    <row r="17071" customFormat="false" ht="14.4" hidden="true" customHeight="false" outlineLevel="0" collapsed="false">
      <c r="A17071" s="34" t="n">
        <v>36773815000150</v>
      </c>
      <c r="B17071" s="34" t="s">
        <v>31394</v>
      </c>
      <c r="C17071" s="34" t="s">
        <v>464</v>
      </c>
      <c r="E17071" s="30" t="s">
        <v>31395</v>
      </c>
      <c r="F17071" s="34" t="n">
        <f aca="false">IFERROR(VLOOKUP($A17071,'319'!$B:$H,7,0),0)</f>
        <v>0</v>
      </c>
      <c r="G17071" s="34" t="n">
        <f aca="false">SUMIFS('12.326ana'!$C:$C,'12.326ana'!$M:$M,redes!A17071)</f>
        <v>0</v>
      </c>
    </row>
    <row r="17072" customFormat="false" ht="14.4" hidden="true" customHeight="false" outlineLevel="0" collapsed="false">
      <c r="A17072" s="34" t="n">
        <v>36775674000105</v>
      </c>
      <c r="B17072" s="34" t="s">
        <v>31396</v>
      </c>
      <c r="C17072" s="34" t="s">
        <v>139</v>
      </c>
      <c r="E17072" s="30" t="s">
        <v>31397</v>
      </c>
      <c r="F17072" s="34" t="n">
        <f aca="false">IFERROR(VLOOKUP($A17072,'319'!$B:$H,7,0),0)</f>
        <v>0</v>
      </c>
      <c r="G17072" s="34" t="n">
        <f aca="false">SUMIFS('12.326ana'!$C:$C,'12.326ana'!$M:$M,redes!A17072)</f>
        <v>0</v>
      </c>
    </row>
    <row r="17073" customFormat="false" ht="14.4" hidden="true" customHeight="false" outlineLevel="0" collapsed="false">
      <c r="A17073" s="34" t="n">
        <v>36775864000122</v>
      </c>
      <c r="B17073" s="34" t="s">
        <v>31398</v>
      </c>
      <c r="C17073" s="34" t="s">
        <v>377</v>
      </c>
      <c r="E17073" s="30" t="s">
        <v>13293</v>
      </c>
      <c r="F17073" s="34" t="n">
        <f aca="false">IFERROR(VLOOKUP($A17073,'319'!$B:$H,7,0),0)</f>
        <v>0</v>
      </c>
      <c r="G17073" s="34" t="n">
        <f aca="false">SUMIFS('12.326ana'!$C:$C,'12.326ana'!$M:$M,redes!A17073)</f>
        <v>0</v>
      </c>
    </row>
    <row r="17074" customFormat="false" ht="14.4" hidden="true" customHeight="false" outlineLevel="0" collapsed="false">
      <c r="A17074" s="34" t="n">
        <v>36775914000171</v>
      </c>
      <c r="B17074" s="34" t="s">
        <v>31399</v>
      </c>
      <c r="C17074" s="34" t="s">
        <v>197</v>
      </c>
      <c r="E17074" s="30" t="s">
        <v>31400</v>
      </c>
      <c r="F17074" s="34" t="n">
        <f aca="false">IFERROR(VLOOKUP($A17074,'319'!$B:$H,7,0),0)</f>
        <v>0</v>
      </c>
      <c r="G17074" s="34" t="n">
        <f aca="false">SUMIFS('12.326ana'!$C:$C,'12.326ana'!$M:$M,redes!A17074)</f>
        <v>0</v>
      </c>
    </row>
    <row r="17075" customFormat="false" ht="14.4" hidden="true" customHeight="false" outlineLevel="0" collapsed="false">
      <c r="A17075" s="34" t="n">
        <v>36776177000121</v>
      </c>
      <c r="B17075" s="34" t="s">
        <v>31401</v>
      </c>
      <c r="C17075" s="34" t="s">
        <v>77</v>
      </c>
      <c r="D17075" s="34" t="s">
        <v>33</v>
      </c>
      <c r="E17075" s="30" t="s">
        <v>14092</v>
      </c>
      <c r="F17075" s="34" t="n">
        <f aca="false">IFERROR(VLOOKUP($A17075,'319'!$B:$H,7,0),0)</f>
        <v>0</v>
      </c>
      <c r="G17075" s="34" t="n">
        <f aca="false">SUMIFS('12.326ana'!$C:$C,'12.326ana'!$M:$M,redes!A17075)</f>
        <v>0</v>
      </c>
    </row>
    <row r="17076" customFormat="false" ht="14.4" hidden="true" customHeight="false" outlineLevel="0" collapsed="false">
      <c r="A17076" s="34" t="n">
        <v>36776375000195</v>
      </c>
      <c r="B17076" s="34" t="s">
        <v>31402</v>
      </c>
      <c r="C17076" s="34" t="s">
        <v>377</v>
      </c>
      <c r="D17076" s="34" t="s">
        <v>31403</v>
      </c>
      <c r="E17076" s="30" t="s">
        <v>2848</v>
      </c>
      <c r="F17076" s="34" t="n">
        <f aca="false">IFERROR(VLOOKUP($A17076,'319'!$B:$H,7,0),0)</f>
        <v>0</v>
      </c>
      <c r="G17076" s="34" t="n">
        <f aca="false">SUMIFS('12.326ana'!$C:$C,'12.326ana'!$M:$M,redes!A17076)</f>
        <v>0</v>
      </c>
    </row>
    <row r="17077" customFormat="false" ht="14.4" hidden="true" customHeight="false" outlineLevel="0" collapsed="false">
      <c r="A17077" s="34" t="n">
        <v>36776714000133</v>
      </c>
      <c r="B17077" s="34" t="s">
        <v>31404</v>
      </c>
      <c r="C17077" s="34" t="s">
        <v>192</v>
      </c>
      <c r="D17077" s="34" t="s">
        <v>14479</v>
      </c>
      <c r="E17077" s="30" t="s">
        <v>14480</v>
      </c>
      <c r="F17077" s="34" t="n">
        <f aca="false">IFERROR(VLOOKUP($A17077,'319'!$B:$H,7,0),0)</f>
        <v>0</v>
      </c>
      <c r="G17077" s="34" t="n">
        <f aca="false">SUMIFS('12.326ana'!$C:$C,'12.326ana'!$M:$M,redes!A17077)</f>
        <v>0</v>
      </c>
    </row>
    <row r="17078" customFormat="false" ht="14.4" hidden="true" customHeight="false" outlineLevel="0" collapsed="false">
      <c r="A17078" s="34" t="n">
        <v>36777084000111</v>
      </c>
      <c r="B17078" s="34" t="s">
        <v>31405</v>
      </c>
      <c r="C17078" s="34" t="s">
        <v>309</v>
      </c>
      <c r="E17078" s="30" t="s">
        <v>31406</v>
      </c>
      <c r="F17078" s="34" t="n">
        <f aca="false">IFERROR(VLOOKUP($A17078,'319'!$B:$H,7,0),0)</f>
        <v>0</v>
      </c>
      <c r="G17078" s="34" t="n">
        <f aca="false">SUMIFS('12.326ana'!$C:$C,'12.326ana'!$M:$M,redes!A17078)</f>
        <v>0</v>
      </c>
    </row>
    <row r="17079" customFormat="false" ht="14.4" hidden="true" customHeight="false" outlineLevel="0" collapsed="false">
      <c r="A17079" s="34" t="n">
        <v>36778157000190</v>
      </c>
      <c r="B17079" s="34" t="s">
        <v>31407</v>
      </c>
      <c r="C17079" s="34" t="s">
        <v>77</v>
      </c>
      <c r="E17079" s="30" t="s">
        <v>31408</v>
      </c>
      <c r="F17079" s="34" t="n">
        <f aca="false">IFERROR(VLOOKUP($A17079,'319'!$B:$H,7,0),0)</f>
        <v>0</v>
      </c>
      <c r="G17079" s="34" t="n">
        <f aca="false">SUMIFS('12.326ana'!$C:$C,'12.326ana'!$M:$M,redes!A17079)</f>
        <v>0</v>
      </c>
    </row>
    <row r="17080" customFormat="false" ht="14.4" hidden="true" customHeight="false" outlineLevel="0" collapsed="false">
      <c r="A17080" s="34" t="n">
        <v>36779502000100</v>
      </c>
      <c r="B17080" s="34" t="s">
        <v>31409</v>
      </c>
      <c r="C17080" s="34" t="s">
        <v>77</v>
      </c>
      <c r="E17080" s="30"/>
      <c r="F17080" s="34" t="n">
        <f aca="false">IFERROR(VLOOKUP($A17080,'319'!$B:$H,7,0),0)</f>
        <v>0</v>
      </c>
      <c r="G17080" s="34" t="n">
        <f aca="false">SUMIFS('12.326ana'!$C:$C,'12.326ana'!$M:$M,redes!A17080)</f>
        <v>0</v>
      </c>
    </row>
    <row r="17081" customFormat="false" ht="14.4" hidden="true" customHeight="false" outlineLevel="0" collapsed="false">
      <c r="A17081" s="34" t="n">
        <v>36779643000122</v>
      </c>
      <c r="B17081" s="34" t="s">
        <v>31410</v>
      </c>
      <c r="C17081" s="34" t="s">
        <v>357</v>
      </c>
      <c r="E17081" s="30" t="s">
        <v>7421</v>
      </c>
      <c r="F17081" s="34" t="n">
        <f aca="false">IFERROR(VLOOKUP($A17081,'319'!$B:$H,7,0),0)</f>
        <v>0</v>
      </c>
      <c r="G17081" s="34" t="n">
        <f aca="false">SUMIFS('12.326ana'!$C:$C,'12.326ana'!$M:$M,redes!A17081)</f>
        <v>0</v>
      </c>
    </row>
    <row r="17082" customFormat="false" ht="14.4" hidden="true" customHeight="false" outlineLevel="0" collapsed="false">
      <c r="A17082" s="34" t="n">
        <v>36779866000190</v>
      </c>
      <c r="B17082" s="34" t="s">
        <v>31411</v>
      </c>
      <c r="C17082" s="34" t="s">
        <v>1272</v>
      </c>
      <c r="E17082" s="30" t="s">
        <v>30849</v>
      </c>
      <c r="F17082" s="34" t="n">
        <f aca="false">IFERROR(VLOOKUP($A17082,'319'!$B:$H,7,0),0)</f>
        <v>0</v>
      </c>
      <c r="G17082" s="34" t="n">
        <f aca="false">SUMIFS('12.326ana'!$C:$C,'12.326ana'!$M:$M,redes!A17082)</f>
        <v>0</v>
      </c>
    </row>
    <row r="17083" customFormat="false" ht="14.4" hidden="true" customHeight="false" outlineLevel="0" collapsed="false">
      <c r="A17083" s="34" t="n">
        <v>36779908000192</v>
      </c>
      <c r="B17083" s="34" t="s">
        <v>31412</v>
      </c>
      <c r="C17083" s="34" t="s">
        <v>77</v>
      </c>
      <c r="E17083" s="30" t="s">
        <v>31413</v>
      </c>
      <c r="F17083" s="34" t="n">
        <f aca="false">IFERROR(VLOOKUP($A17083,'319'!$B:$H,7,0),0)</f>
        <v>0</v>
      </c>
      <c r="G17083" s="34" t="n">
        <f aca="false">SUMIFS('12.326ana'!$C:$C,'12.326ana'!$M:$M,redes!A17083)</f>
        <v>0</v>
      </c>
    </row>
    <row r="17084" customFormat="false" ht="14.4" hidden="true" customHeight="false" outlineLevel="0" collapsed="false">
      <c r="A17084" s="34" t="n">
        <v>36780369000101</v>
      </c>
      <c r="B17084" s="34" t="s">
        <v>31414</v>
      </c>
      <c r="C17084" s="34" t="s">
        <v>89</v>
      </c>
      <c r="E17084" s="30" t="s">
        <v>31415</v>
      </c>
      <c r="F17084" s="34" t="n">
        <f aca="false">IFERROR(VLOOKUP($A17084,'319'!$B:$H,7,0),0)</f>
        <v>0</v>
      </c>
      <c r="G17084" s="34" t="n">
        <f aca="false">SUMIFS('12.326ana'!$C:$C,'12.326ana'!$M:$M,redes!A17084)</f>
        <v>0</v>
      </c>
    </row>
    <row r="17085" customFormat="false" ht="14.4" hidden="true" customHeight="false" outlineLevel="0" collapsed="false">
      <c r="A17085" s="34" t="n">
        <v>36780625000160</v>
      </c>
      <c r="B17085" s="34" t="s">
        <v>31416</v>
      </c>
      <c r="C17085" s="34" t="s">
        <v>1680</v>
      </c>
      <c r="E17085" s="30" t="s">
        <v>31417</v>
      </c>
      <c r="F17085" s="34" t="n">
        <f aca="false">IFERROR(VLOOKUP($A17085,'319'!$B:$H,7,0),0)</f>
        <v>0</v>
      </c>
      <c r="G17085" s="34" t="n">
        <f aca="false">SUMIFS('12.326ana'!$C:$C,'12.326ana'!$M:$M,redes!A17085)</f>
        <v>0</v>
      </c>
    </row>
    <row r="17086" customFormat="false" ht="14.4" hidden="true" customHeight="false" outlineLevel="0" collapsed="false">
      <c r="A17086" s="34" t="n">
        <v>36781094000120</v>
      </c>
      <c r="B17086" s="34" t="s">
        <v>31418</v>
      </c>
      <c r="C17086" s="34" t="s">
        <v>77</v>
      </c>
      <c r="E17086" s="30" t="s">
        <v>20189</v>
      </c>
      <c r="F17086" s="34" t="n">
        <f aca="false">IFERROR(VLOOKUP($A17086,'319'!$B:$H,7,0),0)</f>
        <v>0</v>
      </c>
      <c r="G17086" s="34" t="n">
        <f aca="false">SUMIFS('12.326ana'!$C:$C,'12.326ana'!$M:$M,redes!A17086)</f>
        <v>0</v>
      </c>
    </row>
    <row r="17087" customFormat="false" ht="14.4" hidden="true" customHeight="false" outlineLevel="0" collapsed="false">
      <c r="A17087" s="34" t="n">
        <v>36781524000104</v>
      </c>
      <c r="B17087" s="34" t="s">
        <v>31419</v>
      </c>
      <c r="C17087" s="34" t="s">
        <v>89</v>
      </c>
      <c r="E17087" s="30" t="s">
        <v>31420</v>
      </c>
      <c r="F17087" s="34" t="n">
        <f aca="false">IFERROR(VLOOKUP($A17087,'319'!$B:$H,7,0),0)</f>
        <v>0</v>
      </c>
      <c r="G17087" s="34" t="n">
        <f aca="false">SUMIFS('12.326ana'!$C:$C,'12.326ana'!$M:$M,redes!A17087)</f>
        <v>0</v>
      </c>
    </row>
    <row r="17088" customFormat="false" ht="14.4" hidden="true" customHeight="false" outlineLevel="0" collapsed="false">
      <c r="A17088" s="34" t="n">
        <v>36781987000176</v>
      </c>
      <c r="B17088" s="34" t="s">
        <v>31421</v>
      </c>
      <c r="C17088" s="34" t="s">
        <v>464</v>
      </c>
      <c r="E17088" s="30" t="s">
        <v>31422</v>
      </c>
      <c r="F17088" s="34" t="n">
        <f aca="false">IFERROR(VLOOKUP($A17088,'319'!$B:$H,7,0),0)</f>
        <v>0</v>
      </c>
      <c r="G17088" s="34" t="n">
        <f aca="false">SUMIFS('12.326ana'!$C:$C,'12.326ana'!$M:$M,redes!A17088)</f>
        <v>0</v>
      </c>
    </row>
    <row r="17089" customFormat="false" ht="14.4" hidden="true" customHeight="false" outlineLevel="0" collapsed="false">
      <c r="A17089" s="34" t="n">
        <v>36782001000182</v>
      </c>
      <c r="B17089" s="34" t="s">
        <v>31423</v>
      </c>
      <c r="C17089" s="34" t="s">
        <v>4139</v>
      </c>
      <c r="E17089" s="30" t="s">
        <v>31424</v>
      </c>
      <c r="F17089" s="34" t="n">
        <f aca="false">IFERROR(VLOOKUP($A17089,'319'!$B:$H,7,0),0)</f>
        <v>0</v>
      </c>
      <c r="G17089" s="34" t="n">
        <f aca="false">SUMIFS('12.326ana'!$C:$C,'12.326ana'!$M:$M,redes!A17089)</f>
        <v>0</v>
      </c>
    </row>
    <row r="17090" customFormat="false" ht="14.4" hidden="true" customHeight="false" outlineLevel="0" collapsed="false">
      <c r="A17090" s="34" t="n">
        <v>36782258000134</v>
      </c>
      <c r="B17090" s="34" t="s">
        <v>31425</v>
      </c>
      <c r="C17090" s="34" t="s">
        <v>328</v>
      </c>
      <c r="E17090" s="30" t="s">
        <v>31426</v>
      </c>
      <c r="F17090" s="34" t="n">
        <f aca="false">IFERROR(VLOOKUP($A17090,'319'!$B:$H,7,0),0)</f>
        <v>0</v>
      </c>
      <c r="G17090" s="34" t="n">
        <f aca="false">SUMIFS('12.326ana'!$C:$C,'12.326ana'!$M:$M,redes!A17090)</f>
        <v>0</v>
      </c>
    </row>
    <row r="17091" customFormat="false" ht="14.4" hidden="true" customHeight="false" outlineLevel="0" collapsed="false">
      <c r="A17091" s="34" t="n">
        <v>36782746000141</v>
      </c>
      <c r="B17091" s="34" t="s">
        <v>31427</v>
      </c>
      <c r="C17091" s="34" t="s">
        <v>77</v>
      </c>
      <c r="D17091" s="34" t="s">
        <v>33</v>
      </c>
      <c r="E17091" s="30" t="s">
        <v>31428</v>
      </c>
      <c r="F17091" s="34" t="n">
        <f aca="false">IFERROR(VLOOKUP($A17091,'319'!$B:$H,7,0),0)</f>
        <v>0</v>
      </c>
      <c r="G17091" s="34" t="n">
        <f aca="false">SUMIFS('12.326ana'!$C:$C,'12.326ana'!$M:$M,redes!A17091)</f>
        <v>0</v>
      </c>
    </row>
    <row r="17092" customFormat="false" ht="14.4" hidden="true" customHeight="false" outlineLevel="0" collapsed="false">
      <c r="A17092" s="34" t="n">
        <v>36783637000149</v>
      </c>
      <c r="B17092" s="34" t="s">
        <v>31429</v>
      </c>
      <c r="C17092" s="34" t="s">
        <v>598</v>
      </c>
      <c r="E17092" s="30" t="s">
        <v>31430</v>
      </c>
      <c r="F17092" s="34" t="n">
        <f aca="false">IFERROR(VLOOKUP($A17092,'319'!$B:$H,7,0),0)</f>
        <v>0</v>
      </c>
      <c r="G17092" s="34" t="n">
        <f aca="false">SUMIFS('12.326ana'!$C:$C,'12.326ana'!$M:$M,redes!A17092)</f>
        <v>0</v>
      </c>
    </row>
    <row r="17093" customFormat="false" ht="14.4" hidden="true" customHeight="false" outlineLevel="0" collapsed="false">
      <c r="A17093" s="34" t="n">
        <v>36784163000150</v>
      </c>
      <c r="B17093" s="34" t="s">
        <v>31431</v>
      </c>
      <c r="C17093" s="34" t="s">
        <v>804</v>
      </c>
      <c r="E17093" s="30" t="s">
        <v>31432</v>
      </c>
      <c r="F17093" s="34" t="n">
        <f aca="false">IFERROR(VLOOKUP($A17093,'319'!$B:$H,7,0),0)</f>
        <v>0</v>
      </c>
      <c r="G17093" s="34" t="n">
        <f aca="false">SUMIFS('12.326ana'!$C:$C,'12.326ana'!$M:$M,redes!A17093)</f>
        <v>0</v>
      </c>
    </row>
    <row r="17094" customFormat="false" ht="14.4" hidden="true" customHeight="false" outlineLevel="0" collapsed="false">
      <c r="A17094" s="34" t="n">
        <v>36784338000129</v>
      </c>
      <c r="B17094" s="34" t="s">
        <v>31433</v>
      </c>
      <c r="C17094" s="34" t="s">
        <v>1680</v>
      </c>
      <c r="E17094" s="30" t="s">
        <v>31434</v>
      </c>
      <c r="F17094" s="34" t="n">
        <f aca="false">IFERROR(VLOOKUP($A17094,'319'!$B:$H,7,0),0)</f>
        <v>0</v>
      </c>
      <c r="G17094" s="34" t="n">
        <f aca="false">SUMIFS('12.326ana'!$C:$C,'12.326ana'!$M:$M,redes!A17094)</f>
        <v>0</v>
      </c>
    </row>
    <row r="17095" customFormat="false" ht="14.4" hidden="true" customHeight="false" outlineLevel="0" collapsed="false">
      <c r="A17095" s="34" t="n">
        <v>36784510000144</v>
      </c>
      <c r="B17095" s="34" t="s">
        <v>31435</v>
      </c>
      <c r="C17095" s="34" t="s">
        <v>979</v>
      </c>
      <c r="E17095" s="30" t="s">
        <v>31436</v>
      </c>
      <c r="F17095" s="34" t="n">
        <f aca="false">IFERROR(VLOOKUP($A17095,'319'!$B:$H,7,0),0)</f>
        <v>0</v>
      </c>
      <c r="G17095" s="34" t="n">
        <f aca="false">SUMIFS('12.326ana'!$C:$C,'12.326ana'!$M:$M,redes!A17095)</f>
        <v>0</v>
      </c>
    </row>
    <row r="17096" customFormat="false" ht="14.4" hidden="true" customHeight="false" outlineLevel="0" collapsed="false">
      <c r="A17096" s="34" t="n">
        <v>36784718000163</v>
      </c>
      <c r="B17096" s="34" t="s">
        <v>31437</v>
      </c>
      <c r="C17096" s="34" t="s">
        <v>207</v>
      </c>
      <c r="E17096" s="30" t="s">
        <v>31438</v>
      </c>
      <c r="F17096" s="34" t="n">
        <f aca="false">IFERROR(VLOOKUP($A17096,'319'!$B:$H,7,0),0)</f>
        <v>0</v>
      </c>
      <c r="G17096" s="34" t="n">
        <f aca="false">SUMIFS('12.326ana'!$C:$C,'12.326ana'!$M:$M,redes!A17096)</f>
        <v>0</v>
      </c>
    </row>
    <row r="17097" customFormat="false" ht="14.4" hidden="true" customHeight="false" outlineLevel="0" collapsed="false">
      <c r="A17097" s="34" t="n">
        <v>36785293000107</v>
      </c>
      <c r="B17097" s="34" t="s">
        <v>31439</v>
      </c>
      <c r="C17097" s="34" t="s">
        <v>77</v>
      </c>
      <c r="E17097" s="30" t="s">
        <v>31439</v>
      </c>
      <c r="F17097" s="34" t="n">
        <f aca="false">IFERROR(VLOOKUP($A17097,'319'!$B:$H,7,0),0)</f>
        <v>0</v>
      </c>
      <c r="G17097" s="34" t="n">
        <f aca="false">SUMIFS('12.326ana'!$C:$C,'12.326ana'!$M:$M,redes!A17097)</f>
        <v>0</v>
      </c>
    </row>
    <row r="17098" customFormat="false" ht="14.4" hidden="true" customHeight="false" outlineLevel="0" collapsed="false">
      <c r="A17098" s="34" t="n">
        <v>36786051000138</v>
      </c>
      <c r="B17098" s="34" t="s">
        <v>31440</v>
      </c>
      <c r="C17098" s="34" t="s">
        <v>77</v>
      </c>
      <c r="E17098" s="30" t="s">
        <v>31441</v>
      </c>
      <c r="F17098" s="34" t="n">
        <f aca="false">IFERROR(VLOOKUP($A17098,'319'!$B:$H,7,0),0)</f>
        <v>0</v>
      </c>
      <c r="G17098" s="34" t="n">
        <f aca="false">SUMIFS('12.326ana'!$C:$C,'12.326ana'!$M:$M,redes!A17098)</f>
        <v>0</v>
      </c>
    </row>
    <row r="17099" customFormat="false" ht="14.4" hidden="true" customHeight="false" outlineLevel="0" collapsed="false">
      <c r="A17099" s="34" t="n">
        <v>36787463000192</v>
      </c>
      <c r="B17099" s="34" t="s">
        <v>31442</v>
      </c>
      <c r="C17099" s="34" t="s">
        <v>299</v>
      </c>
      <c r="E17099" s="30" t="s">
        <v>31443</v>
      </c>
      <c r="F17099" s="34" t="n">
        <f aca="false">IFERROR(VLOOKUP($A17099,'319'!$B:$H,7,0),0)</f>
        <v>0</v>
      </c>
      <c r="G17099" s="34" t="n">
        <f aca="false">SUMIFS('12.326ana'!$C:$C,'12.326ana'!$M:$M,redes!A17099)</f>
        <v>0</v>
      </c>
    </row>
    <row r="17100" customFormat="false" ht="14.4" hidden="true" customHeight="false" outlineLevel="0" collapsed="false">
      <c r="A17100" s="34" t="n">
        <v>36787992000196</v>
      </c>
      <c r="B17100" s="34" t="s">
        <v>31444</v>
      </c>
      <c r="C17100" s="34" t="s">
        <v>478</v>
      </c>
      <c r="E17100" s="30" t="s">
        <v>31445</v>
      </c>
      <c r="F17100" s="34" t="n">
        <f aca="false">IFERROR(VLOOKUP($A17100,'319'!$B:$H,7,0),0)</f>
        <v>0</v>
      </c>
      <c r="G17100" s="34" t="n">
        <f aca="false">SUMIFS('12.326ana'!$C:$C,'12.326ana'!$M:$M,redes!A17100)</f>
        <v>0</v>
      </c>
    </row>
    <row r="17101" customFormat="false" ht="14.4" hidden="true" customHeight="false" outlineLevel="0" collapsed="false">
      <c r="A17101" s="34" t="n">
        <v>36788289000100</v>
      </c>
      <c r="B17101" s="34" t="s">
        <v>6769</v>
      </c>
      <c r="C17101" s="34" t="s">
        <v>1272</v>
      </c>
      <c r="E17101" s="30" t="s">
        <v>31446</v>
      </c>
      <c r="F17101" s="34" t="n">
        <f aca="false">IFERROR(VLOOKUP($A17101,'319'!$B:$H,7,0),0)</f>
        <v>0</v>
      </c>
      <c r="G17101" s="34" t="n">
        <f aca="false">SUMIFS('12.326ana'!$C:$C,'12.326ana'!$M:$M,redes!A17101)</f>
        <v>0</v>
      </c>
    </row>
    <row r="17102" customFormat="false" ht="14.4" hidden="true" customHeight="false" outlineLevel="0" collapsed="false">
      <c r="A17102" s="34" t="n">
        <v>36788602000100</v>
      </c>
      <c r="B17102" s="34" t="s">
        <v>31447</v>
      </c>
      <c r="C17102" s="34" t="s">
        <v>357</v>
      </c>
      <c r="E17102" s="30" t="s">
        <v>31448</v>
      </c>
      <c r="F17102" s="34" t="n">
        <f aca="false">IFERROR(VLOOKUP($A17102,'319'!$B:$H,7,0),0)</f>
        <v>0</v>
      </c>
      <c r="G17102" s="34" t="n">
        <f aca="false">SUMIFS('12.326ana'!$C:$C,'12.326ana'!$M:$M,redes!A17102)</f>
        <v>0</v>
      </c>
    </row>
    <row r="17103" customFormat="false" ht="14.4" hidden="true" customHeight="false" outlineLevel="0" collapsed="false">
      <c r="A17103" s="34" t="n">
        <v>36788867000109</v>
      </c>
      <c r="B17103" s="34" t="s">
        <v>31449</v>
      </c>
      <c r="C17103" s="34" t="s">
        <v>89</v>
      </c>
      <c r="E17103" s="30" t="s">
        <v>13744</v>
      </c>
      <c r="F17103" s="34" t="n">
        <f aca="false">IFERROR(VLOOKUP($A17103,'319'!$B:$H,7,0),0)</f>
        <v>594.71</v>
      </c>
      <c r="G17103" s="34" t="n">
        <f aca="false">SUMIFS('12.326ana'!$C:$C,'12.326ana'!$M:$M,redes!A17103)</f>
        <v>0</v>
      </c>
    </row>
    <row r="17104" customFormat="false" ht="14.4" hidden="true" customHeight="false" outlineLevel="0" collapsed="false">
      <c r="A17104" s="34" t="n">
        <v>36789273000104</v>
      </c>
      <c r="B17104" s="34" t="s">
        <v>31450</v>
      </c>
      <c r="C17104" s="34" t="s">
        <v>77</v>
      </c>
      <c r="E17104" s="30" t="s">
        <v>31450</v>
      </c>
      <c r="F17104" s="34" t="n">
        <f aca="false">IFERROR(VLOOKUP($A17104,'319'!$B:$H,7,0),0)</f>
        <v>0</v>
      </c>
      <c r="G17104" s="34" t="n">
        <f aca="false">SUMIFS('12.326ana'!$C:$C,'12.326ana'!$M:$M,redes!A17104)</f>
        <v>0</v>
      </c>
    </row>
    <row r="17105" customFormat="false" ht="14.4" hidden="true" customHeight="false" outlineLevel="0" collapsed="false">
      <c r="A17105" s="34" t="n">
        <v>36789329000120</v>
      </c>
      <c r="B17105" s="34" t="s">
        <v>31451</v>
      </c>
      <c r="C17105" s="34" t="s">
        <v>954</v>
      </c>
      <c r="E17105" s="30" t="s">
        <v>31452</v>
      </c>
      <c r="F17105" s="34" t="n">
        <f aca="false">IFERROR(VLOOKUP($A17105,'319'!$B:$H,7,0),0)</f>
        <v>0</v>
      </c>
      <c r="G17105" s="34" t="n">
        <f aca="false">SUMIFS('12.326ana'!$C:$C,'12.326ana'!$M:$M,redes!A17105)</f>
        <v>0</v>
      </c>
    </row>
    <row r="17106" customFormat="false" ht="14.4" hidden="true" customHeight="false" outlineLevel="0" collapsed="false">
      <c r="A17106" s="34" t="n">
        <v>36789790000183</v>
      </c>
      <c r="B17106" s="34" t="s">
        <v>31453</v>
      </c>
      <c r="C17106" s="34" t="s">
        <v>77</v>
      </c>
      <c r="E17106" s="30" t="s">
        <v>10056</v>
      </c>
      <c r="F17106" s="34" t="n">
        <f aca="false">IFERROR(VLOOKUP($A17106,'319'!$B:$H,7,0),0)</f>
        <v>0</v>
      </c>
      <c r="G17106" s="34" t="n">
        <f aca="false">SUMIFS('12.326ana'!$C:$C,'12.326ana'!$M:$M,redes!A17106)</f>
        <v>0</v>
      </c>
    </row>
    <row r="17107" customFormat="false" ht="14.4" hidden="true" customHeight="false" outlineLevel="0" collapsed="false">
      <c r="A17107" s="34" t="n">
        <v>36790038000152</v>
      </c>
      <c r="B17107" s="34" t="s">
        <v>31454</v>
      </c>
      <c r="C17107" s="34" t="s">
        <v>77</v>
      </c>
      <c r="E17107" s="30" t="s">
        <v>21502</v>
      </c>
      <c r="F17107" s="34" t="n">
        <f aca="false">IFERROR(VLOOKUP($A17107,'319'!$B:$H,7,0),0)</f>
        <v>0</v>
      </c>
      <c r="G17107" s="34" t="n">
        <f aca="false">SUMIFS('12.326ana'!$C:$C,'12.326ana'!$M:$M,redes!A17107)</f>
        <v>0</v>
      </c>
    </row>
    <row r="17108" customFormat="false" ht="14.4" hidden="true" customHeight="false" outlineLevel="0" collapsed="false">
      <c r="A17108" s="34" t="n">
        <v>36790038000314</v>
      </c>
      <c r="B17108" s="34" t="s">
        <v>31454</v>
      </c>
      <c r="C17108" s="34" t="s">
        <v>77</v>
      </c>
      <c r="E17108" s="30" t="s">
        <v>21502</v>
      </c>
      <c r="F17108" s="34" t="n">
        <f aca="false">IFERROR(VLOOKUP($A17108,'319'!$B:$H,7,0),0)</f>
        <v>0</v>
      </c>
      <c r="G17108" s="34" t="n">
        <f aca="false">SUMIFS('12.326ana'!$C:$C,'12.326ana'!$M:$M,redes!A17108)</f>
        <v>0</v>
      </c>
    </row>
    <row r="17109" customFormat="false" ht="14.4" hidden="true" customHeight="false" outlineLevel="0" collapsed="false">
      <c r="A17109" s="34" t="n">
        <v>36790475000176</v>
      </c>
      <c r="B17109" s="34" t="s">
        <v>31455</v>
      </c>
      <c r="C17109" s="34" t="s">
        <v>77</v>
      </c>
      <c r="E17109" s="30" t="s">
        <v>31456</v>
      </c>
      <c r="F17109" s="34" t="n">
        <f aca="false">IFERROR(VLOOKUP($A17109,'319'!$B:$H,7,0),0)</f>
        <v>0</v>
      </c>
      <c r="G17109" s="34" t="n">
        <f aca="false">SUMIFS('12.326ana'!$C:$C,'12.326ana'!$M:$M,redes!A17109)</f>
        <v>0</v>
      </c>
    </row>
    <row r="17110" customFormat="false" ht="14.4" hidden="true" customHeight="false" outlineLevel="0" collapsed="false">
      <c r="A17110" s="34" t="n">
        <v>36790525000115</v>
      </c>
      <c r="B17110" s="34" t="s">
        <v>31457</v>
      </c>
      <c r="C17110" s="34" t="s">
        <v>631</v>
      </c>
      <c r="E17110" s="30" t="s">
        <v>31458</v>
      </c>
      <c r="F17110" s="34" t="n">
        <f aca="false">IFERROR(VLOOKUP($A17110,'319'!$B:$H,7,0),0)</f>
        <v>0</v>
      </c>
      <c r="G17110" s="34" t="n">
        <f aca="false">SUMIFS('12.326ana'!$C:$C,'12.326ana'!$M:$M,redes!A17110)</f>
        <v>0</v>
      </c>
    </row>
    <row r="17111" customFormat="false" ht="14.4" hidden="true" customHeight="false" outlineLevel="0" collapsed="false">
      <c r="A17111" s="34" t="n">
        <v>36790723000189</v>
      </c>
      <c r="B17111" s="34" t="s">
        <v>31459</v>
      </c>
      <c r="C17111" s="34" t="s">
        <v>781</v>
      </c>
      <c r="E17111" s="30" t="s">
        <v>31460</v>
      </c>
      <c r="F17111" s="34" t="n">
        <f aca="false">IFERROR(VLOOKUP($A17111,'319'!$B:$H,7,0),0)</f>
        <v>0</v>
      </c>
      <c r="G17111" s="34" t="n">
        <f aca="false">SUMIFS('12.326ana'!$C:$C,'12.326ana'!$M:$M,redes!A17111)</f>
        <v>0</v>
      </c>
    </row>
    <row r="17112" customFormat="false" ht="14.4" hidden="true" customHeight="false" outlineLevel="0" collapsed="false">
      <c r="A17112" s="34" t="n">
        <v>36790764000175</v>
      </c>
      <c r="B17112" s="34" t="s">
        <v>31461</v>
      </c>
      <c r="C17112" s="34" t="s">
        <v>213</v>
      </c>
      <c r="E17112" s="30" t="s">
        <v>31462</v>
      </c>
      <c r="F17112" s="34" t="n">
        <f aca="false">IFERROR(VLOOKUP($A17112,'319'!$B:$H,7,0),0)</f>
        <v>0</v>
      </c>
      <c r="G17112" s="34" t="n">
        <f aca="false">SUMIFS('12.326ana'!$C:$C,'12.326ana'!$M:$M,redes!A17112)</f>
        <v>0</v>
      </c>
    </row>
    <row r="17113" customFormat="false" ht="14.4" hidden="true" customHeight="false" outlineLevel="0" collapsed="false">
      <c r="A17113" s="34" t="n">
        <v>36790806000178</v>
      </c>
      <c r="B17113" s="34" t="s">
        <v>31463</v>
      </c>
      <c r="C17113" s="34" t="s">
        <v>309</v>
      </c>
      <c r="E17113" s="30" t="s">
        <v>31464</v>
      </c>
      <c r="F17113" s="34" t="n">
        <f aca="false">IFERROR(VLOOKUP($A17113,'319'!$B:$H,7,0),0)</f>
        <v>0</v>
      </c>
      <c r="G17113" s="34" t="n">
        <f aca="false">SUMIFS('12.326ana'!$C:$C,'12.326ana'!$M:$M,redes!A17113)</f>
        <v>0</v>
      </c>
    </row>
    <row r="17114" customFormat="false" ht="14.4" hidden="true" customHeight="false" outlineLevel="0" collapsed="false">
      <c r="A17114" s="34" t="n">
        <v>36790822000160</v>
      </c>
      <c r="B17114" s="34" t="s">
        <v>31465</v>
      </c>
      <c r="C17114" s="34" t="s">
        <v>77</v>
      </c>
      <c r="E17114" s="30" t="s">
        <v>31466</v>
      </c>
      <c r="F17114" s="34" t="n">
        <f aca="false">IFERROR(VLOOKUP($A17114,'319'!$B:$H,7,0),0)</f>
        <v>0</v>
      </c>
      <c r="G17114" s="34" t="n">
        <f aca="false">SUMIFS('12.326ana'!$C:$C,'12.326ana'!$M:$M,redes!A17114)</f>
        <v>0</v>
      </c>
    </row>
    <row r="17115" customFormat="false" ht="14.4" hidden="true" customHeight="false" outlineLevel="0" collapsed="false">
      <c r="A17115" s="34" t="n">
        <v>36791291000120</v>
      </c>
      <c r="B17115" s="34" t="s">
        <v>31467</v>
      </c>
      <c r="C17115" s="34" t="s">
        <v>6278</v>
      </c>
      <c r="E17115" s="30" t="s">
        <v>17853</v>
      </c>
      <c r="F17115" s="34" t="n">
        <f aca="false">IFERROR(VLOOKUP($A17115,'319'!$B:$H,7,0),0)</f>
        <v>0</v>
      </c>
      <c r="G17115" s="34" t="n">
        <f aca="false">SUMIFS('12.326ana'!$C:$C,'12.326ana'!$M:$M,redes!A17115)</f>
        <v>0</v>
      </c>
    </row>
    <row r="17116" customFormat="false" ht="14.4" hidden="true" customHeight="false" outlineLevel="0" collapsed="false">
      <c r="A17116" s="34" t="n">
        <v>36792620000158</v>
      </c>
      <c r="B17116" s="34" t="s">
        <v>31468</v>
      </c>
      <c r="C17116" s="34" t="s">
        <v>448</v>
      </c>
      <c r="E17116" s="30" t="s">
        <v>31469</v>
      </c>
      <c r="F17116" s="34" t="n">
        <f aca="false">IFERROR(VLOOKUP($A17116,'319'!$B:$H,7,0),0)</f>
        <v>0</v>
      </c>
      <c r="G17116" s="34" t="n">
        <f aca="false">SUMIFS('12.326ana'!$C:$C,'12.326ana'!$M:$M,redes!A17116)</f>
        <v>0</v>
      </c>
    </row>
    <row r="17117" customFormat="false" ht="14.4" hidden="true" customHeight="false" outlineLevel="0" collapsed="false">
      <c r="A17117" s="34" t="n">
        <v>36793123000174</v>
      </c>
      <c r="B17117" s="34" t="s">
        <v>31470</v>
      </c>
      <c r="C17117" s="34" t="s">
        <v>77</v>
      </c>
      <c r="E17117" s="30" t="s">
        <v>11989</v>
      </c>
      <c r="F17117" s="34" t="n">
        <f aca="false">IFERROR(VLOOKUP($A17117,'319'!$B:$H,7,0),0)</f>
        <v>0</v>
      </c>
      <c r="G17117" s="34" t="n">
        <f aca="false">SUMIFS('12.326ana'!$C:$C,'12.326ana'!$M:$M,redes!A17117)</f>
        <v>0</v>
      </c>
    </row>
    <row r="17118" customFormat="false" ht="14.4" hidden="true" customHeight="false" outlineLevel="0" collapsed="false">
      <c r="A17118" s="34" t="n">
        <v>36793248000102</v>
      </c>
      <c r="B17118" s="34" t="s">
        <v>31471</v>
      </c>
      <c r="C17118" s="34" t="s">
        <v>77</v>
      </c>
      <c r="E17118" s="30" t="s">
        <v>31472</v>
      </c>
      <c r="F17118" s="34" t="n">
        <f aca="false">IFERROR(VLOOKUP($A17118,'319'!$B:$H,7,0),0)</f>
        <v>0</v>
      </c>
      <c r="G17118" s="34" t="n">
        <f aca="false">SUMIFS('12.326ana'!$C:$C,'12.326ana'!$M:$M,redes!A17118)</f>
        <v>0</v>
      </c>
    </row>
    <row r="17119" customFormat="false" ht="14.4" hidden="true" customHeight="false" outlineLevel="0" collapsed="false">
      <c r="A17119" s="34" t="n">
        <v>36793545000140</v>
      </c>
      <c r="B17119" s="34" t="s">
        <v>31473</v>
      </c>
      <c r="C17119" s="34" t="s">
        <v>631</v>
      </c>
      <c r="E17119" s="30" t="s">
        <v>5070</v>
      </c>
      <c r="F17119" s="34" t="n">
        <f aca="false">IFERROR(VLOOKUP($A17119,'319'!$B:$H,7,0),0)</f>
        <v>0</v>
      </c>
      <c r="G17119" s="34" t="n">
        <f aca="false">SUMIFS('12.326ana'!$C:$C,'12.326ana'!$M:$M,redes!A17119)</f>
        <v>0</v>
      </c>
    </row>
    <row r="17120" customFormat="false" ht="14.4" hidden="true" customHeight="false" outlineLevel="0" collapsed="false">
      <c r="A17120" s="34" t="n">
        <v>36793768000107</v>
      </c>
      <c r="B17120" s="34" t="s">
        <v>31474</v>
      </c>
      <c r="C17120" s="34" t="s">
        <v>77</v>
      </c>
      <c r="E17120" s="30" t="s">
        <v>31475</v>
      </c>
      <c r="F17120" s="34" t="n">
        <f aca="false">IFERROR(VLOOKUP($A17120,'319'!$B:$H,7,0),0)</f>
        <v>0</v>
      </c>
      <c r="G17120" s="34" t="n">
        <f aca="false">SUMIFS('12.326ana'!$C:$C,'12.326ana'!$M:$M,redes!A17120)</f>
        <v>0</v>
      </c>
    </row>
    <row r="17121" customFormat="false" ht="14.4" hidden="true" customHeight="false" outlineLevel="0" collapsed="false">
      <c r="A17121" s="34" t="n">
        <v>36793818000156</v>
      </c>
      <c r="B17121" s="34" t="s">
        <v>31476</v>
      </c>
      <c r="C17121" s="34" t="s">
        <v>604</v>
      </c>
      <c r="E17121" s="30" t="s">
        <v>8257</v>
      </c>
      <c r="F17121" s="34" t="n">
        <f aca="false">IFERROR(VLOOKUP($A17121,'319'!$B:$H,7,0),0)</f>
        <v>0</v>
      </c>
      <c r="G17121" s="34" t="n">
        <f aca="false">SUMIFS('12.326ana'!$C:$C,'12.326ana'!$M:$M,redes!A17121)</f>
        <v>0</v>
      </c>
    </row>
    <row r="17122" customFormat="false" ht="14.4" hidden="true" customHeight="false" outlineLevel="0" collapsed="false">
      <c r="A17122" s="34" t="n">
        <v>36793834000149</v>
      </c>
      <c r="B17122" s="34" t="s">
        <v>31477</v>
      </c>
      <c r="C17122" s="34" t="s">
        <v>107</v>
      </c>
      <c r="E17122" s="30" t="s">
        <v>31478</v>
      </c>
      <c r="F17122" s="34" t="n">
        <f aca="false">IFERROR(VLOOKUP($A17122,'319'!$B:$H,7,0),0)</f>
        <v>0</v>
      </c>
      <c r="G17122" s="34" t="n">
        <f aca="false">SUMIFS('12.326ana'!$C:$C,'12.326ana'!$M:$M,redes!A17122)</f>
        <v>0</v>
      </c>
    </row>
    <row r="17123" customFormat="false" ht="14.4" hidden="true" customHeight="false" outlineLevel="0" collapsed="false">
      <c r="A17123" s="34" t="n">
        <v>36794162000196</v>
      </c>
      <c r="B17123" s="34" t="s">
        <v>31479</v>
      </c>
      <c r="C17123" s="34" t="s">
        <v>77</v>
      </c>
      <c r="E17123" s="30" t="s">
        <v>31480</v>
      </c>
      <c r="F17123" s="34" t="n">
        <f aca="false">IFERROR(VLOOKUP($A17123,'319'!$B:$H,7,0),0)</f>
        <v>0</v>
      </c>
      <c r="G17123" s="34" t="n">
        <f aca="false">SUMIFS('12.326ana'!$C:$C,'12.326ana'!$M:$M,redes!A17123)</f>
        <v>0</v>
      </c>
    </row>
    <row r="17124" customFormat="false" ht="14.4" hidden="true" customHeight="false" outlineLevel="0" collapsed="false">
      <c r="A17124" s="34" t="n">
        <v>36794568000179</v>
      </c>
      <c r="B17124" s="34" t="s">
        <v>31481</v>
      </c>
      <c r="C17124" s="34" t="s">
        <v>107</v>
      </c>
      <c r="E17124" s="30" t="s">
        <v>31482</v>
      </c>
      <c r="F17124" s="34" t="n">
        <f aca="false">IFERROR(VLOOKUP($A17124,'319'!$B:$H,7,0),0)</f>
        <v>0</v>
      </c>
      <c r="G17124" s="34" t="n">
        <f aca="false">SUMIFS('12.326ana'!$C:$C,'12.326ana'!$M:$M,redes!A17124)</f>
        <v>0</v>
      </c>
    </row>
    <row r="17125" customFormat="false" ht="14.4" hidden="true" customHeight="false" outlineLevel="0" collapsed="false">
      <c r="A17125" s="34" t="n">
        <v>36795011000152</v>
      </c>
      <c r="B17125" s="34" t="s">
        <v>31483</v>
      </c>
      <c r="C17125" s="34" t="s">
        <v>299</v>
      </c>
      <c r="E17125" s="30" t="s">
        <v>31484</v>
      </c>
      <c r="F17125" s="34" t="n">
        <f aca="false">IFERROR(VLOOKUP($A17125,'319'!$B:$H,7,0),0)</f>
        <v>0</v>
      </c>
      <c r="G17125" s="34" t="n">
        <f aca="false">SUMIFS('12.326ana'!$C:$C,'12.326ana'!$M:$M,redes!A17125)</f>
        <v>0</v>
      </c>
    </row>
    <row r="17126" customFormat="false" ht="14.4" hidden="true" customHeight="false" outlineLevel="0" collapsed="false">
      <c r="A17126" s="34" t="n">
        <v>36795680000124</v>
      </c>
      <c r="B17126" s="34" t="s">
        <v>31485</v>
      </c>
      <c r="C17126" s="34" t="s">
        <v>1591</v>
      </c>
      <c r="E17126" s="30" t="s">
        <v>31486</v>
      </c>
      <c r="F17126" s="34" t="n">
        <f aca="false">IFERROR(VLOOKUP($A17126,'319'!$B:$H,7,0),0)</f>
        <v>0</v>
      </c>
      <c r="G17126" s="34" t="n">
        <f aca="false">SUMIFS('12.326ana'!$C:$C,'12.326ana'!$M:$M,redes!A17126)</f>
        <v>0</v>
      </c>
    </row>
    <row r="17127" customFormat="false" ht="14.4" hidden="true" customHeight="false" outlineLevel="0" collapsed="false">
      <c r="A17127" s="34" t="n">
        <v>36795722000127</v>
      </c>
      <c r="B17127" s="34" t="s">
        <v>31487</v>
      </c>
      <c r="C17127" s="34" t="s">
        <v>336</v>
      </c>
      <c r="E17127" s="30" t="s">
        <v>31488</v>
      </c>
      <c r="F17127" s="34" t="n">
        <f aca="false">IFERROR(VLOOKUP($A17127,'319'!$B:$H,7,0),0)</f>
        <v>0</v>
      </c>
      <c r="G17127" s="34" t="n">
        <f aca="false">SUMIFS('12.326ana'!$C:$C,'12.326ana'!$M:$M,redes!A17127)</f>
        <v>0</v>
      </c>
    </row>
    <row r="17128" customFormat="false" ht="14.4" hidden="true" customHeight="false" outlineLevel="0" collapsed="false">
      <c r="A17128" s="34" t="n">
        <v>36795987000125</v>
      </c>
      <c r="B17128" s="34" t="s">
        <v>31489</v>
      </c>
      <c r="C17128" s="34" t="s">
        <v>77</v>
      </c>
      <c r="E17128" s="30" t="s">
        <v>31490</v>
      </c>
      <c r="F17128" s="34" t="n">
        <f aca="false">IFERROR(VLOOKUP($A17128,'319'!$B:$H,7,0),0)</f>
        <v>0</v>
      </c>
      <c r="G17128" s="34" t="n">
        <f aca="false">SUMIFS('12.326ana'!$C:$C,'12.326ana'!$M:$M,redes!A17128)</f>
        <v>0</v>
      </c>
    </row>
    <row r="17129" customFormat="false" ht="14.4" hidden="true" customHeight="false" outlineLevel="0" collapsed="false">
      <c r="A17129" s="34" t="n">
        <v>36796324000125</v>
      </c>
      <c r="B17129" s="34" t="s">
        <v>31491</v>
      </c>
      <c r="C17129" s="34" t="s">
        <v>77</v>
      </c>
      <c r="E17129" s="30" t="s">
        <v>31492</v>
      </c>
      <c r="F17129" s="34" t="n">
        <f aca="false">IFERROR(VLOOKUP($A17129,'319'!$B:$H,7,0),0)</f>
        <v>0</v>
      </c>
      <c r="G17129" s="34" t="n">
        <f aca="false">SUMIFS('12.326ana'!$C:$C,'12.326ana'!$M:$M,redes!A17129)</f>
        <v>0</v>
      </c>
    </row>
    <row r="17130" customFormat="false" ht="14.4" hidden="true" customHeight="false" outlineLevel="0" collapsed="false">
      <c r="A17130" s="34" t="n">
        <v>36796407000114</v>
      </c>
      <c r="B17130" s="34" t="s">
        <v>31493</v>
      </c>
      <c r="C17130" s="34" t="s">
        <v>357</v>
      </c>
      <c r="E17130" s="30" t="s">
        <v>5725</v>
      </c>
      <c r="F17130" s="34" t="n">
        <f aca="false">IFERROR(VLOOKUP($A17130,'319'!$B:$H,7,0),0)</f>
        <v>0</v>
      </c>
      <c r="G17130" s="34" t="n">
        <f aca="false">SUMIFS('12.326ana'!$C:$C,'12.326ana'!$M:$M,redes!A17130)</f>
        <v>0</v>
      </c>
    </row>
    <row r="17131" customFormat="false" ht="14.4" hidden="true" customHeight="false" outlineLevel="0" collapsed="false">
      <c r="A17131" s="34" t="n">
        <v>36797801000177</v>
      </c>
      <c r="B17131" s="34" t="s">
        <v>31494</v>
      </c>
      <c r="C17131" s="34" t="s">
        <v>463</v>
      </c>
      <c r="E17131" s="30" t="s">
        <v>6972</v>
      </c>
      <c r="F17131" s="34" t="n">
        <f aca="false">IFERROR(VLOOKUP($A17131,'319'!$B:$H,7,0),0)</f>
        <v>0</v>
      </c>
      <c r="G17131" s="34" t="n">
        <f aca="false">SUMIFS('12.326ana'!$C:$C,'12.326ana'!$M:$M,redes!A17131)</f>
        <v>0</v>
      </c>
    </row>
    <row r="17132" customFormat="false" ht="14.4" hidden="true" customHeight="false" outlineLevel="0" collapsed="false">
      <c r="A17132" s="34" t="n">
        <v>36797900000159</v>
      </c>
      <c r="B17132" s="34" t="s">
        <v>31495</v>
      </c>
      <c r="C17132" s="34" t="s">
        <v>631</v>
      </c>
      <c r="E17132" s="30" t="s">
        <v>8745</v>
      </c>
      <c r="F17132" s="34" t="n">
        <f aca="false">IFERROR(VLOOKUP($A17132,'319'!$B:$H,7,0),0)</f>
        <v>0</v>
      </c>
      <c r="G17132" s="34" t="n">
        <f aca="false">SUMIFS('12.326ana'!$C:$C,'12.326ana'!$M:$M,redes!A17132)</f>
        <v>0</v>
      </c>
    </row>
    <row r="17133" customFormat="false" ht="14.4" hidden="true" customHeight="false" outlineLevel="0" collapsed="false">
      <c r="A17133" s="34" t="n">
        <v>36797926000105</v>
      </c>
      <c r="B17133" s="34" t="s">
        <v>31496</v>
      </c>
      <c r="C17133" s="34" t="s">
        <v>139</v>
      </c>
      <c r="E17133" s="30" t="s">
        <v>31497</v>
      </c>
      <c r="F17133" s="34" t="n">
        <f aca="false">IFERROR(VLOOKUP($A17133,'319'!$B:$H,7,0),0)</f>
        <v>0</v>
      </c>
      <c r="G17133" s="34" t="n">
        <f aca="false">SUMIFS('12.326ana'!$C:$C,'12.326ana'!$M:$M,redes!A17133)</f>
        <v>0</v>
      </c>
    </row>
    <row r="17134" customFormat="false" ht="14.4" hidden="true" customHeight="false" outlineLevel="0" collapsed="false">
      <c r="A17134" s="34" t="n">
        <v>36798031000187</v>
      </c>
      <c r="B17134" s="34" t="s">
        <v>1164</v>
      </c>
      <c r="C17134" s="34" t="s">
        <v>473</v>
      </c>
      <c r="E17134" s="30" t="s">
        <v>15485</v>
      </c>
      <c r="F17134" s="34" t="n">
        <f aca="false">IFERROR(VLOOKUP($A17134,'319'!$B:$H,7,0),0)</f>
        <v>410.22</v>
      </c>
      <c r="G17134" s="34" t="n">
        <f aca="false">SUMIFS('12.326ana'!$C:$C,'12.326ana'!$M:$M,redes!A17134)</f>
        <v>0</v>
      </c>
    </row>
    <row r="17135" customFormat="false" ht="14.4" hidden="true" customHeight="false" outlineLevel="0" collapsed="false">
      <c r="A17135" s="34" t="n">
        <v>36798056000180</v>
      </c>
      <c r="B17135" s="34" t="s">
        <v>31498</v>
      </c>
      <c r="C17135" s="34" t="s">
        <v>139</v>
      </c>
      <c r="E17135" s="30" t="s">
        <v>31499</v>
      </c>
      <c r="F17135" s="34" t="n">
        <f aca="false">IFERROR(VLOOKUP($A17135,'319'!$B:$H,7,0),0)</f>
        <v>0</v>
      </c>
      <c r="G17135" s="34" t="n">
        <f aca="false">SUMIFS('12.326ana'!$C:$C,'12.326ana'!$M:$M,redes!A17135)</f>
        <v>0</v>
      </c>
    </row>
    <row r="17136" customFormat="false" ht="14.4" hidden="true" customHeight="false" outlineLevel="0" collapsed="false">
      <c r="A17136" s="34" t="n">
        <v>36798577000138</v>
      </c>
      <c r="B17136" s="34" t="s">
        <v>31500</v>
      </c>
      <c r="C17136" s="34" t="s">
        <v>139</v>
      </c>
      <c r="E17136" s="30" t="s">
        <v>10001</v>
      </c>
      <c r="F17136" s="34" t="n">
        <f aca="false">IFERROR(VLOOKUP($A17136,'319'!$B:$H,7,0),0)</f>
        <v>0</v>
      </c>
      <c r="G17136" s="34" t="n">
        <f aca="false">SUMIFS('12.326ana'!$C:$C,'12.326ana'!$M:$M,redes!A17136)</f>
        <v>0</v>
      </c>
    </row>
    <row r="17137" customFormat="false" ht="14.4" hidden="true" customHeight="false" outlineLevel="0" collapsed="false">
      <c r="A17137" s="34" t="n">
        <v>36798650000171</v>
      </c>
      <c r="B17137" s="34" t="s">
        <v>31501</v>
      </c>
      <c r="C17137" s="34" t="s">
        <v>565</v>
      </c>
      <c r="E17137" s="30" t="s">
        <v>31502</v>
      </c>
      <c r="F17137" s="34" t="n">
        <f aca="false">IFERROR(VLOOKUP($A17137,'319'!$B:$H,7,0),0)</f>
        <v>0</v>
      </c>
      <c r="G17137" s="34" t="n">
        <f aca="false">SUMIFS('12.326ana'!$C:$C,'12.326ana'!$M:$M,redes!A17137)</f>
        <v>0</v>
      </c>
    </row>
    <row r="17138" customFormat="false" ht="14.4" hidden="true" customHeight="false" outlineLevel="0" collapsed="false">
      <c r="A17138" s="34" t="n">
        <v>36798783000148</v>
      </c>
      <c r="B17138" s="34" t="s">
        <v>31503</v>
      </c>
      <c r="C17138" s="34" t="s">
        <v>77</v>
      </c>
      <c r="E17138" s="30" t="s">
        <v>31504</v>
      </c>
      <c r="F17138" s="34" t="n">
        <f aca="false">IFERROR(VLOOKUP($A17138,'319'!$B:$H,7,0),0)</f>
        <v>0</v>
      </c>
      <c r="G17138" s="34" t="n">
        <f aca="false">SUMIFS('12.326ana'!$C:$C,'12.326ana'!$M:$M,redes!A17138)</f>
        <v>0</v>
      </c>
    </row>
    <row r="17139" customFormat="false" ht="14.4" hidden="true" customHeight="false" outlineLevel="0" collapsed="false">
      <c r="A17139" s="34" t="n">
        <v>36798825000140</v>
      </c>
      <c r="B17139" s="34" t="s">
        <v>31505</v>
      </c>
      <c r="C17139" s="34" t="s">
        <v>309</v>
      </c>
      <c r="E17139" s="30" t="s">
        <v>31506</v>
      </c>
      <c r="F17139" s="34" t="n">
        <f aca="false">IFERROR(VLOOKUP($A17139,'319'!$B:$H,7,0),0)</f>
        <v>0</v>
      </c>
      <c r="G17139" s="34" t="n">
        <f aca="false">SUMIFS('12.326ana'!$C:$C,'12.326ana'!$M:$M,redes!A17139)</f>
        <v>0</v>
      </c>
    </row>
    <row r="17140" customFormat="false" ht="14.4" hidden="true" customHeight="false" outlineLevel="0" collapsed="false">
      <c r="A17140" s="34" t="n">
        <v>36799583000100</v>
      </c>
      <c r="B17140" s="34" t="s">
        <v>31507</v>
      </c>
      <c r="C17140" s="34" t="s">
        <v>107</v>
      </c>
      <c r="E17140" s="30" t="s">
        <v>31508</v>
      </c>
      <c r="F17140" s="34" t="n">
        <f aca="false">IFERROR(VLOOKUP($A17140,'319'!$B:$H,7,0),0)</f>
        <v>0</v>
      </c>
      <c r="G17140" s="34" t="n">
        <f aca="false">SUMIFS('12.326ana'!$C:$C,'12.326ana'!$M:$M,redes!A17140)</f>
        <v>0</v>
      </c>
    </row>
    <row r="17141" customFormat="false" ht="14.4" hidden="true" customHeight="false" outlineLevel="0" collapsed="false">
      <c r="A17141" s="34" t="n">
        <v>36800118000141</v>
      </c>
      <c r="B17141" s="34" t="s">
        <v>31509</v>
      </c>
      <c r="C17141" s="34" t="s">
        <v>77</v>
      </c>
      <c r="E17141" s="30" t="s">
        <v>31510</v>
      </c>
      <c r="F17141" s="34" t="n">
        <f aca="false">IFERROR(VLOOKUP($A17141,'319'!$B:$H,7,0),0)</f>
        <v>0</v>
      </c>
      <c r="G17141" s="34" t="n">
        <f aca="false">SUMIFS('12.326ana'!$C:$C,'12.326ana'!$M:$M,redes!A17141)</f>
        <v>0</v>
      </c>
    </row>
    <row r="17142" customFormat="false" ht="14.4" hidden="true" customHeight="false" outlineLevel="0" collapsed="false">
      <c r="A17142" s="34" t="n">
        <v>36800274000102</v>
      </c>
      <c r="B17142" s="34" t="s">
        <v>31511</v>
      </c>
      <c r="C17142" s="34" t="s">
        <v>117</v>
      </c>
      <c r="E17142" s="30" t="s">
        <v>4873</v>
      </c>
      <c r="F17142" s="34" t="n">
        <f aca="false">IFERROR(VLOOKUP($A17142,'319'!$B:$H,7,0),0)</f>
        <v>0</v>
      </c>
      <c r="G17142" s="34" t="n">
        <f aca="false">SUMIFS('12.326ana'!$C:$C,'12.326ana'!$M:$M,redes!A17142)</f>
        <v>0</v>
      </c>
    </row>
    <row r="17143" customFormat="false" ht="14.4" hidden="true" customHeight="false" outlineLevel="0" collapsed="false">
      <c r="A17143" s="34" t="n">
        <v>36800449000181</v>
      </c>
      <c r="B17143" s="34" t="s">
        <v>31512</v>
      </c>
      <c r="C17143" s="34" t="s">
        <v>737</v>
      </c>
      <c r="E17143" s="30" t="s">
        <v>31513</v>
      </c>
      <c r="F17143" s="34" t="n">
        <f aca="false">IFERROR(VLOOKUP($A17143,'319'!$B:$H,7,0),0)</f>
        <v>0</v>
      </c>
      <c r="G17143" s="34" t="n">
        <f aca="false">SUMIFS('12.326ana'!$C:$C,'12.326ana'!$M:$M,redes!A17143)</f>
        <v>0</v>
      </c>
    </row>
    <row r="17144" customFormat="false" ht="14.4" hidden="true" customHeight="false" outlineLevel="0" collapsed="false">
      <c r="A17144" s="34" t="n">
        <v>36800530000161</v>
      </c>
      <c r="B17144" s="34" t="s">
        <v>31514</v>
      </c>
      <c r="C17144" s="34" t="s">
        <v>565</v>
      </c>
      <c r="E17144" s="30" t="s">
        <v>31515</v>
      </c>
      <c r="F17144" s="34" t="n">
        <f aca="false">IFERROR(VLOOKUP($A17144,'319'!$B:$H,7,0),0)</f>
        <v>0</v>
      </c>
      <c r="G17144" s="34" t="n">
        <f aca="false">SUMIFS('12.326ana'!$C:$C,'12.326ana'!$M:$M,redes!A17144)</f>
        <v>0</v>
      </c>
    </row>
    <row r="17145" customFormat="false" ht="14.4" hidden="true" customHeight="false" outlineLevel="0" collapsed="false">
      <c r="A17145" s="34" t="n">
        <v>36800845000109</v>
      </c>
      <c r="B17145" s="34" t="s">
        <v>31516</v>
      </c>
      <c r="C17145" s="34" t="s">
        <v>77</v>
      </c>
      <c r="E17145" s="30" t="s">
        <v>31517</v>
      </c>
      <c r="F17145" s="34" t="n">
        <f aca="false">IFERROR(VLOOKUP($A17145,'319'!$B:$H,7,0),0)</f>
        <v>0</v>
      </c>
      <c r="G17145" s="34" t="n">
        <f aca="false">SUMIFS('12.326ana'!$C:$C,'12.326ana'!$M:$M,redes!A17145)</f>
        <v>0</v>
      </c>
    </row>
    <row r="17146" customFormat="false" ht="14.4" hidden="true" customHeight="false" outlineLevel="0" collapsed="false">
      <c r="A17146" s="34" t="n">
        <v>36800910000104</v>
      </c>
      <c r="B17146" s="34" t="s">
        <v>31518</v>
      </c>
      <c r="C17146" s="34" t="s">
        <v>935</v>
      </c>
      <c r="E17146" s="30" t="s">
        <v>31519</v>
      </c>
      <c r="F17146" s="34" t="n">
        <f aca="false">IFERROR(VLOOKUP($A17146,'319'!$B:$H,7,0),0)</f>
        <v>0</v>
      </c>
      <c r="G17146" s="34" t="n">
        <f aca="false">SUMIFS('12.326ana'!$C:$C,'12.326ana'!$M:$M,redes!A17146)</f>
        <v>0</v>
      </c>
    </row>
    <row r="17147" customFormat="false" ht="14.4" hidden="true" customHeight="false" outlineLevel="0" collapsed="false">
      <c r="A17147" s="34" t="n">
        <v>36801058000181</v>
      </c>
      <c r="B17147" s="34" t="s">
        <v>31520</v>
      </c>
      <c r="C17147" s="34" t="s">
        <v>77</v>
      </c>
      <c r="E17147" s="30" t="s">
        <v>19051</v>
      </c>
      <c r="F17147" s="34" t="n">
        <f aca="false">IFERROR(VLOOKUP($A17147,'319'!$B:$H,7,0),0)</f>
        <v>0</v>
      </c>
      <c r="G17147" s="34" t="n">
        <f aca="false">SUMIFS('12.326ana'!$C:$C,'12.326ana'!$M:$M,redes!A17147)</f>
        <v>0</v>
      </c>
    </row>
    <row r="17148" customFormat="false" ht="14.4" hidden="true" customHeight="false" outlineLevel="0" collapsed="false">
      <c r="A17148" s="34" t="n">
        <v>36801348000125</v>
      </c>
      <c r="B17148" s="34" t="s">
        <v>31521</v>
      </c>
      <c r="C17148" s="34" t="s">
        <v>89</v>
      </c>
      <c r="E17148" s="30" t="s">
        <v>8730</v>
      </c>
      <c r="F17148" s="34" t="n">
        <f aca="false">IFERROR(VLOOKUP($A17148,'319'!$B:$H,7,0),0)</f>
        <v>0</v>
      </c>
      <c r="G17148" s="34" t="n">
        <f aca="false">SUMIFS('12.326ana'!$C:$C,'12.326ana'!$M:$M,redes!A17148)</f>
        <v>0</v>
      </c>
    </row>
    <row r="17149" customFormat="false" ht="14.4" hidden="true" customHeight="false" outlineLevel="0" collapsed="false">
      <c r="A17149" s="34" t="n">
        <v>36801348000206</v>
      </c>
      <c r="B17149" s="34" t="s">
        <v>31522</v>
      </c>
      <c r="C17149" s="34" t="s">
        <v>89</v>
      </c>
      <c r="E17149" s="30" t="s">
        <v>31523</v>
      </c>
      <c r="F17149" s="34" t="n">
        <f aca="false">IFERROR(VLOOKUP($A17149,'319'!$B:$H,7,0),0)</f>
        <v>0</v>
      </c>
      <c r="G17149" s="34" t="n">
        <f aca="false">SUMIFS('12.326ana'!$C:$C,'12.326ana'!$M:$M,redes!A17149)</f>
        <v>0</v>
      </c>
    </row>
    <row r="17150" customFormat="false" ht="14.4" hidden="true" customHeight="false" outlineLevel="0" collapsed="false">
      <c r="A17150" s="34" t="n">
        <v>36801488000101</v>
      </c>
      <c r="B17150" s="34" t="s">
        <v>31524</v>
      </c>
      <c r="C17150" s="34" t="s">
        <v>4418</v>
      </c>
      <c r="E17150" s="30" t="s">
        <v>4276</v>
      </c>
      <c r="F17150" s="34" t="n">
        <f aca="false">IFERROR(VLOOKUP($A17150,'319'!$B:$H,7,0),0)</f>
        <v>0</v>
      </c>
      <c r="G17150" s="34" t="n">
        <f aca="false">SUMIFS('12.326ana'!$C:$C,'12.326ana'!$M:$M,redes!A17150)</f>
        <v>0</v>
      </c>
    </row>
    <row r="17151" customFormat="false" ht="14.4" hidden="true" customHeight="false" outlineLevel="0" collapsed="false">
      <c r="A17151" s="34" t="n">
        <v>36801868000138</v>
      </c>
      <c r="B17151" s="34" t="s">
        <v>8797</v>
      </c>
      <c r="C17151" s="34" t="s">
        <v>309</v>
      </c>
      <c r="E17151" s="30" t="s">
        <v>8798</v>
      </c>
      <c r="F17151" s="34" t="n">
        <f aca="false">IFERROR(VLOOKUP($A17151,'319'!$B:$H,7,0),0)</f>
        <v>0</v>
      </c>
      <c r="G17151" s="34" t="n">
        <f aca="false">SUMIFS('12.326ana'!$C:$C,'12.326ana'!$M:$M,redes!A17151)</f>
        <v>0</v>
      </c>
    </row>
    <row r="17152" customFormat="false" ht="14.4" hidden="true" customHeight="false" outlineLevel="0" collapsed="false">
      <c r="A17152" s="34" t="n">
        <v>36803013000146</v>
      </c>
      <c r="B17152" s="34" t="s">
        <v>31525</v>
      </c>
      <c r="C17152" s="34" t="s">
        <v>77</v>
      </c>
      <c r="E17152" s="30" t="s">
        <v>31526</v>
      </c>
      <c r="F17152" s="34" t="n">
        <f aca="false">IFERROR(VLOOKUP($A17152,'319'!$B:$H,7,0),0)</f>
        <v>0</v>
      </c>
      <c r="G17152" s="34" t="n">
        <f aca="false">SUMIFS('12.326ana'!$C:$C,'12.326ana'!$M:$M,redes!A17152)</f>
        <v>0</v>
      </c>
    </row>
    <row r="17153" customFormat="false" ht="14.4" hidden="true" customHeight="false" outlineLevel="0" collapsed="false">
      <c r="A17153" s="34" t="n">
        <v>36803591000182</v>
      </c>
      <c r="B17153" s="34" t="s">
        <v>31527</v>
      </c>
      <c r="C17153" s="34" t="s">
        <v>604</v>
      </c>
      <c r="E17153" s="30" t="s">
        <v>4453</v>
      </c>
      <c r="F17153" s="34" t="n">
        <f aca="false">IFERROR(VLOOKUP($A17153,'319'!$B:$H,7,0),0)</f>
        <v>0</v>
      </c>
      <c r="G17153" s="34" t="n">
        <f aca="false">SUMIFS('12.326ana'!$C:$C,'12.326ana'!$M:$M,redes!A17153)</f>
        <v>0</v>
      </c>
    </row>
    <row r="17154" customFormat="false" ht="14.4" hidden="true" customHeight="false" outlineLevel="0" collapsed="false">
      <c r="A17154" s="34" t="n">
        <v>36804284000116</v>
      </c>
      <c r="B17154" s="34" t="s">
        <v>31528</v>
      </c>
      <c r="C17154" s="34" t="s">
        <v>1341</v>
      </c>
      <c r="E17154" s="30" t="s">
        <v>31529</v>
      </c>
      <c r="F17154" s="34" t="n">
        <f aca="false">IFERROR(VLOOKUP($A17154,'319'!$B:$H,7,0),0)</f>
        <v>0</v>
      </c>
      <c r="G17154" s="34" t="n">
        <f aca="false">SUMIFS('12.326ana'!$C:$C,'12.326ana'!$M:$M,redes!A17154)</f>
        <v>0</v>
      </c>
    </row>
    <row r="17155" customFormat="false" ht="14.4" hidden="true" customHeight="false" outlineLevel="0" collapsed="false">
      <c r="A17155" s="34" t="n">
        <v>36806370000168</v>
      </c>
      <c r="B17155" s="34" t="s">
        <v>31530</v>
      </c>
      <c r="C17155" s="34" t="s">
        <v>1591</v>
      </c>
      <c r="E17155" s="30" t="s">
        <v>31531</v>
      </c>
      <c r="F17155" s="34" t="n">
        <f aca="false">IFERROR(VLOOKUP($A17155,'319'!$B:$H,7,0),0)</f>
        <v>0</v>
      </c>
      <c r="G17155" s="34" t="n">
        <f aca="false">SUMIFS('12.326ana'!$C:$C,'12.326ana'!$M:$M,redes!A17155)</f>
        <v>0</v>
      </c>
    </row>
    <row r="17156" customFormat="false" ht="14.4" hidden="true" customHeight="false" outlineLevel="0" collapsed="false">
      <c r="A17156" s="34" t="n">
        <v>36806669000112</v>
      </c>
      <c r="B17156" s="34" t="s">
        <v>31532</v>
      </c>
      <c r="C17156" s="34" t="s">
        <v>77</v>
      </c>
      <c r="E17156" s="30" t="s">
        <v>31533</v>
      </c>
      <c r="F17156" s="34" t="n">
        <f aca="false">IFERROR(VLOOKUP($A17156,'319'!$B:$H,7,0),0)</f>
        <v>0</v>
      </c>
      <c r="G17156" s="34" t="n">
        <f aca="false">SUMIFS('12.326ana'!$C:$C,'12.326ana'!$M:$M,redes!A17156)</f>
        <v>0</v>
      </c>
    </row>
    <row r="17157" customFormat="false" ht="14.4" hidden="true" customHeight="false" outlineLevel="0" collapsed="false">
      <c r="A17157" s="34" t="n">
        <v>36806743000109</v>
      </c>
      <c r="B17157" s="34" t="s">
        <v>31534</v>
      </c>
      <c r="C17157" s="34" t="s">
        <v>139</v>
      </c>
      <c r="E17157" s="30" t="s">
        <v>31535</v>
      </c>
      <c r="F17157" s="34" t="n">
        <f aca="false">IFERROR(VLOOKUP($A17157,'319'!$B:$H,7,0),0)</f>
        <v>0</v>
      </c>
      <c r="G17157" s="34" t="n">
        <f aca="false">SUMIFS('12.326ana'!$C:$C,'12.326ana'!$M:$M,redes!A17157)</f>
        <v>0</v>
      </c>
    </row>
    <row r="17158" customFormat="false" ht="14.4" hidden="true" customHeight="false" outlineLevel="0" collapsed="false">
      <c r="A17158" s="34" t="n">
        <v>36807048000153</v>
      </c>
      <c r="B17158" s="34" t="s">
        <v>31536</v>
      </c>
      <c r="C17158" s="34" t="s">
        <v>299</v>
      </c>
      <c r="E17158" s="30" t="s">
        <v>31537</v>
      </c>
      <c r="F17158" s="34" t="n">
        <f aca="false">IFERROR(VLOOKUP($A17158,'319'!$B:$H,7,0),0)</f>
        <v>0</v>
      </c>
      <c r="G17158" s="34" t="n">
        <f aca="false">SUMIFS('12.326ana'!$C:$C,'12.326ana'!$M:$M,redes!A17158)</f>
        <v>0</v>
      </c>
    </row>
    <row r="17159" customFormat="false" ht="14.4" hidden="true" customHeight="false" outlineLevel="0" collapsed="false">
      <c r="A17159" s="34" t="n">
        <v>36807121000197</v>
      </c>
      <c r="B17159" s="34" t="s">
        <v>31538</v>
      </c>
      <c r="C17159" s="34" t="s">
        <v>463</v>
      </c>
      <c r="E17159" s="30" t="s">
        <v>31539</v>
      </c>
      <c r="F17159" s="34" t="n">
        <f aca="false">IFERROR(VLOOKUP($A17159,'319'!$B:$H,7,0),0)</f>
        <v>0</v>
      </c>
      <c r="G17159" s="34" t="n">
        <f aca="false">SUMIFS('12.326ana'!$C:$C,'12.326ana'!$M:$M,redes!A17159)</f>
        <v>0</v>
      </c>
    </row>
    <row r="17160" customFormat="false" ht="14.4" hidden="true" customHeight="false" outlineLevel="0" collapsed="false">
      <c r="A17160" s="34" t="n">
        <v>36807337000152</v>
      </c>
      <c r="B17160" s="34" t="s">
        <v>31540</v>
      </c>
      <c r="C17160" s="34" t="s">
        <v>706</v>
      </c>
      <c r="E17160" s="30" t="s">
        <v>31541</v>
      </c>
      <c r="F17160" s="34" t="n">
        <f aca="false">IFERROR(VLOOKUP($A17160,'319'!$B:$H,7,0),0)</f>
        <v>0</v>
      </c>
      <c r="G17160" s="34" t="n">
        <f aca="false">SUMIFS('12.326ana'!$C:$C,'12.326ana'!$M:$M,redes!A17160)</f>
        <v>0</v>
      </c>
    </row>
    <row r="17161" customFormat="false" ht="14.4" hidden="true" customHeight="false" outlineLevel="0" collapsed="false">
      <c r="A17161" s="34" t="n">
        <v>36807493000113</v>
      </c>
      <c r="B17161" s="34" t="s">
        <v>4738</v>
      </c>
      <c r="C17161" s="34" t="s">
        <v>77</v>
      </c>
      <c r="E17161" s="30"/>
      <c r="F17161" s="34" t="n">
        <f aca="false">IFERROR(VLOOKUP($A17161,'319'!$B:$H,7,0),0)</f>
        <v>0</v>
      </c>
      <c r="G17161" s="34" t="n">
        <f aca="false">SUMIFS('12.326ana'!$C:$C,'12.326ana'!$M:$M,redes!A17161)</f>
        <v>0</v>
      </c>
    </row>
    <row r="17162" customFormat="false" ht="14.4" hidden="true" customHeight="false" outlineLevel="0" collapsed="false">
      <c r="A17162" s="34" t="n">
        <v>36807994000108</v>
      </c>
      <c r="B17162" s="34" t="s">
        <v>31542</v>
      </c>
      <c r="C17162" s="34" t="s">
        <v>107</v>
      </c>
      <c r="E17162" s="30" t="s">
        <v>31543</v>
      </c>
      <c r="F17162" s="34" t="n">
        <f aca="false">IFERROR(VLOOKUP($A17162,'319'!$B:$H,7,0),0)</f>
        <v>0</v>
      </c>
      <c r="G17162" s="34" t="n">
        <f aca="false">SUMIFS('12.326ana'!$C:$C,'12.326ana'!$M:$M,redes!A17162)</f>
        <v>0</v>
      </c>
    </row>
    <row r="17163" customFormat="false" ht="14.4" hidden="true" customHeight="false" outlineLevel="0" collapsed="false">
      <c r="A17163" s="34" t="n">
        <v>36808178000100</v>
      </c>
      <c r="B17163" s="34" t="s">
        <v>31544</v>
      </c>
      <c r="C17163" s="34" t="s">
        <v>77</v>
      </c>
      <c r="E17163" s="30" t="s">
        <v>31545</v>
      </c>
      <c r="F17163" s="34" t="n">
        <f aca="false">IFERROR(VLOOKUP($A17163,'319'!$B:$H,7,0),0)</f>
        <v>0</v>
      </c>
      <c r="G17163" s="34" t="n">
        <f aca="false">SUMIFS('12.326ana'!$C:$C,'12.326ana'!$M:$M,redes!A17163)</f>
        <v>0</v>
      </c>
    </row>
    <row r="17164" customFormat="false" ht="14.4" hidden="true" customHeight="false" outlineLevel="0" collapsed="false">
      <c r="A17164" s="34" t="n">
        <v>36808228000150</v>
      </c>
      <c r="B17164" s="34" t="s">
        <v>31546</v>
      </c>
      <c r="C17164" s="34" t="s">
        <v>737</v>
      </c>
      <c r="E17164" s="30" t="s">
        <v>31547</v>
      </c>
      <c r="F17164" s="34" t="n">
        <f aca="false">IFERROR(VLOOKUP($A17164,'319'!$B:$H,7,0),0)</f>
        <v>0</v>
      </c>
      <c r="G17164" s="34" t="n">
        <f aca="false">SUMIFS('12.326ana'!$C:$C,'12.326ana'!$M:$M,redes!A17164)</f>
        <v>0</v>
      </c>
    </row>
    <row r="17165" customFormat="false" ht="14.4" hidden="true" customHeight="false" outlineLevel="0" collapsed="false">
      <c r="A17165" s="34" t="n">
        <v>36808418000177</v>
      </c>
      <c r="B17165" s="34" t="s">
        <v>31548</v>
      </c>
      <c r="C17165" s="34" t="s">
        <v>7250</v>
      </c>
      <c r="E17165" s="30" t="s">
        <v>17658</v>
      </c>
      <c r="F17165" s="34" t="n">
        <f aca="false">IFERROR(VLOOKUP($A17165,'319'!$B:$H,7,0),0)</f>
        <v>0</v>
      </c>
      <c r="G17165" s="34" t="n">
        <f aca="false">SUMIFS('12.326ana'!$C:$C,'12.326ana'!$M:$M,redes!A17165)</f>
        <v>0</v>
      </c>
    </row>
    <row r="17166" customFormat="false" ht="14.4" hidden="true" customHeight="false" outlineLevel="0" collapsed="false">
      <c r="A17166" s="34" t="n">
        <v>36808509000102</v>
      </c>
      <c r="B17166" s="34" t="s">
        <v>31549</v>
      </c>
      <c r="C17166" s="34" t="s">
        <v>139</v>
      </c>
      <c r="E17166" s="30" t="s">
        <v>31550</v>
      </c>
      <c r="F17166" s="34" t="n">
        <f aca="false">IFERROR(VLOOKUP($A17166,'319'!$B:$H,7,0),0)</f>
        <v>0</v>
      </c>
      <c r="G17166" s="34" t="n">
        <f aca="false">SUMIFS('12.326ana'!$C:$C,'12.326ana'!$M:$M,redes!A17166)</f>
        <v>0</v>
      </c>
    </row>
    <row r="17167" customFormat="false" ht="14.4" hidden="true" customHeight="false" outlineLevel="0" collapsed="false">
      <c r="A17167" s="34" t="n">
        <v>36811321000113</v>
      </c>
      <c r="B17167" s="34" t="s">
        <v>31551</v>
      </c>
      <c r="C17167" s="34" t="s">
        <v>103</v>
      </c>
      <c r="E17167" s="30" t="s">
        <v>31551</v>
      </c>
      <c r="F17167" s="34" t="n">
        <f aca="false">IFERROR(VLOOKUP($A17167,'319'!$B:$H,7,0),0)</f>
        <v>0</v>
      </c>
      <c r="G17167" s="34" t="n">
        <f aca="false">SUMIFS('12.326ana'!$C:$C,'12.326ana'!$M:$M,redes!A17167)</f>
        <v>0</v>
      </c>
    </row>
    <row r="17168" customFormat="false" ht="14.4" hidden="true" customHeight="false" outlineLevel="0" collapsed="false">
      <c r="A17168" s="34" t="n">
        <v>36811586000111</v>
      </c>
      <c r="B17168" s="34" t="s">
        <v>31552</v>
      </c>
      <c r="C17168" s="34" t="s">
        <v>77</v>
      </c>
      <c r="E17168" s="30" t="s">
        <v>5687</v>
      </c>
      <c r="F17168" s="34" t="n">
        <f aca="false">IFERROR(VLOOKUP($A17168,'319'!$B:$H,7,0),0)</f>
        <v>0</v>
      </c>
      <c r="G17168" s="34" t="n">
        <f aca="false">SUMIFS('12.326ana'!$C:$C,'12.326ana'!$M:$M,redes!A17168)</f>
        <v>0</v>
      </c>
    </row>
    <row r="17169" customFormat="false" ht="14.4" hidden="true" customHeight="false" outlineLevel="0" collapsed="false">
      <c r="A17169" s="34" t="n">
        <v>36812261000153</v>
      </c>
      <c r="B17169" s="34" t="s">
        <v>31553</v>
      </c>
      <c r="C17169" s="34" t="s">
        <v>3594</v>
      </c>
      <c r="E17169" s="30" t="s">
        <v>31554</v>
      </c>
      <c r="F17169" s="34" t="n">
        <f aca="false">IFERROR(VLOOKUP($A17169,'319'!$B:$H,7,0),0)</f>
        <v>0</v>
      </c>
      <c r="G17169" s="34" t="n">
        <f aca="false">SUMIFS('12.326ana'!$C:$C,'12.326ana'!$M:$M,redes!A17169)</f>
        <v>0</v>
      </c>
    </row>
    <row r="17170" customFormat="false" ht="14.4" hidden="true" customHeight="false" outlineLevel="0" collapsed="false">
      <c r="A17170" s="34" t="n">
        <v>36812758000171</v>
      </c>
      <c r="B17170" s="34" t="s">
        <v>31555</v>
      </c>
      <c r="C17170" s="34" t="s">
        <v>299</v>
      </c>
      <c r="E17170" s="30" t="s">
        <v>3538</v>
      </c>
      <c r="F17170" s="34" t="n">
        <f aca="false">IFERROR(VLOOKUP($A17170,'319'!$B:$H,7,0),0)</f>
        <v>0</v>
      </c>
      <c r="G17170" s="34" t="n">
        <f aca="false">SUMIFS('12.326ana'!$C:$C,'12.326ana'!$M:$M,redes!A17170)</f>
        <v>0</v>
      </c>
    </row>
    <row r="17171" customFormat="false" ht="14.4" hidden="true" customHeight="false" outlineLevel="0" collapsed="false">
      <c r="A17171" s="34" t="n">
        <v>36812824000103</v>
      </c>
      <c r="B17171" s="34" t="s">
        <v>31556</v>
      </c>
      <c r="C17171" s="34" t="s">
        <v>463</v>
      </c>
      <c r="E17171" s="30" t="s">
        <v>4630</v>
      </c>
      <c r="F17171" s="34" t="n">
        <f aca="false">IFERROR(VLOOKUP($A17171,'319'!$B:$H,7,0),0)</f>
        <v>0</v>
      </c>
      <c r="G17171" s="34" t="n">
        <f aca="false">SUMIFS('12.326ana'!$C:$C,'12.326ana'!$M:$M,redes!A17171)</f>
        <v>0</v>
      </c>
    </row>
    <row r="17172" customFormat="false" ht="14.4" hidden="true" customHeight="false" outlineLevel="0" collapsed="false">
      <c r="A17172" s="34" t="n">
        <v>36812956000135</v>
      </c>
      <c r="B17172" s="34" t="s">
        <v>31557</v>
      </c>
      <c r="C17172" s="34" t="s">
        <v>744</v>
      </c>
      <c r="E17172" s="30" t="s">
        <v>31558</v>
      </c>
      <c r="F17172" s="34" t="n">
        <f aca="false">IFERROR(VLOOKUP($A17172,'319'!$B:$H,7,0),0)</f>
        <v>0</v>
      </c>
      <c r="G17172" s="34" t="n">
        <f aca="false">SUMIFS('12.326ana'!$C:$C,'12.326ana'!$M:$M,redes!A17172)</f>
        <v>0</v>
      </c>
    </row>
    <row r="17173" customFormat="false" ht="14.4" hidden="true" customHeight="false" outlineLevel="0" collapsed="false">
      <c r="A17173" s="34" t="n">
        <v>36813046000177</v>
      </c>
      <c r="B17173" s="34" t="s">
        <v>31559</v>
      </c>
      <c r="C17173" s="34" t="s">
        <v>7250</v>
      </c>
      <c r="E17173" s="30" t="s">
        <v>13794</v>
      </c>
      <c r="F17173" s="34" t="n">
        <f aca="false">IFERROR(VLOOKUP($A17173,'319'!$B:$H,7,0),0)</f>
        <v>0</v>
      </c>
      <c r="G17173" s="34" t="n">
        <f aca="false">SUMIFS('12.326ana'!$C:$C,'12.326ana'!$M:$M,redes!A17173)</f>
        <v>0</v>
      </c>
    </row>
    <row r="17174" customFormat="false" ht="14.4" hidden="true" customHeight="false" outlineLevel="0" collapsed="false">
      <c r="A17174" s="34" t="n">
        <v>36813319000183</v>
      </c>
      <c r="B17174" s="34" t="s">
        <v>31560</v>
      </c>
      <c r="C17174" s="34" t="s">
        <v>107</v>
      </c>
      <c r="E17174" s="30" t="s">
        <v>8635</v>
      </c>
      <c r="F17174" s="34" t="n">
        <f aca="false">IFERROR(VLOOKUP($A17174,'319'!$B:$H,7,0),0)</f>
        <v>0</v>
      </c>
      <c r="G17174" s="34" t="n">
        <f aca="false">SUMIFS('12.326ana'!$C:$C,'12.326ana'!$M:$M,redes!A17174)</f>
        <v>0</v>
      </c>
    </row>
    <row r="17175" customFormat="false" ht="14.4" hidden="true" customHeight="false" outlineLevel="0" collapsed="false">
      <c r="A17175" s="34" t="n">
        <v>36813405000196</v>
      </c>
      <c r="B17175" s="34" t="s">
        <v>31561</v>
      </c>
      <c r="C17175" s="34" t="s">
        <v>107</v>
      </c>
      <c r="E17175" s="30" t="s">
        <v>31562</v>
      </c>
      <c r="F17175" s="34" t="n">
        <f aca="false">IFERROR(VLOOKUP($A17175,'319'!$B:$H,7,0),0)</f>
        <v>0</v>
      </c>
      <c r="G17175" s="34" t="n">
        <f aca="false">SUMIFS('12.326ana'!$C:$C,'12.326ana'!$M:$M,redes!A17175)</f>
        <v>0</v>
      </c>
    </row>
    <row r="17176" customFormat="false" ht="14.4" hidden="true" customHeight="false" outlineLevel="0" collapsed="false">
      <c r="A17176" s="34" t="n">
        <v>36813517000147</v>
      </c>
      <c r="B17176" s="34" t="s">
        <v>31563</v>
      </c>
      <c r="C17176" s="34" t="s">
        <v>1272</v>
      </c>
      <c r="E17176" s="30" t="s">
        <v>31564</v>
      </c>
      <c r="F17176" s="34" t="n">
        <f aca="false">IFERROR(VLOOKUP($A17176,'319'!$B:$H,7,0),0)</f>
        <v>0</v>
      </c>
      <c r="G17176" s="34" t="n">
        <f aca="false">SUMIFS('12.326ana'!$C:$C,'12.326ana'!$M:$M,redes!A17176)</f>
        <v>0</v>
      </c>
    </row>
    <row r="17177" customFormat="false" ht="14.4" hidden="true" customHeight="false" outlineLevel="0" collapsed="false">
      <c r="A17177" s="34" t="n">
        <v>36814861000150</v>
      </c>
      <c r="B17177" s="34" t="s">
        <v>31565</v>
      </c>
      <c r="C17177" s="34" t="s">
        <v>77</v>
      </c>
      <c r="E17177" s="30" t="s">
        <v>31566</v>
      </c>
      <c r="F17177" s="34" t="n">
        <f aca="false">IFERROR(VLOOKUP($A17177,'319'!$B:$H,7,0),0)</f>
        <v>0</v>
      </c>
      <c r="G17177" s="34" t="n">
        <f aca="false">SUMIFS('12.326ana'!$C:$C,'12.326ana'!$M:$M,redes!A17177)</f>
        <v>0</v>
      </c>
    </row>
    <row r="17178" customFormat="false" ht="14.4" hidden="true" customHeight="false" outlineLevel="0" collapsed="false">
      <c r="A17178" s="34" t="n">
        <v>36814929000100</v>
      </c>
      <c r="B17178" s="34" t="s">
        <v>31567</v>
      </c>
      <c r="C17178" s="34" t="s">
        <v>154</v>
      </c>
      <c r="E17178" s="30" t="s">
        <v>31568</v>
      </c>
      <c r="F17178" s="34" t="n">
        <f aca="false">IFERROR(VLOOKUP($A17178,'319'!$B:$H,7,0),0)</f>
        <v>0</v>
      </c>
      <c r="G17178" s="34" t="n">
        <f aca="false">SUMIFS('12.326ana'!$C:$C,'12.326ana'!$M:$M,redes!A17178)</f>
        <v>0</v>
      </c>
    </row>
    <row r="17179" customFormat="false" ht="14.4" hidden="true" customHeight="false" outlineLevel="0" collapsed="false">
      <c r="A17179" s="34" t="n">
        <v>36815181000151</v>
      </c>
      <c r="B17179" s="34" t="s">
        <v>31569</v>
      </c>
      <c r="C17179" s="34" t="s">
        <v>342</v>
      </c>
      <c r="D17179" s="34" t="s">
        <v>33</v>
      </c>
      <c r="E17179" s="30" t="s">
        <v>13290</v>
      </c>
      <c r="F17179" s="34" t="n">
        <f aca="false">IFERROR(VLOOKUP($A17179,'319'!$B:$H,7,0),0)</f>
        <v>0</v>
      </c>
      <c r="G17179" s="34" t="n">
        <f aca="false">SUMIFS('12.326ana'!$C:$C,'12.326ana'!$M:$M,redes!A17179)</f>
        <v>0</v>
      </c>
    </row>
    <row r="17180" customFormat="false" ht="14.4" hidden="true" customHeight="false" outlineLevel="0" collapsed="false">
      <c r="A17180" s="34" t="n">
        <v>36815280000133</v>
      </c>
      <c r="B17180" s="34" t="s">
        <v>31570</v>
      </c>
      <c r="C17180" s="34" t="s">
        <v>309</v>
      </c>
      <c r="E17180" s="30" t="s">
        <v>31571</v>
      </c>
      <c r="F17180" s="34" t="n">
        <f aca="false">IFERROR(VLOOKUP($A17180,'319'!$B:$H,7,0),0)</f>
        <v>0</v>
      </c>
      <c r="G17180" s="34" t="n">
        <f aca="false">SUMIFS('12.326ana'!$C:$C,'12.326ana'!$M:$M,redes!A17180)</f>
        <v>0</v>
      </c>
    </row>
    <row r="17181" customFormat="false" ht="14.4" hidden="true" customHeight="false" outlineLevel="0" collapsed="false">
      <c r="A17181" s="34" t="n">
        <v>36815397000117</v>
      </c>
      <c r="B17181" s="34" t="s">
        <v>31572</v>
      </c>
      <c r="C17181" s="34" t="s">
        <v>77</v>
      </c>
      <c r="E17181" s="30" t="s">
        <v>31573</v>
      </c>
      <c r="F17181" s="34" t="n">
        <f aca="false">IFERROR(VLOOKUP($A17181,'319'!$B:$H,7,0),0)</f>
        <v>0</v>
      </c>
      <c r="G17181" s="34" t="n">
        <f aca="false">SUMIFS('12.326ana'!$C:$C,'12.326ana'!$M:$M,redes!A17181)</f>
        <v>0</v>
      </c>
    </row>
    <row r="17182" customFormat="false" ht="14.4" hidden="true" customHeight="false" outlineLevel="0" collapsed="false">
      <c r="A17182" s="34" t="n">
        <v>36816783000123</v>
      </c>
      <c r="B17182" s="34" t="s">
        <v>31574</v>
      </c>
      <c r="C17182" s="34" t="s">
        <v>631</v>
      </c>
      <c r="E17182" s="30" t="s">
        <v>25469</v>
      </c>
      <c r="F17182" s="34" t="n">
        <f aca="false">IFERROR(VLOOKUP($A17182,'319'!$B:$H,7,0),0)</f>
        <v>0</v>
      </c>
      <c r="G17182" s="34" t="n">
        <f aca="false">SUMIFS('12.326ana'!$C:$C,'12.326ana'!$M:$M,redes!A17182)</f>
        <v>0</v>
      </c>
    </row>
    <row r="17183" customFormat="false" ht="14.4" hidden="true" customHeight="false" outlineLevel="0" collapsed="false">
      <c r="A17183" s="34" t="n">
        <v>36818227000196</v>
      </c>
      <c r="B17183" s="34" t="s">
        <v>1605</v>
      </c>
      <c r="C17183" s="34" t="s">
        <v>117</v>
      </c>
      <c r="E17183" s="30" t="s">
        <v>14390</v>
      </c>
      <c r="F17183" s="34" t="n">
        <f aca="false">IFERROR(VLOOKUP($A17183,'319'!$B:$H,7,0),0)</f>
        <v>88.6</v>
      </c>
      <c r="G17183" s="34" t="n">
        <f aca="false">SUMIFS('12.326ana'!$C:$C,'12.326ana'!$M:$M,redes!A17183)</f>
        <v>0</v>
      </c>
    </row>
    <row r="17184" customFormat="false" ht="14.4" hidden="true" customHeight="false" outlineLevel="0" collapsed="false">
      <c r="A17184" s="34" t="n">
        <v>36818227000277</v>
      </c>
      <c r="B17184" s="34" t="s">
        <v>31575</v>
      </c>
      <c r="C17184" s="34" t="s">
        <v>117</v>
      </c>
      <c r="E17184" s="30" t="s">
        <v>31576</v>
      </c>
      <c r="F17184" s="34" t="n">
        <f aca="false">IFERROR(VLOOKUP($A17184,'319'!$B:$H,7,0),0)</f>
        <v>0</v>
      </c>
      <c r="G17184" s="34" t="n">
        <f aca="false">SUMIFS('12.326ana'!$C:$C,'12.326ana'!$M:$M,redes!A17184)</f>
        <v>0</v>
      </c>
    </row>
    <row r="17185" customFormat="false" ht="14.4" hidden="true" customHeight="false" outlineLevel="0" collapsed="false">
      <c r="A17185" s="34" t="n">
        <v>36818779000102</v>
      </c>
      <c r="B17185" s="34" t="s">
        <v>31577</v>
      </c>
      <c r="C17185" s="34" t="s">
        <v>77</v>
      </c>
      <c r="E17185" s="30" t="s">
        <v>31578</v>
      </c>
      <c r="F17185" s="34" t="n">
        <f aca="false">IFERROR(VLOOKUP($A17185,'319'!$B:$H,7,0),0)</f>
        <v>0</v>
      </c>
      <c r="G17185" s="34" t="n">
        <f aca="false">SUMIFS('12.326ana'!$C:$C,'12.326ana'!$M:$M,redes!A17185)</f>
        <v>0</v>
      </c>
    </row>
    <row r="17186" customFormat="false" ht="14.4" hidden="true" customHeight="false" outlineLevel="0" collapsed="false">
      <c r="A17186" s="34" t="n">
        <v>36819167000126</v>
      </c>
      <c r="B17186" s="34" t="s">
        <v>31579</v>
      </c>
      <c r="C17186" s="34" t="s">
        <v>935</v>
      </c>
      <c r="E17186" s="30" t="s">
        <v>31580</v>
      </c>
      <c r="F17186" s="34" t="n">
        <f aca="false">IFERROR(VLOOKUP($A17186,'319'!$B:$H,7,0),0)</f>
        <v>0</v>
      </c>
      <c r="G17186" s="34" t="n">
        <f aca="false">SUMIFS('12.326ana'!$C:$C,'12.326ana'!$M:$M,redes!A17186)</f>
        <v>0</v>
      </c>
    </row>
    <row r="17187" customFormat="false" ht="14.4" hidden="true" customHeight="false" outlineLevel="0" collapsed="false">
      <c r="A17187" s="34" t="n">
        <v>36819399000184</v>
      </c>
      <c r="B17187" s="34" t="s">
        <v>31581</v>
      </c>
      <c r="C17187" s="34" t="s">
        <v>1591</v>
      </c>
      <c r="E17187" s="30" t="s">
        <v>31582</v>
      </c>
      <c r="F17187" s="34" t="n">
        <f aca="false">IFERROR(VLOOKUP($A17187,'319'!$B:$H,7,0),0)</f>
        <v>0</v>
      </c>
      <c r="G17187" s="34" t="n">
        <f aca="false">SUMIFS('12.326ana'!$C:$C,'12.326ana'!$M:$M,redes!A17187)</f>
        <v>0</v>
      </c>
    </row>
    <row r="17188" customFormat="false" ht="14.4" hidden="true" customHeight="false" outlineLevel="0" collapsed="false">
      <c r="A17188" s="34" t="n">
        <v>36820587000122</v>
      </c>
      <c r="B17188" s="34" t="s">
        <v>31583</v>
      </c>
      <c r="C17188" s="34" t="s">
        <v>848</v>
      </c>
      <c r="E17188" s="30" t="s">
        <v>31584</v>
      </c>
      <c r="F17188" s="34" t="n">
        <f aca="false">IFERROR(VLOOKUP($A17188,'319'!$B:$H,7,0),0)</f>
        <v>0</v>
      </c>
      <c r="G17188" s="34" t="n">
        <f aca="false">SUMIFS('12.326ana'!$C:$C,'12.326ana'!$M:$M,redes!A17188)</f>
        <v>0</v>
      </c>
    </row>
    <row r="17189" customFormat="false" ht="14.4" hidden="true" customHeight="false" outlineLevel="0" collapsed="false">
      <c r="A17189" s="34" t="n">
        <v>36820900000122</v>
      </c>
      <c r="B17189" s="34" t="s">
        <v>31585</v>
      </c>
      <c r="C17189" s="34" t="s">
        <v>77</v>
      </c>
      <c r="E17189" s="30" t="s">
        <v>16418</v>
      </c>
      <c r="F17189" s="34" t="n">
        <f aca="false">IFERROR(VLOOKUP($A17189,'319'!$B:$H,7,0),0)</f>
        <v>0</v>
      </c>
      <c r="G17189" s="34" t="n">
        <f aca="false">SUMIFS('12.326ana'!$C:$C,'12.326ana'!$M:$M,redes!A17189)</f>
        <v>0</v>
      </c>
    </row>
    <row r="17190" customFormat="false" ht="14.4" hidden="true" customHeight="false" outlineLevel="0" collapsed="false">
      <c r="A17190" s="34" t="n">
        <v>36820967000167</v>
      </c>
      <c r="B17190" s="34" t="s">
        <v>31586</v>
      </c>
      <c r="C17190" s="34" t="s">
        <v>77</v>
      </c>
      <c r="E17190" s="30" t="s">
        <v>31587</v>
      </c>
      <c r="F17190" s="34" t="n">
        <f aca="false">IFERROR(VLOOKUP($A17190,'319'!$B:$H,7,0),0)</f>
        <v>0</v>
      </c>
      <c r="G17190" s="34" t="n">
        <f aca="false">SUMIFS('12.326ana'!$C:$C,'12.326ana'!$M:$M,redes!A17190)</f>
        <v>0</v>
      </c>
    </row>
    <row r="17191" customFormat="false" ht="14.4" hidden="true" customHeight="false" outlineLevel="0" collapsed="false">
      <c r="A17191" s="34" t="n">
        <v>36821320000150</v>
      </c>
      <c r="B17191" s="34" t="s">
        <v>31588</v>
      </c>
      <c r="C17191" s="34" t="s">
        <v>213</v>
      </c>
      <c r="E17191" s="30" t="s">
        <v>31589</v>
      </c>
      <c r="F17191" s="34" t="n">
        <f aca="false">IFERROR(VLOOKUP($A17191,'319'!$B:$H,7,0),0)</f>
        <v>0</v>
      </c>
      <c r="G17191" s="34" t="n">
        <f aca="false">SUMIFS('12.326ana'!$C:$C,'12.326ana'!$M:$M,redes!A17191)</f>
        <v>0</v>
      </c>
    </row>
    <row r="17192" customFormat="false" ht="14.4" hidden="true" customHeight="false" outlineLevel="0" collapsed="false">
      <c r="A17192" s="34" t="n">
        <v>36823078000153</v>
      </c>
      <c r="B17192" s="34" t="s">
        <v>31590</v>
      </c>
      <c r="C17192" s="34" t="s">
        <v>448</v>
      </c>
      <c r="E17192" s="30" t="s">
        <v>31591</v>
      </c>
      <c r="F17192" s="34" t="n">
        <f aca="false">IFERROR(VLOOKUP($A17192,'319'!$B:$H,7,0),0)</f>
        <v>0</v>
      </c>
      <c r="G17192" s="34" t="n">
        <f aca="false">SUMIFS('12.326ana'!$C:$C,'12.326ana'!$M:$M,redes!A17192)</f>
        <v>0</v>
      </c>
    </row>
    <row r="17193" customFormat="false" ht="14.4" hidden="true" customHeight="false" outlineLevel="0" collapsed="false">
      <c r="A17193" s="34" t="n">
        <v>36823748000131</v>
      </c>
      <c r="B17193" s="34" t="s">
        <v>31592</v>
      </c>
      <c r="C17193" s="34" t="s">
        <v>473</v>
      </c>
      <c r="E17193" s="30" t="s">
        <v>31593</v>
      </c>
      <c r="F17193" s="34" t="n">
        <f aca="false">IFERROR(VLOOKUP($A17193,'319'!$B:$H,7,0),0)</f>
        <v>0</v>
      </c>
      <c r="G17193" s="34" t="n">
        <f aca="false">SUMIFS('12.326ana'!$C:$C,'12.326ana'!$M:$M,redes!A17193)</f>
        <v>0</v>
      </c>
    </row>
    <row r="17194" customFormat="false" ht="14.4" hidden="true" customHeight="false" outlineLevel="0" collapsed="false">
      <c r="A17194" s="34" t="n">
        <v>36824134000174</v>
      </c>
      <c r="B17194" s="34" t="s">
        <v>31594</v>
      </c>
      <c r="C17194" s="34" t="s">
        <v>77</v>
      </c>
      <c r="D17194" s="34" t="s">
        <v>13713</v>
      </c>
      <c r="E17194" s="30" t="s">
        <v>17426</v>
      </c>
      <c r="F17194" s="34" t="n">
        <f aca="false">IFERROR(VLOOKUP($A17194,'319'!$B:$H,7,0),0)</f>
        <v>0</v>
      </c>
      <c r="G17194" s="34" t="n">
        <f aca="false">SUMIFS('12.326ana'!$C:$C,'12.326ana'!$M:$M,redes!A17194)</f>
        <v>0</v>
      </c>
    </row>
    <row r="17195" customFormat="false" ht="14.4" hidden="true" customHeight="false" outlineLevel="0" collapsed="false">
      <c r="A17195" s="34" t="n">
        <v>36824399000172</v>
      </c>
      <c r="B17195" s="34" t="s">
        <v>31595</v>
      </c>
      <c r="C17195" s="34" t="s">
        <v>342</v>
      </c>
      <c r="E17195" s="30" t="s">
        <v>31596</v>
      </c>
      <c r="F17195" s="34" t="n">
        <f aca="false">IFERROR(VLOOKUP($A17195,'319'!$B:$H,7,0),0)</f>
        <v>0</v>
      </c>
      <c r="G17195" s="34" t="n">
        <f aca="false">SUMIFS('12.326ana'!$C:$C,'12.326ana'!$M:$M,redes!A17195)</f>
        <v>0</v>
      </c>
    </row>
    <row r="17196" customFormat="false" ht="14.4" hidden="true" customHeight="false" outlineLevel="0" collapsed="false">
      <c r="A17196" s="34" t="n">
        <v>36824514000109</v>
      </c>
      <c r="B17196" s="34" t="s">
        <v>31597</v>
      </c>
      <c r="C17196" s="34" t="s">
        <v>1680</v>
      </c>
      <c r="E17196" s="30" t="s">
        <v>31598</v>
      </c>
      <c r="F17196" s="34" t="n">
        <f aca="false">IFERROR(VLOOKUP($A17196,'319'!$B:$H,7,0),0)</f>
        <v>0</v>
      </c>
      <c r="G17196" s="34" t="n">
        <f aca="false">SUMIFS('12.326ana'!$C:$C,'12.326ana'!$M:$M,redes!A17196)</f>
        <v>0</v>
      </c>
    </row>
    <row r="17197" customFormat="false" ht="14.4" hidden="true" customHeight="false" outlineLevel="0" collapsed="false">
      <c r="A17197" s="34" t="n">
        <v>36824522000155</v>
      </c>
      <c r="B17197" s="34" t="s">
        <v>31599</v>
      </c>
      <c r="C17197" s="34" t="s">
        <v>598</v>
      </c>
      <c r="E17197" s="30" t="s">
        <v>31600</v>
      </c>
      <c r="F17197" s="34" t="n">
        <f aca="false">IFERROR(VLOOKUP($A17197,'319'!$B:$H,7,0),0)</f>
        <v>0</v>
      </c>
      <c r="G17197" s="34" t="n">
        <f aca="false">SUMIFS('12.326ana'!$C:$C,'12.326ana'!$M:$M,redes!A17197)</f>
        <v>0</v>
      </c>
    </row>
    <row r="17198" customFormat="false" ht="14.4" hidden="true" customHeight="false" outlineLevel="0" collapsed="false">
      <c r="A17198" s="34" t="n">
        <v>36824605000144</v>
      </c>
      <c r="B17198" s="34" t="s">
        <v>31601</v>
      </c>
      <c r="C17198" s="34" t="s">
        <v>77</v>
      </c>
      <c r="E17198" s="30" t="s">
        <v>31602</v>
      </c>
      <c r="F17198" s="34" t="n">
        <f aca="false">IFERROR(VLOOKUP($A17198,'319'!$B:$H,7,0),0)</f>
        <v>0</v>
      </c>
      <c r="G17198" s="34" t="n">
        <f aca="false">SUMIFS('12.326ana'!$C:$C,'12.326ana'!$M:$M,redes!A17198)</f>
        <v>0</v>
      </c>
    </row>
    <row r="17199" customFormat="false" ht="14.4" hidden="true" customHeight="false" outlineLevel="0" collapsed="false">
      <c r="A17199" s="34" t="n">
        <v>36824605000225</v>
      </c>
      <c r="B17199" s="34" t="s">
        <v>31601</v>
      </c>
      <c r="C17199" s="34" t="s">
        <v>77</v>
      </c>
      <c r="E17199" s="30" t="s">
        <v>31602</v>
      </c>
      <c r="F17199" s="34" t="n">
        <f aca="false">IFERROR(VLOOKUP($A17199,'319'!$B:$H,7,0),0)</f>
        <v>0</v>
      </c>
      <c r="G17199" s="34" t="n">
        <f aca="false">SUMIFS('12.326ana'!$C:$C,'12.326ana'!$M:$M,redes!A17199)</f>
        <v>0</v>
      </c>
    </row>
    <row r="17200" customFormat="false" ht="14.4" hidden="true" customHeight="false" outlineLevel="0" collapsed="false">
      <c r="A17200" s="34" t="n">
        <v>36824605000306</v>
      </c>
      <c r="B17200" s="34" t="s">
        <v>31601</v>
      </c>
      <c r="C17200" s="34" t="s">
        <v>77</v>
      </c>
      <c r="E17200" s="30" t="s">
        <v>31602</v>
      </c>
      <c r="F17200" s="34" t="n">
        <f aca="false">IFERROR(VLOOKUP($A17200,'319'!$B:$H,7,0),0)</f>
        <v>0</v>
      </c>
      <c r="G17200" s="34" t="n">
        <f aca="false">SUMIFS('12.326ana'!$C:$C,'12.326ana'!$M:$M,redes!A17200)</f>
        <v>0</v>
      </c>
    </row>
    <row r="17201" customFormat="false" ht="14.4" hidden="true" customHeight="false" outlineLevel="0" collapsed="false">
      <c r="A17201" s="34" t="n">
        <v>36824712000172</v>
      </c>
      <c r="B17201" s="34" t="s">
        <v>8438</v>
      </c>
      <c r="C17201" s="34" t="s">
        <v>77</v>
      </c>
      <c r="E17201" s="30" t="s">
        <v>31603</v>
      </c>
      <c r="F17201" s="34" t="n">
        <f aca="false">IFERROR(VLOOKUP($A17201,'319'!$B:$H,7,0),0)</f>
        <v>0</v>
      </c>
      <c r="G17201" s="34" t="n">
        <f aca="false">SUMIFS('12.326ana'!$C:$C,'12.326ana'!$M:$M,redes!A17201)</f>
        <v>0</v>
      </c>
    </row>
    <row r="17202" customFormat="false" ht="14.4" hidden="true" customHeight="false" outlineLevel="0" collapsed="false">
      <c r="A17202" s="34" t="n">
        <v>36824803000108</v>
      </c>
      <c r="B17202" s="34" t="s">
        <v>31604</v>
      </c>
      <c r="C17202" s="34" t="s">
        <v>77</v>
      </c>
      <c r="E17202" s="30" t="s">
        <v>31605</v>
      </c>
      <c r="F17202" s="34" t="n">
        <f aca="false">IFERROR(VLOOKUP($A17202,'319'!$B:$H,7,0),0)</f>
        <v>0</v>
      </c>
      <c r="G17202" s="34" t="n">
        <f aca="false">SUMIFS('12.326ana'!$C:$C,'12.326ana'!$M:$M,redes!A17202)</f>
        <v>0</v>
      </c>
    </row>
    <row r="17203" customFormat="false" ht="14.4" hidden="true" customHeight="false" outlineLevel="0" collapsed="false">
      <c r="A17203" s="34" t="n">
        <v>36826468000187</v>
      </c>
      <c r="B17203" s="34" t="s">
        <v>31606</v>
      </c>
      <c r="C17203" s="34" t="s">
        <v>77</v>
      </c>
      <c r="E17203" s="30" t="s">
        <v>31607</v>
      </c>
      <c r="F17203" s="34" t="n">
        <f aca="false">IFERROR(VLOOKUP($A17203,'319'!$B:$H,7,0),0)</f>
        <v>0</v>
      </c>
      <c r="G17203" s="34" t="n">
        <f aca="false">SUMIFS('12.326ana'!$C:$C,'12.326ana'!$M:$M,redes!A17203)</f>
        <v>0</v>
      </c>
    </row>
    <row r="17204" customFormat="false" ht="14.4" hidden="true" customHeight="false" outlineLevel="0" collapsed="false">
      <c r="A17204" s="34" t="n">
        <v>36840084000119</v>
      </c>
      <c r="B17204" s="34" t="s">
        <v>31608</v>
      </c>
      <c r="C17204" s="34" t="s">
        <v>842</v>
      </c>
      <c r="E17204" s="30" t="s">
        <v>23020</v>
      </c>
      <c r="F17204" s="34" t="n">
        <f aca="false">IFERROR(VLOOKUP($A17204,'319'!$B:$H,7,0),0)</f>
        <v>0</v>
      </c>
      <c r="G17204" s="34" t="n">
        <f aca="false">SUMIFS('12.326ana'!$C:$C,'12.326ana'!$M:$M,redes!A17204)</f>
        <v>0</v>
      </c>
    </row>
    <row r="17205" customFormat="false" ht="14.4" hidden="true" customHeight="false" outlineLevel="0" collapsed="false">
      <c r="A17205" s="34" t="n">
        <v>36850693000159</v>
      </c>
      <c r="B17205" s="34" t="s">
        <v>31609</v>
      </c>
      <c r="C17205" s="34" t="s">
        <v>77</v>
      </c>
      <c r="E17205" s="30" t="s">
        <v>31610</v>
      </c>
      <c r="F17205" s="34" t="n">
        <f aca="false">IFERROR(VLOOKUP($A17205,'319'!$B:$H,7,0),0)</f>
        <v>0</v>
      </c>
      <c r="G17205" s="34" t="n">
        <f aca="false">SUMIFS('12.326ana'!$C:$C,'12.326ana'!$M:$M,redes!A17205)</f>
        <v>0</v>
      </c>
    </row>
    <row r="17206" customFormat="false" ht="14.4" hidden="true" customHeight="false" outlineLevel="0" collapsed="false">
      <c r="A17206" s="34" t="n">
        <v>36865680000153</v>
      </c>
      <c r="B17206" s="34" t="s">
        <v>31611</v>
      </c>
      <c r="C17206" s="34" t="s">
        <v>448</v>
      </c>
      <c r="E17206" s="30" t="s">
        <v>31612</v>
      </c>
      <c r="F17206" s="34" t="n">
        <f aca="false">IFERROR(VLOOKUP($A17206,'319'!$B:$H,7,0),0)</f>
        <v>0</v>
      </c>
      <c r="G17206" s="34" t="n">
        <f aca="false">SUMIFS('12.326ana'!$C:$C,'12.326ana'!$M:$M,redes!A17206)</f>
        <v>0</v>
      </c>
    </row>
    <row r="17207" customFormat="false" ht="14.4" hidden="true" customHeight="false" outlineLevel="0" collapsed="false">
      <c r="A17207" s="34" t="n">
        <v>36891982000104</v>
      </c>
      <c r="B17207" s="34" t="s">
        <v>31613</v>
      </c>
      <c r="C17207" s="34" t="s">
        <v>1272</v>
      </c>
      <c r="E17207" s="30" t="s">
        <v>3066</v>
      </c>
      <c r="F17207" s="34" t="n">
        <f aca="false">IFERROR(VLOOKUP($A17207,'319'!$B:$H,7,0),0)</f>
        <v>0</v>
      </c>
      <c r="G17207" s="34" t="n">
        <f aca="false">SUMIFS('12.326ana'!$C:$C,'12.326ana'!$M:$M,redes!A17207)</f>
        <v>0</v>
      </c>
    </row>
    <row r="17208" customFormat="false" ht="14.4" hidden="true" customHeight="false" outlineLevel="0" collapsed="false">
      <c r="A17208" s="34" t="n">
        <v>36903723000148</v>
      </c>
      <c r="B17208" s="34" t="s">
        <v>31614</v>
      </c>
      <c r="C17208" s="34" t="s">
        <v>89</v>
      </c>
      <c r="E17208" s="30" t="s">
        <v>27682</v>
      </c>
      <c r="F17208" s="34" t="n">
        <f aca="false">IFERROR(VLOOKUP($A17208,'319'!$B:$H,7,0),0)</f>
        <v>0</v>
      </c>
      <c r="G17208" s="34" t="n">
        <f aca="false">SUMIFS('12.326ana'!$C:$C,'12.326ana'!$M:$M,redes!A17208)</f>
        <v>0</v>
      </c>
    </row>
    <row r="17209" customFormat="false" ht="14.4" hidden="true" customHeight="false" outlineLevel="0" collapsed="false">
      <c r="A17209" s="34" t="n">
        <v>36909852000143</v>
      </c>
      <c r="B17209" s="34" t="s">
        <v>31615</v>
      </c>
      <c r="C17209" s="34" t="s">
        <v>77</v>
      </c>
      <c r="E17209" s="30" t="s">
        <v>31615</v>
      </c>
      <c r="F17209" s="34" t="n">
        <f aca="false">IFERROR(VLOOKUP($A17209,'319'!$B:$H,7,0),0)</f>
        <v>0</v>
      </c>
      <c r="G17209" s="34" t="n">
        <f aca="false">SUMIFS('12.326ana'!$C:$C,'12.326ana'!$M:$M,redes!A17209)</f>
        <v>0</v>
      </c>
    </row>
    <row r="17210" customFormat="false" ht="14.4" hidden="true" customHeight="false" outlineLevel="0" collapsed="false">
      <c r="A17210" s="34" t="n">
        <v>36911668000138</v>
      </c>
      <c r="B17210" s="34" t="s">
        <v>31616</v>
      </c>
      <c r="C17210" s="34" t="s">
        <v>77</v>
      </c>
      <c r="E17210" s="30" t="s">
        <v>31617</v>
      </c>
      <c r="F17210" s="34" t="n">
        <f aca="false">IFERROR(VLOOKUP($A17210,'319'!$B:$H,7,0),0)</f>
        <v>0</v>
      </c>
      <c r="G17210" s="34" t="n">
        <f aca="false">SUMIFS('12.326ana'!$C:$C,'12.326ana'!$M:$M,redes!A17210)</f>
        <v>0</v>
      </c>
    </row>
    <row r="17211" customFormat="false" ht="14.4" hidden="true" customHeight="false" outlineLevel="0" collapsed="false">
      <c r="A17211" s="34" t="n">
        <v>36925001000194</v>
      </c>
      <c r="B17211" s="34" t="s">
        <v>31618</v>
      </c>
      <c r="C17211" s="34" t="s">
        <v>77</v>
      </c>
      <c r="E17211" s="30" t="s">
        <v>31619</v>
      </c>
      <c r="F17211" s="34" t="n">
        <f aca="false">IFERROR(VLOOKUP($A17211,'319'!$B:$H,7,0),0)</f>
        <v>0</v>
      </c>
      <c r="G17211" s="34" t="n">
        <f aca="false">SUMIFS('12.326ana'!$C:$C,'12.326ana'!$M:$M,redes!A17211)</f>
        <v>0</v>
      </c>
    </row>
    <row r="17212" customFormat="false" ht="14.4" hidden="true" customHeight="false" outlineLevel="0" collapsed="false">
      <c r="A17212" s="34" t="n">
        <v>36936172000119</v>
      </c>
      <c r="B17212" s="34" t="s">
        <v>31620</v>
      </c>
      <c r="C17212" s="34" t="s">
        <v>192</v>
      </c>
      <c r="E17212" s="30" t="s">
        <v>30206</v>
      </c>
      <c r="F17212" s="34" t="n">
        <f aca="false">IFERROR(VLOOKUP($A17212,'319'!$B:$H,7,0),0)</f>
        <v>0</v>
      </c>
      <c r="G17212" s="34" t="n">
        <f aca="false">SUMIFS('12.326ana'!$C:$C,'12.326ana'!$M:$M,redes!A17212)</f>
        <v>0</v>
      </c>
    </row>
    <row r="17213" customFormat="false" ht="14.4" hidden="true" customHeight="false" outlineLevel="0" collapsed="false">
      <c r="A17213" s="34" t="n">
        <v>36939575000111</v>
      </c>
      <c r="B17213" s="34" t="s">
        <v>31621</v>
      </c>
      <c r="C17213" s="34" t="s">
        <v>706</v>
      </c>
      <c r="E17213" s="30" t="s">
        <v>31622</v>
      </c>
      <c r="F17213" s="34" t="n">
        <f aca="false">IFERROR(VLOOKUP($A17213,'319'!$B:$H,7,0),0)</f>
        <v>0</v>
      </c>
      <c r="G17213" s="34" t="n">
        <f aca="false">SUMIFS('12.326ana'!$C:$C,'12.326ana'!$M:$M,redes!A17213)</f>
        <v>0</v>
      </c>
    </row>
    <row r="17214" customFormat="false" ht="14.4" hidden="true" customHeight="false" outlineLevel="0" collapsed="false">
      <c r="A17214" s="34" t="n">
        <v>36939864000110</v>
      </c>
      <c r="B17214" s="34" t="s">
        <v>31623</v>
      </c>
      <c r="C17214" s="34" t="s">
        <v>77</v>
      </c>
      <c r="E17214" s="30" t="s">
        <v>31624</v>
      </c>
      <c r="F17214" s="34" t="n">
        <f aca="false">IFERROR(VLOOKUP($A17214,'319'!$B:$H,7,0),0)</f>
        <v>0</v>
      </c>
      <c r="G17214" s="34" t="n">
        <f aca="false">SUMIFS('12.326ana'!$C:$C,'12.326ana'!$M:$M,redes!A17214)</f>
        <v>0</v>
      </c>
    </row>
    <row r="17215" customFormat="false" ht="14.4" hidden="true" customHeight="false" outlineLevel="0" collapsed="false">
      <c r="A17215" s="34" t="n">
        <v>36950015000168</v>
      </c>
      <c r="B17215" s="34" t="s">
        <v>31625</v>
      </c>
      <c r="C17215" s="34" t="s">
        <v>213</v>
      </c>
      <c r="E17215" s="30" t="s">
        <v>31626</v>
      </c>
      <c r="F17215" s="34" t="n">
        <f aca="false">IFERROR(VLOOKUP($A17215,'319'!$B:$H,7,0),0)</f>
        <v>0</v>
      </c>
      <c r="G17215" s="34" t="n">
        <f aca="false">SUMIFS('12.326ana'!$C:$C,'12.326ana'!$M:$M,redes!A17215)</f>
        <v>0</v>
      </c>
    </row>
    <row r="17216" customFormat="false" ht="14.4" hidden="true" customHeight="false" outlineLevel="0" collapsed="false">
      <c r="A17216" s="34" t="n">
        <v>36953371000135</v>
      </c>
      <c r="B17216" s="34" t="s">
        <v>31627</v>
      </c>
      <c r="C17216" s="34" t="s">
        <v>77</v>
      </c>
      <c r="E17216" s="30" t="s">
        <v>31628</v>
      </c>
      <c r="F17216" s="34" t="n">
        <f aca="false">IFERROR(VLOOKUP($A17216,'319'!$B:$H,7,0),0)</f>
        <v>0</v>
      </c>
      <c r="G17216" s="34" t="n">
        <f aca="false">SUMIFS('12.326ana'!$C:$C,'12.326ana'!$M:$M,redes!A17216)</f>
        <v>0</v>
      </c>
    </row>
    <row r="17217" customFormat="false" ht="14.4" hidden="true" customHeight="false" outlineLevel="0" collapsed="false">
      <c r="A17217" s="34" t="n">
        <v>36957965000114</v>
      </c>
      <c r="B17217" s="34" t="s">
        <v>31629</v>
      </c>
      <c r="C17217" s="34" t="s">
        <v>77</v>
      </c>
      <c r="E17217" s="30" t="s">
        <v>31630</v>
      </c>
      <c r="F17217" s="34" t="n">
        <f aca="false">IFERROR(VLOOKUP($A17217,'319'!$B:$H,7,0),0)</f>
        <v>0</v>
      </c>
      <c r="G17217" s="34" t="n">
        <f aca="false">SUMIFS('12.326ana'!$C:$C,'12.326ana'!$M:$M,redes!A17217)</f>
        <v>0</v>
      </c>
    </row>
    <row r="17218" customFormat="false" ht="14.4" hidden="true" customHeight="false" outlineLevel="0" collapsed="false">
      <c r="A17218" s="34" t="n">
        <v>36971225000132</v>
      </c>
      <c r="B17218" s="34" t="s">
        <v>31631</v>
      </c>
      <c r="C17218" s="34" t="s">
        <v>77</v>
      </c>
      <c r="E17218" s="30" t="s">
        <v>31632</v>
      </c>
      <c r="F17218" s="34" t="n">
        <f aca="false">IFERROR(VLOOKUP($A17218,'319'!$B:$H,7,0),0)</f>
        <v>0</v>
      </c>
      <c r="G17218" s="34" t="n">
        <f aca="false">SUMIFS('12.326ana'!$C:$C,'12.326ana'!$M:$M,redes!A17218)</f>
        <v>0</v>
      </c>
    </row>
    <row r="17219" customFormat="false" ht="14.4" hidden="true" customHeight="false" outlineLevel="0" collapsed="false">
      <c r="A17219" s="34" t="n">
        <v>36982811000182</v>
      </c>
      <c r="B17219" s="34" t="s">
        <v>31633</v>
      </c>
      <c r="C17219" s="34" t="s">
        <v>207</v>
      </c>
      <c r="E17219" s="30" t="s">
        <v>31634</v>
      </c>
      <c r="F17219" s="34" t="n">
        <f aca="false">IFERROR(VLOOKUP($A17219,'319'!$B:$H,7,0),0)</f>
        <v>0</v>
      </c>
      <c r="G17219" s="34" t="n">
        <f aca="false">SUMIFS('12.326ana'!$C:$C,'12.326ana'!$M:$M,redes!A17219)</f>
        <v>0</v>
      </c>
    </row>
    <row r="17220" customFormat="false" ht="14.4" hidden="true" customHeight="false" outlineLevel="0" collapsed="false">
      <c r="A17220" s="34" t="n">
        <v>36983142000163</v>
      </c>
      <c r="B17220" s="34" t="s">
        <v>31635</v>
      </c>
      <c r="C17220" s="34" t="s">
        <v>77</v>
      </c>
      <c r="E17220" s="30" t="s">
        <v>31636</v>
      </c>
      <c r="F17220" s="34" t="n">
        <f aca="false">IFERROR(VLOOKUP($A17220,'319'!$B:$H,7,0),0)</f>
        <v>555.17</v>
      </c>
      <c r="G17220" s="34" t="n">
        <f aca="false">SUMIFS('12.326ana'!$C:$C,'12.326ana'!$M:$M,redes!A17220)</f>
        <v>0</v>
      </c>
    </row>
    <row r="17221" customFormat="false" ht="14.4" hidden="true" customHeight="false" outlineLevel="0" collapsed="false">
      <c r="A17221" s="34" t="n">
        <v>36984669000102</v>
      </c>
      <c r="B17221" s="34" t="s">
        <v>31637</v>
      </c>
      <c r="C17221" s="34" t="s">
        <v>565</v>
      </c>
      <c r="E17221" s="30" t="s">
        <v>31638</v>
      </c>
      <c r="F17221" s="34" t="n">
        <f aca="false">IFERROR(VLOOKUP($A17221,'319'!$B:$H,7,0),0)</f>
        <v>0</v>
      </c>
      <c r="G17221" s="34" t="n">
        <f aca="false">SUMIFS('12.326ana'!$C:$C,'12.326ana'!$M:$M,redes!A17221)</f>
        <v>0</v>
      </c>
    </row>
    <row r="17222" customFormat="false" ht="14.4" hidden="true" customHeight="false" outlineLevel="0" collapsed="false">
      <c r="A17222" s="34" t="n">
        <v>36991634000109</v>
      </c>
      <c r="B17222" s="34" t="s">
        <v>31639</v>
      </c>
      <c r="C17222" s="34" t="s">
        <v>77</v>
      </c>
      <c r="E17222" s="30" t="s">
        <v>31640</v>
      </c>
      <c r="F17222" s="34" t="n">
        <f aca="false">IFERROR(VLOOKUP($A17222,'319'!$B:$H,7,0),0)</f>
        <v>0</v>
      </c>
      <c r="G17222" s="34" t="n">
        <f aca="false">SUMIFS('12.326ana'!$C:$C,'12.326ana'!$M:$M,redes!A17222)</f>
        <v>0</v>
      </c>
    </row>
    <row r="17223" customFormat="false" ht="14.4" hidden="true" customHeight="false" outlineLevel="0" collapsed="false">
      <c r="A17223" s="34" t="n">
        <v>36999542000167</v>
      </c>
      <c r="B17223" s="34" t="s">
        <v>31641</v>
      </c>
      <c r="C17223" s="34" t="s">
        <v>192</v>
      </c>
      <c r="E17223" s="30" t="s">
        <v>31642</v>
      </c>
      <c r="F17223" s="34" t="n">
        <f aca="false">IFERROR(VLOOKUP($A17223,'319'!$B:$H,7,0),0)</f>
        <v>0</v>
      </c>
      <c r="G17223" s="34" t="n">
        <f aca="false">SUMIFS('12.326ana'!$C:$C,'12.326ana'!$M:$M,redes!A17223)</f>
        <v>0</v>
      </c>
    </row>
    <row r="17224" customFormat="false" ht="14.4" hidden="true" customHeight="false" outlineLevel="0" collapsed="false">
      <c r="A17224" s="34" t="n">
        <v>36999918000133</v>
      </c>
      <c r="B17224" s="34" t="s">
        <v>31643</v>
      </c>
      <c r="C17224" s="34" t="s">
        <v>764</v>
      </c>
      <c r="E17224" s="30" t="s">
        <v>31644</v>
      </c>
      <c r="F17224" s="34" t="n">
        <f aca="false">IFERROR(VLOOKUP($A17224,'319'!$B:$H,7,0),0)</f>
        <v>0</v>
      </c>
      <c r="G17224" s="34" t="n">
        <f aca="false">SUMIFS('12.326ana'!$C:$C,'12.326ana'!$M:$M,redes!A17224)</f>
        <v>0</v>
      </c>
    </row>
    <row r="17225" customFormat="false" ht="14.4" hidden="true" customHeight="false" outlineLevel="0" collapsed="false">
      <c r="A17225" s="34" t="n">
        <v>37001282000151</v>
      </c>
      <c r="B17225" s="34" t="s">
        <v>31645</v>
      </c>
      <c r="C17225" s="34" t="s">
        <v>357</v>
      </c>
      <c r="E17225" s="30" t="s">
        <v>31646</v>
      </c>
      <c r="F17225" s="34" t="n">
        <f aca="false">IFERROR(VLOOKUP($A17225,'319'!$B:$H,7,0),0)</f>
        <v>0</v>
      </c>
      <c r="G17225" s="34" t="n">
        <f aca="false">SUMIFS('12.326ana'!$C:$C,'12.326ana'!$M:$M,redes!A17225)</f>
        <v>0</v>
      </c>
    </row>
    <row r="17226" customFormat="false" ht="14.4" hidden="true" customHeight="false" outlineLevel="0" collapsed="false">
      <c r="A17226" s="34" t="n">
        <v>37021891000172</v>
      </c>
      <c r="B17226" s="34" t="s">
        <v>31647</v>
      </c>
      <c r="C17226" s="34" t="s">
        <v>77</v>
      </c>
      <c r="E17226" s="30" t="s">
        <v>31648</v>
      </c>
      <c r="F17226" s="34" t="n">
        <f aca="false">IFERROR(VLOOKUP($A17226,'319'!$B:$H,7,0),0)</f>
        <v>0</v>
      </c>
      <c r="G17226" s="34" t="n">
        <f aca="false">SUMIFS('12.326ana'!$C:$C,'12.326ana'!$M:$M,redes!A17226)</f>
        <v>0</v>
      </c>
    </row>
    <row r="17227" customFormat="false" ht="14.4" hidden="true" customHeight="false" outlineLevel="0" collapsed="false">
      <c r="A17227" s="34" t="n">
        <v>37032004000161</v>
      </c>
      <c r="B17227" s="34" t="s">
        <v>31649</v>
      </c>
      <c r="C17227" s="34" t="s">
        <v>737</v>
      </c>
      <c r="E17227" s="30" t="s">
        <v>31650</v>
      </c>
      <c r="F17227" s="34" t="n">
        <f aca="false">IFERROR(VLOOKUP($A17227,'319'!$B:$H,7,0),0)</f>
        <v>0</v>
      </c>
      <c r="G17227" s="34" t="n">
        <f aca="false">SUMIFS('12.326ana'!$C:$C,'12.326ana'!$M:$M,redes!A17227)</f>
        <v>0</v>
      </c>
    </row>
    <row r="17228" customFormat="false" ht="14.4" hidden="true" customHeight="false" outlineLevel="0" collapsed="false">
      <c r="A17228" s="34" t="n">
        <v>37036835000101</v>
      </c>
      <c r="B17228" s="34" t="s">
        <v>1207</v>
      </c>
      <c r="C17228" s="34" t="s">
        <v>77</v>
      </c>
      <c r="E17228" s="30" t="s">
        <v>31651</v>
      </c>
      <c r="F17228" s="34" t="n">
        <f aca="false">IFERROR(VLOOKUP($A17228,'319'!$B:$H,7,0),0)</f>
        <v>328.95</v>
      </c>
      <c r="G17228" s="34" t="n">
        <f aca="false">SUMIFS('12.326ana'!$C:$C,'12.326ana'!$M:$M,redes!A17228)</f>
        <v>0</v>
      </c>
    </row>
    <row r="17229" customFormat="false" ht="14.4" hidden="true" customHeight="false" outlineLevel="0" collapsed="false">
      <c r="A17229" s="34" t="n">
        <v>37046317000179</v>
      </c>
      <c r="B17229" s="34" t="s">
        <v>31652</v>
      </c>
      <c r="C17229" s="34" t="s">
        <v>979</v>
      </c>
      <c r="E17229" s="30" t="s">
        <v>31653</v>
      </c>
      <c r="F17229" s="34" t="n">
        <f aca="false">IFERROR(VLOOKUP($A17229,'319'!$B:$H,7,0),0)</f>
        <v>0</v>
      </c>
      <c r="G17229" s="34" t="n">
        <f aca="false">SUMIFS('12.326ana'!$C:$C,'12.326ana'!$M:$M,redes!A17229)</f>
        <v>0</v>
      </c>
    </row>
    <row r="17230" customFormat="false" ht="14.4" hidden="true" customHeight="false" outlineLevel="0" collapsed="false">
      <c r="A17230" s="34" t="n">
        <v>37091328000170</v>
      </c>
      <c r="B17230" s="34" t="s">
        <v>31654</v>
      </c>
      <c r="C17230" s="34" t="s">
        <v>192</v>
      </c>
      <c r="E17230" s="30" t="s">
        <v>31655</v>
      </c>
      <c r="F17230" s="34" t="n">
        <f aca="false">IFERROR(VLOOKUP($A17230,'319'!$B:$H,7,0),0)</f>
        <v>0</v>
      </c>
      <c r="G17230" s="34" t="n">
        <f aca="false">SUMIFS('12.326ana'!$C:$C,'12.326ana'!$M:$M,redes!A17230)</f>
        <v>0</v>
      </c>
    </row>
    <row r="17231" customFormat="false" ht="14.4" hidden="true" customHeight="false" outlineLevel="0" collapsed="false">
      <c r="A17231" s="34" t="n">
        <v>37096693000178</v>
      </c>
      <c r="B17231" s="34" t="s">
        <v>31656</v>
      </c>
      <c r="C17231" s="34" t="s">
        <v>77</v>
      </c>
      <c r="E17231" s="30" t="s">
        <v>31657</v>
      </c>
      <c r="F17231" s="34" t="n">
        <f aca="false">IFERROR(VLOOKUP($A17231,'319'!$B:$H,7,0),0)</f>
        <v>0</v>
      </c>
      <c r="G17231" s="34" t="n">
        <f aca="false">SUMIFS('12.326ana'!$C:$C,'12.326ana'!$M:$M,redes!A17231)</f>
        <v>0</v>
      </c>
    </row>
    <row r="17232" customFormat="false" ht="14.4" hidden="true" customHeight="false" outlineLevel="0" collapsed="false">
      <c r="A17232" s="34" t="n">
        <v>37104541000170</v>
      </c>
      <c r="B17232" s="34" t="s">
        <v>31658</v>
      </c>
      <c r="C17232" s="34" t="s">
        <v>594</v>
      </c>
      <c r="E17232" s="30" t="s">
        <v>31659</v>
      </c>
      <c r="F17232" s="34" t="n">
        <f aca="false">IFERROR(VLOOKUP($A17232,'319'!$B:$H,7,0),0)</f>
        <v>0</v>
      </c>
      <c r="G17232" s="34" t="n">
        <f aca="false">SUMIFS('12.326ana'!$C:$C,'12.326ana'!$M:$M,redes!A17232)</f>
        <v>0</v>
      </c>
    </row>
    <row r="17233" customFormat="false" ht="14.4" hidden="true" customHeight="false" outlineLevel="0" collapsed="false">
      <c r="A17233" s="34" t="n">
        <v>37118269000187</v>
      </c>
      <c r="B17233" s="34" t="s">
        <v>31660</v>
      </c>
      <c r="C17233" s="34" t="s">
        <v>309</v>
      </c>
      <c r="E17233" s="30" t="s">
        <v>31661</v>
      </c>
      <c r="F17233" s="34" t="n">
        <f aca="false">IFERROR(VLOOKUP($A17233,'319'!$B:$H,7,0),0)</f>
        <v>0</v>
      </c>
      <c r="G17233" s="34" t="n">
        <f aca="false">SUMIFS('12.326ana'!$C:$C,'12.326ana'!$M:$M,redes!A17233)</f>
        <v>0</v>
      </c>
    </row>
    <row r="17234" customFormat="false" ht="14.4" hidden="true" customHeight="false" outlineLevel="0" collapsed="false">
      <c r="A17234" s="34" t="n">
        <v>37130759000107</v>
      </c>
      <c r="B17234" s="34" t="s">
        <v>31662</v>
      </c>
      <c r="C17234" s="34" t="s">
        <v>77</v>
      </c>
      <c r="E17234" s="30" t="s">
        <v>31663</v>
      </c>
      <c r="F17234" s="34" t="n">
        <f aca="false">IFERROR(VLOOKUP($A17234,'319'!$B:$H,7,0),0)</f>
        <v>0</v>
      </c>
      <c r="G17234" s="34" t="n">
        <f aca="false">SUMIFS('12.326ana'!$C:$C,'12.326ana'!$M:$M,redes!A17234)</f>
        <v>0</v>
      </c>
    </row>
    <row r="17235" customFormat="false" ht="14.4" hidden="true" customHeight="false" outlineLevel="0" collapsed="false">
      <c r="A17235" s="34" t="n">
        <v>37150144000134</v>
      </c>
      <c r="B17235" s="34" t="s">
        <v>31664</v>
      </c>
      <c r="C17235" s="34" t="s">
        <v>328</v>
      </c>
      <c r="E17235" s="30" t="s">
        <v>31665</v>
      </c>
      <c r="F17235" s="34" t="n">
        <f aca="false">IFERROR(VLOOKUP($A17235,'319'!$B:$H,7,0),0)</f>
        <v>0</v>
      </c>
      <c r="G17235" s="34" t="n">
        <f aca="false">SUMIFS('12.326ana'!$C:$C,'12.326ana'!$M:$M,redes!A17235)</f>
        <v>0</v>
      </c>
    </row>
    <row r="17236" customFormat="false" ht="14.4" hidden="true" customHeight="false" outlineLevel="0" collapsed="false">
      <c r="A17236" s="34" t="n">
        <v>37154620000195</v>
      </c>
      <c r="B17236" s="34" t="s">
        <v>31666</v>
      </c>
      <c r="C17236" s="34" t="s">
        <v>103</v>
      </c>
      <c r="E17236" s="30" t="s">
        <v>31667</v>
      </c>
      <c r="F17236" s="34" t="n">
        <f aca="false">IFERROR(VLOOKUP($A17236,'319'!$B:$H,7,0),0)</f>
        <v>0</v>
      </c>
      <c r="G17236" s="34" t="n">
        <f aca="false">SUMIFS('12.326ana'!$C:$C,'12.326ana'!$M:$M,redes!A17236)</f>
        <v>0</v>
      </c>
    </row>
    <row r="17237" customFormat="false" ht="14.4" hidden="true" customHeight="false" outlineLevel="0" collapsed="false">
      <c r="A17237" s="34" t="n">
        <v>37170848000179</v>
      </c>
      <c r="B17237" s="34" t="s">
        <v>31668</v>
      </c>
      <c r="C17237" s="34" t="s">
        <v>737</v>
      </c>
      <c r="E17237" s="30" t="s">
        <v>31669</v>
      </c>
      <c r="F17237" s="34" t="n">
        <f aca="false">IFERROR(VLOOKUP($A17237,'319'!$B:$H,7,0),0)</f>
        <v>0</v>
      </c>
      <c r="G17237" s="34" t="n">
        <f aca="false">SUMIFS('12.326ana'!$C:$C,'12.326ana'!$M:$M,redes!A17237)</f>
        <v>0</v>
      </c>
    </row>
    <row r="17238" customFormat="false" ht="14.4" hidden="true" customHeight="false" outlineLevel="0" collapsed="false">
      <c r="A17238" s="34" t="n">
        <v>37176213000189</v>
      </c>
      <c r="B17238" s="34" t="s">
        <v>31670</v>
      </c>
      <c r="C17238" s="34" t="s">
        <v>107</v>
      </c>
      <c r="E17238" s="30" t="s">
        <v>31671</v>
      </c>
      <c r="F17238" s="34" t="n">
        <f aca="false">IFERROR(VLOOKUP($A17238,'319'!$B:$H,7,0),0)</f>
        <v>0</v>
      </c>
      <c r="G17238" s="34" t="n">
        <f aca="false">SUMIFS('12.326ana'!$C:$C,'12.326ana'!$M:$M,redes!A17238)</f>
        <v>0</v>
      </c>
    </row>
    <row r="17239" customFormat="false" ht="14.4" hidden="true" customHeight="false" outlineLevel="0" collapsed="false">
      <c r="A17239" s="34" t="n">
        <v>37177649000192</v>
      </c>
      <c r="B17239" s="34" t="s">
        <v>31672</v>
      </c>
      <c r="C17239" s="34" t="s">
        <v>377</v>
      </c>
      <c r="E17239" s="30" t="s">
        <v>12779</v>
      </c>
      <c r="F17239" s="34" t="n">
        <f aca="false">IFERROR(VLOOKUP($A17239,'319'!$B:$H,7,0),0)</f>
        <v>0</v>
      </c>
      <c r="G17239" s="34" t="n">
        <f aca="false">SUMIFS('12.326ana'!$C:$C,'12.326ana'!$M:$M,redes!A17239)</f>
        <v>0</v>
      </c>
    </row>
    <row r="17240" customFormat="false" ht="14.4" hidden="true" customHeight="false" outlineLevel="0" collapsed="false">
      <c r="A17240" s="34" t="n">
        <v>37177896000199</v>
      </c>
      <c r="B17240" s="34" t="s">
        <v>31673</v>
      </c>
      <c r="C17240" s="34" t="s">
        <v>631</v>
      </c>
      <c r="E17240" s="30" t="s">
        <v>31674</v>
      </c>
      <c r="F17240" s="34" t="n">
        <f aca="false">IFERROR(VLOOKUP($A17240,'319'!$B:$H,7,0),0)</f>
        <v>0</v>
      </c>
      <c r="G17240" s="34" t="n">
        <f aca="false">SUMIFS('12.326ana'!$C:$C,'12.326ana'!$M:$M,redes!A17240)</f>
        <v>0</v>
      </c>
    </row>
    <row r="17241" customFormat="false" ht="14.4" hidden="true" customHeight="false" outlineLevel="0" collapsed="false">
      <c r="A17241" s="34" t="n">
        <v>37178068000175</v>
      </c>
      <c r="B17241" s="34" t="s">
        <v>31675</v>
      </c>
      <c r="C17241" s="34" t="s">
        <v>1591</v>
      </c>
      <c r="E17241" s="30" t="s">
        <v>31676</v>
      </c>
      <c r="F17241" s="34" t="n">
        <f aca="false">IFERROR(VLOOKUP($A17241,'319'!$B:$H,7,0),0)</f>
        <v>0</v>
      </c>
      <c r="G17241" s="34" t="n">
        <f aca="false">SUMIFS('12.326ana'!$C:$C,'12.326ana'!$M:$M,redes!A17241)</f>
        <v>0</v>
      </c>
    </row>
    <row r="17242" customFormat="false" ht="14.4" hidden="true" customHeight="false" outlineLevel="0" collapsed="false">
      <c r="A17242" s="34" t="n">
        <v>37178233000199</v>
      </c>
      <c r="B17242" s="34" t="s">
        <v>31677</v>
      </c>
      <c r="C17242" s="34" t="s">
        <v>77</v>
      </c>
      <c r="E17242" s="30" t="s">
        <v>31678</v>
      </c>
      <c r="F17242" s="34" t="n">
        <f aca="false">IFERROR(VLOOKUP($A17242,'319'!$B:$H,7,0),0)</f>
        <v>0</v>
      </c>
      <c r="G17242" s="34" t="n">
        <f aca="false">SUMIFS('12.326ana'!$C:$C,'12.326ana'!$M:$M,redes!A17242)</f>
        <v>0</v>
      </c>
    </row>
    <row r="17243" customFormat="false" ht="14.4" hidden="true" customHeight="false" outlineLevel="0" collapsed="false">
      <c r="A17243" s="34" t="n">
        <v>37178340000117</v>
      </c>
      <c r="B17243" s="34" t="s">
        <v>31679</v>
      </c>
      <c r="C17243" s="34" t="s">
        <v>809</v>
      </c>
      <c r="E17243" s="30" t="s">
        <v>31680</v>
      </c>
      <c r="F17243" s="34" t="n">
        <f aca="false">IFERROR(VLOOKUP($A17243,'319'!$B:$H,7,0),0)</f>
        <v>2643.78</v>
      </c>
      <c r="G17243" s="34" t="n">
        <f aca="false">SUMIFS('12.326ana'!$C:$C,'12.326ana'!$M:$M,redes!A17243)</f>
        <v>0</v>
      </c>
    </row>
    <row r="17244" customFormat="false" ht="14.4" hidden="true" customHeight="false" outlineLevel="0" collapsed="false">
      <c r="A17244" s="34" t="n">
        <v>37179173000129</v>
      </c>
      <c r="B17244" s="34" t="s">
        <v>31681</v>
      </c>
      <c r="C17244" s="34" t="s">
        <v>77</v>
      </c>
      <c r="E17244" s="30" t="s">
        <v>31682</v>
      </c>
      <c r="F17244" s="34" t="n">
        <f aca="false">IFERROR(VLOOKUP($A17244,'319'!$B:$H,7,0),0)</f>
        <v>0</v>
      </c>
      <c r="G17244" s="34" t="n">
        <f aca="false">SUMIFS('12.326ana'!$C:$C,'12.326ana'!$M:$M,redes!A17244)</f>
        <v>0</v>
      </c>
    </row>
    <row r="17245" customFormat="false" ht="14.4" hidden="true" customHeight="false" outlineLevel="0" collapsed="false">
      <c r="A17245" s="34" t="n">
        <v>37179827000114</v>
      </c>
      <c r="B17245" s="34" t="s">
        <v>31683</v>
      </c>
      <c r="C17245" s="34" t="s">
        <v>77</v>
      </c>
      <c r="E17245" s="30" t="s">
        <v>31684</v>
      </c>
      <c r="F17245" s="34" t="n">
        <f aca="false">IFERROR(VLOOKUP($A17245,'319'!$B:$H,7,0),0)</f>
        <v>0</v>
      </c>
      <c r="G17245" s="34" t="n">
        <f aca="false">SUMIFS('12.326ana'!$C:$C,'12.326ana'!$M:$M,redes!A17245)</f>
        <v>0</v>
      </c>
    </row>
    <row r="17246" customFormat="false" ht="14.4" hidden="true" customHeight="false" outlineLevel="0" collapsed="false">
      <c r="A17246" s="34" t="n">
        <v>37179983000185</v>
      </c>
      <c r="B17246" s="34" t="s">
        <v>31685</v>
      </c>
      <c r="C17246" s="34" t="s">
        <v>77</v>
      </c>
      <c r="E17246" s="30" t="s">
        <v>31686</v>
      </c>
      <c r="F17246" s="34" t="n">
        <f aca="false">IFERROR(VLOOKUP($A17246,'319'!$B:$H,7,0),0)</f>
        <v>0</v>
      </c>
      <c r="G17246" s="34" t="n">
        <f aca="false">SUMIFS('12.326ana'!$C:$C,'12.326ana'!$M:$M,redes!A17246)</f>
        <v>0</v>
      </c>
    </row>
    <row r="17247" customFormat="false" ht="14.4" hidden="true" customHeight="false" outlineLevel="0" collapsed="false">
      <c r="A17247" s="34" t="n">
        <v>37180668000178</v>
      </c>
      <c r="B17247" s="34" t="s">
        <v>31687</v>
      </c>
      <c r="C17247" s="34" t="s">
        <v>764</v>
      </c>
      <c r="E17247" s="30" t="s">
        <v>4490</v>
      </c>
      <c r="F17247" s="34" t="n">
        <f aca="false">IFERROR(VLOOKUP($A17247,'319'!$B:$H,7,0),0)</f>
        <v>0</v>
      </c>
      <c r="G17247" s="34" t="n">
        <f aca="false">SUMIFS('12.326ana'!$C:$C,'12.326ana'!$M:$M,redes!A17247)</f>
        <v>0</v>
      </c>
    </row>
    <row r="17248" customFormat="false" ht="14.4" hidden="true" customHeight="false" outlineLevel="0" collapsed="false">
      <c r="A17248" s="34" t="n">
        <v>37180833000191</v>
      </c>
      <c r="B17248" s="34" t="s">
        <v>31688</v>
      </c>
      <c r="C17248" s="34" t="s">
        <v>3060</v>
      </c>
      <c r="E17248" s="30" t="s">
        <v>31689</v>
      </c>
      <c r="F17248" s="34" t="n">
        <f aca="false">IFERROR(VLOOKUP($A17248,'319'!$B:$H,7,0),0)</f>
        <v>0</v>
      </c>
      <c r="G17248" s="34" t="n">
        <f aca="false">SUMIFS('12.326ana'!$C:$C,'12.326ana'!$M:$M,redes!A17248)</f>
        <v>0</v>
      </c>
    </row>
    <row r="17249" customFormat="false" ht="14.4" hidden="true" customHeight="false" outlineLevel="0" collapsed="false">
      <c r="A17249" s="34" t="n">
        <v>37181245000172</v>
      </c>
      <c r="B17249" s="34" t="s">
        <v>31690</v>
      </c>
      <c r="C17249" s="34" t="s">
        <v>77</v>
      </c>
      <c r="E17249" s="30" t="s">
        <v>31691</v>
      </c>
      <c r="F17249" s="34" t="n">
        <f aca="false">IFERROR(VLOOKUP($A17249,'319'!$B:$H,7,0),0)</f>
        <v>0</v>
      </c>
      <c r="G17249" s="34" t="n">
        <f aca="false">SUMIFS('12.326ana'!$C:$C,'12.326ana'!$M:$M,redes!A17249)</f>
        <v>0</v>
      </c>
    </row>
    <row r="17250" customFormat="false" ht="14.4" hidden="true" customHeight="false" outlineLevel="0" collapsed="false">
      <c r="A17250" s="34" t="n">
        <v>37181575000168</v>
      </c>
      <c r="B17250" s="34" t="s">
        <v>31692</v>
      </c>
      <c r="C17250" s="34" t="s">
        <v>77</v>
      </c>
      <c r="E17250" s="30" t="s">
        <v>31693</v>
      </c>
      <c r="F17250" s="34" t="n">
        <f aca="false">IFERROR(VLOOKUP($A17250,'319'!$B:$H,7,0),0)</f>
        <v>0</v>
      </c>
      <c r="G17250" s="34" t="n">
        <f aca="false">SUMIFS('12.326ana'!$C:$C,'12.326ana'!$M:$M,redes!A17250)</f>
        <v>0</v>
      </c>
    </row>
    <row r="17251" customFormat="false" ht="14.4" hidden="true" customHeight="false" outlineLevel="0" collapsed="false">
      <c r="A17251" s="34" t="n">
        <v>37181732000135</v>
      </c>
      <c r="B17251" s="34" t="s">
        <v>31694</v>
      </c>
      <c r="C17251" s="34" t="s">
        <v>77</v>
      </c>
      <c r="E17251" s="30" t="s">
        <v>31695</v>
      </c>
      <c r="F17251" s="34" t="n">
        <f aca="false">IFERROR(VLOOKUP($A17251,'319'!$B:$H,7,0),0)</f>
        <v>0</v>
      </c>
      <c r="G17251" s="34" t="n">
        <f aca="false">SUMIFS('12.326ana'!$C:$C,'12.326ana'!$M:$M,redes!A17251)</f>
        <v>0</v>
      </c>
    </row>
    <row r="17252" customFormat="false" ht="14.4" hidden="true" customHeight="false" outlineLevel="0" collapsed="false">
      <c r="A17252" s="34" t="n">
        <v>37182177000166</v>
      </c>
      <c r="B17252" s="34" t="s">
        <v>31696</v>
      </c>
      <c r="C17252" s="34" t="s">
        <v>197</v>
      </c>
      <c r="E17252" s="30" t="s">
        <v>31697</v>
      </c>
      <c r="F17252" s="34" t="n">
        <f aca="false">IFERROR(VLOOKUP($A17252,'319'!$B:$H,7,0),0)</f>
        <v>0</v>
      </c>
      <c r="G17252" s="34" t="n">
        <f aca="false">SUMIFS('12.326ana'!$C:$C,'12.326ana'!$M:$M,redes!A17252)</f>
        <v>0</v>
      </c>
    </row>
    <row r="17253" customFormat="false" ht="14.4" hidden="true" customHeight="false" outlineLevel="0" collapsed="false">
      <c r="A17253" s="34" t="n">
        <v>37183837000123</v>
      </c>
      <c r="B17253" s="34" t="s">
        <v>31698</v>
      </c>
      <c r="C17253" s="34" t="s">
        <v>107</v>
      </c>
      <c r="E17253" s="30" t="s">
        <v>4848</v>
      </c>
      <c r="F17253" s="34" t="n">
        <f aca="false">IFERROR(VLOOKUP($A17253,'319'!$B:$H,7,0),0)</f>
        <v>0</v>
      </c>
      <c r="G17253" s="34" t="n">
        <f aca="false">SUMIFS('12.326ana'!$C:$C,'12.326ana'!$M:$M,redes!A17253)</f>
        <v>0</v>
      </c>
    </row>
    <row r="17254" customFormat="false" ht="14.4" hidden="true" customHeight="false" outlineLevel="0" collapsed="false">
      <c r="A17254" s="34" t="n">
        <v>37183969000155</v>
      </c>
      <c r="B17254" s="34" t="s">
        <v>31699</v>
      </c>
      <c r="C17254" s="34" t="s">
        <v>77</v>
      </c>
      <c r="E17254" s="30" t="s">
        <v>31700</v>
      </c>
      <c r="F17254" s="34" t="n">
        <f aca="false">IFERROR(VLOOKUP($A17254,'319'!$B:$H,7,0),0)</f>
        <v>0</v>
      </c>
      <c r="G17254" s="34" t="n">
        <f aca="false">SUMIFS('12.326ana'!$C:$C,'12.326ana'!$M:$M,redes!A17254)</f>
        <v>0</v>
      </c>
    </row>
    <row r="17255" customFormat="false" ht="14.4" hidden="true" customHeight="false" outlineLevel="0" collapsed="false">
      <c r="A17255" s="34" t="n">
        <v>37184157000124</v>
      </c>
      <c r="B17255" s="34" t="s">
        <v>31701</v>
      </c>
      <c r="C17255" s="34" t="s">
        <v>197</v>
      </c>
      <c r="E17255" s="30" t="s">
        <v>31702</v>
      </c>
      <c r="F17255" s="34" t="n">
        <f aca="false">IFERROR(VLOOKUP($A17255,'319'!$B:$H,7,0),0)</f>
        <v>0</v>
      </c>
      <c r="G17255" s="34" t="n">
        <f aca="false">SUMIFS('12.326ana'!$C:$C,'12.326ana'!$M:$M,redes!A17255)</f>
        <v>0</v>
      </c>
    </row>
    <row r="17256" customFormat="false" ht="14.4" hidden="true" customHeight="false" outlineLevel="0" collapsed="false">
      <c r="A17256" s="34" t="n">
        <v>37184272000107</v>
      </c>
      <c r="B17256" s="34" t="s">
        <v>712</v>
      </c>
      <c r="C17256" s="34" t="s">
        <v>713</v>
      </c>
      <c r="E17256" s="30" t="s">
        <v>31703</v>
      </c>
      <c r="F17256" s="34" t="n">
        <f aca="false">IFERROR(VLOOKUP($A17256,'319'!$B:$H,7,0),0)</f>
        <v>5946.42</v>
      </c>
      <c r="G17256" s="34" t="n">
        <f aca="false">SUMIFS('12.326ana'!$C:$C,'12.326ana'!$M:$M,redes!A17256)</f>
        <v>0</v>
      </c>
    </row>
    <row r="17257" customFormat="false" ht="14.4" hidden="true" customHeight="false" outlineLevel="0" collapsed="false">
      <c r="A17257" s="34" t="n">
        <v>37185808000109</v>
      </c>
      <c r="B17257" s="34" t="s">
        <v>31704</v>
      </c>
      <c r="C17257" s="34" t="s">
        <v>89</v>
      </c>
      <c r="E17257" s="30" t="s">
        <v>31705</v>
      </c>
      <c r="F17257" s="34" t="n">
        <f aca="false">IFERROR(VLOOKUP($A17257,'319'!$B:$H,7,0),0)</f>
        <v>0</v>
      </c>
      <c r="G17257" s="34" t="n">
        <f aca="false">SUMIFS('12.326ana'!$C:$C,'12.326ana'!$M:$M,redes!A17257)</f>
        <v>0</v>
      </c>
    </row>
    <row r="17258" customFormat="false" ht="14.4" hidden="true" customHeight="false" outlineLevel="0" collapsed="false">
      <c r="A17258" s="34" t="n">
        <v>37186707000144</v>
      </c>
      <c r="B17258" s="34" t="s">
        <v>31706</v>
      </c>
      <c r="C17258" s="34" t="s">
        <v>77</v>
      </c>
      <c r="E17258" s="30" t="s">
        <v>4662</v>
      </c>
      <c r="F17258" s="34" t="n">
        <f aca="false">IFERROR(VLOOKUP($A17258,'319'!$B:$H,7,0),0)</f>
        <v>0</v>
      </c>
      <c r="G17258" s="34" t="n">
        <f aca="false">SUMIFS('12.326ana'!$C:$C,'12.326ana'!$M:$M,redes!A17258)</f>
        <v>0</v>
      </c>
    </row>
    <row r="17259" customFormat="false" ht="14.4" hidden="true" customHeight="false" outlineLevel="0" collapsed="false">
      <c r="A17259" s="34" t="n">
        <v>37186749000185</v>
      </c>
      <c r="B17259" s="34" t="s">
        <v>31707</v>
      </c>
      <c r="C17259" s="34" t="s">
        <v>77</v>
      </c>
      <c r="E17259" s="30" t="s">
        <v>31708</v>
      </c>
      <c r="F17259" s="34" t="n">
        <f aca="false">IFERROR(VLOOKUP($A17259,'319'!$B:$H,7,0),0)</f>
        <v>0</v>
      </c>
      <c r="G17259" s="34" t="n">
        <f aca="false">SUMIFS('12.326ana'!$C:$C,'12.326ana'!$M:$M,redes!A17259)</f>
        <v>0</v>
      </c>
    </row>
    <row r="17260" customFormat="false" ht="14.4" hidden="true" customHeight="false" outlineLevel="0" collapsed="false">
      <c r="A17260" s="34" t="n">
        <v>37186947000149</v>
      </c>
      <c r="B17260" s="34" t="s">
        <v>31709</v>
      </c>
      <c r="C17260" s="34" t="s">
        <v>594</v>
      </c>
      <c r="E17260" s="30" t="s">
        <v>31710</v>
      </c>
      <c r="F17260" s="34" t="n">
        <f aca="false">IFERROR(VLOOKUP($A17260,'319'!$B:$H,7,0),0)</f>
        <v>0</v>
      </c>
      <c r="G17260" s="34" t="n">
        <f aca="false">SUMIFS('12.326ana'!$C:$C,'12.326ana'!$M:$M,redes!A17260)</f>
        <v>0</v>
      </c>
    </row>
    <row r="17261" customFormat="false" ht="14.4" hidden="true" customHeight="false" outlineLevel="0" collapsed="false">
      <c r="A17261" s="34" t="n">
        <v>37187135000118</v>
      </c>
      <c r="B17261" s="34" t="s">
        <v>31711</v>
      </c>
      <c r="C17261" s="34" t="s">
        <v>117</v>
      </c>
      <c r="E17261" s="30" t="s">
        <v>25033</v>
      </c>
      <c r="F17261" s="34" t="n">
        <f aca="false">IFERROR(VLOOKUP($A17261,'319'!$B:$H,7,0),0)</f>
        <v>0</v>
      </c>
      <c r="G17261" s="34" t="n">
        <f aca="false">SUMIFS('12.326ana'!$C:$C,'12.326ana'!$M:$M,redes!A17261)</f>
        <v>0</v>
      </c>
    </row>
    <row r="17262" customFormat="false" ht="14.4" hidden="true" customHeight="false" outlineLevel="0" collapsed="false">
      <c r="A17262" s="34" t="n">
        <v>37187457000167</v>
      </c>
      <c r="B17262" s="34" t="s">
        <v>31712</v>
      </c>
      <c r="C17262" s="34" t="s">
        <v>464</v>
      </c>
      <c r="E17262" s="30" t="s">
        <v>31713</v>
      </c>
      <c r="F17262" s="34" t="n">
        <f aca="false">IFERROR(VLOOKUP($A17262,'319'!$B:$H,7,0),0)</f>
        <v>0</v>
      </c>
      <c r="G17262" s="34" t="n">
        <f aca="false">SUMIFS('12.326ana'!$C:$C,'12.326ana'!$M:$M,redes!A17262)</f>
        <v>0</v>
      </c>
    </row>
    <row r="17263" customFormat="false" ht="14.4" hidden="true" customHeight="false" outlineLevel="0" collapsed="false">
      <c r="A17263" s="34" t="n">
        <v>37187689000115</v>
      </c>
      <c r="B17263" s="34" t="s">
        <v>31714</v>
      </c>
      <c r="C17263" s="34" t="s">
        <v>77</v>
      </c>
      <c r="E17263" s="30" t="s">
        <v>31715</v>
      </c>
      <c r="F17263" s="34" t="n">
        <f aca="false">IFERROR(VLOOKUP($A17263,'319'!$B:$H,7,0),0)</f>
        <v>0</v>
      </c>
      <c r="G17263" s="34" t="n">
        <f aca="false">SUMIFS('12.326ana'!$C:$C,'12.326ana'!$M:$M,redes!A17263)</f>
        <v>0</v>
      </c>
    </row>
    <row r="17264" customFormat="false" ht="14.4" hidden="true" customHeight="false" outlineLevel="0" collapsed="false">
      <c r="A17264" s="34" t="n">
        <v>37188307000178</v>
      </c>
      <c r="B17264" s="34" t="s">
        <v>31716</v>
      </c>
      <c r="C17264" s="34" t="s">
        <v>77</v>
      </c>
      <c r="E17264" s="30" t="s">
        <v>31717</v>
      </c>
      <c r="F17264" s="34" t="n">
        <f aca="false">IFERROR(VLOOKUP($A17264,'319'!$B:$H,7,0),0)</f>
        <v>0</v>
      </c>
      <c r="G17264" s="34" t="n">
        <f aca="false">SUMIFS('12.326ana'!$C:$C,'12.326ana'!$M:$M,redes!A17264)</f>
        <v>0</v>
      </c>
    </row>
    <row r="17265" customFormat="false" ht="14.4" hidden="true" customHeight="false" outlineLevel="0" collapsed="false">
      <c r="A17265" s="34" t="n">
        <v>37189602000149</v>
      </c>
      <c r="B17265" s="34" t="s">
        <v>31718</v>
      </c>
      <c r="C17265" s="34" t="s">
        <v>351</v>
      </c>
      <c r="E17265" s="30" t="s">
        <v>3922</v>
      </c>
      <c r="F17265" s="34" t="n">
        <f aca="false">IFERROR(VLOOKUP($A17265,'319'!$B:$H,7,0),0)</f>
        <v>0</v>
      </c>
      <c r="G17265" s="34" t="n">
        <f aca="false">SUMIFS('12.326ana'!$C:$C,'12.326ana'!$M:$M,redes!A17265)</f>
        <v>0</v>
      </c>
    </row>
    <row r="17266" customFormat="false" ht="14.4" hidden="true" customHeight="false" outlineLevel="0" collapsed="false">
      <c r="A17266" s="34" t="n">
        <v>37190360000103</v>
      </c>
      <c r="B17266" s="34" t="s">
        <v>31719</v>
      </c>
      <c r="C17266" s="34" t="s">
        <v>77</v>
      </c>
      <c r="E17266" s="30" t="s">
        <v>31720</v>
      </c>
      <c r="F17266" s="34" t="n">
        <f aca="false">IFERROR(VLOOKUP($A17266,'319'!$B:$H,7,0),0)</f>
        <v>0</v>
      </c>
      <c r="G17266" s="34" t="n">
        <f aca="false">SUMIFS('12.326ana'!$C:$C,'12.326ana'!$M:$M,redes!A17266)</f>
        <v>0</v>
      </c>
    </row>
    <row r="17267" customFormat="false" ht="14.4" hidden="true" customHeight="false" outlineLevel="0" collapsed="false">
      <c r="A17267" s="34" t="n">
        <v>37190600000170</v>
      </c>
      <c r="B17267" s="34" t="s">
        <v>31721</v>
      </c>
      <c r="C17267" s="34" t="s">
        <v>1602</v>
      </c>
      <c r="E17267" s="30" t="s">
        <v>16468</v>
      </c>
      <c r="F17267" s="34" t="n">
        <f aca="false">IFERROR(VLOOKUP($A17267,'319'!$B:$H,7,0),0)</f>
        <v>0</v>
      </c>
      <c r="G17267" s="34" t="n">
        <f aca="false">SUMIFS('12.326ana'!$C:$C,'12.326ana'!$M:$M,redes!A17267)</f>
        <v>0</v>
      </c>
    </row>
    <row r="17268" customFormat="false" ht="14.4" hidden="true" customHeight="false" outlineLevel="0" collapsed="false">
      <c r="A17268" s="34" t="n">
        <v>37190600000250</v>
      </c>
      <c r="B17268" s="34" t="s">
        <v>31722</v>
      </c>
      <c r="C17268" s="34" t="s">
        <v>107</v>
      </c>
      <c r="E17268" s="30" t="s">
        <v>28114</v>
      </c>
      <c r="F17268" s="34" t="n">
        <f aca="false">IFERROR(VLOOKUP($A17268,'319'!$B:$H,7,0),0)</f>
        <v>0</v>
      </c>
      <c r="G17268" s="34" t="n">
        <f aca="false">SUMIFS('12.326ana'!$C:$C,'12.326ana'!$M:$M,redes!A17268)</f>
        <v>0</v>
      </c>
    </row>
    <row r="17269" customFormat="false" ht="14.4" hidden="true" customHeight="false" outlineLevel="0" collapsed="false">
      <c r="A17269" s="34" t="n">
        <v>37191986000134</v>
      </c>
      <c r="B17269" s="34" t="s">
        <v>31723</v>
      </c>
      <c r="C17269" s="34" t="s">
        <v>631</v>
      </c>
      <c r="E17269" s="30" t="s">
        <v>31724</v>
      </c>
      <c r="F17269" s="34" t="n">
        <f aca="false">IFERROR(VLOOKUP($A17269,'319'!$B:$H,7,0),0)</f>
        <v>0</v>
      </c>
      <c r="G17269" s="34" t="n">
        <f aca="false">SUMIFS('12.326ana'!$C:$C,'12.326ana'!$M:$M,redes!A17269)</f>
        <v>0</v>
      </c>
    </row>
    <row r="17270" customFormat="false" ht="14.4" hidden="true" customHeight="false" outlineLevel="0" collapsed="false">
      <c r="A17270" s="34" t="n">
        <v>37192382000102</v>
      </c>
      <c r="B17270" s="34" t="s">
        <v>31725</v>
      </c>
      <c r="C17270" s="34" t="s">
        <v>77</v>
      </c>
      <c r="E17270" s="30" t="s">
        <v>31726</v>
      </c>
      <c r="F17270" s="34" t="n">
        <f aca="false">IFERROR(VLOOKUP($A17270,'319'!$B:$H,7,0),0)</f>
        <v>0</v>
      </c>
      <c r="G17270" s="34" t="n">
        <f aca="false">SUMIFS('12.326ana'!$C:$C,'12.326ana'!$M:$M,redes!A17270)</f>
        <v>0</v>
      </c>
    </row>
    <row r="17271" customFormat="false" ht="14.4" hidden="true" customHeight="false" outlineLevel="0" collapsed="false">
      <c r="A17271" s="34" t="n">
        <v>37192432000151</v>
      </c>
      <c r="B17271" s="34" t="s">
        <v>31727</v>
      </c>
      <c r="C17271" s="34" t="s">
        <v>77</v>
      </c>
      <c r="E17271" s="30" t="s">
        <v>31728</v>
      </c>
      <c r="F17271" s="34" t="n">
        <f aca="false">IFERROR(VLOOKUP($A17271,'319'!$B:$H,7,0),0)</f>
        <v>0</v>
      </c>
      <c r="G17271" s="34" t="n">
        <f aca="false">SUMIFS('12.326ana'!$C:$C,'12.326ana'!$M:$M,redes!A17271)</f>
        <v>0</v>
      </c>
    </row>
    <row r="17272" customFormat="false" ht="14.4" hidden="true" customHeight="false" outlineLevel="0" collapsed="false">
      <c r="A17272" s="34" t="n">
        <v>37192606000186</v>
      </c>
      <c r="B17272" s="34" t="s">
        <v>31729</v>
      </c>
      <c r="C17272" s="34" t="s">
        <v>77</v>
      </c>
      <c r="E17272" s="30" t="s">
        <v>31730</v>
      </c>
      <c r="F17272" s="34" t="n">
        <f aca="false">IFERROR(VLOOKUP($A17272,'319'!$B:$H,7,0),0)</f>
        <v>0</v>
      </c>
      <c r="G17272" s="34" t="n">
        <f aca="false">SUMIFS('12.326ana'!$C:$C,'12.326ana'!$M:$M,redes!A17272)</f>
        <v>0</v>
      </c>
    </row>
    <row r="17273" customFormat="false" ht="14.4" hidden="true" customHeight="false" outlineLevel="0" collapsed="false">
      <c r="A17273" s="34" t="n">
        <v>37193133000131</v>
      </c>
      <c r="B17273" s="34" t="s">
        <v>31731</v>
      </c>
      <c r="C17273" s="34" t="s">
        <v>954</v>
      </c>
      <c r="E17273" s="30" t="s">
        <v>4051</v>
      </c>
      <c r="F17273" s="34" t="n">
        <f aca="false">IFERROR(VLOOKUP($A17273,'319'!$B:$H,7,0),0)</f>
        <v>0</v>
      </c>
      <c r="G17273" s="34" t="n">
        <f aca="false">SUMIFS('12.326ana'!$C:$C,'12.326ana'!$M:$M,redes!A17273)</f>
        <v>0</v>
      </c>
    </row>
    <row r="17274" customFormat="false" ht="14.4" hidden="true" customHeight="false" outlineLevel="0" collapsed="false">
      <c r="A17274" s="34" t="n">
        <v>37193828000113</v>
      </c>
      <c r="B17274" s="34" t="s">
        <v>31732</v>
      </c>
      <c r="C17274" s="34" t="s">
        <v>357</v>
      </c>
      <c r="D17274" s="34" t="s">
        <v>31733</v>
      </c>
      <c r="E17274" s="30" t="s">
        <v>14016</v>
      </c>
      <c r="F17274" s="34" t="n">
        <f aca="false">IFERROR(VLOOKUP($A17274,'319'!$B:$H,7,0),0)</f>
        <v>19896.32</v>
      </c>
      <c r="G17274" s="34" t="n">
        <f aca="false">SUMIFS('12.326ana'!$C:$C,'12.326ana'!$M:$M,redes!A17274)</f>
        <v>0</v>
      </c>
    </row>
    <row r="17275" customFormat="false" ht="14.4" hidden="true" customHeight="false" outlineLevel="0" collapsed="false">
      <c r="A17275" s="34" t="n">
        <v>37193950000190</v>
      </c>
      <c r="B17275" s="34" t="s">
        <v>31734</v>
      </c>
      <c r="C17275" s="34" t="s">
        <v>328</v>
      </c>
      <c r="E17275" s="30" t="s">
        <v>31735</v>
      </c>
      <c r="F17275" s="34" t="n">
        <f aca="false">IFERROR(VLOOKUP($A17275,'319'!$B:$H,7,0),0)</f>
        <v>0</v>
      </c>
      <c r="G17275" s="34" t="n">
        <f aca="false">SUMIFS('12.326ana'!$C:$C,'12.326ana'!$M:$M,redes!A17275)</f>
        <v>0</v>
      </c>
    </row>
    <row r="17276" customFormat="false" ht="14.4" hidden="true" customHeight="false" outlineLevel="0" collapsed="false">
      <c r="A17276" s="34" t="n">
        <v>37194107000128</v>
      </c>
      <c r="B17276" s="34" t="s">
        <v>31736</v>
      </c>
      <c r="C17276" s="34" t="s">
        <v>4418</v>
      </c>
      <c r="E17276" s="30" t="s">
        <v>31737</v>
      </c>
      <c r="F17276" s="34" t="n">
        <f aca="false">IFERROR(VLOOKUP($A17276,'319'!$B:$H,7,0),0)</f>
        <v>0</v>
      </c>
      <c r="G17276" s="34" t="n">
        <f aca="false">SUMIFS('12.326ana'!$C:$C,'12.326ana'!$M:$M,redes!A17276)</f>
        <v>0</v>
      </c>
    </row>
    <row r="17277" customFormat="false" ht="14.4" hidden="true" customHeight="false" outlineLevel="0" collapsed="false">
      <c r="A17277" s="34" t="n">
        <v>37194610000183</v>
      </c>
      <c r="B17277" s="34" t="s">
        <v>31738</v>
      </c>
      <c r="C17277" s="34" t="s">
        <v>77</v>
      </c>
      <c r="E17277" s="30" t="s">
        <v>31739</v>
      </c>
      <c r="F17277" s="34" t="n">
        <f aca="false">IFERROR(VLOOKUP($A17277,'319'!$B:$H,7,0),0)</f>
        <v>0</v>
      </c>
      <c r="G17277" s="34" t="n">
        <f aca="false">SUMIFS('12.326ana'!$C:$C,'12.326ana'!$M:$M,redes!A17277)</f>
        <v>0</v>
      </c>
    </row>
    <row r="17278" customFormat="false" ht="14.4" hidden="true" customHeight="false" outlineLevel="0" collapsed="false">
      <c r="A17278" s="34" t="n">
        <v>37195229000139</v>
      </c>
      <c r="B17278" s="34" t="s">
        <v>31740</v>
      </c>
      <c r="C17278" s="34" t="s">
        <v>77</v>
      </c>
      <c r="E17278" s="30"/>
      <c r="F17278" s="34" t="n">
        <f aca="false">IFERROR(VLOOKUP($A17278,'319'!$B:$H,7,0),0)</f>
        <v>0</v>
      </c>
      <c r="G17278" s="34" t="n">
        <f aca="false">SUMIFS('12.326ana'!$C:$C,'12.326ana'!$M:$M,redes!A17278)</f>
        <v>0</v>
      </c>
    </row>
    <row r="17279" customFormat="false" ht="14.4" hidden="true" customHeight="false" outlineLevel="0" collapsed="false">
      <c r="A17279" s="34" t="n">
        <v>37195500000136</v>
      </c>
      <c r="B17279" s="34" t="s">
        <v>31741</v>
      </c>
      <c r="C17279" s="34" t="s">
        <v>77</v>
      </c>
      <c r="E17279" s="30" t="s">
        <v>11606</v>
      </c>
      <c r="F17279" s="34" t="n">
        <f aca="false">IFERROR(VLOOKUP($A17279,'319'!$B:$H,7,0),0)</f>
        <v>0</v>
      </c>
      <c r="G17279" s="34" t="n">
        <f aca="false">SUMIFS('12.326ana'!$C:$C,'12.326ana'!$M:$M,redes!A17279)</f>
        <v>0</v>
      </c>
    </row>
    <row r="17280" customFormat="false" ht="14.4" hidden="true" customHeight="false" outlineLevel="0" collapsed="false">
      <c r="A17280" s="34" t="n">
        <v>37195765000134</v>
      </c>
      <c r="B17280" s="34" t="s">
        <v>31742</v>
      </c>
      <c r="C17280" s="34" t="s">
        <v>405</v>
      </c>
      <c r="E17280" s="30" t="s">
        <v>31743</v>
      </c>
      <c r="F17280" s="34" t="n">
        <f aca="false">IFERROR(VLOOKUP($A17280,'319'!$B:$H,7,0),0)</f>
        <v>0</v>
      </c>
      <c r="G17280" s="34" t="n">
        <f aca="false">SUMIFS('12.326ana'!$C:$C,'12.326ana'!$M:$M,redes!A17280)</f>
        <v>0</v>
      </c>
    </row>
    <row r="17281" customFormat="false" ht="14.4" hidden="true" customHeight="false" outlineLevel="0" collapsed="false">
      <c r="A17281" s="34" t="n">
        <v>37196540000100</v>
      </c>
      <c r="B17281" s="34" t="s">
        <v>31744</v>
      </c>
      <c r="C17281" s="34" t="s">
        <v>744</v>
      </c>
      <c r="E17281" s="30" t="s">
        <v>31744</v>
      </c>
      <c r="F17281" s="34" t="n">
        <f aca="false">IFERROR(VLOOKUP($A17281,'319'!$B:$H,7,0),0)</f>
        <v>0</v>
      </c>
      <c r="G17281" s="34" t="n">
        <f aca="false">SUMIFS('12.326ana'!$C:$C,'12.326ana'!$M:$M,redes!A17281)</f>
        <v>0</v>
      </c>
    </row>
    <row r="17282" customFormat="false" ht="14.4" hidden="true" customHeight="false" outlineLevel="0" collapsed="false">
      <c r="A17282" s="34" t="n">
        <v>37196602000176</v>
      </c>
      <c r="B17282" s="34" t="s">
        <v>31745</v>
      </c>
      <c r="C17282" s="34" t="s">
        <v>77</v>
      </c>
      <c r="E17282" s="30" t="s">
        <v>31746</v>
      </c>
      <c r="F17282" s="34" t="n">
        <f aca="false">IFERROR(VLOOKUP($A17282,'319'!$B:$H,7,0),0)</f>
        <v>0</v>
      </c>
      <c r="G17282" s="34" t="n">
        <f aca="false">SUMIFS('12.326ana'!$C:$C,'12.326ana'!$M:$M,redes!A17282)</f>
        <v>0</v>
      </c>
    </row>
    <row r="17283" customFormat="false" ht="14.4" hidden="true" customHeight="false" outlineLevel="0" collapsed="false">
      <c r="A17283" s="34" t="n">
        <v>37196672000124</v>
      </c>
      <c r="B17283" s="34" t="s">
        <v>31747</v>
      </c>
      <c r="C17283" s="34" t="s">
        <v>546</v>
      </c>
      <c r="E17283" s="30" t="s">
        <v>31748</v>
      </c>
      <c r="F17283" s="34" t="n">
        <f aca="false">IFERROR(VLOOKUP($A17283,'319'!$B:$H,7,0),0)</f>
        <v>0</v>
      </c>
      <c r="G17283" s="34" t="n">
        <f aca="false">SUMIFS('12.326ana'!$C:$C,'12.326ana'!$M:$M,redes!A17283)</f>
        <v>0</v>
      </c>
    </row>
    <row r="17284" customFormat="false" ht="14.4" hidden="true" customHeight="false" outlineLevel="0" collapsed="false">
      <c r="A17284" s="34" t="n">
        <v>37196763000160</v>
      </c>
      <c r="B17284" s="34" t="s">
        <v>31749</v>
      </c>
      <c r="C17284" s="34" t="s">
        <v>309</v>
      </c>
      <c r="E17284" s="30" t="s">
        <v>31750</v>
      </c>
      <c r="F17284" s="34" t="n">
        <f aca="false">IFERROR(VLOOKUP($A17284,'319'!$B:$H,7,0),0)</f>
        <v>0</v>
      </c>
      <c r="G17284" s="34" t="n">
        <f aca="false">SUMIFS('12.326ana'!$C:$C,'12.326ana'!$M:$M,redes!A17284)</f>
        <v>0</v>
      </c>
    </row>
    <row r="17285" customFormat="false" ht="14.4" hidden="true" customHeight="false" outlineLevel="0" collapsed="false">
      <c r="A17285" s="34" t="n">
        <v>37199015000130</v>
      </c>
      <c r="B17285" s="34" t="s">
        <v>31751</v>
      </c>
      <c r="C17285" s="34" t="s">
        <v>89</v>
      </c>
      <c r="E17285" s="30" t="s">
        <v>31752</v>
      </c>
      <c r="F17285" s="34" t="n">
        <f aca="false">IFERROR(VLOOKUP($A17285,'319'!$B:$H,7,0),0)</f>
        <v>0</v>
      </c>
      <c r="G17285" s="34" t="n">
        <f aca="false">SUMIFS('12.326ana'!$C:$C,'12.326ana'!$M:$M,redes!A17285)</f>
        <v>0</v>
      </c>
    </row>
    <row r="17286" customFormat="false" ht="14.4" hidden="true" customHeight="false" outlineLevel="0" collapsed="false">
      <c r="A17286" s="35" t="n">
        <v>37200367000169</v>
      </c>
      <c r="B17286" s="34" t="s">
        <v>31753</v>
      </c>
      <c r="C17286" s="34" t="s">
        <v>77</v>
      </c>
      <c r="E17286" s="30" t="s">
        <v>31754</v>
      </c>
      <c r="F17286" s="34" t="n">
        <f aca="false">IFERROR(VLOOKUP($A17286,'319'!$B:$H,7,0),0)</f>
        <v>0</v>
      </c>
      <c r="G17286" s="34" t="n">
        <f aca="false">SUMIFS('12.326ana'!$C:$C,'12.326ana'!$M:$M,redes!A17286)</f>
        <v>0</v>
      </c>
    </row>
    <row r="17287" customFormat="false" ht="14.4" hidden="true" customHeight="false" outlineLevel="0" collapsed="false">
      <c r="A17287" s="34" t="n">
        <v>37201043000145</v>
      </c>
      <c r="B17287" s="34" t="s">
        <v>31755</v>
      </c>
      <c r="C17287" s="34" t="s">
        <v>77</v>
      </c>
      <c r="E17287" s="30"/>
      <c r="F17287" s="34" t="n">
        <f aca="false">IFERROR(VLOOKUP($A17287,'319'!$B:$H,7,0),0)</f>
        <v>0</v>
      </c>
      <c r="G17287" s="34" t="n">
        <f aca="false">SUMIFS('12.326ana'!$C:$C,'12.326ana'!$M:$M,redes!A17287)</f>
        <v>0</v>
      </c>
    </row>
    <row r="17288" customFormat="false" ht="14.4" hidden="true" customHeight="false" outlineLevel="0" collapsed="false">
      <c r="A17288" s="34" t="n">
        <v>37201100000196</v>
      </c>
      <c r="B17288" s="34" t="s">
        <v>9653</v>
      </c>
      <c r="C17288" s="34" t="s">
        <v>77</v>
      </c>
      <c r="E17288" s="30" t="s">
        <v>5715</v>
      </c>
      <c r="F17288" s="34" t="n">
        <f aca="false">IFERROR(VLOOKUP($A17288,'319'!$B:$H,7,0),0)</f>
        <v>0</v>
      </c>
      <c r="G17288" s="34" t="n">
        <f aca="false">SUMIFS('12.326ana'!$C:$C,'12.326ana'!$M:$M,redes!A17288)</f>
        <v>0</v>
      </c>
    </row>
    <row r="17289" customFormat="false" ht="14.4" hidden="true" customHeight="false" outlineLevel="0" collapsed="false">
      <c r="A17289" s="34" t="n">
        <v>37201506000179</v>
      </c>
      <c r="B17289" s="34" t="s">
        <v>31756</v>
      </c>
      <c r="C17289" s="34" t="s">
        <v>139</v>
      </c>
      <c r="E17289" s="30" t="s">
        <v>31757</v>
      </c>
      <c r="F17289" s="34" t="n">
        <f aca="false">IFERROR(VLOOKUP($A17289,'319'!$B:$H,7,0),0)</f>
        <v>0</v>
      </c>
      <c r="G17289" s="34" t="n">
        <f aca="false">SUMIFS('12.326ana'!$C:$C,'12.326ana'!$M:$M,redes!A17289)</f>
        <v>0</v>
      </c>
    </row>
    <row r="17290" customFormat="false" ht="14.4" hidden="true" customHeight="false" outlineLevel="0" collapsed="false">
      <c r="A17290" s="34" t="n">
        <v>37201530000108</v>
      </c>
      <c r="B17290" s="34" t="s">
        <v>31758</v>
      </c>
      <c r="C17290" s="34" t="s">
        <v>299</v>
      </c>
      <c r="E17290" s="30" t="s">
        <v>31759</v>
      </c>
      <c r="F17290" s="34" t="n">
        <f aca="false">IFERROR(VLOOKUP($A17290,'319'!$B:$H,7,0),0)</f>
        <v>0</v>
      </c>
      <c r="G17290" s="34" t="n">
        <f aca="false">SUMIFS('12.326ana'!$C:$C,'12.326ana'!$M:$M,redes!A17290)</f>
        <v>0</v>
      </c>
    </row>
    <row r="17291" customFormat="false" ht="14.4" hidden="true" customHeight="false" outlineLevel="0" collapsed="false">
      <c r="A17291" s="34" t="n">
        <v>37201605000150</v>
      </c>
      <c r="B17291" s="34" t="s">
        <v>31760</v>
      </c>
      <c r="C17291" s="34" t="s">
        <v>77</v>
      </c>
      <c r="E17291" s="30" t="s">
        <v>31761</v>
      </c>
      <c r="F17291" s="34" t="n">
        <f aca="false">IFERROR(VLOOKUP($A17291,'319'!$B:$H,7,0),0)</f>
        <v>0</v>
      </c>
      <c r="G17291" s="34" t="n">
        <f aca="false">SUMIFS('12.326ana'!$C:$C,'12.326ana'!$M:$M,redes!A17291)</f>
        <v>0</v>
      </c>
    </row>
    <row r="17292" customFormat="false" ht="14.4" hidden="true" customHeight="false" outlineLevel="0" collapsed="false">
      <c r="A17292" s="34" t="n">
        <v>37201910000142</v>
      </c>
      <c r="B17292" s="34" t="s">
        <v>31762</v>
      </c>
      <c r="C17292" s="34" t="s">
        <v>2998</v>
      </c>
      <c r="E17292" s="30" t="s">
        <v>20896</v>
      </c>
      <c r="F17292" s="34" t="n">
        <f aca="false">IFERROR(VLOOKUP($A17292,'319'!$B:$H,7,0),0)</f>
        <v>0</v>
      </c>
      <c r="G17292" s="34" t="n">
        <f aca="false">SUMIFS('12.326ana'!$C:$C,'12.326ana'!$M:$M,redes!A17292)</f>
        <v>0</v>
      </c>
    </row>
    <row r="17293" customFormat="false" ht="14.4" hidden="true" customHeight="false" outlineLevel="0" collapsed="false">
      <c r="A17293" s="34" t="n">
        <v>37201951000139</v>
      </c>
      <c r="B17293" s="34" t="s">
        <v>31763</v>
      </c>
      <c r="C17293" s="34" t="s">
        <v>309</v>
      </c>
      <c r="E17293" s="30"/>
      <c r="F17293" s="34" t="n">
        <f aca="false">IFERROR(VLOOKUP($A17293,'319'!$B:$H,7,0),0)</f>
        <v>0</v>
      </c>
      <c r="G17293" s="34" t="n">
        <f aca="false">SUMIFS('12.326ana'!$C:$C,'12.326ana'!$M:$M,redes!A17293)</f>
        <v>0</v>
      </c>
    </row>
    <row r="17294" customFormat="false" ht="14.4" hidden="true" customHeight="false" outlineLevel="0" collapsed="false">
      <c r="A17294" s="34" t="n">
        <v>37202363000110</v>
      </c>
      <c r="B17294" s="34" t="s">
        <v>31764</v>
      </c>
      <c r="C17294" s="34" t="s">
        <v>77</v>
      </c>
      <c r="E17294" s="30" t="s">
        <v>31765</v>
      </c>
      <c r="F17294" s="34" t="n">
        <f aca="false">IFERROR(VLOOKUP($A17294,'319'!$B:$H,7,0),0)</f>
        <v>0</v>
      </c>
      <c r="G17294" s="34" t="n">
        <f aca="false">SUMIFS('12.326ana'!$C:$C,'12.326ana'!$M:$M,redes!A17294)</f>
        <v>0</v>
      </c>
    </row>
    <row r="17295" customFormat="false" ht="14.4" hidden="true" customHeight="false" outlineLevel="0" collapsed="false">
      <c r="A17295" s="34" t="n">
        <v>37202868000184</v>
      </c>
      <c r="B17295" s="34" t="s">
        <v>1457</v>
      </c>
      <c r="C17295" s="34" t="s">
        <v>848</v>
      </c>
      <c r="D17295" s="34" t="s">
        <v>9598</v>
      </c>
      <c r="E17295" s="30" t="s">
        <v>31766</v>
      </c>
      <c r="F17295" s="34" t="n">
        <f aca="false">IFERROR(VLOOKUP($A17295,'319'!$B:$H,7,0),0)</f>
        <v>174.55</v>
      </c>
      <c r="G17295" s="34" t="n">
        <f aca="false">SUMIFS('12.326ana'!$C:$C,'12.326ana'!$M:$M,redes!A17295)</f>
        <v>0</v>
      </c>
    </row>
    <row r="17296" customFormat="false" ht="14.4" hidden="true" customHeight="false" outlineLevel="0" collapsed="false">
      <c r="A17296" s="34" t="n">
        <v>37203445000189</v>
      </c>
      <c r="B17296" s="34" t="s">
        <v>31767</v>
      </c>
      <c r="C17296" s="34" t="s">
        <v>1272</v>
      </c>
      <c r="E17296" s="30" t="s">
        <v>31768</v>
      </c>
      <c r="F17296" s="34" t="n">
        <f aca="false">IFERROR(VLOOKUP($A17296,'319'!$B:$H,7,0),0)</f>
        <v>0</v>
      </c>
      <c r="G17296" s="34" t="n">
        <f aca="false">SUMIFS('12.326ana'!$C:$C,'12.326ana'!$M:$M,redes!A17296)</f>
        <v>0</v>
      </c>
    </row>
    <row r="17297" customFormat="false" ht="14.4" hidden="true" customHeight="false" outlineLevel="0" collapsed="false">
      <c r="A17297" s="34" t="n">
        <v>37203502000120</v>
      </c>
      <c r="B17297" s="34" t="s">
        <v>31769</v>
      </c>
      <c r="C17297" s="34" t="s">
        <v>377</v>
      </c>
      <c r="E17297" s="30" t="s">
        <v>31770</v>
      </c>
      <c r="F17297" s="34" t="n">
        <f aca="false">IFERROR(VLOOKUP($A17297,'319'!$B:$H,7,0),0)</f>
        <v>0</v>
      </c>
      <c r="G17297" s="34" t="n">
        <f aca="false">SUMIFS('12.326ana'!$C:$C,'12.326ana'!$M:$M,redes!A17297)</f>
        <v>0</v>
      </c>
    </row>
    <row r="17298" customFormat="false" ht="14.4" hidden="true" customHeight="false" outlineLevel="0" collapsed="false">
      <c r="A17298" s="34" t="n">
        <v>37203536000114</v>
      </c>
      <c r="B17298" s="34" t="s">
        <v>31771</v>
      </c>
      <c r="C17298" s="34" t="s">
        <v>721</v>
      </c>
      <c r="E17298" s="30" t="s">
        <v>10574</v>
      </c>
      <c r="F17298" s="34" t="n">
        <f aca="false">IFERROR(VLOOKUP($A17298,'319'!$B:$H,7,0),0)</f>
        <v>0</v>
      </c>
      <c r="G17298" s="34" t="n">
        <f aca="false">SUMIFS('12.326ana'!$C:$C,'12.326ana'!$M:$M,redes!A17298)</f>
        <v>0</v>
      </c>
    </row>
    <row r="17299" customFormat="false" ht="14.4" hidden="true" customHeight="false" outlineLevel="0" collapsed="false">
      <c r="A17299" s="34" t="n">
        <v>37203684000139</v>
      </c>
      <c r="B17299" s="34" t="s">
        <v>31772</v>
      </c>
      <c r="C17299" s="34" t="s">
        <v>77</v>
      </c>
      <c r="E17299" s="30"/>
      <c r="F17299" s="34" t="n">
        <f aca="false">IFERROR(VLOOKUP($A17299,'319'!$B:$H,7,0),0)</f>
        <v>0</v>
      </c>
      <c r="G17299" s="34" t="n">
        <f aca="false">SUMIFS('12.326ana'!$C:$C,'12.326ana'!$M:$M,redes!A17299)</f>
        <v>0</v>
      </c>
    </row>
    <row r="17300" customFormat="false" ht="14.4" hidden="true" customHeight="false" outlineLevel="0" collapsed="false">
      <c r="A17300" s="34" t="n">
        <v>37203726000131</v>
      </c>
      <c r="B17300" s="34" t="s">
        <v>31773</v>
      </c>
      <c r="C17300" s="34" t="s">
        <v>77</v>
      </c>
      <c r="E17300" s="30" t="s">
        <v>24163</v>
      </c>
      <c r="F17300" s="34" t="n">
        <f aca="false">IFERROR(VLOOKUP($A17300,'319'!$B:$H,7,0),0)</f>
        <v>0</v>
      </c>
      <c r="G17300" s="34" t="n">
        <f aca="false">SUMIFS('12.326ana'!$C:$C,'12.326ana'!$M:$M,redes!A17300)</f>
        <v>0</v>
      </c>
    </row>
    <row r="17301" customFormat="false" ht="14.4" hidden="true" customHeight="false" outlineLevel="0" collapsed="false">
      <c r="A17301" s="34" t="n">
        <v>37204625000185</v>
      </c>
      <c r="B17301" s="34" t="s">
        <v>31774</v>
      </c>
      <c r="C17301" s="34" t="s">
        <v>473</v>
      </c>
      <c r="E17301" s="30" t="s">
        <v>31775</v>
      </c>
      <c r="F17301" s="34" t="n">
        <f aca="false">IFERROR(VLOOKUP($A17301,'319'!$B:$H,7,0),0)</f>
        <v>0</v>
      </c>
      <c r="G17301" s="34" t="n">
        <f aca="false">SUMIFS('12.326ana'!$C:$C,'12.326ana'!$M:$M,redes!A17301)</f>
        <v>0</v>
      </c>
    </row>
    <row r="17302" customFormat="false" ht="14.4" hidden="true" customHeight="false" outlineLevel="0" collapsed="false">
      <c r="A17302" s="34" t="n">
        <v>37204740000150</v>
      </c>
      <c r="B17302" s="34" t="s">
        <v>31776</v>
      </c>
      <c r="C17302" s="34" t="s">
        <v>562</v>
      </c>
      <c r="E17302" s="30" t="s">
        <v>31777</v>
      </c>
      <c r="F17302" s="34" t="n">
        <f aca="false">IFERROR(VLOOKUP($A17302,'319'!$B:$H,7,0),0)</f>
        <v>0</v>
      </c>
      <c r="G17302" s="34" t="n">
        <f aca="false">SUMIFS('12.326ana'!$C:$C,'12.326ana'!$M:$M,redes!A17302)</f>
        <v>0</v>
      </c>
    </row>
    <row r="17303" customFormat="false" ht="14.4" hidden="true" customHeight="false" outlineLevel="0" collapsed="false">
      <c r="A17303" s="34" t="n">
        <v>37205333000167</v>
      </c>
      <c r="B17303" s="34" t="s">
        <v>31778</v>
      </c>
      <c r="C17303" s="34" t="s">
        <v>706</v>
      </c>
      <c r="E17303" s="30" t="s">
        <v>6817</v>
      </c>
      <c r="F17303" s="34" t="n">
        <f aca="false">IFERROR(VLOOKUP($A17303,'319'!$B:$H,7,0),0)</f>
        <v>0</v>
      </c>
      <c r="G17303" s="34" t="n">
        <f aca="false">SUMIFS('12.326ana'!$C:$C,'12.326ana'!$M:$M,redes!A17303)</f>
        <v>0</v>
      </c>
    </row>
    <row r="17304" customFormat="false" ht="14.4" hidden="true" customHeight="false" outlineLevel="0" collapsed="false">
      <c r="A17304" s="34" t="n">
        <v>37205838000121</v>
      </c>
      <c r="B17304" s="34" t="s">
        <v>31779</v>
      </c>
      <c r="C17304" s="34" t="s">
        <v>478</v>
      </c>
      <c r="E17304" s="30" t="s">
        <v>31780</v>
      </c>
      <c r="F17304" s="34" t="n">
        <f aca="false">IFERROR(VLOOKUP($A17304,'319'!$B:$H,7,0),0)</f>
        <v>0</v>
      </c>
      <c r="G17304" s="34" t="n">
        <f aca="false">SUMIFS('12.326ana'!$C:$C,'12.326ana'!$M:$M,redes!A17304)</f>
        <v>0</v>
      </c>
    </row>
    <row r="17305" customFormat="false" ht="14.4" hidden="true" customHeight="false" outlineLevel="0" collapsed="false">
      <c r="A17305" s="34" t="n">
        <v>37205879000118</v>
      </c>
      <c r="B17305" s="34" t="s">
        <v>31781</v>
      </c>
      <c r="C17305" s="34" t="s">
        <v>342</v>
      </c>
      <c r="E17305" s="30" t="s">
        <v>31782</v>
      </c>
      <c r="F17305" s="34" t="n">
        <f aca="false">IFERROR(VLOOKUP($A17305,'319'!$B:$H,7,0),0)</f>
        <v>0</v>
      </c>
      <c r="G17305" s="34" t="n">
        <f aca="false">SUMIFS('12.326ana'!$C:$C,'12.326ana'!$M:$M,redes!A17305)</f>
        <v>0</v>
      </c>
    </row>
    <row r="17306" customFormat="false" ht="14.4" hidden="true" customHeight="false" outlineLevel="0" collapsed="false">
      <c r="A17306" s="34" t="n">
        <v>37206554000150</v>
      </c>
      <c r="B17306" s="34" t="s">
        <v>31783</v>
      </c>
      <c r="C17306" s="34" t="s">
        <v>77</v>
      </c>
      <c r="E17306" s="30" t="s">
        <v>15361</v>
      </c>
      <c r="F17306" s="34" t="n">
        <f aca="false">IFERROR(VLOOKUP($A17306,'319'!$B:$H,7,0),0)</f>
        <v>0</v>
      </c>
      <c r="G17306" s="34" t="n">
        <f aca="false">SUMIFS('12.326ana'!$C:$C,'12.326ana'!$M:$M,redes!A17306)</f>
        <v>0</v>
      </c>
    </row>
    <row r="17307" customFormat="false" ht="14.4" hidden="true" customHeight="false" outlineLevel="0" collapsed="false">
      <c r="A17307" s="34" t="n">
        <v>37206588000144</v>
      </c>
      <c r="B17307" s="34" t="s">
        <v>31784</v>
      </c>
      <c r="C17307" s="34" t="s">
        <v>77</v>
      </c>
      <c r="E17307" s="30" t="s">
        <v>31785</v>
      </c>
      <c r="F17307" s="34" t="n">
        <f aca="false">IFERROR(VLOOKUP($A17307,'319'!$B:$H,7,0),0)</f>
        <v>0</v>
      </c>
      <c r="G17307" s="34" t="n">
        <f aca="false">SUMIFS('12.326ana'!$C:$C,'12.326ana'!$M:$M,redes!A17307)</f>
        <v>0</v>
      </c>
    </row>
    <row r="17308" customFormat="false" ht="14.4" hidden="true" customHeight="false" outlineLevel="0" collapsed="false">
      <c r="A17308" s="34" t="n">
        <v>37207370000104</v>
      </c>
      <c r="B17308" s="34" t="s">
        <v>31786</v>
      </c>
      <c r="C17308" s="34" t="s">
        <v>213</v>
      </c>
      <c r="E17308" s="30" t="s">
        <v>31787</v>
      </c>
      <c r="F17308" s="34" t="n">
        <f aca="false">IFERROR(VLOOKUP($A17308,'319'!$B:$H,7,0),0)</f>
        <v>0</v>
      </c>
      <c r="G17308" s="34" t="n">
        <f aca="false">SUMIFS('12.326ana'!$C:$C,'12.326ana'!$M:$M,redes!A17308)</f>
        <v>0</v>
      </c>
    </row>
    <row r="17309" customFormat="false" ht="14.4" hidden="true" customHeight="false" outlineLevel="0" collapsed="false">
      <c r="A17309" s="34" t="n">
        <v>37207628000172</v>
      </c>
      <c r="B17309" s="34" t="s">
        <v>31788</v>
      </c>
      <c r="C17309" s="34" t="s">
        <v>77</v>
      </c>
      <c r="E17309" s="30" t="s">
        <v>10391</v>
      </c>
      <c r="F17309" s="34" t="n">
        <f aca="false">IFERROR(VLOOKUP($A17309,'319'!$B:$H,7,0),0)</f>
        <v>0</v>
      </c>
      <c r="G17309" s="34" t="n">
        <f aca="false">SUMIFS('12.326ana'!$C:$C,'12.326ana'!$M:$M,redes!A17309)</f>
        <v>0</v>
      </c>
    </row>
    <row r="17310" customFormat="false" ht="14.4" hidden="true" customHeight="false" outlineLevel="0" collapsed="false">
      <c r="A17310" s="34" t="n">
        <v>37208493000160</v>
      </c>
      <c r="B17310" s="34" t="s">
        <v>31789</v>
      </c>
      <c r="C17310" s="34" t="s">
        <v>77</v>
      </c>
      <c r="E17310" s="30" t="s">
        <v>31790</v>
      </c>
      <c r="F17310" s="34" t="n">
        <f aca="false">IFERROR(VLOOKUP($A17310,'319'!$B:$H,7,0),0)</f>
        <v>0</v>
      </c>
      <c r="G17310" s="34" t="n">
        <f aca="false">SUMIFS('12.326ana'!$C:$C,'12.326ana'!$M:$M,redes!A17310)</f>
        <v>0</v>
      </c>
    </row>
    <row r="17311" customFormat="false" ht="14.4" hidden="true" customHeight="false" outlineLevel="0" collapsed="false">
      <c r="A17311" s="34" t="n">
        <v>37209194000140</v>
      </c>
      <c r="B17311" s="34" t="s">
        <v>31791</v>
      </c>
      <c r="C17311" s="34" t="s">
        <v>77</v>
      </c>
      <c r="E17311" s="30" t="s">
        <v>31792</v>
      </c>
      <c r="F17311" s="34" t="n">
        <f aca="false">IFERROR(VLOOKUP($A17311,'319'!$B:$H,7,0),0)</f>
        <v>0</v>
      </c>
      <c r="G17311" s="34" t="n">
        <f aca="false">SUMIFS('12.326ana'!$C:$C,'12.326ana'!$M:$M,redes!A17311)</f>
        <v>0</v>
      </c>
    </row>
    <row r="17312" customFormat="false" ht="14.4" hidden="true" customHeight="false" outlineLevel="0" collapsed="false">
      <c r="A17312" s="34" t="n">
        <v>37210226000127</v>
      </c>
      <c r="B17312" s="34" t="s">
        <v>31793</v>
      </c>
      <c r="C17312" s="34" t="s">
        <v>139</v>
      </c>
      <c r="E17312" s="30" t="s">
        <v>31794</v>
      </c>
      <c r="F17312" s="34" t="n">
        <f aca="false">IFERROR(VLOOKUP($A17312,'319'!$B:$H,7,0),0)</f>
        <v>0</v>
      </c>
      <c r="G17312" s="34" t="n">
        <f aca="false">SUMIFS('12.326ana'!$C:$C,'12.326ana'!$M:$M,redes!A17312)</f>
        <v>0</v>
      </c>
    </row>
    <row r="17313" customFormat="false" ht="14.4" hidden="true" customHeight="false" outlineLevel="0" collapsed="false">
      <c r="A17313" s="34" t="n">
        <v>37210499000171</v>
      </c>
      <c r="B17313" s="34" t="s">
        <v>31795</v>
      </c>
      <c r="C17313" s="34" t="s">
        <v>328</v>
      </c>
      <c r="E17313" s="30" t="s">
        <v>31796</v>
      </c>
      <c r="F17313" s="34" t="n">
        <f aca="false">IFERROR(VLOOKUP($A17313,'319'!$B:$H,7,0),0)</f>
        <v>0</v>
      </c>
      <c r="G17313" s="34" t="n">
        <f aca="false">SUMIFS('12.326ana'!$C:$C,'12.326ana'!$M:$M,redes!A17313)</f>
        <v>0</v>
      </c>
    </row>
    <row r="17314" customFormat="false" ht="14.4" hidden="true" customHeight="false" outlineLevel="0" collapsed="false">
      <c r="A17314" s="34" t="n">
        <v>37210754000186</v>
      </c>
      <c r="B17314" s="34" t="s">
        <v>31797</v>
      </c>
      <c r="C17314" s="34" t="s">
        <v>77</v>
      </c>
      <c r="E17314" s="30" t="s">
        <v>31798</v>
      </c>
      <c r="F17314" s="34" t="n">
        <f aca="false">IFERROR(VLOOKUP($A17314,'319'!$B:$H,7,0),0)</f>
        <v>0</v>
      </c>
      <c r="G17314" s="34" t="n">
        <f aca="false">SUMIFS('12.326ana'!$C:$C,'12.326ana'!$M:$M,redes!A17314)</f>
        <v>0</v>
      </c>
    </row>
    <row r="17315" customFormat="false" ht="14.4" hidden="true" customHeight="false" outlineLevel="0" collapsed="false">
      <c r="A17315" s="34" t="n">
        <v>37211315000198</v>
      </c>
      <c r="B17315" s="34" t="s">
        <v>31799</v>
      </c>
      <c r="C17315" s="34" t="s">
        <v>377</v>
      </c>
      <c r="E17315" s="30" t="s">
        <v>31800</v>
      </c>
      <c r="F17315" s="34" t="n">
        <f aca="false">IFERROR(VLOOKUP($A17315,'319'!$B:$H,7,0),0)</f>
        <v>0</v>
      </c>
      <c r="G17315" s="34" t="n">
        <f aca="false">SUMIFS('12.326ana'!$C:$C,'12.326ana'!$M:$M,redes!A17315)</f>
        <v>0</v>
      </c>
    </row>
    <row r="17316" customFormat="false" ht="14.4" hidden="true" customHeight="false" outlineLevel="0" collapsed="false">
      <c r="A17316" s="34" t="n">
        <v>37211943000173</v>
      </c>
      <c r="B17316" s="34" t="s">
        <v>31801</v>
      </c>
      <c r="C17316" s="34" t="s">
        <v>77</v>
      </c>
      <c r="E17316" s="30" t="s">
        <v>31802</v>
      </c>
      <c r="F17316" s="34" t="n">
        <f aca="false">IFERROR(VLOOKUP($A17316,'319'!$B:$H,7,0),0)</f>
        <v>0</v>
      </c>
      <c r="G17316" s="34" t="n">
        <f aca="false">SUMIFS('12.326ana'!$C:$C,'12.326ana'!$M:$M,redes!A17316)</f>
        <v>0</v>
      </c>
    </row>
    <row r="17317" customFormat="false" ht="14.4" hidden="true" customHeight="false" outlineLevel="0" collapsed="false">
      <c r="A17317" s="34" t="n">
        <v>37212206000195</v>
      </c>
      <c r="B17317" s="34" t="s">
        <v>31803</v>
      </c>
      <c r="C17317" s="34" t="s">
        <v>881</v>
      </c>
      <c r="E17317" s="30" t="s">
        <v>8059</v>
      </c>
      <c r="F17317" s="34" t="n">
        <f aca="false">IFERROR(VLOOKUP($A17317,'319'!$B:$H,7,0),0)</f>
        <v>0</v>
      </c>
      <c r="G17317" s="34" t="n">
        <f aca="false">SUMIFS('12.326ana'!$C:$C,'12.326ana'!$M:$M,redes!A17317)</f>
        <v>0</v>
      </c>
    </row>
    <row r="17318" customFormat="false" ht="14.4" hidden="true" customHeight="false" outlineLevel="0" collapsed="false">
      <c r="A17318" s="34" t="n">
        <v>37212438000143</v>
      </c>
      <c r="B17318" s="34" t="s">
        <v>31804</v>
      </c>
      <c r="C17318" s="34" t="s">
        <v>4139</v>
      </c>
      <c r="E17318" s="30" t="s">
        <v>31805</v>
      </c>
      <c r="F17318" s="34" t="n">
        <f aca="false">IFERROR(VLOOKUP($A17318,'319'!$B:$H,7,0),0)</f>
        <v>0</v>
      </c>
      <c r="G17318" s="34" t="n">
        <f aca="false">SUMIFS('12.326ana'!$C:$C,'12.326ana'!$M:$M,redes!A17318)</f>
        <v>0</v>
      </c>
    </row>
    <row r="17319" customFormat="false" ht="14.4" hidden="true" customHeight="false" outlineLevel="0" collapsed="false">
      <c r="A17319" s="34" t="n">
        <v>37212446000190</v>
      </c>
      <c r="B17319" s="34" t="s">
        <v>31806</v>
      </c>
      <c r="C17319" s="34" t="s">
        <v>139</v>
      </c>
      <c r="E17319" s="30" t="s">
        <v>14390</v>
      </c>
      <c r="F17319" s="34" t="n">
        <f aca="false">IFERROR(VLOOKUP($A17319,'319'!$B:$H,7,0),0)</f>
        <v>0</v>
      </c>
      <c r="G17319" s="34" t="n">
        <f aca="false">SUMIFS('12.326ana'!$C:$C,'12.326ana'!$M:$M,redes!A17319)</f>
        <v>0</v>
      </c>
    </row>
    <row r="17320" customFormat="false" ht="14.4" hidden="true" customHeight="false" outlineLevel="0" collapsed="false">
      <c r="A17320" s="34" t="n">
        <v>37214368000162</v>
      </c>
      <c r="B17320" s="34" t="s">
        <v>31807</v>
      </c>
      <c r="C17320" s="34" t="s">
        <v>357</v>
      </c>
      <c r="E17320" s="30" t="s">
        <v>4006</v>
      </c>
      <c r="F17320" s="34" t="n">
        <f aca="false">IFERROR(VLOOKUP($A17320,'319'!$B:$H,7,0),0)</f>
        <v>0</v>
      </c>
      <c r="G17320" s="34" t="n">
        <f aca="false">SUMIFS('12.326ana'!$C:$C,'12.326ana'!$M:$M,redes!A17320)</f>
        <v>0</v>
      </c>
    </row>
    <row r="17321" customFormat="false" ht="14.4" hidden="true" customHeight="false" outlineLevel="0" collapsed="false">
      <c r="A17321" s="34" t="n">
        <v>37214434000102</v>
      </c>
      <c r="B17321" s="34" t="s">
        <v>31808</v>
      </c>
      <c r="C17321" s="34" t="s">
        <v>77</v>
      </c>
      <c r="E17321" s="30" t="s">
        <v>31809</v>
      </c>
      <c r="F17321" s="34" t="n">
        <f aca="false">IFERROR(VLOOKUP($A17321,'319'!$B:$H,7,0),0)</f>
        <v>0</v>
      </c>
      <c r="G17321" s="34" t="n">
        <f aca="false">SUMIFS('12.326ana'!$C:$C,'12.326ana'!$M:$M,redes!A17321)</f>
        <v>0</v>
      </c>
    </row>
    <row r="17322" customFormat="false" ht="14.4" hidden="true" customHeight="false" outlineLevel="0" collapsed="false">
      <c r="A17322" s="34" t="n">
        <v>37214442000140</v>
      </c>
      <c r="B17322" s="34" t="s">
        <v>31810</v>
      </c>
      <c r="C17322" s="34" t="s">
        <v>7250</v>
      </c>
      <c r="E17322" s="30" t="s">
        <v>31486</v>
      </c>
      <c r="F17322" s="34" t="n">
        <f aca="false">IFERROR(VLOOKUP($A17322,'319'!$B:$H,7,0),0)</f>
        <v>0</v>
      </c>
      <c r="G17322" s="34" t="n">
        <f aca="false">SUMIFS('12.326ana'!$C:$C,'12.326ana'!$M:$M,redes!A17322)</f>
        <v>0</v>
      </c>
    </row>
    <row r="17323" customFormat="false" ht="14.4" hidden="true" customHeight="false" outlineLevel="0" collapsed="false">
      <c r="A17323" s="34" t="n">
        <v>37214665000108</v>
      </c>
      <c r="B17323" s="34" t="s">
        <v>31811</v>
      </c>
      <c r="C17323" s="34" t="s">
        <v>473</v>
      </c>
      <c r="E17323" s="30" t="s">
        <v>9509</v>
      </c>
      <c r="F17323" s="34" t="n">
        <f aca="false">IFERROR(VLOOKUP($A17323,'319'!$B:$H,7,0),0)</f>
        <v>0</v>
      </c>
      <c r="G17323" s="34" t="n">
        <f aca="false">SUMIFS('12.326ana'!$C:$C,'12.326ana'!$M:$M,redes!A17323)</f>
        <v>0</v>
      </c>
    </row>
    <row r="17324" customFormat="false" ht="14.4" hidden="true" customHeight="false" outlineLevel="0" collapsed="false">
      <c r="A17324" s="34" t="n">
        <v>37214939000169</v>
      </c>
      <c r="B17324" s="34" t="s">
        <v>31812</v>
      </c>
      <c r="C17324" s="34" t="s">
        <v>107</v>
      </c>
      <c r="E17324" s="30" t="s">
        <v>31813</v>
      </c>
      <c r="F17324" s="34" t="n">
        <f aca="false">IFERROR(VLOOKUP($A17324,'319'!$B:$H,7,0),0)</f>
        <v>0</v>
      </c>
      <c r="G17324" s="34" t="n">
        <f aca="false">SUMIFS('12.326ana'!$C:$C,'12.326ana'!$M:$M,redes!A17324)</f>
        <v>0</v>
      </c>
    </row>
    <row r="17325" customFormat="false" ht="14.4" hidden="true" customHeight="false" outlineLevel="0" collapsed="false">
      <c r="A17325" s="34" t="n">
        <v>37216744000158</v>
      </c>
      <c r="B17325" s="34" t="s">
        <v>31814</v>
      </c>
      <c r="C17325" s="34" t="s">
        <v>103</v>
      </c>
      <c r="E17325" s="30" t="s">
        <v>5091</v>
      </c>
      <c r="F17325" s="34" t="n">
        <f aca="false">IFERROR(VLOOKUP($A17325,'319'!$B:$H,7,0),0)</f>
        <v>0</v>
      </c>
      <c r="G17325" s="34" t="n">
        <f aca="false">SUMIFS('12.326ana'!$C:$C,'12.326ana'!$M:$M,redes!A17325)</f>
        <v>0</v>
      </c>
    </row>
    <row r="17326" customFormat="false" ht="14.4" hidden="true" customHeight="false" outlineLevel="0" collapsed="false">
      <c r="A17326" s="34" t="n">
        <v>37217015000116</v>
      </c>
      <c r="B17326" s="34" t="s">
        <v>31815</v>
      </c>
      <c r="C17326" s="34" t="s">
        <v>713</v>
      </c>
      <c r="E17326" s="30" t="s">
        <v>8048</v>
      </c>
      <c r="F17326" s="34" t="n">
        <f aca="false">IFERROR(VLOOKUP($A17326,'319'!$B:$H,7,0),0)</f>
        <v>0</v>
      </c>
      <c r="G17326" s="34" t="n">
        <f aca="false">SUMIFS('12.326ana'!$C:$C,'12.326ana'!$M:$M,redes!A17326)</f>
        <v>0</v>
      </c>
    </row>
    <row r="17327" customFormat="false" ht="14.4" hidden="true" customHeight="false" outlineLevel="0" collapsed="false">
      <c r="A17327" s="34" t="n">
        <v>37217155000194</v>
      </c>
      <c r="B17327" s="34" t="s">
        <v>31816</v>
      </c>
      <c r="C17327" s="34" t="s">
        <v>478</v>
      </c>
      <c r="E17327" s="30" t="s">
        <v>31817</v>
      </c>
      <c r="F17327" s="34" t="n">
        <f aca="false">IFERROR(VLOOKUP($A17327,'319'!$B:$H,7,0),0)</f>
        <v>0</v>
      </c>
      <c r="G17327" s="34" t="n">
        <f aca="false">SUMIFS('12.326ana'!$C:$C,'12.326ana'!$M:$M,redes!A17327)</f>
        <v>0</v>
      </c>
    </row>
    <row r="17328" customFormat="false" ht="14.4" hidden="true" customHeight="false" outlineLevel="0" collapsed="false">
      <c r="A17328" s="34" t="n">
        <v>37217247000174</v>
      </c>
      <c r="B17328" s="34" t="s">
        <v>31818</v>
      </c>
      <c r="C17328" s="34" t="s">
        <v>377</v>
      </c>
      <c r="E17328" s="30" t="s">
        <v>31819</v>
      </c>
      <c r="F17328" s="34" t="n">
        <f aca="false">IFERROR(VLOOKUP($A17328,'319'!$B:$H,7,0),0)</f>
        <v>0</v>
      </c>
      <c r="G17328" s="34" t="n">
        <f aca="false">SUMIFS('12.326ana'!$C:$C,'12.326ana'!$M:$M,redes!A17328)</f>
        <v>0</v>
      </c>
    </row>
    <row r="17329" customFormat="false" ht="14.4" hidden="true" customHeight="false" outlineLevel="0" collapsed="false">
      <c r="A17329" s="34" t="n">
        <v>37217262000112</v>
      </c>
      <c r="B17329" s="34" t="s">
        <v>31820</v>
      </c>
      <c r="C17329" s="34" t="s">
        <v>77</v>
      </c>
      <c r="E17329" s="30" t="s">
        <v>31821</v>
      </c>
      <c r="F17329" s="34" t="n">
        <f aca="false">IFERROR(VLOOKUP($A17329,'319'!$B:$H,7,0),0)</f>
        <v>0</v>
      </c>
      <c r="G17329" s="34" t="n">
        <f aca="false">SUMIFS('12.326ana'!$C:$C,'12.326ana'!$M:$M,redes!A17329)</f>
        <v>0</v>
      </c>
    </row>
    <row r="17330" customFormat="false" ht="14.4" hidden="true" customHeight="false" outlineLevel="0" collapsed="false">
      <c r="A17330" s="34" t="n">
        <v>37217635000155</v>
      </c>
      <c r="B17330" s="34" t="s">
        <v>31822</v>
      </c>
      <c r="C17330" s="34" t="s">
        <v>89</v>
      </c>
      <c r="E17330" s="30" t="s">
        <v>31823</v>
      </c>
      <c r="F17330" s="34" t="n">
        <f aca="false">IFERROR(VLOOKUP($A17330,'319'!$B:$H,7,0),0)</f>
        <v>0</v>
      </c>
      <c r="G17330" s="34" t="n">
        <f aca="false">SUMIFS('12.326ana'!$C:$C,'12.326ana'!$M:$M,redes!A17330)</f>
        <v>0</v>
      </c>
    </row>
    <row r="17331" customFormat="false" ht="14.4" hidden="true" customHeight="false" outlineLevel="0" collapsed="false">
      <c r="A17331" s="34" t="n">
        <v>37217700000142</v>
      </c>
      <c r="B17331" s="34" t="s">
        <v>31824</v>
      </c>
      <c r="C17331" s="34" t="s">
        <v>581</v>
      </c>
      <c r="E17331" s="30" t="s">
        <v>12767</v>
      </c>
      <c r="F17331" s="34" t="n">
        <f aca="false">IFERROR(VLOOKUP($A17331,'319'!$B:$H,7,0),0)</f>
        <v>0</v>
      </c>
      <c r="G17331" s="34" t="n">
        <f aca="false">SUMIFS('12.326ana'!$C:$C,'12.326ana'!$M:$M,redes!A17331)</f>
        <v>0</v>
      </c>
    </row>
    <row r="17332" customFormat="false" ht="14.4" hidden="true" customHeight="false" outlineLevel="0" collapsed="false">
      <c r="A17332" s="34" t="n">
        <v>37219987000140</v>
      </c>
      <c r="B17332" s="34" t="s">
        <v>31825</v>
      </c>
      <c r="C17332" s="34" t="s">
        <v>328</v>
      </c>
      <c r="E17332" s="30" t="s">
        <v>31826</v>
      </c>
      <c r="F17332" s="34" t="n">
        <f aca="false">IFERROR(VLOOKUP($A17332,'319'!$B:$H,7,0),0)</f>
        <v>0</v>
      </c>
      <c r="G17332" s="34" t="n">
        <f aca="false">SUMIFS('12.326ana'!$C:$C,'12.326ana'!$M:$M,redes!A17332)</f>
        <v>0</v>
      </c>
    </row>
    <row r="17333" customFormat="false" ht="14.4" hidden="true" customHeight="false" outlineLevel="0" collapsed="false">
      <c r="A17333" s="34" t="n">
        <v>37220894000135</v>
      </c>
      <c r="B17333" s="34" t="s">
        <v>31827</v>
      </c>
      <c r="C17333" s="34" t="s">
        <v>103</v>
      </c>
      <c r="E17333" s="30" t="s">
        <v>12057</v>
      </c>
      <c r="F17333" s="34" t="n">
        <f aca="false">IFERROR(VLOOKUP($A17333,'319'!$B:$H,7,0),0)</f>
        <v>0</v>
      </c>
      <c r="G17333" s="34" t="n">
        <f aca="false">SUMIFS('12.326ana'!$C:$C,'12.326ana'!$M:$M,redes!A17333)</f>
        <v>0</v>
      </c>
    </row>
    <row r="17334" customFormat="false" ht="14.4" hidden="true" customHeight="false" outlineLevel="0" collapsed="false">
      <c r="A17334" s="34" t="n">
        <v>37221975000150</v>
      </c>
      <c r="B17334" s="34" t="s">
        <v>31828</v>
      </c>
      <c r="C17334" s="34" t="s">
        <v>127</v>
      </c>
      <c r="E17334" s="30" t="s">
        <v>31829</v>
      </c>
      <c r="F17334" s="34" t="n">
        <f aca="false">IFERROR(VLOOKUP($A17334,'319'!$B:$H,7,0),0)</f>
        <v>0</v>
      </c>
      <c r="G17334" s="34" t="n">
        <f aca="false">SUMIFS('12.326ana'!$C:$C,'12.326ana'!$M:$M,redes!A17334)</f>
        <v>0</v>
      </c>
    </row>
    <row r="17335" customFormat="false" ht="14.4" hidden="true" customHeight="false" outlineLevel="0" collapsed="false">
      <c r="A17335" s="34" t="n">
        <v>37222163000129</v>
      </c>
      <c r="B17335" s="34" t="s">
        <v>31830</v>
      </c>
      <c r="C17335" s="34" t="s">
        <v>77</v>
      </c>
      <c r="E17335" s="30" t="s">
        <v>3588</v>
      </c>
      <c r="F17335" s="34" t="n">
        <f aca="false">IFERROR(VLOOKUP($A17335,'319'!$B:$H,7,0),0)</f>
        <v>0</v>
      </c>
      <c r="G17335" s="34" t="n">
        <f aca="false">SUMIFS('12.326ana'!$C:$C,'12.326ana'!$M:$M,redes!A17335)</f>
        <v>0</v>
      </c>
    </row>
    <row r="17336" customFormat="false" ht="14.4" hidden="true" customHeight="false" outlineLevel="0" collapsed="false">
      <c r="A17336" s="34" t="n">
        <v>37222213000178</v>
      </c>
      <c r="B17336" s="34" t="s">
        <v>31831</v>
      </c>
      <c r="C17336" s="34" t="s">
        <v>4139</v>
      </c>
      <c r="E17336" s="30" t="s">
        <v>31832</v>
      </c>
      <c r="F17336" s="34" t="n">
        <f aca="false">IFERROR(VLOOKUP($A17336,'319'!$B:$H,7,0),0)</f>
        <v>0</v>
      </c>
      <c r="G17336" s="34" t="n">
        <f aca="false">SUMIFS('12.326ana'!$C:$C,'12.326ana'!$M:$M,redes!A17336)</f>
        <v>0</v>
      </c>
    </row>
    <row r="17337" customFormat="false" ht="14.4" hidden="true" customHeight="false" outlineLevel="0" collapsed="false">
      <c r="A17337" s="34" t="n">
        <v>37222395000187</v>
      </c>
      <c r="B17337" s="34" t="s">
        <v>31833</v>
      </c>
      <c r="C17337" s="34" t="s">
        <v>77</v>
      </c>
      <c r="E17337" s="30" t="s">
        <v>31834</v>
      </c>
      <c r="F17337" s="34" t="n">
        <f aca="false">IFERROR(VLOOKUP($A17337,'319'!$B:$H,7,0),0)</f>
        <v>0</v>
      </c>
      <c r="G17337" s="34" t="n">
        <f aca="false">SUMIFS('12.326ana'!$C:$C,'12.326ana'!$M:$M,redes!A17337)</f>
        <v>0</v>
      </c>
    </row>
    <row r="17338" customFormat="false" ht="14.4" hidden="true" customHeight="false" outlineLevel="0" collapsed="false">
      <c r="A17338" s="34" t="n">
        <v>37222411000131</v>
      </c>
      <c r="B17338" s="34" t="s">
        <v>31835</v>
      </c>
      <c r="C17338" s="34" t="s">
        <v>713</v>
      </c>
      <c r="E17338" s="30" t="s">
        <v>14285</v>
      </c>
      <c r="F17338" s="34" t="n">
        <f aca="false">IFERROR(VLOOKUP($A17338,'319'!$B:$H,7,0),0)</f>
        <v>0</v>
      </c>
      <c r="G17338" s="34" t="n">
        <f aca="false">SUMIFS('12.326ana'!$C:$C,'12.326ana'!$M:$M,redes!A17338)</f>
        <v>0</v>
      </c>
    </row>
    <row r="17339" customFormat="false" ht="14.4" hidden="true" customHeight="false" outlineLevel="0" collapsed="false">
      <c r="A17339" s="34" t="n">
        <v>37222544000108</v>
      </c>
      <c r="B17339" s="34" t="s">
        <v>31836</v>
      </c>
      <c r="C17339" s="34" t="s">
        <v>77</v>
      </c>
      <c r="E17339" s="30" t="s">
        <v>31836</v>
      </c>
      <c r="F17339" s="34" t="n">
        <f aca="false">IFERROR(VLOOKUP($A17339,'319'!$B:$H,7,0),0)</f>
        <v>0</v>
      </c>
      <c r="G17339" s="34" t="n">
        <f aca="false">SUMIFS('12.326ana'!$C:$C,'12.326ana'!$M:$M,redes!A17339)</f>
        <v>0</v>
      </c>
    </row>
    <row r="17340" customFormat="false" ht="14.4" hidden="true" customHeight="false" outlineLevel="0" collapsed="false">
      <c r="A17340" s="34" t="n">
        <v>37223088000110</v>
      </c>
      <c r="B17340" s="34" t="s">
        <v>31837</v>
      </c>
      <c r="C17340" s="34" t="s">
        <v>89</v>
      </c>
      <c r="E17340" s="30" t="s">
        <v>31838</v>
      </c>
      <c r="F17340" s="34" t="n">
        <f aca="false">IFERROR(VLOOKUP($A17340,'319'!$B:$H,7,0),0)</f>
        <v>0</v>
      </c>
      <c r="G17340" s="34" t="n">
        <f aca="false">SUMIFS('12.326ana'!$C:$C,'12.326ana'!$M:$M,redes!A17340)</f>
        <v>0</v>
      </c>
    </row>
    <row r="17341" customFormat="false" ht="14.4" hidden="true" customHeight="false" outlineLevel="0" collapsed="false">
      <c r="A17341" s="34" t="n">
        <v>37223732000150</v>
      </c>
      <c r="B17341" s="34" t="s">
        <v>31839</v>
      </c>
      <c r="C17341" s="34" t="s">
        <v>299</v>
      </c>
      <c r="E17341" s="30" t="s">
        <v>31840</v>
      </c>
      <c r="F17341" s="34" t="n">
        <f aca="false">IFERROR(VLOOKUP($A17341,'319'!$B:$H,7,0),0)</f>
        <v>0</v>
      </c>
      <c r="G17341" s="34" t="n">
        <f aca="false">SUMIFS('12.326ana'!$C:$C,'12.326ana'!$M:$M,redes!A17341)</f>
        <v>0</v>
      </c>
    </row>
    <row r="17342" customFormat="false" ht="14.4" hidden="true" customHeight="false" outlineLevel="0" collapsed="false">
      <c r="A17342" s="34" t="n">
        <v>37223773000147</v>
      </c>
      <c r="B17342" s="34" t="s">
        <v>31841</v>
      </c>
      <c r="C17342" s="34" t="s">
        <v>464</v>
      </c>
      <c r="E17342" s="30" t="s">
        <v>9466</v>
      </c>
      <c r="F17342" s="34" t="n">
        <f aca="false">IFERROR(VLOOKUP($A17342,'319'!$B:$H,7,0),0)</f>
        <v>0</v>
      </c>
      <c r="G17342" s="34" t="n">
        <f aca="false">SUMIFS('12.326ana'!$C:$C,'12.326ana'!$M:$M,redes!A17342)</f>
        <v>0</v>
      </c>
    </row>
    <row r="17343" customFormat="false" ht="14.4" hidden="true" customHeight="false" outlineLevel="0" collapsed="false">
      <c r="A17343" s="34" t="n">
        <v>37223930000114</v>
      </c>
      <c r="B17343" s="34" t="s">
        <v>31842</v>
      </c>
      <c r="C17343" s="34" t="s">
        <v>77</v>
      </c>
      <c r="E17343" s="30"/>
      <c r="F17343" s="34" t="n">
        <f aca="false">IFERROR(VLOOKUP($A17343,'319'!$B:$H,7,0),0)</f>
        <v>0</v>
      </c>
      <c r="G17343" s="34" t="n">
        <f aca="false">SUMIFS('12.326ana'!$C:$C,'12.326ana'!$M:$M,redes!A17343)</f>
        <v>0</v>
      </c>
    </row>
    <row r="17344" customFormat="false" ht="14.4" hidden="true" customHeight="false" outlineLevel="0" collapsed="false">
      <c r="A17344" s="34" t="n">
        <v>37224160000124</v>
      </c>
      <c r="B17344" s="34" t="s">
        <v>31843</v>
      </c>
      <c r="C17344" s="34" t="s">
        <v>77</v>
      </c>
      <c r="E17344" s="30" t="s">
        <v>31844</v>
      </c>
      <c r="F17344" s="34" t="n">
        <f aca="false">IFERROR(VLOOKUP($A17344,'319'!$B:$H,7,0),0)</f>
        <v>0</v>
      </c>
      <c r="G17344" s="34" t="n">
        <f aca="false">SUMIFS('12.326ana'!$C:$C,'12.326ana'!$M:$M,redes!A17344)</f>
        <v>0</v>
      </c>
    </row>
    <row r="17345" customFormat="false" ht="14.4" hidden="true" customHeight="false" outlineLevel="0" collapsed="false">
      <c r="A17345" s="34" t="n">
        <v>37224359000152</v>
      </c>
      <c r="B17345" s="34" t="s">
        <v>31845</v>
      </c>
      <c r="C17345" s="34" t="s">
        <v>207</v>
      </c>
      <c r="E17345" s="30" t="s">
        <v>31846</v>
      </c>
      <c r="F17345" s="34" t="n">
        <f aca="false">IFERROR(VLOOKUP($A17345,'319'!$B:$H,7,0),0)</f>
        <v>0</v>
      </c>
      <c r="G17345" s="34" t="n">
        <f aca="false">SUMIFS('12.326ana'!$C:$C,'12.326ana'!$M:$M,redes!A17345)</f>
        <v>0</v>
      </c>
    </row>
    <row r="17346" customFormat="false" ht="14.4" hidden="true" customHeight="false" outlineLevel="0" collapsed="false">
      <c r="A17346" s="34" t="n">
        <v>37224532000112</v>
      </c>
      <c r="B17346" s="34" t="s">
        <v>31847</v>
      </c>
      <c r="C17346" s="34" t="s">
        <v>107</v>
      </c>
      <c r="E17346" s="30" t="s">
        <v>8258</v>
      </c>
      <c r="F17346" s="34" t="n">
        <f aca="false">IFERROR(VLOOKUP($A17346,'319'!$B:$H,7,0),0)</f>
        <v>0</v>
      </c>
      <c r="G17346" s="34" t="n">
        <f aca="false">SUMIFS('12.326ana'!$C:$C,'12.326ana'!$M:$M,redes!A17346)</f>
        <v>0</v>
      </c>
    </row>
    <row r="17347" customFormat="false" ht="14.4" hidden="true" customHeight="false" outlineLevel="0" collapsed="false">
      <c r="A17347" s="34" t="n">
        <v>37224946000141</v>
      </c>
      <c r="B17347" s="34" t="s">
        <v>31848</v>
      </c>
      <c r="C17347" s="34" t="s">
        <v>77</v>
      </c>
      <c r="E17347" s="30" t="s">
        <v>31849</v>
      </c>
      <c r="F17347" s="34" t="n">
        <f aca="false">IFERROR(VLOOKUP($A17347,'319'!$B:$H,7,0),0)</f>
        <v>0</v>
      </c>
      <c r="G17347" s="34" t="n">
        <f aca="false">SUMIFS('12.326ana'!$C:$C,'12.326ana'!$M:$M,redes!A17347)</f>
        <v>0</v>
      </c>
    </row>
    <row r="17348" customFormat="false" ht="14.4" hidden="true" customHeight="false" outlineLevel="0" collapsed="false">
      <c r="A17348" s="34" t="n">
        <v>37224979000191</v>
      </c>
      <c r="B17348" s="34" t="s">
        <v>31850</v>
      </c>
      <c r="C17348" s="34" t="s">
        <v>77</v>
      </c>
      <c r="E17348" s="30" t="s">
        <v>4373</v>
      </c>
      <c r="F17348" s="34" t="n">
        <f aca="false">IFERROR(VLOOKUP($A17348,'319'!$B:$H,7,0),0)</f>
        <v>0</v>
      </c>
      <c r="G17348" s="34" t="n">
        <f aca="false">SUMIFS('12.326ana'!$C:$C,'12.326ana'!$M:$M,redes!A17348)</f>
        <v>0</v>
      </c>
    </row>
    <row r="17349" customFormat="false" ht="14.4" hidden="true" customHeight="false" outlineLevel="0" collapsed="false">
      <c r="A17349" s="34" t="n">
        <v>37225125000120</v>
      </c>
      <c r="B17349" s="34" t="s">
        <v>31851</v>
      </c>
      <c r="C17349" s="34" t="s">
        <v>464</v>
      </c>
      <c r="E17349" s="30" t="s">
        <v>31852</v>
      </c>
      <c r="F17349" s="34" t="n">
        <f aca="false">IFERROR(VLOOKUP($A17349,'319'!$B:$H,7,0),0)</f>
        <v>0</v>
      </c>
      <c r="G17349" s="34" t="n">
        <f aca="false">SUMIFS('12.326ana'!$C:$C,'12.326ana'!$M:$M,redes!A17349)</f>
        <v>0</v>
      </c>
    </row>
    <row r="17350" customFormat="false" ht="14.4" hidden="true" customHeight="false" outlineLevel="0" collapsed="false">
      <c r="A17350" s="34" t="n">
        <v>37226750000196</v>
      </c>
      <c r="B17350" s="34" t="s">
        <v>31853</v>
      </c>
      <c r="C17350" s="34" t="s">
        <v>77</v>
      </c>
      <c r="E17350" s="30"/>
      <c r="F17350" s="34" t="n">
        <f aca="false">IFERROR(VLOOKUP($A17350,'319'!$B:$H,7,0),0)</f>
        <v>0</v>
      </c>
      <c r="G17350" s="34" t="n">
        <f aca="false">SUMIFS('12.326ana'!$C:$C,'12.326ana'!$M:$M,redes!A17350)</f>
        <v>0</v>
      </c>
    </row>
    <row r="17351" customFormat="false" ht="14.4" hidden="true" customHeight="false" outlineLevel="0" collapsed="false">
      <c r="A17351" s="34" t="n">
        <v>37241168000107</v>
      </c>
      <c r="B17351" s="34" t="s">
        <v>31854</v>
      </c>
      <c r="C17351" s="34" t="s">
        <v>565</v>
      </c>
      <c r="E17351" s="30" t="s">
        <v>31855</v>
      </c>
      <c r="F17351" s="34" t="n">
        <f aca="false">IFERROR(VLOOKUP($A17351,'319'!$B:$H,7,0),0)</f>
        <v>0</v>
      </c>
      <c r="G17351" s="34" t="n">
        <f aca="false">SUMIFS('12.326ana'!$C:$C,'12.326ana'!$M:$M,redes!A17351)</f>
        <v>0</v>
      </c>
    </row>
    <row r="17352" customFormat="false" ht="14.4" hidden="true" customHeight="false" outlineLevel="0" collapsed="false">
      <c r="A17352" s="34" t="n">
        <v>37244075000128</v>
      </c>
      <c r="B17352" s="34" t="s">
        <v>31856</v>
      </c>
      <c r="C17352" s="34" t="s">
        <v>77</v>
      </c>
      <c r="E17352" s="30" t="s">
        <v>31857</v>
      </c>
      <c r="F17352" s="34" t="n">
        <f aca="false">IFERROR(VLOOKUP($A17352,'319'!$B:$H,7,0),0)</f>
        <v>0</v>
      </c>
      <c r="G17352" s="34" t="n">
        <f aca="false">SUMIFS('12.326ana'!$C:$C,'12.326ana'!$M:$M,redes!A17352)</f>
        <v>0</v>
      </c>
    </row>
    <row r="17353" customFormat="false" ht="14.4" hidden="true" customHeight="false" outlineLevel="0" collapsed="false">
      <c r="A17353" s="34" t="n">
        <v>37246756000125</v>
      </c>
      <c r="B17353" s="34" t="s">
        <v>31858</v>
      </c>
      <c r="C17353" s="34" t="s">
        <v>77</v>
      </c>
      <c r="E17353" s="30" t="s">
        <v>31859</v>
      </c>
      <c r="F17353" s="34" t="n">
        <f aca="false">IFERROR(VLOOKUP($A17353,'319'!$B:$H,7,0),0)</f>
        <v>0</v>
      </c>
      <c r="G17353" s="34" t="n">
        <f aca="false">SUMIFS('12.326ana'!$C:$C,'12.326ana'!$M:$M,redes!A17353)</f>
        <v>0</v>
      </c>
    </row>
    <row r="17354" customFormat="false" ht="14.4" hidden="true" customHeight="false" outlineLevel="0" collapsed="false">
      <c r="A17354" s="34" t="n">
        <v>37248067000150</v>
      </c>
      <c r="B17354" s="34" t="s">
        <v>31860</v>
      </c>
      <c r="C17354" s="34" t="s">
        <v>448</v>
      </c>
      <c r="E17354" s="30" t="s">
        <v>3542</v>
      </c>
      <c r="F17354" s="34" t="n">
        <f aca="false">IFERROR(VLOOKUP($A17354,'319'!$B:$H,7,0),0)</f>
        <v>0</v>
      </c>
      <c r="G17354" s="34" t="n">
        <f aca="false">SUMIFS('12.326ana'!$C:$C,'12.326ana'!$M:$M,redes!A17354)</f>
        <v>0</v>
      </c>
    </row>
    <row r="17355" customFormat="false" ht="14.4" hidden="true" customHeight="false" outlineLevel="0" collapsed="false">
      <c r="A17355" s="34" t="n">
        <v>37259246000192</v>
      </c>
      <c r="B17355" s="34" t="s">
        <v>31861</v>
      </c>
      <c r="C17355" s="34" t="s">
        <v>475</v>
      </c>
      <c r="E17355" s="30" t="s">
        <v>31862</v>
      </c>
      <c r="F17355" s="34" t="n">
        <f aca="false">IFERROR(VLOOKUP($A17355,'319'!$B:$H,7,0),0)</f>
        <v>0</v>
      </c>
      <c r="G17355" s="34" t="n">
        <f aca="false">SUMIFS('12.326ana'!$C:$C,'12.326ana'!$M:$M,redes!A17355)</f>
        <v>0</v>
      </c>
    </row>
    <row r="17356" customFormat="false" ht="14.4" hidden="true" customHeight="false" outlineLevel="0" collapsed="false">
      <c r="A17356" s="34" t="n">
        <v>37270549000106</v>
      </c>
      <c r="B17356" s="34" t="s">
        <v>31863</v>
      </c>
      <c r="C17356" s="34" t="s">
        <v>342</v>
      </c>
      <c r="E17356" s="30" t="s">
        <v>31864</v>
      </c>
      <c r="F17356" s="34" t="n">
        <f aca="false">IFERROR(VLOOKUP($A17356,'319'!$B:$H,7,0),0)</f>
        <v>0</v>
      </c>
      <c r="G17356" s="34" t="n">
        <f aca="false">SUMIFS('12.326ana'!$C:$C,'12.326ana'!$M:$M,redes!A17356)</f>
        <v>0</v>
      </c>
    </row>
    <row r="17357" customFormat="false" ht="14.4" hidden="true" customHeight="false" outlineLevel="0" collapsed="false">
      <c r="A17357" s="34" t="n">
        <v>37279135000148</v>
      </c>
      <c r="B17357" s="34" t="s">
        <v>31865</v>
      </c>
      <c r="C17357" s="34" t="s">
        <v>604</v>
      </c>
      <c r="E17357" s="30" t="s">
        <v>31866</v>
      </c>
      <c r="F17357" s="34" t="n">
        <f aca="false">IFERROR(VLOOKUP($A17357,'319'!$B:$H,7,0),0)</f>
        <v>0</v>
      </c>
      <c r="G17357" s="34" t="n">
        <f aca="false">SUMIFS('12.326ana'!$C:$C,'12.326ana'!$M:$M,redes!A17357)</f>
        <v>0</v>
      </c>
    </row>
    <row r="17358" customFormat="false" ht="14.4" hidden="true" customHeight="false" outlineLevel="0" collapsed="false">
      <c r="A17358" s="34" t="n">
        <v>37287842000186</v>
      </c>
      <c r="B17358" s="34" t="s">
        <v>31867</v>
      </c>
      <c r="C17358" s="34" t="s">
        <v>107</v>
      </c>
      <c r="E17358" s="30" t="s">
        <v>31868</v>
      </c>
      <c r="F17358" s="34" t="n">
        <f aca="false">IFERROR(VLOOKUP($A17358,'319'!$B:$H,7,0),0)</f>
        <v>0</v>
      </c>
      <c r="G17358" s="34" t="n">
        <f aca="false">SUMIFS('12.326ana'!$C:$C,'12.326ana'!$M:$M,redes!A17358)</f>
        <v>0</v>
      </c>
    </row>
    <row r="17359" customFormat="false" ht="14.4" hidden="true" customHeight="false" outlineLevel="0" collapsed="false">
      <c r="A17359" s="34" t="n">
        <v>37288692000125</v>
      </c>
      <c r="B17359" s="34" t="s">
        <v>31869</v>
      </c>
      <c r="C17359" s="34" t="s">
        <v>77</v>
      </c>
      <c r="E17359" s="30" t="s">
        <v>31870</v>
      </c>
      <c r="F17359" s="34" t="n">
        <f aca="false">IFERROR(VLOOKUP($A17359,'319'!$B:$H,7,0),0)</f>
        <v>0</v>
      </c>
      <c r="G17359" s="34" t="n">
        <f aca="false">SUMIFS('12.326ana'!$C:$C,'12.326ana'!$M:$M,redes!A17359)</f>
        <v>0</v>
      </c>
    </row>
    <row r="17360" customFormat="false" ht="14.4" hidden="true" customHeight="false" outlineLevel="0" collapsed="false">
      <c r="A17360" s="34" t="n">
        <v>37298724000173</v>
      </c>
      <c r="B17360" s="34" t="s">
        <v>31871</v>
      </c>
      <c r="C17360" s="34" t="s">
        <v>77</v>
      </c>
      <c r="E17360" s="30" t="s">
        <v>31872</v>
      </c>
      <c r="F17360" s="34" t="n">
        <f aca="false">IFERROR(VLOOKUP($A17360,'319'!$B:$H,7,0),0)</f>
        <v>0</v>
      </c>
      <c r="G17360" s="34" t="n">
        <f aca="false">SUMIFS('12.326ana'!$C:$C,'12.326ana'!$M:$M,redes!A17360)</f>
        <v>0</v>
      </c>
    </row>
    <row r="17361" customFormat="false" ht="14.4" hidden="true" customHeight="false" outlineLevel="0" collapsed="false">
      <c r="A17361" s="34" t="n">
        <v>37300843000113</v>
      </c>
      <c r="B17361" s="34" t="s">
        <v>31873</v>
      </c>
      <c r="C17361" s="34" t="s">
        <v>342</v>
      </c>
      <c r="E17361" s="30" t="s">
        <v>13544</v>
      </c>
      <c r="F17361" s="34" t="n">
        <f aca="false">IFERROR(VLOOKUP($A17361,'319'!$B:$H,7,0),0)</f>
        <v>0</v>
      </c>
      <c r="G17361" s="34" t="n">
        <f aca="false">SUMIFS('12.326ana'!$C:$C,'12.326ana'!$M:$M,redes!A17361)</f>
        <v>0</v>
      </c>
    </row>
    <row r="17362" customFormat="false" ht="14.4" hidden="true" customHeight="false" outlineLevel="0" collapsed="false">
      <c r="A17362" s="34" t="n">
        <v>37305792000112</v>
      </c>
      <c r="B17362" s="34" t="s">
        <v>31874</v>
      </c>
      <c r="C17362" s="34" t="s">
        <v>631</v>
      </c>
      <c r="E17362" s="30" t="s">
        <v>24050</v>
      </c>
      <c r="F17362" s="34" t="n">
        <f aca="false">IFERROR(VLOOKUP($A17362,'319'!$B:$H,7,0),0)</f>
        <v>0</v>
      </c>
      <c r="G17362" s="34" t="n">
        <f aca="false">SUMIFS('12.326ana'!$C:$C,'12.326ana'!$M:$M,redes!A17362)</f>
        <v>0</v>
      </c>
    </row>
    <row r="17363" customFormat="false" ht="14.4" hidden="true" customHeight="false" outlineLevel="0" collapsed="false">
      <c r="A17363" s="34" t="n">
        <v>37313671000112</v>
      </c>
      <c r="B17363" s="34" t="s">
        <v>31875</v>
      </c>
      <c r="C17363" s="34" t="s">
        <v>3594</v>
      </c>
      <c r="E17363" s="30" t="s">
        <v>31876</v>
      </c>
      <c r="F17363" s="34" t="n">
        <f aca="false">IFERROR(VLOOKUP($A17363,'319'!$B:$H,7,0),0)</f>
        <v>0</v>
      </c>
      <c r="G17363" s="34" t="n">
        <f aca="false">SUMIFS('12.326ana'!$C:$C,'12.326ana'!$M:$M,redes!A17363)</f>
        <v>0</v>
      </c>
    </row>
    <row r="17364" customFormat="false" ht="14.4" hidden="true" customHeight="false" outlineLevel="0" collapsed="false">
      <c r="A17364" s="34" t="n">
        <v>37318713000108</v>
      </c>
      <c r="B17364" s="34" t="s">
        <v>31877</v>
      </c>
      <c r="C17364" s="34" t="s">
        <v>89</v>
      </c>
      <c r="E17364" s="30" t="s">
        <v>31878</v>
      </c>
      <c r="F17364" s="34" t="n">
        <f aca="false">IFERROR(VLOOKUP($A17364,'319'!$B:$H,7,0),0)</f>
        <v>0</v>
      </c>
      <c r="G17364" s="34" t="n">
        <f aca="false">SUMIFS('12.326ana'!$C:$C,'12.326ana'!$M:$M,redes!A17364)</f>
        <v>0</v>
      </c>
    </row>
    <row r="17365" customFormat="false" ht="14.4" hidden="true" customHeight="false" outlineLevel="0" collapsed="false">
      <c r="A17365" s="34" t="n">
        <v>37320455000102</v>
      </c>
      <c r="B17365" s="34" t="s">
        <v>31879</v>
      </c>
      <c r="C17365" s="34" t="s">
        <v>737</v>
      </c>
      <c r="E17365" s="30" t="s">
        <v>31880</v>
      </c>
      <c r="F17365" s="34" t="n">
        <f aca="false">IFERROR(VLOOKUP($A17365,'319'!$B:$H,7,0),0)</f>
        <v>0</v>
      </c>
      <c r="G17365" s="34" t="n">
        <f aca="false">SUMIFS('12.326ana'!$C:$C,'12.326ana'!$M:$M,redes!A17365)</f>
        <v>0</v>
      </c>
    </row>
    <row r="17366" customFormat="false" ht="14.4" hidden="true" customHeight="false" outlineLevel="0" collapsed="false">
      <c r="A17366" s="34" t="n">
        <v>37323782000100</v>
      </c>
      <c r="B17366" s="34" t="s">
        <v>31881</v>
      </c>
      <c r="C17366" s="34" t="s">
        <v>764</v>
      </c>
      <c r="E17366" s="30" t="s">
        <v>3927</v>
      </c>
      <c r="F17366" s="34" t="n">
        <f aca="false">IFERROR(VLOOKUP($A17366,'319'!$B:$H,7,0),0)</f>
        <v>0</v>
      </c>
      <c r="G17366" s="34" t="n">
        <f aca="false">SUMIFS('12.326ana'!$C:$C,'12.326ana'!$M:$M,redes!A17366)</f>
        <v>0</v>
      </c>
    </row>
    <row r="17367" customFormat="false" ht="14.4" hidden="true" customHeight="false" outlineLevel="0" collapsed="false">
      <c r="A17367" s="34" t="n">
        <v>37336295000181</v>
      </c>
      <c r="B17367" s="34" t="s">
        <v>31882</v>
      </c>
      <c r="C17367" s="34" t="s">
        <v>77</v>
      </c>
      <c r="E17367" s="30" t="s">
        <v>29578</v>
      </c>
      <c r="F17367" s="34" t="n">
        <f aca="false">IFERROR(VLOOKUP($A17367,'319'!$B:$H,7,0),0)</f>
        <v>0</v>
      </c>
      <c r="G17367" s="34" t="n">
        <f aca="false">SUMIFS('12.326ana'!$C:$C,'12.326ana'!$M:$M,redes!A17367)</f>
        <v>0</v>
      </c>
    </row>
    <row r="17368" customFormat="false" ht="14.4" hidden="true" customHeight="false" outlineLevel="0" collapsed="false">
      <c r="A17368" s="34" t="n">
        <v>37343215000115</v>
      </c>
      <c r="B17368" s="34" t="s">
        <v>31883</v>
      </c>
      <c r="C17368" s="34" t="s">
        <v>77</v>
      </c>
      <c r="E17368" s="30" t="s">
        <v>31884</v>
      </c>
      <c r="F17368" s="34" t="n">
        <f aca="false">IFERROR(VLOOKUP($A17368,'319'!$B:$H,7,0),0)</f>
        <v>0</v>
      </c>
      <c r="G17368" s="34" t="n">
        <f aca="false">SUMIFS('12.326ana'!$C:$C,'12.326ana'!$M:$M,redes!A17368)</f>
        <v>0</v>
      </c>
    </row>
    <row r="17369" customFormat="false" ht="14.4" hidden="true" customHeight="false" outlineLevel="0" collapsed="false">
      <c r="A17369" s="34" t="n">
        <v>37344208000138</v>
      </c>
      <c r="B17369" s="34" t="s">
        <v>31885</v>
      </c>
      <c r="C17369" s="34" t="s">
        <v>139</v>
      </c>
      <c r="E17369" s="30" t="s">
        <v>31886</v>
      </c>
      <c r="F17369" s="34" t="n">
        <f aca="false">IFERROR(VLOOKUP($A17369,'319'!$B:$H,7,0),0)</f>
        <v>0</v>
      </c>
      <c r="G17369" s="34" t="n">
        <f aca="false">SUMIFS('12.326ana'!$C:$C,'12.326ana'!$M:$M,redes!A17369)</f>
        <v>0</v>
      </c>
    </row>
    <row r="17370" customFormat="false" ht="14.4" hidden="true" customHeight="false" outlineLevel="0" collapsed="false">
      <c r="A17370" s="34" t="n">
        <v>37355185000167</v>
      </c>
      <c r="B17370" s="34" t="s">
        <v>31887</v>
      </c>
      <c r="C17370" s="34" t="s">
        <v>809</v>
      </c>
      <c r="E17370" s="30" t="s">
        <v>16065</v>
      </c>
      <c r="F17370" s="34" t="n">
        <f aca="false">IFERROR(VLOOKUP($A17370,'319'!$B:$H,7,0),0)</f>
        <v>0</v>
      </c>
      <c r="G17370" s="34" t="n">
        <f aca="false">SUMIFS('12.326ana'!$C:$C,'12.326ana'!$M:$M,redes!A17370)</f>
        <v>0</v>
      </c>
    </row>
    <row r="17371" customFormat="false" ht="14.4" hidden="true" customHeight="false" outlineLevel="0" collapsed="false">
      <c r="A17371" s="34" t="n">
        <v>37355414000143</v>
      </c>
      <c r="B17371" s="34" t="s">
        <v>31888</v>
      </c>
      <c r="C17371" s="34" t="s">
        <v>77</v>
      </c>
      <c r="E17371" s="30" t="s">
        <v>31889</v>
      </c>
      <c r="F17371" s="34" t="n">
        <f aca="false">IFERROR(VLOOKUP($A17371,'319'!$B:$H,7,0),0)</f>
        <v>0</v>
      </c>
      <c r="G17371" s="34" t="n">
        <f aca="false">SUMIFS('12.326ana'!$C:$C,'12.326ana'!$M:$M,redes!A17371)</f>
        <v>0</v>
      </c>
    </row>
    <row r="17372" customFormat="false" ht="14.4" hidden="true" customHeight="false" outlineLevel="0" collapsed="false">
      <c r="A17372" s="34" t="n">
        <v>37358281000169</v>
      </c>
      <c r="B17372" s="34" t="s">
        <v>31890</v>
      </c>
      <c r="C17372" s="34" t="s">
        <v>562</v>
      </c>
      <c r="E17372" s="30" t="s">
        <v>22491</v>
      </c>
      <c r="F17372" s="34" t="n">
        <f aca="false">IFERROR(VLOOKUP($A17372,'319'!$B:$H,7,0),0)</f>
        <v>0</v>
      </c>
      <c r="G17372" s="34" t="n">
        <f aca="false">SUMIFS('12.326ana'!$C:$C,'12.326ana'!$M:$M,redes!A17372)</f>
        <v>0</v>
      </c>
    </row>
    <row r="17373" customFormat="false" ht="14.4" hidden="true" customHeight="false" outlineLevel="0" collapsed="false">
      <c r="A17373" s="34" t="n">
        <v>37361191000127</v>
      </c>
      <c r="B17373" s="34" t="s">
        <v>31891</v>
      </c>
      <c r="C17373" s="34" t="s">
        <v>594</v>
      </c>
      <c r="E17373" s="30" t="s">
        <v>31892</v>
      </c>
      <c r="F17373" s="34" t="n">
        <f aca="false">IFERROR(VLOOKUP($A17373,'319'!$B:$H,7,0),0)</f>
        <v>0</v>
      </c>
      <c r="G17373" s="34" t="n">
        <f aca="false">SUMIFS('12.326ana'!$C:$C,'12.326ana'!$M:$M,redes!A17373)</f>
        <v>0</v>
      </c>
    </row>
    <row r="17374" customFormat="false" ht="14.4" hidden="true" customHeight="false" outlineLevel="0" collapsed="false">
      <c r="A17374" s="34" t="n">
        <v>37363191000166</v>
      </c>
      <c r="B17374" s="34" t="s">
        <v>31893</v>
      </c>
      <c r="C17374" s="34" t="s">
        <v>77</v>
      </c>
      <c r="E17374" s="30" t="s">
        <v>31893</v>
      </c>
      <c r="F17374" s="34" t="n">
        <f aca="false">IFERROR(VLOOKUP($A17374,'319'!$B:$H,7,0),0)</f>
        <v>0</v>
      </c>
      <c r="G17374" s="34" t="n">
        <f aca="false">SUMIFS('12.326ana'!$C:$C,'12.326ana'!$M:$M,redes!A17374)</f>
        <v>0</v>
      </c>
    </row>
    <row r="17375" customFormat="false" ht="14.4" hidden="true" customHeight="false" outlineLevel="0" collapsed="false">
      <c r="A17375" s="34" t="n">
        <v>37368853000190</v>
      </c>
      <c r="B17375" s="34" t="s">
        <v>31894</v>
      </c>
      <c r="C17375" s="34" t="s">
        <v>89</v>
      </c>
      <c r="E17375" s="30" t="s">
        <v>15648</v>
      </c>
      <c r="F17375" s="34" t="n">
        <f aca="false">IFERROR(VLOOKUP($A17375,'319'!$B:$H,7,0),0)</f>
        <v>0</v>
      </c>
      <c r="G17375" s="34" t="n">
        <f aca="false">SUMIFS('12.326ana'!$C:$C,'12.326ana'!$M:$M,redes!A17375)</f>
        <v>0</v>
      </c>
    </row>
    <row r="17376" customFormat="false" ht="14.4" hidden="true" customHeight="false" outlineLevel="0" collapsed="false">
      <c r="A17376" s="34" t="n">
        <v>37369307000174</v>
      </c>
      <c r="B17376" s="34" t="s">
        <v>31895</v>
      </c>
      <c r="C17376" s="34" t="s">
        <v>77</v>
      </c>
      <c r="E17376" s="30" t="s">
        <v>31896</v>
      </c>
      <c r="F17376" s="34" t="n">
        <f aca="false">IFERROR(VLOOKUP($A17376,'319'!$B:$H,7,0),0)</f>
        <v>0</v>
      </c>
      <c r="G17376" s="34" t="n">
        <f aca="false">SUMIFS('12.326ana'!$C:$C,'12.326ana'!$M:$M,redes!A17376)</f>
        <v>0</v>
      </c>
    </row>
    <row r="17377" customFormat="false" ht="14.4" hidden="true" customHeight="false" outlineLevel="0" collapsed="false">
      <c r="A17377" s="34" t="n">
        <v>37376693000121</v>
      </c>
      <c r="B17377" s="34" t="s">
        <v>31897</v>
      </c>
      <c r="C17377" s="34" t="s">
        <v>77</v>
      </c>
      <c r="E17377" s="30" t="s">
        <v>31898</v>
      </c>
      <c r="F17377" s="34" t="n">
        <f aca="false">IFERROR(VLOOKUP($A17377,'319'!$B:$H,7,0),0)</f>
        <v>0</v>
      </c>
      <c r="G17377" s="34" t="n">
        <f aca="false">SUMIFS('12.326ana'!$C:$C,'12.326ana'!$M:$M,redes!A17377)</f>
        <v>0</v>
      </c>
    </row>
    <row r="17378" customFormat="false" ht="14.4" hidden="true" customHeight="false" outlineLevel="0" collapsed="false">
      <c r="A17378" s="34" t="n">
        <v>37382267000109</v>
      </c>
      <c r="B17378" s="34" t="s">
        <v>31899</v>
      </c>
      <c r="C17378" s="34" t="s">
        <v>77</v>
      </c>
      <c r="E17378" s="30" t="s">
        <v>31900</v>
      </c>
      <c r="F17378" s="34" t="n">
        <f aca="false">IFERROR(VLOOKUP($A17378,'319'!$B:$H,7,0),0)</f>
        <v>0</v>
      </c>
      <c r="G17378" s="34" t="n">
        <f aca="false">SUMIFS('12.326ana'!$C:$C,'12.326ana'!$M:$M,redes!A17378)</f>
        <v>0</v>
      </c>
    </row>
    <row r="17379" customFormat="false" ht="14.4" hidden="true" customHeight="false" outlineLevel="0" collapsed="false">
      <c r="A17379" s="34" t="n">
        <v>37382267000281</v>
      </c>
      <c r="B17379" s="34" t="s">
        <v>31901</v>
      </c>
      <c r="C17379" s="34" t="s">
        <v>77</v>
      </c>
      <c r="E17379" s="30" t="s">
        <v>31902</v>
      </c>
      <c r="F17379" s="34" t="n">
        <f aca="false">IFERROR(VLOOKUP($A17379,'319'!$B:$H,7,0),0)</f>
        <v>0</v>
      </c>
      <c r="G17379" s="34" t="n">
        <f aca="false">SUMIFS('12.326ana'!$C:$C,'12.326ana'!$M:$M,redes!A17379)</f>
        <v>0</v>
      </c>
    </row>
    <row r="17380" customFormat="false" ht="14.4" hidden="true" customHeight="false" outlineLevel="0" collapsed="false">
      <c r="A17380" s="34" t="n">
        <v>37382267000362</v>
      </c>
      <c r="B17380" s="34" t="s">
        <v>31903</v>
      </c>
      <c r="C17380" s="34" t="s">
        <v>77</v>
      </c>
      <c r="E17380" s="30" t="s">
        <v>31904</v>
      </c>
      <c r="F17380" s="34" t="n">
        <f aca="false">IFERROR(VLOOKUP($A17380,'319'!$B:$H,7,0),0)</f>
        <v>0</v>
      </c>
      <c r="G17380" s="34" t="n">
        <f aca="false">SUMIFS('12.326ana'!$C:$C,'12.326ana'!$M:$M,redes!A17380)</f>
        <v>0</v>
      </c>
    </row>
    <row r="17381" customFormat="false" ht="14.4" hidden="true" customHeight="false" outlineLevel="0" collapsed="false">
      <c r="A17381" s="34" t="n">
        <v>37382267000443</v>
      </c>
      <c r="B17381" s="34" t="s">
        <v>31905</v>
      </c>
      <c r="C17381" s="34" t="s">
        <v>77</v>
      </c>
      <c r="E17381" s="30" t="s">
        <v>31906</v>
      </c>
      <c r="F17381" s="34" t="n">
        <f aca="false">IFERROR(VLOOKUP($A17381,'319'!$B:$H,7,0),0)</f>
        <v>0</v>
      </c>
      <c r="G17381" s="34" t="n">
        <f aca="false">SUMIFS('12.326ana'!$C:$C,'12.326ana'!$M:$M,redes!A17381)</f>
        <v>0</v>
      </c>
    </row>
    <row r="17382" customFormat="false" ht="14.4" hidden="true" customHeight="false" outlineLevel="0" collapsed="false">
      <c r="A17382" s="34" t="n">
        <v>37382739000115</v>
      </c>
      <c r="B17382" s="34" t="s">
        <v>31907</v>
      </c>
      <c r="C17382" s="34" t="s">
        <v>77</v>
      </c>
      <c r="E17382" s="30" t="s">
        <v>31908</v>
      </c>
      <c r="F17382" s="34" t="n">
        <f aca="false">IFERROR(VLOOKUP($A17382,'319'!$B:$H,7,0),0)</f>
        <v>0</v>
      </c>
      <c r="G17382" s="34" t="n">
        <f aca="false">SUMIFS('12.326ana'!$C:$C,'12.326ana'!$M:$M,redes!A17382)</f>
        <v>0</v>
      </c>
    </row>
    <row r="17383" customFormat="false" ht="14.4" hidden="true" customHeight="false" outlineLevel="0" collapsed="false">
      <c r="A17383" s="34" t="n">
        <v>37386880000196</v>
      </c>
      <c r="B17383" s="34" t="s">
        <v>31909</v>
      </c>
      <c r="C17383" s="34" t="s">
        <v>77</v>
      </c>
      <c r="E17383" s="30" t="s">
        <v>31910</v>
      </c>
      <c r="F17383" s="34" t="n">
        <f aca="false">IFERROR(VLOOKUP($A17383,'319'!$B:$H,7,0),0)</f>
        <v>0</v>
      </c>
      <c r="G17383" s="34" t="n">
        <f aca="false">SUMIFS('12.326ana'!$C:$C,'12.326ana'!$M:$M,redes!A17383)</f>
        <v>0</v>
      </c>
    </row>
    <row r="17384" customFormat="false" ht="14.4" hidden="true" customHeight="false" outlineLevel="0" collapsed="false">
      <c r="A17384" s="34" t="n">
        <v>37398754000151</v>
      </c>
      <c r="B17384" s="34" t="s">
        <v>31911</v>
      </c>
      <c r="C17384" s="34" t="s">
        <v>604</v>
      </c>
      <c r="E17384" s="30" t="s">
        <v>31912</v>
      </c>
      <c r="F17384" s="34" t="n">
        <f aca="false">IFERROR(VLOOKUP($A17384,'319'!$B:$H,7,0),0)</f>
        <v>0</v>
      </c>
      <c r="G17384" s="34" t="n">
        <f aca="false">SUMIFS('12.326ana'!$C:$C,'12.326ana'!$M:$M,redes!A17384)</f>
        <v>0</v>
      </c>
    </row>
    <row r="17385" customFormat="false" ht="14.4" hidden="true" customHeight="false" outlineLevel="0" collapsed="false">
      <c r="A17385" s="34" t="n">
        <v>37420703000189</v>
      </c>
      <c r="B17385" s="34" t="s">
        <v>31913</v>
      </c>
      <c r="C17385" s="34" t="s">
        <v>77</v>
      </c>
      <c r="E17385" s="30" t="s">
        <v>30054</v>
      </c>
      <c r="F17385" s="34" t="n">
        <f aca="false">IFERROR(VLOOKUP($A17385,'319'!$B:$H,7,0),0)</f>
        <v>0</v>
      </c>
      <c r="G17385" s="34" t="n">
        <f aca="false">SUMIFS('12.326ana'!$C:$C,'12.326ana'!$M:$M,redes!A17385)</f>
        <v>0</v>
      </c>
    </row>
    <row r="17386" customFormat="false" ht="14.4" hidden="true" customHeight="false" outlineLevel="0" collapsed="false">
      <c r="A17386" s="34" t="n">
        <v>37422083000117</v>
      </c>
      <c r="B17386" s="34" t="s">
        <v>31914</v>
      </c>
      <c r="C17386" s="34" t="s">
        <v>77</v>
      </c>
      <c r="E17386" s="30" t="s">
        <v>31915</v>
      </c>
      <c r="F17386" s="34" t="n">
        <f aca="false">IFERROR(VLOOKUP($A17386,'319'!$B:$H,7,0),0)</f>
        <v>0</v>
      </c>
      <c r="G17386" s="34" t="n">
        <f aca="false">SUMIFS('12.326ana'!$C:$C,'12.326ana'!$M:$M,redes!A17386)</f>
        <v>0</v>
      </c>
    </row>
    <row r="17387" customFormat="false" ht="14.4" hidden="true" customHeight="false" outlineLevel="0" collapsed="false">
      <c r="A17387" s="34" t="n">
        <v>37428723000104</v>
      </c>
      <c r="B17387" s="34" t="s">
        <v>31916</v>
      </c>
      <c r="C17387" s="34" t="s">
        <v>89</v>
      </c>
      <c r="E17387" s="30" t="s">
        <v>31917</v>
      </c>
      <c r="F17387" s="34" t="n">
        <f aca="false">IFERROR(VLOOKUP($A17387,'319'!$B:$H,7,0),0)</f>
        <v>0</v>
      </c>
      <c r="G17387" s="34" t="n">
        <f aca="false">SUMIFS('12.326ana'!$C:$C,'12.326ana'!$M:$M,redes!A17387)</f>
        <v>0</v>
      </c>
    </row>
    <row r="17388" customFormat="false" ht="14.4" hidden="true" customHeight="false" outlineLevel="0" collapsed="false">
      <c r="A17388" s="34" t="n">
        <v>37448772000109</v>
      </c>
      <c r="B17388" s="34" t="s">
        <v>31918</v>
      </c>
      <c r="C17388" s="34" t="s">
        <v>77</v>
      </c>
      <c r="E17388" s="30" t="s">
        <v>31919</v>
      </c>
      <c r="F17388" s="34" t="n">
        <f aca="false">IFERROR(VLOOKUP($A17388,'319'!$B:$H,7,0),0)</f>
        <v>0</v>
      </c>
      <c r="G17388" s="34" t="n">
        <f aca="false">SUMIFS('12.326ana'!$C:$C,'12.326ana'!$M:$M,redes!A17388)</f>
        <v>0</v>
      </c>
    </row>
    <row r="17389" customFormat="false" ht="14.4" hidden="true" customHeight="false" outlineLevel="0" collapsed="false">
      <c r="A17389" s="34" t="n">
        <v>37451344000127</v>
      </c>
      <c r="B17389" s="34" t="s">
        <v>31920</v>
      </c>
      <c r="C17389" s="34" t="s">
        <v>103</v>
      </c>
      <c r="E17389" s="30" t="s">
        <v>31920</v>
      </c>
      <c r="F17389" s="34" t="n">
        <f aca="false">IFERROR(VLOOKUP($A17389,'319'!$B:$H,7,0),0)</f>
        <v>0</v>
      </c>
      <c r="G17389" s="34" t="n">
        <f aca="false">SUMIFS('12.326ana'!$C:$C,'12.326ana'!$M:$M,redes!A17389)</f>
        <v>0</v>
      </c>
    </row>
    <row r="17390" customFormat="false" ht="14.4" hidden="true" customHeight="false" outlineLevel="0" collapsed="false">
      <c r="A17390" s="34" t="n">
        <v>37475379000104</v>
      </c>
      <c r="B17390" s="34" t="s">
        <v>31921</v>
      </c>
      <c r="C17390" s="34" t="s">
        <v>299</v>
      </c>
      <c r="E17390" s="30" t="s">
        <v>31922</v>
      </c>
      <c r="F17390" s="34" t="n">
        <f aca="false">IFERROR(VLOOKUP($A17390,'319'!$B:$H,7,0),0)</f>
        <v>0</v>
      </c>
      <c r="G17390" s="34" t="n">
        <f aca="false">SUMIFS('12.326ana'!$C:$C,'12.326ana'!$M:$M,redes!A17390)</f>
        <v>0</v>
      </c>
    </row>
    <row r="17391" customFormat="false" ht="14.4" hidden="true" customHeight="false" outlineLevel="0" collapsed="false">
      <c r="A17391" s="34" t="n">
        <v>37478996000155</v>
      </c>
      <c r="B17391" s="34" t="s">
        <v>31923</v>
      </c>
      <c r="C17391" s="34" t="s">
        <v>351</v>
      </c>
      <c r="E17391" s="30" t="s">
        <v>31924</v>
      </c>
      <c r="F17391" s="34" t="n">
        <f aca="false">IFERROR(VLOOKUP($A17391,'319'!$B:$H,7,0),0)</f>
        <v>105.66</v>
      </c>
      <c r="G17391" s="34" t="n">
        <f aca="false">SUMIFS('12.326ana'!$C:$C,'12.326ana'!$M:$M,redes!A17391)</f>
        <v>0</v>
      </c>
    </row>
    <row r="17392" customFormat="false" ht="14.4" hidden="true" customHeight="false" outlineLevel="0" collapsed="false">
      <c r="A17392" s="34" t="n">
        <v>37495262000184</v>
      </c>
      <c r="B17392" s="34" t="s">
        <v>31925</v>
      </c>
      <c r="C17392" s="34" t="s">
        <v>103</v>
      </c>
      <c r="E17392" s="30" t="s">
        <v>31926</v>
      </c>
      <c r="F17392" s="34" t="n">
        <f aca="false">IFERROR(VLOOKUP($A17392,'319'!$B:$H,7,0),0)</f>
        <v>0</v>
      </c>
      <c r="G17392" s="34" t="n">
        <f aca="false">SUMIFS('12.326ana'!$C:$C,'12.326ana'!$M:$M,redes!A17392)</f>
        <v>0</v>
      </c>
    </row>
    <row r="17393" customFormat="false" ht="14.4" hidden="true" customHeight="false" outlineLevel="0" collapsed="false">
      <c r="A17393" s="34" t="n">
        <v>37527561000153</v>
      </c>
      <c r="B17393" s="34" t="s">
        <v>31927</v>
      </c>
      <c r="C17393" s="34" t="s">
        <v>89</v>
      </c>
      <c r="E17393" s="30" t="s">
        <v>31928</v>
      </c>
      <c r="F17393" s="34" t="n">
        <f aca="false">IFERROR(VLOOKUP($A17393,'319'!$B:$H,7,0),0)</f>
        <v>0</v>
      </c>
      <c r="G17393" s="34" t="n">
        <f aca="false">SUMIFS('12.326ana'!$C:$C,'12.326ana'!$M:$M,redes!A17393)</f>
        <v>0</v>
      </c>
    </row>
    <row r="17394" customFormat="false" ht="14.4" hidden="true" customHeight="false" outlineLevel="0" collapsed="false">
      <c r="A17394" s="34" t="n">
        <v>37527793000101</v>
      </c>
      <c r="B17394" s="34" t="s">
        <v>31929</v>
      </c>
      <c r="C17394" s="34" t="s">
        <v>967</v>
      </c>
      <c r="E17394" s="30" t="s">
        <v>31930</v>
      </c>
      <c r="F17394" s="34" t="n">
        <f aca="false">IFERROR(VLOOKUP($A17394,'319'!$B:$H,7,0),0)</f>
        <v>0</v>
      </c>
      <c r="G17394" s="34" t="n">
        <f aca="false">SUMIFS('12.326ana'!$C:$C,'12.326ana'!$M:$M,redes!A17394)</f>
        <v>0</v>
      </c>
    </row>
    <row r="17395" customFormat="false" ht="14.4" hidden="true" customHeight="false" outlineLevel="0" collapsed="false">
      <c r="A17395" s="34" t="n">
        <v>37527868000154</v>
      </c>
      <c r="B17395" s="34" t="s">
        <v>31931</v>
      </c>
      <c r="C17395" s="34" t="s">
        <v>77</v>
      </c>
      <c r="D17395" s="34" t="s">
        <v>17415</v>
      </c>
      <c r="E17395" s="30" t="s">
        <v>31932</v>
      </c>
      <c r="F17395" s="34" t="n">
        <f aca="false">IFERROR(VLOOKUP($A17395,'319'!$B:$H,7,0),0)</f>
        <v>0</v>
      </c>
      <c r="G17395" s="34" t="n">
        <f aca="false">SUMIFS('12.326ana'!$C:$C,'12.326ana'!$M:$M,redes!A17395)</f>
        <v>0</v>
      </c>
    </row>
    <row r="17396" customFormat="false" ht="14.4" hidden="true" customHeight="false" outlineLevel="0" collapsed="false">
      <c r="A17396" s="34" t="n">
        <v>37527868000235</v>
      </c>
      <c r="B17396" s="34" t="s">
        <v>31933</v>
      </c>
      <c r="C17396" s="34" t="s">
        <v>77</v>
      </c>
      <c r="D17396" s="34" t="s">
        <v>17415</v>
      </c>
      <c r="E17396" s="30" t="s">
        <v>31934</v>
      </c>
      <c r="F17396" s="34" t="n">
        <f aca="false">IFERROR(VLOOKUP($A17396,'319'!$B:$H,7,0),0)</f>
        <v>0</v>
      </c>
      <c r="G17396" s="34" t="n">
        <f aca="false">SUMIFS('12.326ana'!$C:$C,'12.326ana'!$M:$M,redes!A17396)</f>
        <v>0</v>
      </c>
    </row>
    <row r="17397" customFormat="false" ht="14.4" hidden="true" customHeight="false" outlineLevel="0" collapsed="false">
      <c r="A17397" s="34" t="n">
        <v>37527868000316</v>
      </c>
      <c r="B17397" s="34" t="s">
        <v>31933</v>
      </c>
      <c r="C17397" s="34" t="s">
        <v>77</v>
      </c>
      <c r="D17397" s="34" t="s">
        <v>17415</v>
      </c>
      <c r="E17397" s="30" t="s">
        <v>31935</v>
      </c>
      <c r="F17397" s="34" t="n">
        <f aca="false">IFERROR(VLOOKUP($A17397,'319'!$B:$H,7,0),0)</f>
        <v>0</v>
      </c>
      <c r="G17397" s="34" t="n">
        <f aca="false">SUMIFS('12.326ana'!$C:$C,'12.326ana'!$M:$M,redes!A17397)</f>
        <v>0</v>
      </c>
    </row>
    <row r="17398" customFormat="false" ht="14.4" hidden="true" customHeight="false" outlineLevel="0" collapsed="false">
      <c r="A17398" s="34" t="n">
        <v>37527868000405</v>
      </c>
      <c r="B17398" s="34" t="s">
        <v>31933</v>
      </c>
      <c r="C17398" s="34" t="s">
        <v>77</v>
      </c>
      <c r="D17398" s="34" t="s">
        <v>17415</v>
      </c>
      <c r="E17398" s="30" t="s">
        <v>31936</v>
      </c>
      <c r="F17398" s="34" t="n">
        <f aca="false">IFERROR(VLOOKUP($A17398,'319'!$B:$H,7,0),0)</f>
        <v>0</v>
      </c>
      <c r="G17398" s="34" t="n">
        <f aca="false">SUMIFS('12.326ana'!$C:$C,'12.326ana'!$M:$M,redes!A17398)</f>
        <v>0</v>
      </c>
    </row>
    <row r="17399" customFormat="false" ht="14.4" hidden="true" customHeight="false" outlineLevel="0" collapsed="false">
      <c r="A17399" s="34" t="n">
        <v>37527868000588</v>
      </c>
      <c r="B17399" s="34" t="s">
        <v>31933</v>
      </c>
      <c r="C17399" s="34" t="s">
        <v>77</v>
      </c>
      <c r="D17399" s="34" t="s">
        <v>17415</v>
      </c>
      <c r="E17399" s="30" t="s">
        <v>31937</v>
      </c>
      <c r="F17399" s="34" t="n">
        <f aca="false">IFERROR(VLOOKUP($A17399,'319'!$B:$H,7,0),0)</f>
        <v>0</v>
      </c>
      <c r="G17399" s="34" t="n">
        <f aca="false">SUMIFS('12.326ana'!$C:$C,'12.326ana'!$M:$M,redes!A17399)</f>
        <v>0</v>
      </c>
    </row>
    <row r="17400" customFormat="false" ht="14.4" hidden="true" customHeight="false" outlineLevel="0" collapsed="false">
      <c r="A17400" s="34" t="n">
        <v>37527868000669</v>
      </c>
      <c r="B17400" s="34" t="s">
        <v>31933</v>
      </c>
      <c r="C17400" s="34" t="s">
        <v>77</v>
      </c>
      <c r="D17400" s="34" t="s">
        <v>17415</v>
      </c>
      <c r="E17400" s="30" t="s">
        <v>31938</v>
      </c>
      <c r="F17400" s="34" t="n">
        <f aca="false">IFERROR(VLOOKUP($A17400,'319'!$B:$H,7,0),0)</f>
        <v>0</v>
      </c>
      <c r="G17400" s="34" t="n">
        <f aca="false">SUMIFS('12.326ana'!$C:$C,'12.326ana'!$M:$M,redes!A17400)</f>
        <v>0</v>
      </c>
    </row>
    <row r="17401" customFormat="false" ht="14.4" hidden="true" customHeight="false" outlineLevel="0" collapsed="false">
      <c r="A17401" s="34" t="n">
        <v>37528395000290</v>
      </c>
      <c r="B17401" s="34" t="s">
        <v>31939</v>
      </c>
      <c r="C17401" s="34" t="s">
        <v>103</v>
      </c>
      <c r="E17401" s="30" t="s">
        <v>31940</v>
      </c>
      <c r="F17401" s="34" t="n">
        <f aca="false">IFERROR(VLOOKUP($A17401,'319'!$B:$H,7,0),0)</f>
        <v>0</v>
      </c>
      <c r="G17401" s="34" t="n">
        <f aca="false">SUMIFS('12.326ana'!$C:$C,'12.326ana'!$M:$M,redes!A17401)</f>
        <v>0</v>
      </c>
    </row>
    <row r="17402" customFormat="false" ht="14.4" hidden="true" customHeight="false" outlineLevel="0" collapsed="false">
      <c r="A17402" s="34" t="n">
        <v>37528643000112</v>
      </c>
      <c r="B17402" s="34" t="s">
        <v>31941</v>
      </c>
      <c r="C17402" s="34" t="s">
        <v>77</v>
      </c>
      <c r="E17402" s="30" t="s">
        <v>6831</v>
      </c>
      <c r="F17402" s="34" t="n">
        <f aca="false">IFERROR(VLOOKUP($A17402,'319'!$B:$H,7,0),0)</f>
        <v>0</v>
      </c>
      <c r="G17402" s="34" t="n">
        <f aca="false">SUMIFS('12.326ana'!$C:$C,'12.326ana'!$M:$M,redes!A17402)</f>
        <v>0</v>
      </c>
    </row>
    <row r="17403" customFormat="false" ht="14.4" hidden="true" customHeight="false" outlineLevel="0" collapsed="false">
      <c r="A17403" s="34" t="n">
        <v>37528981000154</v>
      </c>
      <c r="B17403" s="34" t="s">
        <v>31942</v>
      </c>
      <c r="C17403" s="34" t="s">
        <v>842</v>
      </c>
      <c r="E17403" s="30" t="s">
        <v>31943</v>
      </c>
      <c r="F17403" s="34" t="n">
        <f aca="false">IFERROR(VLOOKUP($A17403,'319'!$B:$H,7,0),0)</f>
        <v>0</v>
      </c>
      <c r="G17403" s="34" t="n">
        <f aca="false">SUMIFS('12.326ana'!$C:$C,'12.326ana'!$M:$M,redes!A17403)</f>
        <v>0</v>
      </c>
    </row>
    <row r="17404" customFormat="false" ht="14.4" hidden="true" customHeight="false" outlineLevel="0" collapsed="false">
      <c r="A17404" s="34" t="n">
        <v>37529005000116</v>
      </c>
      <c r="B17404" s="34" t="s">
        <v>31944</v>
      </c>
      <c r="C17404" s="34" t="s">
        <v>77</v>
      </c>
      <c r="E17404" s="30" t="s">
        <v>31945</v>
      </c>
      <c r="F17404" s="34" t="n">
        <f aca="false">IFERROR(VLOOKUP($A17404,'319'!$B:$H,7,0),0)</f>
        <v>0</v>
      </c>
      <c r="G17404" s="34" t="n">
        <f aca="false">SUMIFS('12.326ana'!$C:$C,'12.326ana'!$M:$M,redes!A17404)</f>
        <v>0</v>
      </c>
    </row>
    <row r="17405" customFormat="false" ht="14.4" hidden="true" customHeight="false" outlineLevel="0" collapsed="false">
      <c r="A17405" s="34" t="n">
        <v>37529203000180</v>
      </c>
      <c r="B17405" s="34" t="s">
        <v>31946</v>
      </c>
      <c r="C17405" s="34" t="s">
        <v>77</v>
      </c>
      <c r="E17405" s="30" t="s">
        <v>31947</v>
      </c>
      <c r="F17405" s="34" t="n">
        <f aca="false">IFERROR(VLOOKUP($A17405,'319'!$B:$H,7,0),0)</f>
        <v>0</v>
      </c>
      <c r="G17405" s="34" t="n">
        <f aca="false">SUMIFS('12.326ana'!$C:$C,'12.326ana'!$M:$M,redes!A17405)</f>
        <v>0</v>
      </c>
    </row>
    <row r="17406" customFormat="false" ht="14.4" hidden="true" customHeight="false" outlineLevel="0" collapsed="false">
      <c r="A17406" s="34" t="n">
        <v>37529781000116</v>
      </c>
      <c r="B17406" s="34" t="s">
        <v>31948</v>
      </c>
      <c r="C17406" s="34" t="s">
        <v>77</v>
      </c>
      <c r="E17406" s="30" t="s">
        <v>7356</v>
      </c>
      <c r="F17406" s="34" t="n">
        <f aca="false">IFERROR(VLOOKUP($A17406,'319'!$B:$H,7,0),0)</f>
        <v>0</v>
      </c>
      <c r="G17406" s="34" t="n">
        <f aca="false">SUMIFS('12.326ana'!$C:$C,'12.326ana'!$M:$M,redes!A17406)</f>
        <v>0</v>
      </c>
    </row>
    <row r="17407" customFormat="false" ht="14.4" hidden="true" customHeight="false" outlineLevel="0" collapsed="false">
      <c r="A17407" s="34" t="n">
        <v>37529955000140</v>
      </c>
      <c r="B17407" s="34" t="s">
        <v>31949</v>
      </c>
      <c r="C17407" s="34" t="s">
        <v>77</v>
      </c>
      <c r="E17407" s="30" t="s">
        <v>31950</v>
      </c>
      <c r="F17407" s="34" t="n">
        <f aca="false">IFERROR(VLOOKUP($A17407,'319'!$B:$H,7,0),0)</f>
        <v>0</v>
      </c>
      <c r="G17407" s="34" t="n">
        <f aca="false">SUMIFS('12.326ana'!$C:$C,'12.326ana'!$M:$M,redes!A17407)</f>
        <v>0</v>
      </c>
    </row>
    <row r="17408" customFormat="false" ht="14.4" hidden="true" customHeight="false" outlineLevel="0" collapsed="false">
      <c r="A17408" s="34" t="n">
        <v>37530268000145</v>
      </c>
      <c r="B17408" s="34" t="s">
        <v>31951</v>
      </c>
      <c r="C17408" s="34" t="s">
        <v>77</v>
      </c>
      <c r="E17408" s="30" t="s">
        <v>31952</v>
      </c>
      <c r="F17408" s="34" t="n">
        <f aca="false">IFERROR(VLOOKUP($A17408,'319'!$B:$H,7,0),0)</f>
        <v>0</v>
      </c>
      <c r="G17408" s="34" t="n">
        <f aca="false">SUMIFS('12.326ana'!$C:$C,'12.326ana'!$M:$M,redes!A17408)</f>
        <v>0</v>
      </c>
    </row>
    <row r="17409" customFormat="false" ht="14.4" hidden="true" customHeight="false" outlineLevel="0" collapsed="false">
      <c r="A17409" s="34" t="n">
        <v>37531316000110</v>
      </c>
      <c r="B17409" s="34" t="s">
        <v>31953</v>
      </c>
      <c r="C17409" s="34" t="s">
        <v>77</v>
      </c>
      <c r="E17409" s="30" t="s">
        <v>3976</v>
      </c>
      <c r="F17409" s="34" t="n">
        <f aca="false">IFERROR(VLOOKUP($A17409,'319'!$B:$H,7,0),0)</f>
        <v>0</v>
      </c>
      <c r="G17409" s="34" t="n">
        <f aca="false">SUMIFS('12.326ana'!$C:$C,'12.326ana'!$M:$M,redes!A17409)</f>
        <v>0</v>
      </c>
    </row>
    <row r="17410" customFormat="false" ht="14.4" hidden="true" customHeight="false" outlineLevel="0" collapsed="false">
      <c r="A17410" s="34" t="n">
        <v>37531506000137</v>
      </c>
      <c r="B17410" s="34" t="s">
        <v>31954</v>
      </c>
      <c r="C17410" s="34" t="s">
        <v>77</v>
      </c>
      <c r="E17410" s="30" t="s">
        <v>31955</v>
      </c>
      <c r="F17410" s="34" t="n">
        <f aca="false">IFERROR(VLOOKUP($A17410,'319'!$B:$H,7,0),0)</f>
        <v>0</v>
      </c>
      <c r="G17410" s="34" t="n">
        <f aca="false">SUMIFS('12.326ana'!$C:$C,'12.326ana'!$M:$M,redes!A17410)</f>
        <v>0</v>
      </c>
    </row>
    <row r="17411" customFormat="false" ht="14.4" hidden="true" customHeight="false" outlineLevel="0" collapsed="false">
      <c r="A17411" s="34" t="n">
        <v>37532249000158</v>
      </c>
      <c r="B17411" s="34" t="s">
        <v>31956</v>
      </c>
      <c r="C17411" s="34" t="s">
        <v>351</v>
      </c>
      <c r="E17411" s="30" t="s">
        <v>344</v>
      </c>
      <c r="F17411" s="34" t="n">
        <f aca="false">IFERROR(VLOOKUP($A17411,'319'!$B:$H,7,0),0)</f>
        <v>13456.17</v>
      </c>
      <c r="G17411" s="34" t="n">
        <f aca="false">SUMIFS('12.326ana'!$C:$C,'12.326ana'!$M:$M,redes!A17411)</f>
        <v>1273.03</v>
      </c>
    </row>
    <row r="17412" customFormat="false" ht="14.4" hidden="true" customHeight="false" outlineLevel="0" collapsed="false">
      <c r="A17412" s="34" t="n">
        <v>37533213000199</v>
      </c>
      <c r="B17412" s="34" t="s">
        <v>31957</v>
      </c>
      <c r="C17412" s="34" t="s">
        <v>881</v>
      </c>
      <c r="E17412" s="30" t="s">
        <v>31958</v>
      </c>
      <c r="F17412" s="34" t="n">
        <f aca="false">IFERROR(VLOOKUP($A17412,'319'!$B:$H,7,0),0)</f>
        <v>0</v>
      </c>
      <c r="G17412" s="34" t="n">
        <f aca="false">SUMIFS('12.326ana'!$C:$C,'12.326ana'!$M:$M,redes!A17412)</f>
        <v>0</v>
      </c>
    </row>
    <row r="17413" customFormat="false" ht="14.4" hidden="true" customHeight="false" outlineLevel="0" collapsed="false">
      <c r="A17413" s="34" t="n">
        <v>37533239000137</v>
      </c>
      <c r="B17413" s="34" t="s">
        <v>5724</v>
      </c>
      <c r="C17413" s="34" t="s">
        <v>139</v>
      </c>
      <c r="E17413" s="30" t="s">
        <v>31959</v>
      </c>
      <c r="F17413" s="34" t="n">
        <f aca="false">IFERROR(VLOOKUP($A17413,'319'!$B:$H,7,0),0)</f>
        <v>0</v>
      </c>
      <c r="G17413" s="34" t="n">
        <f aca="false">SUMIFS('12.326ana'!$C:$C,'12.326ana'!$M:$M,redes!A17413)</f>
        <v>0</v>
      </c>
    </row>
    <row r="17414" customFormat="false" ht="14.4" hidden="true" customHeight="false" outlineLevel="0" collapsed="false">
      <c r="A17414" s="34" t="n">
        <v>37533445000147</v>
      </c>
      <c r="B17414" s="34" t="s">
        <v>930</v>
      </c>
      <c r="C17414" s="34" t="s">
        <v>77</v>
      </c>
      <c r="E17414" s="30" t="s">
        <v>8192</v>
      </c>
      <c r="F17414" s="34" t="n">
        <f aca="false">IFERROR(VLOOKUP($A17414,'319'!$B:$H,7,0),0)</f>
        <v>1253.42</v>
      </c>
      <c r="G17414" s="34" t="n">
        <f aca="false">SUMIFS('12.326ana'!$C:$C,'12.326ana'!$M:$M,redes!A17414)</f>
        <v>0</v>
      </c>
    </row>
    <row r="17415" customFormat="false" ht="14.4" hidden="true" customHeight="false" outlineLevel="0" collapsed="false">
      <c r="A17415" s="34" t="n">
        <v>37533742000192</v>
      </c>
      <c r="B17415" s="34" t="s">
        <v>31960</v>
      </c>
      <c r="C17415" s="34" t="s">
        <v>77</v>
      </c>
      <c r="E17415" s="30" t="s">
        <v>31961</v>
      </c>
      <c r="F17415" s="34" t="n">
        <f aca="false">IFERROR(VLOOKUP($A17415,'319'!$B:$H,7,0),0)</f>
        <v>0</v>
      </c>
      <c r="G17415" s="34" t="n">
        <f aca="false">SUMIFS('12.326ana'!$C:$C,'12.326ana'!$M:$M,redes!A17415)</f>
        <v>0</v>
      </c>
    </row>
    <row r="17416" customFormat="false" ht="14.4" hidden="true" customHeight="false" outlineLevel="0" collapsed="false">
      <c r="A17416" s="34" t="n">
        <v>37533940000156</v>
      </c>
      <c r="B17416" s="34" t="s">
        <v>31962</v>
      </c>
      <c r="C17416" s="34" t="s">
        <v>1272</v>
      </c>
      <c r="E17416" s="30" t="s">
        <v>31963</v>
      </c>
      <c r="F17416" s="34" t="n">
        <f aca="false">IFERROR(VLOOKUP($A17416,'319'!$B:$H,7,0),0)</f>
        <v>0</v>
      </c>
      <c r="G17416" s="34" t="n">
        <f aca="false">SUMIFS('12.326ana'!$C:$C,'12.326ana'!$M:$M,redes!A17416)</f>
        <v>0</v>
      </c>
    </row>
    <row r="17417" customFormat="false" ht="14.4" hidden="true" customHeight="false" outlineLevel="0" collapsed="false">
      <c r="A17417" s="34" t="n">
        <v>37534179000177</v>
      </c>
      <c r="B17417" s="34" t="s">
        <v>31964</v>
      </c>
      <c r="C17417" s="34" t="s">
        <v>463</v>
      </c>
      <c r="E17417" s="30" t="s">
        <v>31965</v>
      </c>
      <c r="F17417" s="34" t="n">
        <f aca="false">IFERROR(VLOOKUP($A17417,'319'!$B:$H,7,0),0)</f>
        <v>0</v>
      </c>
      <c r="G17417" s="34" t="n">
        <f aca="false">SUMIFS('12.326ana'!$C:$C,'12.326ana'!$M:$M,redes!A17417)</f>
        <v>0</v>
      </c>
    </row>
    <row r="17418" customFormat="false" ht="14.4" hidden="true" customHeight="false" outlineLevel="0" collapsed="false">
      <c r="A17418" s="34" t="n">
        <v>37534187000113</v>
      </c>
      <c r="B17418" s="34" t="s">
        <v>1557</v>
      </c>
      <c r="C17418" s="34" t="s">
        <v>463</v>
      </c>
      <c r="E17418" s="30" t="s">
        <v>31966</v>
      </c>
      <c r="F17418" s="34" t="n">
        <f aca="false">IFERROR(VLOOKUP($A17418,'319'!$B:$H,7,0),0)</f>
        <v>105.78</v>
      </c>
      <c r="G17418" s="34" t="n">
        <f aca="false">SUMIFS('12.326ana'!$C:$C,'12.326ana'!$M:$M,redes!A17418)</f>
        <v>0</v>
      </c>
    </row>
    <row r="17419" customFormat="false" ht="14.4" hidden="true" customHeight="false" outlineLevel="0" collapsed="false">
      <c r="A17419" s="34" t="n">
        <v>37534286000103</v>
      </c>
      <c r="B17419" s="34" t="s">
        <v>31967</v>
      </c>
      <c r="C17419" s="34" t="s">
        <v>77</v>
      </c>
      <c r="E17419" s="30" t="s">
        <v>6526</v>
      </c>
      <c r="F17419" s="34" t="n">
        <f aca="false">IFERROR(VLOOKUP($A17419,'319'!$B:$H,7,0),0)</f>
        <v>0</v>
      </c>
      <c r="G17419" s="34" t="n">
        <f aca="false">SUMIFS('12.326ana'!$C:$C,'12.326ana'!$M:$M,redes!A17419)</f>
        <v>0</v>
      </c>
    </row>
    <row r="17420" customFormat="false" ht="14.4" hidden="true" customHeight="false" outlineLevel="0" collapsed="false">
      <c r="A17420" s="34" t="n">
        <v>37534815000160</v>
      </c>
      <c r="B17420" s="34" t="s">
        <v>31968</v>
      </c>
      <c r="C17420" s="34" t="s">
        <v>77</v>
      </c>
      <c r="E17420" s="30" t="s">
        <v>31969</v>
      </c>
      <c r="F17420" s="34" t="n">
        <f aca="false">IFERROR(VLOOKUP($A17420,'319'!$B:$H,7,0),0)</f>
        <v>0</v>
      </c>
      <c r="G17420" s="34" t="n">
        <f aca="false">SUMIFS('12.326ana'!$C:$C,'12.326ana'!$M:$M,redes!A17420)</f>
        <v>0</v>
      </c>
    </row>
    <row r="17421" customFormat="false" ht="14.4" hidden="true" customHeight="false" outlineLevel="0" collapsed="false">
      <c r="A17421" s="34" t="n">
        <v>37535028000133</v>
      </c>
      <c r="B17421" s="34" t="s">
        <v>31970</v>
      </c>
      <c r="C17421" s="34" t="s">
        <v>935</v>
      </c>
      <c r="E17421" s="30" t="s">
        <v>31971</v>
      </c>
      <c r="F17421" s="34" t="n">
        <f aca="false">IFERROR(VLOOKUP($A17421,'319'!$B:$H,7,0),0)</f>
        <v>0</v>
      </c>
      <c r="G17421" s="34" t="n">
        <f aca="false">SUMIFS('12.326ana'!$C:$C,'12.326ana'!$M:$M,redes!A17421)</f>
        <v>0</v>
      </c>
    </row>
    <row r="17422" customFormat="false" ht="14.4" hidden="true" customHeight="false" outlineLevel="0" collapsed="false">
      <c r="A17422" s="34" t="n">
        <v>37535556000192</v>
      </c>
      <c r="B17422" s="34" t="s">
        <v>31972</v>
      </c>
      <c r="C17422" s="34" t="s">
        <v>3594</v>
      </c>
      <c r="E17422" s="30" t="s">
        <v>31973</v>
      </c>
      <c r="F17422" s="34" t="n">
        <f aca="false">IFERROR(VLOOKUP($A17422,'319'!$B:$H,7,0),0)</f>
        <v>0</v>
      </c>
      <c r="G17422" s="34" t="n">
        <f aca="false">SUMIFS('12.326ana'!$C:$C,'12.326ana'!$M:$M,redes!A17422)</f>
        <v>0</v>
      </c>
    </row>
    <row r="17423" customFormat="false" ht="14.4" hidden="true" customHeight="false" outlineLevel="0" collapsed="false">
      <c r="A17423" s="34" t="n">
        <v>37535614000188</v>
      </c>
      <c r="B17423" s="34" t="s">
        <v>31974</v>
      </c>
      <c r="C17423" s="34" t="s">
        <v>1341</v>
      </c>
      <c r="E17423" s="30" t="s">
        <v>31975</v>
      </c>
      <c r="F17423" s="34" t="n">
        <f aca="false">IFERROR(VLOOKUP($A17423,'319'!$B:$H,7,0),0)</f>
        <v>0</v>
      </c>
      <c r="G17423" s="34" t="n">
        <f aca="false">SUMIFS('12.326ana'!$C:$C,'12.326ana'!$M:$M,redes!A17423)</f>
        <v>0</v>
      </c>
    </row>
    <row r="17424" customFormat="false" ht="14.4" hidden="true" customHeight="false" outlineLevel="0" collapsed="false">
      <c r="A17424" s="34" t="n">
        <v>37535788000140</v>
      </c>
      <c r="B17424" s="34" t="s">
        <v>31976</v>
      </c>
      <c r="C17424" s="34" t="s">
        <v>954</v>
      </c>
      <c r="E17424" s="30" t="s">
        <v>1832</v>
      </c>
      <c r="F17424" s="34" t="n">
        <f aca="false">IFERROR(VLOOKUP($A17424,'319'!$B:$H,7,0),0)</f>
        <v>0</v>
      </c>
      <c r="G17424" s="34" t="n">
        <f aca="false">SUMIFS('12.326ana'!$C:$C,'12.326ana'!$M:$M,redes!A17424)</f>
        <v>0</v>
      </c>
    </row>
    <row r="17425" customFormat="false" ht="14.4" hidden="true" customHeight="false" outlineLevel="0" collapsed="false">
      <c r="A17425" s="34" t="n">
        <v>37535986000104</v>
      </c>
      <c r="B17425" s="34" t="s">
        <v>31977</v>
      </c>
      <c r="C17425" s="34" t="s">
        <v>77</v>
      </c>
      <c r="E17425" s="30" t="s">
        <v>31978</v>
      </c>
      <c r="F17425" s="34" t="n">
        <f aca="false">IFERROR(VLOOKUP($A17425,'319'!$B:$H,7,0),0)</f>
        <v>0</v>
      </c>
      <c r="G17425" s="34" t="n">
        <f aca="false">SUMIFS('12.326ana'!$C:$C,'12.326ana'!$M:$M,redes!A17425)</f>
        <v>0</v>
      </c>
    </row>
    <row r="17426" customFormat="false" ht="14.4" hidden="true" customHeight="false" outlineLevel="0" collapsed="false">
      <c r="A17426" s="34" t="n">
        <v>37536232000179</v>
      </c>
      <c r="B17426" s="34" t="s">
        <v>31979</v>
      </c>
      <c r="C17426" s="34" t="s">
        <v>7250</v>
      </c>
      <c r="E17426" s="30" t="s">
        <v>31980</v>
      </c>
      <c r="F17426" s="34" t="n">
        <f aca="false">IFERROR(VLOOKUP($A17426,'319'!$B:$H,7,0),0)</f>
        <v>0</v>
      </c>
      <c r="G17426" s="34" t="n">
        <f aca="false">SUMIFS('12.326ana'!$C:$C,'12.326ana'!$M:$M,redes!A17426)</f>
        <v>0</v>
      </c>
    </row>
    <row r="17427" customFormat="false" ht="14.4" hidden="true" customHeight="false" outlineLevel="0" collapsed="false">
      <c r="A17427" s="34" t="n">
        <v>37536505000185</v>
      </c>
      <c r="B17427" s="34" t="s">
        <v>31981</v>
      </c>
      <c r="C17427" s="34" t="s">
        <v>139</v>
      </c>
      <c r="E17427" s="30" t="s">
        <v>31982</v>
      </c>
      <c r="F17427" s="34" t="n">
        <f aca="false">IFERROR(VLOOKUP($A17427,'319'!$B:$H,7,0),0)</f>
        <v>0</v>
      </c>
      <c r="G17427" s="34" t="n">
        <f aca="false">SUMIFS('12.326ana'!$C:$C,'12.326ana'!$M:$M,redes!A17427)</f>
        <v>0</v>
      </c>
    </row>
    <row r="17428" customFormat="false" ht="14.4" hidden="true" customHeight="false" outlineLevel="0" collapsed="false">
      <c r="A17428" s="34" t="n">
        <v>37536547000116</v>
      </c>
      <c r="B17428" s="34" t="s">
        <v>31983</v>
      </c>
      <c r="C17428" s="34" t="s">
        <v>706</v>
      </c>
      <c r="E17428" s="30" t="s">
        <v>31984</v>
      </c>
      <c r="F17428" s="34" t="n">
        <f aca="false">IFERROR(VLOOKUP($A17428,'319'!$B:$H,7,0),0)</f>
        <v>0</v>
      </c>
      <c r="G17428" s="34" t="n">
        <f aca="false">SUMIFS('12.326ana'!$C:$C,'12.326ana'!$M:$M,redes!A17428)</f>
        <v>0</v>
      </c>
    </row>
    <row r="17429" customFormat="false" ht="14.4" hidden="true" customHeight="false" outlineLevel="0" collapsed="false">
      <c r="A17429" s="34" t="n">
        <v>37537909000274</v>
      </c>
      <c r="B17429" s="34" t="s">
        <v>7846</v>
      </c>
      <c r="C17429" s="34" t="s">
        <v>4139</v>
      </c>
      <c r="E17429" s="30" t="s">
        <v>7847</v>
      </c>
      <c r="F17429" s="34" t="n">
        <f aca="false">IFERROR(VLOOKUP($A17429,'319'!$B:$H,7,0),0)</f>
        <v>0</v>
      </c>
      <c r="G17429" s="34" t="n">
        <f aca="false">SUMIFS('12.326ana'!$C:$C,'12.326ana'!$M:$M,redes!A17429)</f>
        <v>0</v>
      </c>
    </row>
    <row r="17430" customFormat="false" ht="14.4" hidden="true" customHeight="false" outlineLevel="0" collapsed="false">
      <c r="A17430" s="34" t="n">
        <v>37537974000119</v>
      </c>
      <c r="B17430" s="34" t="s">
        <v>31985</v>
      </c>
      <c r="C17430" s="34" t="s">
        <v>979</v>
      </c>
      <c r="E17430" s="30" t="s">
        <v>14209</v>
      </c>
      <c r="F17430" s="34" t="n">
        <f aca="false">IFERROR(VLOOKUP($A17430,'319'!$B:$H,7,0),0)</f>
        <v>0</v>
      </c>
      <c r="G17430" s="34" t="n">
        <f aca="false">SUMIFS('12.326ana'!$C:$C,'12.326ana'!$M:$M,redes!A17430)</f>
        <v>0</v>
      </c>
    </row>
    <row r="17431" customFormat="false" ht="14.4" hidden="true" customHeight="false" outlineLevel="0" collapsed="false">
      <c r="A17431" s="34" t="n">
        <v>37538733000194</v>
      </c>
      <c r="B17431" s="34" t="s">
        <v>31986</v>
      </c>
      <c r="C17431" s="34" t="s">
        <v>77</v>
      </c>
      <c r="E17431" s="30" t="s">
        <v>4445</v>
      </c>
      <c r="F17431" s="34" t="n">
        <f aca="false">IFERROR(VLOOKUP($A17431,'319'!$B:$H,7,0),0)</f>
        <v>0</v>
      </c>
      <c r="G17431" s="34" t="n">
        <f aca="false">SUMIFS('12.326ana'!$C:$C,'12.326ana'!$M:$M,redes!A17431)</f>
        <v>0</v>
      </c>
    </row>
    <row r="17432" customFormat="false" ht="14.4" hidden="true" customHeight="false" outlineLevel="0" collapsed="false">
      <c r="A17432" s="34" t="n">
        <v>37539335000192</v>
      </c>
      <c r="B17432" s="34" t="s">
        <v>31987</v>
      </c>
      <c r="C17432" s="34" t="s">
        <v>1341</v>
      </c>
      <c r="E17432" s="30" t="s">
        <v>31988</v>
      </c>
      <c r="F17432" s="34" t="n">
        <f aca="false">IFERROR(VLOOKUP($A17432,'319'!$B:$H,7,0),0)</f>
        <v>0</v>
      </c>
      <c r="G17432" s="34" t="n">
        <f aca="false">SUMIFS('12.326ana'!$C:$C,'12.326ana'!$M:$M,redes!A17432)</f>
        <v>0</v>
      </c>
    </row>
    <row r="17433" customFormat="false" ht="14.4" hidden="true" customHeight="false" outlineLevel="0" collapsed="false">
      <c r="A17433" s="34" t="n">
        <v>37539392000171</v>
      </c>
      <c r="B17433" s="34" t="s">
        <v>31989</v>
      </c>
      <c r="C17433" s="34" t="s">
        <v>764</v>
      </c>
      <c r="E17433" s="30" t="s">
        <v>31990</v>
      </c>
      <c r="F17433" s="34" t="n">
        <f aca="false">IFERROR(VLOOKUP($A17433,'319'!$B:$H,7,0),0)</f>
        <v>0</v>
      </c>
      <c r="G17433" s="34" t="n">
        <f aca="false">SUMIFS('12.326ana'!$C:$C,'12.326ana'!$M:$M,redes!A17433)</f>
        <v>0</v>
      </c>
    </row>
    <row r="17434" customFormat="false" ht="14.4" hidden="true" customHeight="false" outlineLevel="0" collapsed="false">
      <c r="A17434" s="34" t="n">
        <v>37539459000178</v>
      </c>
      <c r="B17434" s="34" t="s">
        <v>31991</v>
      </c>
      <c r="C17434" s="34" t="s">
        <v>77</v>
      </c>
      <c r="E17434" s="30" t="s">
        <v>31992</v>
      </c>
      <c r="F17434" s="34" t="n">
        <f aca="false">IFERROR(VLOOKUP($A17434,'319'!$B:$H,7,0),0)</f>
        <v>0</v>
      </c>
      <c r="G17434" s="34" t="n">
        <f aca="false">SUMIFS('12.326ana'!$C:$C,'12.326ana'!$M:$M,redes!A17434)</f>
        <v>0</v>
      </c>
    </row>
    <row r="17435" customFormat="false" ht="14.4" hidden="true" customHeight="false" outlineLevel="0" collapsed="false">
      <c r="A17435" s="34" t="n">
        <v>37539517000163</v>
      </c>
      <c r="B17435" s="34" t="s">
        <v>31993</v>
      </c>
      <c r="C17435" s="34" t="s">
        <v>962</v>
      </c>
      <c r="E17435" s="30" t="s">
        <v>31994</v>
      </c>
      <c r="F17435" s="34" t="n">
        <f aca="false">IFERROR(VLOOKUP($A17435,'319'!$B:$H,7,0),0)</f>
        <v>0</v>
      </c>
      <c r="G17435" s="34" t="n">
        <f aca="false">SUMIFS('12.326ana'!$C:$C,'12.326ana'!$M:$M,redes!A17435)</f>
        <v>0</v>
      </c>
    </row>
    <row r="17436" customFormat="false" ht="14.4" hidden="true" customHeight="false" outlineLevel="0" collapsed="false">
      <c r="A17436" s="34" t="n">
        <v>37539590000135</v>
      </c>
      <c r="B17436" s="34" t="s">
        <v>31995</v>
      </c>
      <c r="C17436" s="34" t="s">
        <v>463</v>
      </c>
      <c r="E17436" s="30" t="s">
        <v>5028</v>
      </c>
      <c r="F17436" s="34" t="n">
        <f aca="false">IFERROR(VLOOKUP($A17436,'319'!$B:$H,7,0),0)</f>
        <v>0</v>
      </c>
      <c r="G17436" s="34" t="n">
        <f aca="false">SUMIFS('12.326ana'!$C:$C,'12.326ana'!$M:$M,redes!A17436)</f>
        <v>0</v>
      </c>
    </row>
    <row r="17437" customFormat="false" ht="14.4" hidden="true" customHeight="false" outlineLevel="0" collapsed="false">
      <c r="A17437" s="34" t="n">
        <v>37539681000170</v>
      </c>
      <c r="B17437" s="34" t="s">
        <v>31996</v>
      </c>
      <c r="C17437" s="34" t="s">
        <v>213</v>
      </c>
      <c r="E17437" s="30" t="s">
        <v>31997</v>
      </c>
      <c r="F17437" s="34" t="n">
        <f aca="false">IFERROR(VLOOKUP($A17437,'319'!$B:$H,7,0),0)</f>
        <v>0</v>
      </c>
      <c r="G17437" s="34" t="n">
        <f aca="false">SUMIFS('12.326ana'!$C:$C,'12.326ana'!$M:$M,redes!A17437)</f>
        <v>0</v>
      </c>
    </row>
    <row r="17438" customFormat="false" ht="14.4" hidden="true" customHeight="false" outlineLevel="0" collapsed="false">
      <c r="A17438" s="34" t="n">
        <v>37539962000123</v>
      </c>
      <c r="B17438" s="34" t="s">
        <v>31998</v>
      </c>
      <c r="C17438" s="34" t="s">
        <v>342</v>
      </c>
      <c r="E17438" s="30" t="s">
        <v>31999</v>
      </c>
      <c r="F17438" s="34" t="n">
        <f aca="false">IFERROR(VLOOKUP($A17438,'319'!$B:$H,7,0),0)</f>
        <v>0</v>
      </c>
      <c r="G17438" s="34" t="n">
        <f aca="false">SUMIFS('12.326ana'!$C:$C,'12.326ana'!$M:$M,redes!A17438)</f>
        <v>0</v>
      </c>
    </row>
    <row r="17439" customFormat="false" ht="14.4" hidden="true" customHeight="false" outlineLevel="0" collapsed="false">
      <c r="A17439" s="34" t="n">
        <v>37540358000117</v>
      </c>
      <c r="B17439" s="34" t="s">
        <v>32000</v>
      </c>
      <c r="C17439" s="34" t="s">
        <v>77</v>
      </c>
      <c r="E17439" s="30" t="s">
        <v>32001</v>
      </c>
      <c r="F17439" s="34" t="n">
        <f aca="false">IFERROR(VLOOKUP($A17439,'319'!$B:$H,7,0),0)</f>
        <v>0</v>
      </c>
      <c r="G17439" s="34" t="n">
        <f aca="false">SUMIFS('12.326ana'!$C:$C,'12.326ana'!$M:$M,redes!A17439)</f>
        <v>0</v>
      </c>
    </row>
    <row r="17440" customFormat="false" ht="14.4" hidden="true" customHeight="false" outlineLevel="0" collapsed="false">
      <c r="A17440" s="34" t="n">
        <v>37540853000126</v>
      </c>
      <c r="B17440" s="34" t="s">
        <v>32002</v>
      </c>
      <c r="C17440" s="34" t="s">
        <v>77</v>
      </c>
      <c r="E17440" s="30" t="s">
        <v>32003</v>
      </c>
      <c r="F17440" s="34" t="n">
        <f aca="false">IFERROR(VLOOKUP($A17440,'319'!$B:$H,7,0),0)</f>
        <v>0</v>
      </c>
      <c r="G17440" s="34" t="n">
        <f aca="false">SUMIFS('12.326ana'!$C:$C,'12.326ana'!$M:$M,redes!A17440)</f>
        <v>0</v>
      </c>
    </row>
    <row r="17441" customFormat="false" ht="14.4" hidden="true" customHeight="false" outlineLevel="0" collapsed="false">
      <c r="A17441" s="34" t="n">
        <v>37541208000128</v>
      </c>
      <c r="B17441" s="34" t="s">
        <v>32004</v>
      </c>
      <c r="C17441" s="34" t="s">
        <v>77</v>
      </c>
      <c r="E17441" s="30" t="s">
        <v>32005</v>
      </c>
      <c r="F17441" s="34" t="n">
        <f aca="false">IFERROR(VLOOKUP($A17441,'319'!$B:$H,7,0),0)</f>
        <v>0</v>
      </c>
      <c r="G17441" s="34" t="n">
        <f aca="false">SUMIFS('12.326ana'!$C:$C,'12.326ana'!$M:$M,redes!A17441)</f>
        <v>0</v>
      </c>
    </row>
    <row r="17442" customFormat="false" ht="14.4" hidden="true" customHeight="false" outlineLevel="0" collapsed="false">
      <c r="A17442" s="34" t="n">
        <v>37542644000111</v>
      </c>
      <c r="B17442" s="34" t="s">
        <v>32006</v>
      </c>
      <c r="C17442" s="34" t="s">
        <v>737</v>
      </c>
      <c r="E17442" s="30" t="s">
        <v>18253</v>
      </c>
      <c r="F17442" s="34" t="n">
        <f aca="false">IFERROR(VLOOKUP($A17442,'319'!$B:$H,7,0),0)</f>
        <v>0</v>
      </c>
      <c r="G17442" s="34" t="n">
        <f aca="false">SUMIFS('12.326ana'!$C:$C,'12.326ana'!$M:$M,redes!A17442)</f>
        <v>0</v>
      </c>
    </row>
    <row r="17443" customFormat="false" ht="14.4" hidden="true" customHeight="false" outlineLevel="0" collapsed="false">
      <c r="A17443" s="34" t="n">
        <v>37542917000128</v>
      </c>
      <c r="B17443" s="34" t="s">
        <v>32007</v>
      </c>
      <c r="C17443" s="34" t="s">
        <v>1054</v>
      </c>
      <c r="E17443" s="30" t="s">
        <v>3194</v>
      </c>
      <c r="F17443" s="34" t="n">
        <f aca="false">IFERROR(VLOOKUP($A17443,'319'!$B:$H,7,0),0)</f>
        <v>0</v>
      </c>
      <c r="G17443" s="34" t="n">
        <f aca="false">SUMIFS('12.326ana'!$C:$C,'12.326ana'!$M:$M,redes!A17443)</f>
        <v>0</v>
      </c>
    </row>
    <row r="17444" customFormat="false" ht="14.4" hidden="true" customHeight="false" outlineLevel="0" collapsed="false">
      <c r="A17444" s="34" t="n">
        <v>37543147000138</v>
      </c>
      <c r="B17444" s="34" t="s">
        <v>32008</v>
      </c>
      <c r="C17444" s="34" t="s">
        <v>842</v>
      </c>
      <c r="E17444" s="30" t="s">
        <v>3831</v>
      </c>
      <c r="F17444" s="34" t="n">
        <f aca="false">IFERROR(VLOOKUP($A17444,'319'!$B:$H,7,0),0)</f>
        <v>0</v>
      </c>
      <c r="G17444" s="34" t="n">
        <f aca="false">SUMIFS('12.326ana'!$C:$C,'12.326ana'!$M:$M,redes!A17444)</f>
        <v>0</v>
      </c>
    </row>
    <row r="17445" customFormat="false" ht="14.4" hidden="true" customHeight="false" outlineLevel="0" collapsed="false">
      <c r="A17445" s="34" t="n">
        <v>37543543000165</v>
      </c>
      <c r="B17445" s="34" t="s">
        <v>32009</v>
      </c>
      <c r="C17445" s="34" t="s">
        <v>475</v>
      </c>
      <c r="E17445" s="30" t="s">
        <v>13233</v>
      </c>
      <c r="F17445" s="34" t="n">
        <f aca="false">IFERROR(VLOOKUP($A17445,'319'!$B:$H,7,0),0)</f>
        <v>0</v>
      </c>
      <c r="G17445" s="34" t="n">
        <f aca="false">SUMIFS('12.326ana'!$C:$C,'12.326ana'!$M:$M,redes!A17445)</f>
        <v>0</v>
      </c>
    </row>
    <row r="17446" customFormat="false" ht="14.4" hidden="true" customHeight="false" outlineLevel="0" collapsed="false">
      <c r="A17446" s="34" t="n">
        <v>37544376000177</v>
      </c>
      <c r="B17446" s="34" t="s">
        <v>32010</v>
      </c>
      <c r="C17446" s="34" t="s">
        <v>604</v>
      </c>
      <c r="E17446" s="30" t="s">
        <v>7523</v>
      </c>
      <c r="F17446" s="34" t="n">
        <f aca="false">IFERROR(VLOOKUP($A17446,'319'!$B:$H,7,0),0)</f>
        <v>0</v>
      </c>
      <c r="G17446" s="34" t="n">
        <f aca="false">SUMIFS('12.326ana'!$C:$C,'12.326ana'!$M:$M,redes!A17446)</f>
        <v>0</v>
      </c>
    </row>
    <row r="17447" customFormat="false" ht="14.4" hidden="true" customHeight="false" outlineLevel="0" collapsed="false">
      <c r="A17447" s="34" t="n">
        <v>37544616000133</v>
      </c>
      <c r="B17447" s="34" t="s">
        <v>32011</v>
      </c>
      <c r="C17447" s="34" t="s">
        <v>89</v>
      </c>
      <c r="E17447" s="30" t="s">
        <v>32012</v>
      </c>
      <c r="F17447" s="34" t="n">
        <f aca="false">IFERROR(VLOOKUP($A17447,'319'!$B:$H,7,0),0)</f>
        <v>0</v>
      </c>
      <c r="G17447" s="34" t="n">
        <f aca="false">SUMIFS('12.326ana'!$C:$C,'12.326ana'!$M:$M,redes!A17447)</f>
        <v>0</v>
      </c>
    </row>
    <row r="17448" customFormat="false" ht="14.4" hidden="true" customHeight="false" outlineLevel="0" collapsed="false">
      <c r="A17448" s="34" t="n">
        <v>37545092000103</v>
      </c>
      <c r="B17448" s="34" t="s">
        <v>32013</v>
      </c>
      <c r="C17448" s="34" t="s">
        <v>463</v>
      </c>
      <c r="E17448" s="30" t="s">
        <v>5613</v>
      </c>
      <c r="F17448" s="34" t="n">
        <f aca="false">IFERROR(VLOOKUP($A17448,'319'!$B:$H,7,0),0)</f>
        <v>0</v>
      </c>
      <c r="G17448" s="34" t="n">
        <f aca="false">SUMIFS('12.326ana'!$C:$C,'12.326ana'!$M:$M,redes!A17448)</f>
        <v>0</v>
      </c>
    </row>
    <row r="17449" customFormat="false" ht="14.4" hidden="true" customHeight="false" outlineLevel="0" collapsed="false">
      <c r="A17449" s="34" t="n">
        <v>37545738000144</v>
      </c>
      <c r="B17449" s="34" t="s">
        <v>32014</v>
      </c>
      <c r="C17449" s="34" t="s">
        <v>107</v>
      </c>
      <c r="D17449" s="34" t="s">
        <v>4797</v>
      </c>
      <c r="E17449" s="30" t="s">
        <v>4774</v>
      </c>
      <c r="F17449" s="34" t="n">
        <f aca="false">IFERROR(VLOOKUP($A17449,'319'!$B:$H,7,0),0)</f>
        <v>0</v>
      </c>
      <c r="G17449" s="34" t="n">
        <f aca="false">SUMIFS('12.326ana'!$C:$C,'12.326ana'!$M:$M,redes!A17449)</f>
        <v>0</v>
      </c>
    </row>
    <row r="17450" customFormat="false" ht="14.4" hidden="true" customHeight="false" outlineLevel="0" collapsed="false">
      <c r="A17450" s="34" t="n">
        <v>37545779000130</v>
      </c>
      <c r="B17450" s="34" t="s">
        <v>32015</v>
      </c>
      <c r="C17450" s="34" t="s">
        <v>213</v>
      </c>
      <c r="E17450" s="30" t="s">
        <v>32016</v>
      </c>
      <c r="F17450" s="34" t="n">
        <f aca="false">IFERROR(VLOOKUP($A17450,'319'!$B:$H,7,0),0)</f>
        <v>0</v>
      </c>
      <c r="G17450" s="34" t="n">
        <f aca="false">SUMIFS('12.326ana'!$C:$C,'12.326ana'!$M:$M,redes!A17450)</f>
        <v>0</v>
      </c>
    </row>
    <row r="17451" customFormat="false" ht="14.4" hidden="true" customHeight="false" outlineLevel="0" collapsed="false">
      <c r="A17451" s="34" t="n">
        <v>37546082000184</v>
      </c>
      <c r="B17451" s="34" t="s">
        <v>32017</v>
      </c>
      <c r="C17451" s="34" t="s">
        <v>473</v>
      </c>
      <c r="E17451" s="30" t="s">
        <v>32018</v>
      </c>
      <c r="F17451" s="34" t="n">
        <f aca="false">IFERROR(VLOOKUP($A17451,'319'!$B:$H,7,0),0)</f>
        <v>0</v>
      </c>
      <c r="G17451" s="34" t="n">
        <f aca="false">SUMIFS('12.326ana'!$C:$C,'12.326ana'!$M:$M,redes!A17451)</f>
        <v>0</v>
      </c>
    </row>
    <row r="17452" customFormat="false" ht="14.4" hidden="true" customHeight="false" outlineLevel="0" collapsed="false">
      <c r="A17452" s="34" t="n">
        <v>37546249000107</v>
      </c>
      <c r="B17452" s="34" t="s">
        <v>32019</v>
      </c>
      <c r="C17452" s="34" t="s">
        <v>89</v>
      </c>
      <c r="D17452" s="34" t="s">
        <v>4797</v>
      </c>
      <c r="E17452" s="30" t="s">
        <v>32020</v>
      </c>
      <c r="F17452" s="34" t="n">
        <f aca="false">IFERROR(VLOOKUP($A17452,'319'!$B:$H,7,0),0)</f>
        <v>0</v>
      </c>
      <c r="G17452" s="34" t="n">
        <f aca="false">SUMIFS('12.326ana'!$C:$C,'12.326ana'!$M:$M,redes!A17452)</f>
        <v>0</v>
      </c>
    </row>
    <row r="17453" customFormat="false" ht="14.4" hidden="true" customHeight="false" outlineLevel="0" collapsed="false">
      <c r="A17453" s="34" t="n">
        <v>37547007000138</v>
      </c>
      <c r="B17453" s="34" t="s">
        <v>32021</v>
      </c>
      <c r="C17453" s="34" t="s">
        <v>764</v>
      </c>
      <c r="E17453" s="30" t="s">
        <v>32022</v>
      </c>
      <c r="F17453" s="34" t="n">
        <f aca="false">IFERROR(VLOOKUP($A17453,'319'!$B:$H,7,0),0)</f>
        <v>0</v>
      </c>
      <c r="G17453" s="34" t="n">
        <f aca="false">SUMIFS('12.326ana'!$C:$C,'12.326ana'!$M:$M,redes!A17453)</f>
        <v>0</v>
      </c>
    </row>
    <row r="17454" customFormat="false" ht="14.4" hidden="true" customHeight="false" outlineLevel="0" collapsed="false">
      <c r="A17454" s="34" t="n">
        <v>37547023000120</v>
      </c>
      <c r="B17454" s="34" t="s">
        <v>32023</v>
      </c>
      <c r="C17454" s="34" t="s">
        <v>737</v>
      </c>
      <c r="E17454" s="30" t="s">
        <v>32024</v>
      </c>
      <c r="F17454" s="34" t="n">
        <f aca="false">IFERROR(VLOOKUP($A17454,'319'!$B:$H,7,0),0)</f>
        <v>0</v>
      </c>
      <c r="G17454" s="34" t="n">
        <f aca="false">SUMIFS('12.326ana'!$C:$C,'12.326ana'!$M:$M,redes!A17454)</f>
        <v>0</v>
      </c>
    </row>
    <row r="17455" customFormat="false" ht="14.4" hidden="true" customHeight="false" outlineLevel="0" collapsed="false">
      <c r="A17455" s="34" t="n">
        <v>37547114000166</v>
      </c>
      <c r="B17455" s="34" t="s">
        <v>32025</v>
      </c>
      <c r="C17455" s="34" t="s">
        <v>213</v>
      </c>
      <c r="E17455" s="30" t="s">
        <v>32026</v>
      </c>
      <c r="F17455" s="34" t="n">
        <f aca="false">IFERROR(VLOOKUP($A17455,'319'!$B:$H,7,0),0)</f>
        <v>0</v>
      </c>
      <c r="G17455" s="34" t="n">
        <f aca="false">SUMIFS('12.326ana'!$C:$C,'12.326ana'!$M:$M,redes!A17455)</f>
        <v>0</v>
      </c>
    </row>
    <row r="17456" customFormat="false" ht="14.4" hidden="true" customHeight="false" outlineLevel="0" collapsed="false">
      <c r="A17456" s="34" t="n">
        <v>37547494000139</v>
      </c>
      <c r="B17456" s="34" t="s">
        <v>32027</v>
      </c>
      <c r="C17456" s="34" t="s">
        <v>336</v>
      </c>
      <c r="E17456" s="30" t="s">
        <v>32028</v>
      </c>
      <c r="F17456" s="34" t="n">
        <f aca="false">IFERROR(VLOOKUP($A17456,'319'!$B:$H,7,0),0)</f>
        <v>0</v>
      </c>
      <c r="G17456" s="34" t="n">
        <f aca="false">SUMIFS('12.326ana'!$C:$C,'12.326ana'!$M:$M,redes!A17456)</f>
        <v>0</v>
      </c>
    </row>
    <row r="17457" customFormat="false" ht="14.4" hidden="true" customHeight="false" outlineLevel="0" collapsed="false">
      <c r="A17457" s="34" t="n">
        <v>37547981000100</v>
      </c>
      <c r="B17457" s="34" t="s">
        <v>32029</v>
      </c>
      <c r="C17457" s="34" t="s">
        <v>77</v>
      </c>
      <c r="E17457" s="30" t="s">
        <v>32030</v>
      </c>
      <c r="F17457" s="34" t="n">
        <f aca="false">IFERROR(VLOOKUP($A17457,'319'!$B:$H,7,0),0)</f>
        <v>0</v>
      </c>
      <c r="G17457" s="34" t="n">
        <f aca="false">SUMIFS('12.326ana'!$C:$C,'12.326ana'!$M:$M,redes!A17457)</f>
        <v>0</v>
      </c>
    </row>
    <row r="17458" customFormat="false" ht="14.4" hidden="true" customHeight="false" outlineLevel="0" collapsed="false">
      <c r="A17458" s="34" t="n">
        <v>37548294000109</v>
      </c>
      <c r="B17458" s="34" t="s">
        <v>32031</v>
      </c>
      <c r="C17458" s="34" t="s">
        <v>935</v>
      </c>
      <c r="E17458" s="30" t="s">
        <v>27014</v>
      </c>
      <c r="F17458" s="34" t="n">
        <f aca="false">IFERROR(VLOOKUP($A17458,'319'!$B:$H,7,0),0)</f>
        <v>0</v>
      </c>
      <c r="G17458" s="34" t="n">
        <f aca="false">SUMIFS('12.326ana'!$C:$C,'12.326ana'!$M:$M,redes!A17458)</f>
        <v>0</v>
      </c>
    </row>
    <row r="17459" customFormat="false" ht="14.4" hidden="true" customHeight="false" outlineLevel="0" collapsed="false">
      <c r="A17459" s="34" t="n">
        <v>37549045000120</v>
      </c>
      <c r="B17459" s="34" t="s">
        <v>32032</v>
      </c>
      <c r="C17459" s="34" t="s">
        <v>706</v>
      </c>
      <c r="E17459" s="30" t="s">
        <v>22957</v>
      </c>
      <c r="F17459" s="34" t="n">
        <f aca="false">IFERROR(VLOOKUP($A17459,'319'!$B:$H,7,0),0)</f>
        <v>0</v>
      </c>
      <c r="G17459" s="34" t="n">
        <f aca="false">SUMIFS('12.326ana'!$C:$C,'12.326ana'!$M:$M,redes!A17459)</f>
        <v>0</v>
      </c>
    </row>
    <row r="17460" customFormat="false" ht="14.4" hidden="true" customHeight="false" outlineLevel="0" collapsed="false">
      <c r="A17460" s="34" t="n">
        <v>37549359000122</v>
      </c>
      <c r="B17460" s="34" t="s">
        <v>32033</v>
      </c>
      <c r="C17460" s="34" t="s">
        <v>2998</v>
      </c>
      <c r="E17460" s="30" t="s">
        <v>32034</v>
      </c>
      <c r="F17460" s="34" t="n">
        <f aca="false">IFERROR(VLOOKUP($A17460,'319'!$B:$H,7,0),0)</f>
        <v>0</v>
      </c>
      <c r="G17460" s="34" t="n">
        <f aca="false">SUMIFS('12.326ana'!$C:$C,'12.326ana'!$M:$M,redes!A17460)</f>
        <v>0</v>
      </c>
    </row>
    <row r="17461" customFormat="false" ht="14.4" hidden="true" customHeight="false" outlineLevel="0" collapsed="false">
      <c r="A17461" s="34" t="n">
        <v>37549458000104</v>
      </c>
      <c r="B17461" s="34" t="s">
        <v>32035</v>
      </c>
      <c r="C17461" s="34" t="s">
        <v>103</v>
      </c>
      <c r="E17461" s="30" t="s">
        <v>18755</v>
      </c>
      <c r="F17461" s="34" t="n">
        <f aca="false">IFERROR(VLOOKUP($A17461,'319'!$B:$H,7,0),0)</f>
        <v>0</v>
      </c>
      <c r="G17461" s="34" t="n">
        <f aca="false">SUMIFS('12.326ana'!$C:$C,'12.326ana'!$M:$M,redes!A17461)</f>
        <v>0</v>
      </c>
    </row>
    <row r="17462" customFormat="false" ht="14.4" hidden="true" customHeight="false" outlineLevel="0" collapsed="false">
      <c r="A17462" s="34" t="n">
        <v>37549466000150</v>
      </c>
      <c r="B17462" s="34" t="s">
        <v>32036</v>
      </c>
      <c r="C17462" s="34" t="s">
        <v>103</v>
      </c>
      <c r="E17462" s="30" t="s">
        <v>32037</v>
      </c>
      <c r="F17462" s="34" t="n">
        <f aca="false">IFERROR(VLOOKUP($A17462,'319'!$B:$H,7,0),0)</f>
        <v>0</v>
      </c>
      <c r="G17462" s="34" t="n">
        <f aca="false">SUMIFS('12.326ana'!$C:$C,'12.326ana'!$M:$M,redes!A17462)</f>
        <v>0</v>
      </c>
    </row>
    <row r="17463" customFormat="false" ht="14.4" hidden="true" customHeight="false" outlineLevel="0" collapsed="false">
      <c r="A17463" s="34" t="n">
        <v>37549565000132</v>
      </c>
      <c r="B17463" s="34" t="s">
        <v>32038</v>
      </c>
      <c r="C17463" s="34" t="s">
        <v>77</v>
      </c>
      <c r="E17463" s="30" t="s">
        <v>32039</v>
      </c>
      <c r="F17463" s="34" t="n">
        <f aca="false">IFERROR(VLOOKUP($A17463,'319'!$B:$H,7,0),0)</f>
        <v>0</v>
      </c>
      <c r="G17463" s="34" t="n">
        <f aca="false">SUMIFS('12.326ana'!$C:$C,'12.326ana'!$M:$M,redes!A17463)</f>
        <v>0</v>
      </c>
    </row>
    <row r="17464" customFormat="false" ht="14.4" hidden="true" customHeight="false" outlineLevel="0" collapsed="false">
      <c r="A17464" s="34" t="n">
        <v>37550431000131</v>
      </c>
      <c r="B17464" s="34" t="s">
        <v>32040</v>
      </c>
      <c r="C17464" s="34" t="s">
        <v>809</v>
      </c>
      <c r="E17464" s="30" t="s">
        <v>32041</v>
      </c>
      <c r="F17464" s="34" t="n">
        <f aca="false">IFERROR(VLOOKUP($A17464,'319'!$B:$H,7,0),0)</f>
        <v>0</v>
      </c>
      <c r="G17464" s="34" t="n">
        <f aca="false">SUMIFS('12.326ana'!$C:$C,'12.326ana'!$M:$M,redes!A17464)</f>
        <v>0</v>
      </c>
    </row>
    <row r="17465" customFormat="false" ht="14.4" hidden="true" customHeight="false" outlineLevel="0" collapsed="false">
      <c r="A17465" s="34" t="n">
        <v>37550472000128</v>
      </c>
      <c r="B17465" s="34" t="s">
        <v>32042</v>
      </c>
      <c r="C17465" s="34" t="s">
        <v>478</v>
      </c>
      <c r="E17465" s="30" t="s">
        <v>32043</v>
      </c>
      <c r="F17465" s="34" t="n">
        <f aca="false">IFERROR(VLOOKUP($A17465,'319'!$B:$H,7,0),0)</f>
        <v>0</v>
      </c>
      <c r="G17465" s="34" t="n">
        <f aca="false">SUMIFS('12.326ana'!$C:$C,'12.326ana'!$M:$M,redes!A17465)</f>
        <v>0</v>
      </c>
    </row>
    <row r="17466" customFormat="false" ht="14.4" hidden="true" customHeight="false" outlineLevel="0" collapsed="false">
      <c r="A17466" s="34" t="n">
        <v>37550506000184</v>
      </c>
      <c r="B17466" s="34" t="s">
        <v>32044</v>
      </c>
      <c r="C17466" s="34" t="s">
        <v>77</v>
      </c>
      <c r="E17466" s="30" t="s">
        <v>18034</v>
      </c>
      <c r="F17466" s="34" t="n">
        <f aca="false">IFERROR(VLOOKUP($A17466,'319'!$B:$H,7,0),0)</f>
        <v>0</v>
      </c>
      <c r="G17466" s="34" t="n">
        <f aca="false">SUMIFS('12.326ana'!$C:$C,'12.326ana'!$M:$M,redes!A17466)</f>
        <v>0</v>
      </c>
    </row>
    <row r="17467" customFormat="false" ht="14.4" hidden="true" customHeight="false" outlineLevel="0" collapsed="false">
      <c r="A17467" s="34" t="n">
        <v>37550720000130</v>
      </c>
      <c r="B17467" s="34" t="s">
        <v>32045</v>
      </c>
      <c r="C17467" s="34" t="s">
        <v>77</v>
      </c>
      <c r="E17467" s="30" t="s">
        <v>32046</v>
      </c>
      <c r="F17467" s="34" t="n">
        <f aca="false">IFERROR(VLOOKUP($A17467,'319'!$B:$H,7,0),0)</f>
        <v>0</v>
      </c>
      <c r="G17467" s="34" t="n">
        <f aca="false">SUMIFS('12.326ana'!$C:$C,'12.326ana'!$M:$M,redes!A17467)</f>
        <v>0</v>
      </c>
    </row>
    <row r="17468" customFormat="false" ht="14.4" hidden="true" customHeight="false" outlineLevel="0" collapsed="false">
      <c r="A17468" s="34" t="n">
        <v>37551033000130</v>
      </c>
      <c r="B17468" s="34" t="s">
        <v>32047</v>
      </c>
      <c r="C17468" s="34" t="s">
        <v>764</v>
      </c>
      <c r="E17468" s="30" t="s">
        <v>32048</v>
      </c>
      <c r="F17468" s="34" t="n">
        <f aca="false">IFERROR(VLOOKUP($A17468,'319'!$B:$H,7,0),0)</f>
        <v>0</v>
      </c>
      <c r="G17468" s="34" t="n">
        <f aca="false">SUMIFS('12.326ana'!$C:$C,'12.326ana'!$M:$M,redes!A17468)</f>
        <v>0</v>
      </c>
    </row>
    <row r="17469" customFormat="false" ht="14.4" hidden="true" customHeight="false" outlineLevel="0" collapsed="false">
      <c r="A17469" s="34" t="n">
        <v>37551389000173</v>
      </c>
      <c r="B17469" s="34" t="s">
        <v>10558</v>
      </c>
      <c r="C17469" s="34" t="s">
        <v>77</v>
      </c>
      <c r="E17469" s="30" t="s">
        <v>32049</v>
      </c>
      <c r="F17469" s="34" t="n">
        <f aca="false">IFERROR(VLOOKUP($A17469,'319'!$B:$H,7,0),0)</f>
        <v>0</v>
      </c>
      <c r="G17469" s="34" t="n">
        <f aca="false">SUMIFS('12.326ana'!$C:$C,'12.326ana'!$M:$M,redes!A17469)</f>
        <v>0</v>
      </c>
    </row>
    <row r="17470" customFormat="false" ht="14.4" hidden="true" customHeight="false" outlineLevel="0" collapsed="false">
      <c r="A17470" s="34" t="n">
        <v>37552338000166</v>
      </c>
      <c r="B17470" s="34" t="s">
        <v>32050</v>
      </c>
      <c r="C17470" s="34" t="s">
        <v>117</v>
      </c>
      <c r="E17470" s="30" t="s">
        <v>32051</v>
      </c>
      <c r="F17470" s="34" t="n">
        <f aca="false">IFERROR(VLOOKUP($A17470,'319'!$B:$H,7,0),0)</f>
        <v>0</v>
      </c>
      <c r="G17470" s="34" t="n">
        <f aca="false">SUMIFS('12.326ana'!$C:$C,'12.326ana'!$M:$M,redes!A17470)</f>
        <v>0</v>
      </c>
    </row>
    <row r="17471" customFormat="false" ht="14.4" hidden="true" customHeight="false" outlineLevel="0" collapsed="false">
      <c r="A17471" s="34" t="n">
        <v>37552361000150</v>
      </c>
      <c r="B17471" s="34" t="s">
        <v>32052</v>
      </c>
      <c r="C17471" s="34" t="s">
        <v>309</v>
      </c>
      <c r="E17471" s="30" t="s">
        <v>6887</v>
      </c>
      <c r="F17471" s="34" t="n">
        <f aca="false">IFERROR(VLOOKUP($A17471,'319'!$B:$H,7,0),0)</f>
        <v>0</v>
      </c>
      <c r="G17471" s="34" t="n">
        <f aca="false">SUMIFS('12.326ana'!$C:$C,'12.326ana'!$M:$M,redes!A17471)</f>
        <v>0</v>
      </c>
    </row>
    <row r="17472" customFormat="false" ht="14.4" hidden="true" customHeight="false" outlineLevel="0" collapsed="false">
      <c r="A17472" s="34" t="n">
        <v>37553731000174</v>
      </c>
      <c r="B17472" s="34" t="s">
        <v>32053</v>
      </c>
      <c r="C17472" s="34" t="s">
        <v>107</v>
      </c>
      <c r="E17472" s="30" t="s">
        <v>24623</v>
      </c>
      <c r="F17472" s="34" t="n">
        <f aca="false">IFERROR(VLOOKUP($A17472,'319'!$B:$H,7,0),0)</f>
        <v>0</v>
      </c>
      <c r="G17472" s="34" t="n">
        <f aca="false">SUMIFS('12.326ana'!$C:$C,'12.326ana'!$M:$M,redes!A17472)</f>
        <v>0</v>
      </c>
    </row>
    <row r="17473" customFormat="false" ht="14.4" hidden="true" customHeight="false" outlineLevel="0" collapsed="false">
      <c r="A17473" s="34" t="n">
        <v>37554102000169</v>
      </c>
      <c r="B17473" s="34" t="s">
        <v>32054</v>
      </c>
      <c r="C17473" s="34" t="s">
        <v>77</v>
      </c>
      <c r="E17473" s="30"/>
      <c r="F17473" s="34" t="n">
        <f aca="false">IFERROR(VLOOKUP($A17473,'319'!$B:$H,7,0),0)</f>
        <v>0</v>
      </c>
      <c r="G17473" s="34" t="n">
        <f aca="false">SUMIFS('12.326ana'!$C:$C,'12.326ana'!$M:$M,redes!A17473)</f>
        <v>0</v>
      </c>
    </row>
    <row r="17474" customFormat="false" ht="14.4" hidden="true" customHeight="false" outlineLevel="0" collapsed="false">
      <c r="A17474" s="34" t="n">
        <v>37554599000115</v>
      </c>
      <c r="B17474" s="34" t="s">
        <v>32055</v>
      </c>
      <c r="C17474" s="34" t="s">
        <v>77</v>
      </c>
      <c r="E17474" s="30" t="s">
        <v>32056</v>
      </c>
      <c r="F17474" s="34" t="n">
        <f aca="false">IFERROR(VLOOKUP($A17474,'319'!$B:$H,7,0),0)</f>
        <v>0</v>
      </c>
      <c r="G17474" s="34" t="n">
        <f aca="false">SUMIFS('12.326ana'!$C:$C,'12.326ana'!$M:$M,redes!A17474)</f>
        <v>0</v>
      </c>
    </row>
    <row r="17475" customFormat="false" ht="14.4" hidden="true" customHeight="false" outlineLevel="0" collapsed="false">
      <c r="A17475" s="34" t="n">
        <v>37554698000105</v>
      </c>
      <c r="B17475" s="34" t="s">
        <v>32057</v>
      </c>
      <c r="C17475" s="34" t="s">
        <v>107</v>
      </c>
      <c r="E17475" s="30" t="s">
        <v>2958</v>
      </c>
      <c r="F17475" s="34" t="n">
        <f aca="false">IFERROR(VLOOKUP($A17475,'319'!$B:$H,7,0),0)</f>
        <v>0</v>
      </c>
      <c r="G17475" s="34" t="n">
        <f aca="false">SUMIFS('12.326ana'!$C:$C,'12.326ana'!$M:$M,redes!A17475)</f>
        <v>0</v>
      </c>
    </row>
    <row r="17476" customFormat="false" ht="14.4" hidden="true" customHeight="false" outlineLevel="0" collapsed="false">
      <c r="A17476" s="34" t="n">
        <v>37554771000130</v>
      </c>
      <c r="B17476" s="34" t="s">
        <v>32058</v>
      </c>
      <c r="C17476" s="34" t="s">
        <v>737</v>
      </c>
      <c r="E17476" s="30" t="s">
        <v>10294</v>
      </c>
      <c r="F17476" s="34" t="n">
        <f aca="false">IFERROR(VLOOKUP($A17476,'319'!$B:$H,7,0),0)</f>
        <v>0</v>
      </c>
      <c r="G17476" s="34" t="n">
        <f aca="false">SUMIFS('12.326ana'!$C:$C,'12.326ana'!$M:$M,redes!A17476)</f>
        <v>0</v>
      </c>
    </row>
    <row r="17477" customFormat="false" ht="14.4" hidden="true" customHeight="false" outlineLevel="0" collapsed="false">
      <c r="A17477" s="34" t="n">
        <v>37554797000189</v>
      </c>
      <c r="B17477" s="34" t="s">
        <v>32059</v>
      </c>
      <c r="C17477" s="34" t="s">
        <v>1591</v>
      </c>
      <c r="E17477" s="30" t="s">
        <v>22040</v>
      </c>
      <c r="F17477" s="34" t="n">
        <f aca="false">IFERROR(VLOOKUP($A17477,'319'!$B:$H,7,0),0)</f>
        <v>0</v>
      </c>
      <c r="G17477" s="34" t="n">
        <f aca="false">SUMIFS('12.326ana'!$C:$C,'12.326ana'!$M:$M,redes!A17477)</f>
        <v>0</v>
      </c>
    </row>
    <row r="17478" customFormat="false" ht="14.4" hidden="true" customHeight="false" outlineLevel="0" collapsed="false">
      <c r="A17478" s="34" t="n">
        <v>37555190000113</v>
      </c>
      <c r="B17478" s="34" t="s">
        <v>32060</v>
      </c>
      <c r="C17478" s="34" t="s">
        <v>77</v>
      </c>
      <c r="E17478" s="30" t="s">
        <v>32061</v>
      </c>
      <c r="F17478" s="34" t="n">
        <f aca="false">IFERROR(VLOOKUP($A17478,'319'!$B:$H,7,0),0)</f>
        <v>0</v>
      </c>
      <c r="G17478" s="34" t="n">
        <f aca="false">SUMIFS('12.326ana'!$C:$C,'12.326ana'!$M:$M,redes!A17478)</f>
        <v>0</v>
      </c>
    </row>
    <row r="17479" customFormat="false" ht="14.4" hidden="true" customHeight="false" outlineLevel="0" collapsed="false">
      <c r="A17479" s="34" t="n">
        <v>37555323000151</v>
      </c>
      <c r="B17479" s="34" t="s">
        <v>32062</v>
      </c>
      <c r="C17479" s="34" t="s">
        <v>594</v>
      </c>
      <c r="E17479" s="30" t="s">
        <v>32063</v>
      </c>
      <c r="F17479" s="34" t="n">
        <f aca="false">IFERROR(VLOOKUP($A17479,'319'!$B:$H,7,0),0)</f>
        <v>0</v>
      </c>
      <c r="G17479" s="34" t="n">
        <f aca="false">SUMIFS('12.326ana'!$C:$C,'12.326ana'!$M:$M,redes!A17479)</f>
        <v>0</v>
      </c>
    </row>
    <row r="17480" customFormat="false" ht="14.4" hidden="true" customHeight="false" outlineLevel="0" collapsed="false">
      <c r="A17480" s="34" t="n">
        <v>37555349000280</v>
      </c>
      <c r="B17480" s="34" t="s">
        <v>32064</v>
      </c>
      <c r="C17480" s="34" t="s">
        <v>77</v>
      </c>
      <c r="D17480" s="34" t="s">
        <v>17018</v>
      </c>
      <c r="E17480" s="30" t="s">
        <v>32065</v>
      </c>
      <c r="F17480" s="34" t="n">
        <f aca="false">IFERROR(VLOOKUP($A17480,'319'!$B:$H,7,0),0)</f>
        <v>0</v>
      </c>
      <c r="G17480" s="34" t="n">
        <f aca="false">SUMIFS('12.326ana'!$C:$C,'12.326ana'!$M:$M,redes!A17480)</f>
        <v>0</v>
      </c>
    </row>
    <row r="17481" customFormat="false" ht="14.4" hidden="true" customHeight="false" outlineLevel="0" collapsed="false">
      <c r="A17481" s="34" t="n">
        <v>37555349000604</v>
      </c>
      <c r="B17481" s="34" t="s">
        <v>32064</v>
      </c>
      <c r="C17481" s="34" t="s">
        <v>77</v>
      </c>
      <c r="D17481" s="34" t="s">
        <v>17018</v>
      </c>
      <c r="E17481" s="30" t="s">
        <v>32066</v>
      </c>
      <c r="F17481" s="34" t="n">
        <f aca="false">IFERROR(VLOOKUP($A17481,'319'!$B:$H,7,0),0)</f>
        <v>0</v>
      </c>
      <c r="G17481" s="34" t="n">
        <f aca="false">SUMIFS('12.326ana'!$C:$C,'12.326ana'!$M:$M,redes!A17481)</f>
        <v>0</v>
      </c>
    </row>
    <row r="17482" customFormat="false" ht="14.4" hidden="true" customHeight="false" outlineLevel="0" collapsed="false">
      <c r="A17482" s="34" t="n">
        <v>37555349000876</v>
      </c>
      <c r="B17482" s="34" t="s">
        <v>32067</v>
      </c>
      <c r="C17482" s="34" t="s">
        <v>77</v>
      </c>
      <c r="D17482" s="34" t="s">
        <v>17018</v>
      </c>
      <c r="E17482" s="30" t="s">
        <v>32068</v>
      </c>
      <c r="F17482" s="34" t="n">
        <f aca="false">IFERROR(VLOOKUP($A17482,'319'!$B:$H,7,0),0)</f>
        <v>0</v>
      </c>
      <c r="G17482" s="34" t="n">
        <f aca="false">SUMIFS('12.326ana'!$C:$C,'12.326ana'!$M:$M,redes!A17482)</f>
        <v>0</v>
      </c>
    </row>
    <row r="17483" customFormat="false" ht="14.4" hidden="true" customHeight="false" outlineLevel="0" collapsed="false">
      <c r="A17483" s="34" t="n">
        <v>37555679000195</v>
      </c>
      <c r="B17483" s="34" t="s">
        <v>32069</v>
      </c>
      <c r="C17483" s="34" t="s">
        <v>77</v>
      </c>
      <c r="E17483" s="30" t="s">
        <v>32070</v>
      </c>
      <c r="F17483" s="34" t="n">
        <f aca="false">IFERROR(VLOOKUP($A17483,'319'!$B:$H,7,0),0)</f>
        <v>0</v>
      </c>
      <c r="G17483" s="34" t="n">
        <f aca="false">SUMIFS('12.326ana'!$C:$C,'12.326ana'!$M:$M,redes!A17483)</f>
        <v>0</v>
      </c>
    </row>
    <row r="17484" customFormat="false" ht="14.4" hidden="true" customHeight="false" outlineLevel="0" collapsed="false">
      <c r="A17484" s="34" t="n">
        <v>37556727000160</v>
      </c>
      <c r="B17484" s="34" t="s">
        <v>32071</v>
      </c>
      <c r="C17484" s="34" t="s">
        <v>581</v>
      </c>
      <c r="E17484" s="30" t="s">
        <v>32072</v>
      </c>
      <c r="F17484" s="34" t="n">
        <f aca="false">IFERROR(VLOOKUP($A17484,'319'!$B:$H,7,0),0)</f>
        <v>0</v>
      </c>
      <c r="G17484" s="34" t="n">
        <f aca="false">SUMIFS('12.326ana'!$C:$C,'12.326ana'!$M:$M,redes!A17484)</f>
        <v>0</v>
      </c>
    </row>
    <row r="17485" customFormat="false" ht="14.4" hidden="true" customHeight="false" outlineLevel="0" collapsed="false">
      <c r="A17485" s="34" t="n">
        <v>37557519000185</v>
      </c>
      <c r="B17485" s="34" t="s">
        <v>32073</v>
      </c>
      <c r="C17485" s="34" t="s">
        <v>77</v>
      </c>
      <c r="E17485" s="30" t="s">
        <v>3710</v>
      </c>
      <c r="F17485" s="34" t="n">
        <f aca="false">IFERROR(VLOOKUP($A17485,'319'!$B:$H,7,0),0)</f>
        <v>0</v>
      </c>
      <c r="G17485" s="34" t="n">
        <f aca="false">SUMIFS('12.326ana'!$C:$C,'12.326ana'!$M:$M,redes!A17485)</f>
        <v>0</v>
      </c>
    </row>
    <row r="17486" customFormat="false" ht="14.4" hidden="true" customHeight="false" outlineLevel="0" collapsed="false">
      <c r="A17486" s="34" t="n">
        <v>37557840000160</v>
      </c>
      <c r="B17486" s="34" t="s">
        <v>32074</v>
      </c>
      <c r="C17486" s="34" t="s">
        <v>781</v>
      </c>
      <c r="E17486" s="30" t="s">
        <v>32075</v>
      </c>
      <c r="F17486" s="34" t="n">
        <f aca="false">IFERROR(VLOOKUP($A17486,'319'!$B:$H,7,0),0)</f>
        <v>0</v>
      </c>
      <c r="G17486" s="34" t="n">
        <f aca="false">SUMIFS('12.326ana'!$C:$C,'12.326ana'!$M:$M,redes!A17486)</f>
        <v>0</v>
      </c>
    </row>
    <row r="17487" customFormat="false" ht="14.4" hidden="true" customHeight="false" outlineLevel="0" collapsed="false">
      <c r="A17487" s="34" t="n">
        <v>37558152000114</v>
      </c>
      <c r="B17487" s="34" t="s">
        <v>32076</v>
      </c>
      <c r="C17487" s="34" t="s">
        <v>77</v>
      </c>
      <c r="E17487" s="30" t="s">
        <v>32077</v>
      </c>
      <c r="F17487" s="34" t="n">
        <f aca="false">IFERROR(VLOOKUP($A17487,'319'!$B:$H,7,0),0)</f>
        <v>0</v>
      </c>
      <c r="G17487" s="34" t="n">
        <f aca="false">SUMIFS('12.326ana'!$C:$C,'12.326ana'!$M:$M,redes!A17487)</f>
        <v>0</v>
      </c>
    </row>
    <row r="17488" customFormat="false" ht="14.4" hidden="true" customHeight="false" outlineLevel="0" collapsed="false">
      <c r="A17488" s="34" t="n">
        <v>37558194000155</v>
      </c>
      <c r="B17488" s="34" t="s">
        <v>32078</v>
      </c>
      <c r="C17488" s="34" t="s">
        <v>89</v>
      </c>
      <c r="E17488" s="30" t="s">
        <v>32079</v>
      </c>
      <c r="F17488" s="34" t="n">
        <f aca="false">IFERROR(VLOOKUP($A17488,'319'!$B:$H,7,0),0)</f>
        <v>0</v>
      </c>
      <c r="G17488" s="34" t="n">
        <f aca="false">SUMIFS('12.326ana'!$C:$C,'12.326ana'!$M:$M,redes!A17488)</f>
        <v>0</v>
      </c>
    </row>
    <row r="17489" customFormat="false" ht="14.4" hidden="true" customHeight="false" outlineLevel="0" collapsed="false">
      <c r="A17489" s="34" t="n">
        <v>37558301000145</v>
      </c>
      <c r="B17489" s="34" t="s">
        <v>32080</v>
      </c>
      <c r="C17489" s="34" t="s">
        <v>967</v>
      </c>
      <c r="E17489" s="30" t="s">
        <v>32081</v>
      </c>
      <c r="F17489" s="34" t="n">
        <f aca="false">IFERROR(VLOOKUP($A17489,'319'!$B:$H,7,0),0)</f>
        <v>89.71</v>
      </c>
      <c r="G17489" s="34" t="n">
        <f aca="false">SUMIFS('12.326ana'!$C:$C,'12.326ana'!$M:$M,redes!A17489)</f>
        <v>0</v>
      </c>
    </row>
    <row r="17490" customFormat="false" ht="14.4" hidden="true" customHeight="false" outlineLevel="0" collapsed="false">
      <c r="A17490" s="34" t="n">
        <v>37558897000183</v>
      </c>
      <c r="B17490" s="34" t="s">
        <v>32082</v>
      </c>
      <c r="C17490" s="34" t="s">
        <v>77</v>
      </c>
      <c r="D17490" s="34" t="s">
        <v>3324</v>
      </c>
      <c r="E17490" s="30" t="s">
        <v>32083</v>
      </c>
      <c r="F17490" s="34" t="n">
        <f aca="false">IFERROR(VLOOKUP($A17490,'319'!$B:$H,7,0),0)</f>
        <v>0</v>
      </c>
      <c r="G17490" s="34" t="n">
        <f aca="false">SUMIFS('12.326ana'!$C:$C,'12.326ana'!$M:$M,redes!A17490)</f>
        <v>0</v>
      </c>
    </row>
    <row r="17491" customFormat="false" ht="14.4" hidden="true" customHeight="false" outlineLevel="0" collapsed="false">
      <c r="A17491" s="34" t="n">
        <v>37559655000104</v>
      </c>
      <c r="B17491" s="34" t="s">
        <v>32084</v>
      </c>
      <c r="C17491" s="34" t="s">
        <v>107</v>
      </c>
      <c r="E17491" s="30" t="s">
        <v>14268</v>
      </c>
      <c r="F17491" s="34" t="n">
        <f aca="false">IFERROR(VLOOKUP($A17491,'319'!$B:$H,7,0),0)</f>
        <v>0</v>
      </c>
      <c r="G17491" s="34" t="n">
        <f aca="false">SUMIFS('12.326ana'!$C:$C,'12.326ana'!$M:$M,redes!A17491)</f>
        <v>0</v>
      </c>
    </row>
    <row r="17492" customFormat="false" ht="14.4" hidden="true" customHeight="false" outlineLevel="0" collapsed="false">
      <c r="A17492" s="34" t="n">
        <v>37559945000158</v>
      </c>
      <c r="B17492" s="34" t="s">
        <v>32085</v>
      </c>
      <c r="C17492" s="34" t="s">
        <v>405</v>
      </c>
      <c r="E17492" s="30" t="s">
        <v>12256</v>
      </c>
      <c r="F17492" s="34" t="n">
        <f aca="false">IFERROR(VLOOKUP($A17492,'319'!$B:$H,7,0),0)</f>
        <v>0</v>
      </c>
      <c r="G17492" s="34" t="n">
        <f aca="false">SUMIFS('12.326ana'!$C:$C,'12.326ana'!$M:$M,redes!A17492)</f>
        <v>0</v>
      </c>
    </row>
    <row r="17493" customFormat="false" ht="14.4" hidden="true" customHeight="false" outlineLevel="0" collapsed="false">
      <c r="A17493" s="34" t="n">
        <v>37560653000135</v>
      </c>
      <c r="B17493" s="34" t="s">
        <v>32086</v>
      </c>
      <c r="C17493" s="34" t="s">
        <v>478</v>
      </c>
      <c r="E17493" s="30" t="s">
        <v>32087</v>
      </c>
      <c r="F17493" s="34" t="n">
        <f aca="false">IFERROR(VLOOKUP($A17493,'319'!$B:$H,7,0),0)</f>
        <v>0</v>
      </c>
      <c r="G17493" s="34" t="n">
        <f aca="false">SUMIFS('12.326ana'!$C:$C,'12.326ana'!$M:$M,redes!A17493)</f>
        <v>0</v>
      </c>
    </row>
    <row r="17494" customFormat="false" ht="14.4" hidden="true" customHeight="false" outlineLevel="0" collapsed="false">
      <c r="A17494" s="34" t="n">
        <v>37561545000187</v>
      </c>
      <c r="B17494" s="34" t="s">
        <v>32088</v>
      </c>
      <c r="C17494" s="34" t="s">
        <v>781</v>
      </c>
      <c r="E17494" s="30" t="s">
        <v>17473</v>
      </c>
      <c r="F17494" s="34" t="n">
        <f aca="false">IFERROR(VLOOKUP($A17494,'319'!$B:$H,7,0),0)</f>
        <v>0</v>
      </c>
      <c r="G17494" s="34" t="n">
        <f aca="false">SUMIFS('12.326ana'!$C:$C,'12.326ana'!$M:$M,redes!A17494)</f>
        <v>0</v>
      </c>
    </row>
    <row r="17495" customFormat="false" ht="14.4" hidden="true" customHeight="false" outlineLevel="0" collapsed="false">
      <c r="A17495" s="34" t="n">
        <v>37562303000108</v>
      </c>
      <c r="B17495" s="34" t="s">
        <v>32089</v>
      </c>
      <c r="C17495" s="34" t="s">
        <v>328</v>
      </c>
      <c r="E17495" s="30" t="s">
        <v>32090</v>
      </c>
      <c r="F17495" s="34" t="n">
        <f aca="false">IFERROR(VLOOKUP($A17495,'319'!$B:$H,7,0),0)</f>
        <v>0</v>
      </c>
      <c r="G17495" s="34" t="n">
        <f aca="false">SUMIFS('12.326ana'!$C:$C,'12.326ana'!$M:$M,redes!A17495)</f>
        <v>0</v>
      </c>
    </row>
    <row r="17496" customFormat="false" ht="14.4" hidden="true" customHeight="false" outlineLevel="0" collapsed="false">
      <c r="A17496" s="34" t="n">
        <v>37562675000134</v>
      </c>
      <c r="B17496" s="34" t="s">
        <v>32091</v>
      </c>
      <c r="C17496" s="34" t="s">
        <v>4139</v>
      </c>
      <c r="E17496" s="30" t="s">
        <v>32092</v>
      </c>
      <c r="F17496" s="34" t="n">
        <f aca="false">IFERROR(VLOOKUP($A17496,'319'!$B:$H,7,0),0)</f>
        <v>0</v>
      </c>
      <c r="G17496" s="34" t="n">
        <f aca="false">SUMIFS('12.326ana'!$C:$C,'12.326ana'!$M:$M,redes!A17496)</f>
        <v>0</v>
      </c>
    </row>
    <row r="17497" customFormat="false" ht="14.4" hidden="true" customHeight="false" outlineLevel="0" collapsed="false">
      <c r="A17497" s="34" t="n">
        <v>37562832000101</v>
      </c>
      <c r="B17497" s="34" t="s">
        <v>32093</v>
      </c>
      <c r="C17497" s="34" t="s">
        <v>377</v>
      </c>
      <c r="E17497" s="30" t="s">
        <v>32094</v>
      </c>
      <c r="F17497" s="34" t="n">
        <f aca="false">IFERROR(VLOOKUP($A17497,'319'!$B:$H,7,0),0)</f>
        <v>0</v>
      </c>
      <c r="G17497" s="34" t="n">
        <f aca="false">SUMIFS('12.326ana'!$C:$C,'12.326ana'!$M:$M,redes!A17497)</f>
        <v>0</v>
      </c>
    </row>
    <row r="17498" customFormat="false" ht="14.4" hidden="true" customHeight="false" outlineLevel="0" collapsed="false">
      <c r="A17498" s="34" t="n">
        <v>37562857000105</v>
      </c>
      <c r="B17498" s="34" t="s">
        <v>32095</v>
      </c>
      <c r="C17498" s="34" t="s">
        <v>6278</v>
      </c>
      <c r="E17498" s="30" t="s">
        <v>32096</v>
      </c>
      <c r="F17498" s="34" t="n">
        <f aca="false">IFERROR(VLOOKUP($A17498,'319'!$B:$H,7,0),0)</f>
        <v>0</v>
      </c>
      <c r="G17498" s="34" t="n">
        <f aca="false">SUMIFS('12.326ana'!$C:$C,'12.326ana'!$M:$M,redes!A17498)</f>
        <v>0</v>
      </c>
    </row>
    <row r="17499" customFormat="false" ht="14.4" hidden="true" customHeight="false" outlineLevel="0" collapsed="false">
      <c r="A17499" s="34" t="n">
        <v>37563152000102</v>
      </c>
      <c r="B17499" s="34" t="s">
        <v>32097</v>
      </c>
      <c r="C17499" s="34" t="s">
        <v>604</v>
      </c>
      <c r="E17499" s="30" t="s">
        <v>32098</v>
      </c>
      <c r="F17499" s="34" t="n">
        <f aca="false">IFERROR(VLOOKUP($A17499,'319'!$B:$H,7,0),0)</f>
        <v>0</v>
      </c>
      <c r="G17499" s="34" t="n">
        <f aca="false">SUMIFS('12.326ana'!$C:$C,'12.326ana'!$M:$M,redes!A17499)</f>
        <v>0</v>
      </c>
    </row>
    <row r="17500" customFormat="false" ht="14.4" hidden="true" customHeight="false" outlineLevel="0" collapsed="false">
      <c r="A17500" s="34" t="n">
        <v>37563265000108</v>
      </c>
      <c r="B17500" s="34" t="s">
        <v>1606</v>
      </c>
      <c r="C17500" s="34" t="s">
        <v>139</v>
      </c>
      <c r="D17500" s="34" t="s">
        <v>30502</v>
      </c>
      <c r="E17500" s="30" t="s">
        <v>32099</v>
      </c>
      <c r="F17500" s="34" t="n">
        <f aca="false">IFERROR(VLOOKUP($A17500,'319'!$B:$H,7,0),0)</f>
        <v>88.6</v>
      </c>
      <c r="G17500" s="34" t="n">
        <f aca="false">SUMIFS('12.326ana'!$C:$C,'12.326ana'!$M:$M,redes!A17500)</f>
        <v>0</v>
      </c>
    </row>
    <row r="17501" customFormat="false" ht="14.4" hidden="true" customHeight="false" outlineLevel="0" collapsed="false">
      <c r="A17501" s="34" t="n">
        <v>37563265000370</v>
      </c>
      <c r="B17501" s="34" t="s">
        <v>1606</v>
      </c>
      <c r="C17501" s="34" t="s">
        <v>139</v>
      </c>
      <c r="D17501" s="34" t="s">
        <v>30502</v>
      </c>
      <c r="E17501" s="30" t="s">
        <v>32100</v>
      </c>
      <c r="F17501" s="34" t="n">
        <f aca="false">IFERROR(VLOOKUP($A17501,'319'!$B:$H,7,0),0)</f>
        <v>88.6</v>
      </c>
      <c r="G17501" s="34" t="n">
        <f aca="false">SUMIFS('12.326ana'!$C:$C,'12.326ana'!$M:$M,redes!A17501)</f>
        <v>0</v>
      </c>
    </row>
    <row r="17502" customFormat="false" ht="14.4" hidden="true" customHeight="false" outlineLevel="0" collapsed="false">
      <c r="A17502" s="34" t="n">
        <v>37563509000152</v>
      </c>
      <c r="B17502" s="34" t="s">
        <v>32101</v>
      </c>
      <c r="C17502" s="34" t="s">
        <v>77</v>
      </c>
      <c r="E17502" s="30" t="s">
        <v>6677</v>
      </c>
      <c r="F17502" s="34" t="n">
        <f aca="false">IFERROR(VLOOKUP($A17502,'319'!$B:$H,7,0),0)</f>
        <v>0</v>
      </c>
      <c r="G17502" s="34" t="n">
        <f aca="false">SUMIFS('12.326ana'!$C:$C,'12.326ana'!$M:$M,redes!A17502)</f>
        <v>0</v>
      </c>
    </row>
    <row r="17503" customFormat="false" ht="14.4" hidden="true" customHeight="false" outlineLevel="0" collapsed="false">
      <c r="A17503" s="34" t="n">
        <v>37563525000145</v>
      </c>
      <c r="B17503" s="34" t="s">
        <v>32102</v>
      </c>
      <c r="C17503" s="34" t="s">
        <v>77</v>
      </c>
      <c r="E17503" s="30" t="s">
        <v>32103</v>
      </c>
      <c r="F17503" s="34" t="n">
        <f aca="false">IFERROR(VLOOKUP($A17503,'319'!$B:$H,7,0),0)</f>
        <v>0</v>
      </c>
      <c r="G17503" s="34" t="n">
        <f aca="false">SUMIFS('12.326ana'!$C:$C,'12.326ana'!$M:$M,redes!A17503)</f>
        <v>0</v>
      </c>
    </row>
    <row r="17504" customFormat="false" ht="14.4" hidden="true" customHeight="false" outlineLevel="0" collapsed="false">
      <c r="A17504" s="34" t="n">
        <v>37563731000155</v>
      </c>
      <c r="B17504" s="34" t="s">
        <v>32104</v>
      </c>
      <c r="C17504" s="34" t="s">
        <v>604</v>
      </c>
      <c r="E17504" s="30" t="s">
        <v>32105</v>
      </c>
      <c r="F17504" s="34" t="n">
        <f aca="false">IFERROR(VLOOKUP($A17504,'319'!$B:$H,7,0),0)</f>
        <v>0</v>
      </c>
      <c r="G17504" s="34" t="n">
        <f aca="false">SUMIFS('12.326ana'!$C:$C,'12.326ana'!$M:$M,redes!A17504)</f>
        <v>0</v>
      </c>
    </row>
    <row r="17505" customFormat="false" ht="14.4" hidden="true" customHeight="false" outlineLevel="0" collapsed="false">
      <c r="A17505" s="34" t="n">
        <v>37564283000104</v>
      </c>
      <c r="B17505" s="34" t="s">
        <v>32106</v>
      </c>
      <c r="C17505" s="34" t="s">
        <v>107</v>
      </c>
      <c r="E17505" s="30" t="s">
        <v>9363</v>
      </c>
      <c r="F17505" s="34" t="n">
        <f aca="false">IFERROR(VLOOKUP($A17505,'319'!$B:$H,7,0),0)</f>
        <v>0</v>
      </c>
      <c r="G17505" s="34" t="n">
        <f aca="false">SUMIFS('12.326ana'!$C:$C,'12.326ana'!$M:$M,redes!A17505)</f>
        <v>0</v>
      </c>
    </row>
    <row r="17506" customFormat="false" ht="14.4" hidden="true" customHeight="false" outlineLevel="0" collapsed="false">
      <c r="A17506" s="34" t="n">
        <v>37564515000124</v>
      </c>
      <c r="B17506" s="34" t="s">
        <v>32107</v>
      </c>
      <c r="C17506" s="34" t="s">
        <v>117</v>
      </c>
      <c r="E17506" s="30" t="s">
        <v>15977</v>
      </c>
      <c r="F17506" s="34" t="n">
        <f aca="false">IFERROR(VLOOKUP($A17506,'319'!$B:$H,7,0),0)</f>
        <v>0</v>
      </c>
      <c r="G17506" s="34" t="n">
        <f aca="false">SUMIFS('12.326ana'!$C:$C,'12.326ana'!$M:$M,redes!A17506)</f>
        <v>0</v>
      </c>
    </row>
    <row r="17507" customFormat="false" ht="14.4" hidden="true" customHeight="false" outlineLevel="0" collapsed="false">
      <c r="A17507" s="34" t="n">
        <v>37564523000170</v>
      </c>
      <c r="B17507" s="34" t="s">
        <v>32108</v>
      </c>
      <c r="C17507" s="34" t="s">
        <v>328</v>
      </c>
      <c r="E17507" s="30" t="s">
        <v>32109</v>
      </c>
      <c r="F17507" s="34" t="n">
        <f aca="false">IFERROR(VLOOKUP($A17507,'319'!$B:$H,7,0),0)</f>
        <v>0</v>
      </c>
      <c r="G17507" s="34" t="n">
        <f aca="false">SUMIFS('12.326ana'!$C:$C,'12.326ana'!$M:$M,redes!A17507)</f>
        <v>0</v>
      </c>
    </row>
    <row r="17508" customFormat="false" ht="14.4" hidden="true" customHeight="false" outlineLevel="0" collapsed="false">
      <c r="A17508" s="34" t="n">
        <v>37564598000151</v>
      </c>
      <c r="B17508" s="34" t="s">
        <v>32110</v>
      </c>
      <c r="C17508" s="34" t="s">
        <v>405</v>
      </c>
      <c r="E17508" s="30" t="s">
        <v>4873</v>
      </c>
      <c r="F17508" s="34" t="n">
        <f aca="false">IFERROR(VLOOKUP($A17508,'319'!$B:$H,7,0),0)</f>
        <v>0</v>
      </c>
      <c r="G17508" s="34" t="n">
        <f aca="false">SUMIFS('12.326ana'!$C:$C,'12.326ana'!$M:$M,redes!A17508)</f>
        <v>0</v>
      </c>
    </row>
    <row r="17509" customFormat="false" ht="14.4" hidden="true" customHeight="false" outlineLevel="0" collapsed="false">
      <c r="A17509" s="34" t="n">
        <v>37564705000141</v>
      </c>
      <c r="B17509" s="34" t="s">
        <v>32111</v>
      </c>
      <c r="C17509" s="34" t="s">
        <v>77</v>
      </c>
      <c r="E17509" s="30" t="s">
        <v>7071</v>
      </c>
      <c r="F17509" s="34" t="n">
        <f aca="false">IFERROR(VLOOKUP($A17509,'319'!$B:$H,7,0),0)</f>
        <v>0</v>
      </c>
      <c r="G17509" s="34" t="n">
        <f aca="false">SUMIFS('12.326ana'!$C:$C,'12.326ana'!$M:$M,redes!A17509)</f>
        <v>0</v>
      </c>
    </row>
    <row r="17510" customFormat="false" ht="14.4" hidden="true" customHeight="false" outlineLevel="0" collapsed="false">
      <c r="A17510" s="34" t="n">
        <v>37565942000127</v>
      </c>
      <c r="B17510" s="34" t="s">
        <v>32112</v>
      </c>
      <c r="C17510" s="34" t="s">
        <v>77</v>
      </c>
      <c r="E17510" s="30" t="s">
        <v>32113</v>
      </c>
      <c r="F17510" s="34" t="n">
        <f aca="false">IFERROR(VLOOKUP($A17510,'319'!$B:$H,7,0),0)</f>
        <v>0</v>
      </c>
      <c r="G17510" s="34" t="n">
        <f aca="false">SUMIFS('12.326ana'!$C:$C,'12.326ana'!$M:$M,redes!A17510)</f>
        <v>0</v>
      </c>
    </row>
    <row r="17511" customFormat="false" ht="14.4" hidden="true" customHeight="false" outlineLevel="0" collapsed="false">
      <c r="A17511" s="34" t="n">
        <v>37566825000188</v>
      </c>
      <c r="B17511" s="34" t="s">
        <v>32114</v>
      </c>
      <c r="C17511" s="34" t="s">
        <v>77</v>
      </c>
      <c r="E17511" s="30" t="s">
        <v>32115</v>
      </c>
      <c r="F17511" s="34" t="n">
        <f aca="false">IFERROR(VLOOKUP($A17511,'319'!$B:$H,7,0),0)</f>
        <v>0</v>
      </c>
      <c r="G17511" s="34" t="n">
        <f aca="false">SUMIFS('12.326ana'!$C:$C,'12.326ana'!$M:$M,redes!A17511)</f>
        <v>0</v>
      </c>
    </row>
    <row r="17512" customFormat="false" ht="14.4" hidden="true" customHeight="false" outlineLevel="0" collapsed="false">
      <c r="A17512" s="34" t="n">
        <v>37566981000149</v>
      </c>
      <c r="B17512" s="34" t="s">
        <v>32116</v>
      </c>
      <c r="C17512" s="34" t="s">
        <v>1602</v>
      </c>
      <c r="E17512" s="30" t="s">
        <v>32117</v>
      </c>
      <c r="F17512" s="34" t="n">
        <f aca="false">IFERROR(VLOOKUP($A17512,'319'!$B:$H,7,0),0)</f>
        <v>0</v>
      </c>
      <c r="G17512" s="34" t="n">
        <f aca="false">SUMIFS('12.326ana'!$C:$C,'12.326ana'!$M:$M,redes!A17512)</f>
        <v>0</v>
      </c>
    </row>
    <row r="17513" customFormat="false" ht="14.4" hidden="true" customHeight="false" outlineLevel="0" collapsed="false">
      <c r="A17513" s="34" t="n">
        <v>37567062000190</v>
      </c>
      <c r="B17513" s="34" t="s">
        <v>32118</v>
      </c>
      <c r="C17513" s="34" t="s">
        <v>296</v>
      </c>
      <c r="E17513" s="30" t="s">
        <v>32119</v>
      </c>
      <c r="F17513" s="34" t="n">
        <f aca="false">IFERROR(VLOOKUP($A17513,'319'!$B:$H,7,0),0)</f>
        <v>0</v>
      </c>
      <c r="G17513" s="34" t="n">
        <f aca="false">SUMIFS('12.326ana'!$C:$C,'12.326ana'!$M:$M,redes!A17513)</f>
        <v>0</v>
      </c>
    </row>
    <row r="17514" customFormat="false" ht="14.4" hidden="true" customHeight="false" outlineLevel="0" collapsed="false">
      <c r="A17514" s="34" t="n">
        <v>37568177000107</v>
      </c>
      <c r="B17514" s="34" t="s">
        <v>32120</v>
      </c>
      <c r="C17514" s="34" t="s">
        <v>213</v>
      </c>
      <c r="E17514" s="30" t="s">
        <v>32121</v>
      </c>
      <c r="F17514" s="34" t="n">
        <f aca="false">IFERROR(VLOOKUP($A17514,'319'!$B:$H,7,0),0)</f>
        <v>0</v>
      </c>
      <c r="G17514" s="34" t="n">
        <f aca="false">SUMIFS('12.326ana'!$C:$C,'12.326ana'!$M:$M,redes!A17514)</f>
        <v>0</v>
      </c>
    </row>
    <row r="17515" customFormat="false" ht="14.4" hidden="true" customHeight="false" outlineLevel="0" collapsed="false">
      <c r="A17515" s="34" t="n">
        <v>37568672000108</v>
      </c>
      <c r="B17515" s="34" t="s">
        <v>32122</v>
      </c>
      <c r="C17515" s="34" t="s">
        <v>192</v>
      </c>
      <c r="E17515" s="30" t="s">
        <v>14193</v>
      </c>
      <c r="F17515" s="34" t="n">
        <f aca="false">IFERROR(VLOOKUP($A17515,'319'!$B:$H,7,0),0)</f>
        <v>0</v>
      </c>
      <c r="G17515" s="34" t="n">
        <f aca="false">SUMIFS('12.326ana'!$C:$C,'12.326ana'!$M:$M,redes!A17515)</f>
        <v>0</v>
      </c>
    </row>
    <row r="17516" customFormat="false" ht="14.4" hidden="true" customHeight="false" outlineLevel="0" collapsed="false">
      <c r="A17516" s="34" t="n">
        <v>37568946000169</v>
      </c>
      <c r="B17516" s="34" t="s">
        <v>32123</v>
      </c>
      <c r="C17516" s="34" t="s">
        <v>139</v>
      </c>
      <c r="E17516" s="30" t="s">
        <v>7266</v>
      </c>
      <c r="F17516" s="34" t="n">
        <f aca="false">IFERROR(VLOOKUP($A17516,'319'!$B:$H,7,0),0)</f>
        <v>0</v>
      </c>
      <c r="G17516" s="34" t="n">
        <f aca="false">SUMIFS('12.326ana'!$C:$C,'12.326ana'!$M:$M,redes!A17516)</f>
        <v>0</v>
      </c>
    </row>
    <row r="17517" customFormat="false" ht="14.4" hidden="true" customHeight="false" outlineLevel="0" collapsed="false">
      <c r="A17517" s="34" t="n">
        <v>37568961000107</v>
      </c>
      <c r="B17517" s="34" t="s">
        <v>32124</v>
      </c>
      <c r="C17517" s="34" t="s">
        <v>77</v>
      </c>
      <c r="E17517" s="30" t="s">
        <v>19352</v>
      </c>
      <c r="F17517" s="34" t="n">
        <f aca="false">IFERROR(VLOOKUP($A17517,'319'!$B:$H,7,0),0)</f>
        <v>0</v>
      </c>
      <c r="G17517" s="34" t="n">
        <f aca="false">SUMIFS('12.326ana'!$C:$C,'12.326ana'!$M:$M,redes!A17517)</f>
        <v>0</v>
      </c>
    </row>
    <row r="17518" customFormat="false" ht="14.4" hidden="true" customHeight="false" outlineLevel="0" collapsed="false">
      <c r="A17518" s="34" t="n">
        <v>37569076000142</v>
      </c>
      <c r="B17518" s="34" t="s">
        <v>32125</v>
      </c>
      <c r="C17518" s="34" t="s">
        <v>4261</v>
      </c>
      <c r="E17518" s="30" t="s">
        <v>5180</v>
      </c>
      <c r="F17518" s="34" t="n">
        <f aca="false">IFERROR(VLOOKUP($A17518,'319'!$B:$H,7,0),0)</f>
        <v>0</v>
      </c>
      <c r="G17518" s="34" t="n">
        <f aca="false">SUMIFS('12.326ana'!$C:$C,'12.326ana'!$M:$M,redes!A17518)</f>
        <v>0</v>
      </c>
    </row>
    <row r="17519" customFormat="false" ht="14.4" hidden="true" customHeight="false" outlineLevel="0" collapsed="false">
      <c r="A17519" s="34" t="n">
        <v>37569456000187</v>
      </c>
      <c r="B17519" s="34" t="s">
        <v>32126</v>
      </c>
      <c r="C17519" s="34" t="s">
        <v>473</v>
      </c>
      <c r="E17519" s="30" t="s">
        <v>13527</v>
      </c>
      <c r="F17519" s="34" t="n">
        <f aca="false">IFERROR(VLOOKUP($A17519,'319'!$B:$H,7,0),0)</f>
        <v>0</v>
      </c>
      <c r="G17519" s="34" t="n">
        <f aca="false">SUMIFS('12.326ana'!$C:$C,'12.326ana'!$M:$M,redes!A17519)</f>
        <v>0</v>
      </c>
    </row>
    <row r="17520" customFormat="false" ht="14.4" hidden="true" customHeight="false" outlineLevel="0" collapsed="false">
      <c r="A17520" s="34" t="n">
        <v>37569589000153</v>
      </c>
      <c r="B17520" s="34" t="s">
        <v>32127</v>
      </c>
      <c r="C17520" s="34" t="s">
        <v>598</v>
      </c>
      <c r="E17520" s="30" t="s">
        <v>32128</v>
      </c>
      <c r="F17520" s="34" t="n">
        <f aca="false">IFERROR(VLOOKUP($A17520,'319'!$B:$H,7,0),0)</f>
        <v>0</v>
      </c>
      <c r="G17520" s="34" t="n">
        <f aca="false">SUMIFS('12.326ana'!$C:$C,'12.326ana'!$M:$M,redes!A17520)</f>
        <v>0</v>
      </c>
    </row>
    <row r="17521" customFormat="false" ht="14.4" hidden="true" customHeight="false" outlineLevel="0" collapsed="false">
      <c r="A17521" s="34" t="n">
        <v>37570181000100</v>
      </c>
      <c r="B17521" s="34" t="s">
        <v>552</v>
      </c>
      <c r="C17521" s="34" t="s">
        <v>299</v>
      </c>
      <c r="D17521" s="34" t="s">
        <v>25328</v>
      </c>
      <c r="E17521" s="30" t="s">
        <v>32129</v>
      </c>
      <c r="F17521" s="34" t="n">
        <f aca="false">IFERROR(VLOOKUP($A17521,'319'!$B:$H,7,0),0)</f>
        <v>26415.13</v>
      </c>
      <c r="G17521" s="34" t="n">
        <f aca="false">SUMIFS('12.326ana'!$C:$C,'12.326ana'!$M:$M,redes!A17521)</f>
        <v>27822.87</v>
      </c>
    </row>
    <row r="17522" customFormat="false" ht="14.4" hidden="true" customHeight="false" outlineLevel="0" collapsed="false">
      <c r="A17522" s="34" t="n">
        <v>37570181000282</v>
      </c>
      <c r="B17522" s="34" t="s">
        <v>32130</v>
      </c>
      <c r="C17522" s="34" t="s">
        <v>299</v>
      </c>
      <c r="D17522" s="34" t="s">
        <v>25328</v>
      </c>
      <c r="E17522" s="30" t="s">
        <v>28792</v>
      </c>
      <c r="F17522" s="34" t="n">
        <f aca="false">IFERROR(VLOOKUP($A17522,'319'!$B:$H,7,0),0)</f>
        <v>193.92</v>
      </c>
      <c r="G17522" s="34" t="n">
        <f aca="false">SUMIFS('12.326ana'!$C:$C,'12.326ana'!$M:$M,redes!A17522)</f>
        <v>0</v>
      </c>
    </row>
    <row r="17523" customFormat="false" ht="14.4" hidden="true" customHeight="false" outlineLevel="0" collapsed="false">
      <c r="A17523" s="34" t="n">
        <v>37570280000183</v>
      </c>
      <c r="B17523" s="34" t="s">
        <v>32131</v>
      </c>
      <c r="C17523" s="34" t="s">
        <v>107</v>
      </c>
      <c r="E17523" s="30" t="s">
        <v>32132</v>
      </c>
      <c r="F17523" s="34" t="n">
        <f aca="false">IFERROR(VLOOKUP($A17523,'319'!$B:$H,7,0),0)</f>
        <v>0</v>
      </c>
      <c r="G17523" s="34" t="n">
        <f aca="false">SUMIFS('12.326ana'!$C:$C,'12.326ana'!$M:$M,redes!A17523)</f>
        <v>0</v>
      </c>
    </row>
    <row r="17524" customFormat="false" ht="14.4" hidden="true" customHeight="false" outlineLevel="0" collapsed="false">
      <c r="A17524" s="34" t="n">
        <v>37570371000119</v>
      </c>
      <c r="B17524" s="34" t="s">
        <v>32133</v>
      </c>
      <c r="C17524" s="34" t="s">
        <v>192</v>
      </c>
      <c r="E17524" s="30" t="s">
        <v>32134</v>
      </c>
      <c r="F17524" s="34" t="n">
        <f aca="false">IFERROR(VLOOKUP($A17524,'319'!$B:$H,7,0),0)</f>
        <v>0</v>
      </c>
      <c r="G17524" s="34" t="n">
        <f aca="false">SUMIFS('12.326ana'!$C:$C,'12.326ana'!$M:$M,redes!A17524)</f>
        <v>0</v>
      </c>
    </row>
    <row r="17525" customFormat="false" ht="14.4" hidden="true" customHeight="false" outlineLevel="0" collapsed="false">
      <c r="A17525" s="34" t="n">
        <v>37570371000208</v>
      </c>
      <c r="B17525" s="34" t="s">
        <v>32135</v>
      </c>
      <c r="C17525" s="34" t="s">
        <v>192</v>
      </c>
      <c r="E17525" s="30" t="s">
        <v>32136</v>
      </c>
      <c r="F17525" s="34" t="n">
        <f aca="false">IFERROR(VLOOKUP($A17525,'319'!$B:$H,7,0),0)</f>
        <v>0</v>
      </c>
      <c r="G17525" s="34" t="n">
        <f aca="false">SUMIFS('12.326ana'!$C:$C,'12.326ana'!$M:$M,redes!A17525)</f>
        <v>0</v>
      </c>
    </row>
    <row r="17526" customFormat="false" ht="14.4" hidden="true" customHeight="false" outlineLevel="0" collapsed="false">
      <c r="A17526" s="34" t="n">
        <v>37570678000110</v>
      </c>
      <c r="B17526" s="34" t="s">
        <v>32137</v>
      </c>
      <c r="C17526" s="34" t="s">
        <v>77</v>
      </c>
      <c r="E17526" s="30" t="s">
        <v>10626</v>
      </c>
      <c r="F17526" s="34" t="n">
        <f aca="false">IFERROR(VLOOKUP($A17526,'319'!$B:$H,7,0),0)</f>
        <v>0</v>
      </c>
      <c r="G17526" s="34" t="n">
        <f aca="false">SUMIFS('12.326ana'!$C:$C,'12.326ana'!$M:$M,redes!A17526)</f>
        <v>0</v>
      </c>
    </row>
    <row r="17527" customFormat="false" ht="14.4" hidden="true" customHeight="false" outlineLevel="0" collapsed="false">
      <c r="A17527" s="34" t="n">
        <v>37570967000119</v>
      </c>
      <c r="B17527" s="34" t="s">
        <v>32138</v>
      </c>
      <c r="C17527" s="34" t="s">
        <v>77</v>
      </c>
      <c r="E17527" s="30" t="s">
        <v>3112</v>
      </c>
      <c r="F17527" s="34" t="n">
        <f aca="false">IFERROR(VLOOKUP($A17527,'319'!$B:$H,7,0),0)</f>
        <v>0</v>
      </c>
      <c r="G17527" s="34" t="n">
        <f aca="false">SUMIFS('12.326ana'!$C:$C,'12.326ana'!$M:$M,redes!A17527)</f>
        <v>0</v>
      </c>
    </row>
    <row r="17528" customFormat="false" ht="14.4" hidden="true" customHeight="false" outlineLevel="0" collapsed="false">
      <c r="A17528" s="34" t="n">
        <v>37572120000173</v>
      </c>
      <c r="B17528" s="34" t="s">
        <v>32139</v>
      </c>
      <c r="C17528" s="34" t="s">
        <v>77</v>
      </c>
      <c r="E17528" s="30" t="s">
        <v>32140</v>
      </c>
      <c r="F17528" s="34" t="n">
        <f aca="false">IFERROR(VLOOKUP($A17528,'319'!$B:$H,7,0),0)</f>
        <v>0</v>
      </c>
      <c r="G17528" s="34" t="n">
        <f aca="false">SUMIFS('12.326ana'!$C:$C,'12.326ana'!$M:$M,redes!A17528)</f>
        <v>0</v>
      </c>
    </row>
    <row r="17529" customFormat="false" ht="14.4" hidden="true" customHeight="false" outlineLevel="0" collapsed="false">
      <c r="A17529" s="34" t="n">
        <v>37572146000111</v>
      </c>
      <c r="B17529" s="34" t="s">
        <v>32141</v>
      </c>
      <c r="C17529" s="34" t="s">
        <v>299</v>
      </c>
      <c r="E17529" s="30" t="s">
        <v>3337</v>
      </c>
      <c r="F17529" s="34" t="n">
        <f aca="false">IFERROR(VLOOKUP($A17529,'319'!$B:$H,7,0),0)</f>
        <v>0</v>
      </c>
      <c r="G17529" s="34" t="n">
        <f aca="false">SUMIFS('12.326ana'!$C:$C,'12.326ana'!$M:$M,redes!A17529)</f>
        <v>0</v>
      </c>
    </row>
    <row r="17530" customFormat="false" ht="14.4" hidden="true" customHeight="false" outlineLevel="0" collapsed="false">
      <c r="A17530" s="34" t="n">
        <v>37572278000143</v>
      </c>
      <c r="B17530" s="34" t="s">
        <v>32142</v>
      </c>
      <c r="C17530" s="34" t="s">
        <v>77</v>
      </c>
      <c r="D17530" s="34" t="s">
        <v>33</v>
      </c>
      <c r="E17530" s="30" t="s">
        <v>32143</v>
      </c>
      <c r="F17530" s="34" t="n">
        <f aca="false">IFERROR(VLOOKUP($A17530,'319'!$B:$H,7,0),0)</f>
        <v>0</v>
      </c>
      <c r="G17530" s="34" t="n">
        <f aca="false">SUMIFS('12.326ana'!$C:$C,'12.326ana'!$M:$M,redes!A17530)</f>
        <v>0</v>
      </c>
    </row>
    <row r="17531" customFormat="false" ht="14.4" hidden="true" customHeight="false" outlineLevel="0" collapsed="false">
      <c r="A17531" s="34" t="n">
        <v>37572914000137</v>
      </c>
      <c r="B17531" s="34" t="s">
        <v>32144</v>
      </c>
      <c r="C17531" s="34" t="s">
        <v>405</v>
      </c>
      <c r="E17531" s="30" t="s">
        <v>32145</v>
      </c>
      <c r="F17531" s="34" t="n">
        <f aca="false">IFERROR(VLOOKUP($A17531,'319'!$B:$H,7,0),0)</f>
        <v>0</v>
      </c>
      <c r="G17531" s="34" t="n">
        <f aca="false">SUMIFS('12.326ana'!$C:$C,'12.326ana'!$M:$M,redes!A17531)</f>
        <v>0</v>
      </c>
    </row>
    <row r="17532" customFormat="false" ht="14.4" hidden="true" customHeight="false" outlineLevel="0" collapsed="false">
      <c r="A17532" s="34" t="n">
        <v>37573805000134</v>
      </c>
      <c r="B17532" s="34" t="s">
        <v>32146</v>
      </c>
      <c r="C17532" s="34" t="s">
        <v>377</v>
      </c>
      <c r="E17532" s="30" t="s">
        <v>32147</v>
      </c>
      <c r="F17532" s="34" t="n">
        <f aca="false">IFERROR(VLOOKUP($A17532,'319'!$B:$H,7,0),0)</f>
        <v>0</v>
      </c>
      <c r="G17532" s="34" t="n">
        <f aca="false">SUMIFS('12.326ana'!$C:$C,'12.326ana'!$M:$M,redes!A17532)</f>
        <v>0</v>
      </c>
    </row>
    <row r="17533" customFormat="false" ht="14.4" hidden="true" customHeight="false" outlineLevel="0" collapsed="false">
      <c r="A17533" s="34" t="n">
        <v>37574225000161</v>
      </c>
      <c r="B17533" s="34" t="s">
        <v>32148</v>
      </c>
      <c r="C17533" s="34" t="s">
        <v>562</v>
      </c>
      <c r="E17533" s="30" t="s">
        <v>32149</v>
      </c>
      <c r="F17533" s="34" t="n">
        <f aca="false">IFERROR(VLOOKUP($A17533,'319'!$B:$H,7,0),0)</f>
        <v>0</v>
      </c>
      <c r="G17533" s="34" t="n">
        <f aca="false">SUMIFS('12.326ana'!$C:$C,'12.326ana'!$M:$M,redes!A17533)</f>
        <v>0</v>
      </c>
    </row>
    <row r="17534" customFormat="false" ht="14.4" hidden="true" customHeight="false" outlineLevel="0" collapsed="false">
      <c r="A17534" s="34" t="n">
        <v>37574241000154</v>
      </c>
      <c r="B17534" s="34" t="s">
        <v>32150</v>
      </c>
      <c r="C17534" s="34" t="s">
        <v>77</v>
      </c>
      <c r="E17534" s="30" t="s">
        <v>13304</v>
      </c>
      <c r="F17534" s="34" t="n">
        <f aca="false">IFERROR(VLOOKUP($A17534,'319'!$B:$H,7,0),0)</f>
        <v>0</v>
      </c>
      <c r="G17534" s="34" t="n">
        <f aca="false">SUMIFS('12.326ana'!$C:$C,'12.326ana'!$M:$M,redes!A17534)</f>
        <v>0</v>
      </c>
    </row>
    <row r="17535" customFormat="false" ht="14.4" hidden="true" customHeight="false" outlineLevel="0" collapsed="false">
      <c r="A17535" s="34" t="n">
        <v>37574258000101</v>
      </c>
      <c r="B17535" s="34" t="s">
        <v>32151</v>
      </c>
      <c r="C17535" s="34" t="s">
        <v>77</v>
      </c>
      <c r="E17535" s="30" t="s">
        <v>32152</v>
      </c>
      <c r="F17535" s="34" t="n">
        <f aca="false">IFERROR(VLOOKUP($A17535,'319'!$B:$H,7,0),0)</f>
        <v>0</v>
      </c>
      <c r="G17535" s="34" t="n">
        <f aca="false">SUMIFS('12.326ana'!$C:$C,'12.326ana'!$M:$M,redes!A17535)</f>
        <v>0</v>
      </c>
    </row>
    <row r="17536" customFormat="false" ht="14.4" hidden="true" customHeight="false" outlineLevel="0" collapsed="false">
      <c r="A17536" s="34" t="n">
        <v>37574308000150</v>
      </c>
      <c r="B17536" s="34" t="s">
        <v>32153</v>
      </c>
      <c r="C17536" s="34" t="s">
        <v>89</v>
      </c>
      <c r="E17536" s="30" t="s">
        <v>9265</v>
      </c>
      <c r="F17536" s="34" t="n">
        <f aca="false">IFERROR(VLOOKUP($A17536,'319'!$B:$H,7,0),0)</f>
        <v>0</v>
      </c>
      <c r="G17536" s="34" t="n">
        <f aca="false">SUMIFS('12.326ana'!$C:$C,'12.326ana'!$M:$M,redes!A17536)</f>
        <v>0</v>
      </c>
    </row>
    <row r="17537" customFormat="false" ht="14.4" hidden="true" customHeight="false" outlineLevel="0" collapsed="false">
      <c r="A17537" s="34" t="n">
        <v>37574381000122</v>
      </c>
      <c r="B17537" s="34" t="s">
        <v>32154</v>
      </c>
      <c r="C17537" s="34" t="s">
        <v>405</v>
      </c>
      <c r="E17537" s="30"/>
      <c r="F17537" s="34" t="n">
        <f aca="false">IFERROR(VLOOKUP($A17537,'319'!$B:$H,7,0),0)</f>
        <v>0</v>
      </c>
      <c r="G17537" s="34" t="n">
        <f aca="false">SUMIFS('12.326ana'!$C:$C,'12.326ana'!$M:$M,redes!A17537)</f>
        <v>0</v>
      </c>
    </row>
    <row r="17538" customFormat="false" ht="14.4" hidden="true" customHeight="false" outlineLevel="0" collapsed="false">
      <c r="A17538" s="34" t="n">
        <v>37574829000108</v>
      </c>
      <c r="B17538" s="34" t="s">
        <v>32155</v>
      </c>
      <c r="C17538" s="34" t="s">
        <v>89</v>
      </c>
      <c r="E17538" s="30" t="s">
        <v>32156</v>
      </c>
      <c r="F17538" s="34" t="n">
        <f aca="false">IFERROR(VLOOKUP($A17538,'319'!$B:$H,7,0),0)</f>
        <v>0</v>
      </c>
      <c r="G17538" s="34" t="n">
        <f aca="false">SUMIFS('12.326ana'!$C:$C,'12.326ana'!$M:$M,redes!A17538)</f>
        <v>0</v>
      </c>
    </row>
    <row r="17539" customFormat="false" ht="14.4" hidden="true" customHeight="false" outlineLevel="0" collapsed="false">
      <c r="A17539" s="34" t="n">
        <v>37575404000113</v>
      </c>
      <c r="B17539" s="34" t="s">
        <v>32157</v>
      </c>
      <c r="C17539" s="34" t="s">
        <v>309</v>
      </c>
      <c r="E17539" s="30" t="s">
        <v>19672</v>
      </c>
      <c r="F17539" s="34" t="n">
        <f aca="false">IFERROR(VLOOKUP($A17539,'319'!$B:$H,7,0),0)</f>
        <v>0</v>
      </c>
      <c r="G17539" s="34" t="n">
        <f aca="false">SUMIFS('12.326ana'!$C:$C,'12.326ana'!$M:$M,redes!A17539)</f>
        <v>0</v>
      </c>
    </row>
    <row r="17540" customFormat="false" ht="14.4" hidden="true" customHeight="false" outlineLevel="0" collapsed="false">
      <c r="A17540" s="34" t="n">
        <v>37575610000123</v>
      </c>
      <c r="B17540" s="34" t="s">
        <v>32158</v>
      </c>
      <c r="C17540" s="34" t="s">
        <v>309</v>
      </c>
      <c r="E17540" s="30" t="s">
        <v>32159</v>
      </c>
      <c r="F17540" s="34" t="n">
        <f aca="false">IFERROR(VLOOKUP($A17540,'319'!$B:$H,7,0),0)</f>
        <v>0</v>
      </c>
      <c r="G17540" s="34" t="n">
        <f aca="false">SUMIFS('12.326ana'!$C:$C,'12.326ana'!$M:$M,redes!A17540)</f>
        <v>0</v>
      </c>
    </row>
    <row r="17541" customFormat="false" ht="14.4" hidden="true" customHeight="false" outlineLevel="0" collapsed="false">
      <c r="A17541" s="34" t="n">
        <v>37576022000104</v>
      </c>
      <c r="B17541" s="34" t="s">
        <v>32160</v>
      </c>
      <c r="C17541" s="34" t="s">
        <v>77</v>
      </c>
      <c r="E17541" s="30" t="s">
        <v>32161</v>
      </c>
      <c r="F17541" s="34" t="n">
        <f aca="false">IFERROR(VLOOKUP($A17541,'319'!$B:$H,7,0),0)</f>
        <v>0</v>
      </c>
      <c r="G17541" s="34" t="n">
        <f aca="false">SUMIFS('12.326ana'!$C:$C,'12.326ana'!$M:$M,redes!A17541)</f>
        <v>0</v>
      </c>
    </row>
    <row r="17542" customFormat="false" ht="14.4" hidden="true" customHeight="false" outlineLevel="0" collapsed="false">
      <c r="A17542" s="34" t="n">
        <v>37576105000101</v>
      </c>
      <c r="B17542" s="34" t="s">
        <v>32162</v>
      </c>
      <c r="C17542" s="34" t="s">
        <v>77</v>
      </c>
      <c r="D17542" s="34" t="s">
        <v>5602</v>
      </c>
      <c r="E17542" s="30" t="s">
        <v>32163</v>
      </c>
      <c r="F17542" s="34" t="n">
        <f aca="false">IFERROR(VLOOKUP($A17542,'319'!$B:$H,7,0),0)</f>
        <v>0</v>
      </c>
      <c r="G17542" s="34" t="n">
        <f aca="false">SUMIFS('12.326ana'!$C:$C,'12.326ana'!$M:$M,redes!A17542)</f>
        <v>0</v>
      </c>
    </row>
    <row r="17543" customFormat="false" ht="14.4" hidden="true" customHeight="false" outlineLevel="0" collapsed="false">
      <c r="A17543" s="34" t="n">
        <v>37576162000182</v>
      </c>
      <c r="B17543" s="34" t="s">
        <v>32164</v>
      </c>
      <c r="C17543" s="34" t="s">
        <v>737</v>
      </c>
      <c r="E17543" s="30" t="s">
        <v>26919</v>
      </c>
      <c r="F17543" s="34" t="n">
        <f aca="false">IFERROR(VLOOKUP($A17543,'319'!$B:$H,7,0),0)</f>
        <v>0</v>
      </c>
      <c r="G17543" s="34" t="n">
        <f aca="false">SUMIFS('12.326ana'!$C:$C,'12.326ana'!$M:$M,redes!A17543)</f>
        <v>0</v>
      </c>
    </row>
    <row r="17544" customFormat="false" ht="14.4" hidden="true" customHeight="false" outlineLevel="0" collapsed="false">
      <c r="A17544" s="34" t="n">
        <v>37577145000160</v>
      </c>
      <c r="B17544" s="34" t="s">
        <v>564</v>
      </c>
      <c r="C17544" s="34" t="s">
        <v>565</v>
      </c>
      <c r="D17544" s="34" t="s">
        <v>32165</v>
      </c>
      <c r="E17544" s="30" t="s">
        <v>32166</v>
      </c>
      <c r="F17544" s="34" t="n">
        <f aca="false">IFERROR(VLOOKUP($A17544,'319'!$B:$H,7,0),0)</f>
        <v>20036.59</v>
      </c>
      <c r="G17544" s="34" t="n">
        <f aca="false">SUMIFS('12.326ana'!$C:$C,'12.326ana'!$M:$M,redes!A17544)</f>
        <v>0</v>
      </c>
    </row>
    <row r="17545" customFormat="false" ht="14.4" hidden="true" customHeight="false" outlineLevel="0" collapsed="false">
      <c r="A17545" s="34" t="n">
        <v>37577145000240</v>
      </c>
      <c r="B17545" s="34" t="s">
        <v>564</v>
      </c>
      <c r="C17545" s="34" t="s">
        <v>565</v>
      </c>
      <c r="D17545" s="34" t="s">
        <v>32165</v>
      </c>
      <c r="E17545" s="30" t="s">
        <v>32167</v>
      </c>
      <c r="F17545" s="34" t="n">
        <f aca="false">IFERROR(VLOOKUP($A17545,'319'!$B:$H,7,0),0)</f>
        <v>17789.34</v>
      </c>
      <c r="G17545" s="34" t="n">
        <f aca="false">SUMIFS('12.326ana'!$C:$C,'12.326ana'!$M:$M,redes!A17545)</f>
        <v>0</v>
      </c>
    </row>
    <row r="17546" customFormat="false" ht="14.4" hidden="true" customHeight="false" outlineLevel="0" collapsed="false">
      <c r="A17546" s="34" t="n">
        <v>37583264000125</v>
      </c>
      <c r="B17546" s="34" t="s">
        <v>32168</v>
      </c>
      <c r="C17546" s="34" t="s">
        <v>77</v>
      </c>
      <c r="E17546" s="30" t="s">
        <v>32168</v>
      </c>
      <c r="F17546" s="34" t="n">
        <f aca="false">IFERROR(VLOOKUP($A17546,'319'!$B:$H,7,0),0)</f>
        <v>0</v>
      </c>
      <c r="G17546" s="34" t="n">
        <f aca="false">SUMIFS('12.326ana'!$C:$C,'12.326ana'!$M:$M,redes!A17546)</f>
        <v>0</v>
      </c>
    </row>
    <row r="17547" customFormat="false" ht="14.4" hidden="true" customHeight="false" outlineLevel="0" collapsed="false">
      <c r="A17547" s="34" t="n">
        <v>37592556000124</v>
      </c>
      <c r="B17547" s="34" t="s">
        <v>32169</v>
      </c>
      <c r="C17547" s="34" t="s">
        <v>804</v>
      </c>
      <c r="E17547" s="30" t="s">
        <v>3674</v>
      </c>
      <c r="F17547" s="34" t="n">
        <f aca="false">IFERROR(VLOOKUP($A17547,'319'!$B:$H,7,0),0)</f>
        <v>0</v>
      </c>
      <c r="G17547" s="34" t="n">
        <f aca="false">SUMIFS('12.326ana'!$C:$C,'12.326ana'!$M:$M,redes!A17547)</f>
        <v>0</v>
      </c>
    </row>
    <row r="17548" customFormat="false" ht="14.4" hidden="true" customHeight="false" outlineLevel="0" collapsed="false">
      <c r="A17548" s="34" t="n">
        <v>37595301000115</v>
      </c>
      <c r="B17548" s="34" t="s">
        <v>32170</v>
      </c>
      <c r="C17548" s="34" t="s">
        <v>77</v>
      </c>
      <c r="E17548" s="30" t="s">
        <v>32171</v>
      </c>
      <c r="F17548" s="34" t="n">
        <f aca="false">IFERROR(VLOOKUP($A17548,'319'!$B:$H,7,0),0)</f>
        <v>0</v>
      </c>
      <c r="G17548" s="34" t="n">
        <f aca="false">SUMIFS('12.326ana'!$C:$C,'12.326ana'!$M:$M,redes!A17548)</f>
        <v>0</v>
      </c>
    </row>
    <row r="17549" customFormat="false" ht="14.4" hidden="true" customHeight="false" outlineLevel="0" collapsed="false">
      <c r="A17549" s="34" t="n">
        <v>37597843000127</v>
      </c>
      <c r="B17549" s="34" t="s">
        <v>32172</v>
      </c>
      <c r="C17549" s="34" t="s">
        <v>77</v>
      </c>
      <c r="E17549" s="30" t="s">
        <v>32173</v>
      </c>
      <c r="F17549" s="34" t="n">
        <f aca="false">IFERROR(VLOOKUP($A17549,'319'!$B:$H,7,0),0)</f>
        <v>0</v>
      </c>
      <c r="G17549" s="34" t="n">
        <f aca="false">SUMIFS('12.326ana'!$C:$C,'12.326ana'!$M:$M,redes!A17549)</f>
        <v>0</v>
      </c>
    </row>
    <row r="17550" customFormat="false" ht="14.4" hidden="true" customHeight="false" outlineLevel="0" collapsed="false">
      <c r="A17550" s="34" t="n">
        <v>37630680000137</v>
      </c>
      <c r="B17550" s="34" t="s">
        <v>32174</v>
      </c>
      <c r="C17550" s="34" t="s">
        <v>89</v>
      </c>
      <c r="E17550" s="30" t="s">
        <v>32175</v>
      </c>
      <c r="F17550" s="34" t="n">
        <f aca="false">IFERROR(VLOOKUP($A17550,'319'!$B:$H,7,0),0)</f>
        <v>0</v>
      </c>
      <c r="G17550" s="34" t="n">
        <f aca="false">SUMIFS('12.326ana'!$C:$C,'12.326ana'!$M:$M,redes!A17550)</f>
        <v>0</v>
      </c>
    </row>
    <row r="17551" customFormat="false" ht="14.4" hidden="true" customHeight="false" outlineLevel="0" collapsed="false">
      <c r="A17551" s="34" t="n">
        <v>37652516000120</v>
      </c>
      <c r="B17551" s="34" t="s">
        <v>32176</v>
      </c>
      <c r="C17551" s="34" t="s">
        <v>103</v>
      </c>
      <c r="E17551" s="30" t="s">
        <v>32177</v>
      </c>
      <c r="F17551" s="34" t="n">
        <f aca="false">IFERROR(VLOOKUP($A17551,'319'!$B:$H,7,0),0)</f>
        <v>0</v>
      </c>
      <c r="G17551" s="34" t="n">
        <f aca="false">SUMIFS('12.326ana'!$C:$C,'12.326ana'!$M:$M,redes!A17551)</f>
        <v>0</v>
      </c>
    </row>
    <row r="17552" customFormat="false" ht="14.4" hidden="true" customHeight="false" outlineLevel="0" collapsed="false">
      <c r="A17552" s="34" t="n">
        <v>37671276000101</v>
      </c>
      <c r="B17552" s="34" t="s">
        <v>32178</v>
      </c>
      <c r="C17552" s="34" t="s">
        <v>299</v>
      </c>
      <c r="E17552" s="30" t="s">
        <v>27826</v>
      </c>
      <c r="F17552" s="34" t="n">
        <f aca="false">IFERROR(VLOOKUP($A17552,'319'!$B:$H,7,0),0)</f>
        <v>0</v>
      </c>
      <c r="G17552" s="34" t="n">
        <f aca="false">SUMIFS('12.326ana'!$C:$C,'12.326ana'!$M:$M,redes!A17552)</f>
        <v>0</v>
      </c>
    </row>
    <row r="17553" customFormat="false" ht="14.4" hidden="true" customHeight="false" outlineLevel="0" collapsed="false">
      <c r="A17553" s="34" t="n">
        <v>37671941000167</v>
      </c>
      <c r="B17553" s="34" t="s">
        <v>32179</v>
      </c>
      <c r="C17553" s="34" t="s">
        <v>448</v>
      </c>
      <c r="E17553" s="30" t="s">
        <v>32180</v>
      </c>
      <c r="F17553" s="34" t="n">
        <f aca="false">IFERROR(VLOOKUP($A17553,'319'!$B:$H,7,0),0)</f>
        <v>0</v>
      </c>
      <c r="G17553" s="34" t="n">
        <f aca="false">SUMIFS('12.326ana'!$C:$C,'12.326ana'!$M:$M,redes!A17553)</f>
        <v>0</v>
      </c>
    </row>
    <row r="17554" customFormat="false" ht="14.4" hidden="true" customHeight="false" outlineLevel="0" collapsed="false">
      <c r="A17554" s="34" t="n">
        <v>37672224000150</v>
      </c>
      <c r="B17554" s="34" t="s">
        <v>32181</v>
      </c>
      <c r="C17554" s="34" t="s">
        <v>77</v>
      </c>
      <c r="E17554" s="30" t="s">
        <v>32182</v>
      </c>
      <c r="F17554" s="34" t="n">
        <f aca="false">IFERROR(VLOOKUP($A17554,'319'!$B:$H,7,0),0)</f>
        <v>0</v>
      </c>
      <c r="G17554" s="34" t="n">
        <f aca="false">SUMIFS('12.326ana'!$C:$C,'12.326ana'!$M:$M,redes!A17554)</f>
        <v>0</v>
      </c>
    </row>
    <row r="17555" customFormat="false" ht="14.4" hidden="true" customHeight="false" outlineLevel="0" collapsed="false">
      <c r="A17555" s="34" t="n">
        <v>37677914000100</v>
      </c>
      <c r="B17555" s="34" t="s">
        <v>916</v>
      </c>
      <c r="C17555" s="34" t="s">
        <v>342</v>
      </c>
      <c r="E17555" s="30" t="s">
        <v>6533</v>
      </c>
      <c r="F17555" s="34" t="n">
        <f aca="false">IFERROR(VLOOKUP($A17555,'319'!$B:$H,7,0),0)</f>
        <v>1354.26</v>
      </c>
      <c r="G17555" s="34" t="n">
        <f aca="false">SUMIFS('12.326ana'!$C:$C,'12.326ana'!$M:$M,redes!A17555)</f>
        <v>0</v>
      </c>
    </row>
    <row r="17556" customFormat="false" ht="14.4" hidden="true" customHeight="false" outlineLevel="0" collapsed="false">
      <c r="A17556" s="34" t="n">
        <v>37678837000102</v>
      </c>
      <c r="B17556" s="34" t="s">
        <v>32183</v>
      </c>
      <c r="C17556" s="34" t="s">
        <v>103</v>
      </c>
      <c r="E17556" s="30" t="s">
        <v>32184</v>
      </c>
      <c r="F17556" s="34" t="n">
        <f aca="false">IFERROR(VLOOKUP($A17556,'319'!$B:$H,7,0),0)</f>
        <v>0</v>
      </c>
      <c r="G17556" s="34" t="n">
        <f aca="false">SUMIFS('12.326ana'!$C:$C,'12.326ana'!$M:$M,redes!A17556)</f>
        <v>0</v>
      </c>
    </row>
    <row r="17557" customFormat="false" ht="14.4" hidden="true" customHeight="false" outlineLevel="0" collapsed="false">
      <c r="A17557" s="34" t="n">
        <v>37679626000186</v>
      </c>
      <c r="B17557" s="34" t="s">
        <v>32185</v>
      </c>
      <c r="C17557" s="34" t="s">
        <v>89</v>
      </c>
      <c r="E17557" s="30" t="s">
        <v>32186</v>
      </c>
      <c r="F17557" s="34" t="n">
        <f aca="false">IFERROR(VLOOKUP($A17557,'319'!$B:$H,7,0),0)</f>
        <v>0</v>
      </c>
      <c r="G17557" s="34" t="n">
        <f aca="false">SUMIFS('12.326ana'!$C:$C,'12.326ana'!$M:$M,redes!A17557)</f>
        <v>0</v>
      </c>
    </row>
    <row r="17558" customFormat="false" ht="14.4" hidden="true" customHeight="false" outlineLevel="0" collapsed="false">
      <c r="A17558" s="34" t="n">
        <v>37685905000152</v>
      </c>
      <c r="B17558" s="34" t="s">
        <v>32187</v>
      </c>
      <c r="C17558" s="34" t="s">
        <v>77</v>
      </c>
      <c r="E17558" s="30" t="s">
        <v>32188</v>
      </c>
      <c r="F17558" s="34" t="n">
        <f aca="false">IFERROR(VLOOKUP($A17558,'319'!$B:$H,7,0),0)</f>
        <v>0</v>
      </c>
      <c r="G17558" s="34" t="n">
        <f aca="false">SUMIFS('12.326ana'!$C:$C,'12.326ana'!$M:$M,redes!A17558)</f>
        <v>0</v>
      </c>
    </row>
    <row r="17559" customFormat="false" ht="14.4" hidden="true" customHeight="false" outlineLevel="0" collapsed="false">
      <c r="A17559" s="34" t="n">
        <v>37686266000140</v>
      </c>
      <c r="B17559" s="34" t="s">
        <v>32189</v>
      </c>
      <c r="C17559" s="34" t="s">
        <v>107</v>
      </c>
      <c r="E17559" s="30" t="s">
        <v>32190</v>
      </c>
      <c r="F17559" s="34" t="n">
        <f aca="false">IFERROR(VLOOKUP($A17559,'319'!$B:$H,7,0),0)</f>
        <v>0</v>
      </c>
      <c r="G17559" s="34" t="n">
        <f aca="false">SUMIFS('12.326ana'!$C:$C,'12.326ana'!$M:$M,redes!A17559)</f>
        <v>0</v>
      </c>
    </row>
    <row r="17560" customFormat="false" ht="14.4" hidden="true" customHeight="false" outlineLevel="0" collapsed="false">
      <c r="A17560" s="34" t="n">
        <v>37686374000112</v>
      </c>
      <c r="B17560" s="34" t="s">
        <v>32191</v>
      </c>
      <c r="C17560" s="34" t="s">
        <v>448</v>
      </c>
      <c r="E17560" s="30" t="s">
        <v>32192</v>
      </c>
      <c r="F17560" s="34" t="n">
        <f aca="false">IFERROR(VLOOKUP($A17560,'319'!$B:$H,7,0),0)</f>
        <v>0</v>
      </c>
      <c r="G17560" s="34" t="n">
        <f aca="false">SUMIFS('12.326ana'!$C:$C,'12.326ana'!$M:$M,redes!A17560)</f>
        <v>0</v>
      </c>
    </row>
    <row r="17561" customFormat="false" ht="14.4" hidden="true" customHeight="false" outlineLevel="0" collapsed="false">
      <c r="A17561" s="34" t="n">
        <v>37699125000161</v>
      </c>
      <c r="B17561" s="34" t="s">
        <v>32193</v>
      </c>
      <c r="C17561" s="34" t="s">
        <v>631</v>
      </c>
      <c r="E17561" s="30" t="s">
        <v>32193</v>
      </c>
      <c r="F17561" s="34" t="n">
        <f aca="false">IFERROR(VLOOKUP($A17561,'319'!$B:$H,7,0),0)</f>
        <v>0</v>
      </c>
      <c r="G17561" s="34" t="n">
        <f aca="false">SUMIFS('12.326ana'!$C:$C,'12.326ana'!$M:$M,redes!A17561)</f>
        <v>0</v>
      </c>
    </row>
    <row r="17562" customFormat="false" ht="14.4" hidden="true" customHeight="false" outlineLevel="0" collapsed="false">
      <c r="A17562" s="34" t="n">
        <v>37755364000191</v>
      </c>
      <c r="B17562" s="34" t="s">
        <v>32194</v>
      </c>
      <c r="C17562" s="34" t="s">
        <v>77</v>
      </c>
      <c r="E17562" s="30" t="s">
        <v>32194</v>
      </c>
      <c r="F17562" s="34" t="n">
        <f aca="false">IFERROR(VLOOKUP($A17562,'319'!$B:$H,7,0),0)</f>
        <v>0</v>
      </c>
      <c r="G17562" s="34" t="n">
        <f aca="false">SUMIFS('12.326ana'!$C:$C,'12.326ana'!$M:$M,redes!A17562)</f>
        <v>0</v>
      </c>
    </row>
    <row r="17563" customFormat="false" ht="14.4" hidden="true" customHeight="false" outlineLevel="0" collapsed="false">
      <c r="A17563" s="34" t="n">
        <v>37795529000159</v>
      </c>
      <c r="B17563" s="34" t="s">
        <v>32195</v>
      </c>
      <c r="C17563" s="34" t="s">
        <v>77</v>
      </c>
      <c r="E17563" s="30" t="s">
        <v>32196</v>
      </c>
      <c r="F17563" s="34" t="n">
        <f aca="false">IFERROR(VLOOKUP($A17563,'319'!$B:$H,7,0),0)</f>
        <v>0</v>
      </c>
      <c r="G17563" s="34" t="n">
        <f aca="false">SUMIFS('12.326ana'!$C:$C,'12.326ana'!$M:$M,redes!A17563)</f>
        <v>0</v>
      </c>
    </row>
    <row r="17564" customFormat="false" ht="14.4" hidden="true" customHeight="false" outlineLevel="0" collapsed="false">
      <c r="A17564" s="34" t="n">
        <v>37796696000114</v>
      </c>
      <c r="B17564" s="34" t="s">
        <v>32197</v>
      </c>
      <c r="C17564" s="34" t="s">
        <v>581</v>
      </c>
      <c r="E17564" s="30" t="s">
        <v>32198</v>
      </c>
      <c r="F17564" s="34" t="n">
        <f aca="false">IFERROR(VLOOKUP($A17564,'319'!$B:$H,7,0),0)</f>
        <v>0</v>
      </c>
      <c r="G17564" s="34" t="n">
        <f aca="false">SUMIFS('12.326ana'!$C:$C,'12.326ana'!$M:$M,redes!A17564)</f>
        <v>0</v>
      </c>
    </row>
    <row r="17565" customFormat="false" ht="14.4" hidden="true" customHeight="false" outlineLevel="0" collapsed="false">
      <c r="A17565" s="34" t="n">
        <v>37818825000128</v>
      </c>
      <c r="B17565" s="34" t="s">
        <v>9670</v>
      </c>
      <c r="C17565" s="34" t="s">
        <v>77</v>
      </c>
      <c r="E17565" s="30" t="s">
        <v>32199</v>
      </c>
      <c r="F17565" s="34" t="n">
        <f aca="false">IFERROR(VLOOKUP($A17565,'319'!$B:$H,7,0),0)</f>
        <v>0</v>
      </c>
      <c r="G17565" s="34" t="n">
        <f aca="false">SUMIFS('12.326ana'!$C:$C,'12.326ana'!$M:$M,redes!A17565)</f>
        <v>0</v>
      </c>
    </row>
    <row r="17566" customFormat="false" ht="14.4" hidden="true" customHeight="false" outlineLevel="0" collapsed="false">
      <c r="A17566" s="34" t="n">
        <v>37824354000160</v>
      </c>
      <c r="B17566" s="34" t="s">
        <v>32200</v>
      </c>
      <c r="C17566" s="34" t="s">
        <v>1054</v>
      </c>
      <c r="E17566" s="30" t="s">
        <v>32200</v>
      </c>
      <c r="F17566" s="34" t="n">
        <f aca="false">IFERROR(VLOOKUP($A17566,'319'!$B:$H,7,0),0)</f>
        <v>0</v>
      </c>
      <c r="G17566" s="34" t="n">
        <f aca="false">SUMIFS('12.326ana'!$C:$C,'12.326ana'!$M:$M,redes!A17566)</f>
        <v>0</v>
      </c>
    </row>
    <row r="17567" customFormat="false" ht="14.4" hidden="true" customHeight="false" outlineLevel="0" collapsed="false">
      <c r="A17567" s="34" t="n">
        <v>37853449000102</v>
      </c>
      <c r="B17567" s="34" t="s">
        <v>32201</v>
      </c>
      <c r="C17567" s="34" t="s">
        <v>77</v>
      </c>
      <c r="E17567" s="30" t="s">
        <v>32202</v>
      </c>
      <c r="F17567" s="34" t="n">
        <f aca="false">IFERROR(VLOOKUP($A17567,'319'!$B:$H,7,0),0)</f>
        <v>0</v>
      </c>
      <c r="G17567" s="34" t="n">
        <f aca="false">SUMIFS('12.326ana'!$C:$C,'12.326ana'!$M:$M,redes!A17567)</f>
        <v>0</v>
      </c>
    </row>
    <row r="17568" customFormat="false" ht="14.4" hidden="true" customHeight="false" outlineLevel="0" collapsed="false">
      <c r="A17568" s="34" t="n">
        <v>37860311000130</v>
      </c>
      <c r="B17568" s="34" t="s">
        <v>32203</v>
      </c>
      <c r="C17568" s="34" t="s">
        <v>89</v>
      </c>
      <c r="E17568" s="30" t="s">
        <v>32204</v>
      </c>
      <c r="F17568" s="34" t="n">
        <f aca="false">IFERROR(VLOOKUP($A17568,'319'!$B:$H,7,0),0)</f>
        <v>0</v>
      </c>
      <c r="G17568" s="34" t="n">
        <f aca="false">SUMIFS('12.326ana'!$C:$C,'12.326ana'!$M:$M,redes!A17568)</f>
        <v>0</v>
      </c>
    </row>
    <row r="17569" customFormat="false" ht="14.4" hidden="true" customHeight="false" outlineLevel="0" collapsed="false">
      <c r="A17569" s="34" t="n">
        <v>37909153000166</v>
      </c>
      <c r="B17569" s="34" t="s">
        <v>32205</v>
      </c>
      <c r="C17569" s="34" t="s">
        <v>744</v>
      </c>
      <c r="E17569" s="30" t="s">
        <v>32206</v>
      </c>
      <c r="F17569" s="34" t="n">
        <f aca="false">IFERROR(VLOOKUP($A17569,'319'!$B:$H,7,0),0)</f>
        <v>0</v>
      </c>
      <c r="G17569" s="34" t="n">
        <f aca="false">SUMIFS('12.326ana'!$C:$C,'12.326ana'!$M:$M,redes!A17569)</f>
        <v>0</v>
      </c>
    </row>
    <row r="17570" customFormat="false" ht="14.4" hidden="true" customHeight="false" outlineLevel="0" collapsed="false">
      <c r="A17570" s="34" t="n">
        <v>37912316000160</v>
      </c>
      <c r="B17570" s="34" t="s">
        <v>32207</v>
      </c>
      <c r="C17570" s="34" t="s">
        <v>77</v>
      </c>
      <c r="E17570" s="30" t="s">
        <v>32207</v>
      </c>
      <c r="F17570" s="34" t="n">
        <f aca="false">IFERROR(VLOOKUP($A17570,'319'!$B:$H,7,0),0)</f>
        <v>0</v>
      </c>
      <c r="G17570" s="34" t="n">
        <f aca="false">SUMIFS('12.326ana'!$C:$C,'12.326ana'!$M:$M,redes!A17570)</f>
        <v>0</v>
      </c>
    </row>
    <row r="17571" customFormat="false" ht="14.4" hidden="true" customHeight="false" outlineLevel="0" collapsed="false">
      <c r="A17571" s="34" t="n">
        <v>37916180000166</v>
      </c>
      <c r="B17571" s="34" t="s">
        <v>32208</v>
      </c>
      <c r="C17571" s="34" t="s">
        <v>139</v>
      </c>
      <c r="E17571" s="30" t="s">
        <v>32209</v>
      </c>
      <c r="F17571" s="34" t="n">
        <f aca="false">IFERROR(VLOOKUP($A17571,'319'!$B:$H,7,0),0)</f>
        <v>0</v>
      </c>
      <c r="G17571" s="34" t="n">
        <f aca="false">SUMIFS('12.326ana'!$C:$C,'12.326ana'!$M:$M,redes!A17571)</f>
        <v>0</v>
      </c>
    </row>
    <row r="17572" customFormat="false" ht="14.4" hidden="true" customHeight="false" outlineLevel="0" collapsed="false">
      <c r="A17572" s="34" t="n">
        <v>37918126000150</v>
      </c>
      <c r="B17572" s="34" t="s">
        <v>32210</v>
      </c>
      <c r="C17572" s="34" t="s">
        <v>192</v>
      </c>
      <c r="E17572" s="30" t="s">
        <v>32211</v>
      </c>
      <c r="F17572" s="34" t="n">
        <f aca="false">IFERROR(VLOOKUP($A17572,'319'!$B:$H,7,0),0)</f>
        <v>0</v>
      </c>
      <c r="G17572" s="34" t="n">
        <f aca="false">SUMIFS('12.326ana'!$C:$C,'12.326ana'!$M:$M,redes!A17572)</f>
        <v>0</v>
      </c>
    </row>
    <row r="17573" customFormat="false" ht="14.4" hidden="true" customHeight="false" outlineLevel="0" collapsed="false">
      <c r="A17573" s="34" t="n">
        <v>37919956000100</v>
      </c>
      <c r="B17573" s="34" t="s">
        <v>32212</v>
      </c>
      <c r="C17573" s="34" t="s">
        <v>77</v>
      </c>
      <c r="E17573" s="30" t="s">
        <v>32213</v>
      </c>
      <c r="F17573" s="34" t="n">
        <f aca="false">IFERROR(VLOOKUP($A17573,'319'!$B:$H,7,0),0)</f>
        <v>0</v>
      </c>
      <c r="G17573" s="34" t="n">
        <f aca="false">SUMIFS('12.326ana'!$C:$C,'12.326ana'!$M:$M,redes!A17573)</f>
        <v>0</v>
      </c>
    </row>
    <row r="17574" customFormat="false" ht="14.4" hidden="true" customHeight="false" outlineLevel="0" collapsed="false">
      <c r="A17574" s="34" t="n">
        <v>37920752000180</v>
      </c>
      <c r="B17574" s="34" t="s">
        <v>32214</v>
      </c>
      <c r="C17574" s="34" t="s">
        <v>89</v>
      </c>
      <c r="E17574" s="30" t="s">
        <v>32215</v>
      </c>
      <c r="F17574" s="34" t="n">
        <f aca="false">IFERROR(VLOOKUP($A17574,'319'!$B:$H,7,0),0)</f>
        <v>0</v>
      </c>
      <c r="G17574" s="34" t="n">
        <f aca="false">SUMIFS('12.326ana'!$C:$C,'12.326ana'!$M:$M,redes!A17574)</f>
        <v>0</v>
      </c>
    </row>
    <row r="17575" customFormat="false" ht="14.4" hidden="true" customHeight="false" outlineLevel="0" collapsed="false">
      <c r="A17575" s="34" t="n">
        <v>37931619000120</v>
      </c>
      <c r="B17575" s="34" t="s">
        <v>32216</v>
      </c>
      <c r="C17575" s="34" t="s">
        <v>107</v>
      </c>
      <c r="E17575" s="30" t="s">
        <v>32217</v>
      </c>
      <c r="F17575" s="34" t="n">
        <f aca="false">IFERROR(VLOOKUP($A17575,'319'!$B:$H,7,0),0)</f>
        <v>0</v>
      </c>
      <c r="G17575" s="34" t="n">
        <f aca="false">SUMIFS('12.326ana'!$C:$C,'12.326ana'!$M:$M,redes!A17575)</f>
        <v>0</v>
      </c>
    </row>
    <row r="17576" customFormat="false" ht="14.4" hidden="true" customHeight="false" outlineLevel="0" collapsed="false">
      <c r="A17576" s="34" t="n">
        <v>37944472000102</v>
      </c>
      <c r="B17576" s="34" t="s">
        <v>32218</v>
      </c>
      <c r="C17576" s="34" t="s">
        <v>103</v>
      </c>
      <c r="E17576" s="30" t="s">
        <v>26403</v>
      </c>
      <c r="F17576" s="34" t="n">
        <f aca="false">IFERROR(VLOOKUP($A17576,'319'!$B:$H,7,0),0)</f>
        <v>0</v>
      </c>
      <c r="G17576" s="34" t="n">
        <f aca="false">SUMIFS('12.326ana'!$C:$C,'12.326ana'!$M:$M,redes!A17576)</f>
        <v>0</v>
      </c>
    </row>
    <row r="17577" customFormat="false" ht="14.4" hidden="true" customHeight="false" outlineLevel="0" collapsed="false">
      <c r="A17577" s="34" t="n">
        <v>37994980000103</v>
      </c>
      <c r="B17577" s="34" t="s">
        <v>32219</v>
      </c>
      <c r="C17577" s="34" t="s">
        <v>77</v>
      </c>
      <c r="E17577" s="30" t="s">
        <v>8736</v>
      </c>
      <c r="F17577" s="34" t="n">
        <f aca="false">IFERROR(VLOOKUP($A17577,'319'!$B:$H,7,0),0)</f>
        <v>0</v>
      </c>
      <c r="G17577" s="34" t="n">
        <f aca="false">SUMIFS('12.326ana'!$C:$C,'12.326ana'!$M:$M,redes!A17577)</f>
        <v>0</v>
      </c>
    </row>
    <row r="17578" customFormat="false" ht="14.4" hidden="true" customHeight="false" outlineLevel="0" collapsed="false">
      <c r="A17578" s="34" t="n">
        <v>38005106000150</v>
      </c>
      <c r="B17578" s="34" t="s">
        <v>32220</v>
      </c>
      <c r="C17578" s="34" t="s">
        <v>781</v>
      </c>
      <c r="E17578" s="30" t="s">
        <v>13483</v>
      </c>
      <c r="F17578" s="34" t="n">
        <f aca="false">IFERROR(VLOOKUP($A17578,'319'!$B:$H,7,0),0)</f>
        <v>0</v>
      </c>
      <c r="G17578" s="34" t="n">
        <f aca="false">SUMIFS('12.326ana'!$C:$C,'12.326ana'!$M:$M,redes!A17578)</f>
        <v>0</v>
      </c>
    </row>
    <row r="17579" customFormat="false" ht="14.4" hidden="true" customHeight="false" outlineLevel="0" collapsed="false">
      <c r="A17579" s="34" t="n">
        <v>38006353000171</v>
      </c>
      <c r="B17579" s="34" t="s">
        <v>32221</v>
      </c>
      <c r="C17579" s="34" t="s">
        <v>631</v>
      </c>
      <c r="E17579" s="30" t="s">
        <v>32222</v>
      </c>
      <c r="F17579" s="34" t="n">
        <f aca="false">IFERROR(VLOOKUP($A17579,'319'!$B:$H,7,0),0)</f>
        <v>0</v>
      </c>
      <c r="G17579" s="34" t="n">
        <f aca="false">SUMIFS('12.326ana'!$C:$C,'12.326ana'!$M:$M,redes!A17579)</f>
        <v>0</v>
      </c>
    </row>
    <row r="17580" customFormat="false" ht="14.4" hidden="true" customHeight="false" outlineLevel="0" collapsed="false">
      <c r="A17580" s="34" t="n">
        <v>38035918000149</v>
      </c>
      <c r="B17580" s="34" t="s">
        <v>32223</v>
      </c>
      <c r="C17580" s="34" t="s">
        <v>336</v>
      </c>
      <c r="E17580" s="30" t="s">
        <v>3664</v>
      </c>
      <c r="F17580" s="34" t="n">
        <f aca="false">IFERROR(VLOOKUP($A17580,'319'!$B:$H,7,0),0)</f>
        <v>0</v>
      </c>
      <c r="G17580" s="34" t="n">
        <f aca="false">SUMIFS('12.326ana'!$C:$C,'12.326ana'!$M:$M,redes!A17580)</f>
        <v>0</v>
      </c>
    </row>
    <row r="17581" customFormat="false" ht="14.4" hidden="true" customHeight="false" outlineLevel="0" collapsed="false">
      <c r="A17581" s="34" t="n">
        <v>38036157000140</v>
      </c>
      <c r="B17581" s="34" t="s">
        <v>32224</v>
      </c>
      <c r="C17581" s="34" t="s">
        <v>139</v>
      </c>
      <c r="E17581" s="30" t="s">
        <v>32225</v>
      </c>
      <c r="F17581" s="34" t="n">
        <f aca="false">IFERROR(VLOOKUP($A17581,'319'!$B:$H,7,0),0)</f>
        <v>0</v>
      </c>
      <c r="G17581" s="34" t="n">
        <f aca="false">SUMIFS('12.326ana'!$C:$C,'12.326ana'!$M:$M,redes!A17581)</f>
        <v>0</v>
      </c>
    </row>
    <row r="17582" customFormat="false" ht="14.4" hidden="true" customHeight="false" outlineLevel="0" collapsed="false">
      <c r="A17582" s="34" t="n">
        <v>38042993000137</v>
      </c>
      <c r="B17582" s="34" t="s">
        <v>32226</v>
      </c>
      <c r="C17582" s="34" t="s">
        <v>713</v>
      </c>
      <c r="E17582" s="30" t="s">
        <v>32227</v>
      </c>
      <c r="F17582" s="34" t="n">
        <f aca="false">IFERROR(VLOOKUP($A17582,'319'!$B:$H,7,0),0)</f>
        <v>0</v>
      </c>
      <c r="G17582" s="34" t="n">
        <f aca="false">SUMIFS('12.326ana'!$C:$C,'12.326ana'!$M:$M,redes!A17582)</f>
        <v>0</v>
      </c>
    </row>
    <row r="17583" customFormat="false" ht="14.4" hidden="true" customHeight="false" outlineLevel="0" collapsed="false">
      <c r="A17583" s="34" t="n">
        <v>38049290000130</v>
      </c>
      <c r="B17583" s="34" t="s">
        <v>32228</v>
      </c>
      <c r="C17583" s="34" t="s">
        <v>77</v>
      </c>
      <c r="E17583" s="30" t="s">
        <v>5611</v>
      </c>
      <c r="F17583" s="34" t="n">
        <f aca="false">IFERROR(VLOOKUP($A17583,'319'!$B:$H,7,0),0)</f>
        <v>0</v>
      </c>
      <c r="G17583" s="34" t="n">
        <f aca="false">SUMIFS('12.326ana'!$C:$C,'12.326ana'!$M:$M,redes!A17583)</f>
        <v>0</v>
      </c>
    </row>
    <row r="17584" customFormat="false" ht="14.4" hidden="true" customHeight="false" outlineLevel="0" collapsed="false">
      <c r="A17584" s="34" t="n">
        <v>38058309000105</v>
      </c>
      <c r="B17584" s="34" t="s">
        <v>32229</v>
      </c>
      <c r="C17584" s="34" t="s">
        <v>342</v>
      </c>
      <c r="E17584" s="30" t="s">
        <v>32230</v>
      </c>
      <c r="F17584" s="34" t="n">
        <f aca="false">IFERROR(VLOOKUP($A17584,'319'!$B:$H,7,0),0)</f>
        <v>0</v>
      </c>
      <c r="G17584" s="34" t="n">
        <f aca="false">SUMIFS('12.326ana'!$C:$C,'12.326ana'!$M:$M,redes!A17584)</f>
        <v>0</v>
      </c>
    </row>
    <row r="17585" customFormat="false" ht="14.4" hidden="true" customHeight="false" outlineLevel="0" collapsed="false">
      <c r="A17585" s="34" t="n">
        <v>38058597000106</v>
      </c>
      <c r="B17585" s="34" t="s">
        <v>32231</v>
      </c>
      <c r="C17585" s="34" t="s">
        <v>77</v>
      </c>
      <c r="E17585" s="30" t="s">
        <v>32231</v>
      </c>
      <c r="F17585" s="34" t="n">
        <f aca="false">IFERROR(VLOOKUP($A17585,'319'!$B:$H,7,0),0)</f>
        <v>0</v>
      </c>
      <c r="G17585" s="34" t="n">
        <f aca="false">SUMIFS('12.326ana'!$C:$C,'12.326ana'!$M:$M,redes!A17585)</f>
        <v>0</v>
      </c>
    </row>
    <row r="17586" customFormat="false" ht="14.4" hidden="true" customHeight="false" outlineLevel="0" collapsed="false">
      <c r="A17586" s="34" t="n">
        <v>38059305000141</v>
      </c>
      <c r="B17586" s="34" t="s">
        <v>32232</v>
      </c>
      <c r="C17586" s="34" t="s">
        <v>192</v>
      </c>
      <c r="E17586" s="30" t="s">
        <v>32233</v>
      </c>
      <c r="F17586" s="34" t="n">
        <f aca="false">IFERROR(VLOOKUP($A17586,'319'!$B:$H,7,0),0)</f>
        <v>0</v>
      </c>
      <c r="G17586" s="34" t="n">
        <f aca="false">SUMIFS('12.326ana'!$C:$C,'12.326ana'!$M:$M,redes!A17586)</f>
        <v>0</v>
      </c>
    </row>
    <row r="17587" customFormat="false" ht="14.4" hidden="true" customHeight="false" outlineLevel="0" collapsed="false">
      <c r="A17587" s="34" t="n">
        <v>38060809000181</v>
      </c>
      <c r="B17587" s="34" t="s">
        <v>32234</v>
      </c>
      <c r="C17587" s="34" t="s">
        <v>107</v>
      </c>
      <c r="E17587" s="30" t="s">
        <v>32235</v>
      </c>
      <c r="F17587" s="34" t="n">
        <f aca="false">IFERROR(VLOOKUP($A17587,'319'!$B:$H,7,0),0)</f>
        <v>0</v>
      </c>
      <c r="G17587" s="34" t="n">
        <f aca="false">SUMIFS('12.326ana'!$C:$C,'12.326ana'!$M:$M,redes!A17587)</f>
        <v>0</v>
      </c>
    </row>
    <row r="17588" customFormat="false" ht="14.4" hidden="true" customHeight="false" outlineLevel="0" collapsed="false">
      <c r="A17588" s="34" t="n">
        <v>38066515000167</v>
      </c>
      <c r="B17588" s="34" t="s">
        <v>1360</v>
      </c>
      <c r="C17588" s="34" t="s">
        <v>77</v>
      </c>
      <c r="E17588" s="30" t="s">
        <v>32236</v>
      </c>
      <c r="F17588" s="34" t="n">
        <f aca="false">IFERROR(VLOOKUP($A17588,'319'!$B:$H,7,0),0)</f>
        <v>250.33</v>
      </c>
      <c r="G17588" s="34" t="n">
        <f aca="false">SUMIFS('12.326ana'!$C:$C,'12.326ana'!$M:$M,redes!A17588)</f>
        <v>0</v>
      </c>
    </row>
    <row r="17589" customFormat="false" ht="14.4" hidden="true" customHeight="false" outlineLevel="0" collapsed="false">
      <c r="A17589" s="34" t="n">
        <v>38068633000104</v>
      </c>
      <c r="B17589" s="34" t="s">
        <v>32237</v>
      </c>
      <c r="C17589" s="34" t="s">
        <v>342</v>
      </c>
      <c r="E17589" s="30" t="s">
        <v>32238</v>
      </c>
      <c r="F17589" s="34" t="n">
        <f aca="false">IFERROR(VLOOKUP($A17589,'319'!$B:$H,7,0),0)</f>
        <v>0</v>
      </c>
      <c r="G17589" s="34" t="n">
        <f aca="false">SUMIFS('12.326ana'!$C:$C,'12.326ana'!$M:$M,redes!A17589)</f>
        <v>0</v>
      </c>
    </row>
    <row r="17590" customFormat="false" ht="14.4" hidden="true" customHeight="false" outlineLevel="0" collapsed="false">
      <c r="A17590" s="34" t="n">
        <v>38075613000160</v>
      </c>
      <c r="B17590" s="34" t="s">
        <v>1463</v>
      </c>
      <c r="C17590" s="34" t="s">
        <v>77</v>
      </c>
      <c r="E17590" s="30" t="s">
        <v>32239</v>
      </c>
      <c r="F17590" s="34" t="n">
        <f aca="false">IFERROR(VLOOKUP($A17590,'319'!$B:$H,7,0),0)</f>
        <v>170.88</v>
      </c>
      <c r="G17590" s="34" t="n">
        <f aca="false">SUMIFS('12.326ana'!$C:$C,'12.326ana'!$M:$M,redes!A17590)</f>
        <v>0</v>
      </c>
    </row>
    <row r="17591" customFormat="false" ht="14.4" hidden="true" customHeight="false" outlineLevel="0" collapsed="false">
      <c r="A17591" s="34" t="n">
        <v>38084116000129</v>
      </c>
      <c r="B17591" s="34" t="s">
        <v>32240</v>
      </c>
      <c r="C17591" s="34" t="s">
        <v>565</v>
      </c>
      <c r="E17591" s="30" t="s">
        <v>32241</v>
      </c>
      <c r="F17591" s="34" t="n">
        <f aca="false">IFERROR(VLOOKUP($A17591,'319'!$B:$H,7,0),0)</f>
        <v>0</v>
      </c>
      <c r="G17591" s="34" t="n">
        <f aca="false">SUMIFS('12.326ana'!$C:$C,'12.326ana'!$M:$M,redes!A17591)</f>
        <v>0</v>
      </c>
    </row>
    <row r="17592" customFormat="false" ht="14.4" hidden="true" customHeight="false" outlineLevel="0" collapsed="false">
      <c r="A17592" s="34" t="n">
        <v>38099536000189</v>
      </c>
      <c r="B17592" s="34" t="s">
        <v>32242</v>
      </c>
      <c r="C17592" s="34" t="s">
        <v>77</v>
      </c>
      <c r="E17592" s="30" t="s">
        <v>32243</v>
      </c>
      <c r="F17592" s="34" t="n">
        <f aca="false">IFERROR(VLOOKUP($A17592,'319'!$B:$H,7,0),0)</f>
        <v>0</v>
      </c>
      <c r="G17592" s="34" t="n">
        <f aca="false">SUMIFS('12.326ana'!$C:$C,'12.326ana'!$M:$M,redes!A17592)</f>
        <v>0</v>
      </c>
    </row>
    <row r="17593" customFormat="false" ht="14.4" hidden="true" customHeight="false" outlineLevel="0" collapsed="false">
      <c r="A17593" s="34" t="n">
        <v>38100150000140</v>
      </c>
      <c r="B17593" s="34" t="s">
        <v>32244</v>
      </c>
      <c r="C17593" s="34" t="s">
        <v>631</v>
      </c>
      <c r="E17593" s="30" t="s">
        <v>32245</v>
      </c>
      <c r="F17593" s="34" t="n">
        <f aca="false">IFERROR(VLOOKUP($A17593,'319'!$B:$H,7,0),0)</f>
        <v>0</v>
      </c>
      <c r="G17593" s="34" t="n">
        <f aca="false">SUMIFS('12.326ana'!$C:$C,'12.326ana'!$M:$M,redes!A17593)</f>
        <v>0</v>
      </c>
    </row>
    <row r="17594" customFormat="false" ht="14.4" hidden="true" customHeight="false" outlineLevel="0" collapsed="false">
      <c r="A17594" s="34" t="n">
        <v>38109566000129</v>
      </c>
      <c r="B17594" s="34" t="s">
        <v>32246</v>
      </c>
      <c r="C17594" s="34" t="s">
        <v>213</v>
      </c>
      <c r="E17594" s="30" t="s">
        <v>32247</v>
      </c>
      <c r="F17594" s="34" t="n">
        <f aca="false">IFERROR(VLOOKUP($A17594,'319'!$B:$H,7,0),0)</f>
        <v>0</v>
      </c>
      <c r="G17594" s="34" t="n">
        <f aca="false">SUMIFS('12.326ana'!$C:$C,'12.326ana'!$M:$M,redes!A17594)</f>
        <v>0</v>
      </c>
    </row>
    <row r="17595" customFormat="false" ht="14.4" hidden="true" customHeight="false" outlineLevel="0" collapsed="false">
      <c r="A17595" s="34" t="n">
        <v>38118775000139</v>
      </c>
      <c r="B17595" s="34" t="s">
        <v>32248</v>
      </c>
      <c r="C17595" s="34" t="s">
        <v>107</v>
      </c>
      <c r="E17595" s="30" t="s">
        <v>32249</v>
      </c>
      <c r="F17595" s="34" t="n">
        <f aca="false">IFERROR(VLOOKUP($A17595,'319'!$B:$H,7,0),0)</f>
        <v>0</v>
      </c>
      <c r="G17595" s="34" t="n">
        <f aca="false">SUMIFS('12.326ana'!$C:$C,'12.326ana'!$M:$M,redes!A17595)</f>
        <v>0</v>
      </c>
    </row>
    <row r="17596" customFormat="false" ht="14.4" hidden="true" customHeight="false" outlineLevel="0" collapsed="false">
      <c r="A17596" s="34" t="n">
        <v>38154161000102</v>
      </c>
      <c r="B17596" s="34" t="s">
        <v>32250</v>
      </c>
      <c r="C17596" s="34" t="s">
        <v>1054</v>
      </c>
      <c r="E17596" s="30" t="s">
        <v>15156</v>
      </c>
      <c r="F17596" s="34" t="n">
        <f aca="false">IFERROR(VLOOKUP($A17596,'319'!$B:$H,7,0),0)</f>
        <v>0</v>
      </c>
      <c r="G17596" s="34" t="n">
        <f aca="false">SUMIFS('12.326ana'!$C:$C,'12.326ana'!$M:$M,redes!A17596)</f>
        <v>0</v>
      </c>
    </row>
    <row r="17597" customFormat="false" ht="14.4" hidden="true" customHeight="false" outlineLevel="0" collapsed="false">
      <c r="A17597" s="34" t="n">
        <v>38171103000197</v>
      </c>
      <c r="B17597" s="34" t="s">
        <v>10259</v>
      </c>
      <c r="C17597" s="34" t="s">
        <v>604</v>
      </c>
      <c r="E17597" s="30" t="s">
        <v>32251</v>
      </c>
      <c r="F17597" s="34" t="n">
        <f aca="false">IFERROR(VLOOKUP($A17597,'319'!$B:$H,7,0),0)</f>
        <v>0</v>
      </c>
      <c r="G17597" s="34" t="n">
        <f aca="false">SUMIFS('12.326ana'!$C:$C,'12.326ana'!$M:$M,redes!A17597)</f>
        <v>0</v>
      </c>
    </row>
    <row r="17598" customFormat="false" ht="14.4" hidden="true" customHeight="false" outlineLevel="0" collapsed="false">
      <c r="A17598" s="34" t="n">
        <v>38195628000162</v>
      </c>
      <c r="B17598" s="34" t="s">
        <v>32252</v>
      </c>
      <c r="C17598" s="34" t="s">
        <v>77</v>
      </c>
      <c r="E17598" s="30" t="s">
        <v>32252</v>
      </c>
      <c r="F17598" s="34" t="n">
        <f aca="false">IFERROR(VLOOKUP($A17598,'319'!$B:$H,7,0),0)</f>
        <v>0</v>
      </c>
      <c r="G17598" s="34" t="n">
        <f aca="false">SUMIFS('12.326ana'!$C:$C,'12.326ana'!$M:$M,redes!A17598)</f>
        <v>0</v>
      </c>
    </row>
    <row r="17599" customFormat="false" ht="14.4" hidden="true" customHeight="false" outlineLevel="0" collapsed="false">
      <c r="A17599" s="34" t="n">
        <v>38197027000199</v>
      </c>
      <c r="B17599" s="34" t="s">
        <v>32253</v>
      </c>
      <c r="C17599" s="34" t="s">
        <v>77</v>
      </c>
      <c r="E17599" s="30" t="s">
        <v>32254</v>
      </c>
      <c r="F17599" s="34" t="n">
        <f aca="false">IFERROR(VLOOKUP($A17599,'319'!$B:$H,7,0),0)</f>
        <v>0</v>
      </c>
      <c r="G17599" s="34" t="n">
        <f aca="false">SUMIFS('12.326ana'!$C:$C,'12.326ana'!$M:$M,redes!A17599)</f>
        <v>0</v>
      </c>
    </row>
    <row r="17600" customFormat="false" ht="14.4" hidden="true" customHeight="false" outlineLevel="0" collapsed="false">
      <c r="A17600" s="34" t="n">
        <v>38197027000270</v>
      </c>
      <c r="B17600" s="34" t="s">
        <v>32253</v>
      </c>
      <c r="C17600" s="34" t="s">
        <v>77</v>
      </c>
      <c r="E17600" s="30" t="s">
        <v>32254</v>
      </c>
      <c r="F17600" s="34" t="n">
        <f aca="false">IFERROR(VLOOKUP($A17600,'319'!$B:$H,7,0),0)</f>
        <v>0</v>
      </c>
      <c r="G17600" s="34" t="n">
        <f aca="false">SUMIFS('12.326ana'!$C:$C,'12.326ana'!$M:$M,redes!A17600)</f>
        <v>0</v>
      </c>
    </row>
    <row r="17601" customFormat="false" ht="14.4" hidden="true" customHeight="false" outlineLevel="0" collapsed="false">
      <c r="A17601" s="34" t="n">
        <v>38251196000160</v>
      </c>
      <c r="B17601" s="34" t="s">
        <v>32255</v>
      </c>
      <c r="C17601" s="34" t="s">
        <v>127</v>
      </c>
      <c r="D17601" s="34" t="s">
        <v>14668</v>
      </c>
      <c r="E17601" s="30" t="s">
        <v>32256</v>
      </c>
      <c r="F17601" s="34" t="n">
        <f aca="false">IFERROR(VLOOKUP($A17601,'319'!$B:$H,7,0),0)</f>
        <v>0</v>
      </c>
      <c r="G17601" s="34" t="n">
        <f aca="false">SUMIFS('12.326ana'!$C:$C,'12.326ana'!$M:$M,redes!A17601)</f>
        <v>0</v>
      </c>
    </row>
    <row r="17602" customFormat="false" ht="14.4" hidden="true" customHeight="false" outlineLevel="0" collapsed="false">
      <c r="A17602" s="34" t="n">
        <v>38264054000137</v>
      </c>
      <c r="B17602" s="34" t="s">
        <v>32257</v>
      </c>
      <c r="C17602" s="34" t="s">
        <v>77</v>
      </c>
      <c r="E17602" s="30" t="s">
        <v>22580</v>
      </c>
      <c r="F17602" s="34" t="n">
        <f aca="false">IFERROR(VLOOKUP($A17602,'319'!$B:$H,7,0),0)</f>
        <v>0</v>
      </c>
      <c r="G17602" s="34" t="n">
        <f aca="false">SUMIFS('12.326ana'!$C:$C,'12.326ana'!$M:$M,redes!A17602)</f>
        <v>0</v>
      </c>
    </row>
    <row r="17603" customFormat="false" ht="14.4" hidden="true" customHeight="false" outlineLevel="0" collapsed="false">
      <c r="A17603" s="34" t="n">
        <v>38267236000161</v>
      </c>
      <c r="B17603" s="34" t="s">
        <v>32258</v>
      </c>
      <c r="C17603" s="34" t="s">
        <v>604</v>
      </c>
      <c r="E17603" s="30" t="s">
        <v>15184</v>
      </c>
      <c r="F17603" s="34" t="n">
        <f aca="false">IFERROR(VLOOKUP($A17603,'319'!$B:$H,7,0),0)</f>
        <v>0</v>
      </c>
      <c r="G17603" s="34" t="n">
        <f aca="false">SUMIFS('12.326ana'!$C:$C,'12.326ana'!$M:$M,redes!A17603)</f>
        <v>0</v>
      </c>
    </row>
    <row r="17604" customFormat="false" ht="14.4" hidden="true" customHeight="false" outlineLevel="0" collapsed="false">
      <c r="A17604" s="34" t="n">
        <v>38267695000145</v>
      </c>
      <c r="B17604" s="34" t="s">
        <v>32259</v>
      </c>
      <c r="C17604" s="34" t="s">
        <v>77</v>
      </c>
      <c r="E17604" s="30" t="s">
        <v>32260</v>
      </c>
      <c r="F17604" s="34" t="n">
        <f aca="false">IFERROR(VLOOKUP($A17604,'319'!$B:$H,7,0),0)</f>
        <v>0</v>
      </c>
      <c r="G17604" s="34" t="n">
        <f aca="false">SUMIFS('12.326ana'!$C:$C,'12.326ana'!$M:$M,redes!A17604)</f>
        <v>0</v>
      </c>
    </row>
    <row r="17605" customFormat="false" ht="14.4" hidden="true" customHeight="false" outlineLevel="0" collapsed="false">
      <c r="A17605" s="34" t="n">
        <v>38287387000181</v>
      </c>
      <c r="B17605" s="34" t="s">
        <v>32261</v>
      </c>
      <c r="C17605" s="34" t="s">
        <v>77</v>
      </c>
      <c r="E17605" s="30" t="s">
        <v>32262</v>
      </c>
      <c r="F17605" s="34" t="n">
        <f aca="false">IFERROR(VLOOKUP($A17605,'319'!$B:$H,7,0),0)</f>
        <v>0</v>
      </c>
      <c r="G17605" s="34" t="n">
        <f aca="false">SUMIFS('12.326ana'!$C:$C,'12.326ana'!$M:$M,redes!A17605)</f>
        <v>0</v>
      </c>
    </row>
    <row r="17606" customFormat="false" ht="14.4" hidden="true" customHeight="false" outlineLevel="0" collapsed="false">
      <c r="A17606" s="34" t="n">
        <v>38287903000178</v>
      </c>
      <c r="B17606" s="34" t="s">
        <v>32263</v>
      </c>
      <c r="C17606" s="34" t="s">
        <v>197</v>
      </c>
      <c r="E17606" s="30" t="s">
        <v>32264</v>
      </c>
      <c r="F17606" s="34" t="n">
        <f aca="false">IFERROR(VLOOKUP($A17606,'319'!$B:$H,7,0),0)</f>
        <v>0</v>
      </c>
      <c r="G17606" s="34" t="n">
        <f aca="false">SUMIFS('12.326ana'!$C:$C,'12.326ana'!$M:$M,redes!A17606)</f>
        <v>0</v>
      </c>
    </row>
    <row r="17607" customFormat="false" ht="14.4" hidden="true" customHeight="false" outlineLevel="0" collapsed="false">
      <c r="A17607" s="34" t="n">
        <v>38300980000110</v>
      </c>
      <c r="B17607" s="34" t="s">
        <v>32265</v>
      </c>
      <c r="C17607" s="34" t="s">
        <v>89</v>
      </c>
      <c r="E17607" s="30" t="s">
        <v>32266</v>
      </c>
      <c r="F17607" s="34" t="n">
        <f aca="false">IFERROR(VLOOKUP($A17607,'319'!$B:$H,7,0),0)</f>
        <v>0</v>
      </c>
      <c r="G17607" s="34" t="n">
        <f aca="false">SUMIFS('12.326ana'!$C:$C,'12.326ana'!$M:$M,redes!A17607)</f>
        <v>0</v>
      </c>
    </row>
    <row r="17608" customFormat="false" ht="14.4" hidden="true" customHeight="false" outlineLevel="0" collapsed="false">
      <c r="A17608" s="34" t="n">
        <v>38300980000200</v>
      </c>
      <c r="B17608" s="34" t="s">
        <v>32266</v>
      </c>
      <c r="C17608" s="34" t="s">
        <v>89</v>
      </c>
      <c r="E17608" s="30" t="s">
        <v>32267</v>
      </c>
      <c r="F17608" s="34" t="n">
        <f aca="false">IFERROR(VLOOKUP($A17608,'319'!$B:$H,7,0),0)</f>
        <v>0</v>
      </c>
      <c r="G17608" s="34" t="n">
        <f aca="false">SUMIFS('12.326ana'!$C:$C,'12.326ana'!$M:$M,redes!A17608)</f>
        <v>0</v>
      </c>
    </row>
    <row r="17609" customFormat="false" ht="14.4" hidden="true" customHeight="false" outlineLevel="0" collapsed="false">
      <c r="A17609" s="34" t="n">
        <v>38314414000168</v>
      </c>
      <c r="B17609" s="34" t="s">
        <v>32268</v>
      </c>
      <c r="C17609" s="34" t="s">
        <v>77</v>
      </c>
      <c r="E17609" s="30" t="s">
        <v>32269</v>
      </c>
      <c r="F17609" s="34" t="n">
        <f aca="false">IFERROR(VLOOKUP($A17609,'319'!$B:$H,7,0),0)</f>
        <v>0</v>
      </c>
      <c r="G17609" s="34" t="n">
        <f aca="false">SUMIFS('12.326ana'!$C:$C,'12.326ana'!$M:$M,redes!A17609)</f>
        <v>0</v>
      </c>
    </row>
    <row r="17610" customFormat="false" ht="14.4" hidden="true" customHeight="false" outlineLevel="0" collapsed="false">
      <c r="A17610" s="34" t="n">
        <v>38317513000101</v>
      </c>
      <c r="B17610" s="34" t="s">
        <v>32270</v>
      </c>
      <c r="C17610" s="34" t="s">
        <v>77</v>
      </c>
      <c r="E17610" s="30" t="s">
        <v>32271</v>
      </c>
      <c r="F17610" s="34" t="n">
        <f aca="false">IFERROR(VLOOKUP($A17610,'319'!$B:$H,7,0),0)</f>
        <v>0</v>
      </c>
      <c r="G17610" s="34" t="n">
        <f aca="false">SUMIFS('12.326ana'!$C:$C,'12.326ana'!$M:$M,redes!A17610)</f>
        <v>0</v>
      </c>
    </row>
    <row r="17611" customFormat="false" ht="14.4" hidden="true" customHeight="false" outlineLevel="0" collapsed="false">
      <c r="A17611" s="34" t="n">
        <v>38339253000167</v>
      </c>
      <c r="B17611" s="34" t="s">
        <v>32272</v>
      </c>
      <c r="C17611" s="34" t="s">
        <v>1591</v>
      </c>
      <c r="E17611" s="30" t="s">
        <v>18023</v>
      </c>
      <c r="F17611" s="34" t="n">
        <f aca="false">IFERROR(VLOOKUP($A17611,'319'!$B:$H,7,0),0)</f>
        <v>0</v>
      </c>
      <c r="G17611" s="34" t="n">
        <f aca="false">SUMIFS('12.326ana'!$C:$C,'12.326ana'!$M:$M,redes!A17611)</f>
        <v>0</v>
      </c>
    </row>
    <row r="17612" customFormat="false" ht="14.4" hidden="true" customHeight="false" outlineLevel="0" collapsed="false">
      <c r="A17612" s="34" t="n">
        <v>38348085000176</v>
      </c>
      <c r="B17612" s="34" t="s">
        <v>32273</v>
      </c>
      <c r="C17612" s="34" t="s">
        <v>77</v>
      </c>
      <c r="E17612" s="30" t="s">
        <v>32273</v>
      </c>
      <c r="F17612" s="34" t="n">
        <f aca="false">IFERROR(VLOOKUP($A17612,'319'!$B:$H,7,0),0)</f>
        <v>0</v>
      </c>
      <c r="G17612" s="34" t="n">
        <f aca="false">SUMIFS('12.326ana'!$C:$C,'12.326ana'!$M:$M,redes!A17612)</f>
        <v>0</v>
      </c>
    </row>
    <row r="17613" customFormat="false" ht="14.4" hidden="true" customHeight="false" outlineLevel="0" collapsed="false">
      <c r="A17613" s="34" t="n">
        <v>38362673000164</v>
      </c>
      <c r="B17613" s="34" t="s">
        <v>32274</v>
      </c>
      <c r="C17613" s="34" t="s">
        <v>77</v>
      </c>
      <c r="E17613" s="30" t="s">
        <v>32275</v>
      </c>
      <c r="F17613" s="34" t="n">
        <f aca="false">IFERROR(VLOOKUP($A17613,'319'!$B:$H,7,0),0)</f>
        <v>0</v>
      </c>
      <c r="G17613" s="34" t="n">
        <f aca="false">SUMIFS('12.326ana'!$C:$C,'12.326ana'!$M:$M,redes!A17613)</f>
        <v>0</v>
      </c>
    </row>
    <row r="17614" customFormat="false" ht="14.4" hidden="true" customHeight="false" outlineLevel="0" collapsed="false">
      <c r="A17614" s="34" t="n">
        <v>38374568000145</v>
      </c>
      <c r="B17614" s="34" t="s">
        <v>32276</v>
      </c>
      <c r="C17614" s="34" t="s">
        <v>77</v>
      </c>
      <c r="E17614" s="30" t="s">
        <v>32277</v>
      </c>
      <c r="F17614" s="34" t="n">
        <f aca="false">IFERROR(VLOOKUP($A17614,'319'!$B:$H,7,0),0)</f>
        <v>0</v>
      </c>
      <c r="G17614" s="34" t="n">
        <f aca="false">SUMIFS('12.326ana'!$C:$C,'12.326ana'!$M:$M,redes!A17614)</f>
        <v>0</v>
      </c>
    </row>
    <row r="17615" customFormat="false" ht="14.4" hidden="true" customHeight="false" outlineLevel="0" collapsed="false">
      <c r="A17615" s="34" t="n">
        <v>38379986000125</v>
      </c>
      <c r="B17615" s="34" t="s">
        <v>32278</v>
      </c>
      <c r="C17615" s="34" t="s">
        <v>107</v>
      </c>
      <c r="E17615" s="30" t="s">
        <v>5994</v>
      </c>
      <c r="F17615" s="34" t="n">
        <f aca="false">IFERROR(VLOOKUP($A17615,'319'!$B:$H,7,0),0)</f>
        <v>0</v>
      </c>
      <c r="G17615" s="34" t="n">
        <f aca="false">SUMIFS('12.326ana'!$C:$C,'12.326ana'!$M:$M,redes!A17615)</f>
        <v>0</v>
      </c>
    </row>
    <row r="17616" customFormat="false" ht="14.4" hidden="true" customHeight="false" outlineLevel="0" collapsed="false">
      <c r="A17616" s="34" t="n">
        <v>38426530000179</v>
      </c>
      <c r="B17616" s="34" t="s">
        <v>32279</v>
      </c>
      <c r="C17616" s="34" t="s">
        <v>299</v>
      </c>
      <c r="E17616" s="30" t="s">
        <v>18289</v>
      </c>
      <c r="F17616" s="34" t="n">
        <f aca="false">IFERROR(VLOOKUP($A17616,'319'!$B:$H,7,0),0)</f>
        <v>0</v>
      </c>
      <c r="G17616" s="34" t="n">
        <f aca="false">SUMIFS('12.326ana'!$C:$C,'12.326ana'!$M:$M,redes!A17616)</f>
        <v>0</v>
      </c>
    </row>
    <row r="17617" customFormat="false" ht="14.4" hidden="true" customHeight="false" outlineLevel="0" collapsed="false">
      <c r="A17617" s="34" t="n">
        <v>38446511000104</v>
      </c>
      <c r="B17617" s="34" t="s">
        <v>32280</v>
      </c>
      <c r="C17617" s="34" t="s">
        <v>77</v>
      </c>
      <c r="E17617" s="30" t="s">
        <v>32281</v>
      </c>
      <c r="F17617" s="34" t="n">
        <f aca="false">IFERROR(VLOOKUP($A17617,'319'!$B:$H,7,0),0)</f>
        <v>0</v>
      </c>
      <c r="G17617" s="34" t="n">
        <f aca="false">SUMIFS('12.326ana'!$C:$C,'12.326ana'!$M:$M,redes!A17617)</f>
        <v>0</v>
      </c>
    </row>
    <row r="17618" customFormat="false" ht="14.4" hidden="true" customHeight="false" outlineLevel="0" collapsed="false">
      <c r="A17618" s="34" t="n">
        <v>38448235000113</v>
      </c>
      <c r="B17618" s="34" t="s">
        <v>545</v>
      </c>
      <c r="C17618" s="34" t="s">
        <v>546</v>
      </c>
      <c r="E17618" s="30" t="s">
        <v>13229</v>
      </c>
      <c r="F17618" s="34" t="n">
        <f aca="false">IFERROR(VLOOKUP($A17618,'319'!$B:$H,7,0),0)</f>
        <v>27126.98</v>
      </c>
      <c r="G17618" s="34" t="n">
        <f aca="false">SUMIFS('12.326ana'!$C:$C,'12.326ana'!$M:$M,redes!A17618)</f>
        <v>0</v>
      </c>
    </row>
    <row r="17619" customFormat="false" ht="14.4" hidden="true" customHeight="false" outlineLevel="0" collapsed="false">
      <c r="A17619" s="34" t="n">
        <v>38450616000137</v>
      </c>
      <c r="B17619" s="34" t="s">
        <v>32282</v>
      </c>
      <c r="C17619" s="34" t="s">
        <v>77</v>
      </c>
      <c r="E17619" s="30" t="s">
        <v>32283</v>
      </c>
      <c r="F17619" s="34" t="n">
        <f aca="false">IFERROR(VLOOKUP($A17619,'319'!$B:$H,7,0),0)</f>
        <v>761.74</v>
      </c>
      <c r="G17619" s="34" t="n">
        <f aca="false">SUMIFS('12.326ana'!$C:$C,'12.326ana'!$M:$M,redes!A17619)</f>
        <v>0</v>
      </c>
    </row>
    <row r="17620" customFormat="false" ht="14.4" hidden="true" customHeight="false" outlineLevel="0" collapsed="false">
      <c r="A17620" s="34" t="n">
        <v>38475111000127</v>
      </c>
      <c r="B17620" s="34" t="s">
        <v>32284</v>
      </c>
      <c r="C17620" s="34" t="s">
        <v>77</v>
      </c>
      <c r="E17620" s="30" t="s">
        <v>32285</v>
      </c>
      <c r="F17620" s="34" t="n">
        <f aca="false">IFERROR(VLOOKUP($A17620,'319'!$B:$H,7,0),0)</f>
        <v>0</v>
      </c>
      <c r="G17620" s="34" t="n">
        <f aca="false">SUMIFS('12.326ana'!$C:$C,'12.326ana'!$M:$M,redes!A17620)</f>
        <v>0</v>
      </c>
    </row>
    <row r="17621" customFormat="false" ht="14.4" hidden="true" customHeight="false" outlineLevel="0" collapsed="false">
      <c r="A17621" s="34" t="n">
        <v>38498006000103</v>
      </c>
      <c r="B17621" s="34" t="s">
        <v>32286</v>
      </c>
      <c r="C17621" s="34" t="s">
        <v>139</v>
      </c>
      <c r="E17621" s="30" t="s">
        <v>32287</v>
      </c>
      <c r="F17621" s="34" t="n">
        <f aca="false">IFERROR(VLOOKUP($A17621,'319'!$B:$H,7,0),0)</f>
        <v>0</v>
      </c>
      <c r="G17621" s="34" t="n">
        <f aca="false">SUMIFS('12.326ana'!$C:$C,'12.326ana'!$M:$M,redes!A17621)</f>
        <v>0</v>
      </c>
    </row>
    <row r="17622" customFormat="false" ht="14.4" hidden="true" customHeight="false" outlineLevel="0" collapsed="false">
      <c r="A17622" s="34" t="n">
        <v>38527090000146</v>
      </c>
      <c r="B17622" s="34" t="s">
        <v>32288</v>
      </c>
      <c r="C17622" s="34" t="s">
        <v>77</v>
      </c>
      <c r="E17622" s="30" t="s">
        <v>32289</v>
      </c>
      <c r="F17622" s="34" t="n">
        <f aca="false">IFERROR(VLOOKUP($A17622,'319'!$B:$H,7,0),0)</f>
        <v>0</v>
      </c>
      <c r="G17622" s="34" t="n">
        <f aca="false">SUMIFS('12.326ana'!$C:$C,'12.326ana'!$M:$M,redes!A17622)</f>
        <v>0</v>
      </c>
    </row>
    <row r="17623" customFormat="false" ht="14.4" hidden="true" customHeight="false" outlineLevel="0" collapsed="false">
      <c r="A17623" s="34" t="n">
        <v>38539488000100</v>
      </c>
      <c r="B17623" s="34" t="s">
        <v>32290</v>
      </c>
      <c r="C17623" s="34" t="s">
        <v>342</v>
      </c>
      <c r="E17623" s="30" t="s">
        <v>32291</v>
      </c>
      <c r="F17623" s="34" t="n">
        <f aca="false">IFERROR(VLOOKUP($A17623,'319'!$B:$H,7,0),0)</f>
        <v>0</v>
      </c>
      <c r="G17623" s="34" t="n">
        <f aca="false">SUMIFS('12.326ana'!$C:$C,'12.326ana'!$M:$M,redes!A17623)</f>
        <v>0</v>
      </c>
    </row>
    <row r="17624" customFormat="false" ht="14.4" hidden="true" customHeight="false" outlineLevel="0" collapsed="false">
      <c r="A17624" s="34" t="n">
        <v>38542861000174</v>
      </c>
      <c r="B17624" s="34" t="s">
        <v>32292</v>
      </c>
      <c r="C17624" s="34" t="s">
        <v>77</v>
      </c>
      <c r="E17624" s="30" t="s">
        <v>32293</v>
      </c>
      <c r="F17624" s="34" t="n">
        <f aca="false">IFERROR(VLOOKUP($A17624,'319'!$B:$H,7,0),0)</f>
        <v>0</v>
      </c>
      <c r="G17624" s="34" t="n">
        <f aca="false">SUMIFS('12.326ana'!$C:$C,'12.326ana'!$M:$M,redes!A17624)</f>
        <v>0</v>
      </c>
    </row>
    <row r="17625" customFormat="false" ht="14.4" hidden="true" customHeight="false" outlineLevel="0" collapsed="false">
      <c r="A17625" s="34" t="n">
        <v>38595042000195</v>
      </c>
      <c r="B17625" s="34" t="s">
        <v>32294</v>
      </c>
      <c r="C17625" s="34" t="s">
        <v>1272</v>
      </c>
      <c r="E17625" s="30" t="s">
        <v>32295</v>
      </c>
      <c r="F17625" s="34" t="n">
        <f aca="false">IFERROR(VLOOKUP($A17625,'319'!$B:$H,7,0),0)</f>
        <v>0</v>
      </c>
      <c r="G17625" s="34" t="n">
        <f aca="false">SUMIFS('12.326ana'!$C:$C,'12.326ana'!$M:$M,redes!A17625)</f>
        <v>0</v>
      </c>
    </row>
    <row r="17626" customFormat="false" ht="14.4" hidden="true" customHeight="false" outlineLevel="0" collapsed="false">
      <c r="A17626" s="34" t="n">
        <v>38612363000150</v>
      </c>
      <c r="B17626" s="34" t="s">
        <v>1019</v>
      </c>
      <c r="C17626" s="34" t="s">
        <v>309</v>
      </c>
      <c r="E17626" s="30" t="s">
        <v>32296</v>
      </c>
      <c r="F17626" s="34" t="n">
        <f aca="false">IFERROR(VLOOKUP($A17626,'319'!$B:$H,7,0),0)</f>
        <v>915.43</v>
      </c>
      <c r="G17626" s="34" t="n">
        <f aca="false">SUMIFS('12.326ana'!$C:$C,'12.326ana'!$M:$M,redes!A17626)</f>
        <v>0</v>
      </c>
    </row>
    <row r="17627" customFormat="false" ht="14.4" hidden="true" customHeight="false" outlineLevel="0" collapsed="false">
      <c r="A17627" s="34" t="n">
        <v>38655997000190</v>
      </c>
      <c r="B17627" s="34" t="s">
        <v>32297</v>
      </c>
      <c r="C17627" s="34" t="s">
        <v>357</v>
      </c>
      <c r="E17627" s="30" t="s">
        <v>31188</v>
      </c>
      <c r="F17627" s="34" t="n">
        <f aca="false">IFERROR(VLOOKUP($A17627,'319'!$B:$H,7,0),0)</f>
        <v>69.06</v>
      </c>
      <c r="G17627" s="34" t="n">
        <f aca="false">SUMIFS('12.326ana'!$C:$C,'12.326ana'!$M:$M,redes!A17627)</f>
        <v>0</v>
      </c>
    </row>
    <row r="17628" customFormat="false" ht="14.4" hidden="true" customHeight="false" outlineLevel="0" collapsed="false">
      <c r="A17628" s="34" t="n">
        <v>38657556000128</v>
      </c>
      <c r="B17628" s="34" t="s">
        <v>32298</v>
      </c>
      <c r="C17628" s="34" t="s">
        <v>139</v>
      </c>
      <c r="E17628" s="30" t="s">
        <v>32299</v>
      </c>
      <c r="F17628" s="34" t="n">
        <f aca="false">IFERROR(VLOOKUP($A17628,'319'!$B:$H,7,0),0)</f>
        <v>0</v>
      </c>
      <c r="G17628" s="34" t="n">
        <f aca="false">SUMIFS('12.326ana'!$C:$C,'12.326ana'!$M:$M,redes!A17628)</f>
        <v>0</v>
      </c>
    </row>
    <row r="17629" customFormat="false" ht="14.4" hidden="true" customHeight="false" outlineLevel="0" collapsed="false">
      <c r="A17629" s="34" t="n">
        <v>38658000000156</v>
      </c>
      <c r="B17629" s="34" t="s">
        <v>32300</v>
      </c>
      <c r="C17629" s="34" t="s">
        <v>77</v>
      </c>
      <c r="E17629" s="30" t="s">
        <v>32301</v>
      </c>
      <c r="F17629" s="34" t="n">
        <f aca="false">IFERROR(VLOOKUP($A17629,'319'!$B:$H,7,0),0)</f>
        <v>0</v>
      </c>
      <c r="G17629" s="34" t="n">
        <f aca="false">SUMIFS('12.326ana'!$C:$C,'12.326ana'!$M:$M,redes!A17629)</f>
        <v>0</v>
      </c>
    </row>
    <row r="17630" customFormat="false" ht="14.4" hidden="true" customHeight="false" outlineLevel="0" collapsed="false">
      <c r="A17630" s="34" t="n">
        <v>38713565000199</v>
      </c>
      <c r="B17630" s="34" t="s">
        <v>32302</v>
      </c>
      <c r="C17630" s="34" t="s">
        <v>89</v>
      </c>
      <c r="E17630" s="30" t="s">
        <v>32303</v>
      </c>
      <c r="F17630" s="34" t="n">
        <f aca="false">IFERROR(VLOOKUP($A17630,'319'!$B:$H,7,0),0)</f>
        <v>0</v>
      </c>
      <c r="G17630" s="34" t="n">
        <f aca="false">SUMIFS('12.326ana'!$C:$C,'12.326ana'!$M:$M,redes!A17630)</f>
        <v>0</v>
      </c>
    </row>
    <row r="17631" customFormat="false" ht="14.4" hidden="true" customHeight="false" outlineLevel="0" collapsed="false">
      <c r="A17631" s="34" t="n">
        <v>38730777000184</v>
      </c>
      <c r="B17631" s="34" t="s">
        <v>32304</v>
      </c>
      <c r="C17631" s="34" t="s">
        <v>328</v>
      </c>
      <c r="E17631" s="30" t="s">
        <v>32305</v>
      </c>
      <c r="F17631" s="34" t="n">
        <f aca="false">IFERROR(VLOOKUP($A17631,'319'!$B:$H,7,0),0)</f>
        <v>0</v>
      </c>
      <c r="G17631" s="34" t="n">
        <f aca="false">SUMIFS('12.326ana'!$C:$C,'12.326ana'!$M:$M,redes!A17631)</f>
        <v>0</v>
      </c>
    </row>
    <row r="17632" customFormat="false" ht="14.4" hidden="true" customHeight="false" outlineLevel="0" collapsed="false">
      <c r="A17632" s="34" t="n">
        <v>38822278000117</v>
      </c>
      <c r="B17632" s="34" t="s">
        <v>32306</v>
      </c>
      <c r="C17632" s="34" t="s">
        <v>77</v>
      </c>
      <c r="E17632" s="30" t="s">
        <v>32307</v>
      </c>
      <c r="F17632" s="34" t="n">
        <f aca="false">IFERROR(VLOOKUP($A17632,'319'!$B:$H,7,0),0)</f>
        <v>0</v>
      </c>
      <c r="G17632" s="34" t="n">
        <f aca="false">SUMIFS('12.326ana'!$C:$C,'12.326ana'!$M:$M,redes!A17632)</f>
        <v>0</v>
      </c>
    </row>
    <row r="17633" customFormat="false" ht="14.4" hidden="true" customHeight="false" outlineLevel="0" collapsed="false">
      <c r="A17633" s="34" t="n">
        <v>38828793000104</v>
      </c>
      <c r="B17633" s="34" t="s">
        <v>32308</v>
      </c>
      <c r="C17633" s="34" t="s">
        <v>77</v>
      </c>
      <c r="E17633" s="30" t="s">
        <v>32309</v>
      </c>
      <c r="F17633" s="34" t="n">
        <f aca="false">IFERROR(VLOOKUP($A17633,'319'!$B:$H,7,0),0)</f>
        <v>0</v>
      </c>
      <c r="G17633" s="34" t="n">
        <f aca="false">SUMIFS('12.326ana'!$C:$C,'12.326ana'!$M:$M,redes!A17633)</f>
        <v>0</v>
      </c>
    </row>
    <row r="17634" customFormat="false" ht="14.4" hidden="true" customHeight="false" outlineLevel="0" collapsed="false">
      <c r="A17634" s="34" t="n">
        <v>38831969000187</v>
      </c>
      <c r="B17634" s="34" t="s">
        <v>32310</v>
      </c>
      <c r="C17634" s="34" t="s">
        <v>77</v>
      </c>
      <c r="E17634" s="30" t="s">
        <v>32311</v>
      </c>
      <c r="F17634" s="34" t="n">
        <f aca="false">IFERROR(VLOOKUP($A17634,'319'!$B:$H,7,0),0)</f>
        <v>0</v>
      </c>
      <c r="G17634" s="34" t="n">
        <f aca="false">SUMIFS('12.326ana'!$C:$C,'12.326ana'!$M:$M,redes!A17634)</f>
        <v>0</v>
      </c>
    </row>
    <row r="17635" customFormat="false" ht="14.4" hidden="true" customHeight="false" outlineLevel="0" collapsed="false">
      <c r="A17635" s="34" t="n">
        <v>38860898000140</v>
      </c>
      <c r="B17635" s="34" t="s">
        <v>32312</v>
      </c>
      <c r="C17635" s="34" t="s">
        <v>77</v>
      </c>
      <c r="E17635" s="30" t="s">
        <v>32313</v>
      </c>
      <c r="F17635" s="34" t="n">
        <f aca="false">IFERROR(VLOOKUP($A17635,'319'!$B:$H,7,0),0)</f>
        <v>0</v>
      </c>
      <c r="G17635" s="34" t="n">
        <f aca="false">SUMIFS('12.326ana'!$C:$C,'12.326ana'!$M:$M,redes!A17635)</f>
        <v>0</v>
      </c>
    </row>
    <row r="17636" customFormat="false" ht="14.4" hidden="true" customHeight="false" outlineLevel="0" collapsed="false">
      <c r="A17636" s="34" t="n">
        <v>39022041000114</v>
      </c>
      <c r="B17636" s="34" t="s">
        <v>32314</v>
      </c>
      <c r="C17636" s="34" t="s">
        <v>32315</v>
      </c>
      <c r="E17636" s="30" t="s">
        <v>32316</v>
      </c>
      <c r="F17636" s="34" t="n">
        <f aca="false">IFERROR(VLOOKUP($A17636,'319'!$B:$H,7,0),0)</f>
        <v>0</v>
      </c>
      <c r="G17636" s="34" t="n">
        <f aca="false">SUMIFS('12.326ana'!$C:$C,'12.326ana'!$M:$M,redes!A17636)</f>
        <v>0</v>
      </c>
    </row>
    <row r="17637" customFormat="false" ht="14.4" hidden="true" customHeight="false" outlineLevel="0" collapsed="false">
      <c r="A17637" s="34" t="n">
        <v>39146464000146</v>
      </c>
      <c r="B17637" s="34" t="s">
        <v>32317</v>
      </c>
      <c r="C17637" s="34" t="s">
        <v>77</v>
      </c>
      <c r="E17637" s="30" t="s">
        <v>32318</v>
      </c>
      <c r="F17637" s="34" t="n">
        <f aca="false">IFERROR(VLOOKUP($A17637,'319'!$B:$H,7,0),0)</f>
        <v>0</v>
      </c>
      <c r="G17637" s="34" t="n">
        <f aca="false">SUMIFS('12.326ana'!$C:$C,'12.326ana'!$M:$M,redes!A17637)</f>
        <v>0</v>
      </c>
    </row>
    <row r="17638" customFormat="false" ht="14.4" hidden="true" customHeight="false" outlineLevel="0" collapsed="false">
      <c r="A17638" s="34" t="n">
        <v>39232955000100</v>
      </c>
      <c r="B17638" s="34" t="s">
        <v>32319</v>
      </c>
      <c r="C17638" s="34" t="s">
        <v>77</v>
      </c>
      <c r="E17638" s="30" t="s">
        <v>32320</v>
      </c>
      <c r="F17638" s="34" t="n">
        <f aca="false">IFERROR(VLOOKUP($A17638,'319'!$B:$H,7,0),0)</f>
        <v>0</v>
      </c>
      <c r="G17638" s="34" t="n">
        <f aca="false">SUMIFS('12.326ana'!$C:$C,'12.326ana'!$M:$M,redes!A17638)</f>
        <v>0</v>
      </c>
    </row>
    <row r="17639" customFormat="false" ht="14.4" hidden="true" customHeight="false" outlineLevel="0" collapsed="false">
      <c r="A17639" s="34" t="n">
        <v>39237727000122</v>
      </c>
      <c r="B17639" s="34" t="s">
        <v>32321</v>
      </c>
      <c r="C17639" s="34" t="s">
        <v>473</v>
      </c>
      <c r="E17639" s="30" t="s">
        <v>32322</v>
      </c>
      <c r="F17639" s="34" t="n">
        <f aca="false">IFERROR(VLOOKUP($A17639,'319'!$B:$H,7,0),0)</f>
        <v>0</v>
      </c>
      <c r="G17639" s="34" t="n">
        <f aca="false">SUMIFS('12.326ana'!$C:$C,'12.326ana'!$M:$M,redes!A17639)</f>
        <v>0</v>
      </c>
    </row>
    <row r="17640" customFormat="false" ht="14.4" hidden="true" customHeight="false" outlineLevel="0" collapsed="false">
      <c r="A17640" s="34" t="n">
        <v>39266869000118</v>
      </c>
      <c r="B17640" s="34" t="s">
        <v>32323</v>
      </c>
      <c r="C17640" s="34" t="s">
        <v>77</v>
      </c>
      <c r="E17640" s="30" t="s">
        <v>32324</v>
      </c>
      <c r="F17640" s="34" t="n">
        <f aca="false">IFERROR(VLOOKUP($A17640,'319'!$B:$H,7,0),0)</f>
        <v>0</v>
      </c>
      <c r="G17640" s="34" t="n">
        <f aca="false">SUMIFS('12.326ana'!$C:$C,'12.326ana'!$M:$M,redes!A17640)</f>
        <v>0</v>
      </c>
    </row>
    <row r="17641" customFormat="false" ht="14.4" hidden="true" customHeight="false" outlineLevel="0" collapsed="false">
      <c r="A17641" s="34" t="n">
        <v>39276512000110</v>
      </c>
      <c r="B17641" s="34" t="s">
        <v>32325</v>
      </c>
      <c r="C17641" s="34" t="s">
        <v>994</v>
      </c>
      <c r="E17641" s="30" t="s">
        <v>3066</v>
      </c>
      <c r="F17641" s="34" t="n">
        <f aca="false">IFERROR(VLOOKUP($A17641,'319'!$B:$H,7,0),0)</f>
        <v>0</v>
      </c>
      <c r="G17641" s="34" t="n">
        <f aca="false">SUMIFS('12.326ana'!$C:$C,'12.326ana'!$M:$M,redes!A17641)</f>
        <v>0</v>
      </c>
    </row>
    <row r="17642" customFormat="false" ht="14.4" hidden="true" customHeight="false" outlineLevel="0" collapsed="false">
      <c r="A17642" s="34" t="n">
        <v>39317449000113</v>
      </c>
      <c r="B17642" s="34" t="s">
        <v>32326</v>
      </c>
      <c r="C17642" s="34" t="s">
        <v>89</v>
      </c>
      <c r="E17642" s="30" t="s">
        <v>32327</v>
      </c>
      <c r="F17642" s="34" t="n">
        <f aca="false">IFERROR(VLOOKUP($A17642,'319'!$B:$H,7,0),0)</f>
        <v>0</v>
      </c>
      <c r="G17642" s="34" t="n">
        <f aca="false">SUMIFS('12.326ana'!$C:$C,'12.326ana'!$M:$M,redes!A17642)</f>
        <v>0</v>
      </c>
    </row>
    <row r="17643" customFormat="false" ht="14.4" hidden="true" customHeight="false" outlineLevel="0" collapsed="false">
      <c r="A17643" s="34" t="n">
        <v>39323025000161</v>
      </c>
      <c r="B17643" s="34" t="s">
        <v>32328</v>
      </c>
      <c r="C17643" s="34" t="s">
        <v>342</v>
      </c>
      <c r="E17643" s="30" t="s">
        <v>32329</v>
      </c>
      <c r="F17643" s="34" t="n">
        <f aca="false">IFERROR(VLOOKUP($A17643,'319'!$B:$H,7,0),0)</f>
        <v>0</v>
      </c>
      <c r="G17643" s="34" t="n">
        <f aca="false">SUMIFS('12.326ana'!$C:$C,'12.326ana'!$M:$M,redes!A17643)</f>
        <v>0</v>
      </c>
    </row>
    <row r="17644" customFormat="false" ht="14.4" hidden="true" customHeight="false" outlineLevel="0" collapsed="false">
      <c r="A17644" s="34" t="n">
        <v>39323685000142</v>
      </c>
      <c r="B17644" s="34" t="s">
        <v>32330</v>
      </c>
      <c r="C17644" s="34" t="s">
        <v>77</v>
      </c>
      <c r="E17644" s="30" t="s">
        <v>32331</v>
      </c>
      <c r="F17644" s="34" t="n">
        <f aca="false">IFERROR(VLOOKUP($A17644,'319'!$B:$H,7,0),0)</f>
        <v>0</v>
      </c>
      <c r="G17644" s="34" t="n">
        <f aca="false">SUMIFS('12.326ana'!$C:$C,'12.326ana'!$M:$M,redes!A17644)</f>
        <v>0</v>
      </c>
    </row>
    <row r="17645" customFormat="false" ht="14.4" hidden="true" customHeight="false" outlineLevel="0" collapsed="false">
      <c r="A17645" s="34" t="n">
        <v>39326224000123</v>
      </c>
      <c r="B17645" s="34" t="s">
        <v>32332</v>
      </c>
      <c r="C17645" s="34" t="s">
        <v>77</v>
      </c>
      <c r="E17645" s="30" t="s">
        <v>32333</v>
      </c>
      <c r="F17645" s="34" t="n">
        <f aca="false">IFERROR(VLOOKUP($A17645,'319'!$B:$H,7,0),0)</f>
        <v>0</v>
      </c>
      <c r="G17645" s="34" t="n">
        <f aca="false">SUMIFS('12.326ana'!$C:$C,'12.326ana'!$M:$M,redes!A17645)</f>
        <v>0</v>
      </c>
    </row>
    <row r="17646" customFormat="false" ht="14.4" hidden="true" customHeight="false" outlineLevel="0" collapsed="false">
      <c r="A17646" s="34" t="n">
        <v>39337973000156</v>
      </c>
      <c r="B17646" s="34" t="s">
        <v>32334</v>
      </c>
      <c r="C17646" s="34" t="s">
        <v>3594</v>
      </c>
      <c r="E17646" s="30" t="s">
        <v>32335</v>
      </c>
      <c r="F17646" s="34" t="n">
        <f aca="false">IFERROR(VLOOKUP($A17646,'319'!$B:$H,7,0),0)</f>
        <v>0</v>
      </c>
      <c r="G17646" s="34" t="n">
        <f aca="false">SUMIFS('12.326ana'!$C:$C,'12.326ana'!$M:$M,redes!A17646)</f>
        <v>0</v>
      </c>
    </row>
    <row r="17647" customFormat="false" ht="14.4" hidden="true" customHeight="false" outlineLevel="0" collapsed="false">
      <c r="A17647" s="34" t="n">
        <v>39355503000115</v>
      </c>
      <c r="B17647" s="34" t="s">
        <v>32336</v>
      </c>
      <c r="C17647" s="34" t="s">
        <v>107</v>
      </c>
      <c r="E17647" s="30" t="s">
        <v>32337</v>
      </c>
      <c r="F17647" s="34" t="n">
        <f aca="false">IFERROR(VLOOKUP($A17647,'319'!$B:$H,7,0),0)</f>
        <v>0</v>
      </c>
      <c r="G17647" s="34" t="n">
        <f aca="false">SUMIFS('12.326ana'!$C:$C,'12.326ana'!$M:$M,redes!A17647)</f>
        <v>0</v>
      </c>
    </row>
    <row r="17648" customFormat="false" ht="14.4" hidden="true" customHeight="false" outlineLevel="0" collapsed="false">
      <c r="A17648" s="34" t="n">
        <v>39356461000137</v>
      </c>
      <c r="B17648" s="34" t="s">
        <v>32338</v>
      </c>
      <c r="C17648" s="34" t="s">
        <v>107</v>
      </c>
      <c r="E17648" s="30" t="s">
        <v>32339</v>
      </c>
      <c r="F17648" s="34" t="n">
        <f aca="false">IFERROR(VLOOKUP($A17648,'319'!$B:$H,7,0),0)</f>
        <v>0</v>
      </c>
      <c r="G17648" s="34" t="n">
        <f aca="false">SUMIFS('12.326ana'!$C:$C,'12.326ana'!$M:$M,redes!A17648)</f>
        <v>0</v>
      </c>
    </row>
    <row r="17649" customFormat="false" ht="14.4" hidden="true" customHeight="false" outlineLevel="0" collapsed="false">
      <c r="A17649" s="34" t="n">
        <v>39362860000100</v>
      </c>
      <c r="B17649" s="34" t="s">
        <v>32340</v>
      </c>
      <c r="C17649" s="34" t="s">
        <v>77</v>
      </c>
      <c r="E17649" s="30" t="s">
        <v>32341</v>
      </c>
      <c r="F17649" s="34" t="n">
        <f aca="false">IFERROR(VLOOKUP($A17649,'319'!$B:$H,7,0),0)</f>
        <v>0</v>
      </c>
      <c r="G17649" s="34" t="n">
        <f aca="false">SUMIFS('12.326ana'!$C:$C,'12.326ana'!$M:$M,redes!A17649)</f>
        <v>0</v>
      </c>
    </row>
    <row r="17650" customFormat="false" ht="14.4" hidden="true" customHeight="false" outlineLevel="0" collapsed="false">
      <c r="A17650" s="34" t="n">
        <v>39368033000124</v>
      </c>
      <c r="B17650" s="34" t="s">
        <v>32342</v>
      </c>
      <c r="C17650" s="34" t="s">
        <v>77</v>
      </c>
      <c r="E17650" s="30" t="s">
        <v>32343</v>
      </c>
      <c r="F17650" s="34" t="n">
        <f aca="false">IFERROR(VLOOKUP($A17650,'319'!$B:$H,7,0),0)</f>
        <v>0</v>
      </c>
      <c r="G17650" s="34" t="n">
        <f aca="false">SUMIFS('12.326ana'!$C:$C,'12.326ana'!$M:$M,redes!A17650)</f>
        <v>0</v>
      </c>
    </row>
    <row r="17651" customFormat="false" ht="14.4" hidden="true" customHeight="false" outlineLevel="0" collapsed="false">
      <c r="A17651" s="34" t="n">
        <v>39373892000101</v>
      </c>
      <c r="B17651" s="34" t="s">
        <v>32344</v>
      </c>
      <c r="C17651" s="34" t="s">
        <v>89</v>
      </c>
      <c r="E17651" s="30" t="s">
        <v>32345</v>
      </c>
      <c r="F17651" s="34" t="n">
        <f aca="false">IFERROR(VLOOKUP($A17651,'319'!$B:$H,7,0),0)</f>
        <v>0</v>
      </c>
      <c r="G17651" s="34" t="n">
        <f aca="false">SUMIFS('12.326ana'!$C:$C,'12.326ana'!$M:$M,redes!A17651)</f>
        <v>0</v>
      </c>
    </row>
    <row r="17652" customFormat="false" ht="14.4" hidden="true" customHeight="false" outlineLevel="0" collapsed="false">
      <c r="A17652" s="34" t="n">
        <v>39375561000100</v>
      </c>
      <c r="B17652" s="34" t="s">
        <v>32346</v>
      </c>
      <c r="C17652" s="34" t="s">
        <v>107</v>
      </c>
      <c r="E17652" s="30" t="s">
        <v>32346</v>
      </c>
      <c r="F17652" s="34" t="n">
        <f aca="false">IFERROR(VLOOKUP($A17652,'319'!$B:$H,7,0),0)</f>
        <v>0</v>
      </c>
      <c r="G17652" s="34" t="n">
        <f aca="false">SUMIFS('12.326ana'!$C:$C,'12.326ana'!$M:$M,redes!A17652)</f>
        <v>0</v>
      </c>
    </row>
    <row r="17653" customFormat="false" ht="14.4" hidden="true" customHeight="false" outlineLevel="0" collapsed="false">
      <c r="A17653" s="34" t="n">
        <v>39413121000109</v>
      </c>
      <c r="B17653" s="34" t="s">
        <v>32347</v>
      </c>
      <c r="C17653" s="34" t="s">
        <v>139</v>
      </c>
      <c r="E17653" s="30" t="s">
        <v>27594</v>
      </c>
      <c r="F17653" s="34" t="n">
        <f aca="false">IFERROR(VLOOKUP($A17653,'319'!$B:$H,7,0),0)</f>
        <v>81.98</v>
      </c>
      <c r="G17653" s="34" t="n">
        <f aca="false">SUMIFS('12.326ana'!$C:$C,'12.326ana'!$M:$M,redes!A17653)</f>
        <v>0</v>
      </c>
    </row>
    <row r="17654" customFormat="false" ht="14.4" hidden="true" customHeight="false" outlineLevel="0" collapsed="false">
      <c r="A17654" s="34" t="n">
        <v>39422139000169</v>
      </c>
      <c r="B17654" s="34" t="s">
        <v>32348</v>
      </c>
      <c r="C17654" s="34" t="s">
        <v>4261</v>
      </c>
      <c r="E17654" s="30" t="s">
        <v>31802</v>
      </c>
      <c r="F17654" s="34" t="n">
        <f aca="false">IFERROR(VLOOKUP($A17654,'319'!$B:$H,7,0),0)</f>
        <v>0</v>
      </c>
      <c r="G17654" s="34" t="n">
        <f aca="false">SUMIFS('12.326ana'!$C:$C,'12.326ana'!$M:$M,redes!A17654)</f>
        <v>0</v>
      </c>
    </row>
    <row r="17655" customFormat="false" ht="14.4" hidden="true" customHeight="false" outlineLevel="0" collapsed="false">
      <c r="A17655" s="34" t="n">
        <v>39440356000181</v>
      </c>
      <c r="B17655" s="34" t="s">
        <v>32349</v>
      </c>
      <c r="C17655" s="34" t="s">
        <v>117</v>
      </c>
      <c r="E17655" s="30" t="s">
        <v>32350</v>
      </c>
      <c r="F17655" s="34" t="n">
        <f aca="false">IFERROR(VLOOKUP($A17655,'319'!$B:$H,7,0),0)</f>
        <v>0</v>
      </c>
      <c r="G17655" s="34" t="n">
        <f aca="false">SUMIFS('12.326ana'!$C:$C,'12.326ana'!$M:$M,redes!A17655)</f>
        <v>0</v>
      </c>
    </row>
    <row r="17656" customFormat="false" ht="14.4" hidden="true" customHeight="false" outlineLevel="0" collapsed="false">
      <c r="A17656" s="34" t="n">
        <v>39452599000130</v>
      </c>
      <c r="B17656" s="34" t="s">
        <v>32351</v>
      </c>
      <c r="C17656" s="34" t="s">
        <v>77</v>
      </c>
      <c r="E17656" s="30" t="s">
        <v>24512</v>
      </c>
      <c r="F17656" s="34" t="n">
        <f aca="false">IFERROR(VLOOKUP($A17656,'319'!$B:$H,7,0),0)</f>
        <v>0</v>
      </c>
      <c r="G17656" s="34" t="n">
        <f aca="false">SUMIFS('12.326ana'!$C:$C,'12.326ana'!$M:$M,redes!A17656)</f>
        <v>0</v>
      </c>
    </row>
    <row r="17657" customFormat="false" ht="14.4" hidden="true" customHeight="false" outlineLevel="0" collapsed="false">
      <c r="A17657" s="34" t="n">
        <v>39470251000175</v>
      </c>
      <c r="B17657" s="34" t="s">
        <v>1608</v>
      </c>
      <c r="C17657" s="34" t="s">
        <v>848</v>
      </c>
      <c r="E17657" s="30" t="s">
        <v>31523</v>
      </c>
      <c r="F17657" s="34" t="n">
        <f aca="false">IFERROR(VLOOKUP($A17657,'319'!$B:$H,7,0),0)</f>
        <v>88.6</v>
      </c>
      <c r="G17657" s="34" t="n">
        <f aca="false">SUMIFS('12.326ana'!$C:$C,'12.326ana'!$M:$M,redes!A17657)</f>
        <v>0</v>
      </c>
    </row>
    <row r="17658" customFormat="false" ht="14.4" hidden="true" customHeight="false" outlineLevel="0" collapsed="false">
      <c r="A17658" s="34" t="n">
        <v>39471459000109</v>
      </c>
      <c r="B17658" s="34" t="s">
        <v>1109</v>
      </c>
      <c r="C17658" s="34" t="s">
        <v>77</v>
      </c>
      <c r="E17658" s="30" t="s">
        <v>1109</v>
      </c>
      <c r="F17658" s="34" t="n">
        <f aca="false">IFERROR(VLOOKUP($A17658,'319'!$B:$H,7,0),0)</f>
        <v>568.19</v>
      </c>
      <c r="G17658" s="34" t="n">
        <f aca="false">SUMIFS('12.326ana'!$C:$C,'12.326ana'!$M:$M,redes!A17658)</f>
        <v>0</v>
      </c>
    </row>
    <row r="17659" customFormat="false" ht="14.4" hidden="true" customHeight="false" outlineLevel="0" collapsed="false">
      <c r="A17659" s="34" t="n">
        <v>39484822000120</v>
      </c>
      <c r="B17659" s="34" t="s">
        <v>32352</v>
      </c>
      <c r="C17659" s="34" t="s">
        <v>631</v>
      </c>
      <c r="E17659" s="30" t="s">
        <v>32353</v>
      </c>
      <c r="F17659" s="34" t="n">
        <f aca="false">IFERROR(VLOOKUP($A17659,'319'!$B:$H,7,0),0)</f>
        <v>0</v>
      </c>
      <c r="G17659" s="34" t="n">
        <f aca="false">SUMIFS('12.326ana'!$C:$C,'12.326ana'!$M:$M,redes!A17659)</f>
        <v>0</v>
      </c>
    </row>
    <row r="17660" customFormat="false" ht="14.4" hidden="true" customHeight="false" outlineLevel="0" collapsed="false">
      <c r="A17660" s="34" t="n">
        <v>39493776000126</v>
      </c>
      <c r="B17660" s="34" t="s">
        <v>32354</v>
      </c>
      <c r="C17660" s="34" t="s">
        <v>604</v>
      </c>
      <c r="E17660" s="30" t="s">
        <v>32355</v>
      </c>
      <c r="F17660" s="34" t="n">
        <f aca="false">IFERROR(VLOOKUP($A17660,'319'!$B:$H,7,0),0)</f>
        <v>0</v>
      </c>
      <c r="G17660" s="34" t="n">
        <f aca="false">SUMIFS('12.326ana'!$C:$C,'12.326ana'!$M:$M,redes!A17660)</f>
        <v>0</v>
      </c>
    </row>
    <row r="17661" customFormat="false" ht="14.4" hidden="true" customHeight="false" outlineLevel="0" collapsed="false">
      <c r="A17661" s="34" t="n">
        <v>39494514000186</v>
      </c>
      <c r="B17661" s="34" t="s">
        <v>32356</v>
      </c>
      <c r="C17661" s="34" t="s">
        <v>546</v>
      </c>
      <c r="E17661" s="30" t="s">
        <v>32357</v>
      </c>
      <c r="F17661" s="34" t="n">
        <f aca="false">IFERROR(VLOOKUP($A17661,'319'!$B:$H,7,0),0)</f>
        <v>0</v>
      </c>
      <c r="G17661" s="34" t="n">
        <f aca="false">SUMIFS('12.326ana'!$C:$C,'12.326ana'!$M:$M,redes!A17661)</f>
        <v>0</v>
      </c>
    </row>
    <row r="17662" customFormat="false" ht="14.4" hidden="true" customHeight="false" outlineLevel="0" collapsed="false">
      <c r="A17662" s="34" t="n">
        <v>39495248000106</v>
      </c>
      <c r="B17662" s="34" t="s">
        <v>32358</v>
      </c>
      <c r="C17662" s="34" t="s">
        <v>77</v>
      </c>
      <c r="E17662" s="30" t="s">
        <v>32359</v>
      </c>
      <c r="F17662" s="34" t="n">
        <f aca="false">IFERROR(VLOOKUP($A17662,'319'!$B:$H,7,0),0)</f>
        <v>0</v>
      </c>
      <c r="G17662" s="34" t="n">
        <f aca="false">SUMIFS('12.326ana'!$C:$C,'12.326ana'!$M:$M,redes!A17662)</f>
        <v>0</v>
      </c>
    </row>
    <row r="17663" customFormat="false" ht="14.4" hidden="true" customHeight="false" outlineLevel="0" collapsed="false">
      <c r="A17663" s="34" t="n">
        <v>39557230000191</v>
      </c>
      <c r="B17663" s="34" t="s">
        <v>32360</v>
      </c>
      <c r="C17663" s="34" t="s">
        <v>357</v>
      </c>
      <c r="E17663" s="30" t="s">
        <v>32361</v>
      </c>
      <c r="F17663" s="34" t="n">
        <f aca="false">IFERROR(VLOOKUP($A17663,'319'!$B:$H,7,0),0)</f>
        <v>0</v>
      </c>
      <c r="G17663" s="34" t="n">
        <f aca="false">SUMIFS('12.326ana'!$C:$C,'12.326ana'!$M:$M,redes!A17663)</f>
        <v>0</v>
      </c>
    </row>
    <row r="17664" customFormat="false" ht="14.4" hidden="true" customHeight="false" outlineLevel="0" collapsed="false">
      <c r="A17664" s="34" t="n">
        <v>39567739000115</v>
      </c>
      <c r="B17664" s="34" t="s">
        <v>32362</v>
      </c>
      <c r="C17664" s="34" t="s">
        <v>604</v>
      </c>
      <c r="E17664" s="30" t="s">
        <v>19819</v>
      </c>
      <c r="F17664" s="34" t="n">
        <f aca="false">IFERROR(VLOOKUP($A17664,'319'!$B:$H,7,0),0)</f>
        <v>0</v>
      </c>
      <c r="G17664" s="34" t="n">
        <f aca="false">SUMIFS('12.326ana'!$C:$C,'12.326ana'!$M:$M,redes!A17664)</f>
        <v>0</v>
      </c>
    </row>
    <row r="17665" customFormat="false" ht="14.4" hidden="true" customHeight="false" outlineLevel="0" collapsed="false">
      <c r="A17665" s="34" t="n">
        <v>39575110000117</v>
      </c>
      <c r="B17665" s="34" t="s">
        <v>32363</v>
      </c>
      <c r="C17665" s="34" t="s">
        <v>77</v>
      </c>
      <c r="E17665" s="30" t="s">
        <v>32363</v>
      </c>
      <c r="F17665" s="34" t="n">
        <f aca="false">IFERROR(VLOOKUP($A17665,'319'!$B:$H,7,0),0)</f>
        <v>264.53</v>
      </c>
      <c r="G17665" s="34" t="n">
        <f aca="false">SUMIFS('12.326ana'!$C:$C,'12.326ana'!$M:$M,redes!A17665)</f>
        <v>0</v>
      </c>
    </row>
    <row r="17666" customFormat="false" ht="14.4" hidden="true" customHeight="false" outlineLevel="0" collapsed="false">
      <c r="A17666" s="34" t="n">
        <v>39596428000184</v>
      </c>
      <c r="B17666" s="34" t="s">
        <v>638</v>
      </c>
      <c r="C17666" s="34" t="s">
        <v>546</v>
      </c>
      <c r="E17666" s="30" t="s">
        <v>638</v>
      </c>
      <c r="F17666" s="34" t="n">
        <f aca="false">IFERROR(VLOOKUP($A17666,'319'!$B:$H,7,0),0)</f>
        <v>9265.75</v>
      </c>
      <c r="G17666" s="34" t="n">
        <f aca="false">SUMIFS('12.326ana'!$C:$C,'12.326ana'!$M:$M,redes!A17666)</f>
        <v>0</v>
      </c>
    </row>
    <row r="17667" customFormat="false" ht="14.4" hidden="true" customHeight="false" outlineLevel="0" collapsed="false">
      <c r="A17667" s="34" t="n">
        <v>39601788000127</v>
      </c>
      <c r="B17667" s="34" t="s">
        <v>32364</v>
      </c>
      <c r="C17667" s="34" t="s">
        <v>77</v>
      </c>
      <c r="E17667" s="30" t="s">
        <v>32365</v>
      </c>
      <c r="F17667" s="34" t="n">
        <f aca="false">IFERROR(VLOOKUP($A17667,'319'!$B:$H,7,0),0)</f>
        <v>0</v>
      </c>
      <c r="G17667" s="34" t="n">
        <f aca="false">SUMIFS('12.326ana'!$C:$C,'12.326ana'!$M:$M,redes!A17667)</f>
        <v>0</v>
      </c>
    </row>
    <row r="17668" customFormat="false" ht="14.4" hidden="true" customHeight="false" outlineLevel="0" collapsed="false">
      <c r="A17668" s="34" t="n">
        <v>39609600000197</v>
      </c>
      <c r="B17668" s="34" t="s">
        <v>32366</v>
      </c>
      <c r="C17668" s="34" t="s">
        <v>1272</v>
      </c>
      <c r="E17668" s="30" t="s">
        <v>32367</v>
      </c>
      <c r="F17668" s="34" t="n">
        <f aca="false">IFERROR(VLOOKUP($A17668,'319'!$B:$H,7,0),0)</f>
        <v>0</v>
      </c>
      <c r="G17668" s="34" t="n">
        <f aca="false">SUMIFS('12.326ana'!$C:$C,'12.326ana'!$M:$M,redes!A17668)</f>
        <v>0</v>
      </c>
    </row>
    <row r="17669" customFormat="false" ht="14.4" hidden="true" customHeight="false" outlineLevel="0" collapsed="false">
      <c r="A17669" s="34" t="n">
        <v>39610017000104</v>
      </c>
      <c r="B17669" s="34" t="s">
        <v>32368</v>
      </c>
      <c r="C17669" s="34" t="s">
        <v>77</v>
      </c>
      <c r="D17669" s="34" t="s">
        <v>17007</v>
      </c>
      <c r="E17669" s="30" t="s">
        <v>32369</v>
      </c>
      <c r="F17669" s="34" t="n">
        <f aca="false">IFERROR(VLOOKUP($A17669,'319'!$B:$H,7,0),0)</f>
        <v>581.32</v>
      </c>
      <c r="G17669" s="34" t="n">
        <f aca="false">SUMIFS('12.326ana'!$C:$C,'12.326ana'!$M:$M,redes!A17669)</f>
        <v>0</v>
      </c>
    </row>
    <row r="17670" customFormat="false" ht="14.4" hidden="true" customHeight="false" outlineLevel="0" collapsed="false">
      <c r="A17670" s="34" t="n">
        <v>39614336000180</v>
      </c>
      <c r="B17670" s="34" t="s">
        <v>32370</v>
      </c>
      <c r="C17670" s="34" t="s">
        <v>478</v>
      </c>
      <c r="E17670" s="30" t="s">
        <v>32371</v>
      </c>
      <c r="F17670" s="34" t="n">
        <f aca="false">IFERROR(VLOOKUP($A17670,'319'!$B:$H,7,0),0)</f>
        <v>0</v>
      </c>
      <c r="G17670" s="34" t="n">
        <f aca="false">SUMIFS('12.326ana'!$C:$C,'12.326ana'!$M:$M,redes!A17670)</f>
        <v>0</v>
      </c>
    </row>
    <row r="17671" customFormat="false" ht="14.4" hidden="true" customHeight="false" outlineLevel="0" collapsed="false">
      <c r="A17671" s="34" t="n">
        <v>39629049000143</v>
      </c>
      <c r="B17671" s="34" t="s">
        <v>32372</v>
      </c>
      <c r="C17671" s="34" t="s">
        <v>77</v>
      </c>
      <c r="E17671" s="30" t="s">
        <v>32373</v>
      </c>
      <c r="F17671" s="34" t="n">
        <f aca="false">IFERROR(VLOOKUP($A17671,'319'!$B:$H,7,0),0)</f>
        <v>0</v>
      </c>
      <c r="G17671" s="34" t="n">
        <f aca="false">SUMIFS('12.326ana'!$C:$C,'12.326ana'!$M:$M,redes!A17671)</f>
        <v>0</v>
      </c>
    </row>
    <row r="17672" customFormat="false" ht="14.4" hidden="true" customHeight="false" outlineLevel="0" collapsed="false">
      <c r="A17672" s="34" t="n">
        <v>39670403000183</v>
      </c>
      <c r="B17672" s="34" t="s">
        <v>32374</v>
      </c>
      <c r="C17672" s="34" t="s">
        <v>89</v>
      </c>
      <c r="E17672" s="30" t="s">
        <v>32375</v>
      </c>
      <c r="F17672" s="34" t="n">
        <f aca="false">IFERROR(VLOOKUP($A17672,'319'!$B:$H,7,0),0)</f>
        <v>0</v>
      </c>
      <c r="G17672" s="34" t="n">
        <f aca="false">SUMIFS('12.326ana'!$C:$C,'12.326ana'!$M:$M,redes!A17672)</f>
        <v>0</v>
      </c>
    </row>
    <row r="17673" customFormat="false" ht="14.4" hidden="true" customHeight="false" outlineLevel="0" collapsed="false">
      <c r="A17673" s="34" t="n">
        <v>39679810000151</v>
      </c>
      <c r="B17673" s="34" t="s">
        <v>32376</v>
      </c>
      <c r="C17673" s="34" t="s">
        <v>89</v>
      </c>
      <c r="E17673" s="30" t="s">
        <v>32377</v>
      </c>
      <c r="F17673" s="34" t="n">
        <f aca="false">IFERROR(VLOOKUP($A17673,'319'!$B:$H,7,0),0)</f>
        <v>0</v>
      </c>
      <c r="G17673" s="34" t="n">
        <f aca="false">SUMIFS('12.326ana'!$C:$C,'12.326ana'!$M:$M,redes!A17673)</f>
        <v>0</v>
      </c>
    </row>
    <row r="17674" customFormat="false" ht="14.4" hidden="true" customHeight="false" outlineLevel="0" collapsed="false">
      <c r="A17674" s="34" t="n">
        <v>39691166000137</v>
      </c>
      <c r="B17674" s="34" t="s">
        <v>32378</v>
      </c>
      <c r="C17674" s="34" t="s">
        <v>77</v>
      </c>
      <c r="E17674" s="30" t="s">
        <v>32379</v>
      </c>
      <c r="F17674" s="34" t="n">
        <f aca="false">IFERROR(VLOOKUP($A17674,'319'!$B:$H,7,0),0)</f>
        <v>0</v>
      </c>
      <c r="G17674" s="34" t="n">
        <f aca="false">SUMIFS('12.326ana'!$C:$C,'12.326ana'!$M:$M,redes!A17674)</f>
        <v>0</v>
      </c>
    </row>
    <row r="17675" customFormat="false" ht="14.4" hidden="true" customHeight="false" outlineLevel="0" collapsed="false">
      <c r="A17675" s="34" t="n">
        <v>39696917000108</v>
      </c>
      <c r="B17675" s="34" t="s">
        <v>1194</v>
      </c>
      <c r="C17675" s="34" t="s">
        <v>89</v>
      </c>
      <c r="E17675" s="30" t="s">
        <v>32380</v>
      </c>
      <c r="F17675" s="34" t="n">
        <f aca="false">IFERROR(VLOOKUP($A17675,'319'!$B:$H,7,0),0)</f>
        <v>343.62</v>
      </c>
      <c r="G17675" s="34" t="n">
        <f aca="false">SUMIFS('12.326ana'!$C:$C,'12.326ana'!$M:$M,redes!A17675)</f>
        <v>0</v>
      </c>
    </row>
    <row r="17676" customFormat="false" ht="14.4" hidden="true" customHeight="false" outlineLevel="0" collapsed="false">
      <c r="A17676" s="34" t="n">
        <v>39736568000100</v>
      </c>
      <c r="B17676" s="34" t="s">
        <v>32381</v>
      </c>
      <c r="C17676" s="34" t="s">
        <v>77</v>
      </c>
      <c r="E17676" s="30" t="s">
        <v>32382</v>
      </c>
      <c r="F17676" s="34" t="n">
        <f aca="false">IFERROR(VLOOKUP($A17676,'319'!$B:$H,7,0),0)</f>
        <v>0</v>
      </c>
      <c r="G17676" s="34" t="n">
        <f aca="false">SUMIFS('12.326ana'!$C:$C,'12.326ana'!$M:$M,redes!A17676)</f>
        <v>0</v>
      </c>
    </row>
    <row r="17677" customFormat="false" ht="14.4" hidden="true" customHeight="false" outlineLevel="0" collapsed="false">
      <c r="A17677" s="34" t="n">
        <v>39742618000162</v>
      </c>
      <c r="B17677" s="34" t="s">
        <v>32383</v>
      </c>
      <c r="C17677" s="34" t="s">
        <v>89</v>
      </c>
      <c r="E17677" s="30" t="s">
        <v>32384</v>
      </c>
      <c r="F17677" s="34" t="n">
        <f aca="false">IFERROR(VLOOKUP($A17677,'319'!$B:$H,7,0),0)</f>
        <v>0</v>
      </c>
      <c r="G17677" s="34" t="n">
        <f aca="false">SUMIFS('12.326ana'!$C:$C,'12.326ana'!$M:$M,redes!A17677)</f>
        <v>0</v>
      </c>
    </row>
    <row r="17678" customFormat="false" ht="14.4" hidden="true" customHeight="false" outlineLevel="0" collapsed="false">
      <c r="A17678" s="34" t="n">
        <v>39746536000196</v>
      </c>
      <c r="B17678" s="34" t="s">
        <v>32385</v>
      </c>
      <c r="C17678" s="34" t="s">
        <v>129</v>
      </c>
      <c r="E17678" s="30" t="s">
        <v>32386</v>
      </c>
      <c r="F17678" s="34" t="n">
        <f aca="false">IFERROR(VLOOKUP($A17678,'319'!$B:$H,7,0),0)</f>
        <v>0</v>
      </c>
      <c r="G17678" s="34" t="n">
        <f aca="false">SUMIFS('12.326ana'!$C:$C,'12.326ana'!$M:$M,redes!A17678)</f>
        <v>0</v>
      </c>
    </row>
    <row r="17679" customFormat="false" ht="14.4" hidden="true" customHeight="false" outlineLevel="0" collapsed="false">
      <c r="A17679" s="34" t="n">
        <v>39757085000192</v>
      </c>
      <c r="B17679" s="34" t="s">
        <v>32387</v>
      </c>
      <c r="C17679" s="34" t="s">
        <v>89</v>
      </c>
      <c r="E17679" s="30" t="s">
        <v>32388</v>
      </c>
      <c r="F17679" s="34" t="n">
        <f aca="false">IFERROR(VLOOKUP($A17679,'319'!$B:$H,7,0),0)</f>
        <v>0</v>
      </c>
      <c r="G17679" s="34" t="n">
        <f aca="false">SUMIFS('12.326ana'!$C:$C,'12.326ana'!$M:$M,redes!A17679)</f>
        <v>0</v>
      </c>
    </row>
    <row r="17680" customFormat="false" ht="14.4" hidden="true" customHeight="false" outlineLevel="0" collapsed="false">
      <c r="A17680" s="34" t="n">
        <v>39763382000140</v>
      </c>
      <c r="B17680" s="34" t="s">
        <v>32389</v>
      </c>
      <c r="C17680" s="34" t="s">
        <v>1054</v>
      </c>
      <c r="E17680" s="30" t="s">
        <v>32390</v>
      </c>
      <c r="F17680" s="34" t="n">
        <f aca="false">IFERROR(VLOOKUP($A17680,'319'!$B:$H,7,0),0)</f>
        <v>0</v>
      </c>
      <c r="G17680" s="34" t="n">
        <f aca="false">SUMIFS('12.326ana'!$C:$C,'12.326ana'!$M:$M,redes!A17680)</f>
        <v>0</v>
      </c>
    </row>
    <row r="17681" customFormat="false" ht="14.4" hidden="true" customHeight="false" outlineLevel="0" collapsed="false">
      <c r="A17681" s="34" t="n">
        <v>39766413000117</v>
      </c>
      <c r="B17681" s="34" t="s">
        <v>32391</v>
      </c>
      <c r="C17681" s="34" t="s">
        <v>342</v>
      </c>
      <c r="E17681" s="30" t="s">
        <v>32392</v>
      </c>
      <c r="F17681" s="34" t="n">
        <f aca="false">IFERROR(VLOOKUP($A17681,'319'!$B:$H,7,0),0)</f>
        <v>0</v>
      </c>
      <c r="G17681" s="34" t="n">
        <f aca="false">SUMIFS('12.326ana'!$C:$C,'12.326ana'!$M:$M,redes!A17681)</f>
        <v>0</v>
      </c>
    </row>
    <row r="17682" customFormat="false" ht="14.4" hidden="true" customHeight="false" outlineLevel="0" collapsed="false">
      <c r="A17682" s="34" t="n">
        <v>39766492000166</v>
      </c>
      <c r="B17682" s="34" t="s">
        <v>32393</v>
      </c>
      <c r="C17682" s="34" t="s">
        <v>103</v>
      </c>
      <c r="E17682" s="30" t="s">
        <v>32394</v>
      </c>
      <c r="F17682" s="34" t="n">
        <f aca="false">IFERROR(VLOOKUP($A17682,'319'!$B:$H,7,0),0)</f>
        <v>0</v>
      </c>
      <c r="G17682" s="34" t="n">
        <f aca="false">SUMIFS('12.326ana'!$C:$C,'12.326ana'!$M:$M,redes!A17682)</f>
        <v>0</v>
      </c>
    </row>
    <row r="17683" customFormat="false" ht="14.4" hidden="true" customHeight="false" outlineLevel="0" collapsed="false">
      <c r="A17683" s="34" t="n">
        <v>39766492000247</v>
      </c>
      <c r="B17683" s="34" t="s">
        <v>32393</v>
      </c>
      <c r="C17683" s="34" t="s">
        <v>103</v>
      </c>
      <c r="E17683" s="30" t="s">
        <v>32393</v>
      </c>
      <c r="F17683" s="34" t="n">
        <f aca="false">IFERROR(VLOOKUP($A17683,'319'!$B:$H,7,0),0)</f>
        <v>0</v>
      </c>
      <c r="G17683" s="34" t="n">
        <f aca="false">SUMIFS('12.326ana'!$C:$C,'12.326ana'!$M:$M,redes!A17683)</f>
        <v>0</v>
      </c>
    </row>
    <row r="17684" customFormat="false" ht="14.4" hidden="true" customHeight="false" outlineLevel="0" collapsed="false">
      <c r="A17684" s="34" t="n">
        <v>39767154000149</v>
      </c>
      <c r="B17684" s="34" t="s">
        <v>32395</v>
      </c>
      <c r="C17684" s="34" t="s">
        <v>77</v>
      </c>
      <c r="E17684" s="30" t="s">
        <v>31368</v>
      </c>
      <c r="F17684" s="34" t="n">
        <f aca="false">IFERROR(VLOOKUP($A17684,'319'!$B:$H,7,0),0)</f>
        <v>0</v>
      </c>
      <c r="G17684" s="34" t="n">
        <f aca="false">SUMIFS('12.326ana'!$C:$C,'12.326ana'!$M:$M,redes!A17684)</f>
        <v>0</v>
      </c>
    </row>
    <row r="17685" customFormat="false" ht="14.4" hidden="true" customHeight="false" outlineLevel="0" collapsed="false">
      <c r="A17685" s="34" t="n">
        <v>39784026000103</v>
      </c>
      <c r="B17685" s="34" t="s">
        <v>32396</v>
      </c>
      <c r="C17685" s="34" t="s">
        <v>77</v>
      </c>
      <c r="E17685" s="30" t="s">
        <v>32397</v>
      </c>
      <c r="F17685" s="34" t="n">
        <f aca="false">IFERROR(VLOOKUP($A17685,'319'!$B:$H,7,0),0)</f>
        <v>0</v>
      </c>
      <c r="G17685" s="34" t="n">
        <f aca="false">SUMIFS('12.326ana'!$C:$C,'12.326ana'!$M:$M,redes!A17685)</f>
        <v>0</v>
      </c>
    </row>
    <row r="17686" customFormat="false" ht="14.4" hidden="true" customHeight="false" outlineLevel="0" collapsed="false">
      <c r="A17686" s="34" t="n">
        <v>39802130000183</v>
      </c>
      <c r="B17686" s="34" t="s">
        <v>32398</v>
      </c>
      <c r="C17686" s="34" t="s">
        <v>107</v>
      </c>
      <c r="E17686" s="30" t="s">
        <v>32399</v>
      </c>
      <c r="F17686" s="34" t="n">
        <f aca="false">IFERROR(VLOOKUP($A17686,'319'!$B:$H,7,0),0)</f>
        <v>0</v>
      </c>
      <c r="G17686" s="34" t="n">
        <f aca="false">SUMIFS('12.326ana'!$C:$C,'12.326ana'!$M:$M,redes!A17686)</f>
        <v>0</v>
      </c>
    </row>
    <row r="17687" customFormat="false" ht="14.4" hidden="true" customHeight="false" outlineLevel="0" collapsed="false">
      <c r="A17687" s="34" t="n">
        <v>39802815000120</v>
      </c>
      <c r="B17687" s="34" t="s">
        <v>32400</v>
      </c>
      <c r="C17687" s="34" t="s">
        <v>129</v>
      </c>
      <c r="E17687" s="30" t="s">
        <v>32401</v>
      </c>
      <c r="F17687" s="34" t="n">
        <f aca="false">IFERROR(VLOOKUP($A17687,'319'!$B:$H,7,0),0)</f>
        <v>0</v>
      </c>
      <c r="G17687" s="34" t="n">
        <f aca="false">SUMIFS('12.326ana'!$C:$C,'12.326ana'!$M:$M,redes!A17687)</f>
        <v>0</v>
      </c>
    </row>
    <row r="17688" customFormat="false" ht="14.4" hidden="true" customHeight="false" outlineLevel="0" collapsed="false">
      <c r="A17688" s="34" t="n">
        <v>39815254000101</v>
      </c>
      <c r="B17688" s="34" t="s">
        <v>32402</v>
      </c>
      <c r="C17688" s="34" t="s">
        <v>631</v>
      </c>
      <c r="E17688" s="30" t="s">
        <v>32403</v>
      </c>
      <c r="F17688" s="34" t="n">
        <f aca="false">IFERROR(VLOOKUP($A17688,'319'!$B:$H,7,0),0)</f>
        <v>0</v>
      </c>
      <c r="G17688" s="34" t="n">
        <f aca="false">SUMIFS('12.326ana'!$C:$C,'12.326ana'!$M:$M,redes!A17688)</f>
        <v>0</v>
      </c>
    </row>
    <row r="17689" customFormat="false" ht="14.4" hidden="true" customHeight="false" outlineLevel="0" collapsed="false">
      <c r="A17689" s="35" t="n">
        <v>39816373000170</v>
      </c>
      <c r="B17689" s="34" t="s">
        <v>32404</v>
      </c>
      <c r="C17689" s="34" t="s">
        <v>804</v>
      </c>
      <c r="E17689" s="30" t="s">
        <v>32405</v>
      </c>
      <c r="F17689" s="34" t="n">
        <f aca="false">IFERROR(VLOOKUP($A17689,'319'!$B:$H,7,0),0)</f>
        <v>0</v>
      </c>
      <c r="G17689" s="34" t="n">
        <f aca="false">SUMIFS('12.326ana'!$C:$C,'12.326ana'!$M:$M,redes!A17689)</f>
        <v>0</v>
      </c>
    </row>
    <row r="17690" customFormat="false" ht="14.4" hidden="true" customHeight="false" outlineLevel="0" collapsed="false">
      <c r="A17690" s="34" t="n">
        <v>39831272000179</v>
      </c>
      <c r="B17690" s="34" t="s">
        <v>32406</v>
      </c>
      <c r="C17690" s="34" t="s">
        <v>77</v>
      </c>
      <c r="E17690" s="30" t="s">
        <v>32407</v>
      </c>
      <c r="F17690" s="34" t="n">
        <f aca="false">IFERROR(VLOOKUP($A17690,'319'!$B:$H,7,0),0)</f>
        <v>0</v>
      </c>
      <c r="G17690" s="34" t="n">
        <f aca="false">SUMIFS('12.326ana'!$C:$C,'12.326ana'!$M:$M,redes!A17690)</f>
        <v>0</v>
      </c>
    </row>
    <row r="17691" customFormat="false" ht="14.4" hidden="true" customHeight="false" outlineLevel="0" collapsed="false">
      <c r="A17691" s="34" t="n">
        <v>39841388000199</v>
      </c>
      <c r="B17691" s="34" t="s">
        <v>32408</v>
      </c>
      <c r="C17691" s="34" t="s">
        <v>77</v>
      </c>
      <c r="E17691" s="30" t="s">
        <v>32409</v>
      </c>
      <c r="F17691" s="34" t="n">
        <f aca="false">IFERROR(VLOOKUP($A17691,'319'!$B:$H,7,0),0)</f>
        <v>0</v>
      </c>
      <c r="G17691" s="34" t="n">
        <f aca="false">SUMIFS('12.326ana'!$C:$C,'12.326ana'!$M:$M,redes!A17691)</f>
        <v>0</v>
      </c>
    </row>
    <row r="17692" customFormat="false" ht="14.4" hidden="true" customHeight="false" outlineLevel="0" collapsed="false">
      <c r="A17692" s="34" t="n">
        <v>39874690000143</v>
      </c>
      <c r="B17692" s="34" t="s">
        <v>32410</v>
      </c>
      <c r="C17692" s="34" t="s">
        <v>478</v>
      </c>
      <c r="E17692" s="30" t="s">
        <v>32411</v>
      </c>
      <c r="F17692" s="34" t="n">
        <f aca="false">IFERROR(VLOOKUP($A17692,'319'!$B:$H,7,0),0)</f>
        <v>0</v>
      </c>
      <c r="G17692" s="34" t="n">
        <f aca="false">SUMIFS('12.326ana'!$C:$C,'12.326ana'!$M:$M,redes!A17692)</f>
        <v>0</v>
      </c>
    </row>
    <row r="17693" customFormat="false" ht="14.4" hidden="true" customHeight="false" outlineLevel="0" collapsed="false">
      <c r="A17693" s="34" t="n">
        <v>39893996000147</v>
      </c>
      <c r="B17693" s="34" t="s">
        <v>32412</v>
      </c>
      <c r="C17693" s="34" t="s">
        <v>103</v>
      </c>
      <c r="E17693" s="30" t="s">
        <v>32413</v>
      </c>
      <c r="F17693" s="34" t="n">
        <f aca="false">IFERROR(VLOOKUP($A17693,'319'!$B:$H,7,0),0)</f>
        <v>0</v>
      </c>
      <c r="G17693" s="34" t="n">
        <f aca="false">SUMIFS('12.326ana'!$C:$C,'12.326ana'!$M:$M,redes!A17693)</f>
        <v>0</v>
      </c>
    </row>
    <row r="17694" customFormat="false" ht="14.4" hidden="true" customHeight="false" outlineLevel="0" collapsed="false">
      <c r="A17694" s="34" t="n">
        <v>39907897000177</v>
      </c>
      <c r="B17694" s="34" t="s">
        <v>32414</v>
      </c>
      <c r="C17694" s="34" t="s">
        <v>89</v>
      </c>
      <c r="E17694" s="30" t="s">
        <v>32415</v>
      </c>
      <c r="F17694" s="34" t="n">
        <f aca="false">IFERROR(VLOOKUP($A17694,'319'!$B:$H,7,0),0)</f>
        <v>0</v>
      </c>
      <c r="G17694" s="34" t="n">
        <f aca="false">SUMIFS('12.326ana'!$C:$C,'12.326ana'!$M:$M,redes!A17694)</f>
        <v>0</v>
      </c>
    </row>
    <row r="17695" customFormat="false" ht="14.4" hidden="true" customHeight="false" outlineLevel="0" collapsed="false">
      <c r="A17695" s="34" t="n">
        <v>39909860000188</v>
      </c>
      <c r="B17695" s="34" t="s">
        <v>32416</v>
      </c>
      <c r="C17695" s="34" t="s">
        <v>77</v>
      </c>
      <c r="E17695" s="30" t="s">
        <v>32417</v>
      </c>
      <c r="F17695" s="34" t="n">
        <f aca="false">IFERROR(VLOOKUP($A17695,'319'!$B:$H,7,0),0)</f>
        <v>0</v>
      </c>
      <c r="G17695" s="34" t="n">
        <f aca="false">SUMIFS('12.326ana'!$C:$C,'12.326ana'!$M:$M,redes!A17695)</f>
        <v>0</v>
      </c>
    </row>
    <row r="17696" customFormat="false" ht="14.4" hidden="true" customHeight="false" outlineLevel="0" collapsed="false">
      <c r="A17696" s="34" t="n">
        <v>39911457000193</v>
      </c>
      <c r="B17696" s="34" t="s">
        <v>32418</v>
      </c>
      <c r="C17696" s="34" t="s">
        <v>107</v>
      </c>
      <c r="E17696" s="30" t="s">
        <v>32419</v>
      </c>
      <c r="F17696" s="34" t="n">
        <f aca="false">IFERROR(VLOOKUP($A17696,'319'!$B:$H,7,0),0)</f>
        <v>0</v>
      </c>
      <c r="G17696" s="34" t="n">
        <f aca="false">SUMIFS('12.326ana'!$C:$C,'12.326ana'!$M:$M,redes!A17696)</f>
        <v>0</v>
      </c>
    </row>
    <row r="17697" customFormat="false" ht="14.4" hidden="true" customHeight="false" outlineLevel="0" collapsed="false">
      <c r="A17697" s="34" t="n">
        <v>39919225000181</v>
      </c>
      <c r="B17697" s="34" t="s">
        <v>32420</v>
      </c>
      <c r="C17697" s="34" t="s">
        <v>342</v>
      </c>
      <c r="E17697" s="30" t="s">
        <v>32421</v>
      </c>
      <c r="F17697" s="34" t="n">
        <f aca="false">IFERROR(VLOOKUP($A17697,'319'!$B:$H,7,0),0)</f>
        <v>0</v>
      </c>
      <c r="G17697" s="34" t="n">
        <f aca="false">SUMIFS('12.326ana'!$C:$C,'12.326ana'!$M:$M,redes!A17697)</f>
        <v>0</v>
      </c>
    </row>
    <row r="17698" customFormat="false" ht="14.4" hidden="true" customHeight="false" outlineLevel="0" collapsed="false">
      <c r="A17698" s="34" t="n">
        <v>39943297000164</v>
      </c>
      <c r="B17698" s="34" t="s">
        <v>32422</v>
      </c>
      <c r="C17698" s="34" t="s">
        <v>581</v>
      </c>
      <c r="E17698" s="30" t="s">
        <v>5595</v>
      </c>
      <c r="F17698" s="34" t="n">
        <f aca="false">IFERROR(VLOOKUP($A17698,'319'!$B:$H,7,0),0)</f>
        <v>0</v>
      </c>
      <c r="G17698" s="34" t="n">
        <f aca="false">SUMIFS('12.326ana'!$C:$C,'12.326ana'!$M:$M,redes!A17698)</f>
        <v>0</v>
      </c>
    </row>
    <row r="17699" customFormat="false" ht="14.4" hidden="true" customHeight="false" outlineLevel="0" collapsed="false">
      <c r="A17699" s="34" t="n">
        <v>39974854000104</v>
      </c>
      <c r="B17699" s="34" t="s">
        <v>32423</v>
      </c>
      <c r="C17699" s="34" t="s">
        <v>77</v>
      </c>
      <c r="E17699" s="30" t="s">
        <v>32424</v>
      </c>
      <c r="F17699" s="34" t="n">
        <f aca="false">IFERROR(VLOOKUP($A17699,'319'!$B:$H,7,0),0)</f>
        <v>0</v>
      </c>
      <c r="G17699" s="34" t="n">
        <f aca="false">SUMIFS('12.326ana'!$C:$C,'12.326ana'!$M:$M,redes!A17699)</f>
        <v>0</v>
      </c>
    </row>
    <row r="17700" customFormat="false" ht="14.4" hidden="true" customHeight="false" outlineLevel="0" collapsed="false">
      <c r="A17700" s="34" t="n">
        <v>39979613000158</v>
      </c>
      <c r="B17700" s="34" t="s">
        <v>32425</v>
      </c>
      <c r="C17700" s="34" t="s">
        <v>77</v>
      </c>
      <c r="E17700" s="30" t="s">
        <v>32426</v>
      </c>
      <c r="F17700" s="34" t="n">
        <f aca="false">IFERROR(VLOOKUP($A17700,'319'!$B:$H,7,0),0)</f>
        <v>0</v>
      </c>
      <c r="G17700" s="34" t="n">
        <f aca="false">SUMIFS('12.326ana'!$C:$C,'12.326ana'!$M:$M,redes!A17700)</f>
        <v>0</v>
      </c>
    </row>
    <row r="17701" customFormat="false" ht="14.4" hidden="true" customHeight="false" outlineLevel="0" collapsed="false">
      <c r="A17701" s="34" t="n">
        <v>40009053000198</v>
      </c>
      <c r="B17701" s="34" t="s">
        <v>32427</v>
      </c>
      <c r="C17701" s="34" t="s">
        <v>77</v>
      </c>
      <c r="E17701" s="30" t="s">
        <v>32428</v>
      </c>
      <c r="F17701" s="34" t="n">
        <f aca="false">IFERROR(VLOOKUP($A17701,'319'!$B:$H,7,0),0)</f>
        <v>0</v>
      </c>
      <c r="G17701" s="34" t="n">
        <f aca="false">SUMIFS('12.326ana'!$C:$C,'12.326ana'!$M:$M,redes!A17701)</f>
        <v>0</v>
      </c>
    </row>
    <row r="17702" customFormat="false" ht="14.4" hidden="true" customHeight="false" outlineLevel="0" collapsed="false">
      <c r="A17702" s="34" t="n">
        <v>40037789000170</v>
      </c>
      <c r="B17702" s="34" t="s">
        <v>32429</v>
      </c>
      <c r="C17702" s="34" t="s">
        <v>77</v>
      </c>
      <c r="E17702" s="30" t="s">
        <v>32429</v>
      </c>
      <c r="F17702" s="34" t="n">
        <f aca="false">IFERROR(VLOOKUP($A17702,'319'!$B:$H,7,0),0)</f>
        <v>0</v>
      </c>
      <c r="G17702" s="34" t="n">
        <f aca="false">SUMIFS('12.326ana'!$C:$C,'12.326ana'!$M:$M,redes!A17702)</f>
        <v>0</v>
      </c>
    </row>
    <row r="17703" customFormat="false" ht="14.4" hidden="true" customHeight="false" outlineLevel="0" collapsed="false">
      <c r="A17703" s="34" t="n">
        <v>40039394000106</v>
      </c>
      <c r="B17703" s="34" t="s">
        <v>32430</v>
      </c>
      <c r="C17703" s="34" t="s">
        <v>77</v>
      </c>
      <c r="E17703" s="30" t="s">
        <v>32431</v>
      </c>
      <c r="F17703" s="34" t="n">
        <f aca="false">IFERROR(VLOOKUP($A17703,'319'!$B:$H,7,0),0)</f>
        <v>0</v>
      </c>
      <c r="G17703" s="34" t="n">
        <f aca="false">SUMIFS('12.326ana'!$C:$C,'12.326ana'!$M:$M,redes!A17703)</f>
        <v>0</v>
      </c>
    </row>
    <row r="17704" customFormat="false" ht="14.4" hidden="true" customHeight="false" outlineLevel="0" collapsed="false">
      <c r="A17704" s="34" t="n">
        <v>40047351000172</v>
      </c>
      <c r="B17704" s="34" t="s">
        <v>32432</v>
      </c>
      <c r="C17704" s="34" t="s">
        <v>154</v>
      </c>
      <c r="E17704" s="30" t="s">
        <v>32433</v>
      </c>
      <c r="F17704" s="34" t="n">
        <f aca="false">IFERROR(VLOOKUP($A17704,'319'!$B:$H,7,0),0)</f>
        <v>0</v>
      </c>
      <c r="G17704" s="34" t="n">
        <f aca="false">SUMIFS('12.326ana'!$C:$C,'12.326ana'!$M:$M,redes!A17704)</f>
        <v>0</v>
      </c>
    </row>
    <row r="17705" customFormat="false" ht="14.4" hidden="true" customHeight="false" outlineLevel="0" collapsed="false">
      <c r="A17705" s="34" t="n">
        <v>40057487000163</v>
      </c>
      <c r="B17705" s="34" t="s">
        <v>32434</v>
      </c>
      <c r="C17705" s="34" t="s">
        <v>89</v>
      </c>
      <c r="E17705" s="30" t="s">
        <v>30260</v>
      </c>
      <c r="F17705" s="34" t="n">
        <f aca="false">IFERROR(VLOOKUP($A17705,'319'!$B:$H,7,0),0)</f>
        <v>0</v>
      </c>
      <c r="G17705" s="34" t="n">
        <f aca="false">SUMIFS('12.326ana'!$C:$C,'12.326ana'!$M:$M,redes!A17705)</f>
        <v>0</v>
      </c>
    </row>
    <row r="17706" customFormat="false" ht="14.4" hidden="true" customHeight="false" outlineLevel="0" collapsed="false">
      <c r="A17706" s="34" t="n">
        <v>40097391000129</v>
      </c>
      <c r="B17706" s="34" t="s">
        <v>32435</v>
      </c>
      <c r="C17706" s="34" t="s">
        <v>139</v>
      </c>
      <c r="E17706" s="30" t="s">
        <v>14416</v>
      </c>
      <c r="F17706" s="34" t="n">
        <f aca="false">IFERROR(VLOOKUP($A17706,'319'!$B:$H,7,0),0)</f>
        <v>0</v>
      </c>
      <c r="G17706" s="34" t="n">
        <f aca="false">SUMIFS('12.326ana'!$C:$C,'12.326ana'!$M:$M,redes!A17706)</f>
        <v>0</v>
      </c>
    </row>
    <row r="17707" customFormat="false" ht="14.4" hidden="true" customHeight="false" outlineLevel="0" collapsed="false">
      <c r="A17707" s="34" t="n">
        <v>40122465000130</v>
      </c>
      <c r="B17707" s="34" t="s">
        <v>32436</v>
      </c>
      <c r="C17707" s="34" t="s">
        <v>631</v>
      </c>
      <c r="E17707" s="30" t="s">
        <v>32437</v>
      </c>
      <c r="F17707" s="34" t="n">
        <f aca="false">IFERROR(VLOOKUP($A17707,'319'!$B:$H,7,0),0)</f>
        <v>0</v>
      </c>
      <c r="G17707" s="34" t="n">
        <f aca="false">SUMIFS('12.326ana'!$C:$C,'12.326ana'!$M:$M,redes!A17707)</f>
        <v>0</v>
      </c>
    </row>
    <row r="17708" customFormat="false" ht="14.4" hidden="true" customHeight="false" outlineLevel="0" collapsed="false">
      <c r="A17708" s="34" t="n">
        <v>40129982000130</v>
      </c>
      <c r="B17708" s="34" t="s">
        <v>32438</v>
      </c>
      <c r="C17708" s="34" t="s">
        <v>77</v>
      </c>
      <c r="E17708" s="30" t="s">
        <v>32439</v>
      </c>
      <c r="F17708" s="34" t="n">
        <f aca="false">IFERROR(VLOOKUP($A17708,'319'!$B:$H,7,0),0)</f>
        <v>0</v>
      </c>
      <c r="G17708" s="34" t="n">
        <f aca="false">SUMIFS('12.326ana'!$C:$C,'12.326ana'!$M:$M,redes!A17708)</f>
        <v>0</v>
      </c>
    </row>
    <row r="17709" customFormat="false" ht="14.4" hidden="true" customHeight="false" outlineLevel="0" collapsed="false">
      <c r="A17709" s="34" t="n">
        <v>40152095000183</v>
      </c>
      <c r="B17709" s="34" t="s">
        <v>32440</v>
      </c>
      <c r="C17709" s="34" t="s">
        <v>77</v>
      </c>
      <c r="E17709" s="30" t="s">
        <v>32441</v>
      </c>
      <c r="F17709" s="34" t="n">
        <f aca="false">IFERROR(VLOOKUP($A17709,'319'!$B:$H,7,0),0)</f>
        <v>0</v>
      </c>
      <c r="G17709" s="34" t="n">
        <f aca="false">SUMIFS('12.326ana'!$C:$C,'12.326ana'!$M:$M,redes!A17709)</f>
        <v>0</v>
      </c>
    </row>
    <row r="17710" customFormat="false" ht="14.4" hidden="true" customHeight="false" outlineLevel="0" collapsed="false">
      <c r="A17710" s="34" t="n">
        <v>40159019000108</v>
      </c>
      <c r="B17710" s="34" t="s">
        <v>32442</v>
      </c>
      <c r="C17710" s="34" t="s">
        <v>1618</v>
      </c>
      <c r="E17710" s="30" t="s">
        <v>32443</v>
      </c>
      <c r="F17710" s="34" t="n">
        <f aca="false">IFERROR(VLOOKUP($A17710,'319'!$B:$H,7,0),0)</f>
        <v>0</v>
      </c>
      <c r="G17710" s="34" t="n">
        <f aca="false">SUMIFS('12.326ana'!$C:$C,'12.326ana'!$M:$M,redes!A17710)</f>
        <v>0</v>
      </c>
    </row>
    <row r="17711" customFormat="false" ht="14.4" hidden="true" customHeight="false" outlineLevel="0" collapsed="false">
      <c r="A17711" s="34" t="n">
        <v>40184181000178</v>
      </c>
      <c r="B17711" s="34" t="s">
        <v>32444</v>
      </c>
      <c r="C17711" s="34" t="s">
        <v>77</v>
      </c>
      <c r="E17711" s="30" t="s">
        <v>27635</v>
      </c>
      <c r="F17711" s="34" t="n">
        <f aca="false">IFERROR(VLOOKUP($A17711,'319'!$B:$H,7,0),0)</f>
        <v>0</v>
      </c>
      <c r="G17711" s="34" t="n">
        <f aca="false">SUMIFS('12.326ana'!$C:$C,'12.326ana'!$M:$M,redes!A17711)</f>
        <v>0</v>
      </c>
    </row>
    <row r="17712" customFormat="false" ht="14.4" hidden="true" customHeight="false" outlineLevel="0" collapsed="false">
      <c r="A17712" s="34" t="n">
        <v>40187392000164</v>
      </c>
      <c r="B17712" s="34" t="s">
        <v>32445</v>
      </c>
      <c r="C17712" s="34" t="s">
        <v>103</v>
      </c>
      <c r="E17712" s="30" t="s">
        <v>32446</v>
      </c>
      <c r="F17712" s="34" t="n">
        <f aca="false">IFERROR(VLOOKUP($A17712,'319'!$B:$H,7,0),0)</f>
        <v>0</v>
      </c>
      <c r="G17712" s="34" t="n">
        <f aca="false">SUMIFS('12.326ana'!$C:$C,'12.326ana'!$M:$M,redes!A17712)</f>
        <v>0</v>
      </c>
    </row>
    <row r="17713" customFormat="false" ht="14.4" hidden="true" customHeight="false" outlineLevel="0" collapsed="false">
      <c r="A17713" s="34" t="n">
        <v>40217706000124</v>
      </c>
      <c r="B17713" s="34" t="s">
        <v>32447</v>
      </c>
      <c r="C17713" s="34" t="s">
        <v>213</v>
      </c>
      <c r="E17713" s="30" t="s">
        <v>5554</v>
      </c>
      <c r="F17713" s="34" t="n">
        <f aca="false">IFERROR(VLOOKUP($A17713,'319'!$B:$H,7,0),0)</f>
        <v>0</v>
      </c>
      <c r="G17713" s="34" t="n">
        <f aca="false">SUMIFS('12.326ana'!$C:$C,'12.326ana'!$M:$M,redes!A17713)</f>
        <v>0</v>
      </c>
    </row>
    <row r="17714" customFormat="false" ht="14.4" hidden="true" customHeight="false" outlineLevel="0" collapsed="false">
      <c r="A17714" s="34" t="n">
        <v>40242188000107</v>
      </c>
      <c r="B17714" s="34" t="s">
        <v>1730</v>
      </c>
      <c r="C17714" s="34" t="s">
        <v>127</v>
      </c>
      <c r="E17714" s="30" t="s">
        <v>12960</v>
      </c>
      <c r="F17714" s="34" t="n">
        <f aca="false">IFERROR(VLOOKUP($A17714,'319'!$B:$H,7,0),0)</f>
        <v>24.98</v>
      </c>
      <c r="G17714" s="34" t="n">
        <f aca="false">SUMIFS('12.326ana'!$C:$C,'12.326ana'!$M:$M,redes!A17714)</f>
        <v>81.17</v>
      </c>
    </row>
    <row r="17715" customFormat="false" ht="14.4" hidden="true" customHeight="false" outlineLevel="0" collapsed="false">
      <c r="A17715" s="34" t="n">
        <v>40245212000153</v>
      </c>
      <c r="B17715" s="34" t="s">
        <v>32448</v>
      </c>
      <c r="C17715" s="34" t="s">
        <v>77</v>
      </c>
      <c r="E17715" s="30" t="s">
        <v>32449</v>
      </c>
      <c r="F17715" s="34" t="n">
        <f aca="false">IFERROR(VLOOKUP($A17715,'319'!$B:$H,7,0),0)</f>
        <v>0</v>
      </c>
      <c r="G17715" s="34" t="n">
        <f aca="false">SUMIFS('12.326ana'!$C:$C,'12.326ana'!$M:$M,redes!A17715)</f>
        <v>0</v>
      </c>
    </row>
    <row r="17716" customFormat="false" ht="14.4" hidden="true" customHeight="false" outlineLevel="0" collapsed="false">
      <c r="A17716" s="34" t="n">
        <v>40257014000100</v>
      </c>
      <c r="B17716" s="34" t="s">
        <v>32450</v>
      </c>
      <c r="C17716" s="34" t="s">
        <v>77</v>
      </c>
      <c r="E17716" s="30" t="s">
        <v>31327</v>
      </c>
      <c r="F17716" s="34" t="n">
        <f aca="false">IFERROR(VLOOKUP($A17716,'319'!$B:$H,7,0),0)</f>
        <v>0</v>
      </c>
      <c r="G17716" s="34" t="n">
        <f aca="false">SUMIFS('12.326ana'!$C:$C,'12.326ana'!$M:$M,redes!A17716)</f>
        <v>0</v>
      </c>
    </row>
    <row r="17717" customFormat="false" ht="14.4" hidden="true" customHeight="false" outlineLevel="0" collapsed="false">
      <c r="A17717" s="34" t="n">
        <v>40263385000102</v>
      </c>
      <c r="B17717" s="34" t="s">
        <v>32451</v>
      </c>
      <c r="C17717" s="34" t="s">
        <v>475</v>
      </c>
      <c r="E17717" s="30" t="s">
        <v>32452</v>
      </c>
      <c r="F17717" s="34" t="n">
        <f aca="false">IFERROR(VLOOKUP($A17717,'319'!$B:$H,7,0),0)</f>
        <v>0</v>
      </c>
      <c r="G17717" s="34" t="n">
        <f aca="false">SUMIFS('12.326ana'!$C:$C,'12.326ana'!$M:$M,redes!A17717)</f>
        <v>0</v>
      </c>
    </row>
    <row r="17718" customFormat="false" ht="14.4" hidden="true" customHeight="false" outlineLevel="0" collapsed="false">
      <c r="A17718" s="34" t="n">
        <v>40276535000104</v>
      </c>
      <c r="B17718" s="34" t="s">
        <v>32453</v>
      </c>
      <c r="C17718" s="34" t="s">
        <v>342</v>
      </c>
      <c r="E17718" s="30" t="s">
        <v>32454</v>
      </c>
      <c r="F17718" s="34" t="n">
        <f aca="false">IFERROR(VLOOKUP($A17718,'319'!$B:$H,7,0),0)</f>
        <v>0</v>
      </c>
      <c r="G17718" s="34" t="n">
        <f aca="false">SUMIFS('12.326ana'!$C:$C,'12.326ana'!$M:$M,redes!A17718)</f>
        <v>0</v>
      </c>
    </row>
    <row r="17719" customFormat="false" ht="14.4" hidden="true" customHeight="false" outlineLevel="0" collapsed="false">
      <c r="A17719" s="34" t="n">
        <v>40276535000295</v>
      </c>
      <c r="B17719" s="34" t="s">
        <v>32455</v>
      </c>
      <c r="C17719" s="34" t="s">
        <v>342</v>
      </c>
      <c r="E17719" s="30" t="s">
        <v>32456</v>
      </c>
      <c r="F17719" s="34" t="n">
        <f aca="false">IFERROR(VLOOKUP($A17719,'319'!$B:$H,7,0),0)</f>
        <v>0</v>
      </c>
      <c r="G17719" s="34" t="n">
        <f aca="false">SUMIFS('12.326ana'!$C:$C,'12.326ana'!$M:$M,redes!A17719)</f>
        <v>0</v>
      </c>
    </row>
    <row r="17720" customFormat="false" ht="14.4" hidden="true" customHeight="false" outlineLevel="0" collapsed="false">
      <c r="A17720" s="34" t="n">
        <v>40281229000166</v>
      </c>
      <c r="B17720" s="34" t="s">
        <v>32457</v>
      </c>
      <c r="C17720" s="34" t="s">
        <v>89</v>
      </c>
      <c r="E17720" s="30" t="s">
        <v>32458</v>
      </c>
      <c r="F17720" s="34" t="n">
        <f aca="false">IFERROR(VLOOKUP($A17720,'319'!$B:$H,7,0),0)</f>
        <v>0</v>
      </c>
      <c r="G17720" s="34" t="n">
        <f aca="false">SUMIFS('12.326ana'!$C:$C,'12.326ana'!$M:$M,redes!A17720)</f>
        <v>0</v>
      </c>
    </row>
    <row r="17721" customFormat="false" ht="14.4" hidden="true" customHeight="false" outlineLevel="0" collapsed="false">
      <c r="A17721" s="34" t="n">
        <v>40293910000124</v>
      </c>
      <c r="B17721" s="34" t="s">
        <v>32459</v>
      </c>
      <c r="C17721" s="34" t="s">
        <v>77</v>
      </c>
      <c r="E17721" s="30" t="s">
        <v>32460</v>
      </c>
      <c r="F17721" s="34" t="n">
        <f aca="false">IFERROR(VLOOKUP($A17721,'319'!$B:$H,7,0),0)</f>
        <v>0</v>
      </c>
      <c r="G17721" s="34" t="n">
        <f aca="false">SUMIFS('12.326ana'!$C:$C,'12.326ana'!$M:$M,redes!A17721)</f>
        <v>0</v>
      </c>
    </row>
    <row r="17722" customFormat="false" ht="14.4" hidden="true" customHeight="false" outlineLevel="0" collapsed="false">
      <c r="A17722" s="34" t="n">
        <v>40299810006227</v>
      </c>
      <c r="B17722" s="34" t="s">
        <v>32461</v>
      </c>
      <c r="C17722" s="34" t="s">
        <v>77</v>
      </c>
      <c r="E17722" s="30" t="s">
        <v>32461</v>
      </c>
      <c r="F17722" s="34" t="n">
        <f aca="false">IFERROR(VLOOKUP($A17722,'319'!$B:$H,7,0),0)</f>
        <v>0</v>
      </c>
      <c r="G17722" s="34" t="n">
        <f aca="false">SUMIFS('12.326ana'!$C:$C,'12.326ana'!$M:$M,redes!A17722)</f>
        <v>0</v>
      </c>
    </row>
    <row r="17723" customFormat="false" ht="14.4" hidden="true" customHeight="false" outlineLevel="0" collapsed="false">
      <c r="A17723" s="34" t="n">
        <v>40299810006308</v>
      </c>
      <c r="B17723" s="34" t="s">
        <v>32462</v>
      </c>
      <c r="C17723" s="34" t="s">
        <v>77</v>
      </c>
      <c r="E17723" s="30" t="s">
        <v>32463</v>
      </c>
      <c r="F17723" s="34" t="n">
        <f aca="false">IFERROR(VLOOKUP($A17723,'319'!$B:$H,7,0),0)</f>
        <v>0</v>
      </c>
      <c r="G17723" s="34" t="n">
        <f aca="false">SUMIFS('12.326ana'!$C:$C,'12.326ana'!$M:$M,redes!A17723)</f>
        <v>0</v>
      </c>
    </row>
    <row r="17724" customFormat="false" ht="14.4" hidden="true" customHeight="false" outlineLevel="0" collapsed="false">
      <c r="A17724" s="34" t="n">
        <v>40299810006570</v>
      </c>
      <c r="B17724" s="34" t="s">
        <v>32461</v>
      </c>
      <c r="C17724" s="34" t="s">
        <v>77</v>
      </c>
      <c r="E17724" s="30" t="s">
        <v>32462</v>
      </c>
      <c r="F17724" s="34" t="n">
        <f aca="false">IFERROR(VLOOKUP($A17724,'319'!$B:$H,7,0),0)</f>
        <v>0</v>
      </c>
      <c r="G17724" s="34" t="n">
        <f aca="false">SUMIFS('12.326ana'!$C:$C,'12.326ana'!$M:$M,redes!A17724)</f>
        <v>0</v>
      </c>
    </row>
    <row r="17725" customFormat="false" ht="14.4" hidden="true" customHeight="false" outlineLevel="0" collapsed="false">
      <c r="A17725" s="34" t="n">
        <v>40299810006650</v>
      </c>
      <c r="B17725" s="34" t="s">
        <v>32462</v>
      </c>
      <c r="C17725" s="34" t="s">
        <v>77</v>
      </c>
      <c r="E17725" s="30" t="s">
        <v>32464</v>
      </c>
      <c r="F17725" s="34" t="n">
        <f aca="false">IFERROR(VLOOKUP($A17725,'319'!$B:$H,7,0),0)</f>
        <v>0</v>
      </c>
      <c r="G17725" s="34" t="n">
        <f aca="false">SUMIFS('12.326ana'!$C:$C,'12.326ana'!$M:$M,redes!A17725)</f>
        <v>0</v>
      </c>
    </row>
    <row r="17726" customFormat="false" ht="14.4" hidden="true" customHeight="false" outlineLevel="0" collapsed="false">
      <c r="A17726" s="34" t="n">
        <v>40299810006731</v>
      </c>
      <c r="B17726" s="34" t="s">
        <v>32461</v>
      </c>
      <c r="C17726" s="34" t="s">
        <v>77</v>
      </c>
      <c r="E17726" s="30" t="s">
        <v>32462</v>
      </c>
      <c r="F17726" s="34" t="n">
        <f aca="false">IFERROR(VLOOKUP($A17726,'319'!$B:$H,7,0),0)</f>
        <v>0</v>
      </c>
      <c r="G17726" s="34" t="n">
        <f aca="false">SUMIFS('12.326ana'!$C:$C,'12.326ana'!$M:$M,redes!A17726)</f>
        <v>0</v>
      </c>
    </row>
    <row r="17727" customFormat="false" ht="14.4" hidden="true" customHeight="false" outlineLevel="0" collapsed="false">
      <c r="A17727" s="34" t="n">
        <v>40299810010500</v>
      </c>
      <c r="B17727" s="34" t="s">
        <v>32461</v>
      </c>
      <c r="C17727" s="34" t="s">
        <v>107</v>
      </c>
      <c r="E17727" s="30" t="s">
        <v>32465</v>
      </c>
      <c r="F17727" s="34" t="n">
        <f aca="false">IFERROR(VLOOKUP($A17727,'319'!$B:$H,7,0),0)</f>
        <v>0</v>
      </c>
      <c r="G17727" s="34" t="n">
        <f aca="false">SUMIFS('12.326ana'!$C:$C,'12.326ana'!$M:$M,redes!A17727)</f>
        <v>0</v>
      </c>
    </row>
    <row r="17728" customFormat="false" ht="14.4" hidden="true" customHeight="false" outlineLevel="0" collapsed="false">
      <c r="A17728" s="34" t="n">
        <v>40299810010763</v>
      </c>
      <c r="B17728" s="34" t="s">
        <v>32461</v>
      </c>
      <c r="C17728" s="34" t="s">
        <v>77</v>
      </c>
      <c r="E17728" s="30" t="s">
        <v>32461</v>
      </c>
      <c r="F17728" s="34" t="n">
        <f aca="false">IFERROR(VLOOKUP($A17728,'319'!$B:$H,7,0),0)</f>
        <v>0</v>
      </c>
      <c r="G17728" s="34" t="n">
        <f aca="false">SUMIFS('12.326ana'!$C:$C,'12.326ana'!$M:$M,redes!A17728)</f>
        <v>0</v>
      </c>
    </row>
    <row r="17729" customFormat="false" ht="14.4" hidden="true" customHeight="false" outlineLevel="0" collapsed="false">
      <c r="A17729" s="34" t="n">
        <v>40299810011140</v>
      </c>
      <c r="B17729" s="34" t="s">
        <v>32461</v>
      </c>
      <c r="C17729" s="34" t="s">
        <v>77</v>
      </c>
      <c r="E17729" s="30" t="s">
        <v>32462</v>
      </c>
      <c r="F17729" s="34" t="n">
        <f aca="false">IFERROR(VLOOKUP($A17729,'319'!$B:$H,7,0),0)</f>
        <v>0</v>
      </c>
      <c r="G17729" s="34" t="n">
        <f aca="false">SUMIFS('12.326ana'!$C:$C,'12.326ana'!$M:$M,redes!A17729)</f>
        <v>0</v>
      </c>
    </row>
    <row r="17730" customFormat="false" ht="14.4" hidden="true" customHeight="false" outlineLevel="0" collapsed="false">
      <c r="A17730" s="34" t="n">
        <v>40299810012707</v>
      </c>
      <c r="B17730" s="34" t="s">
        <v>32461</v>
      </c>
      <c r="C17730" s="34" t="s">
        <v>107</v>
      </c>
      <c r="E17730" s="30" t="s">
        <v>32461</v>
      </c>
      <c r="F17730" s="34" t="n">
        <f aca="false">IFERROR(VLOOKUP($A17730,'319'!$B:$H,7,0),0)</f>
        <v>0</v>
      </c>
      <c r="G17730" s="34" t="n">
        <f aca="false">SUMIFS('12.326ana'!$C:$C,'12.326ana'!$M:$M,redes!A17730)</f>
        <v>0</v>
      </c>
    </row>
    <row r="17731" customFormat="false" ht="14.4" hidden="true" customHeight="false" outlineLevel="0" collapsed="false">
      <c r="A17731" s="34" t="n">
        <v>40299810016702</v>
      </c>
      <c r="B17731" s="34" t="s">
        <v>32461</v>
      </c>
      <c r="C17731" s="34" t="s">
        <v>77</v>
      </c>
      <c r="E17731" s="30" t="s">
        <v>32462</v>
      </c>
      <c r="F17731" s="34" t="n">
        <f aca="false">IFERROR(VLOOKUP($A17731,'319'!$B:$H,7,0),0)</f>
        <v>0</v>
      </c>
      <c r="G17731" s="34" t="n">
        <f aca="false">SUMIFS('12.326ana'!$C:$C,'12.326ana'!$M:$M,redes!A17731)</f>
        <v>0</v>
      </c>
    </row>
    <row r="17732" customFormat="false" ht="14.4" hidden="true" customHeight="false" outlineLevel="0" collapsed="false">
      <c r="A17732" s="34" t="n">
        <v>40299810017342</v>
      </c>
      <c r="B17732" s="34" t="s">
        <v>32461</v>
      </c>
      <c r="C17732" s="34" t="s">
        <v>77</v>
      </c>
      <c r="E17732" s="30" t="s">
        <v>32462</v>
      </c>
      <c r="F17732" s="34" t="n">
        <f aca="false">IFERROR(VLOOKUP($A17732,'319'!$B:$H,7,0),0)</f>
        <v>0</v>
      </c>
      <c r="G17732" s="34" t="n">
        <f aca="false">SUMIFS('12.326ana'!$C:$C,'12.326ana'!$M:$M,redes!A17732)</f>
        <v>0</v>
      </c>
    </row>
    <row r="17733" customFormat="false" ht="14.4" hidden="true" customHeight="false" outlineLevel="0" collapsed="false">
      <c r="A17733" s="34" t="n">
        <v>40299810019809</v>
      </c>
      <c r="B17733" s="34" t="s">
        <v>32465</v>
      </c>
      <c r="C17733" s="34" t="s">
        <v>107</v>
      </c>
      <c r="E17733" s="30" t="s">
        <v>32465</v>
      </c>
      <c r="F17733" s="34" t="n">
        <f aca="false">IFERROR(VLOOKUP($A17733,'319'!$B:$H,7,0),0)</f>
        <v>0</v>
      </c>
      <c r="G17733" s="34" t="n">
        <f aca="false">SUMIFS('12.326ana'!$C:$C,'12.326ana'!$M:$M,redes!A17733)</f>
        <v>0</v>
      </c>
    </row>
    <row r="17734" customFormat="false" ht="14.4" hidden="true" customHeight="false" outlineLevel="0" collapsed="false">
      <c r="A17734" s="34" t="n">
        <v>40299810020483</v>
      </c>
      <c r="B17734" s="34" t="s">
        <v>32461</v>
      </c>
      <c r="C17734" s="34" t="s">
        <v>77</v>
      </c>
      <c r="E17734" s="30" t="s">
        <v>32462</v>
      </c>
      <c r="F17734" s="34" t="n">
        <f aca="false">IFERROR(VLOOKUP($A17734,'319'!$B:$H,7,0),0)</f>
        <v>0</v>
      </c>
      <c r="G17734" s="34" t="n">
        <f aca="false">SUMIFS('12.326ana'!$C:$C,'12.326ana'!$M:$M,redes!A17734)</f>
        <v>0</v>
      </c>
    </row>
    <row r="17735" customFormat="false" ht="14.4" hidden="true" customHeight="false" outlineLevel="0" collapsed="false">
      <c r="A17735" s="34" t="n">
        <v>40299810021102</v>
      </c>
      <c r="B17735" s="34" t="s">
        <v>32461</v>
      </c>
      <c r="C17735" s="34" t="s">
        <v>77</v>
      </c>
      <c r="E17735" s="30" t="s">
        <v>32461</v>
      </c>
      <c r="F17735" s="34" t="n">
        <f aca="false">IFERROR(VLOOKUP($A17735,'319'!$B:$H,7,0),0)</f>
        <v>0</v>
      </c>
      <c r="G17735" s="34" t="n">
        <f aca="false">SUMIFS('12.326ana'!$C:$C,'12.326ana'!$M:$M,redes!A17735)</f>
        <v>0</v>
      </c>
    </row>
    <row r="17736" customFormat="false" ht="14.4" hidden="true" customHeight="false" outlineLevel="0" collapsed="false">
      <c r="A17736" s="34" t="n">
        <v>40299810021293</v>
      </c>
      <c r="B17736" s="34" t="s">
        <v>32461</v>
      </c>
      <c r="C17736" s="34" t="s">
        <v>77</v>
      </c>
      <c r="E17736" s="30" t="s">
        <v>32462</v>
      </c>
      <c r="F17736" s="34" t="n">
        <f aca="false">IFERROR(VLOOKUP($A17736,'319'!$B:$H,7,0),0)</f>
        <v>0</v>
      </c>
      <c r="G17736" s="34" t="n">
        <f aca="false">SUMIFS('12.326ana'!$C:$C,'12.326ana'!$M:$M,redes!A17736)</f>
        <v>0</v>
      </c>
    </row>
    <row r="17737" customFormat="false" ht="14.4" hidden="true" customHeight="false" outlineLevel="0" collapsed="false">
      <c r="A17737" s="34" t="n">
        <v>40306803000193</v>
      </c>
      <c r="B17737" s="34" t="s">
        <v>32466</v>
      </c>
      <c r="C17737" s="34" t="s">
        <v>77</v>
      </c>
      <c r="E17737" s="30" t="s">
        <v>32467</v>
      </c>
      <c r="F17737" s="34" t="n">
        <f aca="false">IFERROR(VLOOKUP($A17737,'319'!$B:$H,7,0),0)</f>
        <v>0</v>
      </c>
      <c r="G17737" s="34" t="n">
        <f aca="false">SUMIFS('12.326ana'!$C:$C,'12.326ana'!$M:$M,redes!A17737)</f>
        <v>0</v>
      </c>
    </row>
    <row r="17738" customFormat="false" ht="14.4" hidden="true" customHeight="false" outlineLevel="0" collapsed="false">
      <c r="A17738" s="34" t="n">
        <v>40319441000175</v>
      </c>
      <c r="B17738" s="34" t="s">
        <v>32468</v>
      </c>
      <c r="C17738" s="34" t="s">
        <v>77</v>
      </c>
      <c r="E17738" s="30" t="s">
        <v>32468</v>
      </c>
      <c r="F17738" s="34" t="n">
        <f aca="false">IFERROR(VLOOKUP($A17738,'319'!$B:$H,7,0),0)</f>
        <v>0</v>
      </c>
      <c r="G17738" s="34" t="n">
        <f aca="false">SUMIFS('12.326ana'!$C:$C,'12.326ana'!$M:$M,redes!A17738)</f>
        <v>0</v>
      </c>
    </row>
    <row r="17739" customFormat="false" ht="14.4" hidden="true" customHeight="false" outlineLevel="0" collapsed="false">
      <c r="A17739" s="34" t="n">
        <v>40343479000183</v>
      </c>
      <c r="B17739" s="34" t="s">
        <v>32469</v>
      </c>
      <c r="C17739" s="34" t="s">
        <v>77</v>
      </c>
      <c r="D17739" s="34" t="s">
        <v>32470</v>
      </c>
      <c r="E17739" s="30" t="s">
        <v>29096</v>
      </c>
      <c r="F17739" s="34" t="n">
        <f aca="false">IFERROR(VLOOKUP($A17739,'319'!$B:$H,7,0),0)</f>
        <v>868.83</v>
      </c>
      <c r="G17739" s="34" t="n">
        <f aca="false">SUMIFS('12.326ana'!$C:$C,'12.326ana'!$M:$M,redes!A17739)</f>
        <v>0</v>
      </c>
    </row>
    <row r="17740" customFormat="false" ht="14.4" hidden="true" customHeight="false" outlineLevel="0" collapsed="false">
      <c r="A17740" s="34" t="n">
        <v>40343479000264</v>
      </c>
      <c r="B17740" s="34" t="s">
        <v>32471</v>
      </c>
      <c r="C17740" s="34" t="s">
        <v>77</v>
      </c>
      <c r="D17740" s="34" t="s">
        <v>32470</v>
      </c>
      <c r="E17740" s="30" t="s">
        <v>29096</v>
      </c>
      <c r="F17740" s="34" t="n">
        <f aca="false">IFERROR(VLOOKUP($A17740,'319'!$B:$H,7,0),0)</f>
        <v>699.76</v>
      </c>
      <c r="G17740" s="34" t="n">
        <f aca="false">SUMIFS('12.326ana'!$C:$C,'12.326ana'!$M:$M,redes!A17740)</f>
        <v>0</v>
      </c>
    </row>
    <row r="17741" customFormat="false" ht="14.4" hidden="true" customHeight="false" outlineLevel="0" collapsed="false">
      <c r="A17741" s="34" t="n">
        <v>40343479000345</v>
      </c>
      <c r="B17741" s="34" t="s">
        <v>32472</v>
      </c>
      <c r="C17741" s="34" t="s">
        <v>77</v>
      </c>
      <c r="D17741" s="34" t="s">
        <v>32470</v>
      </c>
      <c r="E17741" s="30" t="s">
        <v>29096</v>
      </c>
      <c r="F17741" s="34" t="n">
        <f aca="false">IFERROR(VLOOKUP($A17741,'319'!$B:$H,7,0),0)</f>
        <v>344.78</v>
      </c>
      <c r="G17741" s="34" t="n">
        <f aca="false">SUMIFS('12.326ana'!$C:$C,'12.326ana'!$M:$M,redes!A17741)</f>
        <v>0</v>
      </c>
    </row>
    <row r="17742" customFormat="false" ht="14.4" hidden="true" customHeight="false" outlineLevel="0" collapsed="false">
      <c r="A17742" s="34" t="n">
        <v>40343479000426</v>
      </c>
      <c r="B17742" s="34" t="s">
        <v>32472</v>
      </c>
      <c r="C17742" s="34" t="s">
        <v>77</v>
      </c>
      <c r="D17742" s="34" t="s">
        <v>32470</v>
      </c>
      <c r="E17742" s="30" t="s">
        <v>32473</v>
      </c>
      <c r="F17742" s="34" t="n">
        <f aca="false">IFERROR(VLOOKUP($A17742,'319'!$B:$H,7,0),0)</f>
        <v>0</v>
      </c>
      <c r="G17742" s="34" t="n">
        <f aca="false">SUMIFS('12.326ana'!$C:$C,'12.326ana'!$M:$M,redes!A17742)</f>
        <v>0</v>
      </c>
    </row>
    <row r="17743" customFormat="false" ht="14.4" hidden="true" customHeight="false" outlineLevel="0" collapsed="false">
      <c r="A17743" s="34" t="n">
        <v>40384152000150</v>
      </c>
      <c r="B17743" s="34" t="s">
        <v>32474</v>
      </c>
      <c r="C17743" s="34" t="s">
        <v>77</v>
      </c>
      <c r="E17743" s="30" t="s">
        <v>32475</v>
      </c>
      <c r="F17743" s="34" t="n">
        <f aca="false">IFERROR(VLOOKUP($A17743,'319'!$B:$H,7,0),0)</f>
        <v>0</v>
      </c>
      <c r="G17743" s="34" t="n">
        <f aca="false">SUMIFS('12.326ana'!$C:$C,'12.326ana'!$M:$M,redes!A17743)</f>
        <v>0</v>
      </c>
    </row>
    <row r="17744" customFormat="false" ht="14.4" hidden="true" customHeight="false" outlineLevel="0" collapsed="false">
      <c r="A17744" s="34" t="n">
        <v>40404232000120</v>
      </c>
      <c r="B17744" s="34" t="s">
        <v>1715</v>
      </c>
      <c r="C17744" s="34" t="s">
        <v>299</v>
      </c>
      <c r="E17744" s="30" t="s">
        <v>3664</v>
      </c>
      <c r="F17744" s="34" t="n">
        <f aca="false">IFERROR(VLOOKUP($A17744,'319'!$B:$H,7,0),0)</f>
        <v>36.21</v>
      </c>
      <c r="G17744" s="34" t="n">
        <f aca="false">SUMIFS('12.326ana'!$C:$C,'12.326ana'!$M:$M,redes!A17744)</f>
        <v>0</v>
      </c>
    </row>
    <row r="17745" customFormat="false" ht="14.4" hidden="true" customHeight="false" outlineLevel="0" collapsed="false">
      <c r="A17745" s="34" t="n">
        <v>40411392000104</v>
      </c>
      <c r="B17745" s="34" t="s">
        <v>32476</v>
      </c>
      <c r="C17745" s="34" t="s">
        <v>737</v>
      </c>
      <c r="E17745" s="30" t="s">
        <v>32477</v>
      </c>
      <c r="F17745" s="34" t="n">
        <f aca="false">IFERROR(VLOOKUP($A17745,'319'!$B:$H,7,0),0)</f>
        <v>0</v>
      </c>
      <c r="G17745" s="34" t="n">
        <f aca="false">SUMIFS('12.326ana'!$C:$C,'12.326ana'!$M:$M,redes!A17745)</f>
        <v>0</v>
      </c>
    </row>
    <row r="17746" customFormat="false" ht="14.4" hidden="true" customHeight="false" outlineLevel="0" collapsed="false">
      <c r="A17746" s="34" t="n">
        <v>40411608000123</v>
      </c>
      <c r="B17746" s="34" t="s">
        <v>32478</v>
      </c>
      <c r="C17746" s="34" t="s">
        <v>1054</v>
      </c>
      <c r="E17746" s="30" t="s">
        <v>32479</v>
      </c>
      <c r="F17746" s="34" t="n">
        <f aca="false">IFERROR(VLOOKUP($A17746,'319'!$B:$H,7,0),0)</f>
        <v>0</v>
      </c>
      <c r="G17746" s="34" t="n">
        <f aca="false">SUMIFS('12.326ana'!$C:$C,'12.326ana'!$M:$M,redes!A17746)</f>
        <v>0</v>
      </c>
    </row>
    <row r="17747" customFormat="false" ht="14.4" hidden="true" customHeight="false" outlineLevel="0" collapsed="false">
      <c r="A17747" s="34" t="n">
        <v>40431591000176</v>
      </c>
      <c r="B17747" s="34" t="s">
        <v>32480</v>
      </c>
      <c r="C17747" s="34" t="s">
        <v>89</v>
      </c>
      <c r="E17747" s="30" t="s">
        <v>32481</v>
      </c>
      <c r="F17747" s="34" t="n">
        <f aca="false">IFERROR(VLOOKUP($A17747,'319'!$B:$H,7,0),0)</f>
        <v>0</v>
      </c>
      <c r="G17747" s="34" t="n">
        <f aca="false">SUMIFS('12.326ana'!$C:$C,'12.326ana'!$M:$M,redes!A17747)</f>
        <v>0</v>
      </c>
    </row>
    <row r="17748" customFormat="false" ht="14.4" hidden="true" customHeight="false" outlineLevel="0" collapsed="false">
      <c r="A17748" s="34" t="n">
        <v>40434321000119</v>
      </c>
      <c r="B17748" s="34" t="s">
        <v>32482</v>
      </c>
      <c r="C17748" s="34" t="s">
        <v>77</v>
      </c>
      <c r="E17748" s="30" t="s">
        <v>32483</v>
      </c>
      <c r="F17748" s="34" t="n">
        <f aca="false">IFERROR(VLOOKUP($A17748,'319'!$B:$H,7,0),0)</f>
        <v>0</v>
      </c>
      <c r="G17748" s="34" t="n">
        <f aca="false">SUMIFS('12.326ana'!$C:$C,'12.326ana'!$M:$M,redes!A17748)</f>
        <v>0</v>
      </c>
    </row>
    <row r="17749" customFormat="false" ht="14.4" hidden="true" customHeight="false" outlineLevel="0" collapsed="false">
      <c r="A17749" s="34" t="n">
        <v>40441513000152</v>
      </c>
      <c r="B17749" s="34" t="s">
        <v>1561</v>
      </c>
      <c r="C17749" s="34" t="s">
        <v>4139</v>
      </c>
      <c r="E17749" s="30" t="s">
        <v>32484</v>
      </c>
      <c r="F17749" s="34" t="n">
        <f aca="false">IFERROR(VLOOKUP($A17749,'319'!$B:$H,7,0),0)</f>
        <v>104.63</v>
      </c>
      <c r="G17749" s="34" t="n">
        <f aca="false">SUMIFS('12.326ana'!$C:$C,'12.326ana'!$M:$M,redes!A17749)</f>
        <v>0</v>
      </c>
    </row>
    <row r="17750" customFormat="false" ht="14.4" hidden="true" customHeight="false" outlineLevel="0" collapsed="false">
      <c r="A17750" s="34" t="n">
        <v>40443560000135</v>
      </c>
      <c r="B17750" s="34" t="s">
        <v>32485</v>
      </c>
      <c r="C17750" s="34" t="s">
        <v>77</v>
      </c>
      <c r="E17750" s="30" t="s">
        <v>32486</v>
      </c>
      <c r="F17750" s="34" t="n">
        <f aca="false">IFERROR(VLOOKUP($A17750,'319'!$B:$H,7,0),0)</f>
        <v>0</v>
      </c>
      <c r="G17750" s="34" t="n">
        <f aca="false">SUMIFS('12.326ana'!$C:$C,'12.326ana'!$M:$M,redes!A17750)</f>
        <v>0</v>
      </c>
    </row>
    <row r="17751" customFormat="false" ht="14.4" hidden="true" customHeight="false" outlineLevel="0" collapsed="false">
      <c r="A17751" s="34" t="n">
        <v>40447857000179</v>
      </c>
      <c r="B17751" s="34" t="s">
        <v>32487</v>
      </c>
      <c r="C17751" s="34" t="s">
        <v>565</v>
      </c>
      <c r="E17751" s="30" t="s">
        <v>32488</v>
      </c>
      <c r="F17751" s="34" t="n">
        <f aca="false">IFERROR(VLOOKUP($A17751,'319'!$B:$H,7,0),0)</f>
        <v>0</v>
      </c>
      <c r="G17751" s="34" t="n">
        <f aca="false">SUMIFS('12.326ana'!$C:$C,'12.326ana'!$M:$M,redes!A17751)</f>
        <v>0</v>
      </c>
    </row>
    <row r="17752" customFormat="false" ht="14.4" hidden="true" customHeight="false" outlineLevel="0" collapsed="false">
      <c r="A17752" s="34" t="n">
        <v>40456076000140</v>
      </c>
      <c r="B17752" s="34" t="s">
        <v>32489</v>
      </c>
      <c r="C17752" s="34" t="s">
        <v>296</v>
      </c>
      <c r="E17752" s="30" t="s">
        <v>32490</v>
      </c>
      <c r="F17752" s="34" t="n">
        <f aca="false">IFERROR(VLOOKUP($A17752,'319'!$B:$H,7,0),0)</f>
        <v>0</v>
      </c>
      <c r="G17752" s="34" t="n">
        <f aca="false">SUMIFS('12.326ana'!$C:$C,'12.326ana'!$M:$M,redes!A17752)</f>
        <v>0</v>
      </c>
    </row>
    <row r="17753" customFormat="false" ht="14.4" hidden="true" customHeight="false" outlineLevel="0" collapsed="false">
      <c r="A17753" s="34" t="n">
        <v>40462801000193</v>
      </c>
      <c r="B17753" s="34" t="s">
        <v>32491</v>
      </c>
      <c r="C17753" s="34" t="s">
        <v>631</v>
      </c>
      <c r="E17753" s="30" t="s">
        <v>32492</v>
      </c>
      <c r="F17753" s="34" t="n">
        <f aca="false">IFERROR(VLOOKUP($A17753,'319'!$B:$H,7,0),0)</f>
        <v>0</v>
      </c>
      <c r="G17753" s="34" t="n">
        <f aca="false">SUMIFS('12.326ana'!$C:$C,'12.326ana'!$M:$M,redes!A17753)</f>
        <v>0</v>
      </c>
    </row>
    <row r="17754" customFormat="false" ht="14.4" hidden="true" customHeight="false" outlineLevel="0" collapsed="false">
      <c r="A17754" s="34" t="n">
        <v>40464168000172</v>
      </c>
      <c r="B17754" s="34" t="s">
        <v>32493</v>
      </c>
      <c r="C17754" s="34" t="s">
        <v>107</v>
      </c>
      <c r="E17754" s="30" t="s">
        <v>32494</v>
      </c>
      <c r="F17754" s="34" t="n">
        <f aca="false">IFERROR(VLOOKUP($A17754,'319'!$B:$H,7,0),0)</f>
        <v>0</v>
      </c>
      <c r="G17754" s="34" t="n">
        <f aca="false">SUMIFS('12.326ana'!$C:$C,'12.326ana'!$M:$M,redes!A17754)</f>
        <v>0</v>
      </c>
    </row>
    <row r="17755" customFormat="false" ht="14.4" hidden="true" customHeight="false" outlineLevel="0" collapsed="false">
      <c r="A17755" s="34" t="n">
        <v>40476033000127</v>
      </c>
      <c r="B17755" s="34" t="s">
        <v>32495</v>
      </c>
      <c r="C17755" s="34" t="s">
        <v>192</v>
      </c>
      <c r="E17755" s="30" t="s">
        <v>3194</v>
      </c>
      <c r="F17755" s="34" t="n">
        <f aca="false">IFERROR(VLOOKUP($A17755,'319'!$B:$H,7,0),0)</f>
        <v>0</v>
      </c>
      <c r="G17755" s="34" t="n">
        <f aca="false">SUMIFS('12.326ana'!$C:$C,'12.326ana'!$M:$M,redes!A17755)</f>
        <v>0</v>
      </c>
    </row>
    <row r="17756" customFormat="false" ht="14.4" hidden="true" customHeight="false" outlineLevel="0" collapsed="false">
      <c r="A17756" s="34" t="n">
        <v>40477144000158</v>
      </c>
      <c r="B17756" s="34" t="s">
        <v>32496</v>
      </c>
      <c r="C17756" s="34" t="s">
        <v>77</v>
      </c>
      <c r="E17756" s="30" t="s">
        <v>23020</v>
      </c>
      <c r="F17756" s="34" t="n">
        <f aca="false">IFERROR(VLOOKUP($A17756,'319'!$B:$H,7,0),0)</f>
        <v>0</v>
      </c>
      <c r="G17756" s="34" t="n">
        <f aca="false">SUMIFS('12.326ana'!$C:$C,'12.326ana'!$M:$M,redes!A17756)</f>
        <v>0</v>
      </c>
    </row>
    <row r="17757" customFormat="false" ht="14.4" hidden="true" customHeight="false" outlineLevel="0" collapsed="false">
      <c r="A17757" s="34" t="n">
        <v>40527401000119</v>
      </c>
      <c r="B17757" s="34" t="s">
        <v>32497</v>
      </c>
      <c r="C17757" s="34" t="s">
        <v>77</v>
      </c>
      <c r="E17757" s="30" t="s">
        <v>32498</v>
      </c>
      <c r="F17757" s="34" t="n">
        <f aca="false">IFERROR(VLOOKUP($A17757,'319'!$B:$H,7,0),0)</f>
        <v>0</v>
      </c>
      <c r="G17757" s="34" t="n">
        <f aca="false">SUMIFS('12.326ana'!$C:$C,'12.326ana'!$M:$M,redes!A17757)</f>
        <v>0</v>
      </c>
    </row>
    <row r="17758" customFormat="false" ht="14.4" hidden="true" customHeight="false" outlineLevel="0" collapsed="false">
      <c r="A17758" s="34" t="n">
        <v>40544248000138</v>
      </c>
      <c r="B17758" s="34" t="s">
        <v>32499</v>
      </c>
      <c r="C17758" s="34" t="s">
        <v>89</v>
      </c>
      <c r="E17758" s="30" t="s">
        <v>32500</v>
      </c>
      <c r="F17758" s="34" t="n">
        <f aca="false">IFERROR(VLOOKUP($A17758,'319'!$B:$H,7,0),0)</f>
        <v>0</v>
      </c>
      <c r="G17758" s="34" t="n">
        <f aca="false">SUMIFS('12.326ana'!$C:$C,'12.326ana'!$M:$M,redes!A17758)</f>
        <v>0</v>
      </c>
    </row>
    <row r="17759" customFormat="false" ht="14.4" hidden="true" customHeight="false" outlineLevel="0" collapsed="false">
      <c r="A17759" s="34" t="n">
        <v>40551960000164</v>
      </c>
      <c r="B17759" s="34" t="s">
        <v>32501</v>
      </c>
      <c r="C17759" s="34" t="s">
        <v>77</v>
      </c>
      <c r="E17759" s="30" t="s">
        <v>27737</v>
      </c>
      <c r="F17759" s="34" t="n">
        <f aca="false">IFERROR(VLOOKUP($A17759,'319'!$B:$H,7,0),0)</f>
        <v>0</v>
      </c>
      <c r="G17759" s="34" t="n">
        <f aca="false">SUMIFS('12.326ana'!$C:$C,'12.326ana'!$M:$M,redes!A17759)</f>
        <v>0</v>
      </c>
    </row>
    <row r="17760" customFormat="false" ht="14.4" hidden="true" customHeight="false" outlineLevel="0" collapsed="false">
      <c r="A17760" s="34" t="n">
        <v>40559719000181</v>
      </c>
      <c r="B17760" s="34" t="s">
        <v>32502</v>
      </c>
      <c r="C17760" s="34" t="s">
        <v>77</v>
      </c>
      <c r="E17760" s="30" t="s">
        <v>32503</v>
      </c>
      <c r="F17760" s="34" t="n">
        <f aca="false">IFERROR(VLOOKUP($A17760,'319'!$B:$H,7,0),0)</f>
        <v>0</v>
      </c>
      <c r="G17760" s="34" t="n">
        <f aca="false">SUMIFS('12.326ana'!$C:$C,'12.326ana'!$M:$M,redes!A17760)</f>
        <v>0</v>
      </c>
    </row>
    <row r="17761" customFormat="false" ht="14.4" hidden="true" customHeight="false" outlineLevel="0" collapsed="false">
      <c r="A17761" s="34" t="n">
        <v>40565685000138</v>
      </c>
      <c r="B17761" s="34" t="s">
        <v>32504</v>
      </c>
      <c r="C17761" s="34" t="s">
        <v>562</v>
      </c>
      <c r="E17761" s="30" t="s">
        <v>32505</v>
      </c>
      <c r="F17761" s="34" t="n">
        <f aca="false">IFERROR(VLOOKUP($A17761,'319'!$B:$H,7,0),0)</f>
        <v>0</v>
      </c>
      <c r="G17761" s="34" t="n">
        <f aca="false">SUMIFS('12.326ana'!$C:$C,'12.326ana'!$M:$M,redes!A17761)</f>
        <v>0</v>
      </c>
    </row>
    <row r="17762" customFormat="false" ht="14.4" hidden="true" customHeight="false" outlineLevel="0" collapsed="false">
      <c r="A17762" s="34" t="n">
        <v>40565686000182</v>
      </c>
      <c r="B17762" s="34" t="s">
        <v>32506</v>
      </c>
      <c r="C17762" s="34" t="s">
        <v>77</v>
      </c>
      <c r="E17762" s="30" t="s">
        <v>32507</v>
      </c>
      <c r="F17762" s="34" t="n">
        <f aca="false">IFERROR(VLOOKUP($A17762,'319'!$B:$H,7,0),0)</f>
        <v>0</v>
      </c>
      <c r="G17762" s="34" t="n">
        <f aca="false">SUMIFS('12.326ana'!$C:$C,'12.326ana'!$M:$M,redes!A17762)</f>
        <v>0</v>
      </c>
    </row>
    <row r="17763" customFormat="false" ht="14.4" hidden="true" customHeight="false" outlineLevel="0" collapsed="false">
      <c r="A17763" s="34" t="n">
        <v>40568415000180</v>
      </c>
      <c r="B17763" s="34" t="s">
        <v>32508</v>
      </c>
      <c r="C17763" s="34" t="s">
        <v>129</v>
      </c>
      <c r="E17763" s="30" t="s">
        <v>32509</v>
      </c>
      <c r="F17763" s="34" t="n">
        <f aca="false">IFERROR(VLOOKUP($A17763,'319'!$B:$H,7,0),0)</f>
        <v>0</v>
      </c>
      <c r="G17763" s="34" t="n">
        <f aca="false">SUMIFS('12.326ana'!$C:$C,'12.326ana'!$M:$M,redes!A17763)</f>
        <v>0</v>
      </c>
    </row>
    <row r="17764" customFormat="false" ht="14.4" hidden="true" customHeight="false" outlineLevel="0" collapsed="false">
      <c r="A17764" s="34" t="n">
        <v>40574156000109</v>
      </c>
      <c r="B17764" s="34" t="s">
        <v>32510</v>
      </c>
      <c r="C17764" s="34" t="s">
        <v>77</v>
      </c>
      <c r="E17764" s="30" t="s">
        <v>32511</v>
      </c>
      <c r="F17764" s="34" t="n">
        <f aca="false">IFERROR(VLOOKUP($A17764,'319'!$B:$H,7,0),0)</f>
        <v>0</v>
      </c>
      <c r="G17764" s="34" t="n">
        <f aca="false">SUMIFS('12.326ana'!$C:$C,'12.326ana'!$M:$M,redes!A17764)</f>
        <v>0</v>
      </c>
    </row>
    <row r="17765" customFormat="false" ht="14.4" hidden="true" customHeight="false" outlineLevel="0" collapsed="false">
      <c r="A17765" s="34" t="n">
        <v>40589643000137</v>
      </c>
      <c r="B17765" s="34" t="s">
        <v>32512</v>
      </c>
      <c r="C17765" s="34" t="s">
        <v>631</v>
      </c>
      <c r="E17765" s="30" t="s">
        <v>20270</v>
      </c>
      <c r="F17765" s="34" t="n">
        <f aca="false">IFERROR(VLOOKUP($A17765,'319'!$B:$H,7,0),0)</f>
        <v>0</v>
      </c>
      <c r="G17765" s="34" t="n">
        <f aca="false">SUMIFS('12.326ana'!$C:$C,'12.326ana'!$M:$M,redes!A17765)</f>
        <v>0</v>
      </c>
    </row>
    <row r="17766" customFormat="false" ht="14.4" hidden="true" customHeight="false" outlineLevel="0" collapsed="false">
      <c r="A17766" s="34" t="n">
        <v>40589895000166</v>
      </c>
      <c r="B17766" s="34" t="s">
        <v>32513</v>
      </c>
      <c r="C17766" s="34" t="s">
        <v>77</v>
      </c>
      <c r="E17766" s="30" t="s">
        <v>32514</v>
      </c>
      <c r="F17766" s="34" t="n">
        <f aca="false">IFERROR(VLOOKUP($A17766,'319'!$B:$H,7,0),0)</f>
        <v>0</v>
      </c>
      <c r="G17766" s="34" t="n">
        <f aca="false">SUMIFS('12.326ana'!$C:$C,'12.326ana'!$M:$M,redes!A17766)</f>
        <v>0</v>
      </c>
    </row>
    <row r="17767" customFormat="false" ht="14.4" hidden="true" customHeight="false" outlineLevel="0" collapsed="false">
      <c r="A17767" s="34" t="n">
        <v>40597408000107</v>
      </c>
      <c r="B17767" s="34" t="s">
        <v>32515</v>
      </c>
      <c r="C17767" s="34" t="s">
        <v>77</v>
      </c>
      <c r="E17767" s="30" t="s">
        <v>32516</v>
      </c>
      <c r="F17767" s="34" t="n">
        <f aca="false">IFERROR(VLOOKUP($A17767,'319'!$B:$H,7,0),0)</f>
        <v>0</v>
      </c>
      <c r="G17767" s="34" t="n">
        <f aca="false">SUMIFS('12.326ana'!$C:$C,'12.326ana'!$M:$M,redes!A17767)</f>
        <v>0</v>
      </c>
    </row>
    <row r="17768" customFormat="false" ht="14.4" hidden="true" customHeight="false" outlineLevel="0" collapsed="false">
      <c r="A17768" s="34" t="n">
        <v>40601244000144</v>
      </c>
      <c r="B17768" s="34" t="s">
        <v>1536</v>
      </c>
      <c r="C17768" s="34" t="s">
        <v>713</v>
      </c>
      <c r="E17768" s="30" t="s">
        <v>32517</v>
      </c>
      <c r="F17768" s="34" t="n">
        <f aca="false">IFERROR(VLOOKUP($A17768,'319'!$B:$H,7,0),0)</f>
        <v>117.99</v>
      </c>
      <c r="G17768" s="34" t="n">
        <f aca="false">SUMIFS('12.326ana'!$C:$C,'12.326ana'!$M:$M,redes!A17768)</f>
        <v>0</v>
      </c>
    </row>
    <row r="17769" customFormat="false" ht="14.4" hidden="true" customHeight="false" outlineLevel="0" collapsed="false">
      <c r="A17769" s="34" t="n">
        <v>40619536000104</v>
      </c>
      <c r="B17769" s="34" t="s">
        <v>32518</v>
      </c>
      <c r="C17769" s="34" t="s">
        <v>309</v>
      </c>
      <c r="E17769" s="30" t="s">
        <v>32519</v>
      </c>
      <c r="F17769" s="34" t="n">
        <f aca="false">IFERROR(VLOOKUP($A17769,'319'!$B:$H,7,0),0)</f>
        <v>0</v>
      </c>
      <c r="G17769" s="34" t="n">
        <f aca="false">SUMIFS('12.326ana'!$C:$C,'12.326ana'!$M:$M,redes!A17769)</f>
        <v>0</v>
      </c>
    </row>
    <row r="17770" customFormat="false" ht="14.4" hidden="true" customHeight="false" outlineLevel="0" collapsed="false">
      <c r="A17770" s="34" t="n">
        <v>40629855000109</v>
      </c>
      <c r="B17770" s="34" t="s">
        <v>32520</v>
      </c>
      <c r="C17770" s="34" t="s">
        <v>77</v>
      </c>
      <c r="E17770" s="30" t="s">
        <v>32521</v>
      </c>
      <c r="F17770" s="34" t="n">
        <f aca="false">IFERROR(VLOOKUP($A17770,'319'!$B:$H,7,0),0)</f>
        <v>0</v>
      </c>
      <c r="G17770" s="34" t="n">
        <f aca="false">SUMIFS('12.326ana'!$C:$C,'12.326ana'!$M:$M,redes!A17770)</f>
        <v>0</v>
      </c>
    </row>
    <row r="17771" customFormat="false" ht="14.4" hidden="true" customHeight="false" outlineLevel="0" collapsed="false">
      <c r="A17771" s="34" t="n">
        <v>40668184000187</v>
      </c>
      <c r="B17771" s="34" t="s">
        <v>32522</v>
      </c>
      <c r="C17771" s="34" t="s">
        <v>77</v>
      </c>
      <c r="E17771" s="30" t="s">
        <v>32523</v>
      </c>
      <c r="F17771" s="34" t="n">
        <f aca="false">IFERROR(VLOOKUP($A17771,'319'!$B:$H,7,0),0)</f>
        <v>0</v>
      </c>
      <c r="G17771" s="34" t="n">
        <f aca="false">SUMIFS('12.326ana'!$C:$C,'12.326ana'!$M:$M,redes!A17771)</f>
        <v>0</v>
      </c>
    </row>
    <row r="17772" customFormat="false" ht="14.4" hidden="true" customHeight="false" outlineLevel="0" collapsed="false">
      <c r="A17772" s="34" t="n">
        <v>40705864000123</v>
      </c>
      <c r="B17772" s="34" t="s">
        <v>32524</v>
      </c>
      <c r="C17772" s="34" t="s">
        <v>139</v>
      </c>
      <c r="E17772" s="30" t="s">
        <v>32525</v>
      </c>
      <c r="F17772" s="34" t="n">
        <f aca="false">IFERROR(VLOOKUP($A17772,'319'!$B:$H,7,0),0)</f>
        <v>0</v>
      </c>
      <c r="G17772" s="34" t="n">
        <f aca="false">SUMIFS('12.326ana'!$C:$C,'12.326ana'!$M:$M,redes!A17772)</f>
        <v>0</v>
      </c>
    </row>
    <row r="17773" customFormat="false" ht="14.4" hidden="true" customHeight="false" outlineLevel="0" collapsed="false">
      <c r="A17773" s="34" t="n">
        <v>40714286000191</v>
      </c>
      <c r="B17773" s="34" t="s">
        <v>32526</v>
      </c>
      <c r="C17773" s="34" t="s">
        <v>107</v>
      </c>
      <c r="E17773" s="30" t="s">
        <v>32527</v>
      </c>
      <c r="F17773" s="34" t="n">
        <f aca="false">IFERROR(VLOOKUP($A17773,'319'!$B:$H,7,0),0)</f>
        <v>0</v>
      </c>
      <c r="G17773" s="34" t="n">
        <f aca="false">SUMIFS('12.326ana'!$C:$C,'12.326ana'!$M:$M,redes!A17773)</f>
        <v>0</v>
      </c>
    </row>
    <row r="17774" customFormat="false" ht="14.4" hidden="true" customHeight="false" outlineLevel="0" collapsed="false">
      <c r="A17774" s="34" t="n">
        <v>40732721000100</v>
      </c>
      <c r="B17774" s="34" t="s">
        <v>32528</v>
      </c>
      <c r="C17774" s="34" t="s">
        <v>77</v>
      </c>
      <c r="E17774" s="30" t="s">
        <v>32529</v>
      </c>
      <c r="F17774" s="34" t="n">
        <f aca="false">IFERROR(VLOOKUP($A17774,'319'!$B:$H,7,0),0)</f>
        <v>0</v>
      </c>
      <c r="G17774" s="34" t="n">
        <f aca="false">SUMIFS('12.326ana'!$C:$C,'12.326ana'!$M:$M,redes!A17774)</f>
        <v>0</v>
      </c>
    </row>
    <row r="17775" customFormat="false" ht="14.4" hidden="true" customHeight="false" outlineLevel="0" collapsed="false">
      <c r="A17775" s="34" t="n">
        <v>40738446000132</v>
      </c>
      <c r="B17775" s="34" t="s">
        <v>32530</v>
      </c>
      <c r="C17775" s="34" t="s">
        <v>77</v>
      </c>
      <c r="E17775" s="30" t="s">
        <v>32531</v>
      </c>
      <c r="F17775" s="34" t="n">
        <f aca="false">IFERROR(VLOOKUP($A17775,'319'!$B:$H,7,0),0)</f>
        <v>0</v>
      </c>
      <c r="G17775" s="34" t="n">
        <f aca="false">SUMIFS('12.326ana'!$C:$C,'12.326ana'!$M:$M,redes!A17775)</f>
        <v>0</v>
      </c>
    </row>
    <row r="17776" customFormat="false" ht="14.4" hidden="true" customHeight="false" outlineLevel="0" collapsed="false">
      <c r="A17776" s="34" t="n">
        <v>40739111000139</v>
      </c>
      <c r="B17776" s="34" t="s">
        <v>32532</v>
      </c>
      <c r="C17776" s="34" t="s">
        <v>89</v>
      </c>
      <c r="E17776" s="30" t="s">
        <v>32533</v>
      </c>
      <c r="F17776" s="34" t="n">
        <f aca="false">IFERROR(VLOOKUP($A17776,'319'!$B:$H,7,0),0)</f>
        <v>0</v>
      </c>
      <c r="G17776" s="34" t="n">
        <f aca="false">SUMIFS('12.326ana'!$C:$C,'12.326ana'!$M:$M,redes!A17776)</f>
        <v>0</v>
      </c>
    </row>
    <row r="17777" customFormat="false" ht="14.4" hidden="true" customHeight="false" outlineLevel="0" collapsed="false">
      <c r="A17777" s="34" t="n">
        <v>40755620000155</v>
      </c>
      <c r="B17777" s="34" t="s">
        <v>17460</v>
      </c>
      <c r="C17777" s="34" t="s">
        <v>448</v>
      </c>
      <c r="E17777" s="30" t="s">
        <v>8048</v>
      </c>
      <c r="F17777" s="34" t="n">
        <f aca="false">IFERROR(VLOOKUP($A17777,'319'!$B:$H,7,0),0)</f>
        <v>0</v>
      </c>
      <c r="G17777" s="34" t="n">
        <f aca="false">SUMIFS('12.326ana'!$C:$C,'12.326ana'!$M:$M,redes!A17777)</f>
        <v>0</v>
      </c>
    </row>
    <row r="17778" customFormat="false" ht="14.4" hidden="true" customHeight="false" outlineLevel="0" collapsed="false">
      <c r="A17778" s="34" t="n">
        <v>40794065000170</v>
      </c>
      <c r="B17778" s="34" t="s">
        <v>32534</v>
      </c>
      <c r="C17778" s="34" t="s">
        <v>473</v>
      </c>
      <c r="E17778" s="30" t="s">
        <v>32535</v>
      </c>
      <c r="F17778" s="34" t="n">
        <f aca="false">IFERROR(VLOOKUP($A17778,'319'!$B:$H,7,0),0)</f>
        <v>0</v>
      </c>
      <c r="G17778" s="34" t="n">
        <f aca="false">SUMIFS('12.326ana'!$C:$C,'12.326ana'!$M:$M,redes!A17778)</f>
        <v>0</v>
      </c>
    </row>
    <row r="17779" customFormat="false" ht="14.4" hidden="true" customHeight="false" outlineLevel="0" collapsed="false">
      <c r="A17779" s="34" t="n">
        <v>40835930000180</v>
      </c>
      <c r="B17779" s="34" t="s">
        <v>32536</v>
      </c>
      <c r="C17779" s="34" t="s">
        <v>103</v>
      </c>
      <c r="E17779" s="30" t="s">
        <v>32537</v>
      </c>
      <c r="F17779" s="34" t="n">
        <f aca="false">IFERROR(VLOOKUP($A17779,'319'!$B:$H,7,0),0)</f>
        <v>0</v>
      </c>
      <c r="G17779" s="34" t="n">
        <f aca="false">SUMIFS('12.326ana'!$C:$C,'12.326ana'!$M:$M,redes!A17779)</f>
        <v>0</v>
      </c>
    </row>
    <row r="17780" customFormat="false" ht="14.4" hidden="true" customHeight="false" outlineLevel="0" collapsed="false">
      <c r="A17780" s="34" t="n">
        <v>40899992000155</v>
      </c>
      <c r="B17780" s="34" t="s">
        <v>32538</v>
      </c>
      <c r="C17780" s="34" t="s">
        <v>77</v>
      </c>
      <c r="E17780" s="30" t="s">
        <v>32539</v>
      </c>
      <c r="F17780" s="34" t="n">
        <f aca="false">IFERROR(VLOOKUP($A17780,'319'!$B:$H,7,0),0)</f>
        <v>-19.66</v>
      </c>
      <c r="G17780" s="34" t="n">
        <f aca="false">SUMIFS('12.326ana'!$C:$C,'12.326ana'!$M:$M,redes!A17780)</f>
        <v>0</v>
      </c>
    </row>
    <row r="17781" customFormat="false" ht="14.4" hidden="true" customHeight="false" outlineLevel="0" collapsed="false">
      <c r="A17781" s="34" t="n">
        <v>40900438000140</v>
      </c>
      <c r="B17781" s="34" t="s">
        <v>32540</v>
      </c>
      <c r="C17781" s="34" t="s">
        <v>89</v>
      </c>
      <c r="E17781" s="30" t="s">
        <v>32541</v>
      </c>
      <c r="F17781" s="34" t="n">
        <f aca="false">IFERROR(VLOOKUP($A17781,'319'!$B:$H,7,0),0)</f>
        <v>0</v>
      </c>
      <c r="G17781" s="34" t="n">
        <f aca="false">SUMIFS('12.326ana'!$C:$C,'12.326ana'!$M:$M,redes!A17781)</f>
        <v>0</v>
      </c>
    </row>
    <row r="17782" customFormat="false" ht="14.4" hidden="true" customHeight="false" outlineLevel="0" collapsed="false">
      <c r="A17782" s="34" t="n">
        <v>40906081000108</v>
      </c>
      <c r="B17782" s="34" t="s">
        <v>32542</v>
      </c>
      <c r="C17782" s="34" t="s">
        <v>77</v>
      </c>
      <c r="E17782" s="30" t="s">
        <v>32243</v>
      </c>
      <c r="F17782" s="34" t="n">
        <f aca="false">IFERROR(VLOOKUP($A17782,'319'!$B:$H,7,0),0)</f>
        <v>0</v>
      </c>
      <c r="G17782" s="34" t="n">
        <f aca="false">SUMIFS('12.326ana'!$C:$C,'12.326ana'!$M:$M,redes!A17782)</f>
        <v>0</v>
      </c>
    </row>
    <row r="17783" customFormat="false" ht="14.4" hidden="true" customHeight="false" outlineLevel="0" collapsed="false">
      <c r="A17783" s="34" t="n">
        <v>40911685000142</v>
      </c>
      <c r="B17783" s="34" t="s">
        <v>32543</v>
      </c>
      <c r="C17783" s="34" t="s">
        <v>77</v>
      </c>
      <c r="E17783" s="30" t="s">
        <v>32544</v>
      </c>
      <c r="F17783" s="34" t="n">
        <f aca="false">IFERROR(VLOOKUP($A17783,'319'!$B:$H,7,0),0)</f>
        <v>0</v>
      </c>
      <c r="G17783" s="34" t="n">
        <f aca="false">SUMIFS('12.326ana'!$C:$C,'12.326ana'!$M:$M,redes!A17783)</f>
        <v>0</v>
      </c>
    </row>
    <row r="17784" customFormat="false" ht="14.4" hidden="true" customHeight="false" outlineLevel="0" collapsed="false">
      <c r="A17784" s="34" t="n">
        <v>40940509000139</v>
      </c>
      <c r="B17784" s="34" t="s">
        <v>32545</v>
      </c>
      <c r="C17784" s="34" t="s">
        <v>77</v>
      </c>
      <c r="E17784" s="30" t="s">
        <v>32546</v>
      </c>
      <c r="F17784" s="34" t="n">
        <f aca="false">IFERROR(VLOOKUP($A17784,'319'!$B:$H,7,0),0)</f>
        <v>0</v>
      </c>
      <c r="G17784" s="34" t="n">
        <f aca="false">SUMIFS('12.326ana'!$C:$C,'12.326ana'!$M:$M,redes!A17784)</f>
        <v>0</v>
      </c>
    </row>
    <row r="17785" customFormat="false" ht="14.4" hidden="true" customHeight="false" outlineLevel="0" collapsed="false">
      <c r="A17785" s="34" t="n">
        <v>40965257000100</v>
      </c>
      <c r="B17785" s="34" t="s">
        <v>32547</v>
      </c>
      <c r="C17785" s="34" t="s">
        <v>1341</v>
      </c>
      <c r="E17785" s="30" t="s">
        <v>11877</v>
      </c>
      <c r="F17785" s="34" t="n">
        <f aca="false">IFERROR(VLOOKUP($A17785,'319'!$B:$H,7,0),0)</f>
        <v>0</v>
      </c>
      <c r="G17785" s="34" t="n">
        <f aca="false">SUMIFS('12.326ana'!$C:$C,'12.326ana'!$M:$M,redes!A17785)</f>
        <v>0</v>
      </c>
    </row>
    <row r="17786" customFormat="false" ht="14.4" hidden="true" customHeight="false" outlineLevel="0" collapsed="false">
      <c r="A17786" s="34" t="n">
        <v>41056493000169</v>
      </c>
      <c r="B17786" s="34" t="s">
        <v>32548</v>
      </c>
      <c r="C17786" s="34" t="s">
        <v>89</v>
      </c>
      <c r="E17786" s="30" t="s">
        <v>32548</v>
      </c>
      <c r="F17786" s="34" t="n">
        <f aca="false">IFERROR(VLOOKUP($A17786,'319'!$B:$H,7,0),0)</f>
        <v>0</v>
      </c>
      <c r="G17786" s="34" t="n">
        <f aca="false">SUMIFS('12.326ana'!$C:$C,'12.326ana'!$M:$M,redes!A17786)</f>
        <v>0</v>
      </c>
    </row>
    <row r="17787" customFormat="false" ht="14.4" hidden="true" customHeight="false" outlineLevel="0" collapsed="false">
      <c r="A17787" s="34" t="n">
        <v>41057723000104</v>
      </c>
      <c r="B17787" s="34" t="s">
        <v>32549</v>
      </c>
      <c r="C17787" s="34" t="s">
        <v>979</v>
      </c>
      <c r="E17787" s="30" t="s">
        <v>32550</v>
      </c>
      <c r="F17787" s="34" t="n">
        <f aca="false">IFERROR(VLOOKUP($A17787,'319'!$B:$H,7,0),0)</f>
        <v>1009.39</v>
      </c>
      <c r="G17787" s="34" t="n">
        <f aca="false">SUMIFS('12.326ana'!$C:$C,'12.326ana'!$M:$M,redes!A17787)</f>
        <v>0</v>
      </c>
    </row>
    <row r="17788" customFormat="false" ht="14.4" hidden="true" customHeight="false" outlineLevel="0" collapsed="false">
      <c r="A17788" s="34" t="n">
        <v>41062229000138</v>
      </c>
      <c r="B17788" s="34" t="s">
        <v>32551</v>
      </c>
      <c r="C17788" s="34" t="s">
        <v>77</v>
      </c>
      <c r="E17788" s="30" t="s">
        <v>32552</v>
      </c>
      <c r="F17788" s="34" t="n">
        <f aca="false">IFERROR(VLOOKUP($A17788,'319'!$B:$H,7,0),0)</f>
        <v>0</v>
      </c>
      <c r="G17788" s="34" t="n">
        <f aca="false">SUMIFS('12.326ana'!$C:$C,'12.326ana'!$M:$M,redes!A17788)</f>
        <v>0</v>
      </c>
    </row>
    <row r="17789" customFormat="false" ht="14.4" hidden="true" customHeight="false" outlineLevel="0" collapsed="false">
      <c r="A17789" s="34" t="n">
        <v>41067878000121</v>
      </c>
      <c r="B17789" s="34" t="s">
        <v>32553</v>
      </c>
      <c r="C17789" s="34" t="s">
        <v>994</v>
      </c>
      <c r="E17789" s="30" t="s">
        <v>32554</v>
      </c>
      <c r="F17789" s="34" t="n">
        <f aca="false">IFERROR(VLOOKUP($A17789,'319'!$B:$H,7,0),0)</f>
        <v>0</v>
      </c>
      <c r="G17789" s="34" t="n">
        <f aca="false">SUMIFS('12.326ana'!$C:$C,'12.326ana'!$M:$M,redes!A17789)</f>
        <v>0</v>
      </c>
    </row>
    <row r="17790" customFormat="false" ht="14.4" hidden="true" customHeight="false" outlineLevel="0" collapsed="false">
      <c r="A17790" s="34" t="n">
        <v>41085868000119</v>
      </c>
      <c r="B17790" s="34" t="s">
        <v>32555</v>
      </c>
      <c r="C17790" s="34" t="s">
        <v>299</v>
      </c>
      <c r="E17790" s="30" t="s">
        <v>16406</v>
      </c>
      <c r="F17790" s="34" t="n">
        <f aca="false">IFERROR(VLOOKUP($A17790,'319'!$B:$H,7,0),0)</f>
        <v>0</v>
      </c>
      <c r="G17790" s="34" t="n">
        <f aca="false">SUMIFS('12.326ana'!$C:$C,'12.326ana'!$M:$M,redes!A17790)</f>
        <v>0</v>
      </c>
    </row>
    <row r="17791" customFormat="false" ht="14.4" hidden="true" customHeight="false" outlineLevel="0" collapsed="false">
      <c r="A17791" s="34" t="n">
        <v>41090999000194</v>
      </c>
      <c r="B17791" s="34" t="s">
        <v>32556</v>
      </c>
      <c r="C17791" s="34" t="s">
        <v>139</v>
      </c>
      <c r="E17791" s="30" t="s">
        <v>32557</v>
      </c>
      <c r="F17791" s="34" t="n">
        <f aca="false">IFERROR(VLOOKUP($A17791,'319'!$B:$H,7,0),0)</f>
        <v>0</v>
      </c>
      <c r="G17791" s="34" t="n">
        <f aca="false">SUMIFS('12.326ana'!$C:$C,'12.326ana'!$M:$M,redes!A17791)</f>
        <v>0</v>
      </c>
    </row>
    <row r="17792" customFormat="false" ht="14.4" hidden="true" customHeight="false" outlineLevel="0" collapsed="false">
      <c r="A17792" s="34" t="n">
        <v>41095556000196</v>
      </c>
      <c r="B17792" s="34" t="s">
        <v>32558</v>
      </c>
      <c r="C17792" s="34" t="s">
        <v>77</v>
      </c>
      <c r="E17792" s="30" t="s">
        <v>32559</v>
      </c>
      <c r="F17792" s="34" t="n">
        <f aca="false">IFERROR(VLOOKUP($A17792,'319'!$B:$H,7,0),0)</f>
        <v>0</v>
      </c>
      <c r="G17792" s="34" t="n">
        <f aca="false">SUMIFS('12.326ana'!$C:$C,'12.326ana'!$M:$M,redes!A17792)</f>
        <v>0</v>
      </c>
    </row>
    <row r="17793" customFormat="false" ht="14.4" hidden="true" customHeight="false" outlineLevel="0" collapsed="false">
      <c r="A17793" s="34" t="n">
        <v>41109258000108</v>
      </c>
      <c r="B17793" s="34" t="s">
        <v>32560</v>
      </c>
      <c r="C17793" s="34" t="s">
        <v>77</v>
      </c>
      <c r="E17793" s="30" t="s">
        <v>32561</v>
      </c>
      <c r="F17793" s="34" t="n">
        <f aca="false">IFERROR(VLOOKUP($A17793,'319'!$B:$H,7,0),0)</f>
        <v>0</v>
      </c>
      <c r="G17793" s="34" t="n">
        <f aca="false">SUMIFS('12.326ana'!$C:$C,'12.326ana'!$M:$M,redes!A17793)</f>
        <v>0</v>
      </c>
    </row>
    <row r="17794" customFormat="false" ht="14.4" hidden="true" customHeight="false" outlineLevel="0" collapsed="false">
      <c r="A17794" s="34" t="n">
        <v>41112986000179</v>
      </c>
      <c r="B17794" s="34" t="s">
        <v>32562</v>
      </c>
      <c r="C17794" s="34" t="s">
        <v>77</v>
      </c>
      <c r="E17794" s="30" t="s">
        <v>30410</v>
      </c>
      <c r="F17794" s="34" t="n">
        <f aca="false">IFERROR(VLOOKUP($A17794,'319'!$B:$H,7,0),0)</f>
        <v>0</v>
      </c>
      <c r="G17794" s="34" t="n">
        <f aca="false">SUMIFS('12.326ana'!$C:$C,'12.326ana'!$M:$M,redes!A17794)</f>
        <v>0</v>
      </c>
    </row>
    <row r="17795" customFormat="false" ht="14.4" hidden="true" customHeight="false" outlineLevel="0" collapsed="false">
      <c r="A17795" s="34" t="n">
        <v>41132365000157</v>
      </c>
      <c r="B17795" s="34" t="s">
        <v>32563</v>
      </c>
      <c r="C17795" s="34" t="s">
        <v>77</v>
      </c>
      <c r="E17795" s="30" t="s">
        <v>32564</v>
      </c>
      <c r="F17795" s="34" t="n">
        <f aca="false">IFERROR(VLOOKUP($A17795,'319'!$B:$H,7,0),0)</f>
        <v>0</v>
      </c>
      <c r="G17795" s="34" t="n">
        <f aca="false">SUMIFS('12.326ana'!$C:$C,'12.326ana'!$M:$M,redes!A17795)</f>
        <v>0</v>
      </c>
    </row>
    <row r="17796" customFormat="false" ht="14.4" hidden="true" customHeight="false" outlineLevel="0" collapsed="false">
      <c r="A17796" s="34" t="n">
        <v>41157445000167</v>
      </c>
      <c r="B17796" s="34" t="s">
        <v>32565</v>
      </c>
      <c r="C17796" s="34" t="s">
        <v>77</v>
      </c>
      <c r="E17796" s="30" t="s">
        <v>32566</v>
      </c>
      <c r="F17796" s="34" t="n">
        <f aca="false">IFERROR(VLOOKUP($A17796,'319'!$B:$H,7,0),0)</f>
        <v>0</v>
      </c>
      <c r="G17796" s="34" t="n">
        <f aca="false">SUMIFS('12.326ana'!$C:$C,'12.326ana'!$M:$M,redes!A17796)</f>
        <v>0</v>
      </c>
    </row>
    <row r="17797" customFormat="false" ht="14.4" hidden="true" customHeight="false" outlineLevel="0" collapsed="false">
      <c r="A17797" s="34" t="n">
        <v>41163492000113</v>
      </c>
      <c r="B17797" s="34" t="s">
        <v>32567</v>
      </c>
      <c r="C17797" s="34" t="s">
        <v>77</v>
      </c>
      <c r="E17797" s="30" t="s">
        <v>32568</v>
      </c>
      <c r="F17797" s="34" t="n">
        <f aca="false">IFERROR(VLOOKUP($A17797,'319'!$B:$H,7,0),0)</f>
        <v>0</v>
      </c>
      <c r="G17797" s="34" t="n">
        <f aca="false">SUMIFS('12.326ana'!$C:$C,'12.326ana'!$M:$M,redes!A17797)</f>
        <v>0</v>
      </c>
    </row>
    <row r="17798" customFormat="false" ht="14.4" hidden="true" customHeight="false" outlineLevel="0" collapsed="false">
      <c r="A17798" s="34" t="n">
        <v>41193457000147</v>
      </c>
      <c r="B17798" s="34" t="s">
        <v>11764</v>
      </c>
      <c r="C17798" s="34" t="s">
        <v>77</v>
      </c>
      <c r="E17798" s="30" t="s">
        <v>32428</v>
      </c>
      <c r="F17798" s="34" t="n">
        <f aca="false">IFERROR(VLOOKUP($A17798,'319'!$B:$H,7,0),0)</f>
        <v>0</v>
      </c>
      <c r="G17798" s="34" t="n">
        <f aca="false">SUMIFS('12.326ana'!$C:$C,'12.326ana'!$M:$M,redes!A17798)</f>
        <v>0</v>
      </c>
    </row>
    <row r="17799" customFormat="false" ht="14.4" hidden="true" customHeight="false" outlineLevel="0" collapsed="false">
      <c r="A17799" s="34" t="n">
        <v>41230971000105</v>
      </c>
      <c r="B17799" s="34" t="s">
        <v>32569</v>
      </c>
      <c r="C17799" s="34" t="s">
        <v>77</v>
      </c>
      <c r="E17799" s="30" t="s">
        <v>32570</v>
      </c>
      <c r="F17799" s="34" t="n">
        <f aca="false">IFERROR(VLOOKUP($A17799,'319'!$B:$H,7,0),0)</f>
        <v>0</v>
      </c>
      <c r="G17799" s="34" t="n">
        <f aca="false">SUMIFS('12.326ana'!$C:$C,'12.326ana'!$M:$M,redes!A17799)</f>
        <v>0</v>
      </c>
    </row>
    <row r="17800" customFormat="false" ht="14.4" hidden="true" customHeight="false" outlineLevel="0" collapsed="false">
      <c r="A17800" s="34" t="n">
        <v>41248004000170</v>
      </c>
      <c r="B17800" s="34" t="s">
        <v>32571</v>
      </c>
      <c r="C17800" s="34" t="s">
        <v>77</v>
      </c>
      <c r="E17800" s="30" t="s">
        <v>32571</v>
      </c>
      <c r="F17800" s="34" t="n">
        <f aca="false">IFERROR(VLOOKUP($A17800,'319'!$B:$H,7,0),0)</f>
        <v>0</v>
      </c>
      <c r="G17800" s="34" t="n">
        <f aca="false">SUMIFS('12.326ana'!$C:$C,'12.326ana'!$M:$M,redes!A17800)</f>
        <v>0</v>
      </c>
    </row>
    <row r="17801" customFormat="false" ht="14.4" hidden="true" customHeight="false" outlineLevel="0" collapsed="false">
      <c r="A17801" s="34" t="n">
        <v>41266557000156</v>
      </c>
      <c r="B17801" s="34" t="s">
        <v>32572</v>
      </c>
      <c r="C17801" s="34" t="s">
        <v>107</v>
      </c>
      <c r="E17801" s="30" t="s">
        <v>32573</v>
      </c>
      <c r="F17801" s="34" t="n">
        <f aca="false">IFERROR(VLOOKUP($A17801,'319'!$B:$H,7,0),0)</f>
        <v>0</v>
      </c>
      <c r="G17801" s="34" t="n">
        <f aca="false">SUMIFS('12.326ana'!$C:$C,'12.326ana'!$M:$M,redes!A17801)</f>
        <v>0</v>
      </c>
    </row>
    <row r="17802" customFormat="false" ht="14.4" hidden="true" customHeight="false" outlineLevel="0" collapsed="false">
      <c r="A17802" s="34" t="n">
        <v>41285820000154</v>
      </c>
      <c r="B17802" s="34" t="s">
        <v>32574</v>
      </c>
      <c r="C17802" s="34" t="s">
        <v>77</v>
      </c>
      <c r="E17802" s="30" t="s">
        <v>32575</v>
      </c>
      <c r="F17802" s="34" t="n">
        <f aca="false">IFERROR(VLOOKUP($A17802,'319'!$B:$H,7,0),0)</f>
        <v>0</v>
      </c>
      <c r="G17802" s="34" t="n">
        <f aca="false">SUMIFS('12.326ana'!$C:$C,'12.326ana'!$M:$M,redes!A17802)</f>
        <v>0</v>
      </c>
    </row>
    <row r="17803" customFormat="false" ht="14.4" hidden="true" customHeight="false" outlineLevel="0" collapsed="false">
      <c r="A17803" s="34" t="n">
        <v>41298879000187</v>
      </c>
      <c r="B17803" s="34" t="s">
        <v>32576</v>
      </c>
      <c r="C17803" s="34" t="s">
        <v>107</v>
      </c>
      <c r="E17803" s="30" t="s">
        <v>14178</v>
      </c>
      <c r="F17803" s="34" t="n">
        <f aca="false">IFERROR(VLOOKUP($A17803,'319'!$B:$H,7,0),0)</f>
        <v>0</v>
      </c>
      <c r="G17803" s="34" t="n">
        <f aca="false">SUMIFS('12.326ana'!$C:$C,'12.326ana'!$M:$M,redes!A17803)</f>
        <v>0</v>
      </c>
    </row>
    <row r="17804" customFormat="false" ht="14.4" hidden="true" customHeight="false" outlineLevel="0" collapsed="false">
      <c r="A17804" s="34" t="n">
        <v>41299457000126</v>
      </c>
      <c r="B17804" s="34" t="s">
        <v>32577</v>
      </c>
      <c r="C17804" s="34" t="s">
        <v>103</v>
      </c>
      <c r="E17804" s="30" t="s">
        <v>32578</v>
      </c>
      <c r="F17804" s="34" t="n">
        <f aca="false">IFERROR(VLOOKUP($A17804,'319'!$B:$H,7,0),0)</f>
        <v>0</v>
      </c>
      <c r="G17804" s="34" t="n">
        <f aca="false">SUMIFS('12.326ana'!$C:$C,'12.326ana'!$M:$M,redes!A17804)</f>
        <v>0</v>
      </c>
    </row>
    <row r="17805" customFormat="false" ht="14.4" hidden="true" customHeight="false" outlineLevel="0" collapsed="false">
      <c r="A17805" s="34" t="n">
        <v>41309737000178</v>
      </c>
      <c r="B17805" s="34" t="s">
        <v>32579</v>
      </c>
      <c r="C17805" s="34" t="s">
        <v>706</v>
      </c>
      <c r="E17805" s="30" t="s">
        <v>24479</v>
      </c>
      <c r="F17805" s="34" t="n">
        <f aca="false">IFERROR(VLOOKUP($A17805,'319'!$B:$H,7,0),0)</f>
        <v>0</v>
      </c>
      <c r="G17805" s="34" t="n">
        <f aca="false">SUMIFS('12.326ana'!$C:$C,'12.326ana'!$M:$M,redes!A17805)</f>
        <v>0</v>
      </c>
    </row>
    <row r="17806" customFormat="false" ht="14.4" hidden="true" customHeight="false" outlineLevel="0" collapsed="false">
      <c r="A17806" s="34" t="n">
        <v>41321413000155</v>
      </c>
      <c r="B17806" s="34" t="s">
        <v>32580</v>
      </c>
      <c r="C17806" s="34" t="s">
        <v>77</v>
      </c>
      <c r="E17806" s="30" t="s">
        <v>32581</v>
      </c>
      <c r="F17806" s="34" t="n">
        <f aca="false">IFERROR(VLOOKUP($A17806,'319'!$B:$H,7,0),0)</f>
        <v>0</v>
      </c>
      <c r="G17806" s="34" t="n">
        <f aca="false">SUMIFS('12.326ana'!$C:$C,'12.326ana'!$M:$M,redes!A17806)</f>
        <v>0</v>
      </c>
    </row>
    <row r="17807" customFormat="false" ht="14.4" hidden="true" customHeight="false" outlineLevel="0" collapsed="false">
      <c r="A17807" s="34" t="n">
        <v>41324888000103</v>
      </c>
      <c r="B17807" s="34" t="s">
        <v>32582</v>
      </c>
      <c r="C17807" s="34" t="s">
        <v>631</v>
      </c>
      <c r="E17807" s="30" t="s">
        <v>32583</v>
      </c>
      <c r="F17807" s="34" t="n">
        <f aca="false">IFERROR(VLOOKUP($A17807,'319'!$B:$H,7,0),0)</f>
        <v>0</v>
      </c>
      <c r="G17807" s="34" t="n">
        <f aca="false">SUMIFS('12.326ana'!$C:$C,'12.326ana'!$M:$M,redes!A17807)</f>
        <v>0</v>
      </c>
    </row>
    <row r="17808" customFormat="false" ht="14.4" hidden="true" customHeight="false" outlineLevel="0" collapsed="false">
      <c r="A17808" s="34" t="n">
        <v>41335228000110</v>
      </c>
      <c r="B17808" s="34" t="s">
        <v>32584</v>
      </c>
      <c r="C17808" s="34" t="s">
        <v>77</v>
      </c>
      <c r="E17808" s="30" t="s">
        <v>32585</v>
      </c>
      <c r="F17808" s="34" t="n">
        <f aca="false">IFERROR(VLOOKUP($A17808,'319'!$B:$H,7,0),0)</f>
        <v>0</v>
      </c>
      <c r="G17808" s="34" t="n">
        <f aca="false">SUMIFS('12.326ana'!$C:$C,'12.326ana'!$M:$M,redes!A17808)</f>
        <v>0</v>
      </c>
    </row>
    <row r="17809" customFormat="false" ht="14.4" hidden="true" customHeight="false" outlineLevel="0" collapsed="false">
      <c r="A17809" s="34" t="n">
        <v>41351956000115</v>
      </c>
      <c r="B17809" s="34" t="s">
        <v>32586</v>
      </c>
      <c r="C17809" s="34" t="s">
        <v>77</v>
      </c>
      <c r="E17809" s="30" t="s">
        <v>32587</v>
      </c>
      <c r="F17809" s="34" t="n">
        <f aca="false">IFERROR(VLOOKUP($A17809,'319'!$B:$H,7,0),0)</f>
        <v>0</v>
      </c>
      <c r="G17809" s="34" t="n">
        <f aca="false">SUMIFS('12.326ana'!$C:$C,'12.326ana'!$M:$M,redes!A17809)</f>
        <v>0</v>
      </c>
    </row>
    <row r="17810" customFormat="false" ht="14.4" hidden="true" customHeight="false" outlineLevel="0" collapsed="false">
      <c r="A17810" s="34" t="n">
        <v>41363033000183</v>
      </c>
      <c r="B17810" s="34" t="s">
        <v>32588</v>
      </c>
      <c r="C17810" s="34" t="s">
        <v>77</v>
      </c>
      <c r="E17810" s="30" t="s">
        <v>17623</v>
      </c>
      <c r="F17810" s="34" t="n">
        <f aca="false">IFERROR(VLOOKUP($A17810,'319'!$B:$H,7,0),0)</f>
        <v>0</v>
      </c>
      <c r="G17810" s="34" t="n">
        <f aca="false">SUMIFS('12.326ana'!$C:$C,'12.326ana'!$M:$M,redes!A17810)</f>
        <v>0</v>
      </c>
    </row>
    <row r="17811" customFormat="false" ht="14.4" hidden="true" customHeight="false" outlineLevel="0" collapsed="false">
      <c r="A17811" s="34" t="n">
        <v>41363122000120</v>
      </c>
      <c r="B17811" s="34" t="s">
        <v>32589</v>
      </c>
      <c r="C17811" s="34" t="s">
        <v>77</v>
      </c>
      <c r="E17811" s="30" t="s">
        <v>27714</v>
      </c>
      <c r="F17811" s="34" t="n">
        <f aca="false">IFERROR(VLOOKUP($A17811,'319'!$B:$H,7,0),0)</f>
        <v>0</v>
      </c>
      <c r="G17811" s="34" t="n">
        <f aca="false">SUMIFS('12.326ana'!$C:$C,'12.326ana'!$M:$M,redes!A17811)</f>
        <v>0</v>
      </c>
    </row>
    <row r="17812" customFormat="false" ht="14.4" hidden="true" customHeight="false" outlineLevel="0" collapsed="false">
      <c r="A17812" s="34" t="n">
        <v>41376676000161</v>
      </c>
      <c r="B17812" s="34" t="s">
        <v>32590</v>
      </c>
      <c r="C17812" s="34" t="s">
        <v>107</v>
      </c>
      <c r="E17812" s="30" t="s">
        <v>32591</v>
      </c>
      <c r="F17812" s="34" t="n">
        <f aca="false">IFERROR(VLOOKUP($A17812,'319'!$B:$H,7,0),0)</f>
        <v>0</v>
      </c>
      <c r="G17812" s="34" t="n">
        <f aca="false">SUMIFS('12.326ana'!$C:$C,'12.326ana'!$M:$M,redes!A17812)</f>
        <v>0</v>
      </c>
    </row>
    <row r="17813" customFormat="false" ht="14.4" hidden="true" customHeight="false" outlineLevel="0" collapsed="false">
      <c r="A17813" s="34" t="n">
        <v>41388874000145</v>
      </c>
      <c r="B17813" s="34" t="s">
        <v>32592</v>
      </c>
      <c r="C17813" s="34" t="s">
        <v>77</v>
      </c>
      <c r="E17813" s="30" t="s">
        <v>32593</v>
      </c>
      <c r="F17813" s="34" t="n">
        <f aca="false">IFERROR(VLOOKUP($A17813,'319'!$B:$H,7,0),0)</f>
        <v>0</v>
      </c>
      <c r="G17813" s="34" t="n">
        <f aca="false">SUMIFS('12.326ana'!$C:$C,'12.326ana'!$M:$M,redes!A17813)</f>
        <v>0</v>
      </c>
    </row>
    <row r="17814" customFormat="false" ht="14.4" hidden="true" customHeight="false" outlineLevel="0" collapsed="false">
      <c r="A17814" s="34" t="n">
        <v>41388980000129</v>
      </c>
      <c r="B17814" s="34" t="s">
        <v>32594</v>
      </c>
      <c r="C17814" s="34" t="s">
        <v>77</v>
      </c>
      <c r="E17814" s="30" t="s">
        <v>32595</v>
      </c>
      <c r="F17814" s="34" t="n">
        <f aca="false">IFERROR(VLOOKUP($A17814,'319'!$B:$H,7,0),0)</f>
        <v>156.42</v>
      </c>
      <c r="G17814" s="34" t="n">
        <f aca="false">SUMIFS('12.326ana'!$C:$C,'12.326ana'!$M:$M,redes!A17814)</f>
        <v>0</v>
      </c>
    </row>
    <row r="17815" customFormat="false" ht="14.4" hidden="true" customHeight="false" outlineLevel="0" collapsed="false">
      <c r="A17815" s="34" t="n">
        <v>41398043000154</v>
      </c>
      <c r="B17815" s="34" t="s">
        <v>32596</v>
      </c>
      <c r="C17815" s="34" t="s">
        <v>103</v>
      </c>
      <c r="E17815" s="30" t="s">
        <v>32597</v>
      </c>
      <c r="F17815" s="34" t="n">
        <f aca="false">IFERROR(VLOOKUP($A17815,'319'!$B:$H,7,0),0)</f>
        <v>0</v>
      </c>
      <c r="G17815" s="34" t="n">
        <f aca="false">SUMIFS('12.326ana'!$C:$C,'12.326ana'!$M:$M,redes!A17815)</f>
        <v>0</v>
      </c>
    </row>
    <row r="17816" customFormat="false" ht="14.4" hidden="true" customHeight="false" outlineLevel="0" collapsed="false">
      <c r="A17816" s="34" t="n">
        <v>41435943000124</v>
      </c>
      <c r="B17816" s="34" t="s">
        <v>1362</v>
      </c>
      <c r="C17816" s="34" t="s">
        <v>77</v>
      </c>
      <c r="E17816" s="30" t="s">
        <v>10914</v>
      </c>
      <c r="F17816" s="34" t="n">
        <f aca="false">IFERROR(VLOOKUP($A17816,'319'!$B:$H,7,0),0)</f>
        <v>250.33</v>
      </c>
      <c r="G17816" s="34" t="n">
        <f aca="false">SUMIFS('12.326ana'!$C:$C,'12.326ana'!$M:$M,redes!A17816)</f>
        <v>0</v>
      </c>
    </row>
    <row r="17817" customFormat="false" ht="14.4" hidden="true" customHeight="false" outlineLevel="0" collapsed="false">
      <c r="A17817" s="34" t="n">
        <v>41472031000122</v>
      </c>
      <c r="B17817" s="34" t="s">
        <v>32598</v>
      </c>
      <c r="C17817" s="34" t="s">
        <v>77</v>
      </c>
      <c r="E17817" s="30" t="s">
        <v>32599</v>
      </c>
      <c r="F17817" s="34" t="n">
        <f aca="false">IFERROR(VLOOKUP($A17817,'319'!$B:$H,7,0),0)</f>
        <v>0</v>
      </c>
      <c r="G17817" s="34" t="n">
        <f aca="false">SUMIFS('12.326ana'!$C:$C,'12.326ana'!$M:$M,redes!A17817)</f>
        <v>0</v>
      </c>
    </row>
    <row r="17818" customFormat="false" ht="14.4" hidden="true" customHeight="false" outlineLevel="0" collapsed="false">
      <c r="A17818" s="34" t="n">
        <v>41500866000149</v>
      </c>
      <c r="B17818" s="34" t="s">
        <v>32600</v>
      </c>
      <c r="C17818" s="34" t="s">
        <v>139</v>
      </c>
      <c r="E17818" s="30" t="s">
        <v>32601</v>
      </c>
      <c r="F17818" s="34" t="n">
        <f aca="false">IFERROR(VLOOKUP($A17818,'319'!$B:$H,7,0),0)</f>
        <v>0</v>
      </c>
      <c r="G17818" s="34" t="n">
        <f aca="false">SUMIFS('12.326ana'!$C:$C,'12.326ana'!$M:$M,redes!A17818)</f>
        <v>0</v>
      </c>
    </row>
    <row r="17819" customFormat="false" ht="14.4" hidden="true" customHeight="false" outlineLevel="0" collapsed="false">
      <c r="A17819" s="34" t="n">
        <v>41546478000107</v>
      </c>
      <c r="B17819" s="34" t="s">
        <v>32602</v>
      </c>
      <c r="C17819" s="34" t="s">
        <v>77</v>
      </c>
      <c r="E17819" s="30" t="s">
        <v>32602</v>
      </c>
      <c r="F17819" s="34" t="n">
        <f aca="false">IFERROR(VLOOKUP($A17819,'319'!$B:$H,7,0),0)</f>
        <v>0</v>
      </c>
      <c r="G17819" s="34" t="n">
        <f aca="false">SUMIFS('12.326ana'!$C:$C,'12.326ana'!$M:$M,redes!A17819)</f>
        <v>0</v>
      </c>
    </row>
    <row r="17820" customFormat="false" ht="14.4" hidden="true" customHeight="false" outlineLevel="0" collapsed="false">
      <c r="A17820" s="34" t="n">
        <v>41560866000134</v>
      </c>
      <c r="B17820" s="34" t="s">
        <v>32603</v>
      </c>
      <c r="C17820" s="34" t="s">
        <v>77</v>
      </c>
      <c r="E17820" s="30" t="s">
        <v>32604</v>
      </c>
      <c r="F17820" s="34" t="n">
        <f aca="false">IFERROR(VLOOKUP($A17820,'319'!$B:$H,7,0),0)</f>
        <v>0</v>
      </c>
      <c r="G17820" s="34" t="n">
        <f aca="false">SUMIFS('12.326ana'!$C:$C,'12.326ana'!$M:$M,redes!A17820)</f>
        <v>0</v>
      </c>
    </row>
    <row r="17821" customFormat="false" ht="14.4" hidden="true" customHeight="false" outlineLevel="0" collapsed="false">
      <c r="A17821" s="34" t="n">
        <v>41562482000150</v>
      </c>
      <c r="B17821" s="34" t="s">
        <v>32605</v>
      </c>
      <c r="C17821" s="34" t="s">
        <v>77</v>
      </c>
      <c r="E17821" s="30" t="s">
        <v>5206</v>
      </c>
      <c r="F17821" s="34" t="n">
        <f aca="false">IFERROR(VLOOKUP($A17821,'319'!$B:$H,7,0),0)</f>
        <v>0</v>
      </c>
      <c r="G17821" s="34" t="n">
        <f aca="false">SUMIFS('12.326ana'!$C:$C,'12.326ana'!$M:$M,redes!A17821)</f>
        <v>0</v>
      </c>
    </row>
    <row r="17822" customFormat="false" ht="14.4" hidden="true" customHeight="false" outlineLevel="0" collapsed="false">
      <c r="A17822" s="34" t="n">
        <v>41567070000103</v>
      </c>
      <c r="B17822" s="34" t="s">
        <v>32606</v>
      </c>
      <c r="C17822" s="34" t="s">
        <v>309</v>
      </c>
      <c r="E17822" s="30" t="s">
        <v>26403</v>
      </c>
      <c r="F17822" s="34" t="n">
        <f aca="false">IFERROR(VLOOKUP($A17822,'319'!$B:$H,7,0),0)</f>
        <v>0</v>
      </c>
      <c r="G17822" s="34" t="n">
        <f aca="false">SUMIFS('12.326ana'!$C:$C,'12.326ana'!$M:$M,redes!A17822)</f>
        <v>0</v>
      </c>
    </row>
    <row r="17823" customFormat="false" ht="14.4" hidden="true" customHeight="false" outlineLevel="0" collapsed="false">
      <c r="A17823" s="34" t="n">
        <v>41580516000130</v>
      </c>
      <c r="B17823" s="34" t="s">
        <v>32607</v>
      </c>
      <c r="C17823" s="34" t="s">
        <v>478</v>
      </c>
      <c r="E17823" s="30" t="s">
        <v>32608</v>
      </c>
      <c r="F17823" s="34" t="n">
        <f aca="false">IFERROR(VLOOKUP($A17823,'319'!$B:$H,7,0),0)</f>
        <v>0</v>
      </c>
      <c r="G17823" s="34" t="n">
        <f aca="false">SUMIFS('12.326ana'!$C:$C,'12.326ana'!$M:$M,redes!A17823)</f>
        <v>0</v>
      </c>
    </row>
    <row r="17824" customFormat="false" ht="14.4" hidden="true" customHeight="false" outlineLevel="0" collapsed="false">
      <c r="A17824" s="34" t="n">
        <v>41594697000153</v>
      </c>
      <c r="B17824" s="34" t="s">
        <v>32609</v>
      </c>
      <c r="C17824" s="34" t="s">
        <v>77</v>
      </c>
      <c r="E17824" s="30" t="s">
        <v>32610</v>
      </c>
      <c r="F17824" s="34" t="n">
        <f aca="false">IFERROR(VLOOKUP($A17824,'319'!$B:$H,7,0),0)</f>
        <v>0</v>
      </c>
      <c r="G17824" s="34" t="n">
        <f aca="false">SUMIFS('12.326ana'!$C:$C,'12.326ana'!$M:$M,redes!A17824)</f>
        <v>0</v>
      </c>
    </row>
    <row r="17825" customFormat="false" ht="14.4" hidden="true" customHeight="false" outlineLevel="0" collapsed="false">
      <c r="A17825" s="34" t="n">
        <v>41595263000178</v>
      </c>
      <c r="B17825" s="34" t="s">
        <v>32611</v>
      </c>
      <c r="C17825" s="34" t="s">
        <v>744</v>
      </c>
      <c r="E17825" s="30" t="s">
        <v>32612</v>
      </c>
      <c r="F17825" s="34" t="n">
        <f aca="false">IFERROR(VLOOKUP($A17825,'319'!$B:$H,7,0),0)</f>
        <v>1027.94</v>
      </c>
      <c r="G17825" s="34" t="n">
        <f aca="false">SUMIFS('12.326ana'!$C:$C,'12.326ana'!$M:$M,redes!A17825)</f>
        <v>0</v>
      </c>
    </row>
    <row r="17826" customFormat="false" ht="14.4" hidden="true" customHeight="false" outlineLevel="0" collapsed="false">
      <c r="A17826" s="34" t="n">
        <v>41598198000134</v>
      </c>
      <c r="B17826" s="34" t="s">
        <v>32613</v>
      </c>
      <c r="C17826" s="34" t="s">
        <v>77</v>
      </c>
      <c r="E17826" s="30" t="s">
        <v>26893</v>
      </c>
      <c r="F17826" s="34" t="n">
        <f aca="false">IFERROR(VLOOKUP($A17826,'319'!$B:$H,7,0),0)</f>
        <v>0</v>
      </c>
      <c r="G17826" s="34" t="n">
        <f aca="false">SUMIFS('12.326ana'!$C:$C,'12.326ana'!$M:$M,redes!A17826)</f>
        <v>0</v>
      </c>
    </row>
    <row r="17827" customFormat="false" ht="14.4" hidden="true" customHeight="false" outlineLevel="0" collapsed="false">
      <c r="A17827" s="34" t="n">
        <v>41598995000111</v>
      </c>
      <c r="B17827" s="34" t="s">
        <v>32614</v>
      </c>
      <c r="C17827" s="34" t="s">
        <v>107</v>
      </c>
      <c r="E17827" s="30" t="s">
        <v>9848</v>
      </c>
      <c r="F17827" s="34" t="n">
        <f aca="false">IFERROR(VLOOKUP($A17827,'319'!$B:$H,7,0),0)</f>
        <v>0</v>
      </c>
      <c r="G17827" s="34" t="n">
        <f aca="false">SUMIFS('12.326ana'!$C:$C,'12.326ana'!$M:$M,redes!A17827)</f>
        <v>0</v>
      </c>
    </row>
    <row r="17828" customFormat="false" ht="14.4" hidden="true" customHeight="false" outlineLevel="0" collapsed="false">
      <c r="A17828" s="34" t="n">
        <v>41605878000138</v>
      </c>
      <c r="B17828" s="34" t="s">
        <v>32615</v>
      </c>
      <c r="C17828" s="34" t="s">
        <v>77</v>
      </c>
      <c r="E17828" s="30" t="s">
        <v>32616</v>
      </c>
      <c r="F17828" s="34" t="n">
        <f aca="false">IFERROR(VLOOKUP($A17828,'319'!$B:$H,7,0),0)</f>
        <v>0</v>
      </c>
      <c r="G17828" s="34" t="n">
        <f aca="false">SUMIFS('12.326ana'!$C:$C,'12.326ana'!$M:$M,redes!A17828)</f>
        <v>0</v>
      </c>
    </row>
    <row r="17829" customFormat="false" ht="14.4" hidden="true" customHeight="false" outlineLevel="0" collapsed="false">
      <c r="A17829" s="34" t="n">
        <v>41637395000115</v>
      </c>
      <c r="B17829" s="34" t="s">
        <v>32617</v>
      </c>
      <c r="C17829" s="34" t="s">
        <v>77</v>
      </c>
      <c r="E17829" s="30" t="s">
        <v>32618</v>
      </c>
      <c r="F17829" s="34" t="n">
        <f aca="false">IFERROR(VLOOKUP($A17829,'319'!$B:$H,7,0),0)</f>
        <v>0</v>
      </c>
      <c r="G17829" s="34" t="n">
        <f aca="false">SUMIFS('12.326ana'!$C:$C,'12.326ana'!$M:$M,redes!A17829)</f>
        <v>0</v>
      </c>
    </row>
    <row r="17830" customFormat="false" ht="14.4" hidden="true" customHeight="false" outlineLevel="0" collapsed="false">
      <c r="A17830" s="34" t="n">
        <v>41663415000122</v>
      </c>
      <c r="B17830" s="34" t="s">
        <v>32619</v>
      </c>
      <c r="C17830" s="34" t="s">
        <v>631</v>
      </c>
      <c r="E17830" s="30" t="s">
        <v>32619</v>
      </c>
      <c r="F17830" s="34" t="n">
        <f aca="false">IFERROR(VLOOKUP($A17830,'319'!$B:$H,7,0),0)</f>
        <v>0</v>
      </c>
      <c r="G17830" s="34" t="n">
        <f aca="false">SUMIFS('12.326ana'!$C:$C,'12.326ana'!$M:$M,redes!A17830)</f>
        <v>0</v>
      </c>
    </row>
    <row r="17831" customFormat="false" ht="14.4" hidden="true" customHeight="false" outlineLevel="0" collapsed="false">
      <c r="A17831" s="34" t="n">
        <v>41667796000118</v>
      </c>
      <c r="B17831" s="34" t="s">
        <v>32620</v>
      </c>
      <c r="C17831" s="34" t="s">
        <v>107</v>
      </c>
      <c r="E17831" s="30" t="s">
        <v>4338</v>
      </c>
      <c r="F17831" s="34" t="n">
        <f aca="false">IFERROR(VLOOKUP($A17831,'319'!$B:$H,7,0),0)</f>
        <v>0</v>
      </c>
      <c r="G17831" s="34" t="n">
        <f aca="false">SUMIFS('12.326ana'!$C:$C,'12.326ana'!$M:$M,redes!A17831)</f>
        <v>0</v>
      </c>
    </row>
    <row r="17832" customFormat="false" ht="14.4" hidden="true" customHeight="false" outlineLevel="0" collapsed="false">
      <c r="A17832" s="34" t="n">
        <v>41683932000163</v>
      </c>
      <c r="B17832" s="34" t="s">
        <v>32621</v>
      </c>
      <c r="C17832" s="34" t="s">
        <v>357</v>
      </c>
      <c r="E17832" s="30" t="s">
        <v>32622</v>
      </c>
      <c r="F17832" s="34" t="n">
        <f aca="false">IFERROR(VLOOKUP($A17832,'319'!$B:$H,7,0),0)</f>
        <v>0</v>
      </c>
      <c r="G17832" s="34" t="n">
        <f aca="false">SUMIFS('12.326ana'!$C:$C,'12.326ana'!$M:$M,redes!A17832)</f>
        <v>0</v>
      </c>
    </row>
    <row r="17833" customFormat="false" ht="14.4" hidden="true" customHeight="false" outlineLevel="0" collapsed="false">
      <c r="A17833" s="34" t="n">
        <v>41685806000148</v>
      </c>
      <c r="B17833" s="34" t="s">
        <v>32623</v>
      </c>
      <c r="C17833" s="34" t="s">
        <v>77</v>
      </c>
      <c r="E17833" s="30" t="s">
        <v>26283</v>
      </c>
      <c r="F17833" s="34" t="n">
        <f aca="false">IFERROR(VLOOKUP($A17833,'319'!$B:$H,7,0),0)</f>
        <v>0</v>
      </c>
      <c r="G17833" s="34" t="n">
        <f aca="false">SUMIFS('12.326ana'!$C:$C,'12.326ana'!$M:$M,redes!A17833)</f>
        <v>0</v>
      </c>
    </row>
    <row r="17834" customFormat="false" ht="14.4" hidden="true" customHeight="false" outlineLevel="0" collapsed="false">
      <c r="A17834" s="34" t="n">
        <v>41686004000152</v>
      </c>
      <c r="B17834" s="34" t="s">
        <v>32624</v>
      </c>
      <c r="C17834" s="34" t="s">
        <v>197</v>
      </c>
      <c r="E17834" s="30" t="s">
        <v>21125</v>
      </c>
      <c r="F17834" s="34" t="n">
        <f aca="false">IFERROR(VLOOKUP($A17834,'319'!$B:$H,7,0),0)</f>
        <v>0</v>
      </c>
      <c r="G17834" s="34" t="n">
        <f aca="false">SUMIFS('12.326ana'!$C:$C,'12.326ana'!$M:$M,redes!A17834)</f>
        <v>0</v>
      </c>
    </row>
    <row r="17835" customFormat="false" ht="14.4" hidden="true" customHeight="false" outlineLevel="0" collapsed="false">
      <c r="A17835" s="34" t="n">
        <v>41692836000181</v>
      </c>
      <c r="B17835" s="34" t="s">
        <v>32625</v>
      </c>
      <c r="C17835" s="34" t="s">
        <v>107</v>
      </c>
      <c r="E17835" s="30" t="s">
        <v>32625</v>
      </c>
      <c r="F17835" s="34" t="n">
        <f aca="false">IFERROR(VLOOKUP($A17835,'319'!$B:$H,7,0),0)</f>
        <v>0</v>
      </c>
      <c r="G17835" s="34" t="n">
        <f aca="false">SUMIFS('12.326ana'!$C:$C,'12.326ana'!$M:$M,redes!A17835)</f>
        <v>0</v>
      </c>
    </row>
    <row r="17836" customFormat="false" ht="14.4" hidden="true" customHeight="false" outlineLevel="0" collapsed="false">
      <c r="A17836" s="34" t="n">
        <v>41698350000150</v>
      </c>
      <c r="B17836" s="34" t="s">
        <v>32626</v>
      </c>
      <c r="C17836" s="34" t="s">
        <v>309</v>
      </c>
      <c r="E17836" s="30" t="s">
        <v>32627</v>
      </c>
      <c r="F17836" s="34" t="n">
        <f aca="false">IFERROR(VLOOKUP($A17836,'319'!$B:$H,7,0),0)</f>
        <v>0</v>
      </c>
      <c r="G17836" s="34" t="n">
        <f aca="false">SUMIFS('12.326ana'!$C:$C,'12.326ana'!$M:$M,redes!A17836)</f>
        <v>0</v>
      </c>
    </row>
    <row r="17837" customFormat="false" ht="14.4" hidden="true" customHeight="false" outlineLevel="0" collapsed="false">
      <c r="A17837" s="34" t="n">
        <v>41699501000195</v>
      </c>
      <c r="B17837" s="34" t="s">
        <v>32628</v>
      </c>
      <c r="C17837" s="34" t="s">
        <v>89</v>
      </c>
      <c r="E17837" s="30" t="s">
        <v>31056</v>
      </c>
      <c r="F17837" s="34" t="n">
        <f aca="false">IFERROR(VLOOKUP($A17837,'319'!$B:$H,7,0),0)</f>
        <v>0</v>
      </c>
      <c r="G17837" s="34" t="n">
        <f aca="false">SUMIFS('12.326ana'!$C:$C,'12.326ana'!$M:$M,redes!A17837)</f>
        <v>0</v>
      </c>
    </row>
    <row r="17838" customFormat="false" ht="14.4" hidden="true" customHeight="false" outlineLevel="0" collapsed="false">
      <c r="A17838" s="34" t="n">
        <v>41704273000102</v>
      </c>
      <c r="B17838" s="34" t="s">
        <v>32629</v>
      </c>
      <c r="C17838" s="34" t="s">
        <v>77</v>
      </c>
      <c r="E17838" s="30" t="s">
        <v>32630</v>
      </c>
      <c r="F17838" s="34" t="n">
        <f aca="false">IFERROR(VLOOKUP($A17838,'319'!$B:$H,7,0),0)</f>
        <v>0</v>
      </c>
      <c r="G17838" s="34" t="n">
        <f aca="false">SUMIFS('12.326ana'!$C:$C,'12.326ana'!$M:$M,redes!A17838)</f>
        <v>0</v>
      </c>
    </row>
    <row r="17839" customFormat="false" ht="14.4" hidden="true" customHeight="false" outlineLevel="0" collapsed="false">
      <c r="A17839" s="34" t="n">
        <v>41707792000116</v>
      </c>
      <c r="B17839" s="34" t="s">
        <v>32631</v>
      </c>
      <c r="C17839" s="34" t="s">
        <v>77</v>
      </c>
      <c r="E17839" s="30" t="s">
        <v>5709</v>
      </c>
      <c r="F17839" s="34" t="n">
        <f aca="false">IFERROR(VLOOKUP($A17839,'319'!$B:$H,7,0),0)</f>
        <v>0</v>
      </c>
      <c r="G17839" s="34" t="n">
        <f aca="false">SUMIFS('12.326ana'!$C:$C,'12.326ana'!$M:$M,redes!A17839)</f>
        <v>0</v>
      </c>
    </row>
    <row r="17840" customFormat="false" ht="14.4" hidden="true" customHeight="false" outlineLevel="0" collapsed="false">
      <c r="A17840" s="34" t="n">
        <v>41709236000189</v>
      </c>
      <c r="B17840" s="34" t="s">
        <v>32632</v>
      </c>
      <c r="C17840" s="34" t="s">
        <v>77</v>
      </c>
      <c r="E17840" s="30" t="s">
        <v>32633</v>
      </c>
      <c r="F17840" s="34" t="n">
        <f aca="false">IFERROR(VLOOKUP($A17840,'319'!$B:$H,7,0),0)</f>
        <v>0</v>
      </c>
      <c r="G17840" s="34" t="n">
        <f aca="false">SUMIFS('12.326ana'!$C:$C,'12.326ana'!$M:$M,redes!A17840)</f>
        <v>0</v>
      </c>
    </row>
    <row r="17841" customFormat="false" ht="14.4" hidden="true" customHeight="false" outlineLevel="0" collapsed="false">
      <c r="A17841" s="34" t="n">
        <v>41711541000105</v>
      </c>
      <c r="B17841" s="34" t="s">
        <v>32634</v>
      </c>
      <c r="C17841" s="34" t="s">
        <v>478</v>
      </c>
      <c r="E17841" s="30" t="s">
        <v>3927</v>
      </c>
      <c r="F17841" s="34" t="n">
        <f aca="false">IFERROR(VLOOKUP($A17841,'319'!$B:$H,7,0),0)</f>
        <v>0</v>
      </c>
      <c r="G17841" s="34" t="n">
        <f aca="false">SUMIFS('12.326ana'!$C:$C,'12.326ana'!$M:$M,redes!A17841)</f>
        <v>0</v>
      </c>
    </row>
    <row r="17842" customFormat="false" ht="14.4" hidden="true" customHeight="false" outlineLevel="0" collapsed="false">
      <c r="A17842" s="34" t="n">
        <v>41724341000197</v>
      </c>
      <c r="B17842" s="34" t="s">
        <v>32635</v>
      </c>
      <c r="C17842" s="34" t="s">
        <v>77</v>
      </c>
      <c r="E17842" s="30" t="s">
        <v>32636</v>
      </c>
      <c r="F17842" s="34" t="n">
        <f aca="false">IFERROR(VLOOKUP($A17842,'319'!$B:$H,7,0),0)</f>
        <v>0</v>
      </c>
      <c r="G17842" s="34" t="n">
        <f aca="false">SUMIFS('12.326ana'!$C:$C,'12.326ana'!$M:$M,redes!A17842)</f>
        <v>0</v>
      </c>
    </row>
    <row r="17843" customFormat="false" ht="14.4" hidden="true" customHeight="false" outlineLevel="0" collapsed="false">
      <c r="A17843" s="34" t="n">
        <v>41750323000180</v>
      </c>
      <c r="B17843" s="34" t="s">
        <v>32637</v>
      </c>
      <c r="C17843" s="34" t="s">
        <v>77</v>
      </c>
      <c r="E17843" s="30" t="s">
        <v>32638</v>
      </c>
      <c r="F17843" s="34" t="n">
        <f aca="false">IFERROR(VLOOKUP($A17843,'319'!$B:$H,7,0),0)</f>
        <v>0</v>
      </c>
      <c r="G17843" s="34" t="n">
        <f aca="false">SUMIFS('12.326ana'!$C:$C,'12.326ana'!$M:$M,redes!A17843)</f>
        <v>0</v>
      </c>
    </row>
    <row r="17844" customFormat="false" ht="14.4" hidden="true" customHeight="false" outlineLevel="0" collapsed="false">
      <c r="A17844" s="34" t="n">
        <v>41756395000134</v>
      </c>
      <c r="B17844" s="34" t="s">
        <v>32639</v>
      </c>
      <c r="C17844" s="34" t="s">
        <v>1272</v>
      </c>
      <c r="E17844" s="30" t="s">
        <v>27582</v>
      </c>
      <c r="F17844" s="34" t="n">
        <f aca="false">IFERROR(VLOOKUP($A17844,'319'!$B:$H,7,0),0)</f>
        <v>0</v>
      </c>
      <c r="G17844" s="34" t="n">
        <f aca="false">SUMIFS('12.326ana'!$C:$C,'12.326ana'!$M:$M,redes!A17844)</f>
        <v>0</v>
      </c>
    </row>
    <row r="17845" customFormat="false" ht="14.4" hidden="true" customHeight="false" outlineLevel="0" collapsed="false">
      <c r="A17845" s="34" t="n">
        <v>41763333000150</v>
      </c>
      <c r="B17845" s="34" t="s">
        <v>32640</v>
      </c>
      <c r="C17845" s="34" t="s">
        <v>77</v>
      </c>
      <c r="E17845" s="30" t="s">
        <v>32641</v>
      </c>
      <c r="F17845" s="34" t="n">
        <f aca="false">IFERROR(VLOOKUP($A17845,'319'!$B:$H,7,0),0)</f>
        <v>0</v>
      </c>
      <c r="G17845" s="34" t="n">
        <f aca="false">SUMIFS('12.326ana'!$C:$C,'12.326ana'!$M:$M,redes!A17845)</f>
        <v>0</v>
      </c>
    </row>
    <row r="17846" customFormat="false" ht="14.4" hidden="true" customHeight="false" outlineLevel="0" collapsed="false">
      <c r="A17846" s="34" t="n">
        <v>41771264000126</v>
      </c>
      <c r="B17846" s="34" t="s">
        <v>32642</v>
      </c>
      <c r="C17846" s="34" t="s">
        <v>77</v>
      </c>
      <c r="E17846" s="30" t="s">
        <v>32642</v>
      </c>
      <c r="F17846" s="34" t="n">
        <f aca="false">IFERROR(VLOOKUP($A17846,'319'!$B:$H,7,0),0)</f>
        <v>0</v>
      </c>
      <c r="G17846" s="34" t="n">
        <f aca="false">SUMIFS('12.326ana'!$C:$C,'12.326ana'!$M:$M,redes!A17846)</f>
        <v>0</v>
      </c>
    </row>
    <row r="17847" customFormat="false" ht="14.4" hidden="true" customHeight="false" outlineLevel="0" collapsed="false">
      <c r="A17847" s="34" t="n">
        <v>41781267000140</v>
      </c>
      <c r="B17847" s="34" t="s">
        <v>32643</v>
      </c>
      <c r="C17847" s="34" t="s">
        <v>77</v>
      </c>
      <c r="E17847" s="30" t="s">
        <v>32643</v>
      </c>
      <c r="F17847" s="34" t="n">
        <f aca="false">IFERROR(VLOOKUP($A17847,'319'!$B:$H,7,0),0)</f>
        <v>0</v>
      </c>
      <c r="G17847" s="34" t="n">
        <f aca="false">SUMIFS('12.326ana'!$C:$C,'12.326ana'!$M:$M,redes!A17847)</f>
        <v>0</v>
      </c>
    </row>
    <row r="17848" customFormat="false" ht="14.4" hidden="true" customHeight="false" outlineLevel="0" collapsed="false">
      <c r="A17848" s="34" t="n">
        <v>41788234000122</v>
      </c>
      <c r="B17848" s="34" t="s">
        <v>32644</v>
      </c>
      <c r="C17848" s="34" t="s">
        <v>89</v>
      </c>
      <c r="E17848" s="30" t="s">
        <v>32645</v>
      </c>
      <c r="F17848" s="34" t="n">
        <f aca="false">IFERROR(VLOOKUP($A17848,'319'!$B:$H,7,0),0)</f>
        <v>2412.84</v>
      </c>
      <c r="G17848" s="34" t="n">
        <f aca="false">SUMIFS('12.326ana'!$C:$C,'12.326ana'!$M:$M,redes!A17848)</f>
        <v>0</v>
      </c>
    </row>
    <row r="17849" customFormat="false" ht="14.4" hidden="true" customHeight="false" outlineLevel="0" collapsed="false">
      <c r="A17849" s="34" t="n">
        <v>41788516000120</v>
      </c>
      <c r="B17849" s="34" t="s">
        <v>32646</v>
      </c>
      <c r="C17849" s="34" t="s">
        <v>604</v>
      </c>
      <c r="E17849" s="30" t="s">
        <v>32647</v>
      </c>
      <c r="F17849" s="34" t="n">
        <f aca="false">IFERROR(VLOOKUP($A17849,'319'!$B:$H,7,0),0)</f>
        <v>0</v>
      </c>
      <c r="G17849" s="34" t="n">
        <f aca="false">SUMIFS('12.326ana'!$C:$C,'12.326ana'!$M:$M,redes!A17849)</f>
        <v>0</v>
      </c>
    </row>
    <row r="17850" customFormat="false" ht="14.4" hidden="true" customHeight="false" outlineLevel="0" collapsed="false">
      <c r="A17850" s="34" t="n">
        <v>41790372000146</v>
      </c>
      <c r="B17850" s="34" t="s">
        <v>32648</v>
      </c>
      <c r="C17850" s="34" t="s">
        <v>77</v>
      </c>
      <c r="E17850" s="30" t="s">
        <v>32649</v>
      </c>
      <c r="F17850" s="34" t="n">
        <f aca="false">IFERROR(VLOOKUP($A17850,'319'!$B:$H,7,0),0)</f>
        <v>0</v>
      </c>
      <c r="G17850" s="34" t="n">
        <f aca="false">SUMIFS('12.326ana'!$C:$C,'12.326ana'!$M:$M,redes!A17850)</f>
        <v>0</v>
      </c>
    </row>
    <row r="17851" customFormat="false" ht="14.4" hidden="true" customHeight="false" outlineLevel="0" collapsed="false">
      <c r="A17851" s="34" t="n">
        <v>41806788000105</v>
      </c>
      <c r="B17851" s="34" t="s">
        <v>32650</v>
      </c>
      <c r="C17851" s="34" t="s">
        <v>107</v>
      </c>
      <c r="E17851" s="30" t="s">
        <v>19240</v>
      </c>
      <c r="F17851" s="34" t="n">
        <f aca="false">IFERROR(VLOOKUP($A17851,'319'!$B:$H,7,0),0)</f>
        <v>0</v>
      </c>
      <c r="G17851" s="34" t="n">
        <f aca="false">SUMIFS('12.326ana'!$C:$C,'12.326ana'!$M:$M,redes!A17851)</f>
        <v>0</v>
      </c>
    </row>
    <row r="17852" customFormat="false" ht="14.4" hidden="true" customHeight="false" outlineLevel="0" collapsed="false">
      <c r="A17852" s="34" t="n">
        <v>41809564000157</v>
      </c>
      <c r="B17852" s="34" t="s">
        <v>32651</v>
      </c>
      <c r="C17852" s="34" t="s">
        <v>103</v>
      </c>
      <c r="E17852" s="30" t="s">
        <v>32652</v>
      </c>
      <c r="F17852" s="34" t="n">
        <f aca="false">IFERROR(VLOOKUP($A17852,'319'!$B:$H,7,0),0)</f>
        <v>0</v>
      </c>
      <c r="G17852" s="34" t="n">
        <f aca="false">SUMIFS('12.326ana'!$C:$C,'12.326ana'!$M:$M,redes!A17852)</f>
        <v>0</v>
      </c>
    </row>
    <row r="17853" customFormat="false" ht="14.4" hidden="true" customHeight="false" outlineLevel="0" collapsed="false">
      <c r="A17853" s="34" t="n">
        <v>41817174000129</v>
      </c>
      <c r="B17853" s="34" t="s">
        <v>32653</v>
      </c>
      <c r="C17853" s="34" t="s">
        <v>77</v>
      </c>
      <c r="E17853" s="30" t="s">
        <v>24337</v>
      </c>
      <c r="F17853" s="34" t="n">
        <f aca="false">IFERROR(VLOOKUP($A17853,'319'!$B:$H,7,0),0)</f>
        <v>83.22</v>
      </c>
      <c r="G17853" s="34" t="n">
        <f aca="false">SUMIFS('12.326ana'!$C:$C,'12.326ana'!$M:$M,redes!A17853)</f>
        <v>0</v>
      </c>
    </row>
    <row r="17854" customFormat="false" ht="14.4" hidden="true" customHeight="false" outlineLevel="0" collapsed="false">
      <c r="A17854" s="34" t="n">
        <v>41819311000164</v>
      </c>
      <c r="B17854" s="34" t="s">
        <v>32654</v>
      </c>
      <c r="C17854" s="34" t="s">
        <v>89</v>
      </c>
      <c r="E17854" s="30" t="s">
        <v>32655</v>
      </c>
      <c r="F17854" s="34" t="n">
        <f aca="false">IFERROR(VLOOKUP($A17854,'319'!$B:$H,7,0),0)</f>
        <v>0</v>
      </c>
      <c r="G17854" s="34" t="n">
        <f aca="false">SUMIFS('12.326ana'!$C:$C,'12.326ana'!$M:$M,redes!A17854)</f>
        <v>0</v>
      </c>
    </row>
    <row r="17855" customFormat="false" ht="14.4" hidden="true" customHeight="false" outlineLevel="0" collapsed="false">
      <c r="A17855" s="34" t="n">
        <v>41884151000137</v>
      </c>
      <c r="B17855" s="34" t="s">
        <v>32656</v>
      </c>
      <c r="C17855" s="34" t="s">
        <v>881</v>
      </c>
      <c r="E17855" s="30" t="s">
        <v>32657</v>
      </c>
      <c r="F17855" s="34" t="n">
        <f aca="false">IFERROR(VLOOKUP($A17855,'319'!$B:$H,7,0),0)</f>
        <v>0</v>
      </c>
      <c r="G17855" s="34" t="n">
        <f aca="false">SUMIFS('12.326ana'!$C:$C,'12.326ana'!$M:$M,redes!A17855)</f>
        <v>0</v>
      </c>
    </row>
    <row r="17856" customFormat="false" ht="14.4" hidden="true" customHeight="false" outlineLevel="0" collapsed="false">
      <c r="A17856" s="34" t="n">
        <v>41886744000132</v>
      </c>
      <c r="B17856" s="34" t="s">
        <v>32658</v>
      </c>
      <c r="C17856" s="34" t="s">
        <v>631</v>
      </c>
      <c r="E17856" s="30" t="s">
        <v>32659</v>
      </c>
      <c r="F17856" s="34" t="n">
        <f aca="false">IFERROR(VLOOKUP($A17856,'319'!$B:$H,7,0),0)</f>
        <v>0</v>
      </c>
      <c r="G17856" s="34" t="n">
        <f aca="false">SUMIFS('12.326ana'!$C:$C,'12.326ana'!$M:$M,redes!A17856)</f>
        <v>0</v>
      </c>
    </row>
    <row r="17857" customFormat="false" ht="14.4" hidden="true" customHeight="false" outlineLevel="0" collapsed="false">
      <c r="A17857" s="34" t="n">
        <v>41917218000192</v>
      </c>
      <c r="B17857" s="34" t="s">
        <v>32660</v>
      </c>
      <c r="C17857" s="34" t="s">
        <v>562</v>
      </c>
      <c r="E17857" s="30" t="s">
        <v>11565</v>
      </c>
      <c r="F17857" s="34" t="n">
        <f aca="false">IFERROR(VLOOKUP($A17857,'319'!$B:$H,7,0),0)</f>
        <v>0</v>
      </c>
      <c r="G17857" s="34" t="n">
        <f aca="false">SUMIFS('12.326ana'!$C:$C,'12.326ana'!$M:$M,redes!A17857)</f>
        <v>0</v>
      </c>
    </row>
    <row r="17858" customFormat="false" ht="14.4" hidden="true" customHeight="false" outlineLevel="0" collapsed="false">
      <c r="A17858" s="34" t="n">
        <v>41931867000148</v>
      </c>
      <c r="B17858" s="34" t="s">
        <v>32661</v>
      </c>
      <c r="C17858" s="34" t="s">
        <v>706</v>
      </c>
      <c r="E17858" s="30" t="s">
        <v>28694</v>
      </c>
      <c r="F17858" s="34" t="n">
        <f aca="false">IFERROR(VLOOKUP($A17858,'319'!$B:$H,7,0),0)</f>
        <v>0</v>
      </c>
      <c r="G17858" s="34" t="n">
        <f aca="false">SUMIFS('12.326ana'!$C:$C,'12.326ana'!$M:$M,redes!A17858)</f>
        <v>0</v>
      </c>
    </row>
    <row r="17859" customFormat="false" ht="14.4" hidden="true" customHeight="false" outlineLevel="0" collapsed="false">
      <c r="A17859" s="34" t="n">
        <v>41938404000108</v>
      </c>
      <c r="B17859" s="34" t="s">
        <v>32662</v>
      </c>
      <c r="C17859" s="34" t="s">
        <v>77</v>
      </c>
      <c r="E17859" s="30" t="s">
        <v>32663</v>
      </c>
      <c r="F17859" s="34" t="n">
        <f aca="false">IFERROR(VLOOKUP($A17859,'319'!$B:$H,7,0),0)</f>
        <v>0</v>
      </c>
      <c r="G17859" s="34" t="n">
        <f aca="false">SUMIFS('12.326ana'!$C:$C,'12.326ana'!$M:$M,redes!A17859)</f>
        <v>0</v>
      </c>
    </row>
    <row r="17860" customFormat="false" ht="14.4" hidden="true" customHeight="false" outlineLevel="0" collapsed="false">
      <c r="A17860" s="34" t="n">
        <v>41939459000132</v>
      </c>
      <c r="B17860" s="34" t="s">
        <v>32664</v>
      </c>
      <c r="C17860" s="34" t="s">
        <v>1272</v>
      </c>
      <c r="E17860" s="30" t="s">
        <v>32665</v>
      </c>
      <c r="F17860" s="34" t="n">
        <f aca="false">IFERROR(VLOOKUP($A17860,'319'!$B:$H,7,0),0)</f>
        <v>0</v>
      </c>
      <c r="G17860" s="34" t="n">
        <f aca="false">SUMIFS('12.326ana'!$C:$C,'12.326ana'!$M:$M,redes!A17860)</f>
        <v>0</v>
      </c>
    </row>
    <row r="17861" customFormat="false" ht="14.4" hidden="true" customHeight="false" outlineLevel="0" collapsed="false">
      <c r="A17861" s="34" t="n">
        <v>41949163000100</v>
      </c>
      <c r="B17861" s="34" t="s">
        <v>32666</v>
      </c>
      <c r="C17861" s="34" t="s">
        <v>737</v>
      </c>
      <c r="E17861" s="30" t="s">
        <v>20883</v>
      </c>
      <c r="F17861" s="34" t="n">
        <f aca="false">IFERROR(VLOOKUP($A17861,'319'!$B:$H,7,0),0)</f>
        <v>0</v>
      </c>
      <c r="G17861" s="34" t="n">
        <f aca="false">SUMIFS('12.326ana'!$C:$C,'12.326ana'!$M:$M,redes!A17861)</f>
        <v>0</v>
      </c>
    </row>
    <row r="17862" customFormat="false" ht="14.4" hidden="true" customHeight="false" outlineLevel="0" collapsed="false">
      <c r="A17862" s="34" t="n">
        <v>41952465000120</v>
      </c>
      <c r="B17862" s="34" t="s">
        <v>32667</v>
      </c>
      <c r="C17862" s="34" t="s">
        <v>103</v>
      </c>
      <c r="E17862" s="30" t="s">
        <v>32668</v>
      </c>
      <c r="F17862" s="34" t="n">
        <f aca="false">IFERROR(VLOOKUP($A17862,'319'!$B:$H,7,0),0)</f>
        <v>0</v>
      </c>
      <c r="G17862" s="34" t="n">
        <f aca="false">SUMIFS('12.326ana'!$C:$C,'12.326ana'!$M:$M,redes!A17862)</f>
        <v>0</v>
      </c>
    </row>
    <row r="17863" customFormat="false" ht="14.4" hidden="true" customHeight="false" outlineLevel="0" collapsed="false">
      <c r="A17863" s="34" t="n">
        <v>41962288000162</v>
      </c>
      <c r="B17863" s="34" t="s">
        <v>32669</v>
      </c>
      <c r="C17863" s="34" t="s">
        <v>77</v>
      </c>
      <c r="E17863" s="30" t="s">
        <v>32670</v>
      </c>
      <c r="F17863" s="34" t="n">
        <f aca="false">IFERROR(VLOOKUP($A17863,'319'!$B:$H,7,0),0)</f>
        <v>0</v>
      </c>
      <c r="G17863" s="34" t="n">
        <f aca="false">SUMIFS('12.326ana'!$C:$C,'12.326ana'!$M:$M,redes!A17863)</f>
        <v>0</v>
      </c>
    </row>
    <row r="17864" customFormat="false" ht="14.4" hidden="true" customHeight="false" outlineLevel="0" collapsed="false">
      <c r="A17864" s="34" t="n">
        <v>41973664000114</v>
      </c>
      <c r="B17864" s="34" t="s">
        <v>32671</v>
      </c>
      <c r="C17864" s="34" t="s">
        <v>89</v>
      </c>
      <c r="E17864" s="30" t="s">
        <v>32672</v>
      </c>
      <c r="F17864" s="34" t="n">
        <f aca="false">IFERROR(VLOOKUP($A17864,'319'!$B:$H,7,0),0)</f>
        <v>0</v>
      </c>
      <c r="G17864" s="34" t="n">
        <f aca="false">SUMIFS('12.326ana'!$C:$C,'12.326ana'!$M:$M,redes!A17864)</f>
        <v>0</v>
      </c>
    </row>
    <row r="17865" customFormat="false" ht="14.4" hidden="true" customHeight="false" outlineLevel="0" collapsed="false">
      <c r="A17865" s="34" t="n">
        <v>41983200000199</v>
      </c>
      <c r="B17865" s="34" t="s">
        <v>32673</v>
      </c>
      <c r="C17865" s="34" t="s">
        <v>77</v>
      </c>
      <c r="E17865" s="30" t="s">
        <v>32674</v>
      </c>
      <c r="F17865" s="34" t="n">
        <f aca="false">IFERROR(VLOOKUP($A17865,'319'!$B:$H,7,0),0)</f>
        <v>0</v>
      </c>
      <c r="G17865" s="34" t="n">
        <f aca="false">SUMIFS('12.326ana'!$C:$C,'12.326ana'!$M:$M,redes!A17865)</f>
        <v>0</v>
      </c>
    </row>
    <row r="17866" customFormat="false" ht="14.4" hidden="true" customHeight="false" outlineLevel="0" collapsed="false">
      <c r="A17866" s="34" t="n">
        <v>41993061000184</v>
      </c>
      <c r="B17866" s="34" t="s">
        <v>32675</v>
      </c>
      <c r="C17866" s="34" t="s">
        <v>107</v>
      </c>
      <c r="E17866" s="30" t="s">
        <v>32676</v>
      </c>
      <c r="F17866" s="34" t="n">
        <f aca="false">IFERROR(VLOOKUP($A17866,'319'!$B:$H,7,0),0)</f>
        <v>0</v>
      </c>
      <c r="G17866" s="34" t="n">
        <f aca="false">SUMIFS('12.326ana'!$C:$C,'12.326ana'!$M:$M,redes!A17866)</f>
        <v>0</v>
      </c>
    </row>
    <row r="17867" customFormat="false" ht="14.4" hidden="true" customHeight="false" outlineLevel="0" collapsed="false">
      <c r="A17867" s="34" t="n">
        <v>42002967000152</v>
      </c>
      <c r="B17867" s="34" t="s">
        <v>32677</v>
      </c>
      <c r="C17867" s="34" t="s">
        <v>77</v>
      </c>
      <c r="E17867" s="30" t="s">
        <v>32678</v>
      </c>
      <c r="F17867" s="34" t="n">
        <f aca="false">IFERROR(VLOOKUP($A17867,'319'!$B:$H,7,0),0)</f>
        <v>0</v>
      </c>
      <c r="G17867" s="34" t="n">
        <f aca="false">SUMIFS('12.326ana'!$C:$C,'12.326ana'!$M:$M,redes!A17867)</f>
        <v>0</v>
      </c>
    </row>
    <row r="17868" customFormat="false" ht="14.4" hidden="true" customHeight="false" outlineLevel="0" collapsed="false">
      <c r="A17868" s="34" t="n">
        <v>42010531000105</v>
      </c>
      <c r="B17868" s="34" t="s">
        <v>32679</v>
      </c>
      <c r="C17868" s="34" t="s">
        <v>77</v>
      </c>
      <c r="E17868" s="30" t="s">
        <v>32680</v>
      </c>
      <c r="F17868" s="34" t="n">
        <f aca="false">IFERROR(VLOOKUP($A17868,'319'!$B:$H,7,0),0)</f>
        <v>0</v>
      </c>
      <c r="G17868" s="34" t="n">
        <f aca="false">SUMIFS('12.326ana'!$C:$C,'12.326ana'!$M:$M,redes!A17868)</f>
        <v>0</v>
      </c>
    </row>
    <row r="17869" customFormat="false" ht="14.4" hidden="true" customHeight="false" outlineLevel="0" collapsed="false">
      <c r="A17869" s="34" t="n">
        <v>42017371000126</v>
      </c>
      <c r="B17869" s="34" t="s">
        <v>32681</v>
      </c>
      <c r="C17869" s="34" t="s">
        <v>77</v>
      </c>
      <c r="E17869" s="30" t="s">
        <v>29826</v>
      </c>
      <c r="F17869" s="34" t="n">
        <f aca="false">IFERROR(VLOOKUP($A17869,'319'!$B:$H,7,0),0)</f>
        <v>0</v>
      </c>
      <c r="G17869" s="34" t="n">
        <f aca="false">SUMIFS('12.326ana'!$C:$C,'12.326ana'!$M:$M,redes!A17869)</f>
        <v>0</v>
      </c>
    </row>
    <row r="17870" customFormat="false" ht="14.4" hidden="true" customHeight="false" outlineLevel="0" collapsed="false">
      <c r="A17870" s="34" t="n">
        <v>42082789000117</v>
      </c>
      <c r="B17870" s="34" t="s">
        <v>32682</v>
      </c>
      <c r="C17870" s="34" t="s">
        <v>680</v>
      </c>
      <c r="E17870" s="30" t="s">
        <v>32683</v>
      </c>
      <c r="F17870" s="34" t="n">
        <f aca="false">IFERROR(VLOOKUP($A17870,'319'!$B:$H,7,0),0)</f>
        <v>0</v>
      </c>
      <c r="G17870" s="34" t="n">
        <f aca="false">SUMIFS('12.326ana'!$C:$C,'12.326ana'!$M:$M,redes!A17870)</f>
        <v>0</v>
      </c>
    </row>
    <row r="17871" customFormat="false" ht="14.4" hidden="true" customHeight="false" outlineLevel="0" collapsed="false">
      <c r="A17871" s="34" t="n">
        <v>42085437000115</v>
      </c>
      <c r="B17871" s="34" t="s">
        <v>32684</v>
      </c>
      <c r="C17871" s="34" t="s">
        <v>342</v>
      </c>
      <c r="E17871" s="30" t="s">
        <v>32685</v>
      </c>
      <c r="F17871" s="34" t="n">
        <f aca="false">IFERROR(VLOOKUP($A17871,'319'!$B:$H,7,0),0)</f>
        <v>0</v>
      </c>
      <c r="G17871" s="34" t="n">
        <f aca="false">SUMIFS('12.326ana'!$C:$C,'12.326ana'!$M:$M,redes!A17871)</f>
        <v>0</v>
      </c>
    </row>
    <row r="17872" customFormat="false" ht="14.4" hidden="true" customHeight="false" outlineLevel="0" collapsed="false">
      <c r="A17872" s="34" t="n">
        <v>42111396000194</v>
      </c>
      <c r="B17872" s="34" t="s">
        <v>32686</v>
      </c>
      <c r="C17872" s="34" t="s">
        <v>77</v>
      </c>
      <c r="E17872" s="30" t="s">
        <v>3831</v>
      </c>
      <c r="F17872" s="34" t="n">
        <f aca="false">IFERROR(VLOOKUP($A17872,'319'!$B:$H,7,0),0)</f>
        <v>0</v>
      </c>
      <c r="G17872" s="34" t="n">
        <f aca="false">SUMIFS('12.326ana'!$C:$C,'12.326ana'!$M:$M,redes!A17872)</f>
        <v>0</v>
      </c>
    </row>
    <row r="17873" customFormat="false" ht="14.4" hidden="true" customHeight="false" outlineLevel="0" collapsed="false">
      <c r="A17873" s="34" t="n">
        <v>42128982000141</v>
      </c>
      <c r="B17873" s="34" t="s">
        <v>32687</v>
      </c>
      <c r="C17873" s="34" t="s">
        <v>77</v>
      </c>
      <c r="E17873" s="30" t="s">
        <v>32688</v>
      </c>
      <c r="F17873" s="34" t="n">
        <f aca="false">IFERROR(VLOOKUP($A17873,'319'!$B:$H,7,0),0)</f>
        <v>0</v>
      </c>
      <c r="G17873" s="34" t="n">
        <f aca="false">SUMIFS('12.326ana'!$C:$C,'12.326ana'!$M:$M,redes!A17873)</f>
        <v>0</v>
      </c>
    </row>
    <row r="17874" customFormat="false" ht="14.4" hidden="true" customHeight="false" outlineLevel="0" collapsed="false">
      <c r="A17874" s="34" t="n">
        <v>42158793000111</v>
      </c>
      <c r="B17874" s="34" t="s">
        <v>1670</v>
      </c>
      <c r="C17874" s="34" t="s">
        <v>1272</v>
      </c>
      <c r="E17874" s="30" t="s">
        <v>6310</v>
      </c>
      <c r="F17874" s="34" t="n">
        <f aca="false">IFERROR(VLOOKUP($A17874,'319'!$B:$H,7,0),0)</f>
        <v>64.72</v>
      </c>
      <c r="G17874" s="34" t="n">
        <f aca="false">SUMIFS('12.326ana'!$C:$C,'12.326ana'!$M:$M,redes!A17874)</f>
        <v>0</v>
      </c>
    </row>
    <row r="17875" customFormat="false" ht="14.4" hidden="true" customHeight="false" outlineLevel="0" collapsed="false">
      <c r="A17875" s="34" t="n">
        <v>42162995000137</v>
      </c>
      <c r="B17875" s="34" t="s">
        <v>32689</v>
      </c>
      <c r="C17875" s="34" t="s">
        <v>77</v>
      </c>
      <c r="E17875" s="30" t="s">
        <v>32690</v>
      </c>
      <c r="F17875" s="34" t="n">
        <f aca="false">IFERROR(VLOOKUP($A17875,'319'!$B:$H,7,0),0)</f>
        <v>0</v>
      </c>
      <c r="G17875" s="34" t="n">
        <f aca="false">SUMIFS('12.326ana'!$C:$C,'12.326ana'!$M:$M,redes!A17875)</f>
        <v>0</v>
      </c>
    </row>
    <row r="17876" customFormat="false" ht="14.4" hidden="true" customHeight="false" outlineLevel="0" collapsed="false">
      <c r="A17876" s="34" t="n">
        <v>42164232000125</v>
      </c>
      <c r="B17876" s="34" t="s">
        <v>32691</v>
      </c>
      <c r="C17876" s="34" t="s">
        <v>77</v>
      </c>
      <c r="E17876" s="30" t="s">
        <v>32692</v>
      </c>
      <c r="F17876" s="34" t="n">
        <f aca="false">IFERROR(VLOOKUP($A17876,'319'!$B:$H,7,0),0)</f>
        <v>0</v>
      </c>
      <c r="G17876" s="34" t="n">
        <f aca="false">SUMIFS('12.326ana'!$C:$C,'12.326ana'!$M:$M,redes!A17876)</f>
        <v>0</v>
      </c>
    </row>
    <row r="17877" customFormat="false" ht="14.4" hidden="true" customHeight="false" outlineLevel="0" collapsed="false">
      <c r="A17877" s="34" t="n">
        <v>42177749000159</v>
      </c>
      <c r="B17877" s="34" t="s">
        <v>32693</v>
      </c>
      <c r="C17877" s="34" t="s">
        <v>604</v>
      </c>
      <c r="E17877" s="30" t="s">
        <v>8949</v>
      </c>
      <c r="F17877" s="34" t="n">
        <f aca="false">IFERROR(VLOOKUP($A17877,'319'!$B:$H,7,0),0)</f>
        <v>0</v>
      </c>
      <c r="G17877" s="34" t="n">
        <f aca="false">SUMIFS('12.326ana'!$C:$C,'12.326ana'!$M:$M,redes!A17877)</f>
        <v>0</v>
      </c>
    </row>
    <row r="17878" customFormat="false" ht="14.4" hidden="true" customHeight="false" outlineLevel="0" collapsed="false">
      <c r="A17878" s="34" t="n">
        <v>42187817000160</v>
      </c>
      <c r="B17878" s="34" t="s">
        <v>32694</v>
      </c>
      <c r="C17878" s="34" t="s">
        <v>77</v>
      </c>
      <c r="E17878" s="30" t="s">
        <v>32695</v>
      </c>
      <c r="F17878" s="34" t="n">
        <f aca="false">IFERROR(VLOOKUP($A17878,'319'!$B:$H,7,0),0)</f>
        <v>0</v>
      </c>
      <c r="G17878" s="34" t="n">
        <f aca="false">SUMIFS('12.326ana'!$C:$C,'12.326ana'!$M:$M,redes!A17878)</f>
        <v>0</v>
      </c>
    </row>
    <row r="17879" customFormat="false" ht="14.4" hidden="true" customHeight="false" outlineLevel="0" collapsed="false">
      <c r="A17879" s="34" t="n">
        <v>42219892000166</v>
      </c>
      <c r="B17879" s="34" t="s">
        <v>32696</v>
      </c>
      <c r="C17879" s="34" t="s">
        <v>77</v>
      </c>
      <c r="E17879" s="30" t="s">
        <v>32697</v>
      </c>
      <c r="F17879" s="34" t="n">
        <f aca="false">IFERROR(VLOOKUP($A17879,'319'!$B:$H,7,0),0)</f>
        <v>0</v>
      </c>
      <c r="G17879" s="34" t="n">
        <f aca="false">SUMIFS('12.326ana'!$C:$C,'12.326ana'!$M:$M,redes!A17879)</f>
        <v>0</v>
      </c>
    </row>
    <row r="17880" customFormat="false" ht="14.4" hidden="true" customHeight="false" outlineLevel="0" collapsed="false">
      <c r="A17880" s="34" t="n">
        <v>42220662000117</v>
      </c>
      <c r="B17880" s="34" t="s">
        <v>32698</v>
      </c>
      <c r="C17880" s="34" t="s">
        <v>89</v>
      </c>
      <c r="E17880" s="30" t="s">
        <v>32699</v>
      </c>
      <c r="F17880" s="34" t="n">
        <f aca="false">IFERROR(VLOOKUP($A17880,'319'!$B:$H,7,0),0)</f>
        <v>0</v>
      </c>
      <c r="G17880" s="34" t="n">
        <f aca="false">SUMIFS('12.326ana'!$C:$C,'12.326ana'!$M:$M,redes!A17880)</f>
        <v>0</v>
      </c>
    </row>
    <row r="17881" customFormat="false" ht="14.4" hidden="true" customHeight="false" outlineLevel="0" collapsed="false">
      <c r="A17881" s="34" t="n">
        <v>42221206000191</v>
      </c>
      <c r="B17881" s="34" t="s">
        <v>32700</v>
      </c>
      <c r="C17881" s="34" t="s">
        <v>631</v>
      </c>
      <c r="D17881" s="34" t="s">
        <v>19364</v>
      </c>
      <c r="E17881" s="30" t="s">
        <v>32701</v>
      </c>
      <c r="F17881" s="34" t="n">
        <f aca="false">IFERROR(VLOOKUP($A17881,'319'!$B:$H,7,0),0)</f>
        <v>0</v>
      </c>
      <c r="G17881" s="34" t="n">
        <f aca="false">SUMIFS('12.326ana'!$C:$C,'12.326ana'!$M:$M,redes!A17881)</f>
        <v>0</v>
      </c>
    </row>
    <row r="17882" customFormat="false" ht="14.4" hidden="true" customHeight="false" outlineLevel="0" collapsed="false">
      <c r="A17882" s="34" t="n">
        <v>42224805000169</v>
      </c>
      <c r="B17882" s="34" t="s">
        <v>32702</v>
      </c>
      <c r="C17882" s="34" t="s">
        <v>77</v>
      </c>
      <c r="E17882" s="30" t="s">
        <v>32702</v>
      </c>
      <c r="F17882" s="34" t="n">
        <f aca="false">IFERROR(VLOOKUP($A17882,'319'!$B:$H,7,0),0)</f>
        <v>0</v>
      </c>
      <c r="G17882" s="34" t="n">
        <f aca="false">SUMIFS('12.326ana'!$C:$C,'12.326ana'!$M:$M,redes!A17882)</f>
        <v>0</v>
      </c>
    </row>
    <row r="17883" customFormat="false" ht="14.4" hidden="true" customHeight="false" outlineLevel="0" collapsed="false">
      <c r="A17883" s="34" t="n">
        <v>42243970000168</v>
      </c>
      <c r="B17883" s="34" t="s">
        <v>32703</v>
      </c>
      <c r="C17883" s="34" t="s">
        <v>77</v>
      </c>
      <c r="E17883" s="30" t="s">
        <v>32704</v>
      </c>
      <c r="F17883" s="34" t="n">
        <f aca="false">IFERROR(VLOOKUP($A17883,'319'!$B:$H,7,0),0)</f>
        <v>0</v>
      </c>
      <c r="G17883" s="34" t="n">
        <f aca="false">SUMIFS('12.326ana'!$C:$C,'12.326ana'!$M:$M,redes!A17883)</f>
        <v>0</v>
      </c>
    </row>
    <row r="17884" customFormat="false" ht="14.4" hidden="true" customHeight="false" outlineLevel="0" collapsed="false">
      <c r="A17884" s="34" t="n">
        <v>42269743000101</v>
      </c>
      <c r="B17884" s="34" t="s">
        <v>32705</v>
      </c>
      <c r="C17884" s="34" t="s">
        <v>77</v>
      </c>
      <c r="E17884" s="30" t="s">
        <v>32706</v>
      </c>
      <c r="F17884" s="34" t="n">
        <f aca="false">IFERROR(VLOOKUP($A17884,'319'!$B:$H,7,0),0)</f>
        <v>0</v>
      </c>
      <c r="G17884" s="34" t="n">
        <f aca="false">SUMIFS('12.326ana'!$C:$C,'12.326ana'!$M:$M,redes!A17884)</f>
        <v>0</v>
      </c>
    </row>
    <row r="17885" customFormat="false" ht="14.4" hidden="true" customHeight="false" outlineLevel="0" collapsed="false">
      <c r="A17885" s="34" t="n">
        <v>42275641000107</v>
      </c>
      <c r="B17885" s="34" t="s">
        <v>32707</v>
      </c>
      <c r="C17885" s="34" t="s">
        <v>107</v>
      </c>
      <c r="E17885" s="30" t="s">
        <v>32708</v>
      </c>
      <c r="F17885" s="34" t="n">
        <f aca="false">IFERROR(VLOOKUP($A17885,'319'!$B:$H,7,0),0)</f>
        <v>0</v>
      </c>
      <c r="G17885" s="34" t="n">
        <f aca="false">SUMIFS('12.326ana'!$C:$C,'12.326ana'!$M:$M,redes!A17885)</f>
        <v>0</v>
      </c>
    </row>
    <row r="17886" customFormat="false" ht="14.4" hidden="true" customHeight="false" outlineLevel="0" collapsed="false">
      <c r="A17886" s="34" t="n">
        <v>42278539000157</v>
      </c>
      <c r="B17886" s="34" t="s">
        <v>32709</v>
      </c>
      <c r="C17886" s="34" t="s">
        <v>77</v>
      </c>
      <c r="E17886" s="30" t="s">
        <v>32710</v>
      </c>
      <c r="F17886" s="34" t="n">
        <f aca="false">IFERROR(VLOOKUP($A17886,'319'!$B:$H,7,0),0)</f>
        <v>0</v>
      </c>
      <c r="G17886" s="34" t="n">
        <f aca="false">SUMIFS('12.326ana'!$C:$C,'12.326ana'!$M:$M,redes!A17886)</f>
        <v>0</v>
      </c>
    </row>
    <row r="17887" customFormat="false" ht="14.4" hidden="true" customHeight="false" outlineLevel="0" collapsed="false">
      <c r="A17887" s="35" t="n">
        <v>42280349000174</v>
      </c>
      <c r="B17887" s="34" t="s">
        <v>32711</v>
      </c>
      <c r="C17887" s="34" t="s">
        <v>77</v>
      </c>
      <c r="E17887" s="30" t="s">
        <v>32712</v>
      </c>
      <c r="F17887" s="34" t="n">
        <f aca="false">IFERROR(VLOOKUP($A17887,'319'!$B:$H,7,0),0)</f>
        <v>0</v>
      </c>
      <c r="G17887" s="34" t="n">
        <f aca="false">SUMIFS('12.326ana'!$C:$C,'12.326ana'!$M:$M,redes!A17887)</f>
        <v>0</v>
      </c>
    </row>
    <row r="17888" customFormat="false" ht="14.4" hidden="true" customHeight="false" outlineLevel="0" collapsed="false">
      <c r="A17888" s="35" t="n">
        <v>42284914000171</v>
      </c>
      <c r="B17888" s="34" t="s">
        <v>32713</v>
      </c>
      <c r="C17888" s="34" t="s">
        <v>604</v>
      </c>
      <c r="E17888" s="30" t="s">
        <v>32714</v>
      </c>
      <c r="F17888" s="34" t="n">
        <f aca="false">IFERROR(VLOOKUP($A17888,'319'!$B:$H,7,0),0)</f>
        <v>0</v>
      </c>
      <c r="G17888" s="34" t="n">
        <f aca="false">SUMIFS('12.326ana'!$C:$C,'12.326ana'!$M:$M,redes!A17888)</f>
        <v>0</v>
      </c>
    </row>
    <row r="17889" customFormat="false" ht="14.4" hidden="true" customHeight="false" outlineLevel="0" collapsed="false">
      <c r="A17889" s="34" t="n">
        <v>42289370000130</v>
      </c>
      <c r="B17889" s="34" t="s">
        <v>32715</v>
      </c>
      <c r="C17889" s="34" t="s">
        <v>77</v>
      </c>
      <c r="E17889" s="30" t="s">
        <v>32715</v>
      </c>
      <c r="F17889" s="34" t="n">
        <f aca="false">IFERROR(VLOOKUP($A17889,'319'!$B:$H,7,0),0)</f>
        <v>0</v>
      </c>
      <c r="G17889" s="34" t="n">
        <f aca="false">SUMIFS('12.326ana'!$C:$C,'12.326ana'!$M:$M,redes!A17889)</f>
        <v>0</v>
      </c>
    </row>
    <row r="17890" customFormat="false" ht="14.4" hidden="true" customHeight="false" outlineLevel="0" collapsed="false">
      <c r="A17890" s="34" t="n">
        <v>42317821000104</v>
      </c>
      <c r="B17890" s="34" t="s">
        <v>32716</v>
      </c>
      <c r="C17890" s="34" t="s">
        <v>1272</v>
      </c>
      <c r="E17890" s="30" t="s">
        <v>32716</v>
      </c>
      <c r="F17890" s="34" t="n">
        <f aca="false">IFERROR(VLOOKUP($A17890,'319'!$B:$H,7,0),0)</f>
        <v>0</v>
      </c>
      <c r="G17890" s="34" t="n">
        <f aca="false">SUMIFS('12.326ana'!$C:$C,'12.326ana'!$M:$M,redes!A17890)</f>
        <v>0</v>
      </c>
    </row>
    <row r="17891" customFormat="false" ht="14.4" hidden="true" customHeight="false" outlineLevel="0" collapsed="false">
      <c r="A17891" s="34" t="n">
        <v>42329614000161</v>
      </c>
      <c r="B17891" s="34" t="s">
        <v>32717</v>
      </c>
      <c r="C17891" s="34" t="s">
        <v>77</v>
      </c>
      <c r="E17891" s="30" t="s">
        <v>30716</v>
      </c>
      <c r="F17891" s="34" t="n">
        <f aca="false">IFERROR(VLOOKUP($A17891,'319'!$B:$H,7,0),0)</f>
        <v>0</v>
      </c>
      <c r="G17891" s="34" t="n">
        <f aca="false">SUMIFS('12.326ana'!$C:$C,'12.326ana'!$M:$M,redes!A17891)</f>
        <v>0</v>
      </c>
    </row>
    <row r="17892" customFormat="false" ht="14.4" hidden="true" customHeight="false" outlineLevel="0" collapsed="false">
      <c r="A17892" s="34" t="n">
        <v>42329614000242</v>
      </c>
      <c r="B17892" s="34" t="s">
        <v>32717</v>
      </c>
      <c r="C17892" s="34" t="s">
        <v>77</v>
      </c>
      <c r="E17892" s="30" t="s">
        <v>30716</v>
      </c>
      <c r="F17892" s="34" t="n">
        <f aca="false">IFERROR(VLOOKUP($A17892,'319'!$B:$H,7,0),0)</f>
        <v>0</v>
      </c>
      <c r="G17892" s="34" t="n">
        <f aca="false">SUMIFS('12.326ana'!$C:$C,'12.326ana'!$M:$M,redes!A17892)</f>
        <v>0</v>
      </c>
    </row>
    <row r="17893" customFormat="false" ht="14.4" hidden="true" customHeight="false" outlineLevel="0" collapsed="false">
      <c r="A17893" s="34" t="n">
        <v>42329614000323</v>
      </c>
      <c r="B17893" s="34" t="s">
        <v>32717</v>
      </c>
      <c r="C17893" s="34" t="s">
        <v>77</v>
      </c>
      <c r="E17893" s="30" t="s">
        <v>32717</v>
      </c>
      <c r="F17893" s="34" t="n">
        <f aca="false">IFERROR(VLOOKUP($A17893,'319'!$B:$H,7,0),0)</f>
        <v>0</v>
      </c>
      <c r="G17893" s="34" t="n">
        <f aca="false">SUMIFS('12.326ana'!$C:$C,'12.326ana'!$M:$M,redes!A17893)</f>
        <v>0</v>
      </c>
    </row>
    <row r="17894" customFormat="false" ht="14.4" hidden="true" customHeight="false" outlineLevel="0" collapsed="false">
      <c r="A17894" s="34" t="n">
        <v>42337677000160</v>
      </c>
      <c r="B17894" s="34" t="s">
        <v>32718</v>
      </c>
      <c r="C17894" s="34" t="s">
        <v>631</v>
      </c>
      <c r="E17894" s="30" t="s">
        <v>30382</v>
      </c>
      <c r="F17894" s="34" t="n">
        <f aca="false">IFERROR(VLOOKUP($A17894,'319'!$B:$H,7,0),0)</f>
        <v>0</v>
      </c>
      <c r="G17894" s="34" t="n">
        <f aca="false">SUMIFS('12.326ana'!$C:$C,'12.326ana'!$M:$M,redes!A17894)</f>
        <v>0</v>
      </c>
    </row>
    <row r="17895" customFormat="false" ht="14.4" hidden="true" customHeight="false" outlineLevel="0" collapsed="false">
      <c r="A17895" s="34" t="n">
        <v>42355418000161</v>
      </c>
      <c r="B17895" s="34" t="s">
        <v>32719</v>
      </c>
      <c r="C17895" s="34" t="s">
        <v>77</v>
      </c>
      <c r="E17895" s="30" t="s">
        <v>32720</v>
      </c>
      <c r="F17895" s="34" t="n">
        <f aca="false">IFERROR(VLOOKUP($A17895,'319'!$B:$H,7,0),0)</f>
        <v>0</v>
      </c>
      <c r="G17895" s="34" t="n">
        <f aca="false">SUMIFS('12.326ana'!$C:$C,'12.326ana'!$M:$M,redes!A17895)</f>
        <v>0</v>
      </c>
    </row>
    <row r="17896" customFormat="false" ht="14.4" hidden="true" customHeight="false" outlineLevel="0" collapsed="false">
      <c r="A17896" s="34" t="n">
        <v>42390004000173</v>
      </c>
      <c r="B17896" s="34" t="s">
        <v>32721</v>
      </c>
      <c r="C17896" s="34" t="s">
        <v>565</v>
      </c>
      <c r="E17896" s="30" t="s">
        <v>32721</v>
      </c>
      <c r="F17896" s="34" t="n">
        <f aca="false">IFERROR(VLOOKUP($A17896,'319'!$B:$H,7,0),0)</f>
        <v>0</v>
      </c>
      <c r="G17896" s="34" t="n">
        <f aca="false">SUMIFS('12.326ana'!$C:$C,'12.326ana'!$M:$M,redes!A17896)</f>
        <v>0</v>
      </c>
    </row>
    <row r="17897" customFormat="false" ht="14.4" hidden="true" customHeight="false" outlineLevel="0" collapsed="false">
      <c r="A17897" s="34" t="n">
        <v>42404394000193</v>
      </c>
      <c r="B17897" s="34" t="s">
        <v>32722</v>
      </c>
      <c r="C17897" s="34" t="s">
        <v>77</v>
      </c>
      <c r="E17897" s="30" t="s">
        <v>32723</v>
      </c>
      <c r="F17897" s="34" t="n">
        <f aca="false">IFERROR(VLOOKUP($A17897,'319'!$B:$H,7,0),0)</f>
        <v>0</v>
      </c>
      <c r="G17897" s="34" t="n">
        <f aca="false">SUMIFS('12.326ana'!$C:$C,'12.326ana'!$M:$M,redes!A17897)</f>
        <v>0</v>
      </c>
    </row>
    <row r="17898" customFormat="false" ht="14.4" hidden="true" customHeight="false" outlineLevel="0" collapsed="false">
      <c r="A17898" s="34" t="n">
        <v>42410392000107</v>
      </c>
      <c r="B17898" s="34" t="s">
        <v>32724</v>
      </c>
      <c r="C17898" s="34" t="s">
        <v>103</v>
      </c>
      <c r="E17898" s="30" t="s">
        <v>32725</v>
      </c>
      <c r="F17898" s="34" t="n">
        <f aca="false">IFERROR(VLOOKUP($A17898,'319'!$B:$H,7,0),0)</f>
        <v>0</v>
      </c>
      <c r="G17898" s="34" t="n">
        <f aca="false">SUMIFS('12.326ana'!$C:$C,'12.326ana'!$M:$M,redes!A17898)</f>
        <v>0</v>
      </c>
    </row>
    <row r="17899" customFormat="false" ht="14.4" hidden="true" customHeight="false" outlineLevel="0" collapsed="false">
      <c r="A17899" s="34" t="n">
        <v>42427180000132</v>
      </c>
      <c r="B17899" s="34" t="s">
        <v>32726</v>
      </c>
      <c r="C17899" s="34" t="s">
        <v>77</v>
      </c>
      <c r="E17899" s="30" t="s">
        <v>32727</v>
      </c>
      <c r="F17899" s="34" t="n">
        <f aca="false">IFERROR(VLOOKUP($A17899,'319'!$B:$H,7,0),0)</f>
        <v>0</v>
      </c>
      <c r="G17899" s="34" t="n">
        <f aca="false">SUMIFS('12.326ana'!$C:$C,'12.326ana'!$M:$M,redes!A17899)</f>
        <v>0</v>
      </c>
    </row>
    <row r="17900" customFormat="false" ht="14.4" hidden="true" customHeight="false" outlineLevel="0" collapsed="false">
      <c r="A17900" s="34" t="n">
        <v>42434758000188</v>
      </c>
      <c r="B17900" s="34" t="s">
        <v>32728</v>
      </c>
      <c r="C17900" s="34" t="s">
        <v>89</v>
      </c>
      <c r="E17900" s="30" t="s">
        <v>32729</v>
      </c>
      <c r="F17900" s="34" t="n">
        <f aca="false">IFERROR(VLOOKUP($A17900,'319'!$B:$H,7,0),0)</f>
        <v>36.84</v>
      </c>
      <c r="G17900" s="34" t="n">
        <f aca="false">SUMIFS('12.326ana'!$C:$C,'12.326ana'!$M:$M,redes!A17900)</f>
        <v>0</v>
      </c>
    </row>
    <row r="17901" customFormat="false" ht="14.4" hidden="true" customHeight="false" outlineLevel="0" collapsed="false">
      <c r="A17901" s="34" t="n">
        <v>42434758000269</v>
      </c>
      <c r="B17901" s="34" t="s">
        <v>32728</v>
      </c>
      <c r="C17901" s="34" t="s">
        <v>89</v>
      </c>
      <c r="E17901" s="30" t="s">
        <v>32730</v>
      </c>
      <c r="F17901" s="34" t="n">
        <f aca="false">IFERROR(VLOOKUP($A17901,'319'!$B:$H,7,0),0)</f>
        <v>0</v>
      </c>
      <c r="G17901" s="34" t="n">
        <f aca="false">SUMIFS('12.326ana'!$C:$C,'12.326ana'!$M:$M,redes!A17901)</f>
        <v>0</v>
      </c>
    </row>
    <row r="17902" customFormat="false" ht="14.4" hidden="true" customHeight="false" outlineLevel="0" collapsed="false">
      <c r="A17902" s="34" t="n">
        <v>42442264000145</v>
      </c>
      <c r="B17902" s="34" t="s">
        <v>32731</v>
      </c>
      <c r="C17902" s="34" t="s">
        <v>737</v>
      </c>
      <c r="E17902" s="30" t="s">
        <v>32732</v>
      </c>
      <c r="F17902" s="34" t="n">
        <f aca="false">IFERROR(VLOOKUP($A17902,'319'!$B:$H,7,0),0)</f>
        <v>0</v>
      </c>
      <c r="G17902" s="34" t="n">
        <f aca="false">SUMIFS('12.326ana'!$C:$C,'12.326ana'!$M:$M,redes!A17902)</f>
        <v>0</v>
      </c>
    </row>
    <row r="17903" customFormat="false" ht="14.4" hidden="true" customHeight="false" outlineLevel="0" collapsed="false">
      <c r="A17903" s="34" t="n">
        <v>42453181000151</v>
      </c>
      <c r="B17903" s="34" t="s">
        <v>32733</v>
      </c>
      <c r="C17903" s="34" t="s">
        <v>107</v>
      </c>
      <c r="E17903" s="30" t="s">
        <v>3540</v>
      </c>
      <c r="F17903" s="34" t="n">
        <f aca="false">IFERROR(VLOOKUP($A17903,'319'!$B:$H,7,0),0)</f>
        <v>0</v>
      </c>
      <c r="G17903" s="34" t="n">
        <f aca="false">SUMIFS('12.326ana'!$C:$C,'12.326ana'!$M:$M,redes!A17903)</f>
        <v>0</v>
      </c>
    </row>
    <row r="17904" customFormat="false" ht="14.4" hidden="true" customHeight="false" outlineLevel="0" collapsed="false">
      <c r="A17904" s="34" t="n">
        <v>42462988000150</v>
      </c>
      <c r="B17904" s="34" t="s">
        <v>32734</v>
      </c>
      <c r="C17904" s="34" t="s">
        <v>77</v>
      </c>
      <c r="E17904" s="30" t="s">
        <v>32735</v>
      </c>
      <c r="F17904" s="34" t="n">
        <f aca="false">IFERROR(VLOOKUP($A17904,'319'!$B:$H,7,0),0)</f>
        <v>0</v>
      </c>
      <c r="G17904" s="34" t="n">
        <f aca="false">SUMIFS('12.326ana'!$C:$C,'12.326ana'!$M:$M,redes!A17904)</f>
        <v>0</v>
      </c>
    </row>
    <row r="17905" customFormat="false" ht="14.4" hidden="true" customHeight="false" outlineLevel="0" collapsed="false">
      <c r="A17905" s="34" t="n">
        <v>42464608000117</v>
      </c>
      <c r="B17905" s="34" t="s">
        <v>32736</v>
      </c>
      <c r="C17905" s="34" t="s">
        <v>77</v>
      </c>
      <c r="E17905" s="30" t="s">
        <v>32737</v>
      </c>
      <c r="F17905" s="34" t="n">
        <f aca="false">IFERROR(VLOOKUP($A17905,'319'!$B:$H,7,0),0)</f>
        <v>0</v>
      </c>
      <c r="G17905" s="34" t="n">
        <f aca="false">SUMIFS('12.326ana'!$C:$C,'12.326ana'!$M:$M,redes!A17905)</f>
        <v>0</v>
      </c>
    </row>
    <row r="17906" customFormat="false" ht="14.4" hidden="true" customHeight="false" outlineLevel="0" collapsed="false">
      <c r="A17906" s="34" t="n">
        <v>42470032000109</v>
      </c>
      <c r="B17906" s="34" t="s">
        <v>32738</v>
      </c>
      <c r="C17906" s="34" t="s">
        <v>77</v>
      </c>
      <c r="E17906" s="30" t="s">
        <v>32739</v>
      </c>
      <c r="F17906" s="34" t="n">
        <f aca="false">IFERROR(VLOOKUP($A17906,'319'!$B:$H,7,0),0)</f>
        <v>0</v>
      </c>
      <c r="G17906" s="34" t="n">
        <f aca="false">SUMIFS('12.326ana'!$C:$C,'12.326ana'!$M:$M,redes!A17906)</f>
        <v>0</v>
      </c>
    </row>
    <row r="17907" customFormat="false" ht="14.4" hidden="true" customHeight="false" outlineLevel="0" collapsed="false">
      <c r="A17907" s="34" t="n">
        <v>42509335000180</v>
      </c>
      <c r="B17907" s="34" t="s">
        <v>32740</v>
      </c>
      <c r="C17907" s="34" t="s">
        <v>89</v>
      </c>
      <c r="E17907" s="30" t="s">
        <v>32741</v>
      </c>
      <c r="F17907" s="34" t="n">
        <f aca="false">IFERROR(VLOOKUP($A17907,'319'!$B:$H,7,0),0)</f>
        <v>0</v>
      </c>
      <c r="G17907" s="34" t="n">
        <f aca="false">SUMIFS('12.326ana'!$C:$C,'12.326ana'!$M:$M,redes!A17907)</f>
        <v>0</v>
      </c>
    </row>
    <row r="17908" customFormat="false" ht="14.4" hidden="true" customHeight="false" outlineLevel="0" collapsed="false">
      <c r="A17908" s="34" t="n">
        <v>42517254000121</v>
      </c>
      <c r="B17908" s="34" t="s">
        <v>32742</v>
      </c>
      <c r="C17908" s="34" t="s">
        <v>77</v>
      </c>
      <c r="E17908" s="30" t="s">
        <v>32743</v>
      </c>
      <c r="F17908" s="34" t="n">
        <f aca="false">IFERROR(VLOOKUP($A17908,'319'!$B:$H,7,0),0)</f>
        <v>0</v>
      </c>
      <c r="G17908" s="34" t="n">
        <f aca="false">SUMIFS('12.326ana'!$C:$C,'12.326ana'!$M:$M,redes!A17908)</f>
        <v>0</v>
      </c>
    </row>
    <row r="17909" customFormat="false" ht="14.4" hidden="true" customHeight="false" outlineLevel="0" collapsed="false">
      <c r="A17909" s="34" t="n">
        <v>42557879000117</v>
      </c>
      <c r="B17909" s="34" t="s">
        <v>32744</v>
      </c>
      <c r="C17909" s="34" t="s">
        <v>139</v>
      </c>
      <c r="E17909" s="30" t="s">
        <v>32744</v>
      </c>
      <c r="F17909" s="34" t="n">
        <f aca="false">IFERROR(VLOOKUP($A17909,'319'!$B:$H,7,0),0)</f>
        <v>0</v>
      </c>
      <c r="G17909" s="34" t="n">
        <f aca="false">SUMIFS('12.326ana'!$C:$C,'12.326ana'!$M:$M,redes!A17909)</f>
        <v>0</v>
      </c>
    </row>
    <row r="17910" customFormat="false" ht="14.4" hidden="true" customHeight="false" outlineLevel="0" collapsed="false">
      <c r="A17910" s="34" t="n">
        <v>42558381000179</v>
      </c>
      <c r="B17910" s="34" t="s">
        <v>32745</v>
      </c>
      <c r="C17910" s="34" t="s">
        <v>107</v>
      </c>
      <c r="E17910" s="30" t="s">
        <v>32746</v>
      </c>
      <c r="F17910" s="34" t="n">
        <f aca="false">IFERROR(VLOOKUP($A17910,'319'!$B:$H,7,0),0)</f>
        <v>0</v>
      </c>
      <c r="G17910" s="34" t="n">
        <f aca="false">SUMIFS('12.326ana'!$C:$C,'12.326ana'!$M:$M,redes!A17910)</f>
        <v>0</v>
      </c>
    </row>
    <row r="17911" customFormat="false" ht="14.4" hidden="true" customHeight="false" outlineLevel="0" collapsed="false">
      <c r="A17911" s="34" t="n">
        <v>42567415000191</v>
      </c>
      <c r="B17911" s="34" t="s">
        <v>32747</v>
      </c>
      <c r="C17911" s="34" t="s">
        <v>631</v>
      </c>
      <c r="E17911" s="30" t="s">
        <v>32748</v>
      </c>
      <c r="F17911" s="34" t="n">
        <f aca="false">IFERROR(VLOOKUP($A17911,'319'!$B:$H,7,0),0)</f>
        <v>0</v>
      </c>
      <c r="G17911" s="34" t="n">
        <f aca="false">SUMIFS('12.326ana'!$C:$C,'12.326ana'!$M:$M,redes!A17911)</f>
        <v>0</v>
      </c>
    </row>
    <row r="17912" customFormat="false" ht="14.4" hidden="true" customHeight="false" outlineLevel="0" collapsed="false">
      <c r="A17912" s="34" t="n">
        <v>42606288000192</v>
      </c>
      <c r="B17912" s="34" t="s">
        <v>32749</v>
      </c>
      <c r="C17912" s="34" t="s">
        <v>562</v>
      </c>
      <c r="E17912" s="30" t="s">
        <v>32750</v>
      </c>
      <c r="F17912" s="34" t="n">
        <f aca="false">IFERROR(VLOOKUP($A17912,'319'!$B:$H,7,0),0)</f>
        <v>0</v>
      </c>
      <c r="G17912" s="34" t="n">
        <f aca="false">SUMIFS('12.326ana'!$C:$C,'12.326ana'!$M:$M,redes!A17912)</f>
        <v>0</v>
      </c>
    </row>
    <row r="17913" customFormat="false" ht="14.4" hidden="true" customHeight="false" outlineLevel="0" collapsed="false">
      <c r="A17913" s="34" t="n">
        <v>42609045000108</v>
      </c>
      <c r="B17913" s="34" t="s">
        <v>32751</v>
      </c>
      <c r="C17913" s="34" t="s">
        <v>103</v>
      </c>
      <c r="E17913" s="30"/>
      <c r="F17913" s="34" t="n">
        <f aca="false">IFERROR(VLOOKUP($A17913,'319'!$B:$H,7,0),0)</f>
        <v>0</v>
      </c>
      <c r="G17913" s="34" t="n">
        <f aca="false">SUMIFS('12.326ana'!$C:$C,'12.326ana'!$M:$M,redes!A17913)</f>
        <v>0</v>
      </c>
    </row>
    <row r="17914" customFormat="false" ht="14.4" hidden="true" customHeight="false" outlineLevel="0" collapsed="false">
      <c r="A17914" s="34" t="n">
        <v>42626199000108</v>
      </c>
      <c r="B17914" s="34" t="s">
        <v>32752</v>
      </c>
      <c r="C17914" s="34" t="s">
        <v>976</v>
      </c>
      <c r="E17914" s="30" t="s">
        <v>7565</v>
      </c>
      <c r="F17914" s="34" t="n">
        <f aca="false">IFERROR(VLOOKUP($A17914,'319'!$B:$H,7,0),0)</f>
        <v>0</v>
      </c>
      <c r="G17914" s="34" t="n">
        <f aca="false">SUMIFS('12.326ana'!$C:$C,'12.326ana'!$M:$M,redes!A17914)</f>
        <v>0</v>
      </c>
    </row>
    <row r="17915" customFormat="false" ht="14.4" hidden="true" customHeight="false" outlineLevel="0" collapsed="false">
      <c r="A17915" s="34" t="n">
        <v>42635223000175</v>
      </c>
      <c r="B17915" s="34" t="s">
        <v>32753</v>
      </c>
      <c r="C17915" s="34" t="s">
        <v>351</v>
      </c>
      <c r="E17915" s="30" t="s">
        <v>32753</v>
      </c>
      <c r="F17915" s="34" t="n">
        <f aca="false">IFERROR(VLOOKUP($A17915,'319'!$B:$H,7,0),0)</f>
        <v>0</v>
      </c>
      <c r="G17915" s="34" t="n">
        <f aca="false">SUMIFS('12.326ana'!$C:$C,'12.326ana'!$M:$M,redes!A17915)</f>
        <v>0</v>
      </c>
    </row>
    <row r="17916" customFormat="false" ht="14.4" hidden="true" customHeight="false" outlineLevel="0" collapsed="false">
      <c r="A17916" s="34" t="n">
        <v>42650659000133</v>
      </c>
      <c r="B17916" s="34" t="s">
        <v>32754</v>
      </c>
      <c r="C17916" s="34" t="s">
        <v>979</v>
      </c>
      <c r="E17916" s="30" t="s">
        <v>32755</v>
      </c>
      <c r="F17916" s="34" t="n">
        <f aca="false">IFERROR(VLOOKUP($A17916,'319'!$B:$H,7,0),0)</f>
        <v>0</v>
      </c>
      <c r="G17916" s="34" t="n">
        <f aca="false">SUMIFS('12.326ana'!$C:$C,'12.326ana'!$M:$M,redes!A17916)</f>
        <v>0</v>
      </c>
    </row>
    <row r="17917" customFormat="false" ht="14.4" hidden="true" customHeight="false" outlineLevel="0" collapsed="false">
      <c r="A17917" s="34" t="n">
        <v>42651029000183</v>
      </c>
      <c r="B17917" s="34" t="s">
        <v>32756</v>
      </c>
      <c r="C17917" s="34" t="s">
        <v>2998</v>
      </c>
      <c r="E17917" s="30" t="s">
        <v>32757</v>
      </c>
      <c r="F17917" s="34" t="n">
        <f aca="false">IFERROR(VLOOKUP($A17917,'319'!$B:$H,7,0),0)</f>
        <v>0</v>
      </c>
      <c r="G17917" s="34" t="n">
        <f aca="false">SUMIFS('12.326ana'!$C:$C,'12.326ana'!$M:$M,redes!A17917)</f>
        <v>0</v>
      </c>
    </row>
    <row r="17918" customFormat="false" ht="14.4" hidden="true" customHeight="false" outlineLevel="0" collapsed="false">
      <c r="A17918" s="34" t="n">
        <v>42654257000107</v>
      </c>
      <c r="B17918" s="34" t="s">
        <v>32758</v>
      </c>
      <c r="C17918" s="34" t="s">
        <v>77</v>
      </c>
      <c r="E17918" s="30" t="s">
        <v>32759</v>
      </c>
      <c r="F17918" s="34" t="n">
        <f aca="false">IFERROR(VLOOKUP($A17918,'319'!$B:$H,7,0),0)</f>
        <v>0</v>
      </c>
      <c r="G17918" s="34" t="n">
        <f aca="false">SUMIFS('12.326ana'!$C:$C,'12.326ana'!$M:$M,redes!A17918)</f>
        <v>0</v>
      </c>
    </row>
    <row r="17919" customFormat="false" ht="14.4" hidden="true" customHeight="false" outlineLevel="0" collapsed="false">
      <c r="A17919" s="34" t="n">
        <v>42685576000180</v>
      </c>
      <c r="B17919" s="34" t="s">
        <v>32760</v>
      </c>
      <c r="C17919" s="34" t="s">
        <v>89</v>
      </c>
      <c r="E17919" s="30" t="s">
        <v>27206</v>
      </c>
      <c r="F17919" s="34" t="n">
        <f aca="false">IFERROR(VLOOKUP($A17919,'319'!$B:$H,7,0),0)</f>
        <v>0</v>
      </c>
      <c r="G17919" s="34" t="n">
        <f aca="false">SUMIFS('12.326ana'!$C:$C,'12.326ana'!$M:$M,redes!A17919)</f>
        <v>0</v>
      </c>
    </row>
    <row r="17920" customFormat="false" ht="14.4" hidden="true" customHeight="false" outlineLevel="0" collapsed="false">
      <c r="A17920" s="34" t="n">
        <v>42690341000186</v>
      </c>
      <c r="B17920" s="34" t="s">
        <v>32761</v>
      </c>
      <c r="C17920" s="34" t="s">
        <v>77</v>
      </c>
      <c r="E17920" s="30" t="s">
        <v>32762</v>
      </c>
      <c r="F17920" s="34" t="n">
        <f aca="false">IFERROR(VLOOKUP($A17920,'319'!$B:$H,7,0),0)</f>
        <v>0</v>
      </c>
      <c r="G17920" s="34" t="n">
        <f aca="false">SUMIFS('12.326ana'!$C:$C,'12.326ana'!$M:$M,redes!A17920)</f>
        <v>0</v>
      </c>
    </row>
    <row r="17921" customFormat="false" ht="14.4" hidden="true" customHeight="false" outlineLevel="0" collapsed="false">
      <c r="A17921" s="34" t="n">
        <v>42712622000192</v>
      </c>
      <c r="B17921" s="34" t="s">
        <v>32763</v>
      </c>
      <c r="C17921" s="34" t="s">
        <v>357</v>
      </c>
      <c r="E17921" s="30" t="s">
        <v>32764</v>
      </c>
      <c r="F17921" s="34" t="n">
        <f aca="false">IFERROR(VLOOKUP($A17921,'319'!$B:$H,7,0),0)</f>
        <v>0</v>
      </c>
      <c r="G17921" s="34" t="n">
        <f aca="false">SUMIFS('12.326ana'!$C:$C,'12.326ana'!$M:$M,redes!A17921)</f>
        <v>0</v>
      </c>
    </row>
    <row r="17922" customFormat="false" ht="14.4" hidden="true" customHeight="false" outlineLevel="0" collapsed="false">
      <c r="A17922" s="34" t="n">
        <v>42716444000178</v>
      </c>
      <c r="B17922" s="34" t="s">
        <v>32765</v>
      </c>
      <c r="C17922" s="34" t="s">
        <v>4139</v>
      </c>
      <c r="E17922" s="30" t="s">
        <v>4034</v>
      </c>
      <c r="F17922" s="34" t="n">
        <f aca="false">IFERROR(VLOOKUP($A17922,'319'!$B:$H,7,0),0)</f>
        <v>0</v>
      </c>
      <c r="G17922" s="34" t="n">
        <f aca="false">SUMIFS('12.326ana'!$C:$C,'12.326ana'!$M:$M,redes!A17922)</f>
        <v>0</v>
      </c>
    </row>
    <row r="17923" customFormat="false" ht="14.4" hidden="true" customHeight="false" outlineLevel="0" collapsed="false">
      <c r="A17923" s="34" t="n">
        <v>42744600000104</v>
      </c>
      <c r="B17923" s="34" t="s">
        <v>32766</v>
      </c>
      <c r="C17923" s="34" t="s">
        <v>3594</v>
      </c>
      <c r="E17923" s="30" t="s">
        <v>32767</v>
      </c>
      <c r="F17923" s="34" t="n">
        <f aca="false">IFERROR(VLOOKUP($A17923,'319'!$B:$H,7,0),0)</f>
        <v>0</v>
      </c>
      <c r="G17923" s="34" t="n">
        <f aca="false">SUMIFS('12.326ana'!$C:$C,'12.326ana'!$M:$M,redes!A17923)</f>
        <v>0</v>
      </c>
    </row>
    <row r="17924" customFormat="false" ht="14.4" hidden="true" customHeight="false" outlineLevel="0" collapsed="false">
      <c r="A17924" s="34" t="n">
        <v>42750996000100</v>
      </c>
      <c r="B17924" s="34" t="s">
        <v>32768</v>
      </c>
      <c r="C17924" s="34" t="s">
        <v>139</v>
      </c>
      <c r="E17924" s="30" t="s">
        <v>32769</v>
      </c>
      <c r="F17924" s="34" t="n">
        <f aca="false">IFERROR(VLOOKUP($A17924,'319'!$B:$H,7,0),0)</f>
        <v>0</v>
      </c>
      <c r="G17924" s="34" t="n">
        <f aca="false">SUMIFS('12.326ana'!$C:$C,'12.326ana'!$M:$M,redes!A17924)</f>
        <v>0</v>
      </c>
    </row>
    <row r="17925" customFormat="false" ht="14.4" hidden="true" customHeight="false" outlineLevel="0" collapsed="false">
      <c r="A17925" s="34" t="n">
        <v>42765998000165</v>
      </c>
      <c r="B17925" s="34" t="s">
        <v>32770</v>
      </c>
      <c r="C17925" s="34" t="s">
        <v>336</v>
      </c>
      <c r="E17925" s="30" t="s">
        <v>32771</v>
      </c>
      <c r="F17925" s="34" t="n">
        <f aca="false">IFERROR(VLOOKUP($A17925,'319'!$B:$H,7,0),0)</f>
        <v>0</v>
      </c>
      <c r="G17925" s="34" t="n">
        <f aca="false">SUMIFS('12.326ana'!$C:$C,'12.326ana'!$M:$M,redes!A17925)</f>
        <v>0</v>
      </c>
    </row>
    <row r="17926" customFormat="false" ht="14.4" hidden="true" customHeight="false" outlineLevel="0" collapsed="false">
      <c r="A17926" s="34" t="n">
        <v>42770375000180</v>
      </c>
      <c r="B17926" s="34" t="s">
        <v>32772</v>
      </c>
      <c r="C17926" s="34" t="s">
        <v>77</v>
      </c>
      <c r="E17926" s="30" t="s">
        <v>32773</v>
      </c>
      <c r="F17926" s="34" t="n">
        <f aca="false">IFERROR(VLOOKUP($A17926,'319'!$B:$H,7,0),0)</f>
        <v>0</v>
      </c>
      <c r="G17926" s="34" t="n">
        <f aca="false">SUMIFS('12.326ana'!$C:$C,'12.326ana'!$M:$M,redes!A17926)</f>
        <v>0</v>
      </c>
    </row>
    <row r="17927" customFormat="false" ht="14.4" hidden="true" customHeight="false" outlineLevel="0" collapsed="false">
      <c r="A17927" s="34" t="n">
        <v>42774576000156</v>
      </c>
      <c r="B17927" s="34" t="s">
        <v>845</v>
      </c>
      <c r="C17927" s="34" t="s">
        <v>842</v>
      </c>
      <c r="E17927" s="30" t="s">
        <v>5149</v>
      </c>
      <c r="F17927" s="34" t="n">
        <f aca="false">IFERROR(VLOOKUP($A17927,'319'!$B:$H,7,0),0)</f>
        <v>2045.56</v>
      </c>
      <c r="G17927" s="34" t="n">
        <f aca="false">SUMIFS('12.326ana'!$C:$C,'12.326ana'!$M:$M,redes!A17927)</f>
        <v>0</v>
      </c>
    </row>
    <row r="17928" customFormat="false" ht="14.4" hidden="true" customHeight="false" outlineLevel="0" collapsed="false">
      <c r="A17928" s="34" t="n">
        <v>42775124000199</v>
      </c>
      <c r="B17928" s="34" t="s">
        <v>32774</v>
      </c>
      <c r="C17928" s="34" t="s">
        <v>342</v>
      </c>
      <c r="E17928" s="30" t="s">
        <v>32775</v>
      </c>
      <c r="F17928" s="34" t="n">
        <f aca="false">IFERROR(VLOOKUP($A17928,'319'!$B:$H,7,0),0)</f>
        <v>0</v>
      </c>
      <c r="G17928" s="34" t="n">
        <f aca="false">SUMIFS('12.326ana'!$C:$C,'12.326ana'!$M:$M,redes!A17928)</f>
        <v>0</v>
      </c>
    </row>
    <row r="17929" customFormat="false" ht="14.4" hidden="true" customHeight="false" outlineLevel="0" collapsed="false">
      <c r="A17929" s="34" t="n">
        <v>42785004000172</v>
      </c>
      <c r="B17929" s="34" t="s">
        <v>32776</v>
      </c>
      <c r="C17929" s="34" t="s">
        <v>77</v>
      </c>
      <c r="E17929" s="30" t="s">
        <v>32777</v>
      </c>
      <c r="F17929" s="34" t="n">
        <f aca="false">IFERROR(VLOOKUP($A17929,'319'!$B:$H,7,0),0)</f>
        <v>0</v>
      </c>
      <c r="G17929" s="34" t="n">
        <f aca="false">SUMIFS('12.326ana'!$C:$C,'12.326ana'!$M:$M,redes!A17929)</f>
        <v>0</v>
      </c>
    </row>
    <row r="17930" customFormat="false" ht="14.4" hidden="true" customHeight="false" outlineLevel="0" collapsed="false">
      <c r="A17930" s="34" t="n">
        <v>42788577000150</v>
      </c>
      <c r="B17930" s="34" t="s">
        <v>32778</v>
      </c>
      <c r="C17930" s="34" t="s">
        <v>631</v>
      </c>
      <c r="E17930" s="30" t="s">
        <v>32779</v>
      </c>
      <c r="F17930" s="34" t="n">
        <f aca="false">IFERROR(VLOOKUP($A17930,'319'!$B:$H,7,0),0)</f>
        <v>0</v>
      </c>
      <c r="G17930" s="34" t="n">
        <f aca="false">SUMIFS('12.326ana'!$C:$C,'12.326ana'!$M:$M,redes!A17930)</f>
        <v>0</v>
      </c>
    </row>
    <row r="17931" customFormat="false" ht="14.4" hidden="true" customHeight="false" outlineLevel="0" collapsed="false">
      <c r="A17931" s="34" t="n">
        <v>42801995000130</v>
      </c>
      <c r="B17931" s="34" t="s">
        <v>32780</v>
      </c>
      <c r="C17931" s="34" t="s">
        <v>77</v>
      </c>
      <c r="E17931" s="30" t="s">
        <v>30291</v>
      </c>
      <c r="F17931" s="34" t="n">
        <f aca="false">IFERROR(VLOOKUP($A17931,'319'!$B:$H,7,0),0)</f>
        <v>0</v>
      </c>
      <c r="G17931" s="34" t="n">
        <f aca="false">SUMIFS('12.326ana'!$C:$C,'12.326ana'!$M:$M,redes!A17931)</f>
        <v>0</v>
      </c>
    </row>
    <row r="17932" customFormat="false" ht="14.4" hidden="true" customHeight="false" outlineLevel="0" collapsed="false">
      <c r="A17932" s="34" t="n">
        <v>42843954000106</v>
      </c>
      <c r="B17932" s="34" t="s">
        <v>32781</v>
      </c>
      <c r="C17932" s="34" t="s">
        <v>594</v>
      </c>
      <c r="E17932" s="30" t="s">
        <v>32782</v>
      </c>
      <c r="F17932" s="34" t="n">
        <f aca="false">IFERROR(VLOOKUP($A17932,'319'!$B:$H,7,0),0)</f>
        <v>-195.54</v>
      </c>
      <c r="G17932" s="34" t="n">
        <f aca="false">SUMIFS('12.326ana'!$C:$C,'12.326ana'!$M:$M,redes!A17932)</f>
        <v>0</v>
      </c>
    </row>
    <row r="17933" customFormat="false" ht="14.4" hidden="true" customHeight="false" outlineLevel="0" collapsed="false">
      <c r="A17933" s="34" t="n">
        <v>42857053000173</v>
      </c>
      <c r="B17933" s="34" t="s">
        <v>32783</v>
      </c>
      <c r="C17933" s="34" t="s">
        <v>309</v>
      </c>
      <c r="E17933" s="30" t="s">
        <v>32784</v>
      </c>
      <c r="F17933" s="34" t="n">
        <f aca="false">IFERROR(VLOOKUP($A17933,'319'!$B:$H,7,0),0)</f>
        <v>0</v>
      </c>
      <c r="G17933" s="34" t="n">
        <f aca="false">SUMIFS('12.326ana'!$C:$C,'12.326ana'!$M:$M,redes!A17933)</f>
        <v>0</v>
      </c>
    </row>
    <row r="17934" customFormat="false" ht="14.4" hidden="true" customHeight="false" outlineLevel="0" collapsed="false">
      <c r="A17934" s="34" t="n">
        <v>42858192000111</v>
      </c>
      <c r="B17934" s="34" t="s">
        <v>32785</v>
      </c>
      <c r="C17934" s="34" t="s">
        <v>737</v>
      </c>
      <c r="E17934" s="30" t="s">
        <v>32786</v>
      </c>
      <c r="F17934" s="34" t="n">
        <f aca="false">IFERROR(VLOOKUP($A17934,'319'!$B:$H,7,0),0)</f>
        <v>0</v>
      </c>
      <c r="G17934" s="34" t="n">
        <f aca="false">SUMIFS('12.326ana'!$C:$C,'12.326ana'!$M:$M,redes!A17934)</f>
        <v>0</v>
      </c>
    </row>
    <row r="17935" customFormat="false" ht="14.4" hidden="true" customHeight="false" outlineLevel="0" collapsed="false">
      <c r="A17935" s="34" t="n">
        <v>42869389000156</v>
      </c>
      <c r="B17935" s="34" t="s">
        <v>32787</v>
      </c>
      <c r="C17935" s="34" t="s">
        <v>764</v>
      </c>
      <c r="E17935" s="30" t="s">
        <v>32788</v>
      </c>
      <c r="F17935" s="34" t="n">
        <f aca="false">IFERROR(VLOOKUP($A17935,'319'!$B:$H,7,0),0)</f>
        <v>0</v>
      </c>
      <c r="G17935" s="34" t="n">
        <f aca="false">SUMIFS('12.326ana'!$C:$C,'12.326ana'!$M:$M,redes!A17935)</f>
        <v>0</v>
      </c>
    </row>
    <row r="17936" customFormat="false" ht="14.4" hidden="true" customHeight="false" outlineLevel="0" collapsed="false">
      <c r="A17936" s="34" t="n">
        <v>42891008000135</v>
      </c>
      <c r="B17936" s="34" t="s">
        <v>32789</v>
      </c>
      <c r="C17936" s="34" t="s">
        <v>117</v>
      </c>
      <c r="E17936" s="30" t="s">
        <v>32790</v>
      </c>
      <c r="F17936" s="34" t="n">
        <f aca="false">IFERROR(VLOOKUP($A17936,'319'!$B:$H,7,0),0)</f>
        <v>0</v>
      </c>
      <c r="G17936" s="34" t="n">
        <f aca="false">SUMIFS('12.326ana'!$C:$C,'12.326ana'!$M:$M,redes!A17936)</f>
        <v>0</v>
      </c>
    </row>
    <row r="17937" customFormat="false" ht="14.4" hidden="true" customHeight="false" outlineLevel="0" collapsed="false">
      <c r="A17937" s="34" t="n">
        <v>42902033000177</v>
      </c>
      <c r="B17937" s="34" t="s">
        <v>32791</v>
      </c>
      <c r="C17937" s="34" t="s">
        <v>77</v>
      </c>
      <c r="E17937" s="30" t="s">
        <v>32792</v>
      </c>
      <c r="F17937" s="34" t="n">
        <f aca="false">IFERROR(VLOOKUP($A17937,'319'!$B:$H,7,0),0)</f>
        <v>0</v>
      </c>
      <c r="G17937" s="34" t="n">
        <f aca="false">SUMIFS('12.326ana'!$C:$C,'12.326ana'!$M:$M,redes!A17937)</f>
        <v>0</v>
      </c>
    </row>
    <row r="17938" customFormat="false" ht="14.4" hidden="true" customHeight="false" outlineLevel="0" collapsed="false">
      <c r="A17938" s="34" t="n">
        <v>42916526000328</v>
      </c>
      <c r="B17938" s="34" t="s">
        <v>32793</v>
      </c>
      <c r="C17938" s="34" t="s">
        <v>107</v>
      </c>
      <c r="E17938" s="30" t="s">
        <v>32794</v>
      </c>
      <c r="F17938" s="34" t="n">
        <f aca="false">IFERROR(VLOOKUP($A17938,'319'!$B:$H,7,0),0)</f>
        <v>0</v>
      </c>
      <c r="G17938" s="34" t="n">
        <f aca="false">SUMIFS('12.326ana'!$C:$C,'12.326ana'!$M:$M,redes!A17938)</f>
        <v>0</v>
      </c>
    </row>
    <row r="17939" customFormat="false" ht="14.4" hidden="true" customHeight="false" outlineLevel="0" collapsed="false">
      <c r="A17939" s="34" t="n">
        <v>42919573000163</v>
      </c>
      <c r="B17939" s="34" t="s">
        <v>32795</v>
      </c>
      <c r="C17939" s="34" t="s">
        <v>103</v>
      </c>
      <c r="E17939" s="30" t="s">
        <v>32796</v>
      </c>
      <c r="F17939" s="34" t="n">
        <f aca="false">IFERROR(VLOOKUP($A17939,'319'!$B:$H,7,0),0)</f>
        <v>0</v>
      </c>
      <c r="G17939" s="34" t="n">
        <f aca="false">SUMIFS('12.326ana'!$C:$C,'12.326ana'!$M:$M,redes!A17939)</f>
        <v>0</v>
      </c>
    </row>
    <row r="17940" customFormat="false" ht="14.4" hidden="true" customHeight="false" outlineLevel="0" collapsed="false">
      <c r="A17940" s="34" t="n">
        <v>42926361000103</v>
      </c>
      <c r="B17940" s="34" t="s">
        <v>32797</v>
      </c>
      <c r="C17940" s="34" t="s">
        <v>207</v>
      </c>
      <c r="E17940" s="30" t="s">
        <v>32798</v>
      </c>
      <c r="F17940" s="34" t="n">
        <f aca="false">IFERROR(VLOOKUP($A17940,'319'!$B:$H,7,0),0)</f>
        <v>0</v>
      </c>
      <c r="G17940" s="34" t="n">
        <f aca="false">SUMIFS('12.326ana'!$C:$C,'12.326ana'!$M:$M,redes!A17940)</f>
        <v>0</v>
      </c>
    </row>
    <row r="17941" customFormat="false" ht="14.4" hidden="true" customHeight="false" outlineLevel="0" collapsed="false">
      <c r="A17941" s="34" t="n">
        <v>42949208000100</v>
      </c>
      <c r="B17941" s="34" t="s">
        <v>32799</v>
      </c>
      <c r="C17941" s="34" t="s">
        <v>377</v>
      </c>
      <c r="E17941" s="30" t="s">
        <v>32799</v>
      </c>
      <c r="F17941" s="34" t="n">
        <f aca="false">IFERROR(VLOOKUP($A17941,'319'!$B:$H,7,0),0)</f>
        <v>0</v>
      </c>
      <c r="G17941" s="34" t="n">
        <f aca="false">SUMIFS('12.326ana'!$C:$C,'12.326ana'!$M:$M,redes!A17941)</f>
        <v>0</v>
      </c>
    </row>
    <row r="17942" customFormat="false" ht="14.4" hidden="true" customHeight="false" outlineLevel="0" collapsed="false">
      <c r="A17942" s="34" t="n">
        <v>42954393000112</v>
      </c>
      <c r="B17942" s="34" t="s">
        <v>32800</v>
      </c>
      <c r="C17942" s="34" t="s">
        <v>77</v>
      </c>
      <c r="E17942" s="30" t="s">
        <v>32801</v>
      </c>
      <c r="F17942" s="34" t="n">
        <f aca="false">IFERROR(VLOOKUP($A17942,'319'!$B:$H,7,0),0)</f>
        <v>0</v>
      </c>
      <c r="G17942" s="34" t="n">
        <f aca="false">SUMIFS('12.326ana'!$C:$C,'12.326ana'!$M:$M,redes!A17942)</f>
        <v>0</v>
      </c>
    </row>
    <row r="17943" customFormat="false" ht="14.4" hidden="true" customHeight="false" outlineLevel="0" collapsed="false">
      <c r="A17943" s="34" t="n">
        <v>42973471000126</v>
      </c>
      <c r="B17943" s="34" t="s">
        <v>32802</v>
      </c>
      <c r="C17943" s="34" t="s">
        <v>77</v>
      </c>
      <c r="E17943" s="30" t="s">
        <v>3206</v>
      </c>
      <c r="F17943" s="34" t="n">
        <f aca="false">IFERROR(VLOOKUP($A17943,'319'!$B:$H,7,0),0)</f>
        <v>0</v>
      </c>
      <c r="G17943" s="34" t="n">
        <f aca="false">SUMIFS('12.326ana'!$C:$C,'12.326ana'!$M:$M,redes!A17943)</f>
        <v>0</v>
      </c>
    </row>
    <row r="17944" customFormat="false" ht="14.4" hidden="true" customHeight="false" outlineLevel="0" collapsed="false">
      <c r="A17944" s="34" t="n">
        <v>42973930000171</v>
      </c>
      <c r="B17944" s="34" t="s">
        <v>32803</v>
      </c>
      <c r="C17944" s="34" t="s">
        <v>377</v>
      </c>
      <c r="E17944" s="30" t="s">
        <v>32804</v>
      </c>
      <c r="F17944" s="34" t="n">
        <f aca="false">IFERROR(VLOOKUP($A17944,'319'!$B:$H,7,0),0)</f>
        <v>0</v>
      </c>
      <c r="G17944" s="34" t="n">
        <f aca="false">SUMIFS('12.326ana'!$C:$C,'12.326ana'!$M:$M,redes!A17944)</f>
        <v>0</v>
      </c>
    </row>
    <row r="17945" customFormat="false" ht="14.4" hidden="true" customHeight="false" outlineLevel="0" collapsed="false">
      <c r="A17945" s="34" t="n">
        <v>42991496000152</v>
      </c>
      <c r="B17945" s="34" t="s">
        <v>32805</v>
      </c>
      <c r="C17945" s="34" t="s">
        <v>631</v>
      </c>
      <c r="E17945" s="30" t="s">
        <v>32806</v>
      </c>
      <c r="F17945" s="34" t="n">
        <f aca="false">IFERROR(VLOOKUP($A17945,'319'!$B:$H,7,0),0)</f>
        <v>0</v>
      </c>
      <c r="G17945" s="34" t="n">
        <f aca="false">SUMIFS('12.326ana'!$C:$C,'12.326ana'!$M:$M,redes!A17945)</f>
        <v>0</v>
      </c>
    </row>
    <row r="17946" customFormat="false" ht="14.4" hidden="true" customHeight="false" outlineLevel="0" collapsed="false">
      <c r="A17946" s="34" t="n">
        <v>43016557000123</v>
      </c>
      <c r="B17946" s="34" t="s">
        <v>32807</v>
      </c>
      <c r="C17946" s="34" t="s">
        <v>357</v>
      </c>
      <c r="E17946" s="30" t="s">
        <v>32808</v>
      </c>
      <c r="F17946" s="34" t="n">
        <f aca="false">IFERROR(VLOOKUP($A17946,'319'!$B:$H,7,0),0)</f>
        <v>0</v>
      </c>
      <c r="G17946" s="34" t="n">
        <f aca="false">SUMIFS('12.326ana'!$C:$C,'12.326ana'!$M:$M,redes!A17946)</f>
        <v>0</v>
      </c>
    </row>
    <row r="17947" customFormat="false" ht="14.4" hidden="true" customHeight="false" outlineLevel="0" collapsed="false">
      <c r="A17947" s="34" t="n">
        <v>43019882000140</v>
      </c>
      <c r="B17947" s="34" t="s">
        <v>32809</v>
      </c>
      <c r="C17947" s="34" t="s">
        <v>77</v>
      </c>
      <c r="E17947" s="30" t="s">
        <v>32810</v>
      </c>
      <c r="F17947" s="34" t="n">
        <f aca="false">IFERROR(VLOOKUP($A17947,'319'!$B:$H,7,0),0)</f>
        <v>0</v>
      </c>
      <c r="G17947" s="34" t="n">
        <f aca="false">SUMIFS('12.326ana'!$C:$C,'12.326ana'!$M:$M,redes!A17947)</f>
        <v>0</v>
      </c>
    </row>
    <row r="17948" customFormat="false" ht="14.4" hidden="true" customHeight="false" outlineLevel="0" collapsed="false">
      <c r="A17948" s="34" t="n">
        <v>43054517000176</v>
      </c>
      <c r="B17948" s="34" t="s">
        <v>32811</v>
      </c>
      <c r="C17948" s="34" t="s">
        <v>299</v>
      </c>
      <c r="E17948" s="30" t="s">
        <v>31271</v>
      </c>
      <c r="F17948" s="34" t="n">
        <f aca="false">IFERROR(VLOOKUP($A17948,'319'!$B:$H,7,0),0)</f>
        <v>0</v>
      </c>
      <c r="G17948" s="34" t="n">
        <f aca="false">SUMIFS('12.326ana'!$C:$C,'12.326ana'!$M:$M,redes!A17948)</f>
        <v>0</v>
      </c>
    </row>
    <row r="17949" customFormat="false" ht="14.4" hidden="true" customHeight="false" outlineLevel="0" collapsed="false">
      <c r="A17949" s="34" t="n">
        <v>43054517000257</v>
      </c>
      <c r="B17949" s="34" t="s">
        <v>32812</v>
      </c>
      <c r="C17949" s="34" t="s">
        <v>448</v>
      </c>
      <c r="E17949" s="30" t="s">
        <v>31271</v>
      </c>
      <c r="F17949" s="34" t="n">
        <f aca="false">IFERROR(VLOOKUP($A17949,'319'!$B:$H,7,0),0)</f>
        <v>0</v>
      </c>
      <c r="G17949" s="34" t="n">
        <f aca="false">SUMIFS('12.326ana'!$C:$C,'12.326ana'!$M:$M,redes!A17949)</f>
        <v>0</v>
      </c>
    </row>
    <row r="17950" customFormat="false" ht="14.4" hidden="true" customHeight="false" outlineLevel="0" collapsed="false">
      <c r="A17950" s="34" t="n">
        <v>43077630000177</v>
      </c>
      <c r="B17950" s="34" t="s">
        <v>32813</v>
      </c>
      <c r="C17950" s="34" t="s">
        <v>213</v>
      </c>
      <c r="E17950" s="30" t="s">
        <v>32814</v>
      </c>
      <c r="F17950" s="34" t="n">
        <f aca="false">IFERROR(VLOOKUP($A17950,'319'!$B:$H,7,0),0)</f>
        <v>0</v>
      </c>
      <c r="G17950" s="34" t="n">
        <f aca="false">SUMIFS('12.326ana'!$C:$C,'12.326ana'!$M:$M,redes!A17950)</f>
        <v>0</v>
      </c>
    </row>
    <row r="17951" customFormat="false" ht="14.4" hidden="true" customHeight="false" outlineLevel="0" collapsed="false">
      <c r="A17951" s="34" t="n">
        <v>43106689000146</v>
      </c>
      <c r="B17951" s="34" t="s">
        <v>32815</v>
      </c>
      <c r="C17951" s="34" t="s">
        <v>89</v>
      </c>
      <c r="E17951" s="30" t="s">
        <v>17623</v>
      </c>
      <c r="F17951" s="34" t="n">
        <f aca="false">IFERROR(VLOOKUP($A17951,'319'!$B:$H,7,0),0)</f>
        <v>0</v>
      </c>
      <c r="G17951" s="34" t="n">
        <f aca="false">SUMIFS('12.326ana'!$C:$C,'12.326ana'!$M:$M,redes!A17951)</f>
        <v>0</v>
      </c>
    </row>
    <row r="17952" customFormat="false" ht="14.4" hidden="true" customHeight="false" outlineLevel="0" collapsed="false">
      <c r="A17952" s="34" t="n">
        <v>43110979000163</v>
      </c>
      <c r="B17952" s="34" t="s">
        <v>32816</v>
      </c>
      <c r="C17952" s="34" t="s">
        <v>7250</v>
      </c>
      <c r="E17952" s="30" t="s">
        <v>6340</v>
      </c>
      <c r="F17952" s="34" t="n">
        <f aca="false">IFERROR(VLOOKUP($A17952,'319'!$B:$H,7,0),0)</f>
        <v>0</v>
      </c>
      <c r="G17952" s="34" t="n">
        <f aca="false">SUMIFS('12.326ana'!$C:$C,'12.326ana'!$M:$M,redes!A17952)</f>
        <v>0</v>
      </c>
    </row>
    <row r="17953" customFormat="false" ht="14.4" hidden="true" customHeight="false" outlineLevel="0" collapsed="false">
      <c r="A17953" s="34" t="n">
        <v>43117251000163</v>
      </c>
      <c r="B17953" s="34" t="s">
        <v>32817</v>
      </c>
      <c r="C17953" s="34" t="s">
        <v>562</v>
      </c>
      <c r="E17953" s="30" t="s">
        <v>32818</v>
      </c>
      <c r="F17953" s="34" t="n">
        <f aca="false">IFERROR(VLOOKUP($A17953,'319'!$B:$H,7,0),0)</f>
        <v>0</v>
      </c>
      <c r="G17953" s="34" t="n">
        <f aca="false">SUMIFS('12.326ana'!$C:$C,'12.326ana'!$M:$M,redes!A17953)</f>
        <v>0</v>
      </c>
    </row>
    <row r="17954" customFormat="false" ht="14.4" hidden="true" customHeight="false" outlineLevel="0" collapsed="false">
      <c r="A17954" s="34" t="n">
        <v>43121586000155</v>
      </c>
      <c r="B17954" s="34" t="s">
        <v>32819</v>
      </c>
      <c r="C17954" s="34" t="s">
        <v>604</v>
      </c>
      <c r="E17954" s="30" t="s">
        <v>4731</v>
      </c>
      <c r="F17954" s="34" t="n">
        <f aca="false">IFERROR(VLOOKUP($A17954,'319'!$B:$H,7,0),0)</f>
        <v>0</v>
      </c>
      <c r="G17954" s="34" t="n">
        <f aca="false">SUMIFS('12.326ana'!$C:$C,'12.326ana'!$M:$M,redes!A17954)</f>
        <v>0</v>
      </c>
    </row>
    <row r="17955" customFormat="false" ht="14.4" hidden="true" customHeight="false" outlineLevel="0" collapsed="false">
      <c r="A17955" s="34" t="n">
        <v>43127980000109</v>
      </c>
      <c r="B17955" s="34" t="s">
        <v>32820</v>
      </c>
      <c r="C17955" s="34" t="s">
        <v>77</v>
      </c>
      <c r="E17955" s="30" t="s">
        <v>32821</v>
      </c>
      <c r="F17955" s="34" t="n">
        <f aca="false">IFERROR(VLOOKUP($A17955,'319'!$B:$H,7,0),0)</f>
        <v>0</v>
      </c>
      <c r="G17955" s="34" t="n">
        <f aca="false">SUMIFS('12.326ana'!$C:$C,'12.326ana'!$M:$M,redes!A17955)</f>
        <v>0</v>
      </c>
    </row>
    <row r="17956" customFormat="false" ht="14.4" hidden="true" customHeight="false" outlineLevel="0" collapsed="false">
      <c r="A17956" s="34" t="n">
        <v>43157910000195</v>
      </c>
      <c r="B17956" s="34" t="s">
        <v>32822</v>
      </c>
      <c r="C17956" s="34" t="s">
        <v>581</v>
      </c>
      <c r="E17956" s="30" t="s">
        <v>32823</v>
      </c>
      <c r="F17956" s="34" t="n">
        <f aca="false">IFERROR(VLOOKUP($A17956,'319'!$B:$H,7,0),0)</f>
        <v>0</v>
      </c>
      <c r="G17956" s="34" t="n">
        <f aca="false">SUMIFS('12.326ana'!$C:$C,'12.326ana'!$M:$M,redes!A17956)</f>
        <v>0</v>
      </c>
    </row>
    <row r="17957" customFormat="false" ht="14.4" hidden="true" customHeight="false" outlineLevel="0" collapsed="false">
      <c r="A17957" s="34" t="n">
        <v>43165837000101</v>
      </c>
      <c r="B17957" s="34" t="s">
        <v>32824</v>
      </c>
      <c r="C17957" s="34" t="s">
        <v>213</v>
      </c>
      <c r="E17957" s="30" t="s">
        <v>32825</v>
      </c>
      <c r="F17957" s="34" t="n">
        <f aca="false">IFERROR(VLOOKUP($A17957,'319'!$B:$H,7,0),0)</f>
        <v>0</v>
      </c>
      <c r="G17957" s="34" t="n">
        <f aca="false">SUMIFS('12.326ana'!$C:$C,'12.326ana'!$M:$M,redes!A17957)</f>
        <v>0</v>
      </c>
    </row>
    <row r="17958" customFormat="false" ht="14.4" hidden="true" customHeight="false" outlineLevel="0" collapsed="false">
      <c r="A17958" s="34" t="n">
        <v>43214540000180</v>
      </c>
      <c r="B17958" s="34" t="s">
        <v>32826</v>
      </c>
      <c r="C17958" s="34" t="s">
        <v>89</v>
      </c>
      <c r="E17958" s="30" t="s">
        <v>32827</v>
      </c>
      <c r="F17958" s="34" t="n">
        <f aca="false">IFERROR(VLOOKUP($A17958,'319'!$B:$H,7,0),0)</f>
        <v>0</v>
      </c>
      <c r="G17958" s="34" t="n">
        <f aca="false">SUMIFS('12.326ana'!$C:$C,'12.326ana'!$M:$M,redes!A17958)</f>
        <v>0</v>
      </c>
    </row>
    <row r="17959" customFormat="false" ht="14.4" hidden="true" customHeight="false" outlineLevel="0" collapsed="false">
      <c r="A17959" s="34" t="n">
        <v>43214666000155</v>
      </c>
      <c r="B17959" s="34" t="s">
        <v>32828</v>
      </c>
      <c r="C17959" s="34" t="s">
        <v>107</v>
      </c>
      <c r="E17959" s="30" t="s">
        <v>32829</v>
      </c>
      <c r="F17959" s="34" t="n">
        <f aca="false">IFERROR(VLOOKUP($A17959,'319'!$B:$H,7,0),0)</f>
        <v>0</v>
      </c>
      <c r="G17959" s="34" t="n">
        <f aca="false">SUMIFS('12.326ana'!$C:$C,'12.326ana'!$M:$M,redes!A17959)</f>
        <v>0</v>
      </c>
    </row>
    <row r="17960" customFormat="false" ht="14.4" hidden="true" customHeight="false" outlineLevel="0" collapsed="false">
      <c r="A17960" s="34" t="n">
        <v>43219993000108</v>
      </c>
      <c r="B17960" s="34" t="s">
        <v>32830</v>
      </c>
      <c r="C17960" s="34" t="s">
        <v>77</v>
      </c>
      <c r="E17960" s="30" t="s">
        <v>32831</v>
      </c>
      <c r="F17960" s="34" t="n">
        <f aca="false">IFERROR(VLOOKUP($A17960,'319'!$B:$H,7,0),0)</f>
        <v>0</v>
      </c>
      <c r="G17960" s="34" t="n">
        <f aca="false">SUMIFS('12.326ana'!$C:$C,'12.326ana'!$M:$M,redes!A17960)</f>
        <v>0</v>
      </c>
    </row>
    <row r="17961" customFormat="false" ht="14.4" hidden="true" customHeight="false" outlineLevel="0" collapsed="false">
      <c r="A17961" s="34" t="n">
        <v>43259945000135</v>
      </c>
      <c r="B17961" s="34" t="s">
        <v>32832</v>
      </c>
      <c r="C17961" s="34" t="s">
        <v>89</v>
      </c>
      <c r="E17961" s="30" t="s">
        <v>32833</v>
      </c>
      <c r="F17961" s="34" t="n">
        <f aca="false">IFERROR(VLOOKUP($A17961,'319'!$B:$H,7,0),0)</f>
        <v>0</v>
      </c>
      <c r="G17961" s="34" t="n">
        <f aca="false">SUMIFS('12.326ana'!$C:$C,'12.326ana'!$M:$M,redes!A17961)</f>
        <v>0</v>
      </c>
    </row>
    <row r="17962" customFormat="false" ht="14.4" hidden="true" customHeight="false" outlineLevel="0" collapsed="false">
      <c r="A17962" s="34" t="n">
        <v>43259945000216</v>
      </c>
      <c r="B17962" s="34" t="s">
        <v>32834</v>
      </c>
      <c r="C17962" s="34" t="s">
        <v>89</v>
      </c>
      <c r="E17962" s="30" t="s">
        <v>32834</v>
      </c>
      <c r="F17962" s="34" t="n">
        <f aca="false">IFERROR(VLOOKUP($A17962,'319'!$B:$H,7,0),0)</f>
        <v>0</v>
      </c>
      <c r="G17962" s="34" t="n">
        <f aca="false">SUMIFS('12.326ana'!$C:$C,'12.326ana'!$M:$M,redes!A17962)</f>
        <v>0</v>
      </c>
    </row>
    <row r="17963" customFormat="false" ht="14.4" hidden="true" customHeight="false" outlineLevel="0" collapsed="false">
      <c r="A17963" s="34" t="n">
        <v>43260228000123</v>
      </c>
      <c r="B17963" s="34" t="s">
        <v>32835</v>
      </c>
      <c r="C17963" s="34" t="s">
        <v>77</v>
      </c>
      <c r="E17963" s="30" t="s">
        <v>32836</v>
      </c>
      <c r="F17963" s="34" t="n">
        <f aca="false">IFERROR(VLOOKUP($A17963,'319'!$B:$H,7,0),0)</f>
        <v>0</v>
      </c>
      <c r="G17963" s="34" t="n">
        <f aca="false">SUMIFS('12.326ana'!$C:$C,'12.326ana'!$M:$M,redes!A17963)</f>
        <v>0</v>
      </c>
    </row>
    <row r="17964" customFormat="false" ht="14.4" hidden="true" customHeight="false" outlineLevel="0" collapsed="false">
      <c r="A17964" s="34" t="n">
        <v>43296820000185</v>
      </c>
      <c r="B17964" s="34" t="s">
        <v>32837</v>
      </c>
      <c r="C17964" s="34" t="s">
        <v>107</v>
      </c>
      <c r="E17964" s="30" t="s">
        <v>18377</v>
      </c>
      <c r="F17964" s="34" t="n">
        <f aca="false">IFERROR(VLOOKUP($A17964,'319'!$B:$H,7,0),0)</f>
        <v>0</v>
      </c>
      <c r="G17964" s="34" t="n">
        <f aca="false">SUMIFS('12.326ana'!$C:$C,'12.326ana'!$M:$M,redes!A17964)</f>
        <v>0</v>
      </c>
    </row>
    <row r="17965" customFormat="false" ht="14.4" hidden="true" customHeight="false" outlineLevel="0" collapsed="false">
      <c r="A17965" s="34" t="n">
        <v>43301550000153</v>
      </c>
      <c r="B17965" s="34" t="s">
        <v>32838</v>
      </c>
      <c r="C17965" s="34" t="s">
        <v>357</v>
      </c>
      <c r="E17965" s="30" t="s">
        <v>32839</v>
      </c>
      <c r="F17965" s="34" t="n">
        <f aca="false">IFERROR(VLOOKUP($A17965,'319'!$B:$H,7,0),0)</f>
        <v>0</v>
      </c>
      <c r="G17965" s="34" t="n">
        <f aca="false">SUMIFS('12.326ana'!$C:$C,'12.326ana'!$M:$M,redes!A17965)</f>
        <v>0</v>
      </c>
    </row>
    <row r="17966" customFormat="false" ht="14.4" hidden="true" customHeight="false" outlineLevel="0" collapsed="false">
      <c r="A17966" s="34" t="n">
        <v>43314241000118</v>
      </c>
      <c r="B17966" s="34" t="s">
        <v>32840</v>
      </c>
      <c r="C17966" s="34" t="s">
        <v>107</v>
      </c>
      <c r="E17966" s="30" t="s">
        <v>32841</v>
      </c>
      <c r="F17966" s="34" t="n">
        <f aca="false">IFERROR(VLOOKUP($A17966,'319'!$B:$H,7,0),0)</f>
        <v>0</v>
      </c>
      <c r="G17966" s="34" t="n">
        <f aca="false">SUMIFS('12.326ana'!$C:$C,'12.326ana'!$M:$M,redes!A17966)</f>
        <v>0</v>
      </c>
    </row>
    <row r="17967" customFormat="false" ht="14.4" hidden="true" customHeight="false" outlineLevel="0" collapsed="false">
      <c r="A17967" s="34" t="n">
        <v>43317991000143</v>
      </c>
      <c r="B17967" s="34" t="s">
        <v>32842</v>
      </c>
      <c r="C17967" s="34" t="s">
        <v>77</v>
      </c>
      <c r="E17967" s="30" t="s">
        <v>32843</v>
      </c>
      <c r="F17967" s="34" t="n">
        <f aca="false">IFERROR(VLOOKUP($A17967,'319'!$B:$H,7,0),0)</f>
        <v>0</v>
      </c>
      <c r="G17967" s="34" t="n">
        <f aca="false">SUMIFS('12.326ana'!$C:$C,'12.326ana'!$M:$M,redes!A17967)</f>
        <v>0</v>
      </c>
    </row>
    <row r="17968" customFormat="false" ht="14.4" hidden="true" customHeight="false" outlineLevel="0" collapsed="false">
      <c r="A17968" s="34" t="n">
        <v>43330801000128</v>
      </c>
      <c r="B17968" s="34" t="s">
        <v>32844</v>
      </c>
      <c r="C17968" s="34" t="s">
        <v>77</v>
      </c>
      <c r="E17968" s="30" t="s">
        <v>32845</v>
      </c>
      <c r="F17968" s="34" t="n">
        <f aca="false">IFERROR(VLOOKUP($A17968,'319'!$B:$H,7,0),0)</f>
        <v>0</v>
      </c>
      <c r="G17968" s="34" t="n">
        <f aca="false">SUMIFS('12.326ana'!$C:$C,'12.326ana'!$M:$M,redes!A17968)</f>
        <v>0</v>
      </c>
    </row>
    <row r="17969" customFormat="false" ht="14.4" hidden="true" customHeight="false" outlineLevel="0" collapsed="false">
      <c r="A17969" s="34" t="n">
        <v>43354910000185</v>
      </c>
      <c r="B17969" s="34" t="s">
        <v>32846</v>
      </c>
      <c r="C17969" s="34" t="s">
        <v>631</v>
      </c>
      <c r="E17969" s="30" t="s">
        <v>32847</v>
      </c>
      <c r="F17969" s="34" t="n">
        <f aca="false">IFERROR(VLOOKUP($A17969,'319'!$B:$H,7,0),0)</f>
        <v>0</v>
      </c>
      <c r="G17969" s="34" t="n">
        <f aca="false">SUMIFS('12.326ana'!$C:$C,'12.326ana'!$M:$M,redes!A17969)</f>
        <v>0</v>
      </c>
    </row>
    <row r="17970" customFormat="false" ht="14.4" hidden="true" customHeight="false" outlineLevel="0" collapsed="false">
      <c r="A17970" s="34" t="n">
        <v>43375403000128</v>
      </c>
      <c r="B17970" s="34" t="s">
        <v>32848</v>
      </c>
      <c r="C17970" s="34" t="s">
        <v>77</v>
      </c>
      <c r="E17970" s="30" t="s">
        <v>32849</v>
      </c>
      <c r="F17970" s="34" t="n">
        <f aca="false">IFERROR(VLOOKUP($A17970,'319'!$B:$H,7,0),0)</f>
        <v>100.97</v>
      </c>
      <c r="G17970" s="34" t="n">
        <f aca="false">SUMIFS('12.326ana'!$C:$C,'12.326ana'!$M:$M,redes!A17970)</f>
        <v>0</v>
      </c>
    </row>
    <row r="17971" customFormat="false" ht="14.4" hidden="true" customHeight="false" outlineLevel="0" collapsed="false">
      <c r="A17971" s="34" t="n">
        <v>43393087000117</v>
      </c>
      <c r="B17971" s="34" t="s">
        <v>32850</v>
      </c>
      <c r="C17971" s="34" t="s">
        <v>192</v>
      </c>
      <c r="E17971" s="30" t="s">
        <v>32851</v>
      </c>
      <c r="F17971" s="34" t="n">
        <f aca="false">IFERROR(VLOOKUP($A17971,'319'!$B:$H,7,0),0)</f>
        <v>0</v>
      </c>
      <c r="G17971" s="34" t="n">
        <f aca="false">SUMIFS('12.326ana'!$C:$C,'12.326ana'!$M:$M,redes!A17971)</f>
        <v>0</v>
      </c>
    </row>
    <row r="17972" customFormat="false" ht="14.4" hidden="true" customHeight="false" outlineLevel="0" collapsed="false">
      <c r="A17972" s="34" t="n">
        <v>43405953000142</v>
      </c>
      <c r="B17972" s="34" t="s">
        <v>32852</v>
      </c>
      <c r="C17972" s="34" t="s">
        <v>77</v>
      </c>
      <c r="E17972" s="30" t="s">
        <v>32853</v>
      </c>
      <c r="F17972" s="34" t="n">
        <f aca="false">IFERROR(VLOOKUP($A17972,'319'!$B:$H,7,0),0)</f>
        <v>0</v>
      </c>
      <c r="G17972" s="34" t="n">
        <f aca="false">SUMIFS('12.326ana'!$C:$C,'12.326ana'!$M:$M,redes!A17972)</f>
        <v>0</v>
      </c>
    </row>
    <row r="17973" customFormat="false" ht="14.4" hidden="true" customHeight="false" outlineLevel="0" collapsed="false">
      <c r="A17973" s="34" t="n">
        <v>43409405000190</v>
      </c>
      <c r="B17973" s="34" t="s">
        <v>32854</v>
      </c>
      <c r="C17973" s="34" t="s">
        <v>77</v>
      </c>
      <c r="E17973" s="30" t="s">
        <v>32855</v>
      </c>
      <c r="F17973" s="34" t="n">
        <f aca="false">IFERROR(VLOOKUP($A17973,'319'!$B:$H,7,0),0)</f>
        <v>0</v>
      </c>
      <c r="G17973" s="34" t="n">
        <f aca="false">SUMIFS('12.326ana'!$C:$C,'12.326ana'!$M:$M,redes!A17973)</f>
        <v>0</v>
      </c>
    </row>
    <row r="17974" customFormat="false" ht="14.4" hidden="true" customHeight="false" outlineLevel="0" collapsed="false">
      <c r="A17974" s="34" t="n">
        <v>43412958000100</v>
      </c>
      <c r="B17974" s="34" t="s">
        <v>32856</v>
      </c>
      <c r="C17974" s="34" t="s">
        <v>107</v>
      </c>
      <c r="E17974" s="30" t="s">
        <v>32857</v>
      </c>
      <c r="F17974" s="34" t="n">
        <f aca="false">IFERROR(VLOOKUP($A17974,'319'!$B:$H,7,0),0)</f>
        <v>0</v>
      </c>
      <c r="G17974" s="34" t="n">
        <f aca="false">SUMIFS('12.326ana'!$C:$C,'12.326ana'!$M:$M,redes!A17974)</f>
        <v>0</v>
      </c>
    </row>
    <row r="17975" customFormat="false" ht="14.4" hidden="true" customHeight="false" outlineLevel="0" collapsed="false">
      <c r="A17975" s="34" t="n">
        <v>43421222000190</v>
      </c>
      <c r="B17975" s="34" t="s">
        <v>32858</v>
      </c>
      <c r="C17975" s="34" t="s">
        <v>77</v>
      </c>
      <c r="E17975" s="30" t="s">
        <v>32859</v>
      </c>
      <c r="F17975" s="34" t="n">
        <f aca="false">IFERROR(VLOOKUP($A17975,'319'!$B:$H,7,0),0)</f>
        <v>0</v>
      </c>
      <c r="G17975" s="34" t="n">
        <f aca="false">SUMIFS('12.326ana'!$C:$C,'12.326ana'!$M:$M,redes!A17975)</f>
        <v>0</v>
      </c>
    </row>
    <row r="17976" customFormat="false" ht="14.4" hidden="true" customHeight="false" outlineLevel="0" collapsed="false">
      <c r="A17976" s="34" t="n">
        <v>43437785000177</v>
      </c>
      <c r="B17976" s="34" t="s">
        <v>523</v>
      </c>
      <c r="C17976" s="34" t="s">
        <v>127</v>
      </c>
      <c r="D17976" s="34" t="s">
        <v>27</v>
      </c>
      <c r="E17976" s="30" t="s">
        <v>2873</v>
      </c>
      <c r="F17976" s="34" t="n">
        <f aca="false">IFERROR(VLOOKUP($A17976,'319'!$B:$H,7,0),0)</f>
        <v>54084.81</v>
      </c>
      <c r="G17976" s="34" t="n">
        <f aca="false">SUMIFS('12.326ana'!$C:$C,'12.326ana'!$M:$M,redes!A17976)</f>
        <v>2443.72</v>
      </c>
    </row>
    <row r="17977" customFormat="false" ht="14.4" hidden="true" customHeight="false" outlineLevel="0" collapsed="false">
      <c r="A17977" s="34" t="n">
        <v>43494577000100</v>
      </c>
      <c r="B17977" s="34" t="s">
        <v>32860</v>
      </c>
      <c r="C17977" s="34" t="s">
        <v>631</v>
      </c>
      <c r="E17977" s="30" t="s">
        <v>32861</v>
      </c>
      <c r="F17977" s="34" t="n">
        <f aca="false">IFERROR(VLOOKUP($A17977,'319'!$B:$H,7,0),0)</f>
        <v>0</v>
      </c>
      <c r="G17977" s="34" t="n">
        <f aca="false">SUMIFS('12.326ana'!$C:$C,'12.326ana'!$M:$M,redes!A17977)</f>
        <v>0</v>
      </c>
    </row>
    <row r="17978" customFormat="false" ht="14.4" hidden="true" customHeight="false" outlineLevel="0" collapsed="false">
      <c r="A17978" s="34" t="n">
        <v>43503828000175</v>
      </c>
      <c r="B17978" s="34" t="s">
        <v>966</v>
      </c>
      <c r="C17978" s="34" t="s">
        <v>967</v>
      </c>
      <c r="E17978" s="30" t="s">
        <v>32862</v>
      </c>
      <c r="F17978" s="34" t="n">
        <f aca="false">IFERROR(VLOOKUP($A17978,'319'!$B:$H,7,0),0)</f>
        <v>1058.64</v>
      </c>
      <c r="G17978" s="34" t="n">
        <f aca="false">SUMIFS('12.326ana'!$C:$C,'12.326ana'!$M:$M,redes!A17978)</f>
        <v>0</v>
      </c>
    </row>
    <row r="17979" customFormat="false" ht="14.4" hidden="true" customHeight="false" outlineLevel="0" collapsed="false">
      <c r="A17979" s="34" t="n">
        <v>43522704000137</v>
      </c>
      <c r="B17979" s="34" t="s">
        <v>32863</v>
      </c>
      <c r="C17979" s="34" t="s">
        <v>103</v>
      </c>
      <c r="E17979" s="30" t="s">
        <v>32864</v>
      </c>
      <c r="F17979" s="34" t="n">
        <f aca="false">IFERROR(VLOOKUP($A17979,'319'!$B:$H,7,0),0)</f>
        <v>0</v>
      </c>
      <c r="G17979" s="34" t="n">
        <f aca="false">SUMIFS('12.326ana'!$C:$C,'12.326ana'!$M:$M,redes!A17979)</f>
        <v>0</v>
      </c>
    </row>
    <row r="17980" customFormat="false" ht="14.4" hidden="true" customHeight="false" outlineLevel="0" collapsed="false">
      <c r="A17980" s="34" t="n">
        <v>43530189000137</v>
      </c>
      <c r="B17980" s="34" t="s">
        <v>32865</v>
      </c>
      <c r="C17980" s="34" t="s">
        <v>77</v>
      </c>
      <c r="E17980" s="30" t="s">
        <v>32866</v>
      </c>
      <c r="F17980" s="34" t="n">
        <f aca="false">IFERROR(VLOOKUP($A17980,'319'!$B:$H,7,0),0)</f>
        <v>0</v>
      </c>
      <c r="G17980" s="34" t="n">
        <f aca="false">SUMIFS('12.326ana'!$C:$C,'12.326ana'!$M:$M,redes!A17980)</f>
        <v>0</v>
      </c>
    </row>
    <row r="17981" customFormat="false" ht="14.4" hidden="true" customHeight="false" outlineLevel="0" collapsed="false">
      <c r="A17981" s="34" t="n">
        <v>43543162000189</v>
      </c>
      <c r="B17981" s="34" t="s">
        <v>32867</v>
      </c>
      <c r="C17981" s="34" t="s">
        <v>107</v>
      </c>
      <c r="E17981" s="30" t="s">
        <v>32868</v>
      </c>
      <c r="F17981" s="34" t="n">
        <f aca="false">IFERROR(VLOOKUP($A17981,'319'!$B:$H,7,0),0)</f>
        <v>0</v>
      </c>
      <c r="G17981" s="34" t="n">
        <f aca="false">SUMIFS('12.326ana'!$C:$C,'12.326ana'!$M:$M,redes!A17981)</f>
        <v>0</v>
      </c>
    </row>
    <row r="17982" customFormat="false" ht="14.4" hidden="true" customHeight="false" outlineLevel="0" collapsed="false">
      <c r="A17982" s="34" t="n">
        <v>43550942000156</v>
      </c>
      <c r="B17982" s="34" t="s">
        <v>32869</v>
      </c>
      <c r="C17982" s="34" t="s">
        <v>631</v>
      </c>
      <c r="E17982" s="30" t="s">
        <v>32870</v>
      </c>
      <c r="F17982" s="34" t="n">
        <f aca="false">IFERROR(VLOOKUP($A17982,'319'!$B:$H,7,0),0)</f>
        <v>0</v>
      </c>
      <c r="G17982" s="34" t="n">
        <f aca="false">SUMIFS('12.326ana'!$C:$C,'12.326ana'!$M:$M,redes!A17982)</f>
        <v>0</v>
      </c>
    </row>
    <row r="17983" customFormat="false" ht="14.4" hidden="true" customHeight="false" outlineLevel="0" collapsed="false">
      <c r="A17983" s="34" t="n">
        <v>43557055000100</v>
      </c>
      <c r="B17983" s="34" t="s">
        <v>32871</v>
      </c>
      <c r="C17983" s="34" t="s">
        <v>77</v>
      </c>
      <c r="E17983" s="30" t="s">
        <v>32872</v>
      </c>
      <c r="F17983" s="34" t="n">
        <f aca="false">IFERROR(VLOOKUP($A17983,'319'!$B:$H,7,0),0)</f>
        <v>0</v>
      </c>
      <c r="G17983" s="34" t="n">
        <f aca="false">SUMIFS('12.326ana'!$C:$C,'12.326ana'!$M:$M,redes!A17983)</f>
        <v>0</v>
      </c>
    </row>
    <row r="17984" customFormat="false" ht="14.4" hidden="true" customHeight="false" outlineLevel="0" collapsed="false">
      <c r="A17984" s="34" t="n">
        <v>43565098000137</v>
      </c>
      <c r="B17984" s="34" t="s">
        <v>32873</v>
      </c>
      <c r="C17984" s="34" t="s">
        <v>77</v>
      </c>
      <c r="E17984" s="30" t="s">
        <v>32874</v>
      </c>
      <c r="F17984" s="34" t="n">
        <f aca="false">IFERROR(VLOOKUP($A17984,'319'!$B:$H,7,0),0)</f>
        <v>0</v>
      </c>
      <c r="G17984" s="34" t="n">
        <f aca="false">SUMIFS('12.326ana'!$C:$C,'12.326ana'!$M:$M,redes!A17984)</f>
        <v>0</v>
      </c>
    </row>
    <row r="17985" customFormat="false" ht="14.4" hidden="true" customHeight="false" outlineLevel="0" collapsed="false">
      <c r="A17985" s="34" t="n">
        <v>43568943000128</v>
      </c>
      <c r="B17985" s="34" t="s">
        <v>32875</v>
      </c>
      <c r="C17985" s="34" t="s">
        <v>77</v>
      </c>
      <c r="E17985" s="30" t="s">
        <v>32876</v>
      </c>
      <c r="F17985" s="34" t="n">
        <f aca="false">IFERROR(VLOOKUP($A17985,'319'!$B:$H,7,0),0)</f>
        <v>0</v>
      </c>
      <c r="G17985" s="34" t="n">
        <f aca="false">SUMIFS('12.326ana'!$C:$C,'12.326ana'!$M:$M,redes!A17985)</f>
        <v>0</v>
      </c>
    </row>
    <row r="17986" customFormat="false" ht="14.4" hidden="true" customHeight="false" outlineLevel="0" collapsed="false">
      <c r="A17986" s="34" t="n">
        <v>43570234000187</v>
      </c>
      <c r="B17986" s="34" t="s">
        <v>32877</v>
      </c>
      <c r="C17986" s="34" t="s">
        <v>197</v>
      </c>
      <c r="E17986" s="30" t="s">
        <v>32878</v>
      </c>
      <c r="F17986" s="34" t="n">
        <f aca="false">IFERROR(VLOOKUP($A17986,'319'!$B:$H,7,0),0)</f>
        <v>0</v>
      </c>
      <c r="G17986" s="34" t="n">
        <f aca="false">SUMIFS('12.326ana'!$C:$C,'12.326ana'!$M:$M,redes!A17986)</f>
        <v>0</v>
      </c>
    </row>
    <row r="17987" customFormat="false" ht="14.4" hidden="true" customHeight="false" outlineLevel="0" collapsed="false">
      <c r="A17987" s="34" t="n">
        <v>43600644000123</v>
      </c>
      <c r="B17987" s="34" t="s">
        <v>32879</v>
      </c>
      <c r="C17987" s="34" t="s">
        <v>77</v>
      </c>
      <c r="E17987" s="30" t="s">
        <v>32879</v>
      </c>
      <c r="F17987" s="34" t="n">
        <f aca="false">IFERROR(VLOOKUP($A17987,'319'!$B:$H,7,0),0)</f>
        <v>0</v>
      </c>
      <c r="G17987" s="34" t="n">
        <f aca="false">SUMIFS('12.326ana'!$C:$C,'12.326ana'!$M:$M,redes!A17987)</f>
        <v>0</v>
      </c>
    </row>
    <row r="17988" customFormat="false" ht="14.4" hidden="true" customHeight="false" outlineLevel="0" collapsed="false">
      <c r="A17988" s="34" t="n">
        <v>43602605000165</v>
      </c>
      <c r="B17988" s="34" t="s">
        <v>32880</v>
      </c>
      <c r="C17988" s="34" t="s">
        <v>737</v>
      </c>
      <c r="E17988" s="30" t="s">
        <v>32881</v>
      </c>
      <c r="F17988" s="34" t="n">
        <f aca="false">IFERROR(VLOOKUP($A17988,'319'!$B:$H,7,0),0)</f>
        <v>194.22</v>
      </c>
      <c r="G17988" s="34" t="n">
        <f aca="false">SUMIFS('12.326ana'!$C:$C,'12.326ana'!$M:$M,redes!A17988)</f>
        <v>0</v>
      </c>
    </row>
    <row r="17989" customFormat="false" ht="14.4" hidden="true" customHeight="false" outlineLevel="0" collapsed="false">
      <c r="A17989" s="34" t="n">
        <v>43613481000113</v>
      </c>
      <c r="B17989" s="34" t="s">
        <v>32882</v>
      </c>
      <c r="C17989" s="34" t="s">
        <v>77</v>
      </c>
      <c r="E17989" s="30" t="s">
        <v>32883</v>
      </c>
      <c r="F17989" s="34" t="n">
        <f aca="false">IFERROR(VLOOKUP($A17989,'319'!$B:$H,7,0),0)</f>
        <v>0</v>
      </c>
      <c r="G17989" s="34" t="n">
        <f aca="false">SUMIFS('12.326ana'!$C:$C,'12.326ana'!$M:$M,redes!A17989)</f>
        <v>0</v>
      </c>
    </row>
    <row r="17990" customFormat="false" ht="14.4" hidden="true" customHeight="false" outlineLevel="0" collapsed="false">
      <c r="A17990" s="34" t="n">
        <v>43634850000154</v>
      </c>
      <c r="B17990" s="34" t="s">
        <v>32884</v>
      </c>
      <c r="C17990" s="34" t="s">
        <v>77</v>
      </c>
      <c r="E17990" s="30" t="s">
        <v>28853</v>
      </c>
      <c r="F17990" s="34" t="n">
        <f aca="false">IFERROR(VLOOKUP($A17990,'319'!$B:$H,7,0),0)</f>
        <v>0</v>
      </c>
      <c r="G17990" s="34" t="n">
        <f aca="false">SUMIFS('12.326ana'!$C:$C,'12.326ana'!$M:$M,redes!A17990)</f>
        <v>0</v>
      </c>
    </row>
    <row r="17991" customFormat="false" ht="14.4" hidden="true" customHeight="false" outlineLevel="0" collapsed="false">
      <c r="A17991" s="34" t="n">
        <v>43639297000142</v>
      </c>
      <c r="B17991" s="34" t="s">
        <v>32885</v>
      </c>
      <c r="C17991" s="34" t="s">
        <v>77</v>
      </c>
      <c r="E17991" s="30" t="s">
        <v>32886</v>
      </c>
      <c r="F17991" s="34" t="n">
        <f aca="false">IFERROR(VLOOKUP($A17991,'319'!$B:$H,7,0),0)</f>
        <v>0</v>
      </c>
      <c r="G17991" s="34" t="n">
        <f aca="false">SUMIFS('12.326ana'!$C:$C,'12.326ana'!$M:$M,redes!A17991)</f>
        <v>0</v>
      </c>
    </row>
    <row r="17992" customFormat="false" ht="14.4" hidden="true" customHeight="false" outlineLevel="0" collapsed="false">
      <c r="A17992" s="34" t="n">
        <v>43642535000179</v>
      </c>
      <c r="B17992" s="34" t="s">
        <v>32887</v>
      </c>
      <c r="C17992" s="34" t="s">
        <v>77</v>
      </c>
      <c r="E17992" s="30" t="s">
        <v>10914</v>
      </c>
      <c r="F17992" s="34" t="n">
        <f aca="false">IFERROR(VLOOKUP($A17992,'319'!$B:$H,7,0),0)</f>
        <v>0</v>
      </c>
      <c r="G17992" s="34" t="n">
        <f aca="false">SUMIFS('12.326ana'!$C:$C,'12.326ana'!$M:$M,redes!A17992)</f>
        <v>0</v>
      </c>
    </row>
    <row r="17993" customFormat="false" ht="14.4" hidden="true" customHeight="false" outlineLevel="0" collapsed="false">
      <c r="A17993" s="34" t="n">
        <v>43642535000250</v>
      </c>
      <c r="B17993" s="34" t="s">
        <v>32888</v>
      </c>
      <c r="C17993" s="34" t="s">
        <v>77</v>
      </c>
      <c r="E17993" s="30" t="s">
        <v>32889</v>
      </c>
      <c r="F17993" s="34" t="n">
        <f aca="false">IFERROR(VLOOKUP($A17993,'319'!$B:$H,7,0),0)</f>
        <v>0</v>
      </c>
      <c r="G17993" s="34" t="n">
        <f aca="false">SUMIFS('12.326ana'!$C:$C,'12.326ana'!$M:$M,redes!A17993)</f>
        <v>0</v>
      </c>
    </row>
    <row r="17994" customFormat="false" ht="14.4" hidden="true" customHeight="false" outlineLevel="0" collapsed="false">
      <c r="A17994" s="34" t="n">
        <v>43642535000330</v>
      </c>
      <c r="B17994" s="34" t="s">
        <v>32890</v>
      </c>
      <c r="C17994" s="34" t="s">
        <v>77</v>
      </c>
      <c r="E17994" s="30" t="s">
        <v>10914</v>
      </c>
      <c r="F17994" s="34" t="n">
        <f aca="false">IFERROR(VLOOKUP($A17994,'319'!$B:$H,7,0),0)</f>
        <v>250.33</v>
      </c>
      <c r="G17994" s="34" t="n">
        <f aca="false">SUMIFS('12.326ana'!$C:$C,'12.326ana'!$M:$M,redes!A17994)</f>
        <v>0</v>
      </c>
    </row>
    <row r="17995" customFormat="false" ht="14.4" hidden="true" customHeight="false" outlineLevel="0" collapsed="false">
      <c r="A17995" s="34" t="n">
        <v>43648811000106</v>
      </c>
      <c r="B17995" s="34" t="s">
        <v>32891</v>
      </c>
      <c r="C17995" s="34" t="s">
        <v>192</v>
      </c>
      <c r="E17995" s="30" t="s">
        <v>31333</v>
      </c>
      <c r="F17995" s="34" t="n">
        <f aca="false">IFERROR(VLOOKUP($A17995,'319'!$B:$H,7,0),0)</f>
        <v>0</v>
      </c>
      <c r="G17995" s="34" t="n">
        <f aca="false">SUMIFS('12.326ana'!$C:$C,'12.326ana'!$M:$M,redes!A17995)</f>
        <v>0</v>
      </c>
    </row>
    <row r="17996" customFormat="false" ht="14.4" hidden="true" customHeight="false" outlineLevel="0" collapsed="false">
      <c r="A17996" s="34" t="n">
        <v>43658386000136</v>
      </c>
      <c r="B17996" s="34" t="s">
        <v>32892</v>
      </c>
      <c r="C17996" s="34" t="s">
        <v>357</v>
      </c>
      <c r="E17996" s="30" t="s">
        <v>32893</v>
      </c>
      <c r="F17996" s="34" t="n">
        <f aca="false">IFERROR(VLOOKUP($A17996,'319'!$B:$H,7,0),0)</f>
        <v>0</v>
      </c>
      <c r="G17996" s="34" t="n">
        <f aca="false">SUMIFS('12.326ana'!$C:$C,'12.326ana'!$M:$M,redes!A17996)</f>
        <v>0</v>
      </c>
    </row>
    <row r="17997" customFormat="false" ht="14.4" hidden="true" customHeight="false" outlineLevel="0" collapsed="false">
      <c r="A17997" s="34" t="n">
        <v>43689705000170</v>
      </c>
      <c r="B17997" s="34" t="s">
        <v>32894</v>
      </c>
      <c r="C17997" s="34" t="s">
        <v>103</v>
      </c>
      <c r="E17997" s="30" t="s">
        <v>32895</v>
      </c>
      <c r="F17997" s="34" t="n">
        <f aca="false">IFERROR(VLOOKUP($A17997,'319'!$B:$H,7,0),0)</f>
        <v>0</v>
      </c>
      <c r="G17997" s="34" t="n">
        <f aca="false">SUMIFS('12.326ana'!$C:$C,'12.326ana'!$M:$M,redes!A17997)</f>
        <v>0</v>
      </c>
    </row>
    <row r="17998" customFormat="false" ht="14.4" hidden="true" customHeight="false" outlineLevel="0" collapsed="false">
      <c r="A17998" s="34" t="n">
        <v>43698454000190</v>
      </c>
      <c r="B17998" s="34" t="s">
        <v>32896</v>
      </c>
      <c r="C17998" s="34" t="s">
        <v>744</v>
      </c>
      <c r="E17998" s="30" t="s">
        <v>32897</v>
      </c>
      <c r="F17998" s="34" t="n">
        <f aca="false">IFERROR(VLOOKUP($A17998,'319'!$B:$H,7,0),0)</f>
        <v>0</v>
      </c>
      <c r="G17998" s="34" t="n">
        <f aca="false">SUMIFS('12.326ana'!$C:$C,'12.326ana'!$M:$M,redes!A17998)</f>
        <v>0</v>
      </c>
    </row>
    <row r="17999" customFormat="false" ht="14.4" hidden="true" customHeight="false" outlineLevel="0" collapsed="false">
      <c r="A17999" s="34" t="n">
        <v>43715080000174</v>
      </c>
      <c r="B17999" s="34" t="s">
        <v>32898</v>
      </c>
      <c r="C17999" s="34" t="s">
        <v>77</v>
      </c>
      <c r="E17999" s="30" t="s">
        <v>32899</v>
      </c>
      <c r="F17999" s="34" t="n">
        <f aca="false">IFERROR(VLOOKUP($A17999,'319'!$B:$H,7,0),0)</f>
        <v>0</v>
      </c>
      <c r="G17999" s="34" t="n">
        <f aca="false">SUMIFS('12.326ana'!$C:$C,'12.326ana'!$M:$M,redes!A17999)</f>
        <v>0</v>
      </c>
    </row>
    <row r="18000" customFormat="false" ht="14.4" hidden="true" customHeight="false" outlineLevel="0" collapsed="false">
      <c r="A18000" s="34" t="n">
        <v>43728452000105</v>
      </c>
      <c r="B18000" s="34" t="s">
        <v>32900</v>
      </c>
      <c r="C18000" s="34" t="s">
        <v>77</v>
      </c>
      <c r="E18000" s="30" t="s">
        <v>32901</v>
      </c>
      <c r="F18000" s="34" t="n">
        <f aca="false">IFERROR(VLOOKUP($A18000,'319'!$B:$H,7,0),0)</f>
        <v>0</v>
      </c>
      <c r="G18000" s="34" t="n">
        <f aca="false">SUMIFS('12.326ana'!$C:$C,'12.326ana'!$M:$M,redes!A18000)</f>
        <v>0</v>
      </c>
    </row>
    <row r="18001" customFormat="false" ht="14.4" hidden="true" customHeight="false" outlineLevel="0" collapsed="false">
      <c r="A18001" s="34" t="n">
        <v>43732938000109</v>
      </c>
      <c r="B18001" s="34" t="s">
        <v>32902</v>
      </c>
      <c r="C18001" s="34" t="s">
        <v>139</v>
      </c>
      <c r="E18001" s="30" t="s">
        <v>22543</v>
      </c>
      <c r="F18001" s="34" t="n">
        <f aca="false">IFERROR(VLOOKUP($A18001,'319'!$B:$H,7,0),0)</f>
        <v>0</v>
      </c>
      <c r="G18001" s="34" t="n">
        <f aca="false">SUMIFS('12.326ana'!$C:$C,'12.326ana'!$M:$M,redes!A18001)</f>
        <v>0</v>
      </c>
    </row>
    <row r="18002" customFormat="false" ht="14.4" hidden="true" customHeight="false" outlineLevel="0" collapsed="false">
      <c r="A18002" s="34" t="n">
        <v>43733576000170</v>
      </c>
      <c r="B18002" s="34" t="s">
        <v>32903</v>
      </c>
      <c r="C18002" s="34" t="s">
        <v>77</v>
      </c>
      <c r="E18002" s="30" t="s">
        <v>18804</v>
      </c>
      <c r="F18002" s="34" t="n">
        <f aca="false">IFERROR(VLOOKUP($A18002,'319'!$B:$H,7,0),0)</f>
        <v>0</v>
      </c>
      <c r="G18002" s="34" t="n">
        <f aca="false">SUMIFS('12.326ana'!$C:$C,'12.326ana'!$M:$M,redes!A18002)</f>
        <v>0</v>
      </c>
    </row>
    <row r="18003" customFormat="false" ht="14.4" hidden="true" customHeight="false" outlineLevel="0" collapsed="false">
      <c r="A18003" s="34" t="n">
        <v>43737467000121</v>
      </c>
      <c r="B18003" s="34" t="s">
        <v>32904</v>
      </c>
      <c r="C18003" s="34" t="s">
        <v>107</v>
      </c>
      <c r="E18003" s="30" t="s">
        <v>32905</v>
      </c>
      <c r="F18003" s="34" t="n">
        <f aca="false">IFERROR(VLOOKUP($A18003,'319'!$B:$H,7,0),0)</f>
        <v>0</v>
      </c>
      <c r="G18003" s="34" t="n">
        <f aca="false">SUMIFS('12.326ana'!$C:$C,'12.326ana'!$M:$M,redes!A18003)</f>
        <v>0</v>
      </c>
    </row>
    <row r="18004" customFormat="false" ht="14.4" hidden="true" customHeight="false" outlineLevel="0" collapsed="false">
      <c r="A18004" s="34" t="n">
        <v>43740685000115</v>
      </c>
      <c r="B18004" s="34" t="s">
        <v>32906</v>
      </c>
      <c r="C18004" s="34" t="s">
        <v>631</v>
      </c>
      <c r="E18004" s="30" t="s">
        <v>32906</v>
      </c>
      <c r="F18004" s="34" t="n">
        <f aca="false">IFERROR(VLOOKUP($A18004,'319'!$B:$H,7,0),0)</f>
        <v>0</v>
      </c>
      <c r="G18004" s="34" t="n">
        <f aca="false">SUMIFS('12.326ana'!$C:$C,'12.326ana'!$M:$M,redes!A18004)</f>
        <v>0</v>
      </c>
    </row>
    <row r="18005" customFormat="false" ht="14.4" hidden="true" customHeight="false" outlineLevel="0" collapsed="false">
      <c r="A18005" s="34" t="n">
        <v>43757164000170</v>
      </c>
      <c r="B18005" s="34" t="s">
        <v>32907</v>
      </c>
      <c r="C18005" s="34" t="s">
        <v>213</v>
      </c>
      <c r="E18005" s="30" t="s">
        <v>32908</v>
      </c>
      <c r="F18005" s="34" t="n">
        <f aca="false">IFERROR(VLOOKUP($A18005,'319'!$B:$H,7,0),0)</f>
        <v>0</v>
      </c>
      <c r="G18005" s="34" t="n">
        <f aca="false">SUMIFS('12.326ana'!$C:$C,'12.326ana'!$M:$M,redes!A18005)</f>
        <v>0</v>
      </c>
    </row>
    <row r="18006" customFormat="false" ht="14.4" hidden="true" customHeight="false" outlineLevel="0" collapsed="false">
      <c r="A18006" s="34" t="n">
        <v>43758169000118</v>
      </c>
      <c r="B18006" s="34" t="s">
        <v>32909</v>
      </c>
      <c r="C18006" s="34" t="s">
        <v>957</v>
      </c>
      <c r="E18006" s="30" t="s">
        <v>32909</v>
      </c>
      <c r="F18006" s="34" t="n">
        <f aca="false">IFERROR(VLOOKUP($A18006,'319'!$B:$H,7,0),0)</f>
        <v>0</v>
      </c>
      <c r="G18006" s="34" t="n">
        <f aca="false">SUMIFS('12.326ana'!$C:$C,'12.326ana'!$M:$M,redes!A18006)</f>
        <v>0</v>
      </c>
    </row>
    <row r="18007" customFormat="false" ht="14.4" hidden="true" customHeight="false" outlineLevel="0" collapsed="false">
      <c r="A18007" s="34" t="n">
        <v>43821594000104</v>
      </c>
      <c r="B18007" s="34" t="s">
        <v>32910</v>
      </c>
      <c r="C18007" s="34" t="s">
        <v>77</v>
      </c>
      <c r="E18007" s="30" t="s">
        <v>32911</v>
      </c>
      <c r="F18007" s="34" t="n">
        <f aca="false">IFERROR(VLOOKUP($A18007,'319'!$B:$H,7,0),0)</f>
        <v>0</v>
      </c>
      <c r="G18007" s="34" t="n">
        <f aca="false">SUMIFS('12.326ana'!$C:$C,'12.326ana'!$M:$M,redes!A18007)</f>
        <v>0</v>
      </c>
    </row>
    <row r="18008" customFormat="false" ht="14.4" hidden="true" customHeight="false" outlineLevel="0" collapsed="false">
      <c r="A18008" s="34" t="n">
        <v>43859013000123</v>
      </c>
      <c r="B18008" s="34" t="s">
        <v>32912</v>
      </c>
      <c r="C18008" s="34" t="s">
        <v>77</v>
      </c>
      <c r="E18008" s="30" t="s">
        <v>32913</v>
      </c>
      <c r="F18008" s="34" t="n">
        <f aca="false">IFERROR(VLOOKUP($A18008,'319'!$B:$H,7,0),0)</f>
        <v>0</v>
      </c>
      <c r="G18008" s="34" t="n">
        <f aca="false">SUMIFS('12.326ana'!$C:$C,'12.326ana'!$M:$M,redes!A18008)</f>
        <v>0</v>
      </c>
    </row>
    <row r="18009" customFormat="false" ht="14.4" hidden="true" customHeight="false" outlineLevel="0" collapsed="false">
      <c r="A18009" s="34" t="n">
        <v>43872017000141</v>
      </c>
      <c r="B18009" s="34" t="s">
        <v>32914</v>
      </c>
      <c r="C18009" s="34" t="s">
        <v>89</v>
      </c>
      <c r="E18009" s="30" t="s">
        <v>32415</v>
      </c>
      <c r="F18009" s="34" t="n">
        <f aca="false">IFERROR(VLOOKUP($A18009,'319'!$B:$H,7,0),0)</f>
        <v>0</v>
      </c>
      <c r="G18009" s="34" t="n">
        <f aca="false">SUMIFS('12.326ana'!$C:$C,'12.326ana'!$M:$M,redes!A18009)</f>
        <v>0</v>
      </c>
    </row>
    <row r="18010" customFormat="false" ht="14.4" hidden="true" customHeight="false" outlineLevel="0" collapsed="false">
      <c r="A18010" s="34" t="n">
        <v>43876807000103</v>
      </c>
      <c r="B18010" s="34" t="s">
        <v>32915</v>
      </c>
      <c r="C18010" s="34" t="s">
        <v>192</v>
      </c>
      <c r="E18010" s="30" t="s">
        <v>27937</v>
      </c>
      <c r="F18010" s="34" t="n">
        <f aca="false">IFERROR(VLOOKUP($A18010,'319'!$B:$H,7,0),0)</f>
        <v>0</v>
      </c>
      <c r="G18010" s="34" t="n">
        <f aca="false">SUMIFS('12.326ana'!$C:$C,'12.326ana'!$M:$M,redes!A18010)</f>
        <v>0</v>
      </c>
    </row>
    <row r="18011" customFormat="false" ht="14.4" hidden="true" customHeight="false" outlineLevel="0" collapsed="false">
      <c r="A18011" s="34" t="n">
        <v>43877680000139</v>
      </c>
      <c r="B18011" s="34" t="s">
        <v>32916</v>
      </c>
      <c r="C18011" s="34" t="s">
        <v>139</v>
      </c>
      <c r="E18011" s="30" t="s">
        <v>32916</v>
      </c>
      <c r="F18011" s="34" t="n">
        <f aca="false">IFERROR(VLOOKUP($A18011,'319'!$B:$H,7,0),0)</f>
        <v>0</v>
      </c>
      <c r="G18011" s="34" t="n">
        <f aca="false">SUMIFS('12.326ana'!$C:$C,'12.326ana'!$M:$M,redes!A18011)</f>
        <v>0</v>
      </c>
    </row>
    <row r="18012" customFormat="false" ht="14.4" hidden="true" customHeight="false" outlineLevel="0" collapsed="false">
      <c r="A18012" s="34" t="n">
        <v>43880047000108</v>
      </c>
      <c r="B18012" s="34" t="s">
        <v>32917</v>
      </c>
      <c r="C18012" s="34" t="s">
        <v>77</v>
      </c>
      <c r="E18012" s="30" t="s">
        <v>32918</v>
      </c>
      <c r="F18012" s="34" t="n">
        <f aca="false">IFERROR(VLOOKUP($A18012,'319'!$B:$H,7,0),0)</f>
        <v>0</v>
      </c>
      <c r="G18012" s="34" t="n">
        <f aca="false">SUMIFS('12.326ana'!$C:$C,'12.326ana'!$M:$M,redes!A18012)</f>
        <v>0</v>
      </c>
    </row>
    <row r="18013" customFormat="false" ht="14.4" hidden="true" customHeight="false" outlineLevel="0" collapsed="false">
      <c r="A18013" s="34" t="n">
        <v>43883913000106</v>
      </c>
      <c r="B18013" s="34" t="s">
        <v>32919</v>
      </c>
      <c r="C18013" s="34" t="s">
        <v>631</v>
      </c>
      <c r="E18013" s="30" t="s">
        <v>32920</v>
      </c>
      <c r="F18013" s="34" t="n">
        <f aca="false">IFERROR(VLOOKUP($A18013,'319'!$B:$H,7,0),0)</f>
        <v>0</v>
      </c>
      <c r="G18013" s="34" t="n">
        <f aca="false">SUMIFS('12.326ana'!$C:$C,'12.326ana'!$M:$M,redes!A18013)</f>
        <v>0</v>
      </c>
    </row>
    <row r="18014" customFormat="false" ht="14.4" hidden="true" customHeight="false" outlineLevel="0" collapsed="false">
      <c r="A18014" s="34" t="n">
        <v>43887572000147</v>
      </c>
      <c r="B18014" s="34" t="s">
        <v>32921</v>
      </c>
      <c r="C18014" s="34" t="s">
        <v>309</v>
      </c>
      <c r="E18014" s="30" t="s">
        <v>32922</v>
      </c>
      <c r="F18014" s="34" t="n">
        <f aca="false">IFERROR(VLOOKUP($A18014,'319'!$B:$H,7,0),0)</f>
        <v>0</v>
      </c>
      <c r="G18014" s="34" t="n">
        <f aca="false">SUMIFS('12.326ana'!$C:$C,'12.326ana'!$M:$M,redes!A18014)</f>
        <v>0</v>
      </c>
    </row>
    <row r="18015" customFormat="false" ht="14.4" hidden="true" customHeight="false" outlineLevel="0" collapsed="false">
      <c r="A18015" s="34" t="n">
        <v>43887802000178</v>
      </c>
      <c r="B18015" s="34" t="s">
        <v>32923</v>
      </c>
      <c r="C18015" s="34" t="s">
        <v>213</v>
      </c>
      <c r="E18015" s="30" t="s">
        <v>4326</v>
      </c>
      <c r="F18015" s="34" t="n">
        <f aca="false">IFERROR(VLOOKUP($A18015,'319'!$B:$H,7,0),0)</f>
        <v>0</v>
      </c>
      <c r="G18015" s="34" t="n">
        <f aca="false">SUMIFS('12.326ana'!$C:$C,'12.326ana'!$M:$M,redes!A18015)</f>
        <v>0</v>
      </c>
    </row>
    <row r="18016" customFormat="false" ht="14.4" hidden="true" customHeight="false" outlineLevel="0" collapsed="false">
      <c r="A18016" s="34" t="n">
        <v>43924533000172</v>
      </c>
      <c r="B18016" s="34" t="s">
        <v>32924</v>
      </c>
      <c r="C18016" s="34" t="s">
        <v>77</v>
      </c>
      <c r="E18016" s="30" t="s">
        <v>32925</v>
      </c>
      <c r="F18016" s="34" t="n">
        <f aca="false">IFERROR(VLOOKUP($A18016,'319'!$B:$H,7,0),0)</f>
        <v>0</v>
      </c>
      <c r="G18016" s="34" t="n">
        <f aca="false">SUMIFS('12.326ana'!$C:$C,'12.326ana'!$M:$M,redes!A18016)</f>
        <v>0</v>
      </c>
    </row>
    <row r="18017" customFormat="false" ht="14.4" hidden="true" customHeight="false" outlineLevel="0" collapsed="false">
      <c r="A18017" s="34" t="n">
        <v>43925806000101</v>
      </c>
      <c r="B18017" s="34" t="s">
        <v>1517</v>
      </c>
      <c r="C18017" s="34" t="s">
        <v>377</v>
      </c>
      <c r="E18017" s="30" t="s">
        <v>32926</v>
      </c>
      <c r="F18017" s="34" t="n">
        <f aca="false">IFERROR(VLOOKUP($A18017,'319'!$B:$H,7,0),0)</f>
        <v>132.89</v>
      </c>
      <c r="G18017" s="34" t="n">
        <f aca="false">SUMIFS('12.326ana'!$C:$C,'12.326ana'!$M:$M,redes!A18017)</f>
        <v>0</v>
      </c>
    </row>
    <row r="18018" customFormat="false" ht="14.4" hidden="true" customHeight="false" outlineLevel="0" collapsed="false">
      <c r="A18018" s="34" t="n">
        <v>43940396000160</v>
      </c>
      <c r="B18018" s="34" t="s">
        <v>32927</v>
      </c>
      <c r="C18018" s="34" t="s">
        <v>309</v>
      </c>
      <c r="E18018" s="30" t="s">
        <v>32928</v>
      </c>
      <c r="F18018" s="34" t="n">
        <f aca="false">IFERROR(VLOOKUP($A18018,'319'!$B:$H,7,0),0)</f>
        <v>0</v>
      </c>
      <c r="G18018" s="34" t="n">
        <f aca="false">SUMIFS('12.326ana'!$C:$C,'12.326ana'!$M:$M,redes!A18018)</f>
        <v>0</v>
      </c>
    </row>
    <row r="18019" customFormat="false" ht="14.4" hidden="true" customHeight="false" outlineLevel="0" collapsed="false">
      <c r="A18019" s="34" t="n">
        <v>44014688000134</v>
      </c>
      <c r="B18019" s="34" t="s">
        <v>32929</v>
      </c>
      <c r="C18019" s="34" t="s">
        <v>475</v>
      </c>
      <c r="E18019" s="30" t="s">
        <v>32930</v>
      </c>
      <c r="F18019" s="34" t="n">
        <f aca="false">IFERROR(VLOOKUP($A18019,'319'!$B:$H,7,0),0)</f>
        <v>0</v>
      </c>
      <c r="G18019" s="34" t="n">
        <f aca="false">SUMIFS('12.326ana'!$C:$C,'12.326ana'!$M:$M,redes!A18019)</f>
        <v>0</v>
      </c>
    </row>
    <row r="18020" customFormat="false" ht="14.4" hidden="true" customHeight="false" outlineLevel="0" collapsed="false">
      <c r="A18020" s="34" t="n">
        <v>44024534000123</v>
      </c>
      <c r="B18020" s="34" t="s">
        <v>32931</v>
      </c>
      <c r="C18020" s="34" t="s">
        <v>103</v>
      </c>
      <c r="E18020" s="30" t="s">
        <v>32932</v>
      </c>
      <c r="F18020" s="34" t="n">
        <f aca="false">IFERROR(VLOOKUP($A18020,'319'!$B:$H,7,0),0)</f>
        <v>0</v>
      </c>
      <c r="G18020" s="34" t="n">
        <f aca="false">SUMIFS('12.326ana'!$C:$C,'12.326ana'!$M:$M,redes!A18020)</f>
        <v>0</v>
      </c>
    </row>
    <row r="18021" customFormat="false" ht="14.4" hidden="true" customHeight="false" outlineLevel="0" collapsed="false">
      <c r="A18021" s="34" t="n">
        <v>44041683000109</v>
      </c>
      <c r="B18021" s="34" t="s">
        <v>32933</v>
      </c>
      <c r="C18021" s="34" t="s">
        <v>77</v>
      </c>
      <c r="E18021" s="30" t="s">
        <v>32934</v>
      </c>
      <c r="F18021" s="34" t="n">
        <f aca="false">IFERROR(VLOOKUP($A18021,'319'!$B:$H,7,0),0)</f>
        <v>0</v>
      </c>
      <c r="G18021" s="34" t="n">
        <f aca="false">SUMIFS('12.326ana'!$C:$C,'12.326ana'!$M:$M,redes!A18021)</f>
        <v>0</v>
      </c>
    </row>
    <row r="18022" customFormat="false" ht="14.4" hidden="true" customHeight="false" outlineLevel="0" collapsed="false">
      <c r="A18022" s="34" t="n">
        <v>44051848000115</v>
      </c>
      <c r="B18022" s="34" t="s">
        <v>32935</v>
      </c>
      <c r="C18022" s="34" t="s">
        <v>117</v>
      </c>
      <c r="E18022" s="30" t="s">
        <v>32936</v>
      </c>
      <c r="F18022" s="34" t="n">
        <f aca="false">IFERROR(VLOOKUP($A18022,'319'!$B:$H,7,0),0)</f>
        <v>0</v>
      </c>
      <c r="G18022" s="34" t="n">
        <f aca="false">SUMIFS('12.326ana'!$C:$C,'12.326ana'!$M:$M,redes!A18022)</f>
        <v>0</v>
      </c>
    </row>
    <row r="18023" customFormat="false" ht="14.4" hidden="true" customHeight="false" outlineLevel="0" collapsed="false">
      <c r="A18023" s="34" t="n">
        <v>44053810000181</v>
      </c>
      <c r="B18023" s="34" t="s">
        <v>32937</v>
      </c>
      <c r="C18023" s="34" t="s">
        <v>77</v>
      </c>
      <c r="E18023" s="30" t="s">
        <v>32938</v>
      </c>
      <c r="F18023" s="34" t="n">
        <f aca="false">IFERROR(VLOOKUP($A18023,'319'!$B:$H,7,0),0)</f>
        <v>0</v>
      </c>
      <c r="G18023" s="34" t="n">
        <f aca="false">SUMIFS('12.326ana'!$C:$C,'12.326ana'!$M:$M,redes!A18023)</f>
        <v>0</v>
      </c>
    </row>
    <row r="18024" customFormat="false" ht="14.4" hidden="true" customHeight="false" outlineLevel="0" collapsed="false">
      <c r="A18024" s="34" t="n">
        <v>44103241000131</v>
      </c>
      <c r="B18024" s="34" t="s">
        <v>32243</v>
      </c>
      <c r="C18024" s="34" t="s">
        <v>77</v>
      </c>
      <c r="E18024" s="30" t="s">
        <v>32243</v>
      </c>
      <c r="F18024" s="34" t="n">
        <f aca="false">IFERROR(VLOOKUP($A18024,'319'!$B:$H,7,0),0)</f>
        <v>0</v>
      </c>
      <c r="G18024" s="34" t="n">
        <f aca="false">SUMIFS('12.326ana'!$C:$C,'12.326ana'!$M:$M,redes!A18024)</f>
        <v>0</v>
      </c>
    </row>
    <row r="18025" customFormat="false" ht="14.4" hidden="true" customHeight="false" outlineLevel="0" collapsed="false">
      <c r="A18025" s="34" t="n">
        <v>44111883000182</v>
      </c>
      <c r="B18025" s="34" t="s">
        <v>32939</v>
      </c>
      <c r="C18025" s="34" t="s">
        <v>107</v>
      </c>
      <c r="E18025" s="30" t="s">
        <v>32939</v>
      </c>
      <c r="F18025" s="34" t="n">
        <f aca="false">IFERROR(VLOOKUP($A18025,'319'!$B:$H,7,0),0)</f>
        <v>0</v>
      </c>
      <c r="G18025" s="34" t="n">
        <f aca="false">SUMIFS('12.326ana'!$C:$C,'12.326ana'!$M:$M,redes!A18025)</f>
        <v>0</v>
      </c>
    </row>
    <row r="18026" customFormat="false" ht="14.4" hidden="true" customHeight="false" outlineLevel="0" collapsed="false">
      <c r="A18026" s="34" t="n">
        <v>44116628000122</v>
      </c>
      <c r="B18026" s="34" t="s">
        <v>32940</v>
      </c>
      <c r="C18026" s="34" t="s">
        <v>405</v>
      </c>
      <c r="E18026" s="30" t="s">
        <v>20804</v>
      </c>
      <c r="F18026" s="34" t="n">
        <f aca="false">IFERROR(VLOOKUP($A18026,'319'!$B:$H,7,0),0)</f>
        <v>0</v>
      </c>
      <c r="G18026" s="34" t="n">
        <f aca="false">SUMIFS('12.326ana'!$C:$C,'12.326ana'!$M:$M,redes!A18026)</f>
        <v>0</v>
      </c>
    </row>
    <row r="18027" customFormat="false" ht="14.4" hidden="true" customHeight="false" outlineLevel="0" collapsed="false">
      <c r="A18027" s="34" t="n">
        <v>44120185000143</v>
      </c>
      <c r="B18027" s="34" t="s">
        <v>32941</v>
      </c>
      <c r="C18027" s="34" t="s">
        <v>89</v>
      </c>
      <c r="E18027" s="30" t="s">
        <v>32942</v>
      </c>
      <c r="F18027" s="34" t="n">
        <f aca="false">IFERROR(VLOOKUP($A18027,'319'!$B:$H,7,0),0)</f>
        <v>0</v>
      </c>
      <c r="G18027" s="34" t="n">
        <f aca="false">SUMIFS('12.326ana'!$C:$C,'12.326ana'!$M:$M,redes!A18027)</f>
        <v>0</v>
      </c>
    </row>
    <row r="18028" customFormat="false" ht="14.4" hidden="true" customHeight="false" outlineLevel="0" collapsed="false">
      <c r="A18028" s="34" t="n">
        <v>44122978000100</v>
      </c>
      <c r="B18028" s="34" t="s">
        <v>32943</v>
      </c>
      <c r="C18028" s="34" t="s">
        <v>594</v>
      </c>
      <c r="E18028" s="30" t="s">
        <v>20483</v>
      </c>
      <c r="F18028" s="34" t="n">
        <f aca="false">IFERROR(VLOOKUP($A18028,'319'!$B:$H,7,0),0)</f>
        <v>0</v>
      </c>
      <c r="G18028" s="34" t="n">
        <f aca="false">SUMIFS('12.326ana'!$C:$C,'12.326ana'!$M:$M,redes!A18028)</f>
        <v>0</v>
      </c>
    </row>
    <row r="18029" customFormat="false" ht="14.4" hidden="true" customHeight="false" outlineLevel="0" collapsed="false">
      <c r="A18029" s="34" t="n">
        <v>44126038000180</v>
      </c>
      <c r="B18029" s="34" t="s">
        <v>32944</v>
      </c>
      <c r="C18029" s="34" t="s">
        <v>139</v>
      </c>
      <c r="E18029" s="30" t="s">
        <v>27717</v>
      </c>
      <c r="F18029" s="34" t="n">
        <f aca="false">IFERROR(VLOOKUP($A18029,'319'!$B:$H,7,0),0)</f>
        <v>0</v>
      </c>
      <c r="G18029" s="34" t="n">
        <f aca="false">SUMIFS('12.326ana'!$C:$C,'12.326ana'!$M:$M,redes!A18029)</f>
        <v>0</v>
      </c>
    </row>
    <row r="18030" customFormat="false" ht="14.4" hidden="true" customHeight="false" outlineLevel="0" collapsed="false">
      <c r="A18030" s="34" t="n">
        <v>44145845001112</v>
      </c>
      <c r="B18030" s="34" t="s">
        <v>32945</v>
      </c>
      <c r="C18030" s="34" t="s">
        <v>32946</v>
      </c>
      <c r="E18030" s="30" t="s">
        <v>32947</v>
      </c>
      <c r="F18030" s="34" t="n">
        <f aca="false">IFERROR(VLOOKUP($A18030,'319'!$B:$H,7,0),0)</f>
        <v>0</v>
      </c>
      <c r="G18030" s="34" t="n">
        <f aca="false">SUMIFS('12.326ana'!$C:$C,'12.326ana'!$M:$M,redes!A18030)</f>
        <v>0</v>
      </c>
    </row>
    <row r="18031" customFormat="false" ht="14.4" hidden="true" customHeight="false" outlineLevel="0" collapsed="false">
      <c r="A18031" s="34" t="n">
        <v>44173485000190</v>
      </c>
      <c r="B18031" s="34" t="s">
        <v>32948</v>
      </c>
      <c r="C18031" s="34" t="s">
        <v>139</v>
      </c>
      <c r="E18031" s="30" t="s">
        <v>32949</v>
      </c>
      <c r="F18031" s="34" t="n">
        <f aca="false">IFERROR(VLOOKUP($A18031,'319'!$B:$H,7,0),0)</f>
        <v>0</v>
      </c>
      <c r="G18031" s="34" t="n">
        <f aca="false">SUMIFS('12.326ana'!$C:$C,'12.326ana'!$M:$M,redes!A18031)</f>
        <v>0</v>
      </c>
    </row>
    <row r="18032" customFormat="false" ht="14.4" hidden="true" customHeight="false" outlineLevel="0" collapsed="false">
      <c r="A18032" s="34" t="n">
        <v>44180491000175</v>
      </c>
      <c r="B18032" s="34" t="s">
        <v>32950</v>
      </c>
      <c r="C18032" s="34" t="s">
        <v>77</v>
      </c>
      <c r="E18032" s="30" t="s">
        <v>32951</v>
      </c>
      <c r="F18032" s="34" t="n">
        <f aca="false">IFERROR(VLOOKUP($A18032,'319'!$B:$H,7,0),0)</f>
        <v>0</v>
      </c>
      <c r="G18032" s="34" t="n">
        <f aca="false">SUMIFS('12.326ana'!$C:$C,'12.326ana'!$M:$M,redes!A18032)</f>
        <v>0</v>
      </c>
    </row>
    <row r="18033" customFormat="false" ht="14.4" hidden="true" customHeight="false" outlineLevel="0" collapsed="false">
      <c r="A18033" s="34" t="n">
        <v>44233877000106</v>
      </c>
      <c r="B18033" s="34" t="s">
        <v>32952</v>
      </c>
      <c r="C18033" s="34" t="s">
        <v>89</v>
      </c>
      <c r="E18033" s="30" t="s">
        <v>29983</v>
      </c>
      <c r="F18033" s="34" t="n">
        <f aca="false">IFERROR(VLOOKUP($A18033,'319'!$B:$H,7,0),0)</f>
        <v>0</v>
      </c>
      <c r="G18033" s="34" t="n">
        <f aca="false">SUMIFS('12.326ana'!$C:$C,'12.326ana'!$M:$M,redes!A18033)</f>
        <v>0</v>
      </c>
    </row>
    <row r="18034" customFormat="false" ht="14.4" hidden="true" customHeight="false" outlineLevel="0" collapsed="false">
      <c r="A18034" s="34" t="n">
        <v>44263450000142</v>
      </c>
      <c r="B18034" s="34" t="s">
        <v>32953</v>
      </c>
      <c r="C18034" s="34" t="s">
        <v>77</v>
      </c>
      <c r="E18034" s="30" t="s">
        <v>32954</v>
      </c>
      <c r="F18034" s="34" t="n">
        <f aca="false">IFERROR(VLOOKUP($A18034,'319'!$B:$H,7,0),0)</f>
        <v>0</v>
      </c>
      <c r="G18034" s="34" t="n">
        <f aca="false">SUMIFS('12.326ana'!$C:$C,'12.326ana'!$M:$M,redes!A18034)</f>
        <v>0</v>
      </c>
    </row>
    <row r="18035" customFormat="false" ht="14.4" hidden="true" customHeight="false" outlineLevel="0" collapsed="false">
      <c r="A18035" s="34" t="n">
        <v>44264903000155</v>
      </c>
      <c r="B18035" s="34" t="s">
        <v>32955</v>
      </c>
      <c r="C18035" s="34" t="s">
        <v>463</v>
      </c>
      <c r="E18035" s="30" t="s">
        <v>5206</v>
      </c>
      <c r="F18035" s="34" t="n">
        <f aca="false">IFERROR(VLOOKUP($A18035,'319'!$B:$H,7,0),0)</f>
        <v>0</v>
      </c>
      <c r="G18035" s="34" t="n">
        <f aca="false">SUMIFS('12.326ana'!$C:$C,'12.326ana'!$M:$M,redes!A18035)</f>
        <v>0</v>
      </c>
    </row>
    <row r="18036" customFormat="false" ht="14.4" hidden="true" customHeight="false" outlineLevel="0" collapsed="false">
      <c r="A18036" s="34" t="n">
        <v>44273570000120</v>
      </c>
      <c r="B18036" s="34" t="s">
        <v>32956</v>
      </c>
      <c r="C18036" s="34" t="s">
        <v>77</v>
      </c>
      <c r="E18036" s="30" t="s">
        <v>32957</v>
      </c>
      <c r="F18036" s="34" t="n">
        <f aca="false">IFERROR(VLOOKUP($A18036,'319'!$B:$H,7,0),0)</f>
        <v>0</v>
      </c>
      <c r="G18036" s="34" t="n">
        <f aca="false">SUMIFS('12.326ana'!$C:$C,'12.326ana'!$M:$M,redes!A18036)</f>
        <v>0</v>
      </c>
    </row>
    <row r="18037" customFormat="false" ht="14.4" hidden="true" customHeight="false" outlineLevel="0" collapsed="false">
      <c r="A18037" s="34" t="n">
        <v>44273777000103</v>
      </c>
      <c r="B18037" s="34" t="s">
        <v>32958</v>
      </c>
      <c r="C18037" s="34" t="s">
        <v>954</v>
      </c>
      <c r="E18037" s="30" t="s">
        <v>32958</v>
      </c>
      <c r="F18037" s="34" t="n">
        <f aca="false">IFERROR(VLOOKUP($A18037,'319'!$B:$H,7,0),0)</f>
        <v>0</v>
      </c>
      <c r="G18037" s="34" t="n">
        <f aca="false">SUMIFS('12.326ana'!$C:$C,'12.326ana'!$M:$M,redes!A18037)</f>
        <v>0</v>
      </c>
    </row>
    <row r="18038" customFormat="false" ht="14.4" hidden="true" customHeight="false" outlineLevel="0" collapsed="false">
      <c r="A18038" s="34" t="n">
        <v>44300304000140</v>
      </c>
      <c r="B18038" s="34" t="s">
        <v>32959</v>
      </c>
      <c r="C18038" s="34" t="s">
        <v>89</v>
      </c>
      <c r="E18038" s="30" t="s">
        <v>31362</v>
      </c>
      <c r="F18038" s="34" t="n">
        <f aca="false">IFERROR(VLOOKUP($A18038,'319'!$B:$H,7,0),0)</f>
        <v>0</v>
      </c>
      <c r="G18038" s="34" t="n">
        <f aca="false">SUMIFS('12.326ana'!$C:$C,'12.326ana'!$M:$M,redes!A18038)</f>
        <v>0</v>
      </c>
    </row>
    <row r="18039" customFormat="false" ht="14.4" hidden="true" customHeight="false" outlineLevel="0" collapsed="false">
      <c r="A18039" s="34" t="n">
        <v>44308737000141</v>
      </c>
      <c r="B18039" s="34" t="s">
        <v>32960</v>
      </c>
      <c r="C18039" s="34" t="s">
        <v>77</v>
      </c>
      <c r="E18039" s="30" t="s">
        <v>31884</v>
      </c>
      <c r="F18039" s="34" t="n">
        <f aca="false">IFERROR(VLOOKUP($A18039,'319'!$B:$H,7,0),0)</f>
        <v>0</v>
      </c>
      <c r="G18039" s="34" t="n">
        <f aca="false">SUMIFS('12.326ana'!$C:$C,'12.326ana'!$M:$M,redes!A18039)</f>
        <v>0</v>
      </c>
    </row>
    <row r="18040" customFormat="false" ht="14.4" hidden="true" customHeight="false" outlineLevel="0" collapsed="false">
      <c r="A18040" s="34" t="n">
        <v>44318777000174</v>
      </c>
      <c r="B18040" s="34" t="s">
        <v>32961</v>
      </c>
      <c r="C18040" s="34" t="s">
        <v>107</v>
      </c>
      <c r="E18040" s="30" t="s">
        <v>32962</v>
      </c>
      <c r="F18040" s="34" t="n">
        <f aca="false">IFERROR(VLOOKUP($A18040,'319'!$B:$H,7,0),0)</f>
        <v>0</v>
      </c>
      <c r="G18040" s="34" t="n">
        <f aca="false">SUMIFS('12.326ana'!$C:$C,'12.326ana'!$M:$M,redes!A18040)</f>
        <v>0</v>
      </c>
    </row>
    <row r="18041" customFormat="false" ht="14.4" hidden="true" customHeight="false" outlineLevel="0" collapsed="false">
      <c r="A18041" s="34" t="n">
        <v>44325411000122</v>
      </c>
      <c r="B18041" s="34" t="s">
        <v>32963</v>
      </c>
      <c r="C18041" s="34" t="s">
        <v>309</v>
      </c>
      <c r="E18041" s="30" t="s">
        <v>32964</v>
      </c>
      <c r="F18041" s="34" t="n">
        <f aca="false">IFERROR(VLOOKUP($A18041,'319'!$B:$H,7,0),0)</f>
        <v>250.33</v>
      </c>
      <c r="G18041" s="34" t="n">
        <f aca="false">SUMIFS('12.326ana'!$C:$C,'12.326ana'!$M:$M,redes!A18041)</f>
        <v>0</v>
      </c>
    </row>
    <row r="18042" customFormat="false" ht="14.4" hidden="true" customHeight="false" outlineLevel="0" collapsed="false">
      <c r="A18042" s="34" t="n">
        <v>44345142000166</v>
      </c>
      <c r="B18042" s="34" t="s">
        <v>32965</v>
      </c>
      <c r="C18042" s="34" t="s">
        <v>546</v>
      </c>
      <c r="E18042" s="30" t="s">
        <v>32966</v>
      </c>
      <c r="F18042" s="34" t="n">
        <f aca="false">IFERROR(VLOOKUP($A18042,'319'!$B:$H,7,0),0)</f>
        <v>0</v>
      </c>
      <c r="G18042" s="34" t="n">
        <f aca="false">SUMIFS('12.326ana'!$C:$C,'12.326ana'!$M:$M,redes!A18042)</f>
        <v>0</v>
      </c>
    </row>
    <row r="18043" customFormat="false" ht="14.4" hidden="true" customHeight="false" outlineLevel="0" collapsed="false">
      <c r="A18043" s="34" t="n">
        <v>44361931000190</v>
      </c>
      <c r="B18043" s="34" t="s">
        <v>32967</v>
      </c>
      <c r="C18043" s="34" t="s">
        <v>309</v>
      </c>
      <c r="E18043" s="30" t="s">
        <v>8534</v>
      </c>
      <c r="F18043" s="34" t="n">
        <f aca="false">IFERROR(VLOOKUP($A18043,'319'!$B:$H,7,0),0)</f>
        <v>0</v>
      </c>
      <c r="G18043" s="34" t="n">
        <f aca="false">SUMIFS('12.326ana'!$C:$C,'12.326ana'!$M:$M,redes!A18043)</f>
        <v>0</v>
      </c>
    </row>
    <row r="18044" customFormat="false" ht="14.4" hidden="true" customHeight="false" outlineLevel="0" collapsed="false">
      <c r="A18044" s="34" t="n">
        <v>44374377000186</v>
      </c>
      <c r="B18044" s="34" t="s">
        <v>32968</v>
      </c>
      <c r="C18044" s="34" t="s">
        <v>107</v>
      </c>
      <c r="E18044" s="30" t="s">
        <v>32969</v>
      </c>
      <c r="F18044" s="34" t="n">
        <f aca="false">IFERROR(VLOOKUP($A18044,'319'!$B:$H,7,0),0)</f>
        <v>0</v>
      </c>
      <c r="G18044" s="34" t="n">
        <f aca="false">SUMIFS('12.326ana'!$C:$C,'12.326ana'!$M:$M,redes!A18044)</f>
        <v>0</v>
      </c>
    </row>
    <row r="18045" customFormat="false" ht="14.4" hidden="true" customHeight="false" outlineLevel="0" collapsed="false">
      <c r="A18045" s="34" t="n">
        <v>44378679000122</v>
      </c>
      <c r="B18045" s="34" t="s">
        <v>32970</v>
      </c>
      <c r="C18045" s="34" t="s">
        <v>89</v>
      </c>
      <c r="E18045" s="30" t="s">
        <v>23389</v>
      </c>
      <c r="F18045" s="34" t="n">
        <f aca="false">IFERROR(VLOOKUP($A18045,'319'!$B:$H,7,0),0)</f>
        <v>0</v>
      </c>
      <c r="G18045" s="34" t="n">
        <f aca="false">SUMIFS('12.326ana'!$C:$C,'12.326ana'!$M:$M,redes!A18045)</f>
        <v>0</v>
      </c>
    </row>
    <row r="18046" customFormat="false" ht="14.4" hidden="true" customHeight="false" outlineLevel="0" collapsed="false">
      <c r="A18046" s="34" t="n">
        <v>44385855000153</v>
      </c>
      <c r="B18046" s="34" t="s">
        <v>32971</v>
      </c>
      <c r="C18046" s="34" t="s">
        <v>77</v>
      </c>
      <c r="E18046" s="30" t="s">
        <v>4307</v>
      </c>
      <c r="F18046" s="34" t="n">
        <f aca="false">IFERROR(VLOOKUP($A18046,'319'!$B:$H,7,0),0)</f>
        <v>0</v>
      </c>
      <c r="G18046" s="34" t="n">
        <f aca="false">SUMIFS('12.326ana'!$C:$C,'12.326ana'!$M:$M,redes!A18046)</f>
        <v>0</v>
      </c>
    </row>
    <row r="18047" customFormat="false" ht="14.4" hidden="true" customHeight="false" outlineLevel="0" collapsed="false">
      <c r="A18047" s="34" t="n">
        <v>44395900000150</v>
      </c>
      <c r="B18047" s="34" t="s">
        <v>32972</v>
      </c>
      <c r="C18047" s="34" t="s">
        <v>737</v>
      </c>
      <c r="E18047" s="30" t="s">
        <v>32973</v>
      </c>
      <c r="F18047" s="34" t="n">
        <f aca="false">IFERROR(VLOOKUP($A18047,'319'!$B:$H,7,0),0)</f>
        <v>0</v>
      </c>
      <c r="G18047" s="34" t="n">
        <f aca="false">SUMIFS('12.326ana'!$C:$C,'12.326ana'!$M:$M,redes!A18047)</f>
        <v>0</v>
      </c>
    </row>
    <row r="18048" customFormat="false" ht="14.4" hidden="true" customHeight="false" outlineLevel="0" collapsed="false">
      <c r="A18048" s="34" t="n">
        <v>44413793000146</v>
      </c>
      <c r="B18048" s="34" t="s">
        <v>32974</v>
      </c>
      <c r="C18048" s="34" t="s">
        <v>139</v>
      </c>
      <c r="E18048" s="30" t="s">
        <v>28812</v>
      </c>
      <c r="F18048" s="34" t="n">
        <f aca="false">IFERROR(VLOOKUP($A18048,'319'!$B:$H,7,0),0)</f>
        <v>0</v>
      </c>
      <c r="G18048" s="34" t="n">
        <f aca="false">SUMIFS('12.326ana'!$C:$C,'12.326ana'!$M:$M,redes!A18048)</f>
        <v>0</v>
      </c>
    </row>
    <row r="18049" customFormat="false" ht="14.4" hidden="true" customHeight="false" outlineLevel="0" collapsed="false">
      <c r="A18049" s="34" t="n">
        <v>44424720000150</v>
      </c>
      <c r="B18049" s="34" t="s">
        <v>1629</v>
      </c>
      <c r="C18049" s="34" t="s">
        <v>77</v>
      </c>
      <c r="E18049" s="30" t="s">
        <v>32975</v>
      </c>
      <c r="F18049" s="34" t="n">
        <f aca="false">IFERROR(VLOOKUP($A18049,'319'!$B:$H,7,0),0)</f>
        <v>82.77</v>
      </c>
      <c r="G18049" s="34" t="n">
        <f aca="false">SUMIFS('12.326ana'!$C:$C,'12.326ana'!$M:$M,redes!A18049)</f>
        <v>0</v>
      </c>
    </row>
    <row r="18050" customFormat="false" ht="14.4" hidden="true" customHeight="false" outlineLevel="0" collapsed="false">
      <c r="A18050" s="34" t="n">
        <v>44426238000159</v>
      </c>
      <c r="B18050" s="34" t="s">
        <v>32976</v>
      </c>
      <c r="C18050" s="34" t="s">
        <v>107</v>
      </c>
      <c r="E18050" s="30" t="s">
        <v>32977</v>
      </c>
      <c r="F18050" s="34" t="n">
        <f aca="false">IFERROR(VLOOKUP($A18050,'319'!$B:$H,7,0),0)</f>
        <v>0</v>
      </c>
      <c r="G18050" s="34" t="n">
        <f aca="false">SUMIFS('12.326ana'!$C:$C,'12.326ana'!$M:$M,redes!A18050)</f>
        <v>0</v>
      </c>
    </row>
    <row r="18051" customFormat="false" ht="14.4" hidden="true" customHeight="false" outlineLevel="0" collapsed="false">
      <c r="A18051" s="34" t="n">
        <v>44446846000125</v>
      </c>
      <c r="B18051" s="34" t="s">
        <v>32978</v>
      </c>
      <c r="C18051" s="34" t="s">
        <v>309</v>
      </c>
      <c r="E18051" s="30" t="s">
        <v>32979</v>
      </c>
      <c r="F18051" s="34" t="n">
        <f aca="false">IFERROR(VLOOKUP($A18051,'319'!$B:$H,7,0),0)</f>
        <v>0</v>
      </c>
      <c r="G18051" s="34" t="n">
        <f aca="false">SUMIFS('12.326ana'!$C:$C,'12.326ana'!$M:$M,redes!A18051)</f>
        <v>0</v>
      </c>
    </row>
    <row r="18052" customFormat="false" ht="14.4" hidden="true" customHeight="false" outlineLevel="0" collapsed="false">
      <c r="A18052" s="34" t="n">
        <v>44451622000101</v>
      </c>
      <c r="B18052" s="34" t="s">
        <v>32980</v>
      </c>
      <c r="C18052" s="34" t="s">
        <v>77</v>
      </c>
      <c r="E18052" s="30" t="s">
        <v>32981</v>
      </c>
      <c r="F18052" s="34" t="n">
        <f aca="false">IFERROR(VLOOKUP($A18052,'319'!$B:$H,7,0),0)</f>
        <v>0</v>
      </c>
      <c r="G18052" s="34" t="n">
        <f aca="false">SUMIFS('12.326ana'!$C:$C,'12.326ana'!$M:$M,redes!A18052)</f>
        <v>0</v>
      </c>
    </row>
    <row r="18053" customFormat="false" ht="14.4" hidden="true" customHeight="false" outlineLevel="0" collapsed="false">
      <c r="A18053" s="34" t="n">
        <v>44471808000122</v>
      </c>
      <c r="B18053" s="34" t="s">
        <v>32982</v>
      </c>
      <c r="C18053" s="34" t="s">
        <v>77</v>
      </c>
      <c r="E18053" s="30" t="s">
        <v>32983</v>
      </c>
      <c r="F18053" s="34" t="n">
        <f aca="false">IFERROR(VLOOKUP($A18053,'319'!$B:$H,7,0),0)</f>
        <v>0</v>
      </c>
      <c r="G18053" s="34" t="n">
        <f aca="false">SUMIFS('12.326ana'!$C:$C,'12.326ana'!$M:$M,redes!A18053)</f>
        <v>0</v>
      </c>
    </row>
    <row r="18054" customFormat="false" ht="14.4" hidden="true" customHeight="false" outlineLevel="0" collapsed="false">
      <c r="A18054" s="34" t="n">
        <v>44496922000107</v>
      </c>
      <c r="B18054" s="34" t="s">
        <v>32984</v>
      </c>
      <c r="C18054" s="34" t="s">
        <v>77</v>
      </c>
      <c r="E18054" s="30" t="s">
        <v>32985</v>
      </c>
      <c r="F18054" s="34" t="n">
        <f aca="false">IFERROR(VLOOKUP($A18054,'319'!$B:$H,7,0),0)</f>
        <v>0</v>
      </c>
      <c r="G18054" s="34" t="n">
        <f aca="false">SUMIFS('12.326ana'!$C:$C,'12.326ana'!$M:$M,redes!A18054)</f>
        <v>0</v>
      </c>
    </row>
    <row r="18055" customFormat="false" ht="14.4" hidden="true" customHeight="false" outlineLevel="0" collapsed="false">
      <c r="A18055" s="34" t="n">
        <v>44499968000180</v>
      </c>
      <c r="B18055" s="34" t="s">
        <v>32986</v>
      </c>
      <c r="C18055" s="34" t="s">
        <v>77</v>
      </c>
      <c r="E18055" s="30" t="s">
        <v>32987</v>
      </c>
      <c r="F18055" s="34" t="n">
        <f aca="false">IFERROR(VLOOKUP($A18055,'319'!$B:$H,7,0),0)</f>
        <v>0</v>
      </c>
      <c r="G18055" s="34" t="n">
        <f aca="false">SUMIFS('12.326ana'!$C:$C,'12.326ana'!$M:$M,redes!A18055)</f>
        <v>0</v>
      </c>
    </row>
    <row r="18056" customFormat="false" ht="14.4" hidden="true" customHeight="false" outlineLevel="0" collapsed="false">
      <c r="A18056" s="34" t="n">
        <v>44538808000100</v>
      </c>
      <c r="B18056" s="34" t="s">
        <v>1264</v>
      </c>
      <c r="C18056" s="34" t="s">
        <v>139</v>
      </c>
      <c r="E18056" s="30" t="s">
        <v>32988</v>
      </c>
      <c r="F18056" s="34" t="n">
        <f aca="false">IFERROR(VLOOKUP($A18056,'319'!$B:$H,7,0),0)</f>
        <v>282.69</v>
      </c>
      <c r="G18056" s="34" t="n">
        <f aca="false">SUMIFS('12.326ana'!$C:$C,'12.326ana'!$M:$M,redes!A18056)</f>
        <v>0</v>
      </c>
    </row>
    <row r="18057" customFormat="false" ht="14.4" hidden="true" customHeight="false" outlineLevel="0" collapsed="false">
      <c r="A18057" s="34" t="n">
        <v>44553620000123</v>
      </c>
      <c r="B18057" s="34" t="s">
        <v>32989</v>
      </c>
      <c r="C18057" s="34" t="s">
        <v>77</v>
      </c>
      <c r="E18057" s="30" t="s">
        <v>32990</v>
      </c>
      <c r="F18057" s="34" t="n">
        <f aca="false">IFERROR(VLOOKUP($A18057,'319'!$B:$H,7,0),0)</f>
        <v>0</v>
      </c>
      <c r="G18057" s="34" t="n">
        <f aca="false">SUMIFS('12.326ana'!$C:$C,'12.326ana'!$M:$M,redes!A18057)</f>
        <v>0</v>
      </c>
    </row>
    <row r="18058" customFormat="false" ht="14.4" hidden="true" customHeight="false" outlineLevel="0" collapsed="false">
      <c r="A18058" s="34" t="n">
        <v>44563268000107</v>
      </c>
      <c r="B18058" s="34" t="s">
        <v>32991</v>
      </c>
      <c r="C18058" s="34" t="s">
        <v>77</v>
      </c>
      <c r="E18058" s="30" t="s">
        <v>32992</v>
      </c>
      <c r="F18058" s="34" t="n">
        <f aca="false">IFERROR(VLOOKUP($A18058,'319'!$B:$H,7,0),0)</f>
        <v>0</v>
      </c>
      <c r="G18058" s="34" t="n">
        <f aca="false">SUMIFS('12.326ana'!$C:$C,'12.326ana'!$M:$M,redes!A18058)</f>
        <v>0</v>
      </c>
    </row>
    <row r="18059" customFormat="false" ht="14.4" hidden="true" customHeight="false" outlineLevel="0" collapsed="false">
      <c r="A18059" s="34" t="n">
        <v>44568499000103</v>
      </c>
      <c r="B18059" s="34" t="s">
        <v>32993</v>
      </c>
      <c r="C18059" s="34" t="s">
        <v>139</v>
      </c>
      <c r="E18059" s="30" t="s">
        <v>32994</v>
      </c>
      <c r="F18059" s="34" t="n">
        <f aca="false">IFERROR(VLOOKUP($A18059,'319'!$B:$H,7,0),0)</f>
        <v>0</v>
      </c>
      <c r="G18059" s="34" t="n">
        <f aca="false">SUMIFS('12.326ana'!$C:$C,'12.326ana'!$M:$M,redes!A18059)</f>
        <v>0</v>
      </c>
    </row>
    <row r="18060" customFormat="false" ht="14.4" hidden="true" customHeight="false" outlineLevel="0" collapsed="false">
      <c r="A18060" s="34" t="n">
        <v>44577167000195</v>
      </c>
      <c r="B18060" s="34" t="s">
        <v>32995</v>
      </c>
      <c r="C18060" s="34" t="s">
        <v>7250</v>
      </c>
      <c r="E18060" s="30" t="s">
        <v>23026</v>
      </c>
      <c r="F18060" s="34" t="n">
        <f aca="false">IFERROR(VLOOKUP($A18060,'319'!$B:$H,7,0),0)</f>
        <v>0</v>
      </c>
      <c r="G18060" s="34" t="n">
        <f aca="false">SUMIFS('12.326ana'!$C:$C,'12.326ana'!$M:$M,redes!A18060)</f>
        <v>0</v>
      </c>
    </row>
    <row r="18061" customFormat="false" ht="14.4" hidden="true" customHeight="false" outlineLevel="0" collapsed="false">
      <c r="A18061" s="34" t="n">
        <v>44603866000162</v>
      </c>
      <c r="B18061" s="34" t="s">
        <v>32996</v>
      </c>
      <c r="C18061" s="34" t="s">
        <v>107</v>
      </c>
      <c r="E18061" s="30" t="s">
        <v>32997</v>
      </c>
      <c r="F18061" s="34" t="n">
        <f aca="false">IFERROR(VLOOKUP($A18061,'319'!$B:$H,7,0),0)</f>
        <v>0</v>
      </c>
      <c r="G18061" s="34" t="n">
        <f aca="false">SUMIFS('12.326ana'!$C:$C,'12.326ana'!$M:$M,redes!A18061)</f>
        <v>0</v>
      </c>
    </row>
    <row r="18062" customFormat="false" ht="14.4" hidden="true" customHeight="false" outlineLevel="0" collapsed="false">
      <c r="A18062" s="34" t="n">
        <v>44661622000136</v>
      </c>
      <c r="B18062" s="34" t="s">
        <v>32998</v>
      </c>
      <c r="C18062" s="34" t="s">
        <v>309</v>
      </c>
      <c r="E18062" s="30" t="s">
        <v>31750</v>
      </c>
      <c r="F18062" s="34" t="n">
        <f aca="false">IFERROR(VLOOKUP($A18062,'319'!$B:$H,7,0),0)</f>
        <v>0</v>
      </c>
      <c r="G18062" s="34" t="n">
        <f aca="false">SUMIFS('12.326ana'!$C:$C,'12.326ana'!$M:$M,redes!A18062)</f>
        <v>0</v>
      </c>
    </row>
    <row r="18063" customFormat="false" ht="14.4" hidden="true" customHeight="false" outlineLevel="0" collapsed="false">
      <c r="A18063" s="34" t="n">
        <v>44696363000189</v>
      </c>
      <c r="B18063" s="34" t="s">
        <v>32999</v>
      </c>
      <c r="C18063" s="34" t="s">
        <v>77</v>
      </c>
      <c r="E18063" s="30" t="s">
        <v>32999</v>
      </c>
      <c r="F18063" s="34" t="n">
        <f aca="false">IFERROR(VLOOKUP($A18063,'319'!$B:$H,7,0),0)</f>
        <v>0</v>
      </c>
      <c r="G18063" s="34" t="n">
        <f aca="false">SUMIFS('12.326ana'!$C:$C,'12.326ana'!$M:$M,redes!A18063)</f>
        <v>0</v>
      </c>
    </row>
    <row r="18064" customFormat="false" ht="14.4" hidden="true" customHeight="false" outlineLevel="0" collapsed="false">
      <c r="A18064" s="34" t="n">
        <v>44704079000107</v>
      </c>
      <c r="B18064" s="34" t="s">
        <v>33000</v>
      </c>
      <c r="C18064" s="34" t="s">
        <v>77</v>
      </c>
      <c r="E18064" s="30" t="s">
        <v>33001</v>
      </c>
      <c r="F18064" s="34" t="n">
        <f aca="false">IFERROR(VLOOKUP($A18064,'319'!$B:$H,7,0),0)</f>
        <v>0</v>
      </c>
      <c r="G18064" s="34" t="n">
        <f aca="false">SUMIFS('12.326ana'!$C:$C,'12.326ana'!$M:$M,redes!A18064)</f>
        <v>0</v>
      </c>
    </row>
    <row r="18065" customFormat="false" ht="14.4" hidden="true" customHeight="false" outlineLevel="0" collapsed="false">
      <c r="A18065" s="34" t="n">
        <v>44724435000154</v>
      </c>
      <c r="B18065" s="34" t="s">
        <v>33002</v>
      </c>
      <c r="C18065" s="34" t="s">
        <v>197</v>
      </c>
      <c r="E18065" s="30" t="s">
        <v>29168</v>
      </c>
      <c r="F18065" s="34" t="n">
        <f aca="false">IFERROR(VLOOKUP($A18065,'319'!$B:$H,7,0),0)</f>
        <v>0</v>
      </c>
      <c r="G18065" s="34" t="n">
        <f aca="false">SUMIFS('12.326ana'!$C:$C,'12.326ana'!$M:$M,redes!A18065)</f>
        <v>0</v>
      </c>
    </row>
    <row r="18066" customFormat="false" ht="14.4" hidden="true" customHeight="false" outlineLevel="0" collapsed="false">
      <c r="A18066" s="34" t="n">
        <v>44747404000119</v>
      </c>
      <c r="B18066" s="34" t="s">
        <v>33003</v>
      </c>
      <c r="C18066" s="34" t="s">
        <v>197</v>
      </c>
      <c r="E18066" s="30" t="s">
        <v>33004</v>
      </c>
      <c r="F18066" s="34" t="n">
        <f aca="false">IFERROR(VLOOKUP($A18066,'319'!$B:$H,7,0),0)</f>
        <v>0</v>
      </c>
      <c r="G18066" s="34" t="n">
        <f aca="false">SUMIFS('12.326ana'!$C:$C,'12.326ana'!$M:$M,redes!A18066)</f>
        <v>0</v>
      </c>
    </row>
    <row r="18067" customFormat="false" ht="14.4" hidden="true" customHeight="false" outlineLevel="0" collapsed="false">
      <c r="A18067" s="34" t="n">
        <v>44747765000165</v>
      </c>
      <c r="B18067" s="34" t="s">
        <v>33005</v>
      </c>
      <c r="C18067" s="34" t="s">
        <v>77</v>
      </c>
      <c r="E18067" s="30" t="s">
        <v>33006</v>
      </c>
      <c r="F18067" s="34" t="n">
        <f aca="false">IFERROR(VLOOKUP($A18067,'319'!$B:$H,7,0),0)</f>
        <v>0</v>
      </c>
      <c r="G18067" s="34" t="n">
        <f aca="false">SUMIFS('12.326ana'!$C:$C,'12.326ana'!$M:$M,redes!A18067)</f>
        <v>0</v>
      </c>
    </row>
    <row r="18068" customFormat="false" ht="14.4" hidden="true" customHeight="false" outlineLevel="0" collapsed="false">
      <c r="A18068" s="34" t="n">
        <v>44785898000126</v>
      </c>
      <c r="B18068" s="34" t="s">
        <v>33007</v>
      </c>
      <c r="C18068" s="34" t="s">
        <v>565</v>
      </c>
      <c r="E18068" s="30" t="s">
        <v>33008</v>
      </c>
      <c r="F18068" s="34" t="n">
        <f aca="false">IFERROR(VLOOKUP($A18068,'319'!$B:$H,7,0),0)</f>
        <v>0</v>
      </c>
      <c r="G18068" s="34" t="n">
        <f aca="false">SUMIFS('12.326ana'!$C:$C,'12.326ana'!$M:$M,redes!A18068)</f>
        <v>0</v>
      </c>
    </row>
    <row r="18069" customFormat="false" ht="14.4" hidden="true" customHeight="false" outlineLevel="0" collapsed="false">
      <c r="A18069" s="34" t="n">
        <v>44829152000177</v>
      </c>
      <c r="B18069" s="34" t="s">
        <v>33009</v>
      </c>
      <c r="C18069" s="34" t="s">
        <v>77</v>
      </c>
      <c r="E18069" s="30" t="s">
        <v>33010</v>
      </c>
      <c r="F18069" s="34" t="n">
        <f aca="false">IFERROR(VLOOKUP($A18069,'319'!$B:$H,7,0),0)</f>
        <v>0</v>
      </c>
      <c r="G18069" s="34" t="n">
        <f aca="false">SUMIFS('12.326ana'!$C:$C,'12.326ana'!$M:$M,redes!A18069)</f>
        <v>0</v>
      </c>
    </row>
    <row r="18070" customFormat="false" ht="14.4" hidden="true" customHeight="false" outlineLevel="0" collapsed="false">
      <c r="A18070" s="34" t="n">
        <v>44829625000136</v>
      </c>
      <c r="B18070" s="34" t="s">
        <v>33011</v>
      </c>
      <c r="C18070" s="34" t="s">
        <v>979</v>
      </c>
      <c r="E18070" s="30" t="s">
        <v>33012</v>
      </c>
      <c r="F18070" s="34" t="n">
        <f aca="false">IFERROR(VLOOKUP($A18070,'319'!$B:$H,7,0),0)</f>
        <v>0</v>
      </c>
      <c r="G18070" s="34" t="n">
        <f aca="false">SUMIFS('12.326ana'!$C:$C,'12.326ana'!$M:$M,redes!A18070)</f>
        <v>0</v>
      </c>
    </row>
    <row r="18071" customFormat="false" ht="14.4" hidden="true" customHeight="false" outlineLevel="0" collapsed="false">
      <c r="A18071" s="34" t="n">
        <v>44838818000153</v>
      </c>
      <c r="B18071" s="34" t="s">
        <v>33013</v>
      </c>
      <c r="C18071" s="34" t="s">
        <v>604</v>
      </c>
      <c r="E18071" s="30" t="s">
        <v>33013</v>
      </c>
      <c r="F18071" s="34" t="n">
        <f aca="false">IFERROR(VLOOKUP($A18071,'319'!$B:$H,7,0),0)</f>
        <v>0</v>
      </c>
      <c r="G18071" s="34" t="n">
        <f aca="false">SUMIFS('12.326ana'!$C:$C,'12.326ana'!$M:$M,redes!A18071)</f>
        <v>0</v>
      </c>
    </row>
    <row r="18072" customFormat="false" ht="14.4" hidden="true" customHeight="false" outlineLevel="0" collapsed="false">
      <c r="A18072" s="34" t="n">
        <v>44851250000100</v>
      </c>
      <c r="B18072" s="34" t="s">
        <v>33014</v>
      </c>
      <c r="C18072" s="34" t="s">
        <v>103</v>
      </c>
      <c r="E18072" s="30" t="s">
        <v>33015</v>
      </c>
      <c r="F18072" s="34" t="n">
        <f aca="false">IFERROR(VLOOKUP($A18072,'319'!$B:$H,7,0),0)</f>
        <v>0</v>
      </c>
      <c r="G18072" s="34" t="n">
        <f aca="false">SUMIFS('12.326ana'!$C:$C,'12.326ana'!$M:$M,redes!A18072)</f>
        <v>0</v>
      </c>
    </row>
    <row r="18073" customFormat="false" ht="14.4" hidden="true" customHeight="false" outlineLevel="0" collapsed="false">
      <c r="A18073" s="34" t="n">
        <v>44852870000164</v>
      </c>
      <c r="B18073" s="34" t="s">
        <v>33016</v>
      </c>
      <c r="C18073" s="34" t="s">
        <v>213</v>
      </c>
      <c r="E18073" s="30" t="s">
        <v>33017</v>
      </c>
      <c r="F18073" s="34" t="n">
        <f aca="false">IFERROR(VLOOKUP($A18073,'319'!$B:$H,7,0),0)</f>
        <v>0</v>
      </c>
      <c r="G18073" s="34" t="n">
        <f aca="false">SUMIFS('12.326ana'!$C:$C,'12.326ana'!$M:$M,redes!A18073)</f>
        <v>0</v>
      </c>
    </row>
    <row r="18074" customFormat="false" ht="14.4" hidden="true" customHeight="false" outlineLevel="0" collapsed="false">
      <c r="A18074" s="34" t="n">
        <v>44868398000158</v>
      </c>
      <c r="B18074" s="34" t="s">
        <v>33018</v>
      </c>
      <c r="C18074" s="34" t="s">
        <v>77</v>
      </c>
      <c r="E18074" s="30" t="s">
        <v>29943</v>
      </c>
      <c r="F18074" s="34" t="n">
        <f aca="false">IFERROR(VLOOKUP($A18074,'319'!$B:$H,7,0),0)</f>
        <v>0</v>
      </c>
      <c r="G18074" s="34" t="n">
        <f aca="false">SUMIFS('12.326ana'!$C:$C,'12.326ana'!$M:$M,redes!A18074)</f>
        <v>0</v>
      </c>
    </row>
    <row r="18075" customFormat="false" ht="14.4" hidden="true" customHeight="false" outlineLevel="0" collapsed="false">
      <c r="A18075" s="34" t="n">
        <v>44896083000114</v>
      </c>
      <c r="B18075" s="34" t="s">
        <v>33019</v>
      </c>
      <c r="C18075" s="34" t="s">
        <v>77</v>
      </c>
      <c r="E18075" s="30" t="s">
        <v>33020</v>
      </c>
      <c r="F18075" s="34" t="n">
        <f aca="false">IFERROR(VLOOKUP($A18075,'319'!$B:$H,7,0),0)</f>
        <v>0</v>
      </c>
      <c r="G18075" s="34" t="n">
        <f aca="false">SUMIFS('12.326ana'!$C:$C,'12.326ana'!$M:$M,redes!A18075)</f>
        <v>0</v>
      </c>
    </row>
    <row r="18076" customFormat="false" ht="14.4" hidden="true" customHeight="false" outlineLevel="0" collapsed="false">
      <c r="A18076" s="34" t="n">
        <v>44907969000116</v>
      </c>
      <c r="B18076" s="34" t="s">
        <v>33021</v>
      </c>
      <c r="C18076" s="34" t="s">
        <v>103</v>
      </c>
      <c r="E18076" s="30" t="s">
        <v>33022</v>
      </c>
      <c r="F18076" s="34" t="n">
        <f aca="false">IFERROR(VLOOKUP($A18076,'319'!$B:$H,7,0),0)</f>
        <v>0</v>
      </c>
      <c r="G18076" s="34" t="n">
        <f aca="false">SUMIFS('12.326ana'!$C:$C,'12.326ana'!$M:$M,redes!A18076)</f>
        <v>0</v>
      </c>
    </row>
    <row r="18077" customFormat="false" ht="14.4" hidden="true" customHeight="false" outlineLevel="0" collapsed="false">
      <c r="A18077" s="34" t="n">
        <v>44913777000112</v>
      </c>
      <c r="B18077" s="34" t="s">
        <v>33023</v>
      </c>
      <c r="C18077" s="34" t="s">
        <v>342</v>
      </c>
      <c r="E18077" s="30" t="s">
        <v>33024</v>
      </c>
      <c r="F18077" s="34" t="n">
        <f aca="false">IFERROR(VLOOKUP($A18077,'319'!$B:$H,7,0),0)</f>
        <v>0</v>
      </c>
      <c r="G18077" s="34" t="n">
        <f aca="false">SUMIFS('12.326ana'!$C:$C,'12.326ana'!$M:$M,redes!A18077)</f>
        <v>0</v>
      </c>
    </row>
    <row r="18078" customFormat="false" ht="14.4" hidden="true" customHeight="false" outlineLevel="0" collapsed="false">
      <c r="A18078" s="34" t="n">
        <v>44917617000141</v>
      </c>
      <c r="B18078" s="34" t="s">
        <v>33025</v>
      </c>
      <c r="C18078" s="34" t="s">
        <v>77</v>
      </c>
      <c r="E18078" s="30" t="s">
        <v>33026</v>
      </c>
      <c r="F18078" s="34" t="n">
        <f aca="false">IFERROR(VLOOKUP($A18078,'319'!$B:$H,7,0),0)</f>
        <v>0</v>
      </c>
      <c r="G18078" s="34" t="n">
        <f aca="false">SUMIFS('12.326ana'!$C:$C,'12.326ana'!$M:$M,redes!A18078)</f>
        <v>0</v>
      </c>
    </row>
    <row r="18079" customFormat="false" ht="14.4" hidden="true" customHeight="false" outlineLevel="0" collapsed="false">
      <c r="A18079" s="34" t="n">
        <v>44933092000138</v>
      </c>
      <c r="B18079" s="34" t="s">
        <v>33027</v>
      </c>
      <c r="C18079" s="34" t="s">
        <v>107</v>
      </c>
      <c r="E18079" s="30" t="s">
        <v>31019</v>
      </c>
      <c r="F18079" s="34" t="n">
        <f aca="false">IFERROR(VLOOKUP($A18079,'319'!$B:$H,7,0),0)</f>
        <v>0</v>
      </c>
      <c r="G18079" s="34" t="n">
        <f aca="false">SUMIFS('12.326ana'!$C:$C,'12.326ana'!$M:$M,redes!A18079)</f>
        <v>0</v>
      </c>
    </row>
    <row r="18080" customFormat="false" ht="14.4" hidden="true" customHeight="false" outlineLevel="0" collapsed="false">
      <c r="A18080" s="34" t="n">
        <v>44953033000121</v>
      </c>
      <c r="B18080" s="34" t="s">
        <v>33028</v>
      </c>
      <c r="C18080" s="34" t="s">
        <v>77</v>
      </c>
      <c r="E18080" s="30" t="s">
        <v>26620</v>
      </c>
      <c r="F18080" s="34" t="n">
        <f aca="false">IFERROR(VLOOKUP($A18080,'319'!$B:$H,7,0),0)</f>
        <v>0</v>
      </c>
      <c r="G18080" s="34" t="n">
        <f aca="false">SUMIFS('12.326ana'!$C:$C,'12.326ana'!$M:$M,redes!A18080)</f>
        <v>0</v>
      </c>
    </row>
    <row r="18081" customFormat="false" ht="14.4" hidden="true" customHeight="false" outlineLevel="0" collapsed="false">
      <c r="A18081" s="34" t="n">
        <v>44967082000113</v>
      </c>
      <c r="B18081" s="34" t="s">
        <v>33029</v>
      </c>
      <c r="C18081" s="34" t="s">
        <v>77</v>
      </c>
      <c r="E18081" s="30" t="s">
        <v>33030</v>
      </c>
      <c r="F18081" s="34" t="n">
        <f aca="false">IFERROR(VLOOKUP($A18081,'319'!$B:$H,7,0),0)</f>
        <v>0</v>
      </c>
      <c r="G18081" s="34" t="n">
        <f aca="false">SUMIFS('12.326ana'!$C:$C,'12.326ana'!$M:$M,redes!A18081)</f>
        <v>0</v>
      </c>
    </row>
    <row r="18082" customFormat="false" ht="14.4" hidden="true" customHeight="false" outlineLevel="0" collapsed="false">
      <c r="A18082" s="34" t="n">
        <v>44972711000101</v>
      </c>
      <c r="B18082" s="34" t="s">
        <v>33031</v>
      </c>
      <c r="C18082" s="34" t="s">
        <v>77</v>
      </c>
      <c r="E18082" s="30" t="s">
        <v>33032</v>
      </c>
      <c r="F18082" s="34" t="n">
        <f aca="false">IFERROR(VLOOKUP($A18082,'319'!$B:$H,7,0),0)</f>
        <v>0</v>
      </c>
      <c r="G18082" s="34" t="n">
        <f aca="false">SUMIFS('12.326ana'!$C:$C,'12.326ana'!$M:$M,redes!A18082)</f>
        <v>0</v>
      </c>
    </row>
    <row r="18083" customFormat="false" ht="14.4" hidden="true" customHeight="false" outlineLevel="0" collapsed="false">
      <c r="A18083" s="34" t="n">
        <v>45008112000127</v>
      </c>
      <c r="B18083" s="34" t="s">
        <v>21489</v>
      </c>
      <c r="C18083" s="34" t="s">
        <v>1306</v>
      </c>
      <c r="E18083" s="30" t="s">
        <v>15312</v>
      </c>
      <c r="F18083" s="34" t="n">
        <f aca="false">IFERROR(VLOOKUP($A18083,'319'!$B:$H,7,0),0)</f>
        <v>0</v>
      </c>
      <c r="G18083" s="34" t="n">
        <f aca="false">SUMIFS('12.326ana'!$C:$C,'12.326ana'!$M:$M,redes!A18083)</f>
        <v>0</v>
      </c>
    </row>
    <row r="18084" customFormat="false" ht="14.4" hidden="true" customHeight="false" outlineLevel="0" collapsed="false">
      <c r="A18084" s="34" t="n">
        <v>45024240000164</v>
      </c>
      <c r="B18084" s="34" t="s">
        <v>33033</v>
      </c>
      <c r="C18084" s="34" t="s">
        <v>77</v>
      </c>
      <c r="E18084" s="30" t="s">
        <v>3375</v>
      </c>
      <c r="F18084" s="34" t="n">
        <f aca="false">IFERROR(VLOOKUP($A18084,'319'!$B:$H,7,0),0)</f>
        <v>0</v>
      </c>
      <c r="G18084" s="34" t="n">
        <f aca="false">SUMIFS('12.326ana'!$C:$C,'12.326ana'!$M:$M,redes!A18084)</f>
        <v>0</v>
      </c>
    </row>
    <row r="18085" customFormat="false" ht="14.4" hidden="true" customHeight="false" outlineLevel="0" collapsed="false">
      <c r="A18085" s="34" t="n">
        <v>45024405000106</v>
      </c>
      <c r="B18085" s="34" t="s">
        <v>33034</v>
      </c>
      <c r="C18085" s="34" t="s">
        <v>562</v>
      </c>
      <c r="E18085" s="30" t="s">
        <v>15265</v>
      </c>
      <c r="F18085" s="34" t="n">
        <f aca="false">IFERROR(VLOOKUP($A18085,'319'!$B:$H,7,0),0)</f>
        <v>0</v>
      </c>
      <c r="G18085" s="34" t="n">
        <f aca="false">SUMIFS('12.326ana'!$C:$C,'12.326ana'!$M:$M,redes!A18085)</f>
        <v>0</v>
      </c>
    </row>
    <row r="18086" customFormat="false" ht="14.4" hidden="true" customHeight="false" outlineLevel="0" collapsed="false">
      <c r="A18086" s="34" t="n">
        <v>45041377000127</v>
      </c>
      <c r="B18086" s="34" t="s">
        <v>33035</v>
      </c>
      <c r="C18086" s="34" t="s">
        <v>448</v>
      </c>
      <c r="E18086" s="30" t="s">
        <v>33036</v>
      </c>
      <c r="F18086" s="34" t="n">
        <f aca="false">IFERROR(VLOOKUP($A18086,'319'!$B:$H,7,0),0)</f>
        <v>0</v>
      </c>
      <c r="G18086" s="34" t="n">
        <f aca="false">SUMIFS('12.326ana'!$C:$C,'12.326ana'!$M:$M,redes!A18086)</f>
        <v>0</v>
      </c>
    </row>
    <row r="18087" customFormat="false" ht="14.4" hidden="true" customHeight="false" outlineLevel="0" collapsed="false">
      <c r="A18087" s="34" t="n">
        <v>45054441000104</v>
      </c>
      <c r="B18087" s="34" t="s">
        <v>33037</v>
      </c>
      <c r="C18087" s="34" t="s">
        <v>594</v>
      </c>
      <c r="E18087" s="30" t="s">
        <v>33038</v>
      </c>
      <c r="F18087" s="34" t="n">
        <f aca="false">IFERROR(VLOOKUP($A18087,'319'!$B:$H,7,0),0)</f>
        <v>0</v>
      </c>
      <c r="G18087" s="34" t="n">
        <f aca="false">SUMIFS('12.326ana'!$C:$C,'12.326ana'!$M:$M,redes!A18087)</f>
        <v>0</v>
      </c>
    </row>
    <row r="18088" customFormat="false" ht="14.4" hidden="true" customHeight="false" outlineLevel="0" collapsed="false">
      <c r="A18088" s="34" t="n">
        <v>45055249000132</v>
      </c>
      <c r="B18088" s="34" t="s">
        <v>26298</v>
      </c>
      <c r="C18088" s="34" t="s">
        <v>77</v>
      </c>
      <c r="E18088" s="30" t="s">
        <v>7500</v>
      </c>
      <c r="F18088" s="34" t="n">
        <f aca="false">IFERROR(VLOOKUP($A18088,'319'!$B:$H,7,0),0)</f>
        <v>0</v>
      </c>
      <c r="G18088" s="34" t="n">
        <f aca="false">SUMIFS('12.326ana'!$C:$C,'12.326ana'!$M:$M,redes!A18088)</f>
        <v>0</v>
      </c>
    </row>
    <row r="18089" customFormat="false" ht="14.4" hidden="true" customHeight="false" outlineLevel="0" collapsed="false">
      <c r="A18089" s="34" t="n">
        <v>45077281000119</v>
      </c>
      <c r="B18089" s="34" t="s">
        <v>33039</v>
      </c>
      <c r="C18089" s="34" t="s">
        <v>77</v>
      </c>
      <c r="E18089" s="30" t="s">
        <v>33040</v>
      </c>
      <c r="F18089" s="34" t="n">
        <f aca="false">IFERROR(VLOOKUP($A18089,'319'!$B:$H,7,0),0)</f>
        <v>0</v>
      </c>
      <c r="G18089" s="34" t="n">
        <f aca="false">SUMIFS('12.326ana'!$C:$C,'12.326ana'!$M:$M,redes!A18089)</f>
        <v>0</v>
      </c>
    </row>
    <row r="18090" customFormat="false" ht="14.4" hidden="true" customHeight="false" outlineLevel="0" collapsed="false">
      <c r="A18090" s="34" t="n">
        <v>45084705000172</v>
      </c>
      <c r="B18090" s="34" t="s">
        <v>33041</v>
      </c>
      <c r="C18090" s="34" t="s">
        <v>737</v>
      </c>
      <c r="E18090" s="30" t="s">
        <v>33042</v>
      </c>
      <c r="F18090" s="34" t="n">
        <f aca="false">IFERROR(VLOOKUP($A18090,'319'!$B:$H,7,0),0)</f>
        <v>0</v>
      </c>
      <c r="G18090" s="34" t="n">
        <f aca="false">SUMIFS('12.326ana'!$C:$C,'12.326ana'!$M:$M,redes!A18090)</f>
        <v>0</v>
      </c>
    </row>
    <row r="18091" customFormat="false" ht="14.4" hidden="true" customHeight="false" outlineLevel="0" collapsed="false">
      <c r="A18091" s="34" t="n">
        <v>45099016000131</v>
      </c>
      <c r="B18091" s="34" t="s">
        <v>819</v>
      </c>
      <c r="C18091" s="34" t="s">
        <v>565</v>
      </c>
      <c r="E18091" s="30" t="s">
        <v>33043</v>
      </c>
      <c r="F18091" s="34" t="n">
        <f aca="false">IFERROR(VLOOKUP($A18091,'319'!$B:$H,7,0),0)</f>
        <v>2402.51</v>
      </c>
      <c r="G18091" s="34" t="n">
        <f aca="false">SUMIFS('12.326ana'!$C:$C,'12.326ana'!$M:$M,redes!A18091)</f>
        <v>0</v>
      </c>
    </row>
    <row r="18092" customFormat="false" ht="14.4" hidden="true" customHeight="false" outlineLevel="0" collapsed="false">
      <c r="A18092" s="34" t="n">
        <v>45118702000102</v>
      </c>
      <c r="B18092" s="34" t="s">
        <v>33044</v>
      </c>
      <c r="C18092" s="34" t="s">
        <v>299</v>
      </c>
      <c r="E18092" s="30" t="s">
        <v>33045</v>
      </c>
      <c r="F18092" s="34" t="n">
        <f aca="false">IFERROR(VLOOKUP($A18092,'319'!$B:$H,7,0),0)</f>
        <v>143.29</v>
      </c>
      <c r="G18092" s="34" t="n">
        <f aca="false">SUMIFS('12.326ana'!$C:$C,'12.326ana'!$M:$M,redes!A18092)</f>
        <v>0</v>
      </c>
    </row>
    <row r="18093" customFormat="false" ht="14.4" hidden="true" customHeight="false" outlineLevel="0" collapsed="false">
      <c r="A18093" s="34" t="n">
        <v>45127766000170</v>
      </c>
      <c r="B18093" s="34" t="s">
        <v>1480</v>
      </c>
      <c r="C18093" s="34" t="s">
        <v>1341</v>
      </c>
      <c r="E18093" s="30" t="s">
        <v>33046</v>
      </c>
      <c r="F18093" s="34" t="n">
        <f aca="false">IFERROR(VLOOKUP($A18093,'319'!$B:$H,7,0),0)</f>
        <v>160.18</v>
      </c>
      <c r="G18093" s="34" t="n">
        <f aca="false">SUMIFS('12.326ana'!$C:$C,'12.326ana'!$M:$M,redes!A18093)</f>
        <v>0</v>
      </c>
    </row>
    <row r="18094" customFormat="false" ht="14.4" hidden="true" customHeight="false" outlineLevel="0" collapsed="false">
      <c r="A18094" s="34" t="n">
        <v>45163756000190</v>
      </c>
      <c r="B18094" s="34" t="s">
        <v>33047</v>
      </c>
      <c r="C18094" s="34" t="s">
        <v>103</v>
      </c>
      <c r="E18094" s="30" t="s">
        <v>14114</v>
      </c>
      <c r="F18094" s="34" t="n">
        <f aca="false">IFERROR(VLOOKUP($A18094,'319'!$B:$H,7,0),0)</f>
        <v>0</v>
      </c>
      <c r="G18094" s="34" t="n">
        <f aca="false">SUMIFS('12.326ana'!$C:$C,'12.326ana'!$M:$M,redes!A18094)</f>
        <v>0</v>
      </c>
    </row>
    <row r="18095" customFormat="false" ht="14.4" hidden="true" customHeight="false" outlineLevel="0" collapsed="false">
      <c r="A18095" s="34" t="n">
        <v>45210980000195</v>
      </c>
      <c r="B18095" s="34" t="s">
        <v>33048</v>
      </c>
      <c r="C18095" s="34" t="s">
        <v>89</v>
      </c>
      <c r="E18095" s="30"/>
      <c r="F18095" s="34" t="n">
        <f aca="false">IFERROR(VLOOKUP($A18095,'319'!$B:$H,7,0),0)</f>
        <v>0</v>
      </c>
      <c r="G18095" s="34" t="n">
        <f aca="false">SUMIFS('12.326ana'!$C:$C,'12.326ana'!$M:$M,redes!A18095)</f>
        <v>0</v>
      </c>
    </row>
    <row r="18096" customFormat="false" ht="14.4" hidden="true" customHeight="false" outlineLevel="0" collapsed="false">
      <c r="A18096" s="34" t="n">
        <v>45222169000124</v>
      </c>
      <c r="B18096" s="34" t="s">
        <v>33049</v>
      </c>
      <c r="C18096" s="34" t="s">
        <v>1272</v>
      </c>
      <c r="E18096" s="30" t="s">
        <v>33050</v>
      </c>
      <c r="F18096" s="34" t="n">
        <f aca="false">IFERROR(VLOOKUP($A18096,'319'!$B:$H,7,0),0)</f>
        <v>0</v>
      </c>
      <c r="G18096" s="34" t="n">
        <f aca="false">SUMIFS('12.326ana'!$C:$C,'12.326ana'!$M:$M,redes!A18096)</f>
        <v>0</v>
      </c>
    </row>
    <row r="18097" customFormat="false" ht="14.4" hidden="true" customHeight="false" outlineLevel="0" collapsed="false">
      <c r="A18097" s="34" t="n">
        <v>45224101000184</v>
      </c>
      <c r="B18097" s="34" t="s">
        <v>33051</v>
      </c>
      <c r="C18097" s="34" t="s">
        <v>89</v>
      </c>
      <c r="E18097" s="30" t="s">
        <v>33052</v>
      </c>
      <c r="F18097" s="34" t="n">
        <f aca="false">IFERROR(VLOOKUP($A18097,'319'!$B:$H,7,0),0)</f>
        <v>0</v>
      </c>
      <c r="G18097" s="34" t="n">
        <f aca="false">SUMIFS('12.326ana'!$C:$C,'12.326ana'!$M:$M,redes!A18097)</f>
        <v>0</v>
      </c>
    </row>
    <row r="18098" customFormat="false" ht="14.4" hidden="true" customHeight="false" outlineLevel="0" collapsed="false">
      <c r="A18098" s="34" t="n">
        <v>45224598000130</v>
      </c>
      <c r="B18098" s="34" t="s">
        <v>33053</v>
      </c>
      <c r="C18098" s="34" t="s">
        <v>804</v>
      </c>
      <c r="E18098" s="30" t="s">
        <v>29180</v>
      </c>
      <c r="F18098" s="34" t="n">
        <f aca="false">IFERROR(VLOOKUP($A18098,'319'!$B:$H,7,0),0)</f>
        <v>183.57</v>
      </c>
      <c r="G18098" s="34" t="n">
        <f aca="false">SUMIFS('12.326ana'!$C:$C,'12.326ana'!$M:$M,redes!A18098)</f>
        <v>0</v>
      </c>
    </row>
    <row r="18099" customFormat="false" ht="14.4" hidden="true" customHeight="false" outlineLevel="0" collapsed="false">
      <c r="A18099" s="34" t="n">
        <v>45225952000141</v>
      </c>
      <c r="B18099" s="34" t="s">
        <v>33054</v>
      </c>
      <c r="C18099" s="34" t="s">
        <v>842</v>
      </c>
      <c r="E18099" s="30" t="s">
        <v>33055</v>
      </c>
      <c r="F18099" s="34" t="n">
        <f aca="false">IFERROR(VLOOKUP($A18099,'319'!$B:$H,7,0),0)</f>
        <v>579.41</v>
      </c>
      <c r="G18099" s="34" t="n">
        <f aca="false">SUMIFS('12.326ana'!$C:$C,'12.326ana'!$M:$M,redes!A18099)</f>
        <v>0</v>
      </c>
    </row>
    <row r="18100" customFormat="false" ht="14.4" hidden="true" customHeight="false" outlineLevel="0" collapsed="false">
      <c r="A18100" s="34" t="n">
        <v>45281552000153</v>
      </c>
      <c r="B18100" s="34" t="s">
        <v>33056</v>
      </c>
      <c r="C18100" s="34" t="s">
        <v>77</v>
      </c>
      <c r="E18100" s="30" t="s">
        <v>33057</v>
      </c>
      <c r="F18100" s="34" t="n">
        <f aca="false">IFERROR(VLOOKUP($A18100,'319'!$B:$H,7,0),0)</f>
        <v>0</v>
      </c>
      <c r="G18100" s="34" t="n">
        <f aca="false">SUMIFS('12.326ana'!$C:$C,'12.326ana'!$M:$M,redes!A18100)</f>
        <v>0</v>
      </c>
    </row>
    <row r="18101" customFormat="false" ht="14.4" hidden="true" customHeight="false" outlineLevel="0" collapsed="false">
      <c r="A18101" s="34" t="n">
        <v>45293548000105</v>
      </c>
      <c r="B18101" s="34" t="s">
        <v>33058</v>
      </c>
      <c r="C18101" s="34" t="s">
        <v>89</v>
      </c>
      <c r="E18101" s="30" t="s">
        <v>33059</v>
      </c>
      <c r="F18101" s="34" t="n">
        <f aca="false">IFERROR(VLOOKUP($A18101,'319'!$B:$H,7,0),0)</f>
        <v>0</v>
      </c>
      <c r="G18101" s="34" t="n">
        <f aca="false">SUMIFS('12.326ana'!$C:$C,'12.326ana'!$M:$M,redes!A18101)</f>
        <v>0</v>
      </c>
    </row>
    <row r="18102" customFormat="false" ht="14.4" hidden="true" customHeight="false" outlineLevel="0" collapsed="false">
      <c r="A18102" s="34" t="n">
        <v>45299421000101</v>
      </c>
      <c r="B18102" s="34" t="s">
        <v>33060</v>
      </c>
      <c r="C18102" s="34" t="s">
        <v>77</v>
      </c>
      <c r="E18102" s="30" t="s">
        <v>33061</v>
      </c>
      <c r="F18102" s="34" t="n">
        <f aca="false">IFERROR(VLOOKUP($A18102,'319'!$B:$H,7,0),0)</f>
        <v>0</v>
      </c>
      <c r="G18102" s="34" t="n">
        <f aca="false">SUMIFS('12.326ana'!$C:$C,'12.326ana'!$M:$M,redes!A18102)</f>
        <v>0</v>
      </c>
    </row>
    <row r="18103" customFormat="false" ht="14.4" hidden="true" customHeight="false" outlineLevel="0" collapsed="false">
      <c r="A18103" s="34" t="n">
        <v>45314452000186</v>
      </c>
      <c r="B18103" s="34" t="s">
        <v>19860</v>
      </c>
      <c r="C18103" s="34" t="s">
        <v>77</v>
      </c>
      <c r="E18103" s="30" t="s">
        <v>19860</v>
      </c>
      <c r="F18103" s="34" t="n">
        <f aca="false">IFERROR(VLOOKUP($A18103,'319'!$B:$H,7,0),0)</f>
        <v>0</v>
      </c>
      <c r="G18103" s="34" t="n">
        <f aca="false">SUMIFS('12.326ana'!$C:$C,'12.326ana'!$M:$M,redes!A18103)</f>
        <v>0</v>
      </c>
    </row>
    <row r="18104" customFormat="false" ht="14.4" hidden="true" customHeight="false" outlineLevel="0" collapsed="false">
      <c r="A18104" s="34" t="n">
        <v>45345433000117</v>
      </c>
      <c r="B18104" s="34" t="s">
        <v>33062</v>
      </c>
      <c r="C18104" s="34" t="s">
        <v>77</v>
      </c>
      <c r="E18104" s="30" t="s">
        <v>33063</v>
      </c>
      <c r="F18104" s="34" t="n">
        <f aca="false">IFERROR(VLOOKUP($A18104,'319'!$B:$H,7,0),0)</f>
        <v>0</v>
      </c>
      <c r="G18104" s="34" t="n">
        <f aca="false">SUMIFS('12.326ana'!$C:$C,'12.326ana'!$M:$M,redes!A18104)</f>
        <v>0</v>
      </c>
    </row>
    <row r="18105" customFormat="false" ht="14.4" hidden="true" customHeight="false" outlineLevel="0" collapsed="false">
      <c r="A18105" s="34" t="n">
        <v>45365457000138</v>
      </c>
      <c r="B18105" s="34" t="s">
        <v>33064</v>
      </c>
      <c r="C18105" s="34" t="s">
        <v>77</v>
      </c>
      <c r="E18105" s="30" t="s">
        <v>33065</v>
      </c>
      <c r="F18105" s="34" t="n">
        <f aca="false">IFERROR(VLOOKUP($A18105,'319'!$B:$H,7,0),0)</f>
        <v>0</v>
      </c>
      <c r="G18105" s="34" t="n">
        <f aca="false">SUMIFS('12.326ana'!$C:$C,'12.326ana'!$M:$M,redes!A18105)</f>
        <v>0</v>
      </c>
    </row>
    <row r="18106" customFormat="false" ht="14.4" hidden="true" customHeight="false" outlineLevel="0" collapsed="false">
      <c r="A18106" s="34" t="n">
        <v>45395476000107</v>
      </c>
      <c r="B18106" s="34" t="s">
        <v>33066</v>
      </c>
      <c r="C18106" s="34" t="s">
        <v>77</v>
      </c>
      <c r="E18106" s="30" t="s">
        <v>33067</v>
      </c>
      <c r="F18106" s="34" t="n">
        <f aca="false">IFERROR(VLOOKUP($A18106,'319'!$B:$H,7,0),0)</f>
        <v>0</v>
      </c>
      <c r="G18106" s="34" t="n">
        <f aca="false">SUMIFS('12.326ana'!$C:$C,'12.326ana'!$M:$M,redes!A18106)</f>
        <v>0</v>
      </c>
    </row>
    <row r="18107" customFormat="false" ht="14.4" hidden="true" customHeight="false" outlineLevel="0" collapsed="false">
      <c r="A18107" s="34" t="n">
        <v>45398011000100</v>
      </c>
      <c r="B18107" s="34" t="s">
        <v>33068</v>
      </c>
      <c r="C18107" s="34" t="s">
        <v>77</v>
      </c>
      <c r="E18107" s="30" t="s">
        <v>33069</v>
      </c>
      <c r="F18107" s="34" t="n">
        <f aca="false">IFERROR(VLOOKUP($A18107,'319'!$B:$H,7,0),0)</f>
        <v>0</v>
      </c>
      <c r="G18107" s="34" t="n">
        <f aca="false">SUMIFS('12.326ana'!$C:$C,'12.326ana'!$M:$M,redes!A18107)</f>
        <v>0</v>
      </c>
    </row>
    <row r="18108" customFormat="false" ht="14.4" hidden="true" customHeight="false" outlineLevel="0" collapsed="false">
      <c r="A18108" s="34" t="n">
        <v>45399350000100</v>
      </c>
      <c r="B18108" s="34" t="s">
        <v>33070</v>
      </c>
      <c r="C18108" s="34" t="s">
        <v>77</v>
      </c>
      <c r="E18108" s="30" t="s">
        <v>33071</v>
      </c>
      <c r="F18108" s="34" t="n">
        <f aca="false">IFERROR(VLOOKUP($A18108,'319'!$B:$H,7,0),0)</f>
        <v>0</v>
      </c>
      <c r="G18108" s="34" t="n">
        <f aca="false">SUMIFS('12.326ana'!$C:$C,'12.326ana'!$M:$M,redes!A18108)</f>
        <v>0</v>
      </c>
    </row>
    <row r="18109" customFormat="false" ht="14.4" hidden="true" customHeight="false" outlineLevel="0" collapsed="false">
      <c r="A18109" s="34" t="n">
        <v>45400576000184</v>
      </c>
      <c r="B18109" s="34" t="s">
        <v>33072</v>
      </c>
      <c r="C18109" s="34" t="s">
        <v>342</v>
      </c>
      <c r="E18109" s="30" t="s">
        <v>31325</v>
      </c>
      <c r="F18109" s="34" t="n">
        <f aca="false">IFERROR(VLOOKUP($A18109,'319'!$B:$H,7,0),0)</f>
        <v>0</v>
      </c>
      <c r="G18109" s="34" t="n">
        <f aca="false">SUMIFS('12.326ana'!$C:$C,'12.326ana'!$M:$M,redes!A18109)</f>
        <v>0</v>
      </c>
    </row>
    <row r="18110" customFormat="false" ht="14.4" hidden="true" customHeight="false" outlineLevel="0" collapsed="false">
      <c r="A18110" s="34" t="n">
        <v>45415330000186</v>
      </c>
      <c r="B18110" s="34" t="s">
        <v>33073</v>
      </c>
      <c r="C18110" s="34" t="s">
        <v>994</v>
      </c>
      <c r="E18110" s="30" t="s">
        <v>3293</v>
      </c>
      <c r="F18110" s="34" t="n">
        <f aca="false">IFERROR(VLOOKUP($A18110,'319'!$B:$H,7,0),0)</f>
        <v>0</v>
      </c>
      <c r="G18110" s="34" t="n">
        <f aca="false">SUMIFS('12.326ana'!$C:$C,'12.326ana'!$M:$M,redes!A18110)</f>
        <v>0</v>
      </c>
    </row>
    <row r="18111" customFormat="false" ht="14.4" hidden="true" customHeight="false" outlineLevel="0" collapsed="false">
      <c r="A18111" s="34" t="n">
        <v>45441587000102</v>
      </c>
      <c r="B18111" s="34" t="s">
        <v>33074</v>
      </c>
      <c r="C18111" s="34" t="s">
        <v>103</v>
      </c>
      <c r="E18111" s="30" t="s">
        <v>11496</v>
      </c>
      <c r="F18111" s="34" t="n">
        <f aca="false">IFERROR(VLOOKUP($A18111,'319'!$B:$H,7,0),0)</f>
        <v>0</v>
      </c>
      <c r="G18111" s="34" t="n">
        <f aca="false">SUMIFS('12.326ana'!$C:$C,'12.326ana'!$M:$M,redes!A18111)</f>
        <v>0</v>
      </c>
    </row>
    <row r="18112" customFormat="false" ht="14.4" hidden="true" customHeight="false" outlineLevel="0" collapsed="false">
      <c r="A18112" s="34" t="n">
        <v>45465611000143</v>
      </c>
      <c r="B18112" s="34" t="s">
        <v>33075</v>
      </c>
      <c r="C18112" s="34" t="s">
        <v>107</v>
      </c>
      <c r="E18112" s="30" t="s">
        <v>33076</v>
      </c>
      <c r="F18112" s="34" t="n">
        <f aca="false">IFERROR(VLOOKUP($A18112,'319'!$B:$H,7,0),0)</f>
        <v>0</v>
      </c>
      <c r="G18112" s="34" t="n">
        <f aca="false">SUMIFS('12.326ana'!$C:$C,'12.326ana'!$M:$M,redes!A18112)</f>
        <v>0</v>
      </c>
    </row>
    <row r="18113" customFormat="false" ht="14.4" hidden="true" customHeight="false" outlineLevel="0" collapsed="false">
      <c r="A18113" s="34" t="n">
        <v>45489892000174</v>
      </c>
      <c r="B18113" s="34" t="s">
        <v>33077</v>
      </c>
      <c r="C18113" s="34" t="s">
        <v>594</v>
      </c>
      <c r="E18113" s="30" t="s">
        <v>33078</v>
      </c>
      <c r="F18113" s="34" t="n">
        <f aca="false">IFERROR(VLOOKUP($A18113,'319'!$B:$H,7,0),0)</f>
        <v>0</v>
      </c>
      <c r="G18113" s="34" t="n">
        <f aca="false">SUMIFS('12.326ana'!$C:$C,'12.326ana'!$M:$M,redes!A18113)</f>
        <v>0</v>
      </c>
    </row>
    <row r="18114" customFormat="false" ht="14.4" hidden="true" customHeight="false" outlineLevel="0" collapsed="false">
      <c r="A18114" s="34" t="n">
        <v>45508940000124</v>
      </c>
      <c r="B18114" s="34" t="s">
        <v>33079</v>
      </c>
      <c r="C18114" s="34" t="s">
        <v>77</v>
      </c>
      <c r="E18114" s="30" t="s">
        <v>33079</v>
      </c>
      <c r="F18114" s="34" t="n">
        <f aca="false">IFERROR(VLOOKUP($A18114,'319'!$B:$H,7,0),0)</f>
        <v>0</v>
      </c>
      <c r="G18114" s="34" t="n">
        <f aca="false">SUMIFS('12.326ana'!$C:$C,'12.326ana'!$M:$M,redes!A18114)</f>
        <v>0</v>
      </c>
    </row>
    <row r="18115" customFormat="false" ht="14.4" hidden="true" customHeight="false" outlineLevel="0" collapsed="false">
      <c r="A18115" s="34" t="n">
        <v>45522143000100</v>
      </c>
      <c r="B18115" s="34" t="s">
        <v>33080</v>
      </c>
      <c r="C18115" s="34" t="s">
        <v>77</v>
      </c>
      <c r="E18115" s="30" t="s">
        <v>33081</v>
      </c>
      <c r="F18115" s="34" t="n">
        <f aca="false">IFERROR(VLOOKUP($A18115,'319'!$B:$H,7,0),0)</f>
        <v>0</v>
      </c>
      <c r="G18115" s="34" t="n">
        <f aca="false">SUMIFS('12.326ana'!$C:$C,'12.326ana'!$M:$M,redes!A18115)</f>
        <v>0</v>
      </c>
    </row>
    <row r="18116" customFormat="false" ht="14.4" hidden="true" customHeight="false" outlineLevel="0" collapsed="false">
      <c r="A18116" s="34" t="n">
        <v>45538195000166</v>
      </c>
      <c r="B18116" s="34" t="s">
        <v>33082</v>
      </c>
      <c r="C18116" s="34" t="s">
        <v>77</v>
      </c>
      <c r="E18116" s="30" t="s">
        <v>27480</v>
      </c>
      <c r="F18116" s="34" t="n">
        <f aca="false">IFERROR(VLOOKUP($A18116,'319'!$B:$H,7,0),0)</f>
        <v>0</v>
      </c>
      <c r="G18116" s="34" t="n">
        <f aca="false">SUMIFS('12.326ana'!$C:$C,'12.326ana'!$M:$M,redes!A18116)</f>
        <v>0</v>
      </c>
    </row>
    <row r="18117" customFormat="false" ht="14.4" hidden="true" customHeight="false" outlineLevel="0" collapsed="false">
      <c r="A18117" s="34" t="n">
        <v>45546191000120</v>
      </c>
      <c r="B18117" s="34" t="s">
        <v>33083</v>
      </c>
      <c r="C18117" s="34" t="s">
        <v>77</v>
      </c>
      <c r="E18117" s="30" t="s">
        <v>33084</v>
      </c>
      <c r="F18117" s="34" t="n">
        <f aca="false">IFERROR(VLOOKUP($A18117,'319'!$B:$H,7,0),0)</f>
        <v>0</v>
      </c>
      <c r="G18117" s="34" t="n">
        <f aca="false">SUMIFS('12.326ana'!$C:$C,'12.326ana'!$M:$M,redes!A18117)</f>
        <v>0</v>
      </c>
    </row>
    <row r="18118" customFormat="false" ht="14.4" hidden="true" customHeight="false" outlineLevel="0" collapsed="false">
      <c r="A18118" s="34" t="n">
        <v>45547876000190</v>
      </c>
      <c r="B18118" s="34" t="s">
        <v>33085</v>
      </c>
      <c r="C18118" s="34" t="s">
        <v>77</v>
      </c>
      <c r="E18118" s="30" t="s">
        <v>33086</v>
      </c>
      <c r="F18118" s="34" t="n">
        <f aca="false">IFERROR(VLOOKUP($A18118,'319'!$B:$H,7,0),0)</f>
        <v>0</v>
      </c>
      <c r="G18118" s="34" t="n">
        <f aca="false">SUMIFS('12.326ana'!$C:$C,'12.326ana'!$M:$M,redes!A18118)</f>
        <v>0</v>
      </c>
    </row>
    <row r="18119" customFormat="false" ht="14.4" hidden="true" customHeight="false" outlineLevel="0" collapsed="false">
      <c r="A18119" s="34" t="n">
        <v>45556629000150</v>
      </c>
      <c r="B18119" s="34" t="s">
        <v>33087</v>
      </c>
      <c r="C18119" s="34" t="s">
        <v>77</v>
      </c>
      <c r="E18119" s="30" t="s">
        <v>33088</v>
      </c>
      <c r="F18119" s="34" t="n">
        <f aca="false">IFERROR(VLOOKUP($A18119,'319'!$B:$H,7,0),0)</f>
        <v>0</v>
      </c>
      <c r="G18119" s="34" t="n">
        <f aca="false">SUMIFS('12.326ana'!$C:$C,'12.326ana'!$M:$M,redes!A18119)</f>
        <v>0</v>
      </c>
    </row>
    <row r="18120" customFormat="false" ht="14.4" hidden="true" customHeight="false" outlineLevel="0" collapsed="false">
      <c r="A18120" s="34" t="n">
        <v>45563860000171</v>
      </c>
      <c r="B18120" s="34" t="s">
        <v>33089</v>
      </c>
      <c r="C18120" s="34" t="s">
        <v>77</v>
      </c>
      <c r="E18120" s="30" t="s">
        <v>33090</v>
      </c>
      <c r="F18120" s="34" t="n">
        <f aca="false">IFERROR(VLOOKUP($A18120,'319'!$B:$H,7,0),0)</f>
        <v>0</v>
      </c>
      <c r="G18120" s="34" t="n">
        <f aca="false">SUMIFS('12.326ana'!$C:$C,'12.326ana'!$M:$M,redes!A18120)</f>
        <v>0</v>
      </c>
    </row>
    <row r="18121" customFormat="false" ht="14.4" hidden="true" customHeight="false" outlineLevel="0" collapsed="false">
      <c r="A18121" s="34" t="n">
        <v>45603350000180</v>
      </c>
      <c r="B18121" s="34" t="s">
        <v>33091</v>
      </c>
      <c r="C18121" s="34" t="s">
        <v>77</v>
      </c>
      <c r="E18121" s="30" t="s">
        <v>33092</v>
      </c>
      <c r="F18121" s="34" t="n">
        <f aca="false">IFERROR(VLOOKUP($A18121,'319'!$B:$H,7,0),0)</f>
        <v>41.61</v>
      </c>
      <c r="G18121" s="34" t="n">
        <f aca="false">SUMIFS('12.326ana'!$C:$C,'12.326ana'!$M:$M,redes!A18121)</f>
        <v>0</v>
      </c>
    </row>
    <row r="18122" customFormat="false" ht="14.4" hidden="true" customHeight="false" outlineLevel="0" collapsed="false">
      <c r="A18122" s="34" t="n">
        <v>45612784000147</v>
      </c>
      <c r="B18122" s="34" t="s">
        <v>33093</v>
      </c>
      <c r="C18122" s="34" t="s">
        <v>77</v>
      </c>
      <c r="E18122" s="30" t="s">
        <v>33093</v>
      </c>
      <c r="F18122" s="34" t="n">
        <f aca="false">IFERROR(VLOOKUP($A18122,'319'!$B:$H,7,0),0)</f>
        <v>0</v>
      </c>
      <c r="G18122" s="34" t="n">
        <f aca="false">SUMIFS('12.326ana'!$C:$C,'12.326ana'!$M:$M,redes!A18122)</f>
        <v>0</v>
      </c>
    </row>
    <row r="18123" customFormat="false" ht="14.4" hidden="true" customHeight="false" outlineLevel="0" collapsed="false">
      <c r="A18123" s="34" t="n">
        <v>45621694000112</v>
      </c>
      <c r="B18123" s="34" t="s">
        <v>33094</v>
      </c>
      <c r="C18123" s="34" t="s">
        <v>103</v>
      </c>
      <c r="E18123" s="30" t="s">
        <v>33095</v>
      </c>
      <c r="F18123" s="34" t="n">
        <f aca="false">IFERROR(VLOOKUP($A18123,'319'!$B:$H,7,0),0)</f>
        <v>0</v>
      </c>
      <c r="G18123" s="34" t="n">
        <f aca="false">SUMIFS('12.326ana'!$C:$C,'12.326ana'!$M:$M,redes!A18123)</f>
        <v>0</v>
      </c>
    </row>
    <row r="18124" customFormat="false" ht="14.4" hidden="true" customHeight="false" outlineLevel="0" collapsed="false">
      <c r="A18124" s="34" t="n">
        <v>45629293000109</v>
      </c>
      <c r="B18124" s="34" t="s">
        <v>33096</v>
      </c>
      <c r="C18124" s="34" t="s">
        <v>77</v>
      </c>
      <c r="E18124" s="30" t="s">
        <v>33097</v>
      </c>
      <c r="F18124" s="34" t="n">
        <f aca="false">IFERROR(VLOOKUP($A18124,'319'!$B:$H,7,0),0)</f>
        <v>0</v>
      </c>
      <c r="G18124" s="34" t="n">
        <f aca="false">SUMIFS('12.326ana'!$C:$C,'12.326ana'!$M:$M,redes!A18124)</f>
        <v>0</v>
      </c>
    </row>
    <row r="18125" customFormat="false" ht="14.4" hidden="true" customHeight="false" outlineLevel="0" collapsed="false">
      <c r="A18125" s="34" t="n">
        <v>45679714000106</v>
      </c>
      <c r="B18125" s="34" t="s">
        <v>33098</v>
      </c>
      <c r="C18125" s="34" t="s">
        <v>935</v>
      </c>
      <c r="E18125" s="30" t="s">
        <v>33098</v>
      </c>
      <c r="F18125" s="34" t="n">
        <f aca="false">IFERROR(VLOOKUP($A18125,'319'!$B:$H,7,0),0)</f>
        <v>271.35</v>
      </c>
      <c r="G18125" s="34" t="n">
        <f aca="false">SUMIFS('12.326ana'!$C:$C,'12.326ana'!$M:$M,redes!A18125)</f>
        <v>0</v>
      </c>
    </row>
    <row r="18126" customFormat="false" ht="14.4" hidden="true" customHeight="false" outlineLevel="0" collapsed="false">
      <c r="A18126" s="34" t="n">
        <v>45682158000127</v>
      </c>
      <c r="B18126" s="34" t="s">
        <v>33099</v>
      </c>
      <c r="C18126" s="34" t="s">
        <v>565</v>
      </c>
      <c r="E18126" s="30" t="s">
        <v>33100</v>
      </c>
      <c r="F18126" s="34" t="n">
        <f aca="false">IFERROR(VLOOKUP($A18126,'319'!$B:$H,7,0),0)</f>
        <v>0</v>
      </c>
      <c r="G18126" s="34" t="n">
        <f aca="false">SUMIFS('12.326ana'!$C:$C,'12.326ana'!$M:$M,redes!A18126)</f>
        <v>0</v>
      </c>
    </row>
    <row r="18127" customFormat="false" ht="14.4" hidden="true" customHeight="false" outlineLevel="0" collapsed="false">
      <c r="A18127" s="34" t="n">
        <v>45696540000190</v>
      </c>
      <c r="B18127" s="34" t="s">
        <v>33101</v>
      </c>
      <c r="C18127" s="34" t="s">
        <v>77</v>
      </c>
      <c r="E18127" s="30" t="s">
        <v>33101</v>
      </c>
      <c r="F18127" s="34" t="n">
        <f aca="false">IFERROR(VLOOKUP($A18127,'319'!$B:$H,7,0),0)</f>
        <v>0</v>
      </c>
      <c r="G18127" s="34" t="n">
        <f aca="false">SUMIFS('12.326ana'!$C:$C,'12.326ana'!$M:$M,redes!A18127)</f>
        <v>0</v>
      </c>
    </row>
    <row r="18128" customFormat="false" ht="14.4" hidden="true" customHeight="false" outlineLevel="0" collapsed="false">
      <c r="A18128" s="34" t="n">
        <v>45708612000171</v>
      </c>
      <c r="B18128" s="34" t="s">
        <v>33102</v>
      </c>
      <c r="C18128" s="34" t="s">
        <v>103</v>
      </c>
      <c r="E18128" s="30" t="s">
        <v>3194</v>
      </c>
      <c r="F18128" s="34" t="n">
        <f aca="false">IFERROR(VLOOKUP($A18128,'319'!$B:$H,7,0),0)</f>
        <v>0</v>
      </c>
      <c r="G18128" s="34" t="n">
        <f aca="false">SUMIFS('12.326ana'!$C:$C,'12.326ana'!$M:$M,redes!A18128)</f>
        <v>0</v>
      </c>
    </row>
    <row r="18129" customFormat="false" ht="14.4" hidden="true" customHeight="false" outlineLevel="0" collapsed="false">
      <c r="A18129" s="34" t="n">
        <v>45720274000193</v>
      </c>
      <c r="B18129" s="34" t="s">
        <v>33103</v>
      </c>
      <c r="C18129" s="34" t="s">
        <v>77</v>
      </c>
      <c r="E18129" s="30" t="s">
        <v>33104</v>
      </c>
      <c r="F18129" s="34" t="n">
        <f aca="false">IFERROR(VLOOKUP($A18129,'319'!$B:$H,7,0),0)</f>
        <v>0</v>
      </c>
      <c r="G18129" s="34" t="n">
        <f aca="false">SUMIFS('12.326ana'!$C:$C,'12.326ana'!$M:$M,redes!A18129)</f>
        <v>0</v>
      </c>
    </row>
    <row r="18130" customFormat="false" ht="14.4" hidden="true" customHeight="false" outlineLevel="0" collapsed="false">
      <c r="A18130" s="34" t="n">
        <v>45732710000144</v>
      </c>
      <c r="B18130" s="34" t="s">
        <v>33105</v>
      </c>
      <c r="C18130" s="34" t="s">
        <v>139</v>
      </c>
      <c r="E18130" s="30" t="s">
        <v>33106</v>
      </c>
      <c r="F18130" s="34" t="n">
        <f aca="false">IFERROR(VLOOKUP($A18130,'319'!$B:$H,7,0),0)</f>
        <v>0</v>
      </c>
      <c r="G18130" s="34" t="n">
        <f aca="false">SUMIFS('12.326ana'!$C:$C,'12.326ana'!$M:$M,redes!A18130)</f>
        <v>0</v>
      </c>
    </row>
    <row r="18131" customFormat="false" ht="14.4" hidden="true" customHeight="false" outlineLevel="0" collapsed="false">
      <c r="A18131" s="34" t="n">
        <v>45747536000103</v>
      </c>
      <c r="B18131" s="34" t="s">
        <v>33107</v>
      </c>
      <c r="C18131" s="34" t="s">
        <v>77</v>
      </c>
      <c r="E18131" s="30" t="s">
        <v>33107</v>
      </c>
      <c r="F18131" s="34" t="n">
        <f aca="false">IFERROR(VLOOKUP($A18131,'319'!$B:$H,7,0),0)</f>
        <v>0</v>
      </c>
      <c r="G18131" s="34" t="n">
        <f aca="false">SUMIFS('12.326ana'!$C:$C,'12.326ana'!$M:$M,redes!A18131)</f>
        <v>0</v>
      </c>
    </row>
    <row r="18132" customFormat="false" ht="14.4" hidden="true" customHeight="false" outlineLevel="0" collapsed="false">
      <c r="A18132" s="34" t="n">
        <v>45754708000176</v>
      </c>
      <c r="B18132" s="34" t="s">
        <v>33108</v>
      </c>
      <c r="C18132" s="34" t="s">
        <v>77</v>
      </c>
      <c r="E18132" s="30" t="s">
        <v>33108</v>
      </c>
      <c r="F18132" s="34" t="n">
        <f aca="false">IFERROR(VLOOKUP($A18132,'319'!$B:$H,7,0),0)</f>
        <v>0</v>
      </c>
      <c r="G18132" s="34" t="n">
        <f aca="false">SUMIFS('12.326ana'!$C:$C,'12.326ana'!$M:$M,redes!A18132)</f>
        <v>0</v>
      </c>
    </row>
    <row r="18133" customFormat="false" ht="14.4" hidden="true" customHeight="false" outlineLevel="0" collapsed="false">
      <c r="A18133" s="34" t="n">
        <v>45759314000100</v>
      </c>
      <c r="B18133" s="34" t="s">
        <v>33109</v>
      </c>
      <c r="C18133" s="34" t="s">
        <v>89</v>
      </c>
      <c r="E18133" s="30" t="s">
        <v>33110</v>
      </c>
      <c r="F18133" s="34" t="n">
        <f aca="false">IFERROR(VLOOKUP($A18133,'319'!$B:$H,7,0),0)</f>
        <v>0</v>
      </c>
      <c r="G18133" s="34" t="n">
        <f aca="false">SUMIFS('12.326ana'!$C:$C,'12.326ana'!$M:$M,redes!A18133)</f>
        <v>0</v>
      </c>
    </row>
    <row r="18134" customFormat="false" ht="14.4" hidden="true" customHeight="false" outlineLevel="0" collapsed="false">
      <c r="A18134" s="34" t="n">
        <v>45775694000177</v>
      </c>
      <c r="B18134" s="34" t="s">
        <v>33111</v>
      </c>
      <c r="C18134" s="34" t="s">
        <v>77</v>
      </c>
      <c r="E18134" s="30" t="s">
        <v>12757</v>
      </c>
      <c r="F18134" s="34" t="n">
        <f aca="false">IFERROR(VLOOKUP($A18134,'319'!$B:$H,7,0),0)</f>
        <v>0</v>
      </c>
      <c r="G18134" s="34" t="n">
        <f aca="false">SUMIFS('12.326ana'!$C:$C,'12.326ana'!$M:$M,redes!A18134)</f>
        <v>0</v>
      </c>
    </row>
    <row r="18135" customFormat="false" ht="14.4" hidden="true" customHeight="false" outlineLevel="0" collapsed="false">
      <c r="A18135" s="34" t="n">
        <v>45781235000104</v>
      </c>
      <c r="B18135" s="34" t="s">
        <v>33112</v>
      </c>
      <c r="C18135" s="34" t="s">
        <v>77</v>
      </c>
      <c r="E18135" s="30" t="s">
        <v>33113</v>
      </c>
      <c r="F18135" s="34" t="n">
        <f aca="false">IFERROR(VLOOKUP($A18135,'319'!$B:$H,7,0),0)</f>
        <v>0</v>
      </c>
      <c r="G18135" s="34" t="n">
        <f aca="false">SUMIFS('12.326ana'!$C:$C,'12.326ana'!$M:$M,redes!A18135)</f>
        <v>0</v>
      </c>
    </row>
    <row r="18136" customFormat="false" ht="14.4" hidden="true" customHeight="false" outlineLevel="0" collapsed="false">
      <c r="A18136" s="34" t="n">
        <v>45784110000120</v>
      </c>
      <c r="B18136" s="34" t="s">
        <v>33114</v>
      </c>
      <c r="C18136" s="34" t="s">
        <v>77</v>
      </c>
      <c r="E18136" s="30" t="s">
        <v>10914</v>
      </c>
      <c r="F18136" s="34" t="n">
        <f aca="false">IFERROR(VLOOKUP($A18136,'319'!$B:$H,7,0),0)</f>
        <v>0</v>
      </c>
      <c r="G18136" s="34" t="n">
        <f aca="false">SUMIFS('12.326ana'!$C:$C,'12.326ana'!$M:$M,redes!A18136)</f>
        <v>0</v>
      </c>
    </row>
    <row r="18137" customFormat="false" ht="14.4" hidden="true" customHeight="false" outlineLevel="0" collapsed="false">
      <c r="A18137" s="34" t="n">
        <v>45828025000116</v>
      </c>
      <c r="B18137" s="34" t="s">
        <v>33115</v>
      </c>
      <c r="C18137" s="34" t="s">
        <v>77</v>
      </c>
      <c r="E18137" s="30" t="s">
        <v>33116</v>
      </c>
      <c r="F18137" s="34" t="n">
        <f aca="false">IFERROR(VLOOKUP($A18137,'319'!$B:$H,7,0),0)</f>
        <v>0</v>
      </c>
      <c r="G18137" s="34" t="n">
        <f aca="false">SUMIFS('12.326ana'!$C:$C,'12.326ana'!$M:$M,redes!A18137)</f>
        <v>0</v>
      </c>
    </row>
    <row r="18138" customFormat="false" ht="14.4" hidden="true" customHeight="false" outlineLevel="0" collapsed="false">
      <c r="A18138" s="34" t="n">
        <v>45857227000196</v>
      </c>
      <c r="B18138" s="34" t="s">
        <v>33117</v>
      </c>
      <c r="C18138" s="34" t="s">
        <v>77</v>
      </c>
      <c r="E18138" s="30" t="s">
        <v>33118</v>
      </c>
      <c r="F18138" s="34" t="n">
        <f aca="false">IFERROR(VLOOKUP($A18138,'319'!$B:$H,7,0),0)</f>
        <v>0</v>
      </c>
      <c r="G18138" s="34" t="n">
        <f aca="false">SUMIFS('12.326ana'!$C:$C,'12.326ana'!$M:$M,redes!A18138)</f>
        <v>0</v>
      </c>
    </row>
    <row r="18139" customFormat="false" ht="14.4" hidden="true" customHeight="false" outlineLevel="0" collapsed="false">
      <c r="A18139" s="34" t="n">
        <v>45857282000186</v>
      </c>
      <c r="B18139" s="34" t="s">
        <v>33119</v>
      </c>
      <c r="C18139" s="34" t="s">
        <v>107</v>
      </c>
      <c r="E18139" s="30" t="s">
        <v>33120</v>
      </c>
      <c r="F18139" s="34" t="n">
        <f aca="false">IFERROR(VLOOKUP($A18139,'319'!$B:$H,7,0),0)</f>
        <v>0</v>
      </c>
      <c r="G18139" s="34" t="n">
        <f aca="false">SUMIFS('12.326ana'!$C:$C,'12.326ana'!$M:$M,redes!A18139)</f>
        <v>0</v>
      </c>
    </row>
    <row r="18140" customFormat="false" ht="14.4" hidden="true" customHeight="false" outlineLevel="0" collapsed="false">
      <c r="A18140" s="34" t="n">
        <v>45900885000113</v>
      </c>
      <c r="B18140" s="34" t="s">
        <v>33121</v>
      </c>
      <c r="C18140" s="34" t="s">
        <v>103</v>
      </c>
      <c r="E18140" s="30" t="s">
        <v>17842</v>
      </c>
      <c r="F18140" s="34" t="n">
        <f aca="false">IFERROR(VLOOKUP($A18140,'319'!$B:$H,7,0),0)</f>
        <v>0</v>
      </c>
      <c r="G18140" s="34" t="n">
        <f aca="false">SUMIFS('12.326ana'!$C:$C,'12.326ana'!$M:$M,redes!A18140)</f>
        <v>0</v>
      </c>
    </row>
    <row r="18141" customFormat="false" ht="14.4" hidden="true" customHeight="false" outlineLevel="0" collapsed="false">
      <c r="A18141" s="34" t="n">
        <v>45901396000186</v>
      </c>
      <c r="B18141" s="34" t="s">
        <v>33122</v>
      </c>
      <c r="C18141" s="34" t="s">
        <v>77</v>
      </c>
      <c r="E18141" s="30" t="s">
        <v>33123</v>
      </c>
      <c r="F18141" s="34" t="n">
        <f aca="false">IFERROR(VLOOKUP($A18141,'319'!$B:$H,7,0),0)</f>
        <v>0</v>
      </c>
      <c r="G18141" s="34" t="n">
        <f aca="false">SUMIFS('12.326ana'!$C:$C,'12.326ana'!$M:$M,redes!A18141)</f>
        <v>0</v>
      </c>
    </row>
    <row r="18142" customFormat="false" ht="14.4" hidden="true" customHeight="false" outlineLevel="0" collapsed="false">
      <c r="A18142" s="34" t="n">
        <v>45903004000118</v>
      </c>
      <c r="B18142" s="34" t="s">
        <v>33124</v>
      </c>
      <c r="C18142" s="34" t="s">
        <v>77</v>
      </c>
      <c r="E18142" s="30" t="s">
        <v>33125</v>
      </c>
      <c r="F18142" s="34" t="n">
        <f aca="false">IFERROR(VLOOKUP($A18142,'319'!$B:$H,7,0),0)</f>
        <v>0</v>
      </c>
      <c r="G18142" s="34" t="n">
        <f aca="false">SUMIFS('12.326ana'!$C:$C,'12.326ana'!$M:$M,redes!A18142)</f>
        <v>0</v>
      </c>
    </row>
    <row r="18143" customFormat="false" ht="14.4" hidden="true" customHeight="false" outlineLevel="0" collapsed="false">
      <c r="A18143" s="34" t="n">
        <v>45937238000186</v>
      </c>
      <c r="B18143" s="34" t="s">
        <v>33126</v>
      </c>
      <c r="C18143" s="34" t="s">
        <v>77</v>
      </c>
      <c r="E18143" s="30" t="s">
        <v>33127</v>
      </c>
      <c r="F18143" s="34" t="n">
        <f aca="false">IFERROR(VLOOKUP($A18143,'319'!$B:$H,7,0),0)</f>
        <v>0</v>
      </c>
      <c r="G18143" s="34" t="n">
        <f aca="false">SUMIFS('12.326ana'!$C:$C,'12.326ana'!$M:$M,redes!A18143)</f>
        <v>0</v>
      </c>
    </row>
    <row r="18144" customFormat="false" ht="14.4" hidden="true" customHeight="false" outlineLevel="0" collapsed="false">
      <c r="A18144" s="34" t="n">
        <v>45946769000135</v>
      </c>
      <c r="B18144" s="34" t="s">
        <v>33128</v>
      </c>
      <c r="C18144" s="34" t="s">
        <v>737</v>
      </c>
      <c r="E18144" s="30" t="s">
        <v>3066</v>
      </c>
      <c r="F18144" s="34" t="n">
        <f aca="false">IFERROR(VLOOKUP($A18144,'319'!$B:$H,7,0),0)</f>
        <v>0</v>
      </c>
      <c r="G18144" s="34" t="n">
        <f aca="false">SUMIFS('12.326ana'!$C:$C,'12.326ana'!$M:$M,redes!A18144)</f>
        <v>0</v>
      </c>
    </row>
    <row r="18145" customFormat="false" ht="14.4" hidden="true" customHeight="false" outlineLevel="0" collapsed="false">
      <c r="A18145" s="34" t="n">
        <v>45955125000103</v>
      </c>
      <c r="B18145" s="34" t="s">
        <v>33129</v>
      </c>
      <c r="C18145" s="34" t="s">
        <v>77</v>
      </c>
      <c r="E18145" s="30" t="s">
        <v>33130</v>
      </c>
      <c r="F18145" s="34" t="n">
        <f aca="false">IFERROR(VLOOKUP($A18145,'319'!$B:$H,7,0),0)</f>
        <v>0</v>
      </c>
      <c r="G18145" s="34" t="n">
        <f aca="false">SUMIFS('12.326ana'!$C:$C,'12.326ana'!$M:$M,redes!A18145)</f>
        <v>0</v>
      </c>
    </row>
    <row r="18146" customFormat="false" ht="14.4" hidden="true" customHeight="false" outlineLevel="0" collapsed="false">
      <c r="A18146" s="34" t="n">
        <v>45956920000116</v>
      </c>
      <c r="B18146" s="34" t="s">
        <v>33131</v>
      </c>
      <c r="C18146" s="34" t="s">
        <v>103</v>
      </c>
      <c r="E18146" s="30" t="s">
        <v>33132</v>
      </c>
      <c r="F18146" s="34" t="n">
        <f aca="false">IFERROR(VLOOKUP($A18146,'319'!$B:$H,7,0),0)</f>
        <v>0</v>
      </c>
      <c r="G18146" s="34" t="n">
        <f aca="false">SUMIFS('12.326ana'!$C:$C,'12.326ana'!$M:$M,redes!A18146)</f>
        <v>0</v>
      </c>
    </row>
    <row r="18147" customFormat="false" ht="14.4" hidden="true" customHeight="false" outlineLevel="0" collapsed="false">
      <c r="A18147" s="34" t="n">
        <v>45961829000199</v>
      </c>
      <c r="B18147" s="34" t="s">
        <v>33133</v>
      </c>
      <c r="C18147" s="34" t="s">
        <v>809</v>
      </c>
      <c r="E18147" s="30" t="s">
        <v>33134</v>
      </c>
      <c r="F18147" s="34" t="n">
        <f aca="false">IFERROR(VLOOKUP($A18147,'319'!$B:$H,7,0),0)</f>
        <v>0</v>
      </c>
      <c r="G18147" s="34" t="n">
        <f aca="false">SUMIFS('12.326ana'!$C:$C,'12.326ana'!$M:$M,redes!A18147)</f>
        <v>0</v>
      </c>
    </row>
    <row r="18148" customFormat="false" ht="14.4" hidden="true" customHeight="false" outlineLevel="0" collapsed="false">
      <c r="A18148" s="34" t="n">
        <v>45969754000192</v>
      </c>
      <c r="B18148" s="34" t="s">
        <v>33135</v>
      </c>
      <c r="C18148" s="34" t="s">
        <v>103</v>
      </c>
      <c r="E18148" s="30" t="s">
        <v>7943</v>
      </c>
      <c r="F18148" s="34" t="n">
        <f aca="false">IFERROR(VLOOKUP($A18148,'319'!$B:$H,7,0),0)</f>
        <v>0</v>
      </c>
      <c r="G18148" s="34" t="n">
        <f aca="false">SUMIFS('12.326ana'!$C:$C,'12.326ana'!$M:$M,redes!A18148)</f>
        <v>0</v>
      </c>
    </row>
    <row r="18149" customFormat="false" ht="14.4" hidden="true" customHeight="false" outlineLevel="0" collapsed="false">
      <c r="A18149" s="34" t="n">
        <v>45975569000100</v>
      </c>
      <c r="B18149" s="34" t="s">
        <v>33136</v>
      </c>
      <c r="C18149" s="34" t="s">
        <v>107</v>
      </c>
      <c r="E18149" s="30" t="s">
        <v>33137</v>
      </c>
      <c r="F18149" s="34" t="n">
        <f aca="false">IFERROR(VLOOKUP($A18149,'319'!$B:$H,7,0),0)</f>
        <v>0</v>
      </c>
      <c r="G18149" s="34" t="n">
        <f aca="false">SUMIFS('12.326ana'!$C:$C,'12.326ana'!$M:$M,redes!A18149)</f>
        <v>0</v>
      </c>
    </row>
    <row r="18150" customFormat="false" ht="14.4" hidden="true" customHeight="false" outlineLevel="0" collapsed="false">
      <c r="A18150" s="34" t="n">
        <v>45985371000108</v>
      </c>
      <c r="B18150" s="34" t="s">
        <v>33138</v>
      </c>
      <c r="C18150" s="34" t="s">
        <v>33139</v>
      </c>
      <c r="E18150" s="30" t="s">
        <v>33140</v>
      </c>
      <c r="F18150" s="34" t="n">
        <f aca="false">IFERROR(VLOOKUP($A18150,'319'!$B:$H,7,0),0)</f>
        <v>0</v>
      </c>
      <c r="G18150" s="34" t="n">
        <f aca="false">SUMIFS('12.326ana'!$C:$C,'12.326ana'!$M:$M,redes!A18150)</f>
        <v>0</v>
      </c>
    </row>
    <row r="18151" customFormat="false" ht="14.4" hidden="true" customHeight="false" outlineLevel="0" collapsed="false">
      <c r="A18151" s="34" t="n">
        <v>45985371010502</v>
      </c>
      <c r="B18151" s="34" t="s">
        <v>33141</v>
      </c>
      <c r="C18151" s="34" t="s">
        <v>33142</v>
      </c>
      <c r="E18151" s="30" t="s">
        <v>33143</v>
      </c>
      <c r="F18151" s="34" t="n">
        <f aca="false">IFERROR(VLOOKUP($A18151,'319'!$B:$H,7,0),0)</f>
        <v>0</v>
      </c>
      <c r="G18151" s="34" t="n">
        <f aca="false">SUMIFS('12.326ana'!$C:$C,'12.326ana'!$M:$M,redes!A18151)</f>
        <v>0</v>
      </c>
    </row>
    <row r="18152" customFormat="false" ht="14.4" hidden="true" customHeight="false" outlineLevel="0" collapsed="false">
      <c r="A18152" s="34" t="n">
        <v>46000307000193</v>
      </c>
      <c r="B18152" s="34" t="s">
        <v>33144</v>
      </c>
      <c r="C18152" s="34" t="s">
        <v>117</v>
      </c>
      <c r="E18152" s="30" t="s">
        <v>33145</v>
      </c>
      <c r="F18152" s="34" t="n">
        <f aca="false">IFERROR(VLOOKUP($A18152,'319'!$B:$H,7,0),0)</f>
        <v>0</v>
      </c>
      <c r="G18152" s="34" t="n">
        <f aca="false">SUMIFS('12.326ana'!$C:$C,'12.326ana'!$M:$M,redes!A18152)</f>
        <v>0</v>
      </c>
    </row>
    <row r="18153" customFormat="false" ht="14.4" hidden="true" customHeight="false" outlineLevel="0" collapsed="false">
      <c r="A18153" s="34" t="n">
        <v>46018910000100</v>
      </c>
      <c r="B18153" s="34" t="s">
        <v>33146</v>
      </c>
      <c r="C18153" s="34" t="s">
        <v>89</v>
      </c>
      <c r="E18153" s="30" t="s">
        <v>33147</v>
      </c>
      <c r="F18153" s="34" t="n">
        <f aca="false">IFERROR(VLOOKUP($A18153,'319'!$B:$H,7,0),0)</f>
        <v>0</v>
      </c>
      <c r="G18153" s="34" t="n">
        <f aca="false">SUMIFS('12.326ana'!$C:$C,'12.326ana'!$M:$M,redes!A18153)</f>
        <v>0</v>
      </c>
    </row>
    <row r="18154" customFormat="false" ht="14.4" hidden="true" customHeight="false" outlineLevel="0" collapsed="false">
      <c r="A18154" s="34" t="n">
        <v>46036699000140</v>
      </c>
      <c r="B18154" s="34" t="s">
        <v>33148</v>
      </c>
      <c r="C18154" s="34" t="s">
        <v>192</v>
      </c>
      <c r="E18154" s="30" t="s">
        <v>33148</v>
      </c>
      <c r="F18154" s="34" t="n">
        <f aca="false">IFERROR(VLOOKUP($A18154,'319'!$B:$H,7,0),0)</f>
        <v>0</v>
      </c>
      <c r="G18154" s="34" t="n">
        <f aca="false">SUMIFS('12.326ana'!$C:$C,'12.326ana'!$M:$M,redes!A18154)</f>
        <v>0</v>
      </c>
    </row>
    <row r="18155" customFormat="false" ht="14.4" hidden="true" customHeight="false" outlineLevel="0" collapsed="false">
      <c r="A18155" s="34" t="n">
        <v>46125769000137</v>
      </c>
      <c r="B18155" s="34" t="s">
        <v>33149</v>
      </c>
      <c r="C18155" s="34" t="s">
        <v>299</v>
      </c>
      <c r="E18155" s="30" t="s">
        <v>33150</v>
      </c>
      <c r="F18155" s="34" t="n">
        <f aca="false">IFERROR(VLOOKUP($A18155,'319'!$B:$H,7,0),0)</f>
        <v>0</v>
      </c>
      <c r="G18155" s="34" t="n">
        <f aca="false">SUMIFS('12.326ana'!$C:$C,'12.326ana'!$M:$M,redes!A18155)</f>
        <v>0</v>
      </c>
    </row>
    <row r="18156" customFormat="false" ht="14.4" hidden="true" customHeight="false" outlineLevel="0" collapsed="false">
      <c r="A18156" s="34" t="n">
        <v>46128158000142</v>
      </c>
      <c r="B18156" s="34" t="s">
        <v>33151</v>
      </c>
      <c r="C18156" s="34" t="s">
        <v>77</v>
      </c>
      <c r="E18156" s="30" t="s">
        <v>33152</v>
      </c>
      <c r="F18156" s="34" t="n">
        <f aca="false">IFERROR(VLOOKUP($A18156,'319'!$B:$H,7,0),0)</f>
        <v>0</v>
      </c>
      <c r="G18156" s="34" t="n">
        <f aca="false">SUMIFS('12.326ana'!$C:$C,'12.326ana'!$M:$M,redes!A18156)</f>
        <v>0</v>
      </c>
    </row>
    <row r="18157" customFormat="false" ht="14.4" hidden="true" customHeight="false" outlineLevel="0" collapsed="false">
      <c r="A18157" s="34" t="n">
        <v>46140271000143</v>
      </c>
      <c r="B18157" s="34" t="s">
        <v>33153</v>
      </c>
      <c r="C18157" s="34" t="s">
        <v>77</v>
      </c>
      <c r="E18157" s="30" t="s">
        <v>33154</v>
      </c>
      <c r="F18157" s="34" t="n">
        <f aca="false">IFERROR(VLOOKUP($A18157,'319'!$B:$H,7,0),0)</f>
        <v>0</v>
      </c>
      <c r="G18157" s="34" t="n">
        <f aca="false">SUMIFS('12.326ana'!$C:$C,'12.326ana'!$M:$M,redes!A18157)</f>
        <v>0</v>
      </c>
    </row>
    <row r="18158" customFormat="false" ht="14.4" hidden="true" customHeight="false" outlineLevel="0" collapsed="false">
      <c r="A18158" s="34" t="n">
        <v>46143733000186</v>
      </c>
      <c r="B18158" s="34" t="s">
        <v>33155</v>
      </c>
      <c r="C18158" s="34" t="s">
        <v>77</v>
      </c>
      <c r="E18158" s="30" t="s">
        <v>33156</v>
      </c>
      <c r="F18158" s="34" t="n">
        <f aca="false">IFERROR(VLOOKUP($A18158,'319'!$B:$H,7,0),0)</f>
        <v>0</v>
      </c>
      <c r="G18158" s="34" t="n">
        <f aca="false">SUMIFS('12.326ana'!$C:$C,'12.326ana'!$M:$M,redes!A18158)</f>
        <v>0</v>
      </c>
    </row>
    <row r="18159" customFormat="false" ht="14.4" hidden="true" customHeight="false" outlineLevel="0" collapsed="false">
      <c r="A18159" s="34" t="n">
        <v>46154170000121</v>
      </c>
      <c r="B18159" s="34" t="s">
        <v>33157</v>
      </c>
      <c r="C18159" s="34" t="s">
        <v>107</v>
      </c>
      <c r="E18159" s="30" t="s">
        <v>33158</v>
      </c>
      <c r="F18159" s="34" t="n">
        <f aca="false">IFERROR(VLOOKUP($A18159,'319'!$B:$H,7,0),0)</f>
        <v>0</v>
      </c>
      <c r="G18159" s="34" t="n">
        <f aca="false">SUMIFS('12.326ana'!$C:$C,'12.326ana'!$M:$M,redes!A18159)</f>
        <v>0</v>
      </c>
    </row>
    <row r="18160" customFormat="false" ht="14.4" hidden="true" customHeight="false" outlineLevel="0" collapsed="false">
      <c r="A18160" s="34" t="n">
        <v>46154534000173</v>
      </c>
      <c r="B18160" s="34" t="s">
        <v>33159</v>
      </c>
      <c r="C18160" s="34" t="s">
        <v>1054</v>
      </c>
      <c r="E18160" s="30" t="s">
        <v>33160</v>
      </c>
      <c r="F18160" s="34" t="n">
        <f aca="false">IFERROR(VLOOKUP($A18160,'319'!$B:$H,7,0),0)</f>
        <v>0</v>
      </c>
      <c r="G18160" s="34" t="n">
        <f aca="false">SUMIFS('12.326ana'!$C:$C,'12.326ana'!$M:$M,redes!A18160)</f>
        <v>0</v>
      </c>
    </row>
    <row r="18161" customFormat="false" ht="14.4" hidden="true" customHeight="false" outlineLevel="0" collapsed="false">
      <c r="A18161" s="34" t="n">
        <v>46158023000120</v>
      </c>
      <c r="B18161" s="34" t="s">
        <v>33161</v>
      </c>
      <c r="C18161" s="34" t="s">
        <v>77</v>
      </c>
      <c r="E18161" s="30" t="s">
        <v>33162</v>
      </c>
      <c r="F18161" s="34" t="n">
        <f aca="false">IFERROR(VLOOKUP($A18161,'319'!$B:$H,7,0),0)</f>
        <v>0</v>
      </c>
      <c r="G18161" s="34" t="n">
        <f aca="false">SUMIFS('12.326ana'!$C:$C,'12.326ana'!$M:$M,redes!A18161)</f>
        <v>0</v>
      </c>
    </row>
    <row r="18162" customFormat="false" ht="14.4" hidden="true" customHeight="false" outlineLevel="0" collapsed="false">
      <c r="A18162" s="34" t="n">
        <v>46163330000107</v>
      </c>
      <c r="B18162" s="34" t="s">
        <v>6672</v>
      </c>
      <c r="C18162" s="34" t="s">
        <v>77</v>
      </c>
      <c r="E18162" s="30" t="s">
        <v>33163</v>
      </c>
      <c r="F18162" s="34" t="n">
        <f aca="false">IFERROR(VLOOKUP($A18162,'319'!$B:$H,7,0),0)</f>
        <v>0</v>
      </c>
      <c r="G18162" s="34" t="n">
        <f aca="false">SUMIFS('12.326ana'!$C:$C,'12.326ana'!$M:$M,redes!A18162)</f>
        <v>0</v>
      </c>
    </row>
    <row r="18163" customFormat="false" ht="14.4" hidden="true" customHeight="false" outlineLevel="0" collapsed="false">
      <c r="A18163" s="34" t="n">
        <v>46168123000137</v>
      </c>
      <c r="B18163" s="34" t="s">
        <v>33164</v>
      </c>
      <c r="C18163" s="34" t="s">
        <v>77</v>
      </c>
      <c r="E18163" s="30" t="s">
        <v>33165</v>
      </c>
      <c r="F18163" s="34" t="n">
        <f aca="false">IFERROR(VLOOKUP($A18163,'319'!$B:$H,7,0),0)</f>
        <v>0</v>
      </c>
      <c r="G18163" s="34" t="n">
        <f aca="false">SUMIFS('12.326ana'!$C:$C,'12.326ana'!$M:$M,redes!A18163)</f>
        <v>0</v>
      </c>
    </row>
    <row r="18164" customFormat="false" ht="14.4" hidden="true" customHeight="false" outlineLevel="0" collapsed="false">
      <c r="A18164" s="34" t="n">
        <v>46213581000140</v>
      </c>
      <c r="B18164" s="34" t="s">
        <v>33166</v>
      </c>
      <c r="C18164" s="34" t="s">
        <v>299</v>
      </c>
      <c r="E18164" s="30" t="s">
        <v>33167</v>
      </c>
      <c r="F18164" s="34" t="n">
        <f aca="false">IFERROR(VLOOKUP($A18164,'319'!$B:$H,7,0),0)</f>
        <v>0</v>
      </c>
      <c r="G18164" s="34" t="n">
        <f aca="false">SUMIFS('12.326ana'!$C:$C,'12.326ana'!$M:$M,redes!A18164)</f>
        <v>0</v>
      </c>
    </row>
    <row r="18165" customFormat="false" ht="14.4" hidden="true" customHeight="false" outlineLevel="0" collapsed="false">
      <c r="A18165" s="34" t="n">
        <v>46248124000191</v>
      </c>
      <c r="B18165" s="34" t="s">
        <v>33168</v>
      </c>
      <c r="C18165" s="34" t="s">
        <v>77</v>
      </c>
      <c r="E18165" s="30" t="s">
        <v>33169</v>
      </c>
      <c r="F18165" s="34" t="n">
        <f aca="false">IFERROR(VLOOKUP($A18165,'319'!$B:$H,7,0),0)</f>
        <v>0</v>
      </c>
      <c r="G18165" s="34" t="n">
        <f aca="false">SUMIFS('12.326ana'!$C:$C,'12.326ana'!$M:$M,redes!A18165)</f>
        <v>0</v>
      </c>
    </row>
    <row r="18166" customFormat="false" ht="14.4" hidden="true" customHeight="false" outlineLevel="0" collapsed="false">
      <c r="A18166" s="34" t="n">
        <v>46250021000166</v>
      </c>
      <c r="B18166" s="34" t="s">
        <v>33170</v>
      </c>
      <c r="C18166" s="34" t="s">
        <v>77</v>
      </c>
      <c r="E18166" s="30" t="s">
        <v>33170</v>
      </c>
      <c r="F18166" s="34" t="n">
        <f aca="false">IFERROR(VLOOKUP($A18166,'319'!$B:$H,7,0),0)</f>
        <v>0</v>
      </c>
      <c r="G18166" s="34" t="n">
        <f aca="false">SUMIFS('12.326ana'!$C:$C,'12.326ana'!$M:$M,redes!A18166)</f>
        <v>0</v>
      </c>
    </row>
    <row r="18167" customFormat="false" ht="14.4" hidden="true" customHeight="false" outlineLevel="0" collapsed="false">
      <c r="A18167" s="34" t="n">
        <v>46290824000144</v>
      </c>
      <c r="B18167" s="34" t="s">
        <v>33171</v>
      </c>
      <c r="C18167" s="34" t="s">
        <v>77</v>
      </c>
      <c r="E18167" s="30" t="s">
        <v>33172</v>
      </c>
      <c r="F18167" s="34" t="n">
        <f aca="false">IFERROR(VLOOKUP($A18167,'319'!$B:$H,7,0),0)</f>
        <v>0</v>
      </c>
      <c r="G18167" s="34" t="n">
        <f aca="false">SUMIFS('12.326ana'!$C:$C,'12.326ana'!$M:$M,redes!A18167)</f>
        <v>0</v>
      </c>
    </row>
    <row r="18168" customFormat="false" ht="14.4" hidden="true" customHeight="false" outlineLevel="0" collapsed="false">
      <c r="A18168" s="34" t="n">
        <v>46298789000100</v>
      </c>
      <c r="B18168" s="34" t="s">
        <v>33173</v>
      </c>
      <c r="C18168" s="34" t="s">
        <v>77</v>
      </c>
      <c r="E18168" s="30" t="s">
        <v>33174</v>
      </c>
      <c r="F18168" s="34" t="n">
        <f aca="false">IFERROR(VLOOKUP($A18168,'319'!$B:$H,7,0),0)</f>
        <v>0</v>
      </c>
      <c r="G18168" s="34" t="n">
        <f aca="false">SUMIFS('12.326ana'!$C:$C,'12.326ana'!$M:$M,redes!A18168)</f>
        <v>0</v>
      </c>
    </row>
    <row r="18169" customFormat="false" ht="14.4" hidden="true" customHeight="false" outlineLevel="0" collapsed="false">
      <c r="A18169" s="34" t="n">
        <v>46306347000168</v>
      </c>
      <c r="B18169" s="34" t="s">
        <v>33175</v>
      </c>
      <c r="C18169" s="34" t="s">
        <v>77</v>
      </c>
      <c r="E18169" s="30" t="s">
        <v>33175</v>
      </c>
      <c r="F18169" s="34" t="n">
        <f aca="false">IFERROR(VLOOKUP($A18169,'319'!$B:$H,7,0),0)</f>
        <v>0</v>
      </c>
      <c r="G18169" s="34" t="n">
        <f aca="false">SUMIFS('12.326ana'!$C:$C,'12.326ana'!$M:$M,redes!A18169)</f>
        <v>0</v>
      </c>
    </row>
    <row r="18170" customFormat="false" ht="14.4" hidden="true" customHeight="false" outlineLevel="0" collapsed="false">
      <c r="A18170" s="34" t="n">
        <v>46317893000102</v>
      </c>
      <c r="B18170" s="34" t="s">
        <v>19865</v>
      </c>
      <c r="C18170" s="34" t="s">
        <v>77</v>
      </c>
      <c r="E18170" s="30" t="s">
        <v>4944</v>
      </c>
      <c r="F18170" s="34" t="n">
        <f aca="false">IFERROR(VLOOKUP($A18170,'319'!$B:$H,7,0),0)</f>
        <v>0</v>
      </c>
      <c r="G18170" s="34" t="n">
        <f aca="false">SUMIFS('12.326ana'!$C:$C,'12.326ana'!$M:$M,redes!A18170)</f>
        <v>0</v>
      </c>
    </row>
    <row r="18171" customFormat="false" ht="14.4" hidden="true" customHeight="false" outlineLevel="0" collapsed="false">
      <c r="A18171" s="34" t="n">
        <v>46326015000145</v>
      </c>
      <c r="B18171" s="34" t="s">
        <v>33176</v>
      </c>
      <c r="C18171" s="34" t="s">
        <v>77</v>
      </c>
      <c r="E18171" s="30" t="s">
        <v>33176</v>
      </c>
      <c r="F18171" s="34" t="n">
        <f aca="false">IFERROR(VLOOKUP($A18171,'319'!$B:$H,7,0),0)</f>
        <v>0</v>
      </c>
      <c r="G18171" s="34" t="n">
        <f aca="false">SUMIFS('12.326ana'!$C:$C,'12.326ana'!$M:$M,redes!A18171)</f>
        <v>0</v>
      </c>
    </row>
    <row r="18172" customFormat="false" ht="14.4" hidden="true" customHeight="false" outlineLevel="0" collapsed="false">
      <c r="A18172" s="34" t="n">
        <v>46332812000135</v>
      </c>
      <c r="B18172" s="34" t="s">
        <v>33177</v>
      </c>
      <c r="C18172" s="34" t="s">
        <v>77</v>
      </c>
      <c r="E18172" s="30" t="s">
        <v>33178</v>
      </c>
      <c r="F18172" s="34" t="n">
        <f aca="false">IFERROR(VLOOKUP($A18172,'319'!$B:$H,7,0),0)</f>
        <v>0</v>
      </c>
      <c r="G18172" s="34" t="n">
        <f aca="false">SUMIFS('12.326ana'!$C:$C,'12.326ana'!$M:$M,redes!A18172)</f>
        <v>0</v>
      </c>
    </row>
    <row r="18173" customFormat="false" ht="14.4" hidden="true" customHeight="false" outlineLevel="0" collapsed="false">
      <c r="A18173" s="34" t="n">
        <v>46338362000198</v>
      </c>
      <c r="B18173" s="34" t="s">
        <v>33179</v>
      </c>
      <c r="C18173" s="34" t="s">
        <v>77</v>
      </c>
      <c r="E18173" s="30" t="s">
        <v>33180</v>
      </c>
      <c r="F18173" s="34" t="n">
        <f aca="false">IFERROR(VLOOKUP($A18173,'319'!$B:$H,7,0),0)</f>
        <v>0</v>
      </c>
      <c r="G18173" s="34" t="n">
        <f aca="false">SUMIFS('12.326ana'!$C:$C,'12.326ana'!$M:$M,redes!A18173)</f>
        <v>0</v>
      </c>
    </row>
    <row r="18174" customFormat="false" ht="14.4" hidden="true" customHeight="false" outlineLevel="0" collapsed="false">
      <c r="A18174" s="34" t="n">
        <v>46338699000103</v>
      </c>
      <c r="B18174" s="34" t="s">
        <v>33181</v>
      </c>
      <c r="C18174" s="34" t="s">
        <v>473</v>
      </c>
      <c r="E18174" s="30" t="s">
        <v>33181</v>
      </c>
      <c r="F18174" s="34" t="n">
        <f aca="false">IFERROR(VLOOKUP($A18174,'319'!$B:$H,7,0),0)</f>
        <v>0</v>
      </c>
      <c r="G18174" s="34" t="n">
        <f aca="false">SUMIFS('12.326ana'!$C:$C,'12.326ana'!$M:$M,redes!A18174)</f>
        <v>0</v>
      </c>
    </row>
    <row r="18175" customFormat="false" ht="14.4" hidden="true" customHeight="false" outlineLevel="0" collapsed="false">
      <c r="A18175" s="34" t="n">
        <v>46370034000179</v>
      </c>
      <c r="B18175" s="34" t="s">
        <v>33182</v>
      </c>
      <c r="C18175" s="34" t="s">
        <v>77</v>
      </c>
      <c r="E18175" s="30" t="s">
        <v>33183</v>
      </c>
      <c r="F18175" s="34" t="n">
        <f aca="false">IFERROR(VLOOKUP($A18175,'319'!$B:$H,7,0),0)</f>
        <v>0</v>
      </c>
      <c r="G18175" s="34" t="n">
        <f aca="false">SUMIFS('12.326ana'!$C:$C,'12.326ana'!$M:$M,redes!A18175)</f>
        <v>0</v>
      </c>
    </row>
    <row r="18176" customFormat="false" ht="14.4" hidden="true" customHeight="false" outlineLevel="0" collapsed="false">
      <c r="A18176" s="34" t="n">
        <v>46372211000156</v>
      </c>
      <c r="B18176" s="34" t="s">
        <v>33184</v>
      </c>
      <c r="C18176" s="34" t="s">
        <v>328</v>
      </c>
      <c r="E18176" s="30" t="s">
        <v>33185</v>
      </c>
      <c r="F18176" s="34" t="n">
        <f aca="false">IFERROR(VLOOKUP($A18176,'319'!$B:$H,7,0),0)</f>
        <v>0</v>
      </c>
      <c r="G18176" s="34" t="n">
        <f aca="false">SUMIFS('12.326ana'!$C:$C,'12.326ana'!$M:$M,redes!A18176)</f>
        <v>0</v>
      </c>
    </row>
    <row r="18177" customFormat="false" ht="14.4" hidden="true" customHeight="false" outlineLevel="0" collapsed="false">
      <c r="A18177" s="34" t="n">
        <v>46374663000177</v>
      </c>
      <c r="B18177" s="34" t="s">
        <v>33186</v>
      </c>
      <c r="C18177" s="34" t="s">
        <v>77</v>
      </c>
      <c r="E18177" s="30" t="s">
        <v>33187</v>
      </c>
      <c r="F18177" s="34" t="n">
        <f aca="false">IFERROR(VLOOKUP($A18177,'319'!$B:$H,7,0),0)</f>
        <v>0</v>
      </c>
      <c r="G18177" s="34" t="n">
        <f aca="false">SUMIFS('12.326ana'!$C:$C,'12.326ana'!$M:$M,redes!A18177)</f>
        <v>0</v>
      </c>
    </row>
    <row r="18178" customFormat="false" ht="14.4" hidden="true" customHeight="false" outlineLevel="0" collapsed="false">
      <c r="A18178" s="34" t="n">
        <v>46381442000126</v>
      </c>
      <c r="B18178" s="34" t="s">
        <v>33188</v>
      </c>
      <c r="C18178" s="34" t="s">
        <v>77</v>
      </c>
      <c r="E18178" s="30" t="s">
        <v>33189</v>
      </c>
      <c r="F18178" s="34" t="n">
        <f aca="false">IFERROR(VLOOKUP($A18178,'319'!$B:$H,7,0),0)</f>
        <v>0</v>
      </c>
      <c r="G18178" s="34" t="n">
        <f aca="false">SUMIFS('12.326ana'!$C:$C,'12.326ana'!$M:$M,redes!A18178)</f>
        <v>0</v>
      </c>
    </row>
    <row r="18179" customFormat="false" ht="14.4" hidden="true" customHeight="false" outlineLevel="0" collapsed="false">
      <c r="A18179" s="34" t="n">
        <v>46404549000142</v>
      </c>
      <c r="B18179" s="34" t="s">
        <v>33190</v>
      </c>
      <c r="C18179" s="34" t="s">
        <v>77</v>
      </c>
      <c r="E18179" s="30" t="s">
        <v>33191</v>
      </c>
      <c r="F18179" s="34" t="n">
        <f aca="false">IFERROR(VLOOKUP($A18179,'319'!$B:$H,7,0),0)</f>
        <v>0</v>
      </c>
      <c r="G18179" s="34" t="n">
        <f aca="false">SUMIFS('12.326ana'!$C:$C,'12.326ana'!$M:$M,redes!A18179)</f>
        <v>0</v>
      </c>
    </row>
    <row r="18180" customFormat="false" ht="14.4" hidden="true" customHeight="false" outlineLevel="0" collapsed="false">
      <c r="A18180" s="34" t="n">
        <v>46419829000124</v>
      </c>
      <c r="B18180" s="34" t="s">
        <v>33192</v>
      </c>
      <c r="C18180" s="34" t="s">
        <v>631</v>
      </c>
      <c r="E18180" s="30" t="s">
        <v>33193</v>
      </c>
      <c r="F18180" s="34" t="n">
        <f aca="false">IFERROR(VLOOKUP($A18180,'319'!$B:$H,7,0),0)</f>
        <v>0</v>
      </c>
      <c r="G18180" s="34" t="n">
        <f aca="false">SUMIFS('12.326ana'!$C:$C,'12.326ana'!$M:$M,redes!A18180)</f>
        <v>0</v>
      </c>
    </row>
    <row r="18181" customFormat="false" ht="14.4" hidden="true" customHeight="false" outlineLevel="0" collapsed="false">
      <c r="A18181" s="34" t="n">
        <v>46422092000107</v>
      </c>
      <c r="B18181" s="34" t="s">
        <v>33194</v>
      </c>
      <c r="C18181" s="34" t="s">
        <v>77</v>
      </c>
      <c r="E18181" s="30" t="s">
        <v>33195</v>
      </c>
      <c r="F18181" s="34" t="n">
        <f aca="false">IFERROR(VLOOKUP($A18181,'319'!$B:$H,7,0),0)</f>
        <v>0</v>
      </c>
      <c r="G18181" s="34" t="n">
        <f aca="false">SUMIFS('12.326ana'!$C:$C,'12.326ana'!$M:$M,redes!A18181)</f>
        <v>0</v>
      </c>
    </row>
    <row r="18182" customFormat="false" ht="14.4" hidden="true" customHeight="false" outlineLevel="0" collapsed="false">
      <c r="A18182" s="34" t="n">
        <v>46422092000280</v>
      </c>
      <c r="B18182" s="34" t="s">
        <v>33196</v>
      </c>
      <c r="C18182" s="34" t="s">
        <v>77</v>
      </c>
      <c r="E18182" s="30" t="s">
        <v>33197</v>
      </c>
      <c r="F18182" s="34" t="n">
        <f aca="false">IFERROR(VLOOKUP($A18182,'319'!$B:$H,7,0),0)</f>
        <v>0</v>
      </c>
      <c r="G18182" s="34" t="n">
        <f aca="false">SUMIFS('12.326ana'!$C:$C,'12.326ana'!$M:$M,redes!A18182)</f>
        <v>0</v>
      </c>
    </row>
    <row r="18183" customFormat="false" ht="14.4" hidden="true" customHeight="false" outlineLevel="0" collapsed="false">
      <c r="A18183" s="34" t="n">
        <v>46422092000360</v>
      </c>
      <c r="B18183" s="34" t="s">
        <v>33196</v>
      </c>
      <c r="C18183" s="34" t="s">
        <v>77</v>
      </c>
      <c r="E18183" s="30" t="s">
        <v>33195</v>
      </c>
      <c r="F18183" s="34" t="n">
        <f aca="false">IFERROR(VLOOKUP($A18183,'319'!$B:$H,7,0),0)</f>
        <v>0</v>
      </c>
      <c r="G18183" s="34" t="n">
        <f aca="false">SUMIFS('12.326ana'!$C:$C,'12.326ana'!$M:$M,redes!A18183)</f>
        <v>0</v>
      </c>
    </row>
    <row r="18184" customFormat="false" ht="14.4" hidden="true" customHeight="false" outlineLevel="0" collapsed="false">
      <c r="A18184" s="34" t="n">
        <v>46427585000121</v>
      </c>
      <c r="B18184" s="34" t="s">
        <v>33198</v>
      </c>
      <c r="C18184" s="34" t="s">
        <v>351</v>
      </c>
      <c r="E18184" s="30" t="s">
        <v>33199</v>
      </c>
      <c r="F18184" s="34" t="n">
        <f aca="false">IFERROR(VLOOKUP($A18184,'319'!$B:$H,7,0),0)</f>
        <v>581.05</v>
      </c>
      <c r="G18184" s="34" t="n">
        <f aca="false">SUMIFS('12.326ana'!$C:$C,'12.326ana'!$M:$M,redes!A18184)</f>
        <v>0</v>
      </c>
    </row>
    <row r="18185" customFormat="false" ht="14.4" hidden="true" customHeight="false" outlineLevel="0" collapsed="false">
      <c r="A18185" s="34" t="n">
        <v>46433035000115</v>
      </c>
      <c r="B18185" s="34" t="s">
        <v>10372</v>
      </c>
      <c r="C18185" s="34" t="s">
        <v>77</v>
      </c>
      <c r="E18185" s="30" t="s">
        <v>33200</v>
      </c>
      <c r="F18185" s="34" t="n">
        <f aca="false">IFERROR(VLOOKUP($A18185,'319'!$B:$H,7,0),0)</f>
        <v>0</v>
      </c>
      <c r="G18185" s="34" t="n">
        <f aca="false">SUMIFS('12.326ana'!$C:$C,'12.326ana'!$M:$M,redes!A18185)</f>
        <v>0</v>
      </c>
    </row>
    <row r="18186" customFormat="false" ht="14.4" hidden="true" customHeight="false" outlineLevel="0" collapsed="false">
      <c r="A18186" s="34" t="n">
        <v>46467233000108</v>
      </c>
      <c r="B18186" s="34" t="s">
        <v>33201</v>
      </c>
      <c r="C18186" s="34" t="s">
        <v>77</v>
      </c>
      <c r="E18186" s="30" t="s">
        <v>33202</v>
      </c>
      <c r="F18186" s="34" t="n">
        <f aca="false">IFERROR(VLOOKUP($A18186,'319'!$B:$H,7,0),0)</f>
        <v>151.71</v>
      </c>
      <c r="G18186" s="34" t="n">
        <f aca="false">SUMIFS('12.326ana'!$C:$C,'12.326ana'!$M:$M,redes!A18186)</f>
        <v>0</v>
      </c>
    </row>
    <row r="18187" customFormat="false" ht="14.4" hidden="true" customHeight="false" outlineLevel="0" collapsed="false">
      <c r="A18187" s="34" t="n">
        <v>46500420000138</v>
      </c>
      <c r="B18187" s="34" t="s">
        <v>33203</v>
      </c>
      <c r="C18187" s="34" t="s">
        <v>77</v>
      </c>
      <c r="E18187" s="30" t="s">
        <v>33203</v>
      </c>
      <c r="F18187" s="34" t="n">
        <f aca="false">IFERROR(VLOOKUP($A18187,'319'!$B:$H,7,0),0)</f>
        <v>0</v>
      </c>
      <c r="G18187" s="34" t="n">
        <f aca="false">SUMIFS('12.326ana'!$C:$C,'12.326ana'!$M:$M,redes!A18187)</f>
        <v>0</v>
      </c>
    </row>
    <row r="18188" customFormat="false" ht="14.4" hidden="true" customHeight="false" outlineLevel="0" collapsed="false">
      <c r="A18188" s="34" t="n">
        <v>46513082000179</v>
      </c>
      <c r="B18188" s="34" t="s">
        <v>1174</v>
      </c>
      <c r="C18188" s="34" t="s">
        <v>77</v>
      </c>
      <c r="E18188" s="30" t="s">
        <v>26252</v>
      </c>
      <c r="F18188" s="34" t="n">
        <f aca="false">IFERROR(VLOOKUP($A18188,'319'!$B:$H,7,0),0)</f>
        <v>378.62</v>
      </c>
      <c r="G18188" s="34" t="n">
        <f aca="false">SUMIFS('12.326ana'!$C:$C,'12.326ana'!$M:$M,redes!A18188)</f>
        <v>0</v>
      </c>
    </row>
    <row r="18189" customFormat="false" ht="14.4" hidden="true" customHeight="false" outlineLevel="0" collapsed="false">
      <c r="A18189" s="34" t="n">
        <v>46521160000187</v>
      </c>
      <c r="B18189" s="34" t="s">
        <v>33204</v>
      </c>
      <c r="C18189" s="34" t="s">
        <v>77</v>
      </c>
      <c r="E18189" s="30" t="s">
        <v>33204</v>
      </c>
      <c r="F18189" s="34" t="n">
        <f aca="false">IFERROR(VLOOKUP($A18189,'319'!$B:$H,7,0),0)</f>
        <v>0</v>
      </c>
      <c r="G18189" s="34" t="n">
        <f aca="false">SUMIFS('12.326ana'!$C:$C,'12.326ana'!$M:$M,redes!A18189)</f>
        <v>0</v>
      </c>
    </row>
    <row r="18190" customFormat="false" ht="14.4" hidden="true" customHeight="false" outlineLevel="0" collapsed="false">
      <c r="A18190" s="34" t="n">
        <v>46538611000199</v>
      </c>
      <c r="B18190" s="34" t="s">
        <v>33205</v>
      </c>
      <c r="C18190" s="34" t="s">
        <v>107</v>
      </c>
      <c r="E18190" s="30" t="s">
        <v>33206</v>
      </c>
      <c r="F18190" s="34" t="n">
        <f aca="false">IFERROR(VLOOKUP($A18190,'319'!$B:$H,7,0),0)</f>
        <v>0</v>
      </c>
      <c r="G18190" s="34" t="n">
        <f aca="false">SUMIFS('12.326ana'!$C:$C,'12.326ana'!$M:$M,redes!A18190)</f>
        <v>0</v>
      </c>
    </row>
    <row r="18191" customFormat="false" ht="14.4" hidden="true" customHeight="false" outlineLevel="0" collapsed="false">
      <c r="A18191" s="34" t="n">
        <v>46592543000146</v>
      </c>
      <c r="B18191" s="34" t="s">
        <v>33207</v>
      </c>
      <c r="C18191" s="34" t="s">
        <v>631</v>
      </c>
      <c r="E18191" s="30" t="s">
        <v>33208</v>
      </c>
      <c r="F18191" s="34" t="n">
        <f aca="false">IFERROR(VLOOKUP($A18191,'319'!$B:$H,7,0),0)</f>
        <v>0</v>
      </c>
      <c r="G18191" s="34" t="n">
        <f aca="false">SUMIFS('12.326ana'!$C:$C,'12.326ana'!$M:$M,redes!A18191)</f>
        <v>0</v>
      </c>
    </row>
    <row r="18192" customFormat="false" ht="14.4" hidden="true" customHeight="false" outlineLevel="0" collapsed="false">
      <c r="A18192" s="34" t="n">
        <v>46617214000102</v>
      </c>
      <c r="B18192" s="34" t="s">
        <v>33209</v>
      </c>
      <c r="C18192" s="34" t="s">
        <v>77</v>
      </c>
      <c r="E18192" s="30" t="s">
        <v>33209</v>
      </c>
      <c r="F18192" s="34" t="n">
        <f aca="false">IFERROR(VLOOKUP($A18192,'319'!$B:$H,7,0),0)</f>
        <v>0</v>
      </c>
      <c r="G18192" s="34" t="n">
        <f aca="false">SUMIFS('12.326ana'!$C:$C,'12.326ana'!$M:$M,redes!A18192)</f>
        <v>0</v>
      </c>
    </row>
    <row r="18193" customFormat="false" ht="14.4" hidden="true" customHeight="false" outlineLevel="0" collapsed="false">
      <c r="A18193" s="34" t="n">
        <v>46619568000196</v>
      </c>
      <c r="B18193" s="34" t="s">
        <v>33210</v>
      </c>
      <c r="C18193" s="34" t="s">
        <v>117</v>
      </c>
      <c r="E18193" s="30" t="s">
        <v>33211</v>
      </c>
      <c r="F18193" s="34" t="n">
        <f aca="false">IFERROR(VLOOKUP($A18193,'319'!$B:$H,7,0),0)</f>
        <v>0</v>
      </c>
      <c r="G18193" s="34" t="n">
        <f aca="false">SUMIFS('12.326ana'!$C:$C,'12.326ana'!$M:$M,redes!A18193)</f>
        <v>0</v>
      </c>
    </row>
    <row r="18194" customFormat="false" ht="14.4" hidden="true" customHeight="false" outlineLevel="0" collapsed="false">
      <c r="A18194" s="34" t="n">
        <v>46635557000108</v>
      </c>
      <c r="B18194" s="34" t="s">
        <v>1200</v>
      </c>
      <c r="C18194" s="34" t="s">
        <v>299</v>
      </c>
      <c r="E18194" s="30" t="s">
        <v>2912</v>
      </c>
      <c r="F18194" s="34" t="n">
        <f aca="false">IFERROR(VLOOKUP($A18194,'319'!$B:$H,7,0),0)</f>
        <v>337.74</v>
      </c>
      <c r="G18194" s="34" t="n">
        <f aca="false">SUMIFS('12.326ana'!$C:$C,'12.326ana'!$M:$M,redes!A18194)</f>
        <v>0</v>
      </c>
    </row>
    <row r="18195" customFormat="false" ht="14.4" hidden="true" customHeight="false" outlineLevel="0" collapsed="false">
      <c r="A18195" s="34" t="n">
        <v>46640640000167</v>
      </c>
      <c r="B18195" s="34" t="s">
        <v>33212</v>
      </c>
      <c r="C18195" s="34" t="s">
        <v>77</v>
      </c>
      <c r="E18195" s="30" t="s">
        <v>33213</v>
      </c>
      <c r="F18195" s="34" t="n">
        <f aca="false">IFERROR(VLOOKUP($A18195,'319'!$B:$H,7,0),0)</f>
        <v>0</v>
      </c>
      <c r="G18195" s="34" t="n">
        <f aca="false">SUMIFS('12.326ana'!$C:$C,'12.326ana'!$M:$M,redes!A18195)</f>
        <v>0</v>
      </c>
    </row>
    <row r="18196" customFormat="false" ht="14.4" hidden="true" customHeight="false" outlineLevel="0" collapsed="false">
      <c r="A18196" s="34" t="n">
        <v>46641409000198</v>
      </c>
      <c r="B18196" s="34" t="s">
        <v>33214</v>
      </c>
      <c r="C18196" s="34" t="s">
        <v>107</v>
      </c>
      <c r="E18196" s="30" t="s">
        <v>33214</v>
      </c>
      <c r="F18196" s="34" t="n">
        <f aca="false">IFERROR(VLOOKUP($A18196,'319'!$B:$H,7,0),0)</f>
        <v>0</v>
      </c>
      <c r="G18196" s="34" t="n">
        <f aca="false">SUMIFS('12.326ana'!$C:$C,'12.326ana'!$M:$M,redes!A18196)</f>
        <v>0</v>
      </c>
    </row>
    <row r="18197" customFormat="false" ht="14.4" hidden="true" customHeight="false" outlineLevel="0" collapsed="false">
      <c r="A18197" s="34" t="n">
        <v>46645763000190</v>
      </c>
      <c r="B18197" s="34" t="s">
        <v>33215</v>
      </c>
      <c r="C18197" s="34" t="s">
        <v>77</v>
      </c>
      <c r="E18197" s="30" t="s">
        <v>33216</v>
      </c>
      <c r="F18197" s="34" t="n">
        <f aca="false">IFERROR(VLOOKUP($A18197,'319'!$B:$H,7,0),0)</f>
        <v>0</v>
      </c>
      <c r="G18197" s="34" t="n">
        <f aca="false">SUMIFS('12.326ana'!$C:$C,'12.326ana'!$M:$M,redes!A18197)</f>
        <v>0</v>
      </c>
    </row>
    <row r="18198" customFormat="false" ht="14.4" hidden="true" customHeight="false" outlineLevel="0" collapsed="false">
      <c r="A18198" s="34" t="n">
        <v>46666188000102</v>
      </c>
      <c r="B18198" s="34" t="s">
        <v>33217</v>
      </c>
      <c r="C18198" s="34" t="s">
        <v>77</v>
      </c>
      <c r="E18198" s="30" t="s">
        <v>33218</v>
      </c>
      <c r="F18198" s="34" t="n">
        <f aca="false">IFERROR(VLOOKUP($A18198,'319'!$B:$H,7,0),0)</f>
        <v>0</v>
      </c>
      <c r="G18198" s="34" t="n">
        <f aca="false">SUMIFS('12.326ana'!$C:$C,'12.326ana'!$M:$M,redes!A18198)</f>
        <v>0</v>
      </c>
    </row>
    <row r="18199" customFormat="false" ht="14.4" hidden="true" customHeight="false" outlineLevel="0" collapsed="false">
      <c r="A18199" s="34" t="n">
        <v>46672965000121</v>
      </c>
      <c r="B18199" s="34" t="s">
        <v>1469</v>
      </c>
      <c r="C18199" s="34" t="s">
        <v>89</v>
      </c>
      <c r="E18199" s="30" t="s">
        <v>33219</v>
      </c>
      <c r="F18199" s="34" t="n">
        <f aca="false">IFERROR(VLOOKUP($A18199,'319'!$B:$H,7,0),0)</f>
        <v>163.78</v>
      </c>
      <c r="G18199" s="34" t="n">
        <f aca="false">SUMIFS('12.326ana'!$C:$C,'12.326ana'!$M:$M,redes!A18199)</f>
        <v>0</v>
      </c>
    </row>
    <row r="18200" customFormat="false" ht="14.4" hidden="true" customHeight="false" outlineLevel="0" collapsed="false">
      <c r="A18200" s="34" t="n">
        <v>46674286000191</v>
      </c>
      <c r="B18200" s="34" t="s">
        <v>33220</v>
      </c>
      <c r="C18200" s="34" t="s">
        <v>77</v>
      </c>
      <c r="E18200" s="30" t="s">
        <v>33220</v>
      </c>
      <c r="F18200" s="34" t="n">
        <f aca="false">IFERROR(VLOOKUP($A18200,'319'!$B:$H,7,0),0)</f>
        <v>0</v>
      </c>
      <c r="G18200" s="34" t="n">
        <f aca="false">SUMIFS('12.326ana'!$C:$C,'12.326ana'!$M:$M,redes!A18200)</f>
        <v>0</v>
      </c>
    </row>
    <row r="18201" customFormat="false" ht="14.4" hidden="true" customHeight="false" outlineLevel="0" collapsed="false">
      <c r="A18201" s="34" t="n">
        <v>46675177000199</v>
      </c>
      <c r="B18201" s="34" t="s">
        <v>33221</v>
      </c>
      <c r="C18201" s="34" t="s">
        <v>207</v>
      </c>
      <c r="E18201" s="30" t="s">
        <v>33222</v>
      </c>
      <c r="F18201" s="34" t="n">
        <f aca="false">IFERROR(VLOOKUP($A18201,'319'!$B:$H,7,0),0)</f>
        <v>0</v>
      </c>
      <c r="G18201" s="34" t="n">
        <f aca="false">SUMIFS('12.326ana'!$C:$C,'12.326ana'!$M:$M,redes!A18201)</f>
        <v>0</v>
      </c>
    </row>
    <row r="18202" customFormat="false" ht="14.4" hidden="true" customHeight="false" outlineLevel="0" collapsed="false">
      <c r="A18202" s="34" t="n">
        <v>46678299000139</v>
      </c>
      <c r="B18202" s="34" t="s">
        <v>33223</v>
      </c>
      <c r="C18202" s="34" t="s">
        <v>77</v>
      </c>
      <c r="E18202" s="30" t="s">
        <v>33224</v>
      </c>
      <c r="F18202" s="34" t="n">
        <f aca="false">IFERROR(VLOOKUP($A18202,'319'!$B:$H,7,0),0)</f>
        <v>0</v>
      </c>
      <c r="G18202" s="34" t="n">
        <f aca="false">SUMIFS('12.326ana'!$C:$C,'12.326ana'!$M:$M,redes!A18202)</f>
        <v>0</v>
      </c>
    </row>
    <row r="18203" customFormat="false" ht="14.4" hidden="true" customHeight="false" outlineLevel="0" collapsed="false">
      <c r="A18203" s="34" t="n">
        <v>46685267000160</v>
      </c>
      <c r="B18203" s="34" t="s">
        <v>33225</v>
      </c>
      <c r="C18203" s="34" t="s">
        <v>77</v>
      </c>
      <c r="E18203" s="30" t="s">
        <v>33226</v>
      </c>
      <c r="F18203" s="34" t="n">
        <f aca="false">IFERROR(VLOOKUP($A18203,'319'!$B:$H,7,0),0)</f>
        <v>0</v>
      </c>
      <c r="G18203" s="34" t="n">
        <f aca="false">SUMIFS('12.326ana'!$C:$C,'12.326ana'!$M:$M,redes!A18203)</f>
        <v>0</v>
      </c>
    </row>
    <row r="18204" customFormat="false" ht="14.4" hidden="true" customHeight="false" outlineLevel="0" collapsed="false">
      <c r="A18204" s="34" t="n">
        <v>46691800000105</v>
      </c>
      <c r="B18204" s="34" t="s">
        <v>33227</v>
      </c>
      <c r="C18204" s="34" t="s">
        <v>781</v>
      </c>
      <c r="E18204" s="30" t="s">
        <v>33228</v>
      </c>
      <c r="F18204" s="34" t="n">
        <f aca="false">IFERROR(VLOOKUP($A18204,'319'!$B:$H,7,0),0)</f>
        <v>0</v>
      </c>
      <c r="G18204" s="34" t="n">
        <f aca="false">SUMIFS('12.326ana'!$C:$C,'12.326ana'!$M:$M,redes!A18204)</f>
        <v>0</v>
      </c>
    </row>
    <row r="18205" customFormat="false" ht="14.4" hidden="true" customHeight="false" outlineLevel="0" collapsed="false">
      <c r="A18205" s="34" t="n">
        <v>46708840000104</v>
      </c>
      <c r="B18205" s="34" t="s">
        <v>33229</v>
      </c>
      <c r="C18205" s="34" t="s">
        <v>107</v>
      </c>
      <c r="E18205" s="30" t="s">
        <v>8864</v>
      </c>
      <c r="F18205" s="34" t="n">
        <f aca="false">IFERROR(VLOOKUP($A18205,'319'!$B:$H,7,0),0)</f>
        <v>0</v>
      </c>
      <c r="G18205" s="34" t="n">
        <f aca="false">SUMIFS('12.326ana'!$C:$C,'12.326ana'!$M:$M,redes!A18205)</f>
        <v>0</v>
      </c>
    </row>
    <row r="18206" customFormat="false" ht="14.4" hidden="true" customHeight="false" outlineLevel="0" collapsed="false">
      <c r="A18206" s="34" t="n">
        <v>46709640000176</v>
      </c>
      <c r="B18206" s="34" t="s">
        <v>33230</v>
      </c>
      <c r="C18206" s="34" t="s">
        <v>77</v>
      </c>
      <c r="E18206" s="30" t="s">
        <v>33231</v>
      </c>
      <c r="F18206" s="34" t="n">
        <f aca="false">IFERROR(VLOOKUP($A18206,'319'!$B:$H,7,0),0)</f>
        <v>0</v>
      </c>
      <c r="G18206" s="34" t="n">
        <f aca="false">SUMIFS('12.326ana'!$C:$C,'12.326ana'!$M:$M,redes!A18206)</f>
        <v>0</v>
      </c>
    </row>
    <row r="18207" customFormat="false" ht="14.4" hidden="true" customHeight="false" outlineLevel="0" collapsed="false">
      <c r="A18207" s="34" t="n">
        <v>46786816000193</v>
      </c>
      <c r="B18207" s="34" t="s">
        <v>33232</v>
      </c>
      <c r="C18207" s="34" t="s">
        <v>77</v>
      </c>
      <c r="E18207" s="30" t="s">
        <v>33233</v>
      </c>
      <c r="F18207" s="34" t="n">
        <f aca="false">IFERROR(VLOOKUP($A18207,'319'!$B:$H,7,0),0)</f>
        <v>0</v>
      </c>
      <c r="G18207" s="34" t="n">
        <f aca="false">SUMIFS('12.326ana'!$C:$C,'12.326ana'!$M:$M,redes!A18207)</f>
        <v>0</v>
      </c>
    </row>
    <row r="18208" customFormat="false" ht="14.4" hidden="true" customHeight="false" outlineLevel="0" collapsed="false">
      <c r="A18208" s="34" t="n">
        <v>46787634000137</v>
      </c>
      <c r="B18208" s="34" t="s">
        <v>33234</v>
      </c>
      <c r="C18208" s="34" t="s">
        <v>680</v>
      </c>
      <c r="E18208" s="30" t="s">
        <v>33235</v>
      </c>
      <c r="F18208" s="34" t="n">
        <f aca="false">IFERROR(VLOOKUP($A18208,'319'!$B:$H,7,0),0)</f>
        <v>0</v>
      </c>
      <c r="G18208" s="34" t="n">
        <f aca="false">SUMIFS('12.326ana'!$C:$C,'12.326ana'!$M:$M,redes!A18208)</f>
        <v>0</v>
      </c>
    </row>
    <row r="18209" customFormat="false" ht="14.4" hidden="true" customHeight="false" outlineLevel="0" collapsed="false">
      <c r="A18209" s="34" t="n">
        <v>46795430000148</v>
      </c>
      <c r="B18209" s="34" t="s">
        <v>33236</v>
      </c>
      <c r="C18209" s="34" t="s">
        <v>604</v>
      </c>
      <c r="E18209" s="30" t="s">
        <v>33237</v>
      </c>
      <c r="F18209" s="34" t="n">
        <f aca="false">IFERROR(VLOOKUP($A18209,'319'!$B:$H,7,0),0)</f>
        <v>0</v>
      </c>
      <c r="G18209" s="34" t="n">
        <f aca="false">SUMIFS('12.326ana'!$C:$C,'12.326ana'!$M:$M,redes!A18209)</f>
        <v>0</v>
      </c>
    </row>
    <row r="18210" customFormat="false" ht="14.4" hidden="true" customHeight="false" outlineLevel="0" collapsed="false">
      <c r="A18210" s="34" t="n">
        <v>46800426000120</v>
      </c>
      <c r="B18210" s="34" t="s">
        <v>33238</v>
      </c>
      <c r="C18210" s="34" t="s">
        <v>77</v>
      </c>
      <c r="E18210" s="30" t="s">
        <v>25985</v>
      </c>
      <c r="F18210" s="34" t="n">
        <f aca="false">IFERROR(VLOOKUP($A18210,'319'!$B:$H,7,0),0)</f>
        <v>0</v>
      </c>
      <c r="G18210" s="34" t="n">
        <f aca="false">SUMIFS('12.326ana'!$C:$C,'12.326ana'!$M:$M,redes!A18210)</f>
        <v>0</v>
      </c>
    </row>
    <row r="18211" customFormat="false" ht="14.4" hidden="true" customHeight="false" outlineLevel="0" collapsed="false">
      <c r="A18211" s="34" t="n">
        <v>46817967000161</v>
      </c>
      <c r="B18211" s="34" t="s">
        <v>33239</v>
      </c>
      <c r="C18211" s="34" t="s">
        <v>77</v>
      </c>
      <c r="E18211" s="30" t="s">
        <v>33240</v>
      </c>
      <c r="F18211" s="34" t="n">
        <f aca="false">IFERROR(VLOOKUP($A18211,'319'!$B:$H,7,0),0)</f>
        <v>0</v>
      </c>
      <c r="G18211" s="34" t="n">
        <f aca="false">SUMIFS('12.326ana'!$C:$C,'12.326ana'!$M:$M,redes!A18211)</f>
        <v>0</v>
      </c>
    </row>
    <row r="18212" customFormat="false" ht="14.4" hidden="true" customHeight="false" outlineLevel="0" collapsed="false">
      <c r="A18212" s="34" t="n">
        <v>46842760000147</v>
      </c>
      <c r="B18212" s="34" t="s">
        <v>33241</v>
      </c>
      <c r="C18212" s="34" t="s">
        <v>77</v>
      </c>
      <c r="E18212" s="30" t="s">
        <v>33242</v>
      </c>
      <c r="F18212" s="34" t="n">
        <f aca="false">IFERROR(VLOOKUP($A18212,'319'!$B:$H,7,0),0)</f>
        <v>0</v>
      </c>
      <c r="G18212" s="34" t="n">
        <f aca="false">SUMIFS('12.326ana'!$C:$C,'12.326ana'!$M:$M,redes!A18212)</f>
        <v>0</v>
      </c>
    </row>
    <row r="18213" customFormat="false" ht="14.4" hidden="true" customHeight="false" outlineLevel="0" collapsed="false">
      <c r="A18213" s="34" t="n">
        <v>46870173000161</v>
      </c>
      <c r="B18213" s="34" t="s">
        <v>11431</v>
      </c>
      <c r="C18213" s="34" t="s">
        <v>77</v>
      </c>
      <c r="E18213" s="30" t="s">
        <v>11431</v>
      </c>
      <c r="F18213" s="34" t="n">
        <f aca="false">IFERROR(VLOOKUP($A18213,'319'!$B:$H,7,0),0)</f>
        <v>0</v>
      </c>
      <c r="G18213" s="34" t="n">
        <f aca="false">SUMIFS('12.326ana'!$C:$C,'12.326ana'!$M:$M,redes!A18213)</f>
        <v>0</v>
      </c>
    </row>
    <row r="18214" customFormat="false" ht="14.4" hidden="true" customHeight="false" outlineLevel="0" collapsed="false">
      <c r="A18214" s="34" t="n">
        <v>46876542000123</v>
      </c>
      <c r="B18214" s="34" t="s">
        <v>2966</v>
      </c>
      <c r="C18214" s="34" t="s">
        <v>139</v>
      </c>
      <c r="D18214" s="34" t="s">
        <v>34</v>
      </c>
      <c r="E18214" s="30" t="s">
        <v>2967</v>
      </c>
      <c r="F18214" s="34" t="n">
        <f aca="false">IFERROR(VLOOKUP($A18214,'319'!$B:$H,7,0),0)</f>
        <v>19363.87</v>
      </c>
      <c r="G18214" s="34" t="n">
        <f aca="false">SUMIFS('12.326ana'!$C:$C,'12.326ana'!$M:$M,redes!A18214)</f>
        <v>0</v>
      </c>
    </row>
    <row r="18215" customFormat="false" ht="14.4" hidden="true" customHeight="false" outlineLevel="0" collapsed="false">
      <c r="A18215" s="34" t="n">
        <v>46876542000204</v>
      </c>
      <c r="B18215" s="34" t="s">
        <v>2966</v>
      </c>
      <c r="C18215" s="34" t="s">
        <v>680</v>
      </c>
      <c r="D18215" s="34" t="s">
        <v>34</v>
      </c>
      <c r="E18215" s="30" t="s">
        <v>2968</v>
      </c>
      <c r="F18215" s="34" t="n">
        <f aca="false">IFERROR(VLOOKUP($A18215,'319'!$B:$H,7,0),0)</f>
        <v>7051.11</v>
      </c>
      <c r="G18215" s="34" t="n">
        <f aca="false">SUMIFS('12.326ana'!$C:$C,'12.326ana'!$M:$M,redes!A18215)</f>
        <v>0</v>
      </c>
    </row>
    <row r="18216" customFormat="false" ht="14.4" hidden="true" customHeight="false" outlineLevel="0" collapsed="false">
      <c r="A18216" s="34" t="n">
        <v>46876542000476</v>
      </c>
      <c r="B18216" s="34" t="s">
        <v>2966</v>
      </c>
      <c r="C18216" s="34" t="s">
        <v>139</v>
      </c>
      <c r="E18216" s="30" t="s">
        <v>2967</v>
      </c>
      <c r="F18216" s="34" t="n">
        <f aca="false">IFERROR(VLOOKUP($A18216,'319'!$B:$H,7,0),0)</f>
        <v>5404.63</v>
      </c>
      <c r="G18216" s="34" t="n">
        <f aca="false">SUMIFS('12.326ana'!$C:$C,'12.326ana'!$M:$M,redes!A18216)</f>
        <v>0</v>
      </c>
    </row>
    <row r="18217" customFormat="false" ht="14.4" hidden="true" customHeight="false" outlineLevel="0" collapsed="false">
      <c r="A18217" s="34" t="n">
        <v>46887434000156</v>
      </c>
      <c r="B18217" s="34" t="s">
        <v>33243</v>
      </c>
      <c r="C18217" s="34" t="s">
        <v>77</v>
      </c>
      <c r="E18217" s="30" t="s">
        <v>33244</v>
      </c>
      <c r="F18217" s="34" t="n">
        <f aca="false">IFERROR(VLOOKUP($A18217,'319'!$B:$H,7,0),0)</f>
        <v>0</v>
      </c>
      <c r="G18217" s="34" t="n">
        <f aca="false">SUMIFS('12.326ana'!$C:$C,'12.326ana'!$M:$M,redes!A18217)</f>
        <v>0</v>
      </c>
    </row>
    <row r="18218" customFormat="false" ht="14.4" hidden="true" customHeight="false" outlineLevel="0" collapsed="false">
      <c r="A18218" s="34" t="n">
        <v>46894076000109</v>
      </c>
      <c r="B18218" s="34" t="s">
        <v>33245</v>
      </c>
      <c r="C18218" s="34" t="s">
        <v>77</v>
      </c>
      <c r="E18218" s="30" t="s">
        <v>33081</v>
      </c>
      <c r="F18218" s="34" t="n">
        <f aca="false">IFERROR(VLOOKUP($A18218,'319'!$B:$H,7,0),0)</f>
        <v>0</v>
      </c>
      <c r="G18218" s="34" t="n">
        <f aca="false">SUMIFS('12.326ana'!$C:$C,'12.326ana'!$M:$M,redes!A18218)</f>
        <v>0</v>
      </c>
    </row>
    <row r="18219" customFormat="false" ht="14.4" hidden="true" customHeight="false" outlineLevel="0" collapsed="false">
      <c r="A18219" s="34" t="n">
        <v>46895205000183</v>
      </c>
      <c r="B18219" s="34" t="s">
        <v>33246</v>
      </c>
      <c r="C18219" s="34" t="s">
        <v>77</v>
      </c>
      <c r="E18219" s="30" t="s">
        <v>33247</v>
      </c>
      <c r="F18219" s="34" t="n">
        <f aca="false">IFERROR(VLOOKUP($A18219,'319'!$B:$H,7,0),0)</f>
        <v>0</v>
      </c>
      <c r="G18219" s="34" t="n">
        <f aca="false">SUMIFS('12.326ana'!$C:$C,'12.326ana'!$M:$M,redes!A18219)</f>
        <v>0</v>
      </c>
    </row>
    <row r="18220" customFormat="false" ht="14.4" hidden="true" customHeight="false" outlineLevel="0" collapsed="false">
      <c r="A18220" s="34" t="n">
        <v>46958123000130</v>
      </c>
      <c r="B18220" s="34" t="s">
        <v>32501</v>
      </c>
      <c r="C18220" s="34" t="s">
        <v>77</v>
      </c>
      <c r="E18220" s="30" t="s">
        <v>27737</v>
      </c>
      <c r="F18220" s="34" t="n">
        <f aca="false">IFERROR(VLOOKUP($A18220,'319'!$B:$H,7,0),0)</f>
        <v>0</v>
      </c>
      <c r="G18220" s="34" t="n">
        <f aca="false">SUMIFS('12.326ana'!$C:$C,'12.326ana'!$M:$M,redes!A18220)</f>
        <v>0</v>
      </c>
    </row>
    <row r="18221" customFormat="false" ht="14.4" hidden="true" customHeight="false" outlineLevel="0" collapsed="false">
      <c r="A18221" s="34" t="n">
        <v>46961284000183</v>
      </c>
      <c r="B18221" s="34" t="s">
        <v>33248</v>
      </c>
      <c r="C18221" s="34" t="s">
        <v>737</v>
      </c>
      <c r="E18221" s="30" t="s">
        <v>33249</v>
      </c>
      <c r="F18221" s="34" t="n">
        <f aca="false">IFERROR(VLOOKUP($A18221,'319'!$B:$H,7,0),0)</f>
        <v>0</v>
      </c>
      <c r="G18221" s="34" t="n">
        <f aca="false">SUMIFS('12.326ana'!$C:$C,'12.326ana'!$M:$M,redes!A18221)</f>
        <v>0</v>
      </c>
    </row>
    <row r="18222" customFormat="false" ht="14.4" hidden="true" customHeight="false" outlineLevel="0" collapsed="false">
      <c r="A18222" s="34" t="n">
        <v>46964702000196</v>
      </c>
      <c r="B18222" s="34" t="s">
        <v>33250</v>
      </c>
      <c r="C18222" s="34" t="s">
        <v>77</v>
      </c>
      <c r="E18222" s="30" t="s">
        <v>33251</v>
      </c>
      <c r="F18222" s="34" t="n">
        <f aca="false">IFERROR(VLOOKUP($A18222,'319'!$B:$H,7,0),0)</f>
        <v>0</v>
      </c>
      <c r="G18222" s="34" t="n">
        <f aca="false">SUMIFS('12.326ana'!$C:$C,'12.326ana'!$M:$M,redes!A18222)</f>
        <v>0</v>
      </c>
    </row>
    <row r="18223" customFormat="false" ht="14.4" hidden="true" customHeight="false" outlineLevel="0" collapsed="false">
      <c r="A18223" s="34" t="n">
        <v>46993423000150</v>
      </c>
      <c r="B18223" s="34" t="s">
        <v>33252</v>
      </c>
      <c r="C18223" s="34" t="s">
        <v>77</v>
      </c>
      <c r="E18223" s="30" t="s">
        <v>33253</v>
      </c>
      <c r="F18223" s="34" t="n">
        <f aca="false">IFERROR(VLOOKUP($A18223,'319'!$B:$H,7,0),0)</f>
        <v>0</v>
      </c>
      <c r="G18223" s="34" t="n">
        <f aca="false">SUMIFS('12.326ana'!$C:$C,'12.326ana'!$M:$M,redes!A18223)</f>
        <v>0</v>
      </c>
    </row>
    <row r="18224" customFormat="false" ht="14.4" hidden="true" customHeight="false" outlineLevel="0" collapsed="false">
      <c r="A18224" s="34" t="n">
        <v>46996697000101</v>
      </c>
      <c r="B18224" s="34" t="s">
        <v>33254</v>
      </c>
      <c r="C18224" s="34" t="s">
        <v>77</v>
      </c>
      <c r="E18224" s="30" t="s">
        <v>33255</v>
      </c>
      <c r="F18224" s="34" t="n">
        <f aca="false">IFERROR(VLOOKUP($A18224,'319'!$B:$H,7,0),0)</f>
        <v>0</v>
      </c>
      <c r="G18224" s="34" t="n">
        <f aca="false">SUMIFS('12.326ana'!$C:$C,'12.326ana'!$M:$M,redes!A18224)</f>
        <v>0</v>
      </c>
    </row>
    <row r="18225" customFormat="false" ht="14.4" hidden="true" customHeight="false" outlineLevel="0" collapsed="false">
      <c r="A18225" s="34" t="n">
        <v>46997932000151</v>
      </c>
      <c r="B18225" s="34" t="s">
        <v>33256</v>
      </c>
      <c r="C18225" s="34" t="s">
        <v>77</v>
      </c>
      <c r="E18225" s="30" t="s">
        <v>33257</v>
      </c>
      <c r="F18225" s="34" t="n">
        <f aca="false">IFERROR(VLOOKUP($A18225,'319'!$B:$H,7,0),0)</f>
        <v>0</v>
      </c>
      <c r="G18225" s="34" t="n">
        <f aca="false">SUMIFS('12.326ana'!$C:$C,'12.326ana'!$M:$M,redes!A18225)</f>
        <v>0</v>
      </c>
    </row>
    <row r="18226" customFormat="false" ht="14.4" hidden="true" customHeight="false" outlineLevel="0" collapsed="false">
      <c r="A18226" s="34" t="n">
        <v>47013129000106</v>
      </c>
      <c r="B18226" s="34" t="s">
        <v>33258</v>
      </c>
      <c r="C18226" s="34" t="s">
        <v>213</v>
      </c>
      <c r="E18226" s="30" t="s">
        <v>33259</v>
      </c>
      <c r="F18226" s="34" t="n">
        <f aca="false">IFERROR(VLOOKUP($A18226,'319'!$B:$H,7,0),0)</f>
        <v>0</v>
      </c>
      <c r="G18226" s="34" t="n">
        <f aca="false">SUMIFS('12.326ana'!$C:$C,'12.326ana'!$M:$M,redes!A18226)</f>
        <v>0</v>
      </c>
    </row>
    <row r="18227" customFormat="false" ht="14.4" hidden="true" customHeight="false" outlineLevel="0" collapsed="false">
      <c r="A18227" s="34" t="n">
        <v>47024624000102</v>
      </c>
      <c r="B18227" s="34" t="s">
        <v>33260</v>
      </c>
      <c r="C18227" s="34" t="s">
        <v>1618</v>
      </c>
      <c r="E18227" s="30" t="s">
        <v>33261</v>
      </c>
      <c r="F18227" s="34" t="n">
        <f aca="false">IFERROR(VLOOKUP($A18227,'319'!$B:$H,7,0),0)</f>
        <v>0</v>
      </c>
      <c r="G18227" s="34" t="n">
        <f aca="false">SUMIFS('12.326ana'!$C:$C,'12.326ana'!$M:$M,redes!A18227)</f>
        <v>0</v>
      </c>
    </row>
    <row r="18228" customFormat="false" ht="14.4" hidden="true" customHeight="false" outlineLevel="0" collapsed="false">
      <c r="A18228" s="34" t="n">
        <v>47036867000160</v>
      </c>
      <c r="B18228" s="34" t="s">
        <v>33262</v>
      </c>
      <c r="C18228" s="34" t="s">
        <v>77</v>
      </c>
      <c r="E18228" s="30" t="s">
        <v>33263</v>
      </c>
      <c r="F18228" s="34" t="n">
        <f aca="false">IFERROR(VLOOKUP($A18228,'319'!$B:$H,7,0),0)</f>
        <v>0</v>
      </c>
      <c r="G18228" s="34" t="n">
        <f aca="false">SUMIFS('12.326ana'!$C:$C,'12.326ana'!$M:$M,redes!A18228)</f>
        <v>0</v>
      </c>
    </row>
    <row r="18229" customFormat="false" ht="14.4" hidden="true" customHeight="false" outlineLevel="0" collapsed="false">
      <c r="A18229" s="34" t="n">
        <v>47041531000196</v>
      </c>
      <c r="B18229" s="34" t="s">
        <v>33264</v>
      </c>
      <c r="C18229" s="34" t="s">
        <v>809</v>
      </c>
      <c r="E18229" s="30" t="s">
        <v>18371</v>
      </c>
      <c r="F18229" s="34" t="n">
        <f aca="false">IFERROR(VLOOKUP($A18229,'319'!$B:$H,7,0),0)</f>
        <v>0</v>
      </c>
      <c r="G18229" s="34" t="n">
        <f aca="false">SUMIFS('12.326ana'!$C:$C,'12.326ana'!$M:$M,redes!A18229)</f>
        <v>0</v>
      </c>
    </row>
    <row r="18230" customFormat="false" ht="14.4" hidden="true" customHeight="false" outlineLevel="0" collapsed="false">
      <c r="A18230" s="34" t="n">
        <v>47049591000155</v>
      </c>
      <c r="B18230" s="34" t="s">
        <v>33265</v>
      </c>
      <c r="C18230" s="34" t="s">
        <v>139</v>
      </c>
      <c r="E18230" s="30" t="s">
        <v>33266</v>
      </c>
      <c r="F18230" s="34" t="n">
        <f aca="false">IFERROR(VLOOKUP($A18230,'319'!$B:$H,7,0),0)</f>
        <v>0</v>
      </c>
      <c r="G18230" s="34" t="n">
        <f aca="false">SUMIFS('12.326ana'!$C:$C,'12.326ana'!$M:$M,redes!A18230)</f>
        <v>0</v>
      </c>
    </row>
    <row r="18231" customFormat="false" ht="14.4" hidden="true" customHeight="false" outlineLevel="0" collapsed="false">
      <c r="A18231" s="34" t="n">
        <v>47081574000103</v>
      </c>
      <c r="B18231" s="34" t="s">
        <v>33267</v>
      </c>
      <c r="C18231" s="34" t="s">
        <v>77</v>
      </c>
      <c r="E18231" s="30" t="s">
        <v>33268</v>
      </c>
      <c r="F18231" s="34" t="n">
        <f aca="false">IFERROR(VLOOKUP($A18231,'319'!$B:$H,7,0),0)</f>
        <v>0</v>
      </c>
      <c r="G18231" s="34" t="n">
        <f aca="false">SUMIFS('12.326ana'!$C:$C,'12.326ana'!$M:$M,redes!A18231)</f>
        <v>0</v>
      </c>
    </row>
    <row r="18232" customFormat="false" ht="14.4" hidden="true" customHeight="false" outlineLevel="0" collapsed="false">
      <c r="A18232" s="34" t="n">
        <v>47103761000132</v>
      </c>
      <c r="B18232" s="34" t="s">
        <v>33269</v>
      </c>
      <c r="C18232" s="34" t="s">
        <v>89</v>
      </c>
      <c r="E18232" s="30" t="s">
        <v>3579</v>
      </c>
      <c r="F18232" s="34" t="n">
        <f aca="false">IFERROR(VLOOKUP($A18232,'319'!$B:$H,7,0),0)</f>
        <v>0</v>
      </c>
      <c r="G18232" s="34" t="n">
        <f aca="false">SUMIFS('12.326ana'!$C:$C,'12.326ana'!$M:$M,redes!A18232)</f>
        <v>0</v>
      </c>
    </row>
    <row r="18233" customFormat="false" ht="14.4" hidden="true" customHeight="false" outlineLevel="0" collapsed="false">
      <c r="A18233" s="34" t="n">
        <v>47111650000178</v>
      </c>
      <c r="B18233" s="34" t="s">
        <v>33270</v>
      </c>
      <c r="C18233" s="34" t="s">
        <v>207</v>
      </c>
      <c r="E18233" s="30" t="s">
        <v>33271</v>
      </c>
      <c r="F18233" s="34" t="n">
        <f aca="false">IFERROR(VLOOKUP($A18233,'319'!$B:$H,7,0),0)</f>
        <v>0</v>
      </c>
      <c r="G18233" s="34" t="n">
        <f aca="false">SUMIFS('12.326ana'!$C:$C,'12.326ana'!$M:$M,redes!A18233)</f>
        <v>0</v>
      </c>
    </row>
    <row r="18234" customFormat="false" ht="14.4" hidden="true" customHeight="false" outlineLevel="0" collapsed="false">
      <c r="A18234" s="34" t="n">
        <v>47112929000176</v>
      </c>
      <c r="B18234" s="34" t="s">
        <v>33272</v>
      </c>
      <c r="C18234" s="34" t="s">
        <v>357</v>
      </c>
      <c r="E18234" s="30" t="s">
        <v>33273</v>
      </c>
      <c r="F18234" s="34" t="n">
        <f aca="false">IFERROR(VLOOKUP($A18234,'319'!$B:$H,7,0),0)</f>
        <v>0</v>
      </c>
      <c r="G18234" s="34" t="n">
        <f aca="false">SUMIFS('12.326ana'!$C:$C,'12.326ana'!$M:$M,redes!A18234)</f>
        <v>0</v>
      </c>
    </row>
    <row r="18235" customFormat="false" ht="14.4" hidden="true" customHeight="false" outlineLevel="0" collapsed="false">
      <c r="A18235" s="34" t="n">
        <v>47114839000114</v>
      </c>
      <c r="B18235" s="34" t="s">
        <v>33274</v>
      </c>
      <c r="C18235" s="34" t="s">
        <v>77</v>
      </c>
      <c r="E18235" s="30" t="s">
        <v>33274</v>
      </c>
      <c r="F18235" s="34" t="n">
        <f aca="false">IFERROR(VLOOKUP($A18235,'319'!$B:$H,7,0),0)</f>
        <v>0</v>
      </c>
      <c r="G18235" s="34" t="n">
        <f aca="false">SUMIFS('12.326ana'!$C:$C,'12.326ana'!$M:$M,redes!A18235)</f>
        <v>0</v>
      </c>
    </row>
    <row r="18236" customFormat="false" ht="14.4" hidden="true" customHeight="false" outlineLevel="0" collapsed="false">
      <c r="A18236" s="34" t="n">
        <v>47203990000129</v>
      </c>
      <c r="B18236" s="34" t="s">
        <v>33275</v>
      </c>
      <c r="C18236" s="34" t="s">
        <v>77</v>
      </c>
      <c r="E18236" s="30" t="s">
        <v>33276</v>
      </c>
      <c r="F18236" s="34" t="n">
        <f aca="false">IFERROR(VLOOKUP($A18236,'319'!$B:$H,7,0),0)</f>
        <v>0</v>
      </c>
      <c r="G18236" s="34" t="n">
        <f aca="false">SUMIFS('12.326ana'!$C:$C,'12.326ana'!$M:$M,redes!A18236)</f>
        <v>0</v>
      </c>
    </row>
    <row r="18237" customFormat="false" ht="14.4" hidden="true" customHeight="false" outlineLevel="0" collapsed="false">
      <c r="A18237" s="34" t="n">
        <v>47205811000192</v>
      </c>
      <c r="B18237" s="34" t="s">
        <v>1239</v>
      </c>
      <c r="C18237" s="34" t="s">
        <v>89</v>
      </c>
      <c r="E18237" s="30" t="s">
        <v>33277</v>
      </c>
      <c r="F18237" s="34" t="n">
        <f aca="false">IFERROR(VLOOKUP($A18237,'319'!$B:$H,7,0),0)</f>
        <v>295.85</v>
      </c>
      <c r="G18237" s="34" t="n">
        <f aca="false">SUMIFS('12.326ana'!$C:$C,'12.326ana'!$M:$M,redes!A18237)</f>
        <v>0</v>
      </c>
    </row>
    <row r="18238" customFormat="false" ht="14.4" hidden="true" customHeight="false" outlineLevel="0" collapsed="false">
      <c r="A18238" s="34" t="n">
        <v>47214272000158</v>
      </c>
      <c r="B18238" s="34" t="s">
        <v>33278</v>
      </c>
      <c r="C18238" s="34" t="s">
        <v>77</v>
      </c>
      <c r="E18238" s="30" t="s">
        <v>33279</v>
      </c>
      <c r="F18238" s="34" t="n">
        <f aca="false">IFERROR(VLOOKUP($A18238,'319'!$B:$H,7,0),0)</f>
        <v>0</v>
      </c>
      <c r="G18238" s="34" t="n">
        <f aca="false">SUMIFS('12.326ana'!$C:$C,'12.326ana'!$M:$M,redes!A18238)</f>
        <v>0</v>
      </c>
    </row>
    <row r="18239" customFormat="false" ht="14.4" hidden="true" customHeight="false" outlineLevel="0" collapsed="false">
      <c r="A18239" s="34" t="n">
        <v>47223747000172</v>
      </c>
      <c r="B18239" s="34" t="s">
        <v>33280</v>
      </c>
      <c r="C18239" s="34" t="s">
        <v>565</v>
      </c>
      <c r="E18239" s="30" t="s">
        <v>33281</v>
      </c>
      <c r="F18239" s="34" t="n">
        <f aca="false">IFERROR(VLOOKUP($A18239,'319'!$B:$H,7,0),0)</f>
        <v>0</v>
      </c>
      <c r="G18239" s="34" t="n">
        <f aca="false">SUMIFS('12.326ana'!$C:$C,'12.326ana'!$M:$M,redes!A18239)</f>
        <v>0</v>
      </c>
    </row>
    <row r="18240" customFormat="false" ht="14.4" hidden="true" customHeight="false" outlineLevel="0" collapsed="false">
      <c r="A18240" s="34" t="n">
        <v>47235039000151</v>
      </c>
      <c r="B18240" s="34" t="s">
        <v>33282</v>
      </c>
      <c r="C18240" s="34" t="s">
        <v>598</v>
      </c>
      <c r="E18240" s="30" t="s">
        <v>31351</v>
      </c>
      <c r="F18240" s="34" t="n">
        <f aca="false">IFERROR(VLOOKUP($A18240,'319'!$B:$H,7,0),0)</f>
        <v>0</v>
      </c>
      <c r="G18240" s="34" t="n">
        <f aca="false">SUMIFS('12.326ana'!$C:$C,'12.326ana'!$M:$M,redes!A18240)</f>
        <v>0</v>
      </c>
    </row>
    <row r="18241" customFormat="false" ht="14.4" hidden="true" customHeight="false" outlineLevel="0" collapsed="false">
      <c r="A18241" s="34" t="n">
        <v>47235279000156</v>
      </c>
      <c r="B18241" s="34" t="s">
        <v>33283</v>
      </c>
      <c r="C18241" s="34" t="s">
        <v>77</v>
      </c>
      <c r="E18241" s="30" t="s">
        <v>33284</v>
      </c>
      <c r="F18241" s="34" t="n">
        <f aca="false">IFERROR(VLOOKUP($A18241,'319'!$B:$H,7,0),0)</f>
        <v>0</v>
      </c>
      <c r="G18241" s="34" t="n">
        <f aca="false">SUMIFS('12.326ana'!$C:$C,'12.326ana'!$M:$M,redes!A18241)</f>
        <v>0</v>
      </c>
    </row>
    <row r="18242" customFormat="false" ht="14.4" hidden="true" customHeight="false" outlineLevel="0" collapsed="false">
      <c r="A18242" s="34" t="n">
        <v>47257443000126</v>
      </c>
      <c r="B18242" s="34" t="s">
        <v>33285</v>
      </c>
      <c r="C18242" s="34" t="s">
        <v>77</v>
      </c>
      <c r="E18242" s="30" t="s">
        <v>33286</v>
      </c>
      <c r="F18242" s="34" t="n">
        <f aca="false">IFERROR(VLOOKUP($A18242,'319'!$B:$H,7,0),0)</f>
        <v>0</v>
      </c>
      <c r="G18242" s="34" t="n">
        <f aca="false">SUMIFS('12.326ana'!$C:$C,'12.326ana'!$M:$M,redes!A18242)</f>
        <v>0</v>
      </c>
    </row>
    <row r="18243" customFormat="false" ht="14.4" hidden="true" customHeight="false" outlineLevel="0" collapsed="false">
      <c r="A18243" s="34" t="n">
        <v>47269463000117</v>
      </c>
      <c r="B18243" s="34" t="s">
        <v>33287</v>
      </c>
      <c r="C18243" s="34" t="s">
        <v>77</v>
      </c>
      <c r="E18243" s="30" t="s">
        <v>33288</v>
      </c>
      <c r="F18243" s="34" t="n">
        <f aca="false">IFERROR(VLOOKUP($A18243,'319'!$B:$H,7,0),0)</f>
        <v>0</v>
      </c>
      <c r="G18243" s="34" t="n">
        <f aca="false">SUMIFS('12.326ana'!$C:$C,'12.326ana'!$M:$M,redes!A18243)</f>
        <v>0</v>
      </c>
    </row>
    <row r="18244" customFormat="false" ht="14.4" hidden="true" customHeight="false" outlineLevel="0" collapsed="false">
      <c r="A18244" s="34" t="n">
        <v>47272438000192</v>
      </c>
      <c r="B18244" s="34" t="s">
        <v>33289</v>
      </c>
      <c r="C18244" s="34" t="s">
        <v>77</v>
      </c>
      <c r="E18244" s="30" t="s">
        <v>33290</v>
      </c>
      <c r="F18244" s="34" t="n">
        <f aca="false">IFERROR(VLOOKUP($A18244,'319'!$B:$H,7,0),0)</f>
        <v>0</v>
      </c>
      <c r="G18244" s="34" t="n">
        <f aca="false">SUMIFS('12.326ana'!$C:$C,'12.326ana'!$M:$M,redes!A18244)</f>
        <v>0</v>
      </c>
    </row>
    <row r="18245" customFormat="false" ht="14.4" hidden="true" customHeight="false" outlineLevel="0" collapsed="false">
      <c r="A18245" s="34" t="n">
        <v>47289112000178</v>
      </c>
      <c r="B18245" s="34" t="s">
        <v>33291</v>
      </c>
      <c r="C18245" s="34" t="s">
        <v>117</v>
      </c>
      <c r="E18245" s="30" t="s">
        <v>3588</v>
      </c>
      <c r="F18245" s="34" t="n">
        <f aca="false">IFERROR(VLOOKUP($A18245,'319'!$B:$H,7,0),0)</f>
        <v>0</v>
      </c>
      <c r="G18245" s="34" t="n">
        <f aca="false">SUMIFS('12.326ana'!$C:$C,'12.326ana'!$M:$M,redes!A18245)</f>
        <v>0</v>
      </c>
    </row>
    <row r="18246" customFormat="false" ht="14.4" hidden="true" customHeight="false" outlineLevel="0" collapsed="false">
      <c r="A18246" s="34" t="n">
        <v>47298304000140</v>
      </c>
      <c r="B18246" s="34" t="s">
        <v>33292</v>
      </c>
      <c r="C18246" s="34" t="s">
        <v>77</v>
      </c>
      <c r="E18246" s="30" t="s">
        <v>33293</v>
      </c>
      <c r="F18246" s="34" t="n">
        <f aca="false">IFERROR(VLOOKUP($A18246,'319'!$B:$H,7,0),0)</f>
        <v>0</v>
      </c>
      <c r="G18246" s="34" t="n">
        <f aca="false">SUMIFS('12.326ana'!$C:$C,'12.326ana'!$M:$M,redes!A18246)</f>
        <v>0</v>
      </c>
    </row>
    <row r="18247" customFormat="false" ht="14.4" hidden="true" customHeight="false" outlineLevel="0" collapsed="false">
      <c r="A18247" s="34" t="n">
        <v>47315606000180</v>
      </c>
      <c r="B18247" s="34" t="s">
        <v>33294</v>
      </c>
      <c r="C18247" s="34" t="s">
        <v>77</v>
      </c>
      <c r="E18247" s="30" t="s">
        <v>3162</v>
      </c>
      <c r="F18247" s="34" t="n">
        <f aca="false">IFERROR(VLOOKUP($A18247,'319'!$B:$H,7,0),0)</f>
        <v>0</v>
      </c>
      <c r="G18247" s="34" t="n">
        <f aca="false">SUMIFS('12.326ana'!$C:$C,'12.326ana'!$M:$M,redes!A18247)</f>
        <v>0</v>
      </c>
    </row>
    <row r="18248" customFormat="false" ht="14.4" hidden="true" customHeight="false" outlineLevel="0" collapsed="false">
      <c r="A18248" s="34" t="n">
        <v>47316679000196</v>
      </c>
      <c r="B18248" s="34" t="s">
        <v>33295</v>
      </c>
      <c r="C18248" s="34" t="s">
        <v>77</v>
      </c>
      <c r="E18248" s="30" t="s">
        <v>33296</v>
      </c>
      <c r="F18248" s="34" t="n">
        <f aca="false">IFERROR(VLOOKUP($A18248,'319'!$B:$H,7,0),0)</f>
        <v>0</v>
      </c>
      <c r="G18248" s="34" t="n">
        <f aca="false">SUMIFS('12.326ana'!$C:$C,'12.326ana'!$M:$M,redes!A18248)</f>
        <v>0</v>
      </c>
    </row>
    <row r="18249" customFormat="false" ht="14.4" hidden="true" customHeight="false" outlineLevel="0" collapsed="false">
      <c r="A18249" s="34" t="n">
        <v>47350833000146</v>
      </c>
      <c r="B18249" s="34" t="s">
        <v>33297</v>
      </c>
      <c r="C18249" s="34" t="s">
        <v>139</v>
      </c>
      <c r="E18249" s="30" t="s">
        <v>33298</v>
      </c>
      <c r="F18249" s="34" t="n">
        <f aca="false">IFERROR(VLOOKUP($A18249,'319'!$B:$H,7,0),0)</f>
        <v>0</v>
      </c>
      <c r="G18249" s="34" t="n">
        <f aca="false">SUMIFS('12.326ana'!$C:$C,'12.326ana'!$M:$M,redes!A18249)</f>
        <v>0</v>
      </c>
    </row>
    <row r="18250" customFormat="false" ht="14.4" hidden="true" customHeight="false" outlineLevel="0" collapsed="false">
      <c r="A18250" s="34" t="n">
        <v>47351368000168</v>
      </c>
      <c r="B18250" s="34" t="s">
        <v>33299</v>
      </c>
      <c r="C18250" s="34" t="s">
        <v>473</v>
      </c>
      <c r="E18250" s="30" t="s">
        <v>33300</v>
      </c>
      <c r="F18250" s="34" t="n">
        <f aca="false">IFERROR(VLOOKUP($A18250,'319'!$B:$H,7,0),0)</f>
        <v>0</v>
      </c>
      <c r="G18250" s="34" t="n">
        <f aca="false">SUMIFS('12.326ana'!$C:$C,'12.326ana'!$M:$M,redes!A18250)</f>
        <v>0</v>
      </c>
    </row>
    <row r="18251" customFormat="false" ht="14.4" hidden="true" customHeight="false" outlineLevel="0" collapsed="false">
      <c r="A18251" s="34" t="n">
        <v>47387788000102</v>
      </c>
      <c r="B18251" s="34" t="s">
        <v>33301</v>
      </c>
      <c r="C18251" s="34" t="s">
        <v>139</v>
      </c>
      <c r="E18251" s="30" t="s">
        <v>33302</v>
      </c>
      <c r="F18251" s="34" t="n">
        <f aca="false">IFERROR(VLOOKUP($A18251,'319'!$B:$H,7,0),0)</f>
        <v>0</v>
      </c>
      <c r="G18251" s="34" t="n">
        <f aca="false">SUMIFS('12.326ana'!$C:$C,'12.326ana'!$M:$M,redes!A18251)</f>
        <v>0</v>
      </c>
    </row>
    <row r="18252" customFormat="false" ht="14.4" hidden="true" customHeight="false" outlineLevel="0" collapsed="false">
      <c r="A18252" s="34" t="n">
        <v>47396293000131</v>
      </c>
      <c r="B18252" s="34" t="s">
        <v>33303</v>
      </c>
      <c r="C18252" s="34" t="s">
        <v>309</v>
      </c>
      <c r="E18252" s="30" t="s">
        <v>33304</v>
      </c>
      <c r="F18252" s="34" t="n">
        <f aca="false">IFERROR(VLOOKUP($A18252,'319'!$B:$H,7,0),0)</f>
        <v>0</v>
      </c>
      <c r="G18252" s="34" t="n">
        <f aca="false">SUMIFS('12.326ana'!$C:$C,'12.326ana'!$M:$M,redes!A18252)</f>
        <v>0</v>
      </c>
    </row>
    <row r="18253" customFormat="false" ht="14.4" hidden="true" customHeight="false" outlineLevel="0" collapsed="false">
      <c r="A18253" s="34" t="n">
        <v>47397704000103</v>
      </c>
      <c r="B18253" s="34" t="s">
        <v>33305</v>
      </c>
      <c r="C18253" s="34" t="s">
        <v>77</v>
      </c>
      <c r="D18253" s="34" t="s">
        <v>23333</v>
      </c>
      <c r="E18253" s="30" t="s">
        <v>29679</v>
      </c>
      <c r="F18253" s="34" t="n">
        <f aca="false">IFERROR(VLOOKUP($A18253,'319'!$B:$H,7,0),0)</f>
        <v>0</v>
      </c>
      <c r="G18253" s="34" t="n">
        <f aca="false">SUMIFS('12.326ana'!$C:$C,'12.326ana'!$M:$M,redes!A18253)</f>
        <v>0</v>
      </c>
    </row>
    <row r="18254" customFormat="false" ht="14.4" hidden="true" customHeight="false" outlineLevel="0" collapsed="false">
      <c r="A18254" s="34" t="n">
        <v>47417632000119</v>
      </c>
      <c r="B18254" s="34" t="s">
        <v>33306</v>
      </c>
      <c r="C18254" s="34" t="s">
        <v>77</v>
      </c>
      <c r="E18254" s="30" t="s">
        <v>33307</v>
      </c>
      <c r="F18254" s="34" t="n">
        <f aca="false">IFERROR(VLOOKUP($A18254,'319'!$B:$H,7,0),0)</f>
        <v>0</v>
      </c>
      <c r="G18254" s="34" t="n">
        <f aca="false">SUMIFS('12.326ana'!$C:$C,'12.326ana'!$M:$M,redes!A18254)</f>
        <v>0</v>
      </c>
    </row>
    <row r="18255" customFormat="false" ht="14.4" hidden="true" customHeight="false" outlineLevel="0" collapsed="false">
      <c r="A18255" s="34" t="n">
        <v>47418392000177</v>
      </c>
      <c r="B18255" s="34" t="s">
        <v>33308</v>
      </c>
      <c r="C18255" s="34" t="s">
        <v>594</v>
      </c>
      <c r="E18255" s="30" t="s">
        <v>33309</v>
      </c>
      <c r="F18255" s="34" t="n">
        <f aca="false">IFERROR(VLOOKUP($A18255,'319'!$B:$H,7,0),0)</f>
        <v>0</v>
      </c>
      <c r="G18255" s="34" t="n">
        <f aca="false">SUMIFS('12.326ana'!$C:$C,'12.326ana'!$M:$M,redes!A18255)</f>
        <v>0</v>
      </c>
    </row>
    <row r="18256" customFormat="false" ht="14.4" hidden="true" customHeight="false" outlineLevel="0" collapsed="false">
      <c r="A18256" s="34" t="n">
        <v>47427653004960</v>
      </c>
      <c r="B18256" s="34" t="s">
        <v>33310</v>
      </c>
      <c r="C18256" s="34" t="s">
        <v>77</v>
      </c>
      <c r="E18256" s="30" t="s">
        <v>33311</v>
      </c>
      <c r="F18256" s="34" t="n">
        <f aca="false">IFERROR(VLOOKUP($A18256,'319'!$B:$H,7,0),0)</f>
        <v>0</v>
      </c>
      <c r="G18256" s="34" t="n">
        <f aca="false">SUMIFS('12.326ana'!$C:$C,'12.326ana'!$M:$M,redes!A18256)</f>
        <v>0</v>
      </c>
    </row>
    <row r="18257" customFormat="false" ht="14.4" hidden="true" customHeight="false" outlineLevel="0" collapsed="false">
      <c r="A18257" s="34" t="n">
        <v>47447281000199</v>
      </c>
      <c r="B18257" s="34" t="s">
        <v>33312</v>
      </c>
      <c r="C18257" s="34" t="s">
        <v>77</v>
      </c>
      <c r="E18257" s="30" t="s">
        <v>33313</v>
      </c>
      <c r="F18257" s="34" t="n">
        <f aca="false">IFERROR(VLOOKUP($A18257,'319'!$B:$H,7,0),0)</f>
        <v>0</v>
      </c>
      <c r="G18257" s="34" t="n">
        <f aca="false">SUMIFS('12.326ana'!$C:$C,'12.326ana'!$M:$M,redes!A18257)</f>
        <v>0</v>
      </c>
    </row>
    <row r="18258" customFormat="false" ht="14.4" hidden="true" customHeight="false" outlineLevel="0" collapsed="false">
      <c r="A18258" s="34" t="n">
        <v>47468128000148</v>
      </c>
      <c r="B18258" s="34" t="s">
        <v>33314</v>
      </c>
      <c r="C18258" s="34" t="s">
        <v>139</v>
      </c>
      <c r="E18258" s="30" t="s">
        <v>33315</v>
      </c>
      <c r="F18258" s="34" t="n">
        <f aca="false">IFERROR(VLOOKUP($A18258,'319'!$B:$H,7,0),0)</f>
        <v>0</v>
      </c>
      <c r="G18258" s="34" t="n">
        <f aca="false">SUMIFS('12.326ana'!$C:$C,'12.326ana'!$M:$M,redes!A18258)</f>
        <v>0</v>
      </c>
    </row>
    <row r="18259" customFormat="false" ht="14.4" hidden="true" customHeight="false" outlineLevel="0" collapsed="false">
      <c r="A18259" s="34" t="n">
        <v>47479413000164</v>
      </c>
      <c r="B18259" s="34" t="s">
        <v>33316</v>
      </c>
      <c r="C18259" s="34" t="s">
        <v>77</v>
      </c>
      <c r="E18259" s="30" t="s">
        <v>33317</v>
      </c>
      <c r="F18259" s="34" t="n">
        <f aca="false">IFERROR(VLOOKUP($A18259,'319'!$B:$H,7,0),0)</f>
        <v>0</v>
      </c>
      <c r="G18259" s="34" t="n">
        <f aca="false">SUMIFS('12.326ana'!$C:$C,'12.326ana'!$M:$M,redes!A18259)</f>
        <v>0</v>
      </c>
    </row>
    <row r="18260" customFormat="false" ht="14.4" hidden="true" customHeight="false" outlineLevel="0" collapsed="false">
      <c r="A18260" s="34" t="n">
        <v>47487846000161</v>
      </c>
      <c r="B18260" s="34" t="s">
        <v>33318</v>
      </c>
      <c r="C18260" s="34" t="s">
        <v>77</v>
      </c>
      <c r="E18260" s="30" t="s">
        <v>31056</v>
      </c>
      <c r="F18260" s="34" t="n">
        <f aca="false">IFERROR(VLOOKUP($A18260,'319'!$B:$H,7,0),0)</f>
        <v>0</v>
      </c>
      <c r="G18260" s="34" t="n">
        <f aca="false">SUMIFS('12.326ana'!$C:$C,'12.326ana'!$M:$M,redes!A18260)</f>
        <v>0</v>
      </c>
    </row>
    <row r="18261" customFormat="false" ht="14.4" hidden="true" customHeight="false" outlineLevel="0" collapsed="false">
      <c r="A18261" s="34" t="n">
        <v>47507531000139</v>
      </c>
      <c r="B18261" s="34" t="s">
        <v>33319</v>
      </c>
      <c r="C18261" s="34" t="s">
        <v>77</v>
      </c>
      <c r="E18261" s="30" t="s">
        <v>10068</v>
      </c>
      <c r="F18261" s="34" t="n">
        <f aca="false">IFERROR(VLOOKUP($A18261,'319'!$B:$H,7,0),0)</f>
        <v>0</v>
      </c>
      <c r="G18261" s="34" t="n">
        <f aca="false">SUMIFS('12.326ana'!$C:$C,'12.326ana'!$M:$M,redes!A18261)</f>
        <v>0</v>
      </c>
    </row>
    <row r="18262" customFormat="false" ht="14.4" hidden="true" customHeight="false" outlineLevel="0" collapsed="false">
      <c r="A18262" s="34" t="n">
        <v>47521275000134</v>
      </c>
      <c r="B18262" s="34" t="s">
        <v>33320</v>
      </c>
      <c r="C18262" s="34" t="s">
        <v>328</v>
      </c>
      <c r="E18262" s="30" t="s">
        <v>33321</v>
      </c>
      <c r="F18262" s="34" t="n">
        <f aca="false">IFERROR(VLOOKUP($A18262,'319'!$B:$H,7,0),0)</f>
        <v>0</v>
      </c>
      <c r="G18262" s="34" t="n">
        <f aca="false">SUMIFS('12.326ana'!$C:$C,'12.326ana'!$M:$M,redes!A18262)</f>
        <v>0</v>
      </c>
    </row>
    <row r="18263" customFormat="false" ht="14.4" hidden="true" customHeight="false" outlineLevel="0" collapsed="false">
      <c r="A18263" s="34" t="n">
        <v>47594219000120</v>
      </c>
      <c r="B18263" s="34" t="s">
        <v>33322</v>
      </c>
      <c r="C18263" s="34" t="s">
        <v>107</v>
      </c>
      <c r="E18263" s="30" t="s">
        <v>33322</v>
      </c>
      <c r="F18263" s="34" t="n">
        <f aca="false">IFERROR(VLOOKUP($A18263,'319'!$B:$H,7,0),0)</f>
        <v>0</v>
      </c>
      <c r="G18263" s="34" t="n">
        <f aca="false">SUMIFS('12.326ana'!$C:$C,'12.326ana'!$M:$M,redes!A18263)</f>
        <v>0</v>
      </c>
    </row>
    <row r="18264" customFormat="false" ht="14.4" hidden="true" customHeight="false" outlineLevel="0" collapsed="false">
      <c r="A18264" s="34" t="n">
        <v>47640695000130</v>
      </c>
      <c r="B18264" s="34" t="s">
        <v>33323</v>
      </c>
      <c r="C18264" s="34" t="s">
        <v>77</v>
      </c>
      <c r="E18264" s="30" t="s">
        <v>33324</v>
      </c>
      <c r="F18264" s="34" t="n">
        <f aca="false">IFERROR(VLOOKUP($A18264,'319'!$B:$H,7,0),0)</f>
        <v>0</v>
      </c>
      <c r="G18264" s="34" t="n">
        <f aca="false">SUMIFS('12.326ana'!$C:$C,'12.326ana'!$M:$M,redes!A18264)</f>
        <v>0</v>
      </c>
    </row>
    <row r="18265" customFormat="false" ht="14.4" hidden="true" customHeight="false" outlineLevel="0" collapsed="false">
      <c r="A18265" s="34" t="n">
        <v>47659620000109</v>
      </c>
      <c r="B18265" s="34" t="s">
        <v>33325</v>
      </c>
      <c r="C18265" s="34" t="s">
        <v>77</v>
      </c>
      <c r="E18265" s="30" t="s">
        <v>33326</v>
      </c>
      <c r="F18265" s="34" t="n">
        <f aca="false">IFERROR(VLOOKUP($A18265,'319'!$B:$H,7,0),0)</f>
        <v>0</v>
      </c>
      <c r="G18265" s="34" t="n">
        <f aca="false">SUMIFS('12.326ana'!$C:$C,'12.326ana'!$M:$M,redes!A18265)</f>
        <v>0</v>
      </c>
    </row>
    <row r="18266" customFormat="false" ht="14.4" hidden="true" customHeight="false" outlineLevel="0" collapsed="false">
      <c r="A18266" s="34" t="n">
        <v>47666157000114</v>
      </c>
      <c r="B18266" s="34" t="s">
        <v>33327</v>
      </c>
      <c r="C18266" s="34" t="s">
        <v>77</v>
      </c>
      <c r="E18266" s="30" t="s">
        <v>33327</v>
      </c>
      <c r="F18266" s="34" t="n">
        <f aca="false">IFERROR(VLOOKUP($A18266,'319'!$B:$H,7,0),0)</f>
        <v>0</v>
      </c>
      <c r="G18266" s="34" t="n">
        <f aca="false">SUMIFS('12.326ana'!$C:$C,'12.326ana'!$M:$M,redes!A18266)</f>
        <v>0</v>
      </c>
    </row>
    <row r="18267" customFormat="false" ht="14.4" hidden="true" customHeight="false" outlineLevel="0" collapsed="false">
      <c r="A18267" s="34" t="n">
        <v>47666967000170</v>
      </c>
      <c r="B18267" s="34" t="s">
        <v>33328</v>
      </c>
      <c r="C18267" s="34" t="s">
        <v>842</v>
      </c>
      <c r="E18267" s="30" t="s">
        <v>33329</v>
      </c>
      <c r="F18267" s="34" t="n">
        <f aca="false">IFERROR(VLOOKUP($A18267,'319'!$B:$H,7,0),0)</f>
        <v>0</v>
      </c>
      <c r="G18267" s="34" t="n">
        <f aca="false">SUMIFS('12.326ana'!$C:$C,'12.326ana'!$M:$M,redes!A18267)</f>
        <v>0</v>
      </c>
    </row>
    <row r="18268" customFormat="false" ht="14.4" hidden="true" customHeight="false" outlineLevel="0" collapsed="false">
      <c r="A18268" s="34" t="n">
        <v>47667983000188</v>
      </c>
      <c r="B18268" s="34" t="s">
        <v>33330</v>
      </c>
      <c r="C18268" s="34" t="s">
        <v>77</v>
      </c>
      <c r="E18268" s="30" t="s">
        <v>33331</v>
      </c>
      <c r="F18268" s="34" t="n">
        <f aca="false">IFERROR(VLOOKUP($A18268,'319'!$B:$H,7,0),0)</f>
        <v>0</v>
      </c>
      <c r="G18268" s="34" t="n">
        <f aca="false">SUMIFS('12.326ana'!$C:$C,'12.326ana'!$M:$M,redes!A18268)</f>
        <v>0</v>
      </c>
    </row>
    <row r="18269" customFormat="false" ht="14.4" hidden="true" customHeight="false" outlineLevel="0" collapsed="false">
      <c r="A18269" s="34" t="n">
        <v>47687893000159</v>
      </c>
      <c r="B18269" s="34" t="s">
        <v>33332</v>
      </c>
      <c r="C18269" s="34" t="s">
        <v>107</v>
      </c>
      <c r="E18269" s="30" t="s">
        <v>33333</v>
      </c>
      <c r="F18269" s="34" t="n">
        <f aca="false">IFERROR(VLOOKUP($A18269,'319'!$B:$H,7,0),0)</f>
        <v>0</v>
      </c>
      <c r="G18269" s="34" t="n">
        <f aca="false">SUMIFS('12.326ana'!$C:$C,'12.326ana'!$M:$M,redes!A18269)</f>
        <v>0</v>
      </c>
    </row>
    <row r="18270" customFormat="false" ht="14.4" hidden="true" customHeight="false" outlineLevel="0" collapsed="false">
      <c r="A18270" s="34" t="n">
        <v>47755164000192</v>
      </c>
      <c r="B18270" s="34" t="s">
        <v>33334</v>
      </c>
      <c r="C18270" s="34" t="s">
        <v>77</v>
      </c>
      <c r="E18270" s="30" t="s">
        <v>2872</v>
      </c>
      <c r="F18270" s="34" t="n">
        <f aca="false">IFERROR(VLOOKUP($A18270,'319'!$B:$H,7,0),0)</f>
        <v>0</v>
      </c>
      <c r="G18270" s="34" t="n">
        <f aca="false">SUMIFS('12.326ana'!$C:$C,'12.326ana'!$M:$M,redes!A18270)</f>
        <v>0</v>
      </c>
    </row>
    <row r="18271" customFormat="false" ht="14.4" hidden="true" customHeight="false" outlineLevel="0" collapsed="false">
      <c r="A18271" s="34" t="n">
        <v>47813971000114</v>
      </c>
      <c r="B18271" s="34" t="s">
        <v>33335</v>
      </c>
      <c r="C18271" s="34" t="s">
        <v>77</v>
      </c>
      <c r="E18271" s="30" t="s">
        <v>33336</v>
      </c>
      <c r="F18271" s="34" t="n">
        <f aca="false">IFERROR(VLOOKUP($A18271,'319'!$B:$H,7,0),0)</f>
        <v>0</v>
      </c>
      <c r="G18271" s="34" t="n">
        <f aca="false">SUMIFS('12.326ana'!$C:$C,'12.326ana'!$M:$M,redes!A18271)</f>
        <v>0</v>
      </c>
    </row>
    <row r="18272" customFormat="false" ht="14.4" hidden="true" customHeight="false" outlineLevel="0" collapsed="false">
      <c r="A18272" s="34" t="n">
        <v>47827572000102</v>
      </c>
      <c r="B18272" s="34" t="s">
        <v>33337</v>
      </c>
      <c r="C18272" s="34" t="s">
        <v>979</v>
      </c>
      <c r="E18272" s="30" t="s">
        <v>33338</v>
      </c>
      <c r="F18272" s="34" t="n">
        <f aca="false">IFERROR(VLOOKUP($A18272,'319'!$B:$H,7,0),0)</f>
        <v>0</v>
      </c>
      <c r="G18272" s="34" t="n">
        <f aca="false">SUMIFS('12.326ana'!$C:$C,'12.326ana'!$M:$M,redes!A18272)</f>
        <v>0</v>
      </c>
    </row>
    <row r="18273" customFormat="false" ht="14.4" hidden="true" customHeight="false" outlineLevel="0" collapsed="false">
      <c r="A18273" s="34" t="n">
        <v>47833492000160</v>
      </c>
      <c r="B18273" s="34" t="s">
        <v>33339</v>
      </c>
      <c r="C18273" s="34" t="s">
        <v>77</v>
      </c>
      <c r="E18273" s="30" t="s">
        <v>33340</v>
      </c>
      <c r="F18273" s="34" t="n">
        <f aca="false">IFERROR(VLOOKUP($A18273,'319'!$B:$H,7,0),0)</f>
        <v>0</v>
      </c>
      <c r="G18273" s="34" t="n">
        <f aca="false">SUMIFS('12.326ana'!$C:$C,'12.326ana'!$M:$M,redes!A18273)</f>
        <v>0</v>
      </c>
    </row>
    <row r="18274" customFormat="false" ht="14.4" hidden="true" customHeight="false" outlineLevel="0" collapsed="false">
      <c r="A18274" s="34" t="n">
        <v>47856694000127</v>
      </c>
      <c r="B18274" s="34" t="s">
        <v>33341</v>
      </c>
      <c r="C18274" s="34" t="s">
        <v>89</v>
      </c>
      <c r="E18274" s="30" t="s">
        <v>33342</v>
      </c>
      <c r="F18274" s="34" t="n">
        <f aca="false">IFERROR(VLOOKUP($A18274,'319'!$B:$H,7,0),0)</f>
        <v>0</v>
      </c>
      <c r="G18274" s="34" t="n">
        <f aca="false">SUMIFS('12.326ana'!$C:$C,'12.326ana'!$M:$M,redes!A18274)</f>
        <v>0</v>
      </c>
    </row>
    <row r="18275" customFormat="false" ht="14.4" hidden="true" customHeight="false" outlineLevel="0" collapsed="false">
      <c r="A18275" s="34" t="n">
        <v>47880191000197</v>
      </c>
      <c r="B18275" s="34" t="s">
        <v>33343</v>
      </c>
      <c r="C18275" s="34" t="s">
        <v>342</v>
      </c>
      <c r="E18275" s="30" t="s">
        <v>33344</v>
      </c>
      <c r="F18275" s="34" t="n">
        <f aca="false">IFERROR(VLOOKUP($A18275,'319'!$B:$H,7,0),0)</f>
        <v>0</v>
      </c>
      <c r="G18275" s="34" t="n">
        <f aca="false">SUMIFS('12.326ana'!$C:$C,'12.326ana'!$M:$M,redes!A18275)</f>
        <v>0</v>
      </c>
    </row>
    <row r="18276" customFormat="false" ht="14.4" hidden="true" customHeight="false" outlineLevel="0" collapsed="false">
      <c r="A18276" s="34" t="n">
        <v>47883398000115</v>
      </c>
      <c r="B18276" s="34" t="s">
        <v>33345</v>
      </c>
      <c r="C18276" s="34" t="s">
        <v>309</v>
      </c>
      <c r="E18276" s="30" t="s">
        <v>18023</v>
      </c>
      <c r="F18276" s="34" t="n">
        <f aca="false">IFERROR(VLOOKUP($A18276,'319'!$B:$H,7,0),0)</f>
        <v>0</v>
      </c>
      <c r="G18276" s="34" t="n">
        <f aca="false">SUMIFS('12.326ana'!$C:$C,'12.326ana'!$M:$M,redes!A18276)</f>
        <v>0</v>
      </c>
    </row>
    <row r="18277" customFormat="false" ht="14.4" hidden="true" customHeight="false" outlineLevel="0" collapsed="false">
      <c r="A18277" s="34" t="n">
        <v>47923091000109</v>
      </c>
      <c r="B18277" s="34" t="s">
        <v>33346</v>
      </c>
      <c r="C18277" s="34" t="s">
        <v>89</v>
      </c>
      <c r="E18277" s="30" t="s">
        <v>33347</v>
      </c>
      <c r="F18277" s="34" t="n">
        <f aca="false">IFERROR(VLOOKUP($A18277,'319'!$B:$H,7,0),0)</f>
        <v>0</v>
      </c>
      <c r="G18277" s="34" t="n">
        <f aca="false">SUMIFS('12.326ana'!$C:$C,'12.326ana'!$M:$M,redes!A18277)</f>
        <v>0</v>
      </c>
    </row>
    <row r="18278" customFormat="false" ht="14.4" hidden="true" customHeight="false" outlineLevel="0" collapsed="false">
      <c r="A18278" s="34" t="n">
        <v>47960950007991</v>
      </c>
      <c r="B18278" s="34" t="s">
        <v>33348</v>
      </c>
      <c r="C18278" s="34" t="s">
        <v>77</v>
      </c>
      <c r="E18278" s="30" t="s">
        <v>33349</v>
      </c>
      <c r="F18278" s="34" t="n">
        <f aca="false">IFERROR(VLOOKUP($A18278,'319'!$B:$H,7,0),0)</f>
        <v>0</v>
      </c>
      <c r="G18278" s="34" t="n">
        <f aca="false">SUMIFS('12.326ana'!$C:$C,'12.326ana'!$M:$M,redes!A18278)</f>
        <v>0</v>
      </c>
    </row>
    <row r="18279" customFormat="false" ht="14.4" hidden="true" customHeight="false" outlineLevel="0" collapsed="false">
      <c r="A18279" s="34" t="n">
        <v>47976366000164</v>
      </c>
      <c r="B18279" s="34" t="s">
        <v>33350</v>
      </c>
      <c r="C18279" s="34" t="s">
        <v>77</v>
      </c>
      <c r="E18279" s="30" t="s">
        <v>33351</v>
      </c>
      <c r="F18279" s="34" t="n">
        <f aca="false">IFERROR(VLOOKUP($A18279,'319'!$B:$H,7,0),0)</f>
        <v>0</v>
      </c>
      <c r="G18279" s="34" t="n">
        <f aca="false">SUMIFS('12.326ana'!$C:$C,'12.326ana'!$M:$M,redes!A18279)</f>
        <v>0</v>
      </c>
    </row>
    <row r="18280" customFormat="false" ht="14.4" hidden="true" customHeight="false" outlineLevel="0" collapsed="false">
      <c r="A18280" s="34" t="n">
        <v>48016917000100</v>
      </c>
      <c r="B18280" s="34" t="s">
        <v>33352</v>
      </c>
      <c r="C18280" s="34" t="s">
        <v>77</v>
      </c>
      <c r="E18280" s="30" t="s">
        <v>33353</v>
      </c>
      <c r="F18280" s="34" t="n">
        <f aca="false">IFERROR(VLOOKUP($A18280,'319'!$B:$H,7,0),0)</f>
        <v>0</v>
      </c>
      <c r="G18280" s="34" t="n">
        <f aca="false">SUMIFS('12.326ana'!$C:$C,'12.326ana'!$M:$M,redes!A18280)</f>
        <v>0</v>
      </c>
    </row>
    <row r="18281" customFormat="false" ht="14.4" hidden="true" customHeight="false" outlineLevel="0" collapsed="false">
      <c r="A18281" s="34" t="n">
        <v>48028905000104</v>
      </c>
      <c r="B18281" s="34" t="s">
        <v>33354</v>
      </c>
      <c r="C18281" s="34" t="s">
        <v>77</v>
      </c>
      <c r="E18281" s="30" t="s">
        <v>27641</v>
      </c>
      <c r="F18281" s="34" t="n">
        <f aca="false">IFERROR(VLOOKUP($A18281,'319'!$B:$H,7,0),0)</f>
        <v>0</v>
      </c>
      <c r="G18281" s="34" t="n">
        <f aca="false">SUMIFS('12.326ana'!$C:$C,'12.326ana'!$M:$M,redes!A18281)</f>
        <v>0</v>
      </c>
    </row>
    <row r="18282" customFormat="false" ht="14.4" hidden="true" customHeight="false" outlineLevel="0" collapsed="false">
      <c r="A18282" s="34" t="n">
        <v>48053789003948</v>
      </c>
      <c r="B18282" s="34" t="s">
        <v>33355</v>
      </c>
      <c r="C18282" s="34" t="s">
        <v>463</v>
      </c>
      <c r="E18282" s="30" t="s">
        <v>33356</v>
      </c>
      <c r="F18282" s="34" t="n">
        <f aca="false">IFERROR(VLOOKUP($A18282,'319'!$B:$H,7,0),0)</f>
        <v>0</v>
      </c>
      <c r="G18282" s="34" t="n">
        <f aca="false">SUMIFS('12.326ana'!$C:$C,'12.326ana'!$M:$M,redes!A18282)</f>
        <v>0</v>
      </c>
    </row>
    <row r="18283" customFormat="false" ht="14.4" hidden="true" customHeight="false" outlineLevel="0" collapsed="false">
      <c r="A18283" s="34" t="n">
        <v>48054972000195</v>
      </c>
      <c r="B18283" s="34" t="s">
        <v>33357</v>
      </c>
      <c r="C18283" s="34" t="s">
        <v>192</v>
      </c>
      <c r="E18283" s="30" t="s">
        <v>33358</v>
      </c>
      <c r="F18283" s="34" t="n">
        <f aca="false">IFERROR(VLOOKUP($A18283,'319'!$B:$H,7,0),0)</f>
        <v>0</v>
      </c>
      <c r="G18283" s="34" t="n">
        <f aca="false">SUMIFS('12.326ana'!$C:$C,'12.326ana'!$M:$M,redes!A18283)</f>
        <v>0</v>
      </c>
    </row>
    <row r="18284" customFormat="false" ht="14.4" hidden="true" customHeight="false" outlineLevel="0" collapsed="false">
      <c r="A18284" s="34" t="n">
        <v>48069794000176</v>
      </c>
      <c r="B18284" s="34" t="s">
        <v>33359</v>
      </c>
      <c r="C18284" s="34" t="s">
        <v>77</v>
      </c>
      <c r="E18284" s="30" t="s">
        <v>33360</v>
      </c>
      <c r="F18284" s="34" t="n">
        <f aca="false">IFERROR(VLOOKUP($A18284,'319'!$B:$H,7,0),0)</f>
        <v>0</v>
      </c>
      <c r="G18284" s="34" t="n">
        <f aca="false">SUMIFS('12.326ana'!$C:$C,'12.326ana'!$M:$M,redes!A18284)</f>
        <v>0</v>
      </c>
    </row>
    <row r="18285" customFormat="false" ht="14.4" hidden="true" customHeight="false" outlineLevel="0" collapsed="false">
      <c r="A18285" s="34" t="n">
        <v>48103999000120</v>
      </c>
      <c r="B18285" s="34" t="s">
        <v>33361</v>
      </c>
      <c r="C18285" s="34" t="s">
        <v>77</v>
      </c>
      <c r="E18285" s="30" t="s">
        <v>28146</v>
      </c>
      <c r="F18285" s="34" t="n">
        <f aca="false">IFERROR(VLOOKUP($A18285,'319'!$B:$H,7,0),0)</f>
        <v>0</v>
      </c>
      <c r="G18285" s="34" t="n">
        <f aca="false">SUMIFS('12.326ana'!$C:$C,'12.326ana'!$M:$M,redes!A18285)</f>
        <v>0</v>
      </c>
    </row>
    <row r="18286" customFormat="false" ht="14.4" hidden="true" customHeight="false" outlineLevel="0" collapsed="false">
      <c r="A18286" s="34" t="n">
        <v>48118519000103</v>
      </c>
      <c r="B18286" s="34" t="s">
        <v>33362</v>
      </c>
      <c r="C18286" s="34" t="s">
        <v>213</v>
      </c>
      <c r="E18286" s="30" t="s">
        <v>3922</v>
      </c>
      <c r="F18286" s="34" t="n">
        <f aca="false">IFERROR(VLOOKUP($A18286,'319'!$B:$H,7,0),0)</f>
        <v>64.72</v>
      </c>
      <c r="G18286" s="34" t="n">
        <f aca="false">SUMIFS('12.326ana'!$C:$C,'12.326ana'!$M:$M,redes!A18286)</f>
        <v>0</v>
      </c>
    </row>
    <row r="18287" customFormat="false" ht="14.4" hidden="true" customHeight="false" outlineLevel="0" collapsed="false">
      <c r="A18287" s="34" t="n">
        <v>48197224000161</v>
      </c>
      <c r="B18287" s="34" t="s">
        <v>33363</v>
      </c>
      <c r="C18287" s="34" t="s">
        <v>309</v>
      </c>
      <c r="E18287" s="30" t="s">
        <v>33364</v>
      </c>
      <c r="F18287" s="34" t="n">
        <f aca="false">IFERROR(VLOOKUP($A18287,'319'!$B:$H,7,0),0)</f>
        <v>0</v>
      </c>
      <c r="G18287" s="34" t="n">
        <f aca="false">SUMIFS('12.326ana'!$C:$C,'12.326ana'!$M:$M,redes!A18287)</f>
        <v>0</v>
      </c>
    </row>
    <row r="18288" customFormat="false" ht="14.4" hidden="true" customHeight="false" outlineLevel="0" collapsed="false">
      <c r="A18288" s="34" t="n">
        <v>48207995000192</v>
      </c>
      <c r="B18288" s="34" t="s">
        <v>33365</v>
      </c>
      <c r="C18288" s="34" t="s">
        <v>89</v>
      </c>
      <c r="E18288" s="30" t="s">
        <v>33366</v>
      </c>
      <c r="F18288" s="34" t="n">
        <f aca="false">IFERROR(VLOOKUP($A18288,'319'!$B:$H,7,0),0)</f>
        <v>0</v>
      </c>
      <c r="G18288" s="34" t="n">
        <f aca="false">SUMIFS('12.326ana'!$C:$C,'12.326ana'!$M:$M,redes!A18288)</f>
        <v>0</v>
      </c>
    </row>
    <row r="18289" customFormat="false" ht="14.4" hidden="true" customHeight="false" outlineLevel="0" collapsed="false">
      <c r="A18289" s="34" t="n">
        <v>48214303000133</v>
      </c>
      <c r="B18289" s="34" t="s">
        <v>33367</v>
      </c>
      <c r="C18289" s="34" t="s">
        <v>77</v>
      </c>
      <c r="E18289" s="30" t="s">
        <v>33368</v>
      </c>
      <c r="F18289" s="34" t="n">
        <f aca="false">IFERROR(VLOOKUP($A18289,'319'!$B:$H,7,0),0)</f>
        <v>0</v>
      </c>
      <c r="G18289" s="34" t="n">
        <f aca="false">SUMIFS('12.326ana'!$C:$C,'12.326ana'!$M:$M,redes!A18289)</f>
        <v>0</v>
      </c>
    </row>
    <row r="18290" customFormat="false" ht="14.4" hidden="true" customHeight="false" outlineLevel="0" collapsed="false">
      <c r="A18290" s="34" t="n">
        <v>48237423000156</v>
      </c>
      <c r="B18290" s="34" t="s">
        <v>33369</v>
      </c>
      <c r="C18290" s="34" t="s">
        <v>77</v>
      </c>
      <c r="E18290" s="30" t="s">
        <v>33370</v>
      </c>
      <c r="F18290" s="34" t="n">
        <f aca="false">IFERROR(VLOOKUP($A18290,'319'!$B:$H,7,0),0)</f>
        <v>0</v>
      </c>
      <c r="G18290" s="34" t="n">
        <f aca="false">SUMIFS('12.326ana'!$C:$C,'12.326ana'!$M:$M,redes!A18290)</f>
        <v>0</v>
      </c>
    </row>
    <row r="18291" customFormat="false" ht="14.4" hidden="true" customHeight="false" outlineLevel="0" collapsed="false">
      <c r="A18291" s="34" t="n">
        <v>48239664000134</v>
      </c>
      <c r="B18291" s="34" t="s">
        <v>33371</v>
      </c>
      <c r="C18291" s="34" t="s">
        <v>473</v>
      </c>
      <c r="E18291" s="30" t="s">
        <v>33372</v>
      </c>
      <c r="F18291" s="34" t="n">
        <f aca="false">IFERROR(VLOOKUP($A18291,'319'!$B:$H,7,0),0)</f>
        <v>0</v>
      </c>
      <c r="G18291" s="34" t="n">
        <f aca="false">SUMIFS('12.326ana'!$C:$C,'12.326ana'!$M:$M,redes!A18291)</f>
        <v>0</v>
      </c>
    </row>
    <row r="18292" customFormat="false" ht="14.4" hidden="true" customHeight="false" outlineLevel="0" collapsed="false">
      <c r="A18292" s="34" t="n">
        <v>48278461000157</v>
      </c>
      <c r="B18292" s="34" t="s">
        <v>33373</v>
      </c>
      <c r="C18292" s="34" t="s">
        <v>107</v>
      </c>
      <c r="E18292" s="30" t="s">
        <v>33374</v>
      </c>
      <c r="F18292" s="34" t="n">
        <f aca="false">IFERROR(VLOOKUP($A18292,'319'!$B:$H,7,0),0)</f>
        <v>0</v>
      </c>
      <c r="G18292" s="34" t="n">
        <f aca="false">SUMIFS('12.326ana'!$C:$C,'12.326ana'!$M:$M,redes!A18292)</f>
        <v>0</v>
      </c>
    </row>
    <row r="18293" customFormat="false" ht="14.4" hidden="true" customHeight="false" outlineLevel="0" collapsed="false">
      <c r="A18293" s="34" t="n">
        <v>48279511000110</v>
      </c>
      <c r="B18293" s="34" t="s">
        <v>33375</v>
      </c>
      <c r="C18293" s="34" t="s">
        <v>107</v>
      </c>
      <c r="E18293" s="30" t="s">
        <v>33376</v>
      </c>
      <c r="F18293" s="34" t="n">
        <f aca="false">IFERROR(VLOOKUP($A18293,'319'!$B:$H,7,0),0)</f>
        <v>0</v>
      </c>
      <c r="G18293" s="34" t="n">
        <f aca="false">SUMIFS('12.326ana'!$C:$C,'12.326ana'!$M:$M,redes!A18293)</f>
        <v>0</v>
      </c>
    </row>
    <row r="18294" customFormat="false" ht="14.4" hidden="true" customHeight="false" outlineLevel="0" collapsed="false">
      <c r="A18294" s="34" t="n">
        <v>48303558000172</v>
      </c>
      <c r="B18294" s="34" t="s">
        <v>33377</v>
      </c>
      <c r="C18294" s="34" t="s">
        <v>77</v>
      </c>
      <c r="E18294" s="30" t="s">
        <v>33378</v>
      </c>
      <c r="F18294" s="34" t="n">
        <f aca="false">IFERROR(VLOOKUP($A18294,'319'!$B:$H,7,0),0)</f>
        <v>572.41</v>
      </c>
      <c r="G18294" s="34" t="n">
        <f aca="false">SUMIFS('12.326ana'!$C:$C,'12.326ana'!$M:$M,redes!A18294)</f>
        <v>0</v>
      </c>
    </row>
    <row r="18295" customFormat="false" ht="14.4" hidden="true" customHeight="false" outlineLevel="0" collapsed="false">
      <c r="A18295" s="34" t="n">
        <v>48315092000125</v>
      </c>
      <c r="B18295" s="34" t="s">
        <v>1170</v>
      </c>
      <c r="C18295" s="34" t="s">
        <v>89</v>
      </c>
      <c r="E18295" s="30" t="s">
        <v>28413</v>
      </c>
      <c r="F18295" s="34" t="n">
        <f aca="false">IFERROR(VLOOKUP($A18295,'319'!$B:$H,7,0),0)</f>
        <v>397.92</v>
      </c>
      <c r="G18295" s="34" t="n">
        <f aca="false">SUMIFS('12.326ana'!$C:$C,'12.326ana'!$M:$M,redes!A18295)</f>
        <v>0</v>
      </c>
    </row>
    <row r="18296" customFormat="false" ht="14.4" hidden="true" customHeight="false" outlineLevel="0" collapsed="false">
      <c r="A18296" s="34" t="n">
        <v>48324416000191</v>
      </c>
      <c r="B18296" s="34" t="s">
        <v>33379</v>
      </c>
      <c r="C18296" s="34" t="s">
        <v>77</v>
      </c>
      <c r="E18296" s="30" t="s">
        <v>33380</v>
      </c>
      <c r="F18296" s="34" t="n">
        <f aca="false">IFERROR(VLOOKUP($A18296,'319'!$B:$H,7,0),0)</f>
        <v>0</v>
      </c>
      <c r="G18296" s="34" t="n">
        <f aca="false">SUMIFS('12.326ana'!$C:$C,'12.326ana'!$M:$M,redes!A18296)</f>
        <v>0</v>
      </c>
    </row>
    <row r="18297" customFormat="false" ht="14.4" hidden="true" customHeight="false" outlineLevel="0" collapsed="false">
      <c r="A18297" s="34" t="n">
        <v>48337648000184</v>
      </c>
      <c r="B18297" s="34" t="s">
        <v>33381</v>
      </c>
      <c r="C18297" s="34" t="s">
        <v>139</v>
      </c>
      <c r="E18297" s="30" t="s">
        <v>33382</v>
      </c>
      <c r="F18297" s="34" t="n">
        <f aca="false">IFERROR(VLOOKUP($A18297,'319'!$B:$H,7,0),0)</f>
        <v>0</v>
      </c>
      <c r="G18297" s="34" t="n">
        <f aca="false">SUMIFS('12.326ana'!$C:$C,'12.326ana'!$M:$M,redes!A18297)</f>
        <v>0</v>
      </c>
    </row>
    <row r="18298" customFormat="false" ht="14.4" hidden="true" customHeight="false" outlineLevel="0" collapsed="false">
      <c r="A18298" s="34" t="n">
        <v>48353344000100</v>
      </c>
      <c r="B18298" s="34" t="s">
        <v>33383</v>
      </c>
      <c r="C18298" s="34" t="s">
        <v>77</v>
      </c>
      <c r="E18298" s="30" t="s">
        <v>32236</v>
      </c>
      <c r="F18298" s="34" t="n">
        <f aca="false">IFERROR(VLOOKUP($A18298,'319'!$B:$H,7,0),0)</f>
        <v>0</v>
      </c>
      <c r="G18298" s="34" t="n">
        <f aca="false">SUMIFS('12.326ana'!$C:$C,'12.326ana'!$M:$M,redes!A18298)</f>
        <v>0</v>
      </c>
    </row>
    <row r="18299" customFormat="false" ht="14.4" hidden="true" customHeight="false" outlineLevel="0" collapsed="false">
      <c r="A18299" s="34" t="n">
        <v>48353801000167</v>
      </c>
      <c r="B18299" s="34" t="s">
        <v>33384</v>
      </c>
      <c r="C18299" s="34" t="s">
        <v>448</v>
      </c>
      <c r="E18299" s="30" t="s">
        <v>33385</v>
      </c>
      <c r="F18299" s="34" t="n">
        <f aca="false">IFERROR(VLOOKUP($A18299,'319'!$B:$H,7,0),0)</f>
        <v>0</v>
      </c>
      <c r="G18299" s="34" t="n">
        <f aca="false">SUMIFS('12.326ana'!$C:$C,'12.326ana'!$M:$M,redes!A18299)</f>
        <v>0</v>
      </c>
    </row>
    <row r="18300" customFormat="false" ht="14.4" hidden="true" customHeight="false" outlineLevel="0" collapsed="false">
      <c r="A18300" s="34" t="n">
        <v>48359753000114</v>
      </c>
      <c r="B18300" s="34" t="s">
        <v>33386</v>
      </c>
      <c r="C18300" s="34" t="s">
        <v>107</v>
      </c>
      <c r="E18300" s="30" t="s">
        <v>33387</v>
      </c>
      <c r="F18300" s="34" t="n">
        <f aca="false">IFERROR(VLOOKUP($A18300,'319'!$B:$H,7,0),0)</f>
        <v>0</v>
      </c>
      <c r="G18300" s="34" t="n">
        <f aca="false">SUMIFS('12.326ana'!$C:$C,'12.326ana'!$M:$M,redes!A18300)</f>
        <v>0</v>
      </c>
    </row>
    <row r="18301" customFormat="false" ht="14.4" hidden="true" customHeight="false" outlineLevel="0" collapsed="false">
      <c r="A18301" s="34" t="n">
        <v>48362573000191</v>
      </c>
      <c r="B18301" s="34" t="s">
        <v>33388</v>
      </c>
      <c r="C18301" s="34" t="s">
        <v>631</v>
      </c>
      <c r="E18301" s="30" t="s">
        <v>33389</v>
      </c>
      <c r="F18301" s="34" t="n">
        <f aca="false">IFERROR(VLOOKUP($A18301,'319'!$B:$H,7,0),0)</f>
        <v>0</v>
      </c>
      <c r="G18301" s="34" t="n">
        <f aca="false">SUMIFS('12.326ana'!$C:$C,'12.326ana'!$M:$M,redes!A18301)</f>
        <v>0</v>
      </c>
    </row>
    <row r="18302" customFormat="false" ht="14.4" hidden="true" customHeight="false" outlineLevel="0" collapsed="false">
      <c r="A18302" s="34" t="n">
        <v>48364005000120</v>
      </c>
      <c r="B18302" s="34" t="s">
        <v>33390</v>
      </c>
      <c r="C18302" s="34" t="s">
        <v>77</v>
      </c>
      <c r="E18302" s="30" t="s">
        <v>33391</v>
      </c>
      <c r="F18302" s="34" t="n">
        <f aca="false">IFERROR(VLOOKUP($A18302,'319'!$B:$H,7,0),0)</f>
        <v>0</v>
      </c>
      <c r="G18302" s="34" t="n">
        <f aca="false">SUMIFS('12.326ana'!$C:$C,'12.326ana'!$M:$M,redes!A18302)</f>
        <v>0</v>
      </c>
    </row>
    <row r="18303" customFormat="false" ht="14.4" hidden="true" customHeight="false" outlineLevel="0" collapsed="false">
      <c r="A18303" s="34" t="n">
        <v>48375717000144</v>
      </c>
      <c r="B18303" s="34" t="s">
        <v>33392</v>
      </c>
      <c r="C18303" s="34" t="s">
        <v>562</v>
      </c>
      <c r="E18303" s="30" t="s">
        <v>33393</v>
      </c>
      <c r="F18303" s="34" t="n">
        <f aca="false">IFERROR(VLOOKUP($A18303,'319'!$B:$H,7,0),0)</f>
        <v>0</v>
      </c>
      <c r="G18303" s="34" t="n">
        <f aca="false">SUMIFS('12.326ana'!$C:$C,'12.326ana'!$M:$M,redes!A18303)</f>
        <v>0</v>
      </c>
    </row>
    <row r="18304" customFormat="false" ht="14.4" hidden="true" customHeight="false" outlineLevel="0" collapsed="false">
      <c r="A18304" s="34" t="n">
        <v>48384454000130</v>
      </c>
      <c r="B18304" s="34" t="s">
        <v>33394</v>
      </c>
      <c r="C18304" s="34" t="s">
        <v>77</v>
      </c>
      <c r="E18304" s="30" t="s">
        <v>33395</v>
      </c>
      <c r="F18304" s="34" t="n">
        <f aca="false">IFERROR(VLOOKUP($A18304,'319'!$B:$H,7,0),0)</f>
        <v>0</v>
      </c>
      <c r="G18304" s="34" t="n">
        <f aca="false">SUMIFS('12.326ana'!$C:$C,'12.326ana'!$M:$M,redes!A18304)</f>
        <v>0</v>
      </c>
    </row>
    <row r="18305" customFormat="false" ht="14.4" hidden="true" customHeight="false" outlineLevel="0" collapsed="false">
      <c r="A18305" s="34" t="n">
        <v>48389406000134</v>
      </c>
      <c r="B18305" s="34" t="s">
        <v>33396</v>
      </c>
      <c r="C18305" s="34" t="s">
        <v>77</v>
      </c>
      <c r="E18305" s="30" t="s">
        <v>33397</v>
      </c>
      <c r="F18305" s="34" t="n">
        <f aca="false">IFERROR(VLOOKUP($A18305,'319'!$B:$H,7,0),0)</f>
        <v>0</v>
      </c>
      <c r="G18305" s="34" t="n">
        <f aca="false">SUMIFS('12.326ana'!$C:$C,'12.326ana'!$M:$M,redes!A18305)</f>
        <v>0</v>
      </c>
    </row>
    <row r="18306" customFormat="false" ht="14.4" hidden="true" customHeight="false" outlineLevel="0" collapsed="false">
      <c r="A18306" s="34" t="n">
        <v>48424316000137</v>
      </c>
      <c r="B18306" s="34" t="s">
        <v>33398</v>
      </c>
      <c r="C18306" s="34" t="s">
        <v>328</v>
      </c>
      <c r="E18306" s="30" t="s">
        <v>33399</v>
      </c>
      <c r="F18306" s="34" t="n">
        <f aca="false">IFERROR(VLOOKUP($A18306,'319'!$B:$H,7,0),0)</f>
        <v>0</v>
      </c>
      <c r="G18306" s="34" t="n">
        <f aca="false">SUMIFS('12.326ana'!$C:$C,'12.326ana'!$M:$M,redes!A18306)</f>
        <v>0</v>
      </c>
    </row>
    <row r="18307" customFormat="false" ht="14.4" hidden="true" customHeight="false" outlineLevel="0" collapsed="false">
      <c r="A18307" s="34" t="n">
        <v>48434639000101</v>
      </c>
      <c r="B18307" s="34" t="s">
        <v>33400</v>
      </c>
      <c r="C18307" s="34" t="s">
        <v>77</v>
      </c>
      <c r="E18307" s="30" t="s">
        <v>33401</v>
      </c>
      <c r="F18307" s="34" t="n">
        <f aca="false">IFERROR(VLOOKUP($A18307,'319'!$B:$H,7,0),0)</f>
        <v>0</v>
      </c>
      <c r="G18307" s="34" t="n">
        <f aca="false">SUMIFS('12.326ana'!$C:$C,'12.326ana'!$M:$M,redes!A18307)</f>
        <v>0</v>
      </c>
    </row>
    <row r="18308" customFormat="false" ht="14.4" hidden="true" customHeight="false" outlineLevel="0" collapsed="false">
      <c r="A18308" s="34" t="n">
        <v>48466309000106</v>
      </c>
      <c r="B18308" s="34" t="s">
        <v>33402</v>
      </c>
      <c r="C18308" s="34" t="s">
        <v>77</v>
      </c>
      <c r="E18308" s="30" t="s">
        <v>33402</v>
      </c>
      <c r="F18308" s="34" t="n">
        <f aca="false">IFERROR(VLOOKUP($A18308,'319'!$B:$H,7,0),0)</f>
        <v>0</v>
      </c>
      <c r="G18308" s="34" t="n">
        <f aca="false">SUMIFS('12.326ana'!$C:$C,'12.326ana'!$M:$M,redes!A18308)</f>
        <v>0</v>
      </c>
    </row>
    <row r="18309" customFormat="false" ht="14.4" hidden="true" customHeight="false" outlineLevel="0" collapsed="false">
      <c r="A18309" s="34" t="n">
        <v>48469600000120</v>
      </c>
      <c r="B18309" s="34" t="s">
        <v>33403</v>
      </c>
      <c r="C18309" s="34" t="s">
        <v>336</v>
      </c>
      <c r="E18309" s="30" t="s">
        <v>33404</v>
      </c>
      <c r="F18309" s="34" t="n">
        <f aca="false">IFERROR(VLOOKUP($A18309,'319'!$B:$H,7,0),0)</f>
        <v>-66.26</v>
      </c>
      <c r="G18309" s="34" t="n">
        <f aca="false">SUMIFS('12.326ana'!$C:$C,'12.326ana'!$M:$M,redes!A18309)</f>
        <v>0</v>
      </c>
    </row>
    <row r="18310" customFormat="false" ht="14.4" hidden="true" customHeight="false" outlineLevel="0" collapsed="false">
      <c r="A18310" s="34" t="n">
        <v>48470848000100</v>
      </c>
      <c r="B18310" s="34" t="s">
        <v>33405</v>
      </c>
      <c r="C18310" s="34" t="s">
        <v>967</v>
      </c>
      <c r="E18310" s="30" t="s">
        <v>3763</v>
      </c>
      <c r="F18310" s="34" t="n">
        <f aca="false">IFERROR(VLOOKUP($A18310,'319'!$B:$H,7,0),0)</f>
        <v>0</v>
      </c>
      <c r="G18310" s="34" t="n">
        <f aca="false">SUMIFS('12.326ana'!$C:$C,'12.326ana'!$M:$M,redes!A18310)</f>
        <v>0</v>
      </c>
    </row>
    <row r="18311" customFormat="false" ht="14.4" hidden="true" customHeight="false" outlineLevel="0" collapsed="false">
      <c r="A18311" s="34" t="n">
        <v>48472194000154</v>
      </c>
      <c r="B18311" s="34" t="s">
        <v>33406</v>
      </c>
      <c r="C18311" s="34" t="s">
        <v>197</v>
      </c>
      <c r="E18311" s="30" t="s">
        <v>33407</v>
      </c>
      <c r="F18311" s="34" t="n">
        <f aca="false">IFERROR(VLOOKUP($A18311,'319'!$B:$H,7,0),0)</f>
        <v>0</v>
      </c>
      <c r="G18311" s="34" t="n">
        <f aca="false">SUMIFS('12.326ana'!$C:$C,'12.326ana'!$M:$M,redes!A18311)</f>
        <v>0</v>
      </c>
    </row>
    <row r="18312" customFormat="false" ht="14.4" hidden="true" customHeight="false" outlineLevel="0" collapsed="false">
      <c r="A18312" s="34" t="n">
        <v>48521622000191</v>
      </c>
      <c r="B18312" s="34" t="s">
        <v>33408</v>
      </c>
      <c r="C18312" s="34" t="s">
        <v>680</v>
      </c>
      <c r="E18312" s="30" t="s">
        <v>33409</v>
      </c>
      <c r="F18312" s="34" t="n">
        <f aca="false">IFERROR(VLOOKUP($A18312,'319'!$B:$H,7,0),0)</f>
        <v>0</v>
      </c>
      <c r="G18312" s="34" t="n">
        <f aca="false">SUMIFS('12.326ana'!$C:$C,'12.326ana'!$M:$M,redes!A18312)</f>
        <v>0</v>
      </c>
    </row>
    <row r="18313" customFormat="false" ht="14.4" hidden="true" customHeight="false" outlineLevel="0" collapsed="false">
      <c r="A18313" s="34" t="n">
        <v>48560149000151</v>
      </c>
      <c r="B18313" s="34" t="s">
        <v>33410</v>
      </c>
      <c r="C18313" s="34" t="s">
        <v>213</v>
      </c>
      <c r="E18313" s="30" t="s">
        <v>33411</v>
      </c>
      <c r="F18313" s="34" t="n">
        <f aca="false">IFERROR(VLOOKUP($A18313,'319'!$B:$H,7,0),0)</f>
        <v>0</v>
      </c>
      <c r="G18313" s="34" t="n">
        <f aca="false">SUMIFS('12.326ana'!$C:$C,'12.326ana'!$M:$M,redes!A18313)</f>
        <v>0</v>
      </c>
    </row>
    <row r="18314" customFormat="false" ht="14.4" hidden="true" customHeight="false" outlineLevel="0" collapsed="false">
      <c r="A18314" s="34" t="n">
        <v>48594479000168</v>
      </c>
      <c r="B18314" s="34" t="s">
        <v>33412</v>
      </c>
      <c r="C18314" s="34" t="s">
        <v>631</v>
      </c>
      <c r="E18314" s="30" t="s">
        <v>33413</v>
      </c>
      <c r="F18314" s="34" t="n">
        <f aca="false">IFERROR(VLOOKUP($A18314,'319'!$B:$H,7,0),0)</f>
        <v>0</v>
      </c>
      <c r="G18314" s="34" t="n">
        <f aca="false">SUMIFS('12.326ana'!$C:$C,'12.326ana'!$M:$M,redes!A18314)</f>
        <v>0</v>
      </c>
    </row>
    <row r="18315" customFormat="false" ht="14.4" hidden="true" customHeight="false" outlineLevel="0" collapsed="false">
      <c r="A18315" s="34" t="n">
        <v>48601014000197</v>
      </c>
      <c r="B18315" s="34" t="s">
        <v>33414</v>
      </c>
      <c r="C18315" s="34" t="s">
        <v>77</v>
      </c>
      <c r="E18315" s="30" t="s">
        <v>33414</v>
      </c>
      <c r="F18315" s="34" t="n">
        <f aca="false">IFERROR(VLOOKUP($A18315,'319'!$B:$H,7,0),0)</f>
        <v>0</v>
      </c>
      <c r="G18315" s="34" t="n">
        <f aca="false">SUMIFS('12.326ana'!$C:$C,'12.326ana'!$M:$M,redes!A18315)</f>
        <v>0</v>
      </c>
    </row>
    <row r="18316" customFormat="false" ht="14.4" hidden="true" customHeight="false" outlineLevel="0" collapsed="false">
      <c r="A18316" s="34" t="n">
        <v>48609947000120</v>
      </c>
      <c r="B18316" s="34" t="s">
        <v>33415</v>
      </c>
      <c r="C18316" s="34" t="s">
        <v>77</v>
      </c>
      <c r="E18316" s="30" t="s">
        <v>33416</v>
      </c>
      <c r="F18316" s="34" t="n">
        <f aca="false">IFERROR(VLOOKUP($A18316,'319'!$B:$H,7,0),0)</f>
        <v>0</v>
      </c>
      <c r="G18316" s="34" t="n">
        <f aca="false">SUMIFS('12.326ana'!$C:$C,'12.326ana'!$M:$M,redes!A18316)</f>
        <v>0</v>
      </c>
    </row>
    <row r="18317" customFormat="false" ht="14.4" hidden="true" customHeight="false" outlineLevel="0" collapsed="false">
      <c r="A18317" s="34" t="n">
        <v>48622237000130</v>
      </c>
      <c r="B18317" s="34" t="s">
        <v>33417</v>
      </c>
      <c r="C18317" s="34" t="s">
        <v>33418</v>
      </c>
      <c r="E18317" s="30"/>
      <c r="F18317" s="34" t="n">
        <f aca="false">IFERROR(VLOOKUP($A18317,'319'!$B:$H,7,0),0)</f>
        <v>0</v>
      </c>
      <c r="G18317" s="34" t="n">
        <f aca="false">SUMIFS('12.326ana'!$C:$C,'12.326ana'!$M:$M,redes!A18317)</f>
        <v>0</v>
      </c>
    </row>
    <row r="18318" customFormat="false" ht="14.4" hidden="true" customHeight="false" outlineLevel="0" collapsed="false">
      <c r="A18318" s="34" t="n">
        <v>48629237000162</v>
      </c>
      <c r="B18318" s="34" t="s">
        <v>33419</v>
      </c>
      <c r="C18318" s="34" t="s">
        <v>473</v>
      </c>
      <c r="E18318" s="30" t="s">
        <v>33420</v>
      </c>
      <c r="F18318" s="34" t="n">
        <f aca="false">IFERROR(VLOOKUP($A18318,'319'!$B:$H,7,0),0)</f>
        <v>0</v>
      </c>
      <c r="G18318" s="34" t="n">
        <f aca="false">SUMIFS('12.326ana'!$C:$C,'12.326ana'!$M:$M,redes!A18318)</f>
        <v>0</v>
      </c>
    </row>
    <row r="18319" customFormat="false" ht="14.4" hidden="true" customHeight="false" outlineLevel="0" collapsed="false">
      <c r="A18319" s="34" t="n">
        <v>48657758000123</v>
      </c>
      <c r="B18319" s="34" t="s">
        <v>33421</v>
      </c>
      <c r="C18319" s="34" t="s">
        <v>604</v>
      </c>
      <c r="E18319" s="30" t="s">
        <v>9302</v>
      </c>
      <c r="F18319" s="34" t="n">
        <f aca="false">IFERROR(VLOOKUP($A18319,'319'!$B:$H,7,0),0)</f>
        <v>0</v>
      </c>
      <c r="G18319" s="34" t="n">
        <f aca="false">SUMIFS('12.326ana'!$C:$C,'12.326ana'!$M:$M,redes!A18319)</f>
        <v>0</v>
      </c>
    </row>
    <row r="18320" customFormat="false" ht="14.4" hidden="true" customHeight="false" outlineLevel="0" collapsed="false">
      <c r="A18320" s="34" t="n">
        <v>48678342000191</v>
      </c>
      <c r="B18320" s="34" t="s">
        <v>1777</v>
      </c>
      <c r="C18320" s="34" t="s">
        <v>103</v>
      </c>
      <c r="E18320" s="30" t="s">
        <v>33422</v>
      </c>
      <c r="F18320" s="34" t="n">
        <f aca="false">IFERROR(VLOOKUP($A18320,'319'!$B:$H,7,0),0)</f>
        <v>-97.53</v>
      </c>
      <c r="G18320" s="34" t="n">
        <f aca="false">SUMIFS('12.326ana'!$C:$C,'12.326ana'!$M:$M,redes!A18320)</f>
        <v>0</v>
      </c>
    </row>
    <row r="18321" customFormat="false" ht="14.4" hidden="true" customHeight="false" outlineLevel="0" collapsed="false">
      <c r="A18321" s="34" t="n">
        <v>48698319000169</v>
      </c>
      <c r="B18321" s="34" t="s">
        <v>33423</v>
      </c>
      <c r="C18321" s="34" t="s">
        <v>197</v>
      </c>
      <c r="E18321" s="30" t="s">
        <v>33424</v>
      </c>
      <c r="F18321" s="34" t="n">
        <f aca="false">IFERROR(VLOOKUP($A18321,'319'!$B:$H,7,0),0)</f>
        <v>0</v>
      </c>
      <c r="G18321" s="34" t="n">
        <f aca="false">SUMIFS('12.326ana'!$C:$C,'12.326ana'!$M:$M,redes!A18321)</f>
        <v>0</v>
      </c>
    </row>
    <row r="18322" customFormat="false" ht="14.4" hidden="true" customHeight="false" outlineLevel="0" collapsed="false">
      <c r="A18322" s="34" t="n">
        <v>48701592000103</v>
      </c>
      <c r="B18322" s="34" t="s">
        <v>33425</v>
      </c>
      <c r="C18322" s="34" t="s">
        <v>77</v>
      </c>
      <c r="E18322" s="30" t="s">
        <v>24923</v>
      </c>
      <c r="F18322" s="34" t="n">
        <f aca="false">IFERROR(VLOOKUP($A18322,'319'!$B:$H,7,0),0)</f>
        <v>0</v>
      </c>
      <c r="G18322" s="34" t="n">
        <f aca="false">SUMIFS('12.326ana'!$C:$C,'12.326ana'!$M:$M,redes!A18322)</f>
        <v>0</v>
      </c>
    </row>
    <row r="18323" customFormat="false" ht="14.4" hidden="true" customHeight="false" outlineLevel="0" collapsed="false">
      <c r="A18323" s="34" t="n">
        <v>48719297000176</v>
      </c>
      <c r="B18323" s="34" t="s">
        <v>4617</v>
      </c>
      <c r="C18323" s="34" t="s">
        <v>473</v>
      </c>
      <c r="E18323" s="30" t="s">
        <v>33426</v>
      </c>
      <c r="F18323" s="34" t="n">
        <f aca="false">IFERROR(VLOOKUP($A18323,'319'!$B:$H,7,0),0)</f>
        <v>0</v>
      </c>
      <c r="G18323" s="34" t="n">
        <f aca="false">SUMIFS('12.326ana'!$C:$C,'12.326ana'!$M:$M,redes!A18323)</f>
        <v>0</v>
      </c>
    </row>
    <row r="18324" customFormat="false" ht="14.4" hidden="true" customHeight="false" outlineLevel="0" collapsed="false">
      <c r="A18324" s="34" t="n">
        <v>48731321000192</v>
      </c>
      <c r="B18324" s="34" t="s">
        <v>33427</v>
      </c>
      <c r="C18324" s="34" t="s">
        <v>631</v>
      </c>
      <c r="E18324" s="30" t="s">
        <v>33428</v>
      </c>
      <c r="F18324" s="34" t="n">
        <f aca="false">IFERROR(VLOOKUP($A18324,'319'!$B:$H,7,0),0)</f>
        <v>0</v>
      </c>
      <c r="G18324" s="34" t="n">
        <f aca="false">SUMIFS('12.326ana'!$C:$C,'12.326ana'!$M:$M,redes!A18324)</f>
        <v>0</v>
      </c>
    </row>
    <row r="18325" customFormat="false" ht="14.4" hidden="true" customHeight="false" outlineLevel="0" collapsed="false">
      <c r="A18325" s="34" t="n">
        <v>48738403000169</v>
      </c>
      <c r="B18325" s="34" t="s">
        <v>33429</v>
      </c>
      <c r="C18325" s="34" t="s">
        <v>631</v>
      </c>
      <c r="E18325" s="30" t="s">
        <v>33430</v>
      </c>
      <c r="F18325" s="34" t="n">
        <f aca="false">IFERROR(VLOOKUP($A18325,'319'!$B:$H,7,0),0)</f>
        <v>0</v>
      </c>
      <c r="G18325" s="34" t="n">
        <f aca="false">SUMIFS('12.326ana'!$C:$C,'12.326ana'!$M:$M,redes!A18325)</f>
        <v>0</v>
      </c>
    </row>
    <row r="18326" customFormat="false" ht="14.4" hidden="true" customHeight="false" outlineLevel="0" collapsed="false">
      <c r="A18326" s="34" t="n">
        <v>48755645000160</v>
      </c>
      <c r="B18326" s="34" t="s">
        <v>33431</v>
      </c>
      <c r="C18326" s="34" t="s">
        <v>129</v>
      </c>
      <c r="E18326" s="30" t="s">
        <v>33432</v>
      </c>
      <c r="F18326" s="34" t="n">
        <f aca="false">IFERROR(VLOOKUP($A18326,'319'!$B:$H,7,0),0)</f>
        <v>0</v>
      </c>
      <c r="G18326" s="34" t="n">
        <f aca="false">SUMIFS('12.326ana'!$C:$C,'12.326ana'!$M:$M,redes!A18326)</f>
        <v>0</v>
      </c>
    </row>
    <row r="18327" customFormat="false" ht="14.4" hidden="true" customHeight="false" outlineLevel="0" collapsed="false">
      <c r="A18327" s="34" t="n">
        <v>48755992000193</v>
      </c>
      <c r="B18327" s="34" t="s">
        <v>33433</v>
      </c>
      <c r="C18327" s="34" t="s">
        <v>77</v>
      </c>
      <c r="E18327" s="30" t="s">
        <v>33434</v>
      </c>
      <c r="F18327" s="34" t="n">
        <f aca="false">IFERROR(VLOOKUP($A18327,'319'!$B:$H,7,0),0)</f>
        <v>0</v>
      </c>
      <c r="G18327" s="34" t="n">
        <f aca="false">SUMIFS('12.326ana'!$C:$C,'12.326ana'!$M:$M,redes!A18327)</f>
        <v>0</v>
      </c>
    </row>
    <row r="18328" customFormat="false" ht="14.4" hidden="true" customHeight="false" outlineLevel="0" collapsed="false">
      <c r="A18328" s="34" t="n">
        <v>48770896000114</v>
      </c>
      <c r="B18328" s="34" t="s">
        <v>33435</v>
      </c>
      <c r="C18328" s="34" t="s">
        <v>77</v>
      </c>
      <c r="E18328" s="30" t="s">
        <v>33436</v>
      </c>
      <c r="F18328" s="34" t="n">
        <f aca="false">IFERROR(VLOOKUP($A18328,'319'!$B:$H,7,0),0)</f>
        <v>0</v>
      </c>
      <c r="G18328" s="34" t="n">
        <f aca="false">SUMIFS('12.326ana'!$C:$C,'12.326ana'!$M:$M,redes!A18328)</f>
        <v>0</v>
      </c>
    </row>
    <row r="18329" customFormat="false" ht="14.4" hidden="true" customHeight="false" outlineLevel="0" collapsed="false">
      <c r="A18329" s="34" t="n">
        <v>48805695000105</v>
      </c>
      <c r="B18329" s="34" t="s">
        <v>33437</v>
      </c>
      <c r="C18329" s="34" t="s">
        <v>77</v>
      </c>
      <c r="E18329" s="30" t="s">
        <v>33438</v>
      </c>
      <c r="F18329" s="34" t="n">
        <f aca="false">IFERROR(VLOOKUP($A18329,'319'!$B:$H,7,0),0)</f>
        <v>0</v>
      </c>
      <c r="G18329" s="34" t="n">
        <f aca="false">SUMIFS('12.326ana'!$C:$C,'12.326ana'!$M:$M,redes!A18329)</f>
        <v>0</v>
      </c>
    </row>
    <row r="18330" customFormat="false" ht="14.4" hidden="true" customHeight="false" outlineLevel="0" collapsed="false">
      <c r="A18330" s="34" t="n">
        <v>48814257000103</v>
      </c>
      <c r="B18330" s="34" t="s">
        <v>33439</v>
      </c>
      <c r="C18330" s="34" t="s">
        <v>737</v>
      </c>
      <c r="E18330" s="30" t="s">
        <v>33440</v>
      </c>
      <c r="F18330" s="34" t="n">
        <f aca="false">IFERROR(VLOOKUP($A18330,'319'!$B:$H,7,0),0)</f>
        <v>-119.54</v>
      </c>
      <c r="G18330" s="34" t="n">
        <f aca="false">SUMIFS('12.326ana'!$C:$C,'12.326ana'!$M:$M,redes!A18330)</f>
        <v>0</v>
      </c>
    </row>
    <row r="18331" customFormat="false" ht="14.4" hidden="true" customHeight="false" outlineLevel="0" collapsed="false">
      <c r="A18331" s="34" t="n">
        <v>48815407000101</v>
      </c>
      <c r="B18331" s="34" t="s">
        <v>33441</v>
      </c>
      <c r="C18331" s="34" t="s">
        <v>77</v>
      </c>
      <c r="E18331" s="30" t="s">
        <v>33442</v>
      </c>
      <c r="F18331" s="34" t="n">
        <f aca="false">IFERROR(VLOOKUP($A18331,'319'!$B:$H,7,0),0)</f>
        <v>0</v>
      </c>
      <c r="G18331" s="34" t="n">
        <f aca="false">SUMIFS('12.326ana'!$C:$C,'12.326ana'!$M:$M,redes!A18331)</f>
        <v>0</v>
      </c>
    </row>
    <row r="18332" customFormat="false" ht="14.4" hidden="true" customHeight="false" outlineLevel="0" collapsed="false">
      <c r="A18332" s="35" t="n">
        <v>48841117000124</v>
      </c>
      <c r="B18332" s="34" t="s">
        <v>33443</v>
      </c>
      <c r="C18332" s="34" t="s">
        <v>77</v>
      </c>
      <c r="E18332" s="30" t="s">
        <v>33444</v>
      </c>
      <c r="F18332" s="34" t="n">
        <f aca="false">IFERROR(VLOOKUP($A18332,'319'!$B:$H,7,0),0)</f>
        <v>0</v>
      </c>
      <c r="G18332" s="34" t="n">
        <f aca="false">SUMIFS('12.326ana'!$C:$C,'12.326ana'!$M:$M,redes!A18332)</f>
        <v>0</v>
      </c>
    </row>
    <row r="18333" customFormat="false" ht="14.4" hidden="true" customHeight="false" outlineLevel="0" collapsed="false">
      <c r="A18333" s="34" t="n">
        <v>48843727000167</v>
      </c>
      <c r="B18333" s="34" t="s">
        <v>33445</v>
      </c>
      <c r="C18333" s="34" t="s">
        <v>77</v>
      </c>
      <c r="E18333" s="30" t="s">
        <v>33446</v>
      </c>
      <c r="F18333" s="34" t="n">
        <f aca="false">IFERROR(VLOOKUP($A18333,'319'!$B:$H,7,0),0)</f>
        <v>0</v>
      </c>
      <c r="G18333" s="34" t="n">
        <f aca="false">SUMIFS('12.326ana'!$C:$C,'12.326ana'!$M:$M,redes!A18333)</f>
        <v>0</v>
      </c>
    </row>
    <row r="18334" customFormat="false" ht="14.4" hidden="true" customHeight="false" outlineLevel="0" collapsed="false">
      <c r="A18334" s="34" t="n">
        <v>48865626000197</v>
      </c>
      <c r="B18334" s="34" t="s">
        <v>33447</v>
      </c>
      <c r="C18334" s="34" t="s">
        <v>77</v>
      </c>
      <c r="E18334" s="30" t="s">
        <v>33447</v>
      </c>
      <c r="F18334" s="34" t="n">
        <f aca="false">IFERROR(VLOOKUP($A18334,'319'!$B:$H,7,0),0)</f>
        <v>0</v>
      </c>
      <c r="G18334" s="34" t="n">
        <f aca="false">SUMIFS('12.326ana'!$C:$C,'12.326ana'!$M:$M,redes!A18334)</f>
        <v>0</v>
      </c>
    </row>
    <row r="18335" customFormat="false" ht="14.4" hidden="true" customHeight="false" outlineLevel="0" collapsed="false">
      <c r="A18335" s="34" t="n">
        <v>48871855000114</v>
      </c>
      <c r="B18335" s="34" t="s">
        <v>33448</v>
      </c>
      <c r="C18335" s="34" t="s">
        <v>77</v>
      </c>
      <c r="E18335" s="30" t="s">
        <v>33449</v>
      </c>
      <c r="F18335" s="34" t="n">
        <f aca="false">IFERROR(VLOOKUP($A18335,'319'!$B:$H,7,0),0)</f>
        <v>0</v>
      </c>
      <c r="G18335" s="34" t="n">
        <f aca="false">SUMIFS('12.326ana'!$C:$C,'12.326ana'!$M:$M,redes!A18335)</f>
        <v>0</v>
      </c>
    </row>
    <row r="18336" customFormat="false" ht="14.4" hidden="true" customHeight="false" outlineLevel="0" collapsed="false">
      <c r="A18336" s="34" t="n">
        <v>48936368000192</v>
      </c>
      <c r="B18336" s="34" t="s">
        <v>33450</v>
      </c>
      <c r="C18336" s="34" t="s">
        <v>77</v>
      </c>
      <c r="E18336" s="30" t="s">
        <v>33451</v>
      </c>
      <c r="F18336" s="34" t="n">
        <f aca="false">IFERROR(VLOOKUP($A18336,'319'!$B:$H,7,0),0)</f>
        <v>0</v>
      </c>
      <c r="G18336" s="34" t="n">
        <f aca="false">SUMIFS('12.326ana'!$C:$C,'12.326ana'!$M:$M,redes!A18336)</f>
        <v>0</v>
      </c>
    </row>
    <row r="18337" customFormat="false" ht="14.4" hidden="true" customHeight="false" outlineLevel="0" collapsed="false">
      <c r="A18337" s="34" t="n">
        <v>48936671000195</v>
      </c>
      <c r="B18337" s="34" t="s">
        <v>33452</v>
      </c>
      <c r="C18337" s="34" t="s">
        <v>77</v>
      </c>
      <c r="E18337" s="30" t="s">
        <v>33453</v>
      </c>
      <c r="F18337" s="34" t="n">
        <f aca="false">IFERROR(VLOOKUP($A18337,'319'!$B:$H,7,0),0)</f>
        <v>0</v>
      </c>
      <c r="G18337" s="34" t="n">
        <f aca="false">SUMIFS('12.326ana'!$C:$C,'12.326ana'!$M:$M,redes!A18337)</f>
        <v>0</v>
      </c>
    </row>
    <row r="18338" customFormat="false" ht="14.4" hidden="true" customHeight="false" outlineLevel="0" collapsed="false">
      <c r="A18338" s="34" t="n">
        <v>48988953000136</v>
      </c>
      <c r="B18338" s="34" t="s">
        <v>33454</v>
      </c>
      <c r="C18338" s="34" t="s">
        <v>77</v>
      </c>
      <c r="E18338" s="30" t="s">
        <v>15662</v>
      </c>
      <c r="F18338" s="34" t="n">
        <f aca="false">IFERROR(VLOOKUP($A18338,'319'!$B:$H,7,0),0)</f>
        <v>0</v>
      </c>
      <c r="G18338" s="34" t="n">
        <f aca="false">SUMIFS('12.326ana'!$C:$C,'12.326ana'!$M:$M,redes!A18338)</f>
        <v>0</v>
      </c>
    </row>
    <row r="18339" customFormat="false" ht="14.4" hidden="true" customHeight="false" outlineLevel="0" collapsed="false">
      <c r="A18339" s="34" t="n">
        <v>49023413000180</v>
      </c>
      <c r="B18339" s="34" t="s">
        <v>33455</v>
      </c>
      <c r="C18339" s="34" t="s">
        <v>77</v>
      </c>
      <c r="E18339" s="30" t="s">
        <v>33456</v>
      </c>
      <c r="F18339" s="34" t="n">
        <f aca="false">IFERROR(VLOOKUP($A18339,'319'!$B:$H,7,0),0)</f>
        <v>0</v>
      </c>
      <c r="G18339" s="34" t="n">
        <f aca="false">SUMIFS('12.326ana'!$C:$C,'12.326ana'!$M:$M,redes!A18339)</f>
        <v>0</v>
      </c>
    </row>
    <row r="18340" customFormat="false" ht="14.4" hidden="true" customHeight="false" outlineLevel="0" collapsed="false">
      <c r="A18340" s="34" t="n">
        <v>49055053000107</v>
      </c>
      <c r="B18340" s="34" t="s">
        <v>33457</v>
      </c>
      <c r="C18340" s="34" t="s">
        <v>594</v>
      </c>
      <c r="E18340" s="30" t="s">
        <v>33458</v>
      </c>
      <c r="F18340" s="34" t="n">
        <f aca="false">IFERROR(VLOOKUP($A18340,'319'!$B:$H,7,0),0)</f>
        <v>0</v>
      </c>
      <c r="G18340" s="34" t="n">
        <f aca="false">SUMIFS('12.326ana'!$C:$C,'12.326ana'!$M:$M,redes!A18340)</f>
        <v>0</v>
      </c>
    </row>
    <row r="18341" customFormat="false" ht="14.4" hidden="true" customHeight="false" outlineLevel="0" collapsed="false">
      <c r="A18341" s="34" t="n">
        <v>49066103000143</v>
      </c>
      <c r="B18341" s="34" t="s">
        <v>33459</v>
      </c>
      <c r="C18341" s="34" t="s">
        <v>33460</v>
      </c>
      <c r="E18341" s="30" t="s">
        <v>33461</v>
      </c>
      <c r="F18341" s="34" t="n">
        <f aca="false">IFERROR(VLOOKUP($A18341,'319'!$B:$H,7,0),0)</f>
        <v>0</v>
      </c>
      <c r="G18341" s="34" t="n">
        <f aca="false">SUMIFS('12.326ana'!$C:$C,'12.326ana'!$M:$M,redes!A18341)</f>
        <v>0</v>
      </c>
    </row>
    <row r="18342" customFormat="false" ht="14.4" hidden="true" customHeight="false" outlineLevel="0" collapsed="false">
      <c r="A18342" s="35" t="n">
        <v>49082936000106</v>
      </c>
      <c r="B18342" s="34" t="s">
        <v>33462</v>
      </c>
      <c r="C18342" s="34" t="s">
        <v>12327</v>
      </c>
      <c r="E18342" s="30" t="s">
        <v>33462</v>
      </c>
      <c r="F18342" s="34" t="n">
        <f aca="false">IFERROR(VLOOKUP($A18342,'319'!$B:$H,7,0),0)</f>
        <v>0</v>
      </c>
      <c r="G18342" s="34" t="n">
        <f aca="false">SUMIFS('12.326ana'!$C:$C,'12.326ana'!$M:$M,redes!A18342)</f>
        <v>0</v>
      </c>
    </row>
    <row r="18343" customFormat="false" ht="14.4" hidden="true" customHeight="false" outlineLevel="0" collapsed="false">
      <c r="A18343" s="34" t="n">
        <v>49089225000155</v>
      </c>
      <c r="B18343" s="34" t="s">
        <v>33463</v>
      </c>
      <c r="C18343" s="34" t="s">
        <v>546</v>
      </c>
      <c r="E18343" s="30" t="s">
        <v>33463</v>
      </c>
      <c r="F18343" s="34" t="n">
        <f aca="false">IFERROR(VLOOKUP($A18343,'319'!$B:$H,7,0),0)</f>
        <v>2312.03</v>
      </c>
      <c r="G18343" s="34" t="n">
        <f aca="false">SUMIFS('12.326ana'!$C:$C,'12.326ana'!$M:$M,redes!A18343)</f>
        <v>0</v>
      </c>
    </row>
    <row r="18344" customFormat="false" ht="14.4" hidden="true" customHeight="false" outlineLevel="0" collapsed="false">
      <c r="A18344" s="34" t="n">
        <v>49096389000100</v>
      </c>
      <c r="B18344" s="34" t="s">
        <v>33464</v>
      </c>
      <c r="C18344" s="34" t="s">
        <v>139</v>
      </c>
      <c r="E18344" s="30" t="s">
        <v>33464</v>
      </c>
      <c r="F18344" s="34" t="n">
        <f aca="false">IFERROR(VLOOKUP($A18344,'319'!$B:$H,7,0),0)</f>
        <v>124.08</v>
      </c>
      <c r="G18344" s="34" t="n">
        <f aca="false">SUMIFS('12.326ana'!$C:$C,'12.326ana'!$M:$M,redes!A18344)</f>
        <v>0</v>
      </c>
    </row>
    <row r="18345" customFormat="false" ht="14.4" hidden="true" customHeight="false" outlineLevel="0" collapsed="false">
      <c r="A18345" s="34" t="n">
        <v>49101938000197</v>
      </c>
      <c r="B18345" s="34" t="s">
        <v>33465</v>
      </c>
      <c r="C18345" s="34" t="s">
        <v>77</v>
      </c>
      <c r="E18345" s="30" t="s">
        <v>33466</v>
      </c>
      <c r="F18345" s="34" t="n">
        <f aca="false">IFERROR(VLOOKUP($A18345,'319'!$B:$H,7,0),0)</f>
        <v>0</v>
      </c>
      <c r="G18345" s="34" t="n">
        <f aca="false">SUMIFS('12.326ana'!$C:$C,'12.326ana'!$M:$M,redes!A18345)</f>
        <v>0</v>
      </c>
    </row>
    <row r="18346" customFormat="false" ht="14.4" hidden="true" customHeight="false" outlineLevel="0" collapsed="false">
      <c r="A18346" s="34" t="n">
        <v>49162125000107</v>
      </c>
      <c r="B18346" s="34" t="s">
        <v>33467</v>
      </c>
      <c r="C18346" s="34" t="s">
        <v>77</v>
      </c>
      <c r="E18346" s="30" t="s">
        <v>33468</v>
      </c>
      <c r="F18346" s="34" t="n">
        <f aca="false">IFERROR(VLOOKUP($A18346,'319'!$B:$H,7,0),0)</f>
        <v>0</v>
      </c>
      <c r="G18346" s="34" t="n">
        <f aca="false">SUMIFS('12.326ana'!$C:$C,'12.326ana'!$M:$M,redes!A18346)</f>
        <v>0</v>
      </c>
    </row>
    <row r="18347" customFormat="false" ht="14.4" hidden="true" customHeight="false" outlineLevel="0" collapsed="false">
      <c r="A18347" s="34" t="n">
        <v>49173143000194</v>
      </c>
      <c r="B18347" s="34" t="s">
        <v>33469</v>
      </c>
      <c r="C18347" s="34" t="s">
        <v>342</v>
      </c>
      <c r="E18347" s="30" t="s">
        <v>3337</v>
      </c>
      <c r="F18347" s="34" t="n">
        <f aca="false">IFERROR(VLOOKUP($A18347,'319'!$B:$H,7,0),0)</f>
        <v>0</v>
      </c>
      <c r="G18347" s="34" t="n">
        <f aca="false">SUMIFS('12.326ana'!$C:$C,'12.326ana'!$M:$M,redes!A18347)</f>
        <v>0</v>
      </c>
    </row>
    <row r="18348" customFormat="false" ht="14.4" hidden="true" customHeight="false" outlineLevel="0" collapsed="false">
      <c r="A18348" s="34" t="n">
        <v>49203014000100</v>
      </c>
      <c r="B18348" s="34" t="s">
        <v>33470</v>
      </c>
      <c r="C18348" s="34" t="s">
        <v>979</v>
      </c>
      <c r="E18348" s="30" t="s">
        <v>29339</v>
      </c>
      <c r="F18348" s="34" t="n">
        <f aca="false">IFERROR(VLOOKUP($A18348,'319'!$B:$H,7,0),0)</f>
        <v>0</v>
      </c>
      <c r="G18348" s="34" t="n">
        <f aca="false">SUMIFS('12.326ana'!$C:$C,'12.326ana'!$M:$M,redes!A18348)</f>
        <v>0</v>
      </c>
    </row>
    <row r="18349" customFormat="false" ht="14.4" hidden="true" customHeight="false" outlineLevel="0" collapsed="false">
      <c r="A18349" s="34" t="n">
        <v>49206753000147</v>
      </c>
      <c r="B18349" s="34" t="s">
        <v>33471</v>
      </c>
      <c r="C18349" s="34" t="s">
        <v>77</v>
      </c>
      <c r="E18349" s="30" t="s">
        <v>33472</v>
      </c>
      <c r="F18349" s="34" t="n">
        <f aca="false">IFERROR(VLOOKUP($A18349,'319'!$B:$H,7,0),0)</f>
        <v>0</v>
      </c>
      <c r="G18349" s="34" t="n">
        <f aca="false">SUMIFS('12.326ana'!$C:$C,'12.326ana'!$M:$M,redes!A18349)</f>
        <v>0</v>
      </c>
    </row>
    <row r="18350" customFormat="false" ht="14.4" hidden="true" customHeight="false" outlineLevel="0" collapsed="false">
      <c r="A18350" s="34" t="n">
        <v>49215165000170</v>
      </c>
      <c r="B18350" s="34" t="s">
        <v>33473</v>
      </c>
      <c r="C18350" s="34" t="s">
        <v>77</v>
      </c>
      <c r="E18350" s="30" t="s">
        <v>10663</v>
      </c>
      <c r="F18350" s="34" t="n">
        <f aca="false">IFERROR(VLOOKUP($A18350,'319'!$B:$H,7,0),0)</f>
        <v>0</v>
      </c>
      <c r="G18350" s="34" t="n">
        <f aca="false">SUMIFS('12.326ana'!$C:$C,'12.326ana'!$M:$M,redes!A18350)</f>
        <v>0</v>
      </c>
    </row>
    <row r="18351" customFormat="false" ht="14.4" hidden="true" customHeight="false" outlineLevel="0" collapsed="false">
      <c r="A18351" s="34" t="n">
        <v>49299267000110</v>
      </c>
      <c r="B18351" s="34" t="s">
        <v>33474</v>
      </c>
      <c r="C18351" s="34" t="s">
        <v>213</v>
      </c>
      <c r="E18351" s="30" t="s">
        <v>6154</v>
      </c>
      <c r="F18351" s="34" t="n">
        <f aca="false">IFERROR(VLOOKUP($A18351,'319'!$B:$H,7,0),0)</f>
        <v>0</v>
      </c>
      <c r="G18351" s="34" t="n">
        <f aca="false">SUMIFS('12.326ana'!$C:$C,'12.326ana'!$M:$M,redes!A18351)</f>
        <v>0</v>
      </c>
    </row>
    <row r="18352" customFormat="false" ht="14.4" hidden="true" customHeight="false" outlineLevel="0" collapsed="false">
      <c r="A18352" s="34" t="n">
        <v>49332144000134</v>
      </c>
      <c r="B18352" s="34" t="s">
        <v>33475</v>
      </c>
      <c r="C18352" s="34" t="s">
        <v>107</v>
      </c>
      <c r="E18352" s="30" t="s">
        <v>33476</v>
      </c>
      <c r="F18352" s="34" t="n">
        <f aca="false">IFERROR(VLOOKUP($A18352,'319'!$B:$H,7,0),0)</f>
        <v>0</v>
      </c>
      <c r="G18352" s="34" t="n">
        <f aca="false">SUMIFS('12.326ana'!$C:$C,'12.326ana'!$M:$M,redes!A18352)</f>
        <v>0</v>
      </c>
    </row>
    <row r="18353" customFormat="false" ht="14.4" hidden="true" customHeight="false" outlineLevel="0" collapsed="false">
      <c r="A18353" s="34" t="n">
        <v>49352606000185</v>
      </c>
      <c r="B18353" s="34" t="s">
        <v>33477</v>
      </c>
      <c r="C18353" s="34" t="s">
        <v>77</v>
      </c>
      <c r="E18353" s="30" t="s">
        <v>33478</v>
      </c>
      <c r="F18353" s="34" t="n">
        <f aca="false">IFERROR(VLOOKUP($A18353,'319'!$B:$H,7,0),0)</f>
        <v>0</v>
      </c>
      <c r="G18353" s="34" t="n">
        <f aca="false">SUMIFS('12.326ana'!$C:$C,'12.326ana'!$M:$M,redes!A18353)</f>
        <v>0</v>
      </c>
    </row>
    <row r="18354" customFormat="false" ht="14.4" hidden="true" customHeight="false" outlineLevel="0" collapsed="false">
      <c r="A18354" s="34" t="n">
        <v>49359282000107</v>
      </c>
      <c r="B18354" s="34" t="s">
        <v>33479</v>
      </c>
      <c r="C18354" s="34" t="s">
        <v>77</v>
      </c>
      <c r="D18354" s="34" t="s">
        <v>12712</v>
      </c>
      <c r="E18354" s="30" t="s">
        <v>12713</v>
      </c>
      <c r="F18354" s="34" t="n">
        <f aca="false">IFERROR(VLOOKUP($A18354,'319'!$B:$H,7,0),0)</f>
        <v>0</v>
      </c>
      <c r="G18354" s="34" t="n">
        <f aca="false">SUMIFS('12.326ana'!$C:$C,'12.326ana'!$M:$M,redes!A18354)</f>
        <v>0</v>
      </c>
    </row>
    <row r="18355" customFormat="false" ht="14.4" hidden="true" customHeight="false" outlineLevel="0" collapsed="false">
      <c r="A18355" s="34" t="n">
        <v>49373878000161</v>
      </c>
      <c r="B18355" s="34" t="s">
        <v>33480</v>
      </c>
      <c r="C18355" s="34" t="s">
        <v>2998</v>
      </c>
      <c r="E18355" s="30" t="s">
        <v>16193</v>
      </c>
      <c r="F18355" s="34" t="n">
        <f aca="false">IFERROR(VLOOKUP($A18355,'319'!$B:$H,7,0),0)</f>
        <v>0</v>
      </c>
      <c r="G18355" s="34" t="n">
        <f aca="false">SUMIFS('12.326ana'!$C:$C,'12.326ana'!$M:$M,redes!A18355)</f>
        <v>0</v>
      </c>
    </row>
    <row r="18356" customFormat="false" ht="14.4" hidden="true" customHeight="false" outlineLevel="0" collapsed="false">
      <c r="A18356" s="34" t="n">
        <v>49402616000188</v>
      </c>
      <c r="B18356" s="34" t="s">
        <v>33481</v>
      </c>
      <c r="C18356" s="34" t="s">
        <v>139</v>
      </c>
      <c r="E18356" s="30" t="s">
        <v>33482</v>
      </c>
      <c r="F18356" s="34" t="n">
        <f aca="false">IFERROR(VLOOKUP($A18356,'319'!$B:$H,7,0),0)</f>
        <v>0</v>
      </c>
      <c r="G18356" s="34" t="n">
        <f aca="false">SUMIFS('12.326ana'!$C:$C,'12.326ana'!$M:$M,redes!A18356)</f>
        <v>0</v>
      </c>
    </row>
    <row r="18357" customFormat="false" ht="14.4" hidden="true" customHeight="false" outlineLevel="0" collapsed="false">
      <c r="A18357" s="34" t="n">
        <v>49410073000140</v>
      </c>
      <c r="B18357" s="34" t="s">
        <v>33483</v>
      </c>
      <c r="C18357" s="34" t="s">
        <v>77</v>
      </c>
      <c r="E18357" s="30" t="s">
        <v>33483</v>
      </c>
      <c r="F18357" s="34" t="n">
        <f aca="false">IFERROR(VLOOKUP($A18357,'319'!$B:$H,7,0),0)</f>
        <v>0</v>
      </c>
      <c r="G18357" s="34" t="n">
        <f aca="false">SUMIFS('12.326ana'!$C:$C,'12.326ana'!$M:$M,redes!A18357)</f>
        <v>0</v>
      </c>
    </row>
    <row r="18358" customFormat="false" ht="14.4" hidden="true" customHeight="false" outlineLevel="0" collapsed="false">
      <c r="A18358" s="34" t="n">
        <v>49413104000117</v>
      </c>
      <c r="B18358" s="34" t="s">
        <v>33484</v>
      </c>
      <c r="C18358" s="34" t="s">
        <v>107</v>
      </c>
      <c r="E18358" s="30" t="s">
        <v>33485</v>
      </c>
      <c r="F18358" s="34" t="n">
        <f aca="false">IFERROR(VLOOKUP($A18358,'319'!$B:$H,7,0),0)</f>
        <v>0</v>
      </c>
      <c r="G18358" s="34" t="n">
        <f aca="false">SUMIFS('12.326ana'!$C:$C,'12.326ana'!$M:$M,redes!A18358)</f>
        <v>0</v>
      </c>
    </row>
    <row r="18359" customFormat="false" ht="14.4" hidden="true" customHeight="false" outlineLevel="0" collapsed="false">
      <c r="A18359" s="34" t="n">
        <v>49427415000135</v>
      </c>
      <c r="B18359" s="34" t="s">
        <v>33486</v>
      </c>
      <c r="C18359" s="34" t="s">
        <v>107</v>
      </c>
      <c r="E18359" s="30" t="s">
        <v>33487</v>
      </c>
      <c r="F18359" s="34" t="n">
        <f aca="false">IFERROR(VLOOKUP($A18359,'319'!$B:$H,7,0),0)</f>
        <v>0</v>
      </c>
      <c r="G18359" s="34" t="n">
        <f aca="false">SUMIFS('12.326ana'!$C:$C,'12.326ana'!$M:$M,redes!A18359)</f>
        <v>0</v>
      </c>
    </row>
    <row r="18360" customFormat="false" ht="14.4" hidden="true" customHeight="false" outlineLevel="0" collapsed="false">
      <c r="A18360" s="34" t="n">
        <v>49427681000168</v>
      </c>
      <c r="B18360" s="34" t="s">
        <v>33488</v>
      </c>
      <c r="C18360" s="34" t="s">
        <v>351</v>
      </c>
      <c r="E18360" s="30" t="s">
        <v>33489</v>
      </c>
      <c r="F18360" s="34" t="n">
        <f aca="false">IFERROR(VLOOKUP($A18360,'319'!$B:$H,7,0),0)</f>
        <v>0</v>
      </c>
      <c r="G18360" s="34" t="n">
        <f aca="false">SUMIFS('12.326ana'!$C:$C,'12.326ana'!$M:$M,redes!A18360)</f>
        <v>0</v>
      </c>
    </row>
    <row r="18361" customFormat="false" ht="14.4" hidden="true" customHeight="false" outlineLevel="0" collapsed="false">
      <c r="A18361" s="34" t="n">
        <v>49496535000194</v>
      </c>
      <c r="B18361" s="34" t="s">
        <v>33490</v>
      </c>
      <c r="C18361" s="34" t="s">
        <v>77</v>
      </c>
      <c r="E18361" s="30" t="s">
        <v>33491</v>
      </c>
      <c r="F18361" s="34" t="n">
        <f aca="false">IFERROR(VLOOKUP($A18361,'319'!$B:$H,7,0),0)</f>
        <v>0</v>
      </c>
      <c r="G18361" s="34" t="n">
        <f aca="false">SUMIFS('12.326ana'!$C:$C,'12.326ana'!$M:$M,redes!A18361)</f>
        <v>0</v>
      </c>
    </row>
    <row r="18362" customFormat="false" ht="14.4" hidden="true" customHeight="false" outlineLevel="0" collapsed="false">
      <c r="A18362" s="34" t="n">
        <v>49513333000103</v>
      </c>
      <c r="B18362" s="34" t="s">
        <v>33492</v>
      </c>
      <c r="C18362" s="34" t="s">
        <v>77</v>
      </c>
      <c r="E18362" s="30" t="s">
        <v>31024</v>
      </c>
      <c r="F18362" s="34" t="n">
        <f aca="false">IFERROR(VLOOKUP($A18362,'319'!$B:$H,7,0),0)</f>
        <v>0</v>
      </c>
      <c r="G18362" s="34" t="n">
        <f aca="false">SUMIFS('12.326ana'!$C:$C,'12.326ana'!$M:$M,redes!A18362)</f>
        <v>0</v>
      </c>
    </row>
    <row r="18363" customFormat="false" ht="14.4" hidden="true" customHeight="false" outlineLevel="0" collapsed="false">
      <c r="A18363" s="34" t="n">
        <v>49530128000156</v>
      </c>
      <c r="B18363" s="34" t="s">
        <v>33493</v>
      </c>
      <c r="C18363" s="34" t="s">
        <v>103</v>
      </c>
      <c r="E18363" s="30" t="s">
        <v>33494</v>
      </c>
      <c r="F18363" s="34" t="n">
        <f aca="false">IFERROR(VLOOKUP($A18363,'319'!$B:$H,7,0),0)</f>
        <v>0</v>
      </c>
      <c r="G18363" s="34" t="n">
        <f aca="false">SUMIFS('12.326ana'!$C:$C,'12.326ana'!$M:$M,redes!A18363)</f>
        <v>0</v>
      </c>
    </row>
    <row r="18364" customFormat="false" ht="14.4" hidden="true" customHeight="false" outlineLevel="0" collapsed="false">
      <c r="A18364" s="34" t="n">
        <v>49539391000106</v>
      </c>
      <c r="B18364" s="34" t="s">
        <v>33495</v>
      </c>
      <c r="C18364" s="34" t="s">
        <v>77</v>
      </c>
      <c r="E18364" s="30" t="s">
        <v>33496</v>
      </c>
      <c r="F18364" s="34" t="n">
        <f aca="false">IFERROR(VLOOKUP($A18364,'319'!$B:$H,7,0),0)</f>
        <v>0</v>
      </c>
      <c r="G18364" s="34" t="n">
        <f aca="false">SUMIFS('12.326ana'!$C:$C,'12.326ana'!$M:$M,redes!A18364)</f>
        <v>0</v>
      </c>
    </row>
    <row r="18365" customFormat="false" ht="14.4" hidden="true" customHeight="false" outlineLevel="0" collapsed="false">
      <c r="A18365" s="34" t="n">
        <v>49540108000166</v>
      </c>
      <c r="B18365" s="34" t="s">
        <v>33497</v>
      </c>
      <c r="C18365" s="34" t="s">
        <v>389</v>
      </c>
      <c r="E18365" s="30" t="s">
        <v>23647</v>
      </c>
      <c r="F18365" s="34" t="n">
        <f aca="false">IFERROR(VLOOKUP($A18365,'319'!$B:$H,7,0),0)</f>
        <v>-1373.63</v>
      </c>
      <c r="G18365" s="34" t="n">
        <f aca="false">SUMIFS('12.326ana'!$C:$C,'12.326ana'!$M:$M,redes!A18365)</f>
        <v>141.79</v>
      </c>
    </row>
    <row r="18366" customFormat="false" ht="14.4" hidden="true" customHeight="false" outlineLevel="0" collapsed="false">
      <c r="A18366" s="34" t="n">
        <v>49560389000208</v>
      </c>
      <c r="B18366" s="34" t="s">
        <v>33498</v>
      </c>
      <c r="C18366" s="34" t="s">
        <v>77</v>
      </c>
      <c r="E18366" s="30" t="s">
        <v>33499</v>
      </c>
      <c r="F18366" s="34" t="n">
        <f aca="false">IFERROR(VLOOKUP($A18366,'319'!$B:$H,7,0),0)</f>
        <v>0</v>
      </c>
      <c r="G18366" s="34" t="n">
        <f aca="false">SUMIFS('12.326ana'!$C:$C,'12.326ana'!$M:$M,redes!A18366)</f>
        <v>0</v>
      </c>
    </row>
    <row r="18367" customFormat="false" ht="14.4" hidden="true" customHeight="false" outlineLevel="0" collapsed="false">
      <c r="A18367" s="34" t="n">
        <v>49578352000118</v>
      </c>
      <c r="B18367" s="34" t="s">
        <v>33500</v>
      </c>
      <c r="C18367" s="34" t="s">
        <v>77</v>
      </c>
      <c r="E18367" s="30" t="s">
        <v>33501</v>
      </c>
      <c r="F18367" s="34" t="n">
        <f aca="false">IFERROR(VLOOKUP($A18367,'319'!$B:$H,7,0),0)</f>
        <v>0</v>
      </c>
      <c r="G18367" s="34" t="n">
        <f aca="false">SUMIFS('12.326ana'!$C:$C,'12.326ana'!$M:$M,redes!A18367)</f>
        <v>0</v>
      </c>
    </row>
    <row r="18368" customFormat="false" ht="14.4" hidden="true" customHeight="false" outlineLevel="0" collapsed="false">
      <c r="A18368" s="34" t="n">
        <v>49646298000109</v>
      </c>
      <c r="B18368" s="34" t="s">
        <v>33502</v>
      </c>
      <c r="C18368" s="34" t="s">
        <v>713</v>
      </c>
      <c r="E18368" s="30" t="s">
        <v>32227</v>
      </c>
      <c r="F18368" s="34" t="n">
        <f aca="false">IFERROR(VLOOKUP($A18368,'319'!$B:$H,7,0),0)</f>
        <v>88.6</v>
      </c>
      <c r="G18368" s="34" t="n">
        <f aca="false">SUMIFS('12.326ana'!$C:$C,'12.326ana'!$M:$M,redes!A18368)</f>
        <v>0</v>
      </c>
    </row>
    <row r="18369" customFormat="false" ht="14.4" hidden="true" customHeight="false" outlineLevel="0" collapsed="false">
      <c r="A18369" s="34" t="n">
        <v>49681274000182</v>
      </c>
      <c r="B18369" s="34" t="s">
        <v>33503</v>
      </c>
      <c r="C18369" s="34" t="s">
        <v>1306</v>
      </c>
      <c r="E18369" s="30" t="s">
        <v>8490</v>
      </c>
      <c r="F18369" s="34" t="n">
        <f aca="false">IFERROR(VLOOKUP($A18369,'319'!$B:$H,7,0),0)</f>
        <v>0</v>
      </c>
      <c r="G18369" s="34" t="n">
        <f aca="false">SUMIFS('12.326ana'!$C:$C,'12.326ana'!$M:$M,redes!A18369)</f>
        <v>0</v>
      </c>
    </row>
    <row r="18370" customFormat="false" ht="14.4" hidden="true" customHeight="false" outlineLevel="0" collapsed="false">
      <c r="A18370" s="34" t="n">
        <v>49696336000120</v>
      </c>
      <c r="B18370" s="34" t="s">
        <v>33504</v>
      </c>
      <c r="C18370" s="34" t="s">
        <v>77</v>
      </c>
      <c r="E18370" s="30" t="s">
        <v>33505</v>
      </c>
      <c r="F18370" s="34" t="n">
        <f aca="false">IFERROR(VLOOKUP($A18370,'319'!$B:$H,7,0),0)</f>
        <v>0</v>
      </c>
      <c r="G18370" s="34" t="n">
        <f aca="false">SUMIFS('12.326ana'!$C:$C,'12.326ana'!$M:$M,redes!A18370)</f>
        <v>0</v>
      </c>
    </row>
    <row r="18371" customFormat="false" ht="14.4" hidden="true" customHeight="false" outlineLevel="0" collapsed="false">
      <c r="A18371" s="34" t="n">
        <v>49734124000190</v>
      </c>
      <c r="B18371" s="34" t="s">
        <v>33506</v>
      </c>
      <c r="C18371" s="34" t="s">
        <v>103</v>
      </c>
      <c r="E18371" s="30" t="s">
        <v>33506</v>
      </c>
      <c r="F18371" s="34" t="n">
        <f aca="false">IFERROR(VLOOKUP($A18371,'319'!$B:$H,7,0),0)</f>
        <v>0</v>
      </c>
      <c r="G18371" s="34" t="n">
        <f aca="false">SUMIFS('12.326ana'!$C:$C,'12.326ana'!$M:$M,redes!A18371)</f>
        <v>0</v>
      </c>
    </row>
    <row r="18372" customFormat="false" ht="14.4" hidden="true" customHeight="false" outlineLevel="0" collapsed="false">
      <c r="A18372" s="34" t="n">
        <v>49745233000102</v>
      </c>
      <c r="B18372" s="34" t="s">
        <v>1158</v>
      </c>
      <c r="C18372" s="34" t="s">
        <v>309</v>
      </c>
      <c r="E18372" s="30" t="s">
        <v>33507</v>
      </c>
      <c r="F18372" s="34" t="n">
        <f aca="false">IFERROR(VLOOKUP($A18372,'319'!$B:$H,7,0),0)</f>
        <v>427.2</v>
      </c>
      <c r="G18372" s="34" t="n">
        <f aca="false">SUMIFS('12.326ana'!$C:$C,'12.326ana'!$M:$M,redes!A18372)</f>
        <v>0</v>
      </c>
    </row>
    <row r="18373" customFormat="false" ht="14.4" hidden="true" customHeight="false" outlineLevel="0" collapsed="false">
      <c r="A18373" s="34" t="n">
        <v>49785092000151</v>
      </c>
      <c r="B18373" s="34" t="s">
        <v>33508</v>
      </c>
      <c r="C18373" s="34" t="s">
        <v>77</v>
      </c>
      <c r="E18373" s="30" t="s">
        <v>33509</v>
      </c>
      <c r="F18373" s="34" t="n">
        <f aca="false">IFERROR(VLOOKUP($A18373,'319'!$B:$H,7,0),0)</f>
        <v>0</v>
      </c>
      <c r="G18373" s="34" t="n">
        <f aca="false">SUMIFS('12.326ana'!$C:$C,'12.326ana'!$M:$M,redes!A18373)</f>
        <v>0</v>
      </c>
    </row>
    <row r="18374" customFormat="false" ht="14.4" hidden="true" customHeight="false" outlineLevel="0" collapsed="false">
      <c r="A18374" s="34" t="n">
        <v>49787623000145</v>
      </c>
      <c r="B18374" s="34" t="s">
        <v>33510</v>
      </c>
      <c r="C18374" s="34" t="s">
        <v>77</v>
      </c>
      <c r="E18374" s="30" t="s">
        <v>33511</v>
      </c>
      <c r="F18374" s="34" t="n">
        <f aca="false">IFERROR(VLOOKUP($A18374,'319'!$B:$H,7,0),0)</f>
        <v>0</v>
      </c>
      <c r="G18374" s="34" t="n">
        <f aca="false">SUMIFS('12.326ana'!$C:$C,'12.326ana'!$M:$M,redes!A18374)</f>
        <v>0</v>
      </c>
    </row>
    <row r="18375" customFormat="false" ht="14.4" hidden="true" customHeight="false" outlineLevel="0" collapsed="false">
      <c r="A18375" s="34" t="n">
        <v>49793628000180</v>
      </c>
      <c r="B18375" s="34" t="s">
        <v>33512</v>
      </c>
      <c r="C18375" s="34" t="s">
        <v>107</v>
      </c>
      <c r="E18375" s="30" t="s">
        <v>33513</v>
      </c>
      <c r="F18375" s="34" t="n">
        <f aca="false">IFERROR(VLOOKUP($A18375,'319'!$B:$H,7,0),0)</f>
        <v>1311.52</v>
      </c>
      <c r="G18375" s="34" t="n">
        <f aca="false">SUMIFS('12.326ana'!$C:$C,'12.326ana'!$M:$M,redes!A18375)</f>
        <v>0</v>
      </c>
    </row>
    <row r="18376" customFormat="false" ht="14.4" hidden="true" customHeight="false" outlineLevel="0" collapsed="false">
      <c r="A18376" s="34" t="n">
        <v>49802840000167</v>
      </c>
      <c r="B18376" s="34" t="s">
        <v>33514</v>
      </c>
      <c r="C18376" s="34" t="s">
        <v>77</v>
      </c>
      <c r="E18376" s="30" t="s">
        <v>33515</v>
      </c>
      <c r="F18376" s="34" t="n">
        <f aca="false">IFERROR(VLOOKUP($A18376,'319'!$B:$H,7,0),0)</f>
        <v>0</v>
      </c>
      <c r="G18376" s="34" t="n">
        <f aca="false">SUMIFS('12.326ana'!$C:$C,'12.326ana'!$M:$M,redes!A18376)</f>
        <v>0</v>
      </c>
    </row>
    <row r="18377" customFormat="false" ht="14.4" hidden="true" customHeight="false" outlineLevel="0" collapsed="false">
      <c r="A18377" s="34" t="n">
        <v>49816597000136</v>
      </c>
      <c r="B18377" s="34" t="s">
        <v>33516</v>
      </c>
      <c r="C18377" s="34" t="s">
        <v>336</v>
      </c>
      <c r="E18377" s="30" t="s">
        <v>33517</v>
      </c>
      <c r="F18377" s="34" t="n">
        <f aca="false">IFERROR(VLOOKUP($A18377,'319'!$B:$H,7,0),0)</f>
        <v>0</v>
      </c>
      <c r="G18377" s="34" t="n">
        <f aca="false">SUMIFS('12.326ana'!$C:$C,'12.326ana'!$M:$M,redes!A18377)</f>
        <v>0</v>
      </c>
    </row>
    <row r="18378" customFormat="false" ht="14.4" hidden="true" customHeight="false" outlineLevel="0" collapsed="false">
      <c r="A18378" s="34" t="n">
        <v>49829723000197</v>
      </c>
      <c r="B18378" s="34" t="s">
        <v>33518</v>
      </c>
      <c r="C18378" s="34" t="s">
        <v>139</v>
      </c>
      <c r="E18378" s="30" t="s">
        <v>33519</v>
      </c>
      <c r="F18378" s="34" t="n">
        <f aca="false">IFERROR(VLOOKUP($A18378,'319'!$B:$H,7,0),0)</f>
        <v>0</v>
      </c>
      <c r="G18378" s="34" t="n">
        <f aca="false">SUMIFS('12.326ana'!$C:$C,'12.326ana'!$M:$M,redes!A18378)</f>
        <v>0</v>
      </c>
    </row>
    <row r="18379" customFormat="false" ht="14.4" hidden="true" customHeight="false" outlineLevel="0" collapsed="false">
      <c r="A18379" s="34" t="n">
        <v>49855205000148</v>
      </c>
      <c r="B18379" s="34" t="s">
        <v>33520</v>
      </c>
      <c r="C18379" s="34" t="s">
        <v>77</v>
      </c>
      <c r="E18379" s="30" t="s">
        <v>33521</v>
      </c>
      <c r="F18379" s="34" t="n">
        <f aca="false">IFERROR(VLOOKUP($A18379,'319'!$B:$H,7,0),0)</f>
        <v>0</v>
      </c>
      <c r="G18379" s="34" t="n">
        <f aca="false">SUMIFS('12.326ana'!$C:$C,'12.326ana'!$M:$M,redes!A18379)</f>
        <v>0</v>
      </c>
    </row>
    <row r="18380" customFormat="false" ht="14.4" hidden="true" customHeight="false" outlineLevel="0" collapsed="false">
      <c r="A18380" s="34" t="n">
        <v>49867325000165</v>
      </c>
      <c r="B18380" s="34" t="s">
        <v>959</v>
      </c>
      <c r="C18380" s="34" t="s">
        <v>680</v>
      </c>
      <c r="E18380" s="30" t="s">
        <v>33522</v>
      </c>
      <c r="F18380" s="34" t="n">
        <f aca="false">IFERROR(VLOOKUP($A18380,'319'!$B:$H,7,0),0)</f>
        <v>1104.61</v>
      </c>
      <c r="G18380" s="34" t="n">
        <f aca="false">SUMIFS('12.326ana'!$C:$C,'12.326ana'!$M:$M,redes!A18380)</f>
        <v>0</v>
      </c>
    </row>
    <row r="18381" customFormat="false" ht="14.4" hidden="true" customHeight="false" outlineLevel="0" collapsed="false">
      <c r="A18381" s="34" t="n">
        <v>49894691000103</v>
      </c>
      <c r="B18381" s="34" t="s">
        <v>28879</v>
      </c>
      <c r="C18381" s="34" t="s">
        <v>77</v>
      </c>
      <c r="E18381" s="30" t="s">
        <v>12960</v>
      </c>
      <c r="F18381" s="34" t="n">
        <f aca="false">IFERROR(VLOOKUP($A18381,'319'!$B:$H,7,0),0)</f>
        <v>0</v>
      </c>
      <c r="G18381" s="34" t="n">
        <f aca="false">SUMIFS('12.326ana'!$C:$C,'12.326ana'!$M:$M,redes!A18381)</f>
        <v>0</v>
      </c>
    </row>
    <row r="18382" customFormat="false" ht="14.4" hidden="true" customHeight="false" outlineLevel="0" collapsed="false">
      <c r="A18382" s="34" t="n">
        <v>49918650000100</v>
      </c>
      <c r="B18382" s="34" t="s">
        <v>33523</v>
      </c>
      <c r="C18382" s="34" t="s">
        <v>357</v>
      </c>
      <c r="E18382" s="30" t="s">
        <v>27996</v>
      </c>
      <c r="F18382" s="34" t="n">
        <f aca="false">IFERROR(VLOOKUP($A18382,'319'!$B:$H,7,0),0)</f>
        <v>0</v>
      </c>
      <c r="G18382" s="34" t="n">
        <f aca="false">SUMIFS('12.326ana'!$C:$C,'12.326ana'!$M:$M,redes!A18382)</f>
        <v>0</v>
      </c>
    </row>
    <row r="18383" customFormat="false" ht="14.4" hidden="true" customHeight="false" outlineLevel="0" collapsed="false">
      <c r="A18383" s="34" t="n">
        <v>49936465000148</v>
      </c>
      <c r="B18383" s="34" t="s">
        <v>33524</v>
      </c>
      <c r="C18383" s="34" t="s">
        <v>77</v>
      </c>
      <c r="E18383" s="30" t="s">
        <v>33525</v>
      </c>
      <c r="F18383" s="34" t="n">
        <f aca="false">IFERROR(VLOOKUP($A18383,'319'!$B:$H,7,0),0)</f>
        <v>0</v>
      </c>
      <c r="G18383" s="34" t="n">
        <f aca="false">SUMIFS('12.326ana'!$C:$C,'12.326ana'!$M:$M,redes!A18383)</f>
        <v>0</v>
      </c>
    </row>
    <row r="18384" customFormat="false" ht="14.4" hidden="true" customHeight="false" outlineLevel="0" collapsed="false">
      <c r="A18384" s="34" t="n">
        <v>49951404000150</v>
      </c>
      <c r="B18384" s="34" t="s">
        <v>33526</v>
      </c>
      <c r="C18384" s="34" t="s">
        <v>77</v>
      </c>
      <c r="E18384" s="30" t="s">
        <v>33527</v>
      </c>
      <c r="F18384" s="34" t="n">
        <f aca="false">IFERROR(VLOOKUP($A18384,'319'!$B:$H,7,0),0)</f>
        <v>0</v>
      </c>
      <c r="G18384" s="34" t="n">
        <f aca="false">SUMIFS('12.326ana'!$C:$C,'12.326ana'!$M:$M,redes!A18384)</f>
        <v>0</v>
      </c>
    </row>
    <row r="18385" customFormat="false" ht="14.4" hidden="true" customHeight="false" outlineLevel="0" collapsed="false">
      <c r="A18385" s="34" t="n">
        <v>49958821000124</v>
      </c>
      <c r="B18385" s="34" t="s">
        <v>33528</v>
      </c>
      <c r="C18385" s="34" t="s">
        <v>680</v>
      </c>
      <c r="E18385" s="30" t="s">
        <v>33529</v>
      </c>
      <c r="F18385" s="34" t="n">
        <f aca="false">IFERROR(VLOOKUP($A18385,'319'!$B:$H,7,0),0)</f>
        <v>0</v>
      </c>
      <c r="G18385" s="34" t="n">
        <f aca="false">SUMIFS('12.326ana'!$C:$C,'12.326ana'!$M:$M,redes!A18385)</f>
        <v>0</v>
      </c>
    </row>
    <row r="18386" customFormat="false" ht="14.4" hidden="true" customHeight="false" outlineLevel="0" collapsed="false">
      <c r="A18386" s="34" t="n">
        <v>49961893000120</v>
      </c>
      <c r="B18386" s="34" t="s">
        <v>33530</v>
      </c>
      <c r="C18386" s="34" t="s">
        <v>77</v>
      </c>
      <c r="E18386" s="30" t="s">
        <v>33531</v>
      </c>
      <c r="F18386" s="34" t="n">
        <f aca="false">IFERROR(VLOOKUP($A18386,'319'!$B:$H,7,0),0)</f>
        <v>0</v>
      </c>
      <c r="G18386" s="34" t="n">
        <f aca="false">SUMIFS('12.326ana'!$C:$C,'12.326ana'!$M:$M,redes!A18386)</f>
        <v>0</v>
      </c>
    </row>
    <row r="18387" customFormat="false" ht="14.4" hidden="true" customHeight="false" outlineLevel="0" collapsed="false">
      <c r="A18387" s="34" t="n">
        <v>49975613000133</v>
      </c>
      <c r="B18387" s="34" t="s">
        <v>33532</v>
      </c>
      <c r="C18387" s="34" t="s">
        <v>89</v>
      </c>
      <c r="E18387" s="30" t="s">
        <v>23730</v>
      </c>
      <c r="F18387" s="34" t="n">
        <f aca="false">IFERROR(VLOOKUP($A18387,'319'!$B:$H,7,0),0)</f>
        <v>0</v>
      </c>
      <c r="G18387" s="34" t="n">
        <f aca="false">SUMIFS('12.326ana'!$C:$C,'12.326ana'!$M:$M,redes!A18387)</f>
        <v>0</v>
      </c>
    </row>
    <row r="18388" customFormat="false" ht="14.4" hidden="true" customHeight="false" outlineLevel="0" collapsed="false">
      <c r="A18388" s="34" t="n">
        <v>49981314000101</v>
      </c>
      <c r="B18388" s="34" t="s">
        <v>33533</v>
      </c>
      <c r="C18388" s="34" t="s">
        <v>77</v>
      </c>
      <c r="E18388" s="30" t="s">
        <v>33534</v>
      </c>
      <c r="F18388" s="34" t="n">
        <f aca="false">IFERROR(VLOOKUP($A18388,'319'!$B:$H,7,0),0)</f>
        <v>0</v>
      </c>
      <c r="G18388" s="34" t="n">
        <f aca="false">SUMIFS('12.326ana'!$C:$C,'12.326ana'!$M:$M,redes!A18388)</f>
        <v>0</v>
      </c>
    </row>
    <row r="18389" customFormat="false" ht="14.4" hidden="true" customHeight="false" outlineLevel="0" collapsed="false">
      <c r="A18389" s="34" t="n">
        <v>50011731000100</v>
      </c>
      <c r="B18389" s="34" t="s">
        <v>33535</v>
      </c>
      <c r="C18389" s="34" t="s">
        <v>77</v>
      </c>
      <c r="E18389" s="30" t="s">
        <v>33536</v>
      </c>
      <c r="F18389" s="34" t="n">
        <f aca="false">IFERROR(VLOOKUP($A18389,'319'!$B:$H,7,0),0)</f>
        <v>0</v>
      </c>
      <c r="G18389" s="34" t="n">
        <f aca="false">SUMIFS('12.326ana'!$C:$C,'12.326ana'!$M:$M,redes!A18389)</f>
        <v>0</v>
      </c>
    </row>
    <row r="18390" customFormat="false" ht="14.4" hidden="true" customHeight="false" outlineLevel="0" collapsed="false">
      <c r="A18390" s="34" t="n">
        <v>50019265000100</v>
      </c>
      <c r="B18390" s="34" t="s">
        <v>33537</v>
      </c>
      <c r="C18390" s="34" t="s">
        <v>89</v>
      </c>
      <c r="E18390" s="30" t="s">
        <v>22144</v>
      </c>
      <c r="F18390" s="34" t="n">
        <f aca="false">IFERROR(VLOOKUP($A18390,'319'!$B:$H,7,0),0)</f>
        <v>0</v>
      </c>
      <c r="G18390" s="34" t="n">
        <f aca="false">SUMIFS('12.326ana'!$C:$C,'12.326ana'!$M:$M,redes!A18390)</f>
        <v>0</v>
      </c>
    </row>
    <row r="18391" customFormat="false" ht="14.4" hidden="true" customHeight="false" outlineLevel="0" collapsed="false">
      <c r="A18391" s="34" t="n">
        <v>50088156000144</v>
      </c>
      <c r="B18391" s="34" t="s">
        <v>33538</v>
      </c>
      <c r="C18391" s="34" t="s">
        <v>1272</v>
      </c>
      <c r="E18391" s="30" t="s">
        <v>33539</v>
      </c>
      <c r="F18391" s="34" t="n">
        <f aca="false">IFERROR(VLOOKUP($A18391,'319'!$B:$H,7,0),0)</f>
        <v>0</v>
      </c>
      <c r="G18391" s="34" t="n">
        <f aca="false">SUMIFS('12.326ana'!$C:$C,'12.326ana'!$M:$M,redes!A18391)</f>
        <v>0</v>
      </c>
    </row>
    <row r="18392" customFormat="false" ht="14.4" hidden="true" customHeight="false" outlineLevel="0" collapsed="false">
      <c r="A18392" s="34" t="n">
        <v>50088406000146</v>
      </c>
      <c r="B18392" s="34" t="s">
        <v>1674</v>
      </c>
      <c r="C18392" s="34" t="s">
        <v>328</v>
      </c>
      <c r="E18392" s="30" t="s">
        <v>33540</v>
      </c>
      <c r="F18392" s="34" t="n">
        <f aca="false">IFERROR(VLOOKUP($A18392,'319'!$B:$H,7,0),0)</f>
        <v>64.72</v>
      </c>
      <c r="G18392" s="34" t="n">
        <f aca="false">SUMIFS('12.326ana'!$C:$C,'12.326ana'!$M:$M,redes!A18392)</f>
        <v>0</v>
      </c>
    </row>
    <row r="18393" customFormat="false" ht="14.4" hidden="true" customHeight="false" outlineLevel="0" collapsed="false">
      <c r="A18393" s="34" t="n">
        <v>50093997000140</v>
      </c>
      <c r="B18393" s="34" t="s">
        <v>33541</v>
      </c>
      <c r="C18393" s="34" t="s">
        <v>77</v>
      </c>
      <c r="E18393" s="30" t="s">
        <v>33541</v>
      </c>
      <c r="F18393" s="34" t="n">
        <f aca="false">IFERROR(VLOOKUP($A18393,'319'!$B:$H,7,0),0)</f>
        <v>0</v>
      </c>
      <c r="G18393" s="34" t="n">
        <f aca="false">SUMIFS('12.326ana'!$C:$C,'12.326ana'!$M:$M,redes!A18393)</f>
        <v>0</v>
      </c>
    </row>
    <row r="18394" customFormat="false" ht="14.4" hidden="true" customHeight="false" outlineLevel="0" collapsed="false">
      <c r="A18394" s="34" t="n">
        <v>50102610000174</v>
      </c>
      <c r="B18394" s="34" t="s">
        <v>33542</v>
      </c>
      <c r="C18394" s="34" t="s">
        <v>77</v>
      </c>
      <c r="E18394" s="30" t="s">
        <v>33542</v>
      </c>
      <c r="F18394" s="34" t="n">
        <f aca="false">IFERROR(VLOOKUP($A18394,'319'!$B:$H,7,0),0)</f>
        <v>0</v>
      </c>
      <c r="G18394" s="34" t="n">
        <f aca="false">SUMIFS('12.326ana'!$C:$C,'12.326ana'!$M:$M,redes!A18394)</f>
        <v>0</v>
      </c>
    </row>
    <row r="18395" customFormat="false" ht="14.4" hidden="true" customHeight="false" outlineLevel="0" collapsed="false">
      <c r="A18395" s="34" t="n">
        <v>50106385000144</v>
      </c>
      <c r="B18395" s="34" t="s">
        <v>953</v>
      </c>
      <c r="C18395" s="34" t="s">
        <v>954</v>
      </c>
      <c r="E18395" s="30" t="s">
        <v>26198</v>
      </c>
      <c r="F18395" s="34" t="n">
        <f aca="false">IFERROR(VLOOKUP($A18395,'319'!$B:$H,7,0),0)</f>
        <v>1148.52</v>
      </c>
      <c r="G18395" s="34" t="n">
        <f aca="false">SUMIFS('12.326ana'!$C:$C,'12.326ana'!$M:$M,redes!A18395)</f>
        <v>0</v>
      </c>
    </row>
    <row r="18396" customFormat="false" ht="14.4" hidden="true" customHeight="false" outlineLevel="0" collapsed="false">
      <c r="A18396" s="34" t="n">
        <v>50122311000100</v>
      </c>
      <c r="B18396" s="34" t="s">
        <v>33543</v>
      </c>
      <c r="C18396" s="34" t="s">
        <v>77</v>
      </c>
      <c r="E18396" s="30" t="s">
        <v>7970</v>
      </c>
      <c r="F18396" s="34" t="n">
        <f aca="false">IFERROR(VLOOKUP($A18396,'319'!$B:$H,7,0),0)</f>
        <v>0</v>
      </c>
      <c r="G18396" s="34" t="n">
        <f aca="false">SUMIFS('12.326ana'!$C:$C,'12.326ana'!$M:$M,redes!A18396)</f>
        <v>0</v>
      </c>
    </row>
    <row r="18397" customFormat="false" ht="14.4" hidden="true" customHeight="false" outlineLevel="0" collapsed="false">
      <c r="A18397" s="34" t="n">
        <v>50221596000128</v>
      </c>
      <c r="B18397" s="34" t="s">
        <v>33544</v>
      </c>
      <c r="C18397" s="34" t="s">
        <v>77</v>
      </c>
      <c r="E18397" s="30" t="s">
        <v>33544</v>
      </c>
      <c r="F18397" s="34" t="n">
        <f aca="false">IFERROR(VLOOKUP($A18397,'319'!$B:$H,7,0),0)</f>
        <v>0</v>
      </c>
      <c r="G18397" s="34" t="n">
        <f aca="false">SUMIFS('12.326ana'!$C:$C,'12.326ana'!$M:$M,redes!A18397)</f>
        <v>0</v>
      </c>
    </row>
    <row r="18398" customFormat="false" ht="14.4" hidden="true" customHeight="false" outlineLevel="0" collapsed="false">
      <c r="A18398" s="35" t="n">
        <v>50261821000150</v>
      </c>
      <c r="B18398" s="34" t="s">
        <v>33545</v>
      </c>
      <c r="C18398" s="34" t="s">
        <v>77</v>
      </c>
      <c r="E18398" s="30" t="s">
        <v>33546</v>
      </c>
      <c r="F18398" s="34" t="n">
        <f aca="false">IFERROR(VLOOKUP($A18398,'319'!$B:$H,7,0),0)</f>
        <v>0</v>
      </c>
      <c r="G18398" s="34" t="n">
        <f aca="false">SUMIFS('12.326ana'!$C:$C,'12.326ana'!$M:$M,redes!A18398)</f>
        <v>0</v>
      </c>
    </row>
    <row r="18399" customFormat="false" ht="14.4" hidden="true" customHeight="false" outlineLevel="0" collapsed="false">
      <c r="A18399" s="34" t="n">
        <v>50266414000135</v>
      </c>
      <c r="B18399" s="34" t="s">
        <v>33547</v>
      </c>
      <c r="C18399" s="34" t="s">
        <v>77</v>
      </c>
      <c r="E18399" s="30" t="s">
        <v>33548</v>
      </c>
      <c r="F18399" s="34" t="n">
        <f aca="false">IFERROR(VLOOKUP($A18399,'319'!$B:$H,7,0),0)</f>
        <v>0</v>
      </c>
      <c r="G18399" s="34" t="n">
        <f aca="false">SUMIFS('12.326ana'!$C:$C,'12.326ana'!$M:$M,redes!A18399)</f>
        <v>0</v>
      </c>
    </row>
    <row r="18400" customFormat="false" ht="14.4" hidden="true" customHeight="false" outlineLevel="0" collapsed="false">
      <c r="A18400" s="34" t="n">
        <v>50302133000190</v>
      </c>
      <c r="B18400" s="34" t="s">
        <v>33549</v>
      </c>
      <c r="C18400" s="34" t="s">
        <v>77</v>
      </c>
      <c r="E18400" s="30" t="s">
        <v>33550</v>
      </c>
      <c r="F18400" s="34" t="n">
        <f aca="false">IFERROR(VLOOKUP($A18400,'319'!$B:$H,7,0),0)</f>
        <v>0</v>
      </c>
      <c r="G18400" s="34" t="n">
        <f aca="false">SUMIFS('12.326ana'!$C:$C,'12.326ana'!$M:$M,redes!A18400)</f>
        <v>0</v>
      </c>
    </row>
    <row r="18401" customFormat="false" ht="14.4" hidden="true" customHeight="false" outlineLevel="0" collapsed="false">
      <c r="A18401" s="34" t="n">
        <v>50311508000189</v>
      </c>
      <c r="B18401" s="34" t="s">
        <v>33551</v>
      </c>
      <c r="C18401" s="34" t="s">
        <v>107</v>
      </c>
      <c r="E18401" s="30" t="s">
        <v>33552</v>
      </c>
      <c r="F18401" s="34" t="n">
        <f aca="false">IFERROR(VLOOKUP($A18401,'319'!$B:$H,7,0),0)</f>
        <v>0</v>
      </c>
      <c r="G18401" s="34" t="n">
        <f aca="false">SUMIFS('12.326ana'!$C:$C,'12.326ana'!$M:$M,redes!A18401)</f>
        <v>0</v>
      </c>
    </row>
    <row r="18402" customFormat="false" ht="14.4" hidden="true" customHeight="false" outlineLevel="0" collapsed="false">
      <c r="A18402" s="34" t="n">
        <v>50355698000136</v>
      </c>
      <c r="B18402" s="34" t="s">
        <v>1395</v>
      </c>
      <c r="C18402" s="34" t="s">
        <v>562</v>
      </c>
      <c r="E18402" s="30" t="s">
        <v>33553</v>
      </c>
      <c r="F18402" s="34" t="n">
        <f aca="false">IFERROR(VLOOKUP($A18402,'319'!$B:$H,7,0),0)</f>
        <v>238.22</v>
      </c>
      <c r="G18402" s="34" t="n">
        <f aca="false">SUMIFS('12.326ana'!$C:$C,'12.326ana'!$M:$M,redes!A18402)</f>
        <v>0</v>
      </c>
    </row>
    <row r="18403" customFormat="false" ht="14.4" hidden="true" customHeight="false" outlineLevel="0" collapsed="false">
      <c r="A18403" s="34" t="n">
        <v>50362590000170</v>
      </c>
      <c r="B18403" s="34" t="s">
        <v>33554</v>
      </c>
      <c r="C18403" s="34" t="s">
        <v>77</v>
      </c>
      <c r="E18403" s="30" t="s">
        <v>33555</v>
      </c>
      <c r="F18403" s="34" t="n">
        <f aca="false">IFERROR(VLOOKUP($A18403,'319'!$B:$H,7,0),0)</f>
        <v>0</v>
      </c>
      <c r="G18403" s="34" t="n">
        <f aca="false">SUMIFS('12.326ana'!$C:$C,'12.326ana'!$M:$M,redes!A18403)</f>
        <v>0</v>
      </c>
    </row>
    <row r="18404" customFormat="false" ht="14.4" hidden="true" customHeight="false" outlineLevel="0" collapsed="false">
      <c r="A18404" s="34" t="n">
        <v>50365275000105</v>
      </c>
      <c r="B18404" s="34" t="s">
        <v>33556</v>
      </c>
      <c r="C18404" s="34" t="s">
        <v>154</v>
      </c>
      <c r="E18404" s="30" t="s">
        <v>33557</v>
      </c>
      <c r="F18404" s="34" t="n">
        <f aca="false">IFERROR(VLOOKUP($A18404,'319'!$B:$H,7,0),0)</f>
        <v>0</v>
      </c>
      <c r="G18404" s="34" t="n">
        <f aca="false">SUMIFS('12.326ana'!$C:$C,'12.326ana'!$M:$M,redes!A18404)</f>
        <v>0</v>
      </c>
    </row>
    <row r="18405" customFormat="false" ht="14.4" hidden="true" customHeight="false" outlineLevel="0" collapsed="false">
      <c r="A18405" s="34" t="n">
        <v>50383545000100</v>
      </c>
      <c r="B18405" s="34" t="s">
        <v>33558</v>
      </c>
      <c r="C18405" s="34" t="s">
        <v>77</v>
      </c>
      <c r="E18405" s="30" t="s">
        <v>33559</v>
      </c>
      <c r="F18405" s="34" t="n">
        <f aca="false">IFERROR(VLOOKUP($A18405,'319'!$B:$H,7,0),0)</f>
        <v>0</v>
      </c>
      <c r="G18405" s="34" t="n">
        <f aca="false">SUMIFS('12.326ana'!$C:$C,'12.326ana'!$M:$M,redes!A18405)</f>
        <v>0</v>
      </c>
    </row>
    <row r="18406" customFormat="false" ht="14.4" hidden="true" customHeight="false" outlineLevel="0" collapsed="false">
      <c r="A18406" s="34" t="n">
        <v>50393074000103</v>
      </c>
      <c r="B18406" s="34" t="s">
        <v>33560</v>
      </c>
      <c r="C18406" s="34" t="s">
        <v>77</v>
      </c>
      <c r="E18406" s="30" t="s">
        <v>33561</v>
      </c>
      <c r="F18406" s="34" t="n">
        <f aca="false">IFERROR(VLOOKUP($A18406,'319'!$B:$H,7,0),0)</f>
        <v>0</v>
      </c>
      <c r="G18406" s="34" t="n">
        <f aca="false">SUMIFS('12.326ana'!$C:$C,'12.326ana'!$M:$M,redes!A18406)</f>
        <v>0</v>
      </c>
    </row>
    <row r="18407" customFormat="false" ht="14.4" hidden="true" customHeight="false" outlineLevel="0" collapsed="false">
      <c r="A18407" s="34" t="n">
        <v>50441008000161</v>
      </c>
      <c r="B18407" s="34" t="s">
        <v>1067</v>
      </c>
      <c r="C18407" s="34" t="s">
        <v>89</v>
      </c>
      <c r="E18407" s="30" t="s">
        <v>33562</v>
      </c>
      <c r="F18407" s="34" t="n">
        <f aca="false">IFERROR(VLOOKUP($A18407,'319'!$B:$H,7,0),0)</f>
        <v>682.26</v>
      </c>
      <c r="G18407" s="34" t="n">
        <f aca="false">SUMIFS('12.326ana'!$C:$C,'12.326ana'!$M:$M,redes!A18407)</f>
        <v>0</v>
      </c>
    </row>
    <row r="18408" customFormat="false" ht="14.4" hidden="true" customHeight="false" outlineLevel="0" collapsed="false">
      <c r="A18408" s="34" t="n">
        <v>50556542000113</v>
      </c>
      <c r="B18408" s="34" t="s">
        <v>33563</v>
      </c>
      <c r="C18408" s="34" t="s">
        <v>77</v>
      </c>
      <c r="E18408" s="30" t="s">
        <v>33564</v>
      </c>
      <c r="F18408" s="34" t="n">
        <f aca="false">IFERROR(VLOOKUP($A18408,'319'!$B:$H,7,0),0)</f>
        <v>0</v>
      </c>
      <c r="G18408" s="34" t="n">
        <f aca="false">SUMIFS('12.326ana'!$C:$C,'12.326ana'!$M:$M,redes!A18408)</f>
        <v>0</v>
      </c>
    </row>
    <row r="18409" customFormat="false" ht="14.4" hidden="true" customHeight="false" outlineLevel="0" collapsed="false">
      <c r="A18409" s="34" t="n">
        <v>50562927000193</v>
      </c>
      <c r="B18409" s="34" t="s">
        <v>33565</v>
      </c>
      <c r="C18409" s="34" t="s">
        <v>77</v>
      </c>
      <c r="E18409" s="30" t="s">
        <v>33566</v>
      </c>
      <c r="F18409" s="34" t="n">
        <f aca="false">IFERROR(VLOOKUP($A18409,'319'!$B:$H,7,0),0)</f>
        <v>1889.46</v>
      </c>
      <c r="G18409" s="34" t="n">
        <f aca="false">SUMIFS('12.326ana'!$C:$C,'12.326ana'!$M:$M,redes!A18409)</f>
        <v>0</v>
      </c>
    </row>
    <row r="18410" customFormat="false" ht="14.4" hidden="true" customHeight="false" outlineLevel="0" collapsed="false">
      <c r="A18410" s="34" t="n">
        <v>50564053000880</v>
      </c>
      <c r="B18410" s="34" t="s">
        <v>33567</v>
      </c>
      <c r="C18410" s="34" t="s">
        <v>12565</v>
      </c>
      <c r="E18410" s="30" t="s">
        <v>33568</v>
      </c>
      <c r="F18410" s="34" t="n">
        <f aca="false">IFERROR(VLOOKUP($A18410,'319'!$B:$H,7,0),0)</f>
        <v>0</v>
      </c>
      <c r="G18410" s="34" t="n">
        <f aca="false">SUMIFS('12.326ana'!$C:$C,'12.326ana'!$M:$M,redes!A18410)</f>
        <v>0</v>
      </c>
    </row>
    <row r="18411" customFormat="false" ht="14.4" hidden="true" customHeight="false" outlineLevel="0" collapsed="false">
      <c r="A18411" s="34" t="n">
        <v>50581403000140</v>
      </c>
      <c r="B18411" s="34" t="s">
        <v>33569</v>
      </c>
      <c r="C18411" s="34" t="s">
        <v>565</v>
      </c>
      <c r="E18411" s="30" t="s">
        <v>33570</v>
      </c>
      <c r="F18411" s="34" t="n">
        <f aca="false">IFERROR(VLOOKUP($A18411,'319'!$B:$H,7,0),0)</f>
        <v>0</v>
      </c>
      <c r="G18411" s="34" t="n">
        <f aca="false">SUMIFS('12.326ana'!$C:$C,'12.326ana'!$M:$M,redes!A18411)</f>
        <v>0</v>
      </c>
    </row>
    <row r="18412" customFormat="false" ht="14.4" hidden="true" customHeight="false" outlineLevel="0" collapsed="false">
      <c r="A18412" s="34" t="n">
        <v>50591121000123</v>
      </c>
      <c r="B18412" s="34" t="s">
        <v>33571</v>
      </c>
      <c r="C18412" s="34" t="s">
        <v>129</v>
      </c>
      <c r="E18412" s="30" t="s">
        <v>33572</v>
      </c>
      <c r="F18412" s="34" t="n">
        <f aca="false">IFERROR(VLOOKUP($A18412,'319'!$B:$H,7,0),0)</f>
        <v>0</v>
      </c>
      <c r="G18412" s="34" t="n">
        <f aca="false">SUMIFS('12.326ana'!$C:$C,'12.326ana'!$M:$M,redes!A18412)</f>
        <v>0</v>
      </c>
    </row>
    <row r="18413" customFormat="false" ht="14.4" hidden="true" customHeight="false" outlineLevel="0" collapsed="false">
      <c r="A18413" s="34" t="n">
        <v>50628717000150</v>
      </c>
      <c r="B18413" s="34" t="s">
        <v>33573</v>
      </c>
      <c r="C18413" s="34" t="s">
        <v>448</v>
      </c>
      <c r="E18413" s="30" t="s">
        <v>33574</v>
      </c>
      <c r="F18413" s="34" t="n">
        <f aca="false">IFERROR(VLOOKUP($A18413,'319'!$B:$H,7,0),0)</f>
        <v>0</v>
      </c>
      <c r="G18413" s="34" t="n">
        <f aca="false">SUMIFS('12.326ana'!$C:$C,'12.326ana'!$M:$M,redes!A18413)</f>
        <v>0</v>
      </c>
    </row>
    <row r="18414" customFormat="false" ht="14.4" hidden="true" customHeight="false" outlineLevel="0" collapsed="false">
      <c r="A18414" s="34" t="n">
        <v>50632086000143</v>
      </c>
      <c r="B18414" s="34" t="s">
        <v>33575</v>
      </c>
      <c r="C18414" s="34" t="s">
        <v>848</v>
      </c>
      <c r="E18414" s="30" t="s">
        <v>33576</v>
      </c>
      <c r="F18414" s="34" t="n">
        <f aca="false">IFERROR(VLOOKUP($A18414,'319'!$B:$H,7,0),0)</f>
        <v>0</v>
      </c>
      <c r="G18414" s="34" t="n">
        <f aca="false">SUMIFS('12.326ana'!$C:$C,'12.326ana'!$M:$M,redes!A18414)</f>
        <v>0</v>
      </c>
    </row>
    <row r="18415" customFormat="false" ht="14.4" hidden="true" customHeight="false" outlineLevel="0" collapsed="false">
      <c r="A18415" s="34" t="n">
        <v>50723093000150</v>
      </c>
      <c r="B18415" s="34" t="s">
        <v>33577</v>
      </c>
      <c r="C18415" s="34" t="s">
        <v>77</v>
      </c>
      <c r="E18415" s="30" t="s">
        <v>5725</v>
      </c>
      <c r="F18415" s="34" t="n">
        <f aca="false">IFERROR(VLOOKUP($A18415,'319'!$B:$H,7,0),0)</f>
        <v>0</v>
      </c>
      <c r="G18415" s="34" t="n">
        <f aca="false">SUMIFS('12.326ana'!$C:$C,'12.326ana'!$M:$M,redes!A18415)</f>
        <v>0</v>
      </c>
    </row>
    <row r="18416" customFormat="false" ht="14.4" hidden="true" customHeight="false" outlineLevel="0" collapsed="false">
      <c r="A18416" s="34" t="n">
        <v>50728519000169</v>
      </c>
      <c r="B18416" s="34" t="s">
        <v>33578</v>
      </c>
      <c r="C18416" s="34" t="s">
        <v>139</v>
      </c>
      <c r="E18416" s="30" t="s">
        <v>33579</v>
      </c>
      <c r="F18416" s="34" t="n">
        <f aca="false">IFERROR(VLOOKUP($A18416,'319'!$B:$H,7,0),0)</f>
        <v>0</v>
      </c>
      <c r="G18416" s="34" t="n">
        <f aca="false">SUMIFS('12.326ana'!$C:$C,'12.326ana'!$M:$M,redes!A18416)</f>
        <v>0</v>
      </c>
    </row>
    <row r="18417" customFormat="false" ht="14.4" hidden="true" customHeight="false" outlineLevel="0" collapsed="false">
      <c r="A18417" s="34" t="n">
        <v>50806425000160</v>
      </c>
      <c r="B18417" s="34" t="s">
        <v>33580</v>
      </c>
      <c r="C18417" s="34" t="s">
        <v>77</v>
      </c>
      <c r="E18417" s="30" t="s">
        <v>33581</v>
      </c>
      <c r="F18417" s="34" t="n">
        <f aca="false">IFERROR(VLOOKUP($A18417,'319'!$B:$H,7,0),0)</f>
        <v>1165.39</v>
      </c>
      <c r="G18417" s="34" t="n">
        <f aca="false">SUMIFS('12.326ana'!$C:$C,'12.326ana'!$M:$M,redes!A18417)</f>
        <v>0</v>
      </c>
    </row>
    <row r="18418" customFormat="false" ht="14.4" hidden="true" customHeight="false" outlineLevel="0" collapsed="false">
      <c r="A18418" s="34" t="n">
        <v>50822991000166</v>
      </c>
      <c r="B18418" s="34" t="s">
        <v>33582</v>
      </c>
      <c r="C18418" s="34" t="s">
        <v>129</v>
      </c>
      <c r="E18418" s="30" t="s">
        <v>33583</v>
      </c>
      <c r="F18418" s="34" t="n">
        <f aca="false">IFERROR(VLOOKUP($A18418,'319'!$B:$H,7,0),0)</f>
        <v>0</v>
      </c>
      <c r="G18418" s="34" t="n">
        <f aca="false">SUMIFS('12.326ana'!$C:$C,'12.326ana'!$M:$M,redes!A18418)</f>
        <v>0</v>
      </c>
    </row>
    <row r="18419" customFormat="false" ht="14.4" hidden="true" customHeight="false" outlineLevel="0" collapsed="false">
      <c r="A18419" s="34" t="n">
        <v>50826471000121</v>
      </c>
      <c r="B18419" s="34" t="s">
        <v>33584</v>
      </c>
      <c r="C18419" s="34" t="s">
        <v>77</v>
      </c>
      <c r="E18419" s="30" t="s">
        <v>33585</v>
      </c>
      <c r="F18419" s="34" t="n">
        <f aca="false">IFERROR(VLOOKUP($A18419,'319'!$B:$H,7,0),0)</f>
        <v>0</v>
      </c>
      <c r="G18419" s="34" t="n">
        <f aca="false">SUMIFS('12.326ana'!$C:$C,'12.326ana'!$M:$M,redes!A18419)</f>
        <v>0</v>
      </c>
    </row>
    <row r="18420" customFormat="false" ht="14.4" hidden="true" customHeight="false" outlineLevel="0" collapsed="false">
      <c r="A18420" s="34" t="n">
        <v>50850180000179</v>
      </c>
      <c r="B18420" s="34" t="s">
        <v>33586</v>
      </c>
      <c r="C18420" s="34" t="s">
        <v>328</v>
      </c>
      <c r="E18420" s="30" t="s">
        <v>33587</v>
      </c>
      <c r="F18420" s="34" t="n">
        <f aca="false">IFERROR(VLOOKUP($A18420,'319'!$B:$H,7,0),0)</f>
        <v>0</v>
      </c>
      <c r="G18420" s="34" t="n">
        <f aca="false">SUMIFS('12.326ana'!$C:$C,'12.326ana'!$M:$M,redes!A18420)</f>
        <v>0</v>
      </c>
    </row>
    <row r="18421" customFormat="false" ht="14.4" hidden="true" customHeight="false" outlineLevel="0" collapsed="false">
      <c r="A18421" s="34" t="n">
        <v>50891526000187</v>
      </c>
      <c r="B18421" s="34" t="s">
        <v>33588</v>
      </c>
      <c r="C18421" s="34" t="s">
        <v>631</v>
      </c>
      <c r="E18421" s="30" t="s">
        <v>33589</v>
      </c>
      <c r="F18421" s="34" t="n">
        <f aca="false">IFERROR(VLOOKUP($A18421,'319'!$B:$H,7,0),0)</f>
        <v>0</v>
      </c>
      <c r="G18421" s="34" t="n">
        <f aca="false">SUMIFS('12.326ana'!$C:$C,'12.326ana'!$M:$M,redes!A18421)</f>
        <v>0</v>
      </c>
    </row>
    <row r="18422" customFormat="false" ht="14.4" hidden="true" customHeight="false" outlineLevel="0" collapsed="false">
      <c r="A18422" s="34" t="n">
        <v>50902109000192</v>
      </c>
      <c r="B18422" s="34" t="s">
        <v>33590</v>
      </c>
      <c r="C18422" s="34" t="s">
        <v>77</v>
      </c>
      <c r="E18422" s="30" t="s">
        <v>33591</v>
      </c>
      <c r="F18422" s="34" t="n">
        <f aca="false">IFERROR(VLOOKUP($A18422,'319'!$B:$H,7,0),0)</f>
        <v>0</v>
      </c>
      <c r="G18422" s="34" t="n">
        <f aca="false">SUMIFS('12.326ana'!$C:$C,'12.326ana'!$M:$M,redes!A18422)</f>
        <v>0</v>
      </c>
    </row>
    <row r="18423" customFormat="false" ht="14.4" hidden="true" customHeight="false" outlineLevel="0" collapsed="false">
      <c r="A18423" s="34" t="n">
        <v>50930072000106</v>
      </c>
      <c r="B18423" s="34" t="s">
        <v>33592</v>
      </c>
      <c r="C18423" s="34" t="s">
        <v>27232</v>
      </c>
      <c r="E18423" s="30" t="s">
        <v>33593</v>
      </c>
      <c r="F18423" s="34" t="n">
        <f aca="false">IFERROR(VLOOKUP($A18423,'319'!$B:$H,7,0),0)</f>
        <v>0</v>
      </c>
      <c r="G18423" s="34" t="n">
        <f aca="false">SUMIFS('12.326ana'!$C:$C,'12.326ana'!$M:$M,redes!A18423)</f>
        <v>0</v>
      </c>
    </row>
    <row r="18424" customFormat="false" ht="14.4" hidden="true" customHeight="false" outlineLevel="0" collapsed="false">
      <c r="A18424" s="34" t="n">
        <v>50946247000173</v>
      </c>
      <c r="B18424" s="34" t="s">
        <v>33594</v>
      </c>
      <c r="C18424" s="34" t="s">
        <v>77</v>
      </c>
      <c r="E18424" s="30" t="s">
        <v>33595</v>
      </c>
      <c r="F18424" s="34" t="n">
        <f aca="false">IFERROR(VLOOKUP($A18424,'319'!$B:$H,7,0),0)</f>
        <v>0</v>
      </c>
      <c r="G18424" s="34" t="n">
        <f aca="false">SUMIFS('12.326ana'!$C:$C,'12.326ana'!$M:$M,redes!A18424)</f>
        <v>0</v>
      </c>
    </row>
    <row r="18425" customFormat="false" ht="14.4" hidden="true" customHeight="false" outlineLevel="0" collapsed="false">
      <c r="A18425" s="34" t="n">
        <v>50955707000472</v>
      </c>
      <c r="B18425" s="34" t="s">
        <v>33596</v>
      </c>
      <c r="C18425" s="34" t="s">
        <v>33597</v>
      </c>
      <c r="E18425" s="30" t="s">
        <v>33598</v>
      </c>
      <c r="F18425" s="34" t="n">
        <f aca="false">IFERROR(VLOOKUP($A18425,'319'!$B:$H,7,0),0)</f>
        <v>0</v>
      </c>
      <c r="G18425" s="34" t="n">
        <f aca="false">SUMIFS('12.326ana'!$C:$C,'12.326ana'!$M:$M,redes!A18425)</f>
        <v>0</v>
      </c>
    </row>
    <row r="18426" customFormat="false" ht="14.4" hidden="true" customHeight="false" outlineLevel="0" collapsed="false">
      <c r="A18426" s="34" t="n">
        <v>50955707001100</v>
      </c>
      <c r="B18426" s="34" t="s">
        <v>33599</v>
      </c>
      <c r="C18426" s="34" t="s">
        <v>33597</v>
      </c>
      <c r="E18426" s="30" t="s">
        <v>33599</v>
      </c>
      <c r="F18426" s="34" t="n">
        <f aca="false">IFERROR(VLOOKUP($A18426,'319'!$B:$H,7,0),0)</f>
        <v>0</v>
      </c>
      <c r="G18426" s="34" t="n">
        <f aca="false">SUMIFS('12.326ana'!$C:$C,'12.326ana'!$M:$M,redes!A18426)</f>
        <v>0</v>
      </c>
    </row>
    <row r="18427" customFormat="false" ht="14.4" hidden="true" customHeight="false" outlineLevel="0" collapsed="false">
      <c r="A18427" s="34" t="n">
        <v>50955707001282</v>
      </c>
      <c r="B18427" s="34" t="s">
        <v>33599</v>
      </c>
      <c r="C18427" s="34" t="s">
        <v>33600</v>
      </c>
      <c r="E18427" s="30" t="s">
        <v>33599</v>
      </c>
      <c r="F18427" s="34" t="n">
        <f aca="false">IFERROR(VLOOKUP($A18427,'319'!$B:$H,7,0),0)</f>
        <v>0</v>
      </c>
      <c r="G18427" s="34" t="n">
        <f aca="false">SUMIFS('12.326ana'!$C:$C,'12.326ana'!$M:$M,redes!A18427)</f>
        <v>0</v>
      </c>
    </row>
    <row r="18428" customFormat="false" ht="14.4" hidden="true" customHeight="false" outlineLevel="0" collapsed="false">
      <c r="A18428" s="34" t="n">
        <v>50962884000133</v>
      </c>
      <c r="B18428" s="34" t="s">
        <v>33601</v>
      </c>
      <c r="C18428" s="34" t="s">
        <v>139</v>
      </c>
      <c r="E18428" s="30" t="s">
        <v>33602</v>
      </c>
      <c r="F18428" s="34" t="n">
        <f aca="false">IFERROR(VLOOKUP($A18428,'319'!$B:$H,7,0),0)</f>
        <v>0</v>
      </c>
      <c r="G18428" s="34" t="n">
        <f aca="false">SUMIFS('12.326ana'!$C:$C,'12.326ana'!$M:$M,redes!A18428)</f>
        <v>0</v>
      </c>
    </row>
    <row r="18429" customFormat="false" ht="14.4" hidden="true" customHeight="false" outlineLevel="0" collapsed="false">
      <c r="A18429" s="34" t="n">
        <v>50981946000154</v>
      </c>
      <c r="B18429" s="34" t="s">
        <v>33603</v>
      </c>
      <c r="C18429" s="34" t="s">
        <v>77</v>
      </c>
      <c r="E18429" s="30" t="s">
        <v>27423</v>
      </c>
      <c r="F18429" s="34" t="n">
        <f aca="false">IFERROR(VLOOKUP($A18429,'319'!$B:$H,7,0),0)</f>
        <v>0</v>
      </c>
      <c r="G18429" s="34" t="n">
        <f aca="false">SUMIFS('12.326ana'!$C:$C,'12.326ana'!$M:$M,redes!A18429)</f>
        <v>0</v>
      </c>
    </row>
    <row r="18430" customFormat="false" ht="14.4" hidden="true" customHeight="false" outlineLevel="0" collapsed="false">
      <c r="A18430" s="34" t="n">
        <v>51005284000140</v>
      </c>
      <c r="B18430" s="34" t="s">
        <v>33604</v>
      </c>
      <c r="C18430" s="34" t="s">
        <v>77</v>
      </c>
      <c r="E18430" s="30" t="s">
        <v>33605</v>
      </c>
      <c r="F18430" s="34" t="n">
        <f aca="false">IFERROR(VLOOKUP($A18430,'319'!$B:$H,7,0),0)</f>
        <v>0</v>
      </c>
      <c r="G18430" s="34" t="n">
        <f aca="false">SUMIFS('12.326ana'!$C:$C,'12.326ana'!$M:$M,redes!A18430)</f>
        <v>0</v>
      </c>
    </row>
    <row r="18431" customFormat="false" ht="14.4" hidden="true" customHeight="false" outlineLevel="0" collapsed="false">
      <c r="A18431" s="34" t="n">
        <v>51029546000106</v>
      </c>
      <c r="B18431" s="34" t="s">
        <v>33606</v>
      </c>
      <c r="C18431" s="34" t="s">
        <v>89</v>
      </c>
      <c r="E18431" s="30" t="s">
        <v>33607</v>
      </c>
      <c r="F18431" s="34" t="n">
        <f aca="false">IFERROR(VLOOKUP($A18431,'319'!$B:$H,7,0),0)</f>
        <v>0</v>
      </c>
      <c r="G18431" s="34" t="n">
        <f aca="false">SUMIFS('12.326ana'!$C:$C,'12.326ana'!$M:$M,redes!A18431)</f>
        <v>0</v>
      </c>
    </row>
    <row r="18432" customFormat="false" ht="14.4" hidden="true" customHeight="false" outlineLevel="0" collapsed="false">
      <c r="A18432" s="34" t="n">
        <v>51040414000185</v>
      </c>
      <c r="B18432" s="34" t="s">
        <v>33608</v>
      </c>
      <c r="C18432" s="34" t="s">
        <v>357</v>
      </c>
      <c r="E18432" s="30" t="s">
        <v>33609</v>
      </c>
      <c r="F18432" s="34" t="n">
        <f aca="false">IFERROR(VLOOKUP($A18432,'319'!$B:$H,7,0),0)</f>
        <v>0</v>
      </c>
      <c r="G18432" s="34" t="n">
        <f aca="false">SUMIFS('12.326ana'!$C:$C,'12.326ana'!$M:$M,redes!A18432)</f>
        <v>0</v>
      </c>
    </row>
    <row r="18433" customFormat="false" ht="14.4" hidden="true" customHeight="false" outlineLevel="0" collapsed="false">
      <c r="A18433" s="34" t="n">
        <v>51046405000100</v>
      </c>
      <c r="B18433" s="34" t="s">
        <v>33610</v>
      </c>
      <c r="C18433" s="34" t="s">
        <v>107</v>
      </c>
      <c r="E18433" s="30" t="s">
        <v>33611</v>
      </c>
      <c r="F18433" s="34" t="n">
        <f aca="false">IFERROR(VLOOKUP($A18433,'319'!$B:$H,7,0),0)</f>
        <v>0</v>
      </c>
      <c r="G18433" s="34" t="n">
        <f aca="false">SUMIFS('12.326ana'!$C:$C,'12.326ana'!$M:$M,redes!A18433)</f>
        <v>0</v>
      </c>
    </row>
    <row r="18434" customFormat="false" ht="14.4" hidden="true" customHeight="false" outlineLevel="0" collapsed="false">
      <c r="A18434" s="34" t="n">
        <v>51072946000102</v>
      </c>
      <c r="B18434" s="34" t="s">
        <v>801</v>
      </c>
      <c r="C18434" s="34" t="s">
        <v>103</v>
      </c>
      <c r="E18434" s="30" t="s">
        <v>33612</v>
      </c>
      <c r="F18434" s="34" t="n">
        <f aca="false">IFERROR(VLOOKUP($A18434,'319'!$B:$H,7,0),0)</f>
        <v>2910.41</v>
      </c>
      <c r="G18434" s="34" t="n">
        <f aca="false">SUMIFS('12.326ana'!$C:$C,'12.326ana'!$M:$M,redes!A18434)</f>
        <v>0</v>
      </c>
    </row>
    <row r="18435" customFormat="false" ht="14.4" hidden="true" customHeight="false" outlineLevel="0" collapsed="false">
      <c r="A18435" s="34" t="n">
        <v>51079806000158</v>
      </c>
      <c r="B18435" s="34" t="s">
        <v>1390</v>
      </c>
      <c r="C18435" s="34" t="s">
        <v>804</v>
      </c>
      <c r="E18435" s="30" t="s">
        <v>33613</v>
      </c>
      <c r="F18435" s="34" t="n">
        <f aca="false">IFERROR(VLOOKUP($A18435,'319'!$B:$H,7,0),0)</f>
        <v>240.73</v>
      </c>
      <c r="G18435" s="34" t="n">
        <f aca="false">SUMIFS('12.326ana'!$C:$C,'12.326ana'!$M:$M,redes!A18435)</f>
        <v>0</v>
      </c>
    </row>
    <row r="18436" customFormat="false" ht="14.4" hidden="true" customHeight="false" outlineLevel="0" collapsed="false">
      <c r="A18436" s="34" t="n">
        <v>51085518000106</v>
      </c>
      <c r="B18436" s="34" t="s">
        <v>33614</v>
      </c>
      <c r="C18436" s="34" t="s">
        <v>77</v>
      </c>
      <c r="E18436" s="30" t="s">
        <v>33615</v>
      </c>
      <c r="F18436" s="34" t="n">
        <f aca="false">IFERROR(VLOOKUP($A18436,'319'!$B:$H,7,0),0)</f>
        <v>0</v>
      </c>
      <c r="G18436" s="34" t="n">
        <f aca="false">SUMIFS('12.326ana'!$C:$C,'12.326ana'!$M:$M,redes!A18436)</f>
        <v>0</v>
      </c>
    </row>
    <row r="18437" customFormat="false" ht="14.4" hidden="true" customHeight="false" outlineLevel="0" collapsed="false">
      <c r="A18437" s="34" t="n">
        <v>51099191000121</v>
      </c>
      <c r="B18437" s="34" t="s">
        <v>33616</v>
      </c>
      <c r="C18437" s="34" t="s">
        <v>475</v>
      </c>
      <c r="E18437" s="30" t="s">
        <v>18938</v>
      </c>
      <c r="F18437" s="34" t="n">
        <f aca="false">IFERROR(VLOOKUP($A18437,'319'!$B:$H,7,0),0)</f>
        <v>0</v>
      </c>
      <c r="G18437" s="34" t="n">
        <f aca="false">SUMIFS('12.326ana'!$C:$C,'12.326ana'!$M:$M,redes!A18437)</f>
        <v>0</v>
      </c>
    </row>
    <row r="18438" customFormat="false" ht="14.4" hidden="true" customHeight="false" outlineLevel="0" collapsed="false">
      <c r="A18438" s="34" t="n">
        <v>51103284000182</v>
      </c>
      <c r="B18438" s="34" t="s">
        <v>33617</v>
      </c>
      <c r="C18438" s="34" t="s">
        <v>299</v>
      </c>
      <c r="E18438" s="30" t="s">
        <v>3540</v>
      </c>
      <c r="F18438" s="34" t="n">
        <f aca="false">IFERROR(VLOOKUP($A18438,'319'!$B:$H,7,0),0)</f>
        <v>0</v>
      </c>
      <c r="G18438" s="34" t="n">
        <f aca="false">SUMIFS('12.326ana'!$C:$C,'12.326ana'!$M:$M,redes!A18438)</f>
        <v>0</v>
      </c>
    </row>
    <row r="18439" customFormat="false" ht="14.4" hidden="true" customHeight="false" outlineLevel="0" collapsed="false">
      <c r="A18439" s="34" t="n">
        <v>51108002000130</v>
      </c>
      <c r="B18439" s="34" t="s">
        <v>33618</v>
      </c>
      <c r="C18439" s="34" t="s">
        <v>475</v>
      </c>
      <c r="E18439" s="30" t="s">
        <v>33619</v>
      </c>
      <c r="F18439" s="34" t="n">
        <f aca="false">IFERROR(VLOOKUP($A18439,'319'!$B:$H,7,0),0)</f>
        <v>0</v>
      </c>
      <c r="G18439" s="34" t="n">
        <f aca="false">SUMIFS('12.326ana'!$C:$C,'12.326ana'!$M:$M,redes!A18439)</f>
        <v>0</v>
      </c>
    </row>
    <row r="18440" customFormat="false" ht="14.4" hidden="true" customHeight="false" outlineLevel="0" collapsed="false">
      <c r="A18440" s="34" t="n">
        <v>51156022000186</v>
      </c>
      <c r="B18440" s="34" t="s">
        <v>33620</v>
      </c>
      <c r="C18440" s="34" t="s">
        <v>77</v>
      </c>
      <c r="E18440" s="30" t="s">
        <v>33621</v>
      </c>
      <c r="F18440" s="34" t="n">
        <f aca="false">IFERROR(VLOOKUP($A18440,'319'!$B:$H,7,0),0)</f>
        <v>0</v>
      </c>
      <c r="G18440" s="34" t="n">
        <f aca="false">SUMIFS('12.326ana'!$C:$C,'12.326ana'!$M:$M,redes!A18440)</f>
        <v>0</v>
      </c>
    </row>
    <row r="18441" customFormat="false" ht="14.4" hidden="true" customHeight="false" outlineLevel="0" collapsed="false">
      <c r="A18441" s="34" t="n">
        <v>51167445000100</v>
      </c>
      <c r="B18441" s="34" t="s">
        <v>14144</v>
      </c>
      <c r="C18441" s="34" t="s">
        <v>77</v>
      </c>
      <c r="E18441" s="30" t="s">
        <v>33622</v>
      </c>
      <c r="F18441" s="34" t="n">
        <f aca="false">IFERROR(VLOOKUP($A18441,'319'!$B:$H,7,0),0)</f>
        <v>0</v>
      </c>
      <c r="G18441" s="34" t="n">
        <f aca="false">SUMIFS('12.326ana'!$C:$C,'12.326ana'!$M:$M,redes!A18441)</f>
        <v>0</v>
      </c>
    </row>
    <row r="18442" customFormat="false" ht="14.4" hidden="true" customHeight="false" outlineLevel="0" collapsed="false">
      <c r="A18442" s="34" t="n">
        <v>51182941000124</v>
      </c>
      <c r="B18442" s="34" t="s">
        <v>964</v>
      </c>
      <c r="C18442" s="34" t="s">
        <v>139</v>
      </c>
      <c r="E18442" s="30" t="s">
        <v>33623</v>
      </c>
      <c r="F18442" s="34" t="n">
        <f aca="false">IFERROR(VLOOKUP($A18442,'319'!$B:$H,7,0),0)</f>
        <v>1078.34</v>
      </c>
      <c r="G18442" s="34" t="n">
        <f aca="false">SUMIFS('12.326ana'!$C:$C,'12.326ana'!$M:$M,redes!A18442)</f>
        <v>0</v>
      </c>
    </row>
    <row r="18443" customFormat="false" ht="14.4" hidden="true" customHeight="false" outlineLevel="0" collapsed="false">
      <c r="A18443" s="34" t="n">
        <v>51189665000126</v>
      </c>
      <c r="B18443" s="34" t="s">
        <v>33624</v>
      </c>
      <c r="C18443" s="34" t="s">
        <v>77</v>
      </c>
      <c r="E18443" s="30" t="s">
        <v>26988</v>
      </c>
      <c r="F18443" s="34" t="n">
        <f aca="false">IFERROR(VLOOKUP($A18443,'319'!$B:$H,7,0),0)</f>
        <v>0</v>
      </c>
      <c r="G18443" s="34" t="n">
        <f aca="false">SUMIFS('12.326ana'!$C:$C,'12.326ana'!$M:$M,redes!A18443)</f>
        <v>0</v>
      </c>
    </row>
    <row r="18444" customFormat="false" ht="14.4" hidden="true" customHeight="false" outlineLevel="0" collapsed="false">
      <c r="A18444" s="34" t="n">
        <v>51224857000126</v>
      </c>
      <c r="B18444" s="34" t="s">
        <v>33625</v>
      </c>
      <c r="C18444" s="34" t="s">
        <v>89</v>
      </c>
      <c r="E18444" s="30" t="s">
        <v>33626</v>
      </c>
      <c r="F18444" s="34" t="n">
        <f aca="false">IFERROR(VLOOKUP($A18444,'319'!$B:$H,7,0),0)</f>
        <v>0</v>
      </c>
      <c r="G18444" s="34" t="n">
        <f aca="false">SUMIFS('12.326ana'!$C:$C,'12.326ana'!$M:$M,redes!A18444)</f>
        <v>0</v>
      </c>
    </row>
    <row r="18445" customFormat="false" ht="14.4" hidden="true" customHeight="false" outlineLevel="0" collapsed="false">
      <c r="A18445" s="34" t="n">
        <v>51289980000125</v>
      </c>
      <c r="B18445" s="34" t="s">
        <v>33627</v>
      </c>
      <c r="C18445" s="34" t="s">
        <v>77</v>
      </c>
      <c r="E18445" s="30" t="s">
        <v>6851</v>
      </c>
      <c r="F18445" s="34" t="n">
        <f aca="false">IFERROR(VLOOKUP($A18445,'319'!$B:$H,7,0),0)</f>
        <v>0</v>
      </c>
      <c r="G18445" s="34" t="n">
        <f aca="false">SUMIFS('12.326ana'!$C:$C,'12.326ana'!$M:$M,redes!A18445)</f>
        <v>0</v>
      </c>
    </row>
    <row r="18446" customFormat="false" ht="14.4" hidden="true" customHeight="false" outlineLevel="0" collapsed="false">
      <c r="A18446" s="34" t="n">
        <v>51289980000206</v>
      </c>
      <c r="B18446" s="34" t="s">
        <v>33628</v>
      </c>
      <c r="C18446" s="34" t="s">
        <v>77</v>
      </c>
      <c r="E18446" s="30" t="s">
        <v>33628</v>
      </c>
      <c r="F18446" s="34" t="n">
        <f aca="false">IFERROR(VLOOKUP($A18446,'319'!$B:$H,7,0),0)</f>
        <v>0</v>
      </c>
      <c r="G18446" s="34" t="n">
        <f aca="false">SUMIFS('12.326ana'!$C:$C,'12.326ana'!$M:$M,redes!A18446)</f>
        <v>0</v>
      </c>
    </row>
    <row r="18447" customFormat="false" ht="14.4" hidden="true" customHeight="false" outlineLevel="0" collapsed="false">
      <c r="A18447" s="34" t="n">
        <v>51308201000191</v>
      </c>
      <c r="B18447" s="34" t="s">
        <v>33629</v>
      </c>
      <c r="C18447" s="34" t="s">
        <v>77</v>
      </c>
      <c r="E18447" s="30" t="s">
        <v>32204</v>
      </c>
      <c r="F18447" s="34" t="n">
        <f aca="false">IFERROR(VLOOKUP($A18447,'319'!$B:$H,7,0),0)</f>
        <v>0</v>
      </c>
      <c r="G18447" s="34" t="n">
        <f aca="false">SUMIFS('12.326ana'!$C:$C,'12.326ana'!$M:$M,redes!A18447)</f>
        <v>0</v>
      </c>
    </row>
    <row r="18448" customFormat="false" ht="14.4" hidden="true" customHeight="false" outlineLevel="0" collapsed="false">
      <c r="A18448" s="34" t="n">
        <v>51326123000158</v>
      </c>
      <c r="B18448" s="34" t="s">
        <v>33630</v>
      </c>
      <c r="C18448" s="34" t="s">
        <v>598</v>
      </c>
      <c r="E18448" s="30" t="s">
        <v>33631</v>
      </c>
      <c r="F18448" s="34" t="n">
        <f aca="false">IFERROR(VLOOKUP($A18448,'319'!$B:$H,7,0),0)</f>
        <v>0</v>
      </c>
      <c r="G18448" s="34" t="n">
        <f aca="false">SUMIFS('12.326ana'!$C:$C,'12.326ana'!$M:$M,redes!A18448)</f>
        <v>0</v>
      </c>
    </row>
    <row r="18449" customFormat="false" ht="14.4" hidden="true" customHeight="false" outlineLevel="0" collapsed="false">
      <c r="A18449" s="34" t="n">
        <v>51330412000120</v>
      </c>
      <c r="B18449" s="34" t="s">
        <v>33632</v>
      </c>
      <c r="C18449" s="34" t="s">
        <v>77</v>
      </c>
      <c r="E18449" s="30" t="s">
        <v>33633</v>
      </c>
      <c r="F18449" s="34" t="n">
        <f aca="false">IFERROR(VLOOKUP($A18449,'319'!$B:$H,7,0),0)</f>
        <v>0</v>
      </c>
      <c r="G18449" s="34" t="n">
        <f aca="false">SUMIFS('12.326ana'!$C:$C,'12.326ana'!$M:$M,redes!A18449)</f>
        <v>0</v>
      </c>
    </row>
    <row r="18450" customFormat="false" ht="14.4" hidden="true" customHeight="false" outlineLevel="0" collapsed="false">
      <c r="A18450" s="34" t="n">
        <v>51333000000144</v>
      </c>
      <c r="B18450" s="34" t="s">
        <v>33634</v>
      </c>
      <c r="C18450" s="34" t="s">
        <v>631</v>
      </c>
      <c r="E18450" s="30" t="s">
        <v>33635</v>
      </c>
      <c r="F18450" s="34" t="n">
        <f aca="false">IFERROR(VLOOKUP($A18450,'319'!$B:$H,7,0),0)</f>
        <v>0</v>
      </c>
      <c r="G18450" s="34" t="n">
        <f aca="false">SUMIFS('12.326ana'!$C:$C,'12.326ana'!$M:$M,redes!A18450)</f>
        <v>0</v>
      </c>
    </row>
    <row r="18451" customFormat="false" ht="14.4" hidden="true" customHeight="false" outlineLevel="0" collapsed="false">
      <c r="A18451" s="34" t="n">
        <v>51334416000187</v>
      </c>
      <c r="B18451" s="34" t="s">
        <v>33636</v>
      </c>
      <c r="C18451" s="34" t="s">
        <v>107</v>
      </c>
      <c r="E18451" s="30" t="s">
        <v>33637</v>
      </c>
      <c r="F18451" s="34" t="n">
        <f aca="false">IFERROR(VLOOKUP($A18451,'319'!$B:$H,7,0),0)</f>
        <v>0</v>
      </c>
      <c r="G18451" s="34" t="n">
        <f aca="false">SUMIFS('12.326ana'!$C:$C,'12.326ana'!$M:$M,redes!A18451)</f>
        <v>0</v>
      </c>
    </row>
    <row r="18452" customFormat="false" ht="14.4" hidden="true" customHeight="false" outlineLevel="0" collapsed="false">
      <c r="A18452" s="34" t="n">
        <v>51341271000141</v>
      </c>
      <c r="B18452" s="34" t="s">
        <v>33638</v>
      </c>
      <c r="C18452" s="34" t="s">
        <v>89</v>
      </c>
      <c r="E18452" s="30" t="s">
        <v>33639</v>
      </c>
      <c r="F18452" s="34" t="n">
        <f aca="false">IFERROR(VLOOKUP($A18452,'319'!$B:$H,7,0),0)</f>
        <v>0</v>
      </c>
      <c r="G18452" s="34" t="n">
        <f aca="false">SUMIFS('12.326ana'!$C:$C,'12.326ana'!$M:$M,redes!A18452)</f>
        <v>0</v>
      </c>
    </row>
    <row r="18453" customFormat="false" ht="14.4" hidden="true" customHeight="false" outlineLevel="0" collapsed="false">
      <c r="A18453" s="34" t="n">
        <v>51357635000181</v>
      </c>
      <c r="B18453" s="34" t="s">
        <v>33640</v>
      </c>
      <c r="C18453" s="34" t="s">
        <v>448</v>
      </c>
      <c r="E18453" s="30" t="s">
        <v>33641</v>
      </c>
      <c r="F18453" s="34" t="n">
        <f aca="false">IFERROR(VLOOKUP($A18453,'319'!$B:$H,7,0),0)</f>
        <v>0</v>
      </c>
      <c r="G18453" s="34" t="n">
        <f aca="false">SUMIFS('12.326ana'!$C:$C,'12.326ana'!$M:$M,redes!A18453)</f>
        <v>0</v>
      </c>
    </row>
    <row r="18454" customFormat="false" ht="14.4" hidden="true" customHeight="false" outlineLevel="0" collapsed="false">
      <c r="A18454" s="34" t="n">
        <v>51358527000123</v>
      </c>
      <c r="B18454" s="34" t="s">
        <v>33642</v>
      </c>
      <c r="C18454" s="34" t="s">
        <v>77</v>
      </c>
      <c r="E18454" s="30" t="s">
        <v>33642</v>
      </c>
      <c r="F18454" s="34" t="n">
        <f aca="false">IFERROR(VLOOKUP($A18454,'319'!$B:$H,7,0),0)</f>
        <v>0</v>
      </c>
      <c r="G18454" s="34" t="n">
        <f aca="false">SUMIFS('12.326ana'!$C:$C,'12.326ana'!$M:$M,redes!A18454)</f>
        <v>0</v>
      </c>
    </row>
    <row r="18455" customFormat="false" ht="14.4" hidden="true" customHeight="false" outlineLevel="0" collapsed="false">
      <c r="A18455" s="34" t="n">
        <v>51371237000110</v>
      </c>
      <c r="B18455" s="34" t="s">
        <v>33643</v>
      </c>
      <c r="C18455" s="34" t="s">
        <v>12298</v>
      </c>
      <c r="E18455" s="30" t="s">
        <v>33644</v>
      </c>
      <c r="F18455" s="34" t="n">
        <f aca="false">IFERROR(VLOOKUP($A18455,'319'!$B:$H,7,0),0)</f>
        <v>0</v>
      </c>
      <c r="G18455" s="34" t="n">
        <f aca="false">SUMIFS('12.326ana'!$C:$C,'12.326ana'!$M:$M,redes!A18455)</f>
        <v>0</v>
      </c>
    </row>
    <row r="18456" customFormat="false" ht="14.4" hidden="true" customHeight="false" outlineLevel="0" collapsed="false">
      <c r="A18456" s="34" t="n">
        <v>51423747000274</v>
      </c>
      <c r="B18456" s="34" t="s">
        <v>33645</v>
      </c>
      <c r="C18456" s="34" t="s">
        <v>20618</v>
      </c>
      <c r="E18456" s="30" t="s">
        <v>33646</v>
      </c>
      <c r="F18456" s="34" t="n">
        <f aca="false">IFERROR(VLOOKUP($A18456,'319'!$B:$H,7,0),0)</f>
        <v>0</v>
      </c>
      <c r="G18456" s="34" t="n">
        <f aca="false">SUMIFS('12.326ana'!$C:$C,'12.326ana'!$M:$M,redes!A18456)</f>
        <v>0</v>
      </c>
    </row>
    <row r="18457" customFormat="false" ht="14.4" hidden="true" customHeight="false" outlineLevel="0" collapsed="false">
      <c r="A18457" s="34" t="n">
        <v>51423747001084</v>
      </c>
      <c r="B18457" s="34" t="s">
        <v>33645</v>
      </c>
      <c r="C18457" s="34" t="s">
        <v>20618</v>
      </c>
      <c r="E18457" s="30"/>
      <c r="F18457" s="34" t="n">
        <f aca="false">IFERROR(VLOOKUP($A18457,'319'!$B:$H,7,0),0)</f>
        <v>0</v>
      </c>
      <c r="G18457" s="34" t="n">
        <f aca="false">SUMIFS('12.326ana'!$C:$C,'12.326ana'!$M:$M,redes!A18457)</f>
        <v>0</v>
      </c>
    </row>
    <row r="18458" customFormat="false" ht="14.4" hidden="true" customHeight="false" outlineLevel="0" collapsed="false">
      <c r="A18458" s="34" t="n">
        <v>51423747001165</v>
      </c>
      <c r="B18458" s="34" t="s">
        <v>33645</v>
      </c>
      <c r="C18458" s="34" t="s">
        <v>20620</v>
      </c>
      <c r="E18458" s="30" t="s">
        <v>33647</v>
      </c>
      <c r="F18458" s="34" t="n">
        <f aca="false">IFERROR(VLOOKUP($A18458,'319'!$B:$H,7,0),0)</f>
        <v>0</v>
      </c>
      <c r="G18458" s="34" t="n">
        <f aca="false">SUMIFS('12.326ana'!$C:$C,'12.326ana'!$M:$M,redes!A18458)</f>
        <v>0</v>
      </c>
    </row>
    <row r="18459" customFormat="false" ht="14.4" hidden="true" customHeight="false" outlineLevel="0" collapsed="false">
      <c r="A18459" s="34" t="n">
        <v>51429465000101</v>
      </c>
      <c r="B18459" s="34" t="s">
        <v>858</v>
      </c>
      <c r="C18459" s="34" t="s">
        <v>77</v>
      </c>
      <c r="E18459" s="30" t="s">
        <v>33648</v>
      </c>
      <c r="F18459" s="34" t="n">
        <f aca="false">IFERROR(VLOOKUP($A18459,'319'!$B:$H,7,0),0)</f>
        <v>1949.25</v>
      </c>
      <c r="G18459" s="34" t="n">
        <f aca="false">SUMIFS('12.326ana'!$C:$C,'12.326ana'!$M:$M,redes!A18459)</f>
        <v>0</v>
      </c>
    </row>
    <row r="18460" customFormat="false" ht="14.4" hidden="true" customHeight="false" outlineLevel="0" collapsed="false">
      <c r="A18460" s="34" t="n">
        <v>51436056000124</v>
      </c>
      <c r="B18460" s="34" t="s">
        <v>33649</v>
      </c>
      <c r="C18460" s="34" t="s">
        <v>77</v>
      </c>
      <c r="E18460" s="30" t="s">
        <v>33650</v>
      </c>
      <c r="F18460" s="34" t="n">
        <f aca="false">IFERROR(VLOOKUP($A18460,'319'!$B:$H,7,0),0)</f>
        <v>0</v>
      </c>
      <c r="G18460" s="34" t="n">
        <f aca="false">SUMIFS('12.326ana'!$C:$C,'12.326ana'!$M:$M,redes!A18460)</f>
        <v>0</v>
      </c>
    </row>
    <row r="18461" customFormat="false" ht="14.4" hidden="true" customHeight="false" outlineLevel="0" collapsed="false">
      <c r="A18461" s="34" t="n">
        <v>51476578000150</v>
      </c>
      <c r="B18461" s="34" t="s">
        <v>33651</v>
      </c>
      <c r="C18461" s="34" t="s">
        <v>89</v>
      </c>
      <c r="E18461" s="30" t="s">
        <v>33652</v>
      </c>
      <c r="F18461" s="34" t="n">
        <f aca="false">IFERROR(VLOOKUP($A18461,'319'!$B:$H,7,0),0)</f>
        <v>0</v>
      </c>
      <c r="G18461" s="34" t="n">
        <f aca="false">SUMIFS('12.326ana'!$C:$C,'12.326ana'!$M:$M,redes!A18461)</f>
        <v>0</v>
      </c>
    </row>
    <row r="18462" customFormat="false" ht="14.4" hidden="true" customHeight="false" outlineLevel="0" collapsed="false">
      <c r="A18462" s="34" t="n">
        <v>51483615000157</v>
      </c>
      <c r="B18462" s="34" t="s">
        <v>33653</v>
      </c>
      <c r="C18462" s="34" t="s">
        <v>77</v>
      </c>
      <c r="E18462" s="30" t="s">
        <v>29845</v>
      </c>
      <c r="F18462" s="34" t="n">
        <f aca="false">IFERROR(VLOOKUP($A18462,'319'!$B:$H,7,0),0)</f>
        <v>0</v>
      </c>
      <c r="G18462" s="34" t="n">
        <f aca="false">SUMIFS('12.326ana'!$C:$C,'12.326ana'!$M:$M,redes!A18462)</f>
        <v>0</v>
      </c>
    </row>
    <row r="18463" customFormat="false" ht="14.4" hidden="true" customHeight="false" outlineLevel="0" collapsed="false">
      <c r="A18463" s="34" t="n">
        <v>51502483000163</v>
      </c>
      <c r="B18463" s="34" t="s">
        <v>33654</v>
      </c>
      <c r="C18463" s="34" t="s">
        <v>139</v>
      </c>
      <c r="E18463" s="30" t="s">
        <v>33654</v>
      </c>
      <c r="F18463" s="34" t="n">
        <f aca="false">IFERROR(VLOOKUP($A18463,'319'!$B:$H,7,0),0)</f>
        <v>0</v>
      </c>
      <c r="G18463" s="34" t="n">
        <f aca="false">SUMIFS('12.326ana'!$C:$C,'12.326ana'!$M:$M,redes!A18463)</f>
        <v>0</v>
      </c>
    </row>
    <row r="18464" customFormat="false" ht="14.4" hidden="true" customHeight="false" outlineLevel="0" collapsed="false">
      <c r="A18464" s="34" t="n">
        <v>51503823000170</v>
      </c>
      <c r="B18464" s="34" t="s">
        <v>33655</v>
      </c>
      <c r="C18464" s="34" t="s">
        <v>117</v>
      </c>
      <c r="E18464" s="30" t="s">
        <v>33656</v>
      </c>
      <c r="F18464" s="34" t="n">
        <f aca="false">IFERROR(VLOOKUP($A18464,'319'!$B:$H,7,0),0)</f>
        <v>0</v>
      </c>
      <c r="G18464" s="34" t="n">
        <f aca="false">SUMIFS('12.326ana'!$C:$C,'12.326ana'!$M:$M,redes!A18464)</f>
        <v>0</v>
      </c>
    </row>
    <row r="18465" customFormat="false" ht="14.4" hidden="true" customHeight="false" outlineLevel="0" collapsed="false">
      <c r="A18465" s="34" t="n">
        <v>51518968000145</v>
      </c>
      <c r="B18465" s="34" t="s">
        <v>33657</v>
      </c>
      <c r="C18465" s="34" t="s">
        <v>77</v>
      </c>
      <c r="E18465" s="30" t="s">
        <v>33658</v>
      </c>
      <c r="F18465" s="34" t="n">
        <f aca="false">IFERROR(VLOOKUP($A18465,'319'!$B:$H,7,0),0)</f>
        <v>0</v>
      </c>
      <c r="G18465" s="34" t="n">
        <f aca="false">SUMIFS('12.326ana'!$C:$C,'12.326ana'!$M:$M,redes!A18465)</f>
        <v>0</v>
      </c>
    </row>
    <row r="18466" customFormat="false" ht="14.4" hidden="true" customHeight="false" outlineLevel="0" collapsed="false">
      <c r="A18466" s="34" t="n">
        <v>51533373000169</v>
      </c>
      <c r="B18466" s="34" t="s">
        <v>1368</v>
      </c>
      <c r="C18466" s="34" t="s">
        <v>713</v>
      </c>
      <c r="E18466" s="30" t="s">
        <v>1368</v>
      </c>
      <c r="F18466" s="34" t="n">
        <f aca="false">IFERROR(VLOOKUP($A18466,'319'!$B:$H,7,0),0)</f>
        <v>250.33</v>
      </c>
      <c r="G18466" s="34" t="n">
        <f aca="false">SUMIFS('12.326ana'!$C:$C,'12.326ana'!$M:$M,redes!A18466)</f>
        <v>0</v>
      </c>
    </row>
    <row r="18467" customFormat="false" ht="14.4" hidden="true" customHeight="false" outlineLevel="0" collapsed="false">
      <c r="A18467" s="34" t="n">
        <v>51583390000100</v>
      </c>
      <c r="B18467" s="34" t="s">
        <v>33659</v>
      </c>
      <c r="C18467" s="34" t="s">
        <v>89</v>
      </c>
      <c r="E18467" s="30" t="s">
        <v>3194</v>
      </c>
      <c r="F18467" s="34" t="n">
        <f aca="false">IFERROR(VLOOKUP($A18467,'319'!$B:$H,7,0),0)</f>
        <v>0</v>
      </c>
      <c r="G18467" s="34" t="n">
        <f aca="false">SUMIFS('12.326ana'!$C:$C,'12.326ana'!$M:$M,redes!A18467)</f>
        <v>0</v>
      </c>
    </row>
    <row r="18468" customFormat="false" ht="14.4" hidden="true" customHeight="false" outlineLevel="0" collapsed="false">
      <c r="A18468" s="34" t="n">
        <v>51593065000129</v>
      </c>
      <c r="B18468" s="34" t="s">
        <v>33660</v>
      </c>
      <c r="C18468" s="34" t="s">
        <v>77</v>
      </c>
      <c r="E18468" s="30" t="s">
        <v>10663</v>
      </c>
      <c r="F18468" s="34" t="n">
        <f aca="false">IFERROR(VLOOKUP($A18468,'319'!$B:$H,7,0),0)</f>
        <v>0</v>
      </c>
      <c r="G18468" s="34" t="n">
        <f aca="false">SUMIFS('12.326ana'!$C:$C,'12.326ana'!$M:$M,redes!A18468)</f>
        <v>0</v>
      </c>
    </row>
    <row r="18469" customFormat="false" ht="14.4" hidden="true" customHeight="false" outlineLevel="0" collapsed="false">
      <c r="A18469" s="34" t="n">
        <v>51620033000175</v>
      </c>
      <c r="B18469" s="34" t="s">
        <v>1548</v>
      </c>
      <c r="C18469" s="34" t="s">
        <v>967</v>
      </c>
      <c r="E18469" s="30" t="s">
        <v>33661</v>
      </c>
      <c r="F18469" s="34" t="n">
        <f aca="false">IFERROR(VLOOKUP($A18469,'319'!$B:$H,7,0),0)</f>
        <v>109.88</v>
      </c>
      <c r="G18469" s="34" t="n">
        <f aca="false">SUMIFS('12.326ana'!$C:$C,'12.326ana'!$M:$M,redes!A18469)</f>
        <v>0</v>
      </c>
    </row>
    <row r="18470" customFormat="false" ht="14.4" hidden="true" customHeight="false" outlineLevel="0" collapsed="false">
      <c r="A18470" s="34" t="n">
        <v>51643759000123</v>
      </c>
      <c r="B18470" s="34" t="s">
        <v>33662</v>
      </c>
      <c r="C18470" s="34" t="s">
        <v>598</v>
      </c>
      <c r="E18470" s="30" t="s">
        <v>33663</v>
      </c>
      <c r="F18470" s="34" t="n">
        <f aca="false">IFERROR(VLOOKUP($A18470,'319'!$B:$H,7,0),0)</f>
        <v>0</v>
      </c>
      <c r="G18470" s="34" t="n">
        <f aca="false">SUMIFS('12.326ana'!$C:$C,'12.326ana'!$M:$M,redes!A18470)</f>
        <v>0</v>
      </c>
    </row>
    <row r="18471" customFormat="false" ht="14.4" hidden="true" customHeight="false" outlineLevel="0" collapsed="false">
      <c r="A18471" s="34" t="n">
        <v>51691596000154</v>
      </c>
      <c r="B18471" s="34" t="s">
        <v>33664</v>
      </c>
      <c r="C18471" s="34" t="s">
        <v>77</v>
      </c>
      <c r="E18471" s="30" t="s">
        <v>9424</v>
      </c>
      <c r="F18471" s="34" t="n">
        <f aca="false">IFERROR(VLOOKUP($A18471,'319'!$B:$H,7,0),0)</f>
        <v>0</v>
      </c>
      <c r="G18471" s="34" t="n">
        <f aca="false">SUMIFS('12.326ana'!$C:$C,'12.326ana'!$M:$M,redes!A18471)</f>
        <v>0</v>
      </c>
    </row>
    <row r="18472" customFormat="false" ht="14.4" hidden="true" customHeight="false" outlineLevel="0" collapsed="false">
      <c r="A18472" s="34" t="n">
        <v>51693677000193</v>
      </c>
      <c r="B18472" s="34" t="s">
        <v>33665</v>
      </c>
      <c r="C18472" s="34" t="s">
        <v>631</v>
      </c>
      <c r="E18472" s="30" t="s">
        <v>33666</v>
      </c>
      <c r="F18472" s="34" t="n">
        <f aca="false">IFERROR(VLOOKUP($A18472,'319'!$B:$H,7,0),0)</f>
        <v>0</v>
      </c>
      <c r="G18472" s="34" t="n">
        <f aca="false">SUMIFS('12.326ana'!$C:$C,'12.326ana'!$M:$M,redes!A18472)</f>
        <v>0</v>
      </c>
    </row>
    <row r="18473" customFormat="false" ht="14.4" hidden="true" customHeight="false" outlineLevel="0" collapsed="false">
      <c r="A18473" s="34" t="n">
        <v>51709544000168</v>
      </c>
      <c r="B18473" s="34" t="s">
        <v>33667</v>
      </c>
      <c r="C18473" s="34" t="s">
        <v>1272</v>
      </c>
      <c r="E18473" s="30" t="s">
        <v>33668</v>
      </c>
      <c r="F18473" s="34" t="n">
        <f aca="false">IFERROR(VLOOKUP($A18473,'319'!$B:$H,7,0),0)</f>
        <v>0</v>
      </c>
      <c r="G18473" s="34" t="n">
        <f aca="false">SUMIFS('12.326ana'!$C:$C,'12.326ana'!$M:$M,redes!A18473)</f>
        <v>0</v>
      </c>
    </row>
    <row r="18474" customFormat="false" ht="14.4" hidden="true" customHeight="false" outlineLevel="0" collapsed="false">
      <c r="A18474" s="34" t="n">
        <v>51731423000112</v>
      </c>
      <c r="B18474" s="34" t="s">
        <v>33669</v>
      </c>
      <c r="C18474" s="34" t="s">
        <v>77</v>
      </c>
      <c r="E18474" s="30" t="s">
        <v>33670</v>
      </c>
      <c r="F18474" s="34" t="n">
        <f aca="false">IFERROR(VLOOKUP($A18474,'319'!$B:$H,7,0),0)</f>
        <v>0</v>
      </c>
      <c r="G18474" s="34" t="n">
        <f aca="false">SUMIFS('12.326ana'!$C:$C,'12.326ana'!$M:$M,redes!A18474)</f>
        <v>0</v>
      </c>
    </row>
    <row r="18475" customFormat="false" ht="14.4" hidden="true" customHeight="false" outlineLevel="0" collapsed="false">
      <c r="A18475" s="34" t="n">
        <v>51797701000134</v>
      </c>
      <c r="B18475" s="34" t="s">
        <v>33671</v>
      </c>
      <c r="C18475" s="34" t="s">
        <v>77</v>
      </c>
      <c r="E18475" s="30" t="s">
        <v>33672</v>
      </c>
      <c r="F18475" s="34" t="n">
        <f aca="false">IFERROR(VLOOKUP($A18475,'319'!$B:$H,7,0),0)</f>
        <v>0</v>
      </c>
      <c r="G18475" s="34" t="n">
        <f aca="false">SUMIFS('12.326ana'!$C:$C,'12.326ana'!$M:$M,redes!A18475)</f>
        <v>0</v>
      </c>
    </row>
    <row r="18476" customFormat="false" ht="14.4" hidden="true" customHeight="false" outlineLevel="0" collapsed="false">
      <c r="A18476" s="34" t="n">
        <v>51829602000197</v>
      </c>
      <c r="B18476" s="34" t="s">
        <v>33673</v>
      </c>
      <c r="C18476" s="34" t="s">
        <v>604</v>
      </c>
      <c r="E18476" s="30" t="s">
        <v>33674</v>
      </c>
      <c r="F18476" s="34" t="n">
        <f aca="false">IFERROR(VLOOKUP($A18476,'319'!$B:$H,7,0),0)</f>
        <v>0</v>
      </c>
      <c r="G18476" s="34" t="n">
        <f aca="false">SUMIFS('12.326ana'!$C:$C,'12.326ana'!$M:$M,redes!A18476)</f>
        <v>0</v>
      </c>
    </row>
    <row r="18477" customFormat="false" ht="14.4" hidden="true" customHeight="false" outlineLevel="0" collapsed="false">
      <c r="A18477" s="34" t="n">
        <v>51831428000117</v>
      </c>
      <c r="B18477" s="34" t="s">
        <v>33675</v>
      </c>
      <c r="C18477" s="34" t="s">
        <v>139</v>
      </c>
      <c r="E18477" s="30" t="s">
        <v>23967</v>
      </c>
      <c r="F18477" s="34" t="n">
        <f aca="false">IFERROR(VLOOKUP($A18477,'319'!$B:$H,7,0),0)</f>
        <v>0</v>
      </c>
      <c r="G18477" s="34" t="n">
        <f aca="false">SUMIFS('12.326ana'!$C:$C,'12.326ana'!$M:$M,redes!A18477)</f>
        <v>0</v>
      </c>
    </row>
    <row r="18478" customFormat="false" ht="14.4" hidden="true" customHeight="false" outlineLevel="0" collapsed="false">
      <c r="A18478" s="34" t="n">
        <v>51865855001430</v>
      </c>
      <c r="B18478" s="34" t="s">
        <v>33676</v>
      </c>
      <c r="C18478" s="34" t="s">
        <v>1795</v>
      </c>
      <c r="E18478" s="30" t="s">
        <v>22885</v>
      </c>
      <c r="F18478" s="34" t="n">
        <f aca="false">IFERROR(VLOOKUP($A18478,'319'!$B:$H,7,0),0)</f>
        <v>0</v>
      </c>
      <c r="G18478" s="34" t="n">
        <f aca="false">SUMIFS('12.326ana'!$C:$C,'12.326ana'!$M:$M,redes!A18478)</f>
        <v>0</v>
      </c>
    </row>
    <row r="18479" customFormat="false" ht="14.4" hidden="true" customHeight="false" outlineLevel="0" collapsed="false">
      <c r="A18479" s="34" t="n">
        <v>51919841000138</v>
      </c>
      <c r="B18479" s="34" t="s">
        <v>33677</v>
      </c>
      <c r="C18479" s="34" t="s">
        <v>7250</v>
      </c>
      <c r="E18479" s="30" t="s">
        <v>33678</v>
      </c>
      <c r="F18479" s="34" t="n">
        <f aca="false">IFERROR(VLOOKUP($A18479,'319'!$B:$H,7,0),0)</f>
        <v>0</v>
      </c>
      <c r="G18479" s="34" t="n">
        <f aca="false">SUMIFS('12.326ana'!$C:$C,'12.326ana'!$M:$M,redes!A18479)</f>
        <v>0</v>
      </c>
    </row>
    <row r="18480" customFormat="false" ht="14.4" hidden="true" customHeight="false" outlineLevel="0" collapsed="false">
      <c r="A18480" s="34" t="n">
        <v>51921508000163</v>
      </c>
      <c r="B18480" s="34" t="s">
        <v>33679</v>
      </c>
      <c r="C18480" s="34" t="s">
        <v>77</v>
      </c>
      <c r="E18480" s="30" t="s">
        <v>33680</v>
      </c>
      <c r="F18480" s="34" t="n">
        <f aca="false">IFERROR(VLOOKUP($A18480,'319'!$B:$H,7,0),0)</f>
        <v>0</v>
      </c>
      <c r="G18480" s="34" t="n">
        <f aca="false">SUMIFS('12.326ana'!$C:$C,'12.326ana'!$M:$M,redes!A18480)</f>
        <v>0</v>
      </c>
    </row>
    <row r="18481" customFormat="false" ht="14.4" hidden="true" customHeight="false" outlineLevel="0" collapsed="false">
      <c r="A18481" s="34" t="n">
        <v>51935348000101</v>
      </c>
      <c r="B18481" s="34" t="s">
        <v>33681</v>
      </c>
      <c r="C18481" s="34" t="s">
        <v>77</v>
      </c>
      <c r="E18481" s="30" t="s">
        <v>33682</v>
      </c>
      <c r="F18481" s="34" t="n">
        <f aca="false">IFERROR(VLOOKUP($A18481,'319'!$B:$H,7,0),0)</f>
        <v>0</v>
      </c>
      <c r="G18481" s="34" t="n">
        <f aca="false">SUMIFS('12.326ana'!$C:$C,'12.326ana'!$M:$M,redes!A18481)</f>
        <v>0</v>
      </c>
    </row>
    <row r="18482" customFormat="false" ht="14.4" hidden="true" customHeight="false" outlineLevel="0" collapsed="false">
      <c r="A18482" s="34" t="n">
        <v>51942250000181</v>
      </c>
      <c r="B18482" s="34" t="s">
        <v>33683</v>
      </c>
      <c r="C18482" s="34" t="s">
        <v>192</v>
      </c>
      <c r="E18482" s="30" t="s">
        <v>33684</v>
      </c>
      <c r="F18482" s="34" t="n">
        <f aca="false">IFERROR(VLOOKUP($A18482,'319'!$B:$H,7,0),0)</f>
        <v>0</v>
      </c>
      <c r="G18482" s="34" t="n">
        <f aca="false">SUMIFS('12.326ana'!$C:$C,'12.326ana'!$M:$M,redes!A18482)</f>
        <v>0</v>
      </c>
    </row>
    <row r="18483" customFormat="false" ht="14.4" hidden="true" customHeight="false" outlineLevel="0" collapsed="false">
      <c r="A18483" s="34" t="n">
        <v>51950591000107</v>
      </c>
      <c r="B18483" s="34" t="s">
        <v>33685</v>
      </c>
      <c r="C18483" s="34" t="s">
        <v>594</v>
      </c>
      <c r="E18483" s="30" t="s">
        <v>33686</v>
      </c>
      <c r="F18483" s="34" t="n">
        <f aca="false">IFERROR(VLOOKUP($A18483,'319'!$B:$H,7,0),0)</f>
        <v>0</v>
      </c>
      <c r="G18483" s="34" t="n">
        <f aca="false">SUMIFS('12.326ana'!$C:$C,'12.326ana'!$M:$M,redes!A18483)</f>
        <v>0</v>
      </c>
    </row>
    <row r="18484" customFormat="false" ht="14.4" hidden="true" customHeight="false" outlineLevel="0" collapsed="false">
      <c r="A18484" s="34" t="n">
        <v>51978111000108</v>
      </c>
      <c r="B18484" s="34" t="s">
        <v>33687</v>
      </c>
      <c r="C18484" s="34" t="s">
        <v>77</v>
      </c>
      <c r="E18484" s="30" t="s">
        <v>33688</v>
      </c>
      <c r="F18484" s="34" t="n">
        <f aca="false">IFERROR(VLOOKUP($A18484,'319'!$B:$H,7,0),0)</f>
        <v>0</v>
      </c>
      <c r="G18484" s="34" t="n">
        <f aca="false">SUMIFS('12.326ana'!$C:$C,'12.326ana'!$M:$M,redes!A18484)</f>
        <v>0</v>
      </c>
    </row>
    <row r="18485" customFormat="false" ht="14.4" hidden="true" customHeight="false" outlineLevel="0" collapsed="false">
      <c r="A18485" s="34" t="n">
        <v>52034139000150</v>
      </c>
      <c r="B18485" s="34" t="s">
        <v>25392</v>
      </c>
      <c r="C18485" s="34" t="s">
        <v>77</v>
      </c>
      <c r="E18485" s="30" t="s">
        <v>17697</v>
      </c>
      <c r="F18485" s="34" t="n">
        <f aca="false">IFERROR(VLOOKUP($A18485,'319'!$B:$H,7,0),0)</f>
        <v>0</v>
      </c>
      <c r="G18485" s="34" t="n">
        <f aca="false">SUMIFS('12.326ana'!$C:$C,'12.326ana'!$M:$M,redes!A18485)</f>
        <v>0</v>
      </c>
    </row>
    <row r="18486" customFormat="false" ht="14.4" hidden="true" customHeight="false" outlineLevel="0" collapsed="false">
      <c r="A18486" s="34" t="n">
        <v>52067140000180</v>
      </c>
      <c r="B18486" s="34" t="s">
        <v>33689</v>
      </c>
      <c r="C18486" s="34" t="s">
        <v>107</v>
      </c>
      <c r="E18486" s="30" t="s">
        <v>33690</v>
      </c>
      <c r="F18486" s="34" t="n">
        <f aca="false">IFERROR(VLOOKUP($A18486,'319'!$B:$H,7,0),0)</f>
        <v>0</v>
      </c>
      <c r="G18486" s="34" t="n">
        <f aca="false">SUMIFS('12.326ana'!$C:$C,'12.326ana'!$M:$M,redes!A18486)</f>
        <v>0</v>
      </c>
    </row>
    <row r="18487" customFormat="false" ht="14.4" hidden="true" customHeight="false" outlineLevel="0" collapsed="false">
      <c r="A18487" s="34" t="n">
        <v>52075759000137</v>
      </c>
      <c r="B18487" s="34" t="s">
        <v>33691</v>
      </c>
      <c r="C18487" s="34" t="s">
        <v>475</v>
      </c>
      <c r="E18487" s="30" t="s">
        <v>33692</v>
      </c>
      <c r="F18487" s="34" t="n">
        <f aca="false">IFERROR(VLOOKUP($A18487,'319'!$B:$H,7,0),0)</f>
        <v>0</v>
      </c>
      <c r="G18487" s="34" t="n">
        <f aca="false">SUMIFS('12.326ana'!$C:$C,'12.326ana'!$M:$M,redes!A18487)</f>
        <v>0</v>
      </c>
    </row>
    <row r="18488" customFormat="false" ht="14.4" hidden="true" customHeight="false" outlineLevel="0" collapsed="false">
      <c r="A18488" s="34" t="n">
        <v>52091471000156</v>
      </c>
      <c r="B18488" s="34" t="s">
        <v>33693</v>
      </c>
      <c r="C18488" s="34" t="s">
        <v>77</v>
      </c>
      <c r="E18488" s="30" t="s">
        <v>33693</v>
      </c>
      <c r="F18488" s="34" t="n">
        <f aca="false">IFERROR(VLOOKUP($A18488,'319'!$B:$H,7,0),0)</f>
        <v>0</v>
      </c>
      <c r="G18488" s="34" t="n">
        <f aca="false">SUMIFS('12.326ana'!$C:$C,'12.326ana'!$M:$M,redes!A18488)</f>
        <v>0</v>
      </c>
    </row>
    <row r="18489" customFormat="false" ht="14.4" hidden="true" customHeight="false" outlineLevel="0" collapsed="false">
      <c r="A18489" s="34" t="n">
        <v>52152149000190</v>
      </c>
      <c r="B18489" s="34" t="s">
        <v>33694</v>
      </c>
      <c r="C18489" s="34" t="s">
        <v>565</v>
      </c>
      <c r="E18489" s="30" t="s">
        <v>33695</v>
      </c>
      <c r="F18489" s="34" t="n">
        <f aca="false">IFERROR(VLOOKUP($A18489,'319'!$B:$H,7,0),0)</f>
        <v>1855.09</v>
      </c>
      <c r="G18489" s="34" t="n">
        <f aca="false">SUMIFS('12.326ana'!$C:$C,'12.326ana'!$M:$M,redes!A18489)</f>
        <v>0</v>
      </c>
    </row>
    <row r="18490" customFormat="false" ht="14.4" hidden="true" customHeight="false" outlineLevel="0" collapsed="false">
      <c r="A18490" s="34" t="n">
        <v>52174266000154</v>
      </c>
      <c r="B18490" s="34" t="s">
        <v>33696</v>
      </c>
      <c r="C18490" s="34" t="s">
        <v>77</v>
      </c>
      <c r="E18490" s="30" t="s">
        <v>33696</v>
      </c>
      <c r="F18490" s="34" t="n">
        <f aca="false">IFERROR(VLOOKUP($A18490,'319'!$B:$H,7,0),0)</f>
        <v>0</v>
      </c>
      <c r="G18490" s="34" t="n">
        <f aca="false">SUMIFS('12.326ana'!$C:$C,'12.326ana'!$M:$M,redes!A18490)</f>
        <v>0</v>
      </c>
    </row>
    <row r="18491" customFormat="false" ht="14.4" hidden="true" customHeight="false" outlineLevel="0" collapsed="false">
      <c r="A18491" s="34" t="n">
        <v>52188360000162</v>
      </c>
      <c r="B18491" s="34" t="s">
        <v>33697</v>
      </c>
      <c r="C18491" s="34" t="s">
        <v>77</v>
      </c>
      <c r="E18491" s="30" t="s">
        <v>33698</v>
      </c>
      <c r="F18491" s="34" t="n">
        <f aca="false">IFERROR(VLOOKUP($A18491,'319'!$B:$H,7,0),0)</f>
        <v>0</v>
      </c>
      <c r="G18491" s="34" t="n">
        <f aca="false">SUMIFS('12.326ana'!$C:$C,'12.326ana'!$M:$M,redes!A18491)</f>
        <v>0</v>
      </c>
    </row>
    <row r="18492" customFormat="false" ht="14.4" hidden="true" customHeight="false" outlineLevel="0" collapsed="false">
      <c r="A18492" s="34" t="n">
        <v>52194860000107</v>
      </c>
      <c r="B18492" s="34" t="s">
        <v>33699</v>
      </c>
      <c r="C18492" s="34" t="s">
        <v>77</v>
      </c>
      <c r="E18492" s="30" t="s">
        <v>33700</v>
      </c>
      <c r="F18492" s="34" t="n">
        <f aca="false">IFERROR(VLOOKUP($A18492,'319'!$B:$H,7,0),0)</f>
        <v>0</v>
      </c>
      <c r="G18492" s="34" t="n">
        <f aca="false">SUMIFS('12.326ana'!$C:$C,'12.326ana'!$M:$M,redes!A18492)</f>
        <v>0</v>
      </c>
    </row>
    <row r="18493" customFormat="false" ht="14.4" hidden="true" customHeight="false" outlineLevel="0" collapsed="false">
      <c r="A18493" s="34" t="n">
        <v>52201466000159</v>
      </c>
      <c r="B18493" s="34" t="s">
        <v>33701</v>
      </c>
      <c r="C18493" s="34" t="s">
        <v>77</v>
      </c>
      <c r="E18493" s="30" t="s">
        <v>33702</v>
      </c>
      <c r="F18493" s="34" t="n">
        <f aca="false">IFERROR(VLOOKUP($A18493,'319'!$B:$H,7,0),0)</f>
        <v>0</v>
      </c>
      <c r="G18493" s="34" t="n">
        <f aca="false">SUMIFS('12.326ana'!$C:$C,'12.326ana'!$M:$M,redes!A18493)</f>
        <v>0</v>
      </c>
    </row>
    <row r="18494" customFormat="false" ht="14.4" hidden="true" customHeight="false" outlineLevel="0" collapsed="false">
      <c r="A18494" s="34" t="n">
        <v>52249518000167</v>
      </c>
      <c r="B18494" s="34" t="s">
        <v>33703</v>
      </c>
      <c r="C18494" s="34" t="s">
        <v>213</v>
      </c>
      <c r="E18494" s="30" t="s">
        <v>33704</v>
      </c>
      <c r="F18494" s="34" t="n">
        <f aca="false">IFERROR(VLOOKUP($A18494,'319'!$B:$H,7,0),0)</f>
        <v>0</v>
      </c>
      <c r="G18494" s="34" t="n">
        <f aca="false">SUMIFS('12.326ana'!$C:$C,'12.326ana'!$M:$M,redes!A18494)</f>
        <v>0</v>
      </c>
    </row>
    <row r="18495" customFormat="false" ht="14.4" hidden="true" customHeight="false" outlineLevel="0" collapsed="false">
      <c r="A18495" s="34" t="n">
        <v>52309563000160</v>
      </c>
      <c r="B18495" s="34" t="s">
        <v>33705</v>
      </c>
      <c r="C18495" s="34" t="s">
        <v>129</v>
      </c>
      <c r="E18495" s="30" t="s">
        <v>33706</v>
      </c>
      <c r="F18495" s="34" t="n">
        <f aca="false">IFERROR(VLOOKUP($A18495,'319'!$B:$H,7,0),0)</f>
        <v>0</v>
      </c>
      <c r="G18495" s="34" t="n">
        <f aca="false">SUMIFS('12.326ana'!$C:$C,'12.326ana'!$M:$M,redes!A18495)</f>
        <v>0</v>
      </c>
    </row>
    <row r="18496" customFormat="false" ht="14.4" hidden="true" customHeight="false" outlineLevel="0" collapsed="false">
      <c r="A18496" s="34" t="n">
        <v>52321317000123</v>
      </c>
      <c r="B18496" s="34" t="s">
        <v>33707</v>
      </c>
      <c r="C18496" s="34" t="s">
        <v>77</v>
      </c>
      <c r="E18496" s="30" t="s">
        <v>33708</v>
      </c>
      <c r="F18496" s="34" t="n">
        <f aca="false">IFERROR(VLOOKUP($A18496,'319'!$B:$H,7,0),0)</f>
        <v>0</v>
      </c>
      <c r="G18496" s="34" t="n">
        <f aca="false">SUMIFS('12.326ana'!$C:$C,'12.326ana'!$M:$M,redes!A18496)</f>
        <v>0</v>
      </c>
    </row>
    <row r="18497" customFormat="false" ht="14.4" hidden="true" customHeight="false" outlineLevel="0" collapsed="false">
      <c r="A18497" s="34" t="n">
        <v>52322131000199</v>
      </c>
      <c r="B18497" s="34" t="s">
        <v>33709</v>
      </c>
      <c r="C18497" s="34" t="s">
        <v>107</v>
      </c>
      <c r="E18497" s="30" t="s">
        <v>33710</v>
      </c>
      <c r="F18497" s="34" t="n">
        <f aca="false">IFERROR(VLOOKUP($A18497,'319'!$B:$H,7,0),0)</f>
        <v>0</v>
      </c>
      <c r="G18497" s="34" t="n">
        <f aca="false">SUMIFS('12.326ana'!$C:$C,'12.326ana'!$M:$M,redes!A18497)</f>
        <v>0</v>
      </c>
    </row>
    <row r="18498" customFormat="false" ht="14.4" hidden="true" customHeight="false" outlineLevel="0" collapsed="false">
      <c r="A18498" s="34" t="n">
        <v>52363631000179</v>
      </c>
      <c r="B18498" s="34" t="s">
        <v>33711</v>
      </c>
      <c r="C18498" s="34" t="s">
        <v>89</v>
      </c>
      <c r="E18498" s="30" t="s">
        <v>33712</v>
      </c>
      <c r="F18498" s="34" t="n">
        <f aca="false">IFERROR(VLOOKUP($A18498,'319'!$B:$H,7,0),0)</f>
        <v>0</v>
      </c>
      <c r="G18498" s="34" t="n">
        <f aca="false">SUMIFS('12.326ana'!$C:$C,'12.326ana'!$M:$M,redes!A18498)</f>
        <v>0</v>
      </c>
    </row>
    <row r="18499" customFormat="false" ht="14.4" hidden="true" customHeight="false" outlineLevel="0" collapsed="false">
      <c r="A18499" s="34" t="n">
        <v>52402835000171</v>
      </c>
      <c r="B18499" s="34" t="s">
        <v>33713</v>
      </c>
      <c r="C18499" s="34" t="s">
        <v>464</v>
      </c>
      <c r="E18499" s="30" t="s">
        <v>33714</v>
      </c>
      <c r="F18499" s="34" t="n">
        <f aca="false">IFERROR(VLOOKUP($A18499,'319'!$B:$H,7,0),0)</f>
        <v>0</v>
      </c>
      <c r="G18499" s="34" t="n">
        <f aca="false">SUMIFS('12.326ana'!$C:$C,'12.326ana'!$M:$M,redes!A18499)</f>
        <v>0</v>
      </c>
    </row>
    <row r="18500" customFormat="false" ht="14.4" hidden="true" customHeight="false" outlineLevel="0" collapsed="false">
      <c r="A18500" s="34" t="n">
        <v>52411131000165</v>
      </c>
      <c r="B18500" s="34" t="s">
        <v>33715</v>
      </c>
      <c r="C18500" s="34" t="s">
        <v>139</v>
      </c>
      <c r="E18500" s="30" t="s">
        <v>33716</v>
      </c>
      <c r="F18500" s="34" t="n">
        <f aca="false">IFERROR(VLOOKUP($A18500,'319'!$B:$H,7,0),0)</f>
        <v>0</v>
      </c>
      <c r="G18500" s="34" t="n">
        <f aca="false">SUMIFS('12.326ana'!$C:$C,'12.326ana'!$M:$M,redes!A18500)</f>
        <v>0</v>
      </c>
    </row>
    <row r="18501" customFormat="false" ht="14.4" hidden="true" customHeight="false" outlineLevel="0" collapsed="false">
      <c r="A18501" s="34" t="n">
        <v>52424735000146</v>
      </c>
      <c r="B18501" s="34" t="s">
        <v>33717</v>
      </c>
      <c r="C18501" s="34" t="s">
        <v>213</v>
      </c>
      <c r="E18501" s="30" t="s">
        <v>33718</v>
      </c>
      <c r="F18501" s="34" t="n">
        <f aca="false">IFERROR(VLOOKUP($A18501,'319'!$B:$H,7,0),0)</f>
        <v>0</v>
      </c>
      <c r="G18501" s="34" t="n">
        <f aca="false">SUMIFS('12.326ana'!$C:$C,'12.326ana'!$M:$M,redes!A18501)</f>
        <v>0</v>
      </c>
    </row>
    <row r="18502" customFormat="false" ht="14.4" hidden="true" customHeight="false" outlineLevel="0" collapsed="false">
      <c r="A18502" s="34" t="n">
        <v>52502507006692</v>
      </c>
      <c r="B18502" s="34" t="s">
        <v>33719</v>
      </c>
      <c r="C18502" s="34" t="s">
        <v>33720</v>
      </c>
      <c r="E18502" s="30" t="s">
        <v>33720</v>
      </c>
      <c r="F18502" s="34" t="n">
        <f aca="false">IFERROR(VLOOKUP($A18502,'319'!$B:$H,7,0),0)</f>
        <v>0</v>
      </c>
      <c r="G18502" s="34" t="n">
        <f aca="false">SUMIFS('12.326ana'!$C:$C,'12.326ana'!$M:$M,redes!A18502)</f>
        <v>0</v>
      </c>
    </row>
    <row r="18503" customFormat="false" ht="14.4" hidden="true" customHeight="false" outlineLevel="0" collapsed="false">
      <c r="A18503" s="34" t="n">
        <v>52531949000111</v>
      </c>
      <c r="B18503" s="34" t="s">
        <v>33721</v>
      </c>
      <c r="C18503" s="34" t="s">
        <v>475</v>
      </c>
      <c r="E18503" s="30" t="s">
        <v>33722</v>
      </c>
      <c r="F18503" s="34" t="n">
        <f aca="false">IFERROR(VLOOKUP($A18503,'319'!$B:$H,7,0),0)</f>
        <v>0</v>
      </c>
      <c r="G18503" s="34" t="n">
        <f aca="false">SUMIFS('12.326ana'!$C:$C,'12.326ana'!$M:$M,redes!A18503)</f>
        <v>0</v>
      </c>
    </row>
    <row r="18504" customFormat="false" ht="14.4" hidden="true" customHeight="false" outlineLevel="0" collapsed="false">
      <c r="A18504" s="34" t="n">
        <v>52546750000167</v>
      </c>
      <c r="B18504" s="34" t="s">
        <v>33723</v>
      </c>
      <c r="C18504" s="34" t="s">
        <v>89</v>
      </c>
      <c r="E18504" s="30" t="s">
        <v>33724</v>
      </c>
      <c r="F18504" s="34" t="n">
        <f aca="false">IFERROR(VLOOKUP($A18504,'319'!$B:$H,7,0),0)</f>
        <v>0</v>
      </c>
      <c r="G18504" s="34" t="n">
        <f aca="false">SUMIFS('12.326ana'!$C:$C,'12.326ana'!$M:$M,redes!A18504)</f>
        <v>0</v>
      </c>
    </row>
    <row r="18505" customFormat="false" ht="14.4" hidden="true" customHeight="false" outlineLevel="0" collapsed="false">
      <c r="A18505" s="34" t="n">
        <v>52561421000195</v>
      </c>
      <c r="B18505" s="34" t="s">
        <v>996</v>
      </c>
      <c r="C18505" s="34" t="s">
        <v>103</v>
      </c>
      <c r="E18505" s="30" t="s">
        <v>21819</v>
      </c>
      <c r="F18505" s="34" t="n">
        <f aca="false">IFERROR(VLOOKUP($A18505,'319'!$B:$H,7,0),0)</f>
        <v>981.58</v>
      </c>
      <c r="G18505" s="34" t="n">
        <f aca="false">SUMIFS('12.326ana'!$C:$C,'12.326ana'!$M:$M,redes!A18505)</f>
        <v>0</v>
      </c>
    </row>
    <row r="18506" customFormat="false" ht="14.4" hidden="true" customHeight="false" outlineLevel="0" collapsed="false">
      <c r="A18506" s="34" t="n">
        <v>52603708000130</v>
      </c>
      <c r="B18506" s="34" t="s">
        <v>33725</v>
      </c>
      <c r="C18506" s="34" t="s">
        <v>77</v>
      </c>
      <c r="E18506" s="30" t="s">
        <v>33726</v>
      </c>
      <c r="F18506" s="34" t="n">
        <f aca="false">IFERROR(VLOOKUP($A18506,'319'!$B:$H,7,0),0)</f>
        <v>0</v>
      </c>
      <c r="G18506" s="34" t="n">
        <f aca="false">SUMIFS('12.326ana'!$C:$C,'12.326ana'!$M:$M,redes!A18506)</f>
        <v>0</v>
      </c>
    </row>
    <row r="18507" customFormat="false" ht="14.4" hidden="true" customHeight="false" outlineLevel="0" collapsed="false">
      <c r="A18507" s="34" t="n">
        <v>52623749000199</v>
      </c>
      <c r="B18507" s="34" t="s">
        <v>33727</v>
      </c>
      <c r="C18507" s="34" t="s">
        <v>77</v>
      </c>
      <c r="E18507" s="30" t="s">
        <v>33728</v>
      </c>
      <c r="F18507" s="34" t="n">
        <f aca="false">IFERROR(VLOOKUP($A18507,'319'!$B:$H,7,0),0)</f>
        <v>0</v>
      </c>
      <c r="G18507" s="34" t="n">
        <f aca="false">SUMIFS('12.326ana'!$C:$C,'12.326ana'!$M:$M,redes!A18507)</f>
        <v>0</v>
      </c>
    </row>
    <row r="18508" customFormat="false" ht="14.4" hidden="true" customHeight="false" outlineLevel="0" collapsed="false">
      <c r="A18508" s="34" t="n">
        <v>52624442000102</v>
      </c>
      <c r="B18508" s="34" t="s">
        <v>33729</v>
      </c>
      <c r="C18508" s="34" t="s">
        <v>77</v>
      </c>
      <c r="E18508" s="30" t="s">
        <v>33730</v>
      </c>
      <c r="F18508" s="34" t="n">
        <f aca="false">IFERROR(VLOOKUP($A18508,'319'!$B:$H,7,0),0)</f>
        <v>0</v>
      </c>
      <c r="G18508" s="34" t="n">
        <f aca="false">SUMIFS('12.326ana'!$C:$C,'12.326ana'!$M:$M,redes!A18508)</f>
        <v>0</v>
      </c>
    </row>
    <row r="18509" customFormat="false" ht="14.4" hidden="true" customHeight="false" outlineLevel="0" collapsed="false">
      <c r="A18509" s="34" t="n">
        <v>52677314000127</v>
      </c>
      <c r="B18509" s="34" t="s">
        <v>33731</v>
      </c>
      <c r="C18509" s="34" t="s">
        <v>77</v>
      </c>
      <c r="E18509" s="30" t="s">
        <v>33732</v>
      </c>
      <c r="F18509" s="34" t="n">
        <f aca="false">IFERROR(VLOOKUP($A18509,'319'!$B:$H,7,0),0)</f>
        <v>0</v>
      </c>
      <c r="G18509" s="34" t="n">
        <f aca="false">SUMIFS('12.326ana'!$C:$C,'12.326ana'!$M:$M,redes!A18509)</f>
        <v>0</v>
      </c>
    </row>
    <row r="18510" customFormat="false" ht="14.4" hidden="true" customHeight="false" outlineLevel="0" collapsed="false">
      <c r="A18510" s="34" t="n">
        <v>52686246000162</v>
      </c>
      <c r="B18510" s="34" t="s">
        <v>33733</v>
      </c>
      <c r="C18510" s="34" t="s">
        <v>107</v>
      </c>
      <c r="E18510" s="30" t="s">
        <v>33734</v>
      </c>
      <c r="F18510" s="34" t="n">
        <f aca="false">IFERROR(VLOOKUP($A18510,'319'!$B:$H,7,0),0)</f>
        <v>0</v>
      </c>
      <c r="G18510" s="34" t="n">
        <f aca="false">SUMIFS('12.326ana'!$C:$C,'12.326ana'!$M:$M,redes!A18510)</f>
        <v>0</v>
      </c>
    </row>
    <row r="18511" customFormat="false" ht="14.4" hidden="true" customHeight="false" outlineLevel="0" collapsed="false">
      <c r="A18511" s="34" t="n">
        <v>52694042000173</v>
      </c>
      <c r="B18511" s="34" t="s">
        <v>33735</v>
      </c>
      <c r="C18511" s="34" t="s">
        <v>107</v>
      </c>
      <c r="E18511" s="30" t="s">
        <v>33736</v>
      </c>
      <c r="F18511" s="34" t="n">
        <f aca="false">IFERROR(VLOOKUP($A18511,'319'!$B:$H,7,0),0)</f>
        <v>0</v>
      </c>
      <c r="G18511" s="34" t="n">
        <f aca="false">SUMIFS('12.326ana'!$C:$C,'12.326ana'!$M:$M,redes!A18511)</f>
        <v>0</v>
      </c>
    </row>
    <row r="18512" customFormat="false" ht="14.4" hidden="true" customHeight="false" outlineLevel="0" collapsed="false">
      <c r="A18512" s="34" t="n">
        <v>52699028000162</v>
      </c>
      <c r="B18512" s="34" t="s">
        <v>33737</v>
      </c>
      <c r="C18512" s="34" t="s">
        <v>89</v>
      </c>
      <c r="E18512" s="30" t="s">
        <v>33738</v>
      </c>
      <c r="F18512" s="34" t="n">
        <f aca="false">IFERROR(VLOOKUP($A18512,'319'!$B:$H,7,0),0)</f>
        <v>0</v>
      </c>
      <c r="G18512" s="34" t="n">
        <f aca="false">SUMIFS('12.326ana'!$C:$C,'12.326ana'!$M:$M,redes!A18512)</f>
        <v>0</v>
      </c>
    </row>
    <row r="18513" customFormat="false" ht="14.4" hidden="true" customHeight="false" outlineLevel="0" collapsed="false">
      <c r="A18513" s="34" t="n">
        <v>52727272000191</v>
      </c>
      <c r="B18513" s="34" t="s">
        <v>33739</v>
      </c>
      <c r="C18513" s="34" t="s">
        <v>107</v>
      </c>
      <c r="E18513" s="30" t="s">
        <v>33740</v>
      </c>
      <c r="F18513" s="34" t="n">
        <f aca="false">IFERROR(VLOOKUP($A18513,'319'!$B:$H,7,0),0)</f>
        <v>0</v>
      </c>
      <c r="G18513" s="34" t="n">
        <f aca="false">SUMIFS('12.326ana'!$C:$C,'12.326ana'!$M:$M,redes!A18513)</f>
        <v>0</v>
      </c>
    </row>
    <row r="18514" customFormat="false" ht="14.4" hidden="true" customHeight="false" outlineLevel="0" collapsed="false">
      <c r="A18514" s="34" t="n">
        <v>52732285000159</v>
      </c>
      <c r="B18514" s="34" t="s">
        <v>33741</v>
      </c>
      <c r="C18514" s="34" t="s">
        <v>77</v>
      </c>
      <c r="E18514" s="30" t="s">
        <v>33742</v>
      </c>
      <c r="F18514" s="34" t="n">
        <f aca="false">IFERROR(VLOOKUP($A18514,'319'!$B:$H,7,0),0)</f>
        <v>0</v>
      </c>
      <c r="G18514" s="34" t="n">
        <f aca="false">SUMIFS('12.326ana'!$C:$C,'12.326ana'!$M:$M,redes!A18514)</f>
        <v>0</v>
      </c>
    </row>
    <row r="18515" customFormat="false" ht="14.4" hidden="true" customHeight="false" outlineLevel="0" collapsed="false">
      <c r="A18515" s="34" t="n">
        <v>52744183000153</v>
      </c>
      <c r="B18515" s="34" t="s">
        <v>33743</v>
      </c>
      <c r="C18515" s="34" t="s">
        <v>706</v>
      </c>
      <c r="E18515" s="30" t="s">
        <v>33744</v>
      </c>
      <c r="F18515" s="34" t="n">
        <f aca="false">IFERROR(VLOOKUP($A18515,'319'!$B:$H,7,0),0)</f>
        <v>0</v>
      </c>
      <c r="G18515" s="34" t="n">
        <f aca="false">SUMIFS('12.326ana'!$C:$C,'12.326ana'!$M:$M,redes!A18515)</f>
        <v>0</v>
      </c>
    </row>
    <row r="18516" customFormat="false" ht="14.4" hidden="true" customHeight="false" outlineLevel="0" collapsed="false">
      <c r="A18516" s="34" t="n">
        <v>52746754000199</v>
      </c>
      <c r="B18516" s="34" t="s">
        <v>33745</v>
      </c>
      <c r="C18516" s="34" t="s">
        <v>77</v>
      </c>
      <c r="E18516" s="30" t="s">
        <v>33746</v>
      </c>
      <c r="F18516" s="34" t="n">
        <f aca="false">IFERROR(VLOOKUP($A18516,'319'!$B:$H,7,0),0)</f>
        <v>0</v>
      </c>
      <c r="G18516" s="34" t="n">
        <f aca="false">SUMIFS('12.326ana'!$C:$C,'12.326ana'!$M:$M,redes!A18516)</f>
        <v>0</v>
      </c>
    </row>
    <row r="18517" customFormat="false" ht="14.4" hidden="true" customHeight="false" outlineLevel="0" collapsed="false">
      <c r="A18517" s="34" t="n">
        <v>52747403000100</v>
      </c>
      <c r="B18517" s="34" t="s">
        <v>33747</v>
      </c>
      <c r="C18517" s="34" t="s">
        <v>192</v>
      </c>
      <c r="E18517" s="30" t="s">
        <v>33748</v>
      </c>
      <c r="F18517" s="34" t="n">
        <f aca="false">IFERROR(VLOOKUP($A18517,'319'!$B:$H,7,0),0)</f>
        <v>0</v>
      </c>
      <c r="G18517" s="34" t="n">
        <f aca="false">SUMIFS('12.326ana'!$C:$C,'12.326ana'!$M:$M,redes!A18517)</f>
        <v>0</v>
      </c>
    </row>
    <row r="18518" customFormat="false" ht="14.4" hidden="true" customHeight="false" outlineLevel="0" collapsed="false">
      <c r="A18518" s="34" t="n">
        <v>52761434000612</v>
      </c>
      <c r="B18518" s="34" t="s">
        <v>33749</v>
      </c>
      <c r="C18518" s="34" t="s">
        <v>77</v>
      </c>
      <c r="E18518" s="30" t="s">
        <v>33750</v>
      </c>
      <c r="F18518" s="34" t="n">
        <f aca="false">IFERROR(VLOOKUP($A18518,'319'!$B:$H,7,0),0)</f>
        <v>0</v>
      </c>
      <c r="G18518" s="34" t="n">
        <f aca="false">SUMIFS('12.326ana'!$C:$C,'12.326ana'!$M:$M,redes!A18518)</f>
        <v>0</v>
      </c>
    </row>
    <row r="18519" customFormat="false" ht="14.4" hidden="true" customHeight="false" outlineLevel="0" collapsed="false">
      <c r="A18519" s="34" t="n">
        <v>52767028000152</v>
      </c>
      <c r="B18519" s="34" t="s">
        <v>33751</v>
      </c>
      <c r="C18519" s="34" t="s">
        <v>680</v>
      </c>
      <c r="E18519" s="30" t="s">
        <v>33752</v>
      </c>
      <c r="F18519" s="34" t="n">
        <f aca="false">IFERROR(VLOOKUP($A18519,'319'!$B:$H,7,0),0)</f>
        <v>0</v>
      </c>
      <c r="G18519" s="34" t="n">
        <f aca="false">SUMIFS('12.326ana'!$C:$C,'12.326ana'!$M:$M,redes!A18519)</f>
        <v>0</v>
      </c>
    </row>
    <row r="18520" customFormat="false" ht="14.4" hidden="true" customHeight="false" outlineLevel="0" collapsed="false">
      <c r="A18520" s="34" t="n">
        <v>52780835000105</v>
      </c>
      <c r="B18520" s="34" t="s">
        <v>33753</v>
      </c>
      <c r="C18520" s="34" t="s">
        <v>77</v>
      </c>
      <c r="E18520" s="30" t="s">
        <v>33754</v>
      </c>
      <c r="F18520" s="34" t="n">
        <f aca="false">IFERROR(VLOOKUP($A18520,'319'!$B:$H,7,0),0)</f>
        <v>0</v>
      </c>
      <c r="G18520" s="34" t="n">
        <f aca="false">SUMIFS('12.326ana'!$C:$C,'12.326ana'!$M:$M,redes!A18520)</f>
        <v>0</v>
      </c>
    </row>
    <row r="18521" customFormat="false" ht="14.4" hidden="true" customHeight="false" outlineLevel="0" collapsed="false">
      <c r="A18521" s="34" t="n">
        <v>52792476000106</v>
      </c>
      <c r="B18521" s="34" t="s">
        <v>33755</v>
      </c>
      <c r="C18521" s="34" t="s">
        <v>77</v>
      </c>
      <c r="E18521" s="30" t="s">
        <v>33756</v>
      </c>
      <c r="F18521" s="34" t="n">
        <f aca="false">IFERROR(VLOOKUP($A18521,'319'!$B:$H,7,0),0)</f>
        <v>0</v>
      </c>
      <c r="G18521" s="34" t="n">
        <f aca="false">SUMIFS('12.326ana'!$C:$C,'12.326ana'!$M:$M,redes!A18521)</f>
        <v>0</v>
      </c>
    </row>
    <row r="18522" customFormat="false" ht="14.4" hidden="true" customHeight="false" outlineLevel="0" collapsed="false">
      <c r="A18522" s="34" t="n">
        <v>52813451000141</v>
      </c>
      <c r="B18522" s="34" t="s">
        <v>33757</v>
      </c>
      <c r="C18522" s="34" t="s">
        <v>631</v>
      </c>
      <c r="E18522" s="30" t="s">
        <v>33758</v>
      </c>
      <c r="F18522" s="34" t="n">
        <f aca="false">IFERROR(VLOOKUP($A18522,'319'!$B:$H,7,0),0)</f>
        <v>0</v>
      </c>
      <c r="G18522" s="34" t="n">
        <f aca="false">SUMIFS('12.326ana'!$C:$C,'12.326ana'!$M:$M,redes!A18522)</f>
        <v>0</v>
      </c>
    </row>
    <row r="18523" customFormat="false" ht="14.4" hidden="true" customHeight="false" outlineLevel="0" collapsed="false">
      <c r="A18523" s="34" t="n">
        <v>52825193000113</v>
      </c>
      <c r="B18523" s="34" t="s">
        <v>33759</v>
      </c>
      <c r="C18523" s="34" t="s">
        <v>77</v>
      </c>
      <c r="E18523" s="30" t="s">
        <v>33760</v>
      </c>
      <c r="F18523" s="34" t="n">
        <f aca="false">IFERROR(VLOOKUP($A18523,'319'!$B:$H,7,0),0)</f>
        <v>0</v>
      </c>
      <c r="G18523" s="34" t="n">
        <f aca="false">SUMIFS('12.326ana'!$C:$C,'12.326ana'!$M:$M,redes!A18523)</f>
        <v>0</v>
      </c>
    </row>
    <row r="18524" customFormat="false" ht="14.4" hidden="true" customHeight="false" outlineLevel="0" collapsed="false">
      <c r="A18524" s="34" t="n">
        <v>52839934000115</v>
      </c>
      <c r="B18524" s="34" t="s">
        <v>33761</v>
      </c>
      <c r="C18524" s="34" t="s">
        <v>103</v>
      </c>
      <c r="E18524" s="30" t="s">
        <v>4741</v>
      </c>
      <c r="F18524" s="34" t="n">
        <f aca="false">IFERROR(VLOOKUP($A18524,'319'!$B:$H,7,0),0)</f>
        <v>0</v>
      </c>
      <c r="G18524" s="34" t="n">
        <f aca="false">SUMIFS('12.326ana'!$C:$C,'12.326ana'!$M:$M,redes!A18524)</f>
        <v>0</v>
      </c>
    </row>
    <row r="18525" customFormat="false" ht="14.4" hidden="true" customHeight="false" outlineLevel="0" collapsed="false">
      <c r="A18525" s="34" t="n">
        <v>52852354000168</v>
      </c>
      <c r="B18525" s="34" t="s">
        <v>1215</v>
      </c>
      <c r="C18525" s="34" t="s">
        <v>89</v>
      </c>
      <c r="E18525" s="30" t="s">
        <v>33762</v>
      </c>
      <c r="F18525" s="34" t="n">
        <f aca="false">IFERROR(VLOOKUP($A18525,'319'!$B:$H,7,0),0)</f>
        <v>311.45</v>
      </c>
      <c r="G18525" s="34" t="n">
        <f aca="false">SUMIFS('12.326ana'!$C:$C,'12.326ana'!$M:$M,redes!A18525)</f>
        <v>0</v>
      </c>
    </row>
    <row r="18526" customFormat="false" ht="14.4" hidden="true" customHeight="false" outlineLevel="0" collapsed="false">
      <c r="A18526" s="34" t="n">
        <v>52903607000185</v>
      </c>
      <c r="B18526" s="34" t="s">
        <v>33763</v>
      </c>
      <c r="C18526" s="34" t="s">
        <v>77</v>
      </c>
      <c r="E18526" s="30" t="s">
        <v>23454</v>
      </c>
      <c r="F18526" s="34" t="n">
        <f aca="false">IFERROR(VLOOKUP($A18526,'319'!$B:$H,7,0),0)</f>
        <v>253.51</v>
      </c>
      <c r="G18526" s="34" t="n">
        <f aca="false">SUMIFS('12.326ana'!$C:$C,'12.326ana'!$M:$M,redes!A18526)</f>
        <v>0</v>
      </c>
    </row>
    <row r="18527" customFormat="false" ht="14.4" hidden="true" customHeight="false" outlineLevel="0" collapsed="false">
      <c r="A18527" s="34" t="n">
        <v>52903607000266</v>
      </c>
      <c r="B18527" s="34" t="s">
        <v>33763</v>
      </c>
      <c r="C18527" s="34" t="s">
        <v>77</v>
      </c>
      <c r="E18527" s="30" t="s">
        <v>23454</v>
      </c>
      <c r="F18527" s="34" t="n">
        <f aca="false">IFERROR(VLOOKUP($A18527,'319'!$B:$H,7,0),0)</f>
        <v>88.6</v>
      </c>
      <c r="G18527" s="34" t="n">
        <f aca="false">SUMIFS('12.326ana'!$C:$C,'12.326ana'!$M:$M,redes!A18527)</f>
        <v>0</v>
      </c>
    </row>
    <row r="18528" customFormat="false" ht="14.4" hidden="true" customHeight="false" outlineLevel="0" collapsed="false">
      <c r="A18528" s="34" t="n">
        <v>52934777000127</v>
      </c>
      <c r="B18528" s="34" t="s">
        <v>1613</v>
      </c>
      <c r="C18528" s="34" t="s">
        <v>764</v>
      </c>
      <c r="E18528" s="30" t="s">
        <v>1613</v>
      </c>
      <c r="F18528" s="34" t="n">
        <f aca="false">IFERROR(VLOOKUP($A18528,'319'!$B:$H,7,0),0)</f>
        <v>88.6</v>
      </c>
      <c r="G18528" s="34" t="n">
        <f aca="false">SUMIFS('12.326ana'!$C:$C,'12.326ana'!$M:$M,redes!A18528)</f>
        <v>0</v>
      </c>
    </row>
    <row r="18529" customFormat="false" ht="14.4" hidden="true" customHeight="false" outlineLevel="0" collapsed="false">
      <c r="A18529" s="34" t="n">
        <v>52953610000103</v>
      </c>
      <c r="B18529" s="34" t="s">
        <v>33764</v>
      </c>
      <c r="C18529" s="34" t="s">
        <v>89</v>
      </c>
      <c r="E18529" s="30" t="s">
        <v>33765</v>
      </c>
      <c r="F18529" s="34" t="n">
        <f aca="false">IFERROR(VLOOKUP($A18529,'319'!$B:$H,7,0),0)</f>
        <v>476.98</v>
      </c>
      <c r="G18529" s="34" t="n">
        <f aca="false">SUMIFS('12.326ana'!$C:$C,'12.326ana'!$M:$M,redes!A18529)</f>
        <v>0</v>
      </c>
    </row>
    <row r="18530" customFormat="false" ht="14.4" hidden="true" customHeight="false" outlineLevel="0" collapsed="false">
      <c r="A18530" s="34" t="n">
        <v>52974670000102</v>
      </c>
      <c r="B18530" s="34" t="s">
        <v>33766</v>
      </c>
      <c r="C18530" s="34" t="s">
        <v>342</v>
      </c>
      <c r="E18530" s="30" t="s">
        <v>12960</v>
      </c>
      <c r="F18530" s="34" t="n">
        <f aca="false">IFERROR(VLOOKUP($A18530,'319'!$B:$H,7,0),0)</f>
        <v>0</v>
      </c>
      <c r="G18530" s="34" t="n">
        <f aca="false">SUMIFS('12.326ana'!$C:$C,'12.326ana'!$M:$M,redes!A18530)</f>
        <v>0</v>
      </c>
    </row>
    <row r="18531" customFormat="false" ht="14.4" hidden="true" customHeight="false" outlineLevel="0" collapsed="false">
      <c r="A18531" s="34" t="n">
        <v>53031617000130</v>
      </c>
      <c r="B18531" s="34" t="s">
        <v>33767</v>
      </c>
      <c r="C18531" s="34" t="s">
        <v>77</v>
      </c>
      <c r="E18531" s="30" t="s">
        <v>33767</v>
      </c>
      <c r="F18531" s="34" t="n">
        <f aca="false">IFERROR(VLOOKUP($A18531,'319'!$B:$H,7,0),0)</f>
        <v>0</v>
      </c>
      <c r="G18531" s="34" t="n">
        <f aca="false">SUMIFS('12.326ana'!$C:$C,'12.326ana'!$M:$M,redes!A18531)</f>
        <v>0</v>
      </c>
    </row>
    <row r="18532" customFormat="false" ht="14.4" hidden="true" customHeight="false" outlineLevel="0" collapsed="false">
      <c r="A18532" s="34" t="n">
        <v>53091979000117</v>
      </c>
      <c r="B18532" s="34" t="s">
        <v>455</v>
      </c>
      <c r="C18532" s="34" t="s">
        <v>89</v>
      </c>
      <c r="E18532" s="30" t="s">
        <v>33768</v>
      </c>
      <c r="F18532" s="34" t="n">
        <f aca="false">IFERROR(VLOOKUP($A18532,'319'!$B:$H,7,0),0)</f>
        <v>0</v>
      </c>
      <c r="G18532" s="34" t="n">
        <f aca="false">SUMIFS('12.326ana'!$C:$C,'12.326ana'!$M:$M,redes!A18532)</f>
        <v>134.43</v>
      </c>
    </row>
    <row r="18533" customFormat="false" ht="14.4" hidden="true" customHeight="false" outlineLevel="0" collapsed="false">
      <c r="A18533" s="34" t="n">
        <v>53125042000115</v>
      </c>
      <c r="B18533" s="34" t="s">
        <v>33769</v>
      </c>
      <c r="C18533" s="34" t="s">
        <v>139</v>
      </c>
      <c r="E18533" s="30" t="s">
        <v>33770</v>
      </c>
      <c r="F18533" s="34" t="n">
        <f aca="false">IFERROR(VLOOKUP($A18533,'319'!$B:$H,7,0),0)</f>
        <v>0</v>
      </c>
      <c r="G18533" s="34" t="n">
        <f aca="false">SUMIFS('12.326ana'!$C:$C,'12.326ana'!$M:$M,redes!A18533)</f>
        <v>0</v>
      </c>
    </row>
    <row r="18534" customFormat="false" ht="14.4" hidden="true" customHeight="false" outlineLevel="0" collapsed="false">
      <c r="A18534" s="34" t="n">
        <v>53138014000132</v>
      </c>
      <c r="B18534" s="34" t="s">
        <v>33771</v>
      </c>
      <c r="C18534" s="34" t="s">
        <v>77</v>
      </c>
      <c r="E18534" s="30" t="s">
        <v>33771</v>
      </c>
      <c r="F18534" s="34" t="n">
        <f aca="false">IFERROR(VLOOKUP($A18534,'319'!$B:$H,7,0),0)</f>
        <v>0</v>
      </c>
      <c r="G18534" s="34" t="n">
        <f aca="false">SUMIFS('12.326ana'!$C:$C,'12.326ana'!$M:$M,redes!A18534)</f>
        <v>0</v>
      </c>
    </row>
    <row r="18535" customFormat="false" ht="14.4" hidden="true" customHeight="false" outlineLevel="0" collapsed="false">
      <c r="A18535" s="34" t="n">
        <v>53158498000181</v>
      </c>
      <c r="B18535" s="34" t="s">
        <v>33772</v>
      </c>
      <c r="C18535" s="34" t="s">
        <v>103</v>
      </c>
      <c r="E18535" s="30" t="s">
        <v>33772</v>
      </c>
      <c r="F18535" s="34" t="n">
        <f aca="false">IFERROR(VLOOKUP($A18535,'319'!$B:$H,7,0),0)</f>
        <v>0</v>
      </c>
      <c r="G18535" s="34" t="n">
        <f aca="false">SUMIFS('12.326ana'!$C:$C,'12.326ana'!$M:$M,redes!A18535)</f>
        <v>0</v>
      </c>
    </row>
    <row r="18536" customFormat="false" ht="14.4" hidden="true" customHeight="false" outlineLevel="0" collapsed="false">
      <c r="A18536" s="34" t="n">
        <v>53264057000245</v>
      </c>
      <c r="B18536" s="34" t="s">
        <v>33773</v>
      </c>
      <c r="C18536" s="34" t="s">
        <v>207</v>
      </c>
      <c r="E18536" s="30" t="s">
        <v>33774</v>
      </c>
      <c r="F18536" s="34" t="n">
        <f aca="false">IFERROR(VLOOKUP($A18536,'319'!$B:$H,7,0),0)</f>
        <v>0</v>
      </c>
      <c r="G18536" s="34" t="n">
        <f aca="false">SUMIFS('12.326ana'!$C:$C,'12.326ana'!$M:$M,redes!A18536)</f>
        <v>0</v>
      </c>
    </row>
    <row r="18537" customFormat="false" ht="14.4" hidden="true" customHeight="false" outlineLevel="0" collapsed="false">
      <c r="A18537" s="34" t="n">
        <v>53280034000143</v>
      </c>
      <c r="B18537" s="34" t="s">
        <v>33775</v>
      </c>
      <c r="C18537" s="34" t="s">
        <v>77</v>
      </c>
      <c r="E18537" s="30" t="s">
        <v>33776</v>
      </c>
      <c r="F18537" s="34" t="n">
        <f aca="false">IFERROR(VLOOKUP($A18537,'319'!$B:$H,7,0),0)</f>
        <v>0</v>
      </c>
      <c r="G18537" s="34" t="n">
        <f aca="false">SUMIFS('12.326ana'!$C:$C,'12.326ana'!$M:$M,redes!A18537)</f>
        <v>0</v>
      </c>
    </row>
    <row r="18538" customFormat="false" ht="14.4" hidden="true" customHeight="false" outlineLevel="0" collapsed="false">
      <c r="A18538" s="34" t="n">
        <v>53283394000107</v>
      </c>
      <c r="B18538" s="34" t="s">
        <v>33777</v>
      </c>
      <c r="C18538" s="34" t="s">
        <v>77</v>
      </c>
      <c r="E18538" s="30" t="s">
        <v>33778</v>
      </c>
      <c r="F18538" s="34" t="n">
        <f aca="false">IFERROR(VLOOKUP($A18538,'319'!$B:$H,7,0),0)</f>
        <v>0</v>
      </c>
      <c r="G18538" s="34" t="n">
        <f aca="false">SUMIFS('12.326ana'!$C:$C,'12.326ana'!$M:$M,redes!A18538)</f>
        <v>0</v>
      </c>
    </row>
    <row r="18539" customFormat="false" ht="14.4" hidden="true" customHeight="false" outlineLevel="0" collapsed="false">
      <c r="A18539" s="34" t="n">
        <v>53293976000166</v>
      </c>
      <c r="B18539" s="34" t="s">
        <v>33779</v>
      </c>
      <c r="C18539" s="34" t="s">
        <v>342</v>
      </c>
      <c r="E18539" s="30" t="s">
        <v>7112</v>
      </c>
      <c r="F18539" s="34" t="n">
        <f aca="false">IFERROR(VLOOKUP($A18539,'319'!$B:$H,7,0),0)</f>
        <v>0</v>
      </c>
      <c r="G18539" s="34" t="n">
        <f aca="false">SUMIFS('12.326ana'!$C:$C,'12.326ana'!$M:$M,redes!A18539)</f>
        <v>0</v>
      </c>
    </row>
    <row r="18540" customFormat="false" ht="14.4" hidden="true" customHeight="false" outlineLevel="0" collapsed="false">
      <c r="A18540" s="34" t="n">
        <v>53351352000158</v>
      </c>
      <c r="B18540" s="34" t="s">
        <v>33780</v>
      </c>
      <c r="C18540" s="34" t="s">
        <v>77</v>
      </c>
      <c r="E18540" s="30" t="s">
        <v>33781</v>
      </c>
      <c r="F18540" s="34" t="n">
        <f aca="false">IFERROR(VLOOKUP($A18540,'319'!$B:$H,7,0),0)</f>
        <v>0</v>
      </c>
      <c r="G18540" s="34" t="n">
        <f aca="false">SUMIFS('12.326ana'!$C:$C,'12.326ana'!$M:$M,redes!A18540)</f>
        <v>0</v>
      </c>
    </row>
    <row r="18541" customFormat="false" ht="14.4" hidden="true" customHeight="false" outlineLevel="0" collapsed="false">
      <c r="A18541" s="34" t="n">
        <v>53405268000170</v>
      </c>
      <c r="B18541" s="34" t="s">
        <v>33782</v>
      </c>
      <c r="C18541" s="34" t="s">
        <v>107</v>
      </c>
      <c r="E18541" s="30" t="s">
        <v>33783</v>
      </c>
      <c r="F18541" s="34" t="n">
        <f aca="false">IFERROR(VLOOKUP($A18541,'319'!$B:$H,7,0),0)</f>
        <v>0</v>
      </c>
      <c r="G18541" s="34" t="n">
        <f aca="false">SUMIFS('12.326ana'!$C:$C,'12.326ana'!$M:$M,redes!A18541)</f>
        <v>0</v>
      </c>
    </row>
    <row r="18542" customFormat="false" ht="14.4" hidden="true" customHeight="false" outlineLevel="0" collapsed="false">
      <c r="A18542" s="34" t="n">
        <v>53419493000165</v>
      </c>
      <c r="B18542" s="34" t="s">
        <v>33784</v>
      </c>
      <c r="C18542" s="34" t="s">
        <v>680</v>
      </c>
      <c r="E18542" s="30" t="s">
        <v>33785</v>
      </c>
      <c r="F18542" s="34" t="n">
        <f aca="false">IFERROR(VLOOKUP($A18542,'319'!$B:$H,7,0),0)</f>
        <v>0</v>
      </c>
      <c r="G18542" s="34" t="n">
        <f aca="false">SUMIFS('12.326ana'!$C:$C,'12.326ana'!$M:$M,redes!A18542)</f>
        <v>0</v>
      </c>
    </row>
    <row r="18543" customFormat="false" ht="14.4" hidden="true" customHeight="false" outlineLevel="0" collapsed="false">
      <c r="A18543" s="34" t="n">
        <v>53451388000103</v>
      </c>
      <c r="B18543" s="34" t="s">
        <v>33786</v>
      </c>
      <c r="C18543" s="34" t="s">
        <v>107</v>
      </c>
      <c r="E18543" s="30" t="s">
        <v>33787</v>
      </c>
      <c r="F18543" s="34" t="n">
        <f aca="false">IFERROR(VLOOKUP($A18543,'319'!$B:$H,7,0),0)</f>
        <v>0</v>
      </c>
      <c r="G18543" s="34" t="n">
        <f aca="false">SUMIFS('12.326ana'!$C:$C,'12.326ana'!$M:$M,redes!A18543)</f>
        <v>0</v>
      </c>
    </row>
    <row r="18544" customFormat="false" ht="14.4" hidden="true" customHeight="false" outlineLevel="0" collapsed="false">
      <c r="A18544" s="34" t="n">
        <v>53475329000175</v>
      </c>
      <c r="B18544" s="34" t="s">
        <v>33788</v>
      </c>
      <c r="C18544" s="34" t="s">
        <v>328</v>
      </c>
      <c r="E18544" s="30" t="s">
        <v>33789</v>
      </c>
      <c r="F18544" s="34" t="n">
        <f aca="false">IFERROR(VLOOKUP($A18544,'319'!$B:$H,7,0),0)</f>
        <v>457.09</v>
      </c>
      <c r="G18544" s="34" t="n">
        <f aca="false">SUMIFS('12.326ana'!$C:$C,'12.326ana'!$M:$M,redes!A18544)</f>
        <v>0</v>
      </c>
    </row>
    <row r="18545" customFormat="false" ht="14.4" hidden="true" customHeight="false" outlineLevel="0" collapsed="false">
      <c r="A18545" s="34" t="n">
        <v>53528783000147</v>
      </c>
      <c r="B18545" s="34" t="s">
        <v>33790</v>
      </c>
      <c r="C18545" s="34" t="s">
        <v>107</v>
      </c>
      <c r="E18545" s="30" t="s">
        <v>33791</v>
      </c>
      <c r="F18545" s="34" t="n">
        <f aca="false">IFERROR(VLOOKUP($A18545,'319'!$B:$H,7,0),0)</f>
        <v>0</v>
      </c>
      <c r="G18545" s="34" t="n">
        <f aca="false">SUMIFS('12.326ana'!$C:$C,'12.326ana'!$M:$M,redes!A18545)</f>
        <v>0</v>
      </c>
    </row>
    <row r="18546" customFormat="false" ht="14.4" hidden="true" customHeight="false" outlineLevel="0" collapsed="false">
      <c r="A18546" s="34" t="n">
        <v>53533969000194</v>
      </c>
      <c r="B18546" s="34" t="s">
        <v>33792</v>
      </c>
      <c r="C18546" s="34" t="s">
        <v>139</v>
      </c>
      <c r="E18546" s="30" t="s">
        <v>33793</v>
      </c>
      <c r="F18546" s="34" t="n">
        <f aca="false">IFERROR(VLOOKUP($A18546,'319'!$B:$H,7,0),0)</f>
        <v>0</v>
      </c>
      <c r="G18546" s="34" t="n">
        <f aca="false">SUMIFS('12.326ana'!$C:$C,'12.326ana'!$M:$M,redes!A18546)</f>
        <v>0</v>
      </c>
    </row>
    <row r="18547" customFormat="false" ht="14.4" hidden="true" customHeight="false" outlineLevel="0" collapsed="false">
      <c r="A18547" s="34" t="n">
        <v>53550210000110</v>
      </c>
      <c r="B18547" s="34" t="s">
        <v>33794</v>
      </c>
      <c r="C18547" s="34" t="s">
        <v>129</v>
      </c>
      <c r="E18547" s="30" t="s">
        <v>33795</v>
      </c>
      <c r="F18547" s="34" t="n">
        <f aca="false">IFERROR(VLOOKUP($A18547,'319'!$B:$H,7,0),0)</f>
        <v>0</v>
      </c>
      <c r="G18547" s="34" t="n">
        <f aca="false">SUMIFS('12.326ana'!$C:$C,'12.326ana'!$M:$M,redes!A18547)</f>
        <v>0</v>
      </c>
    </row>
    <row r="18548" customFormat="false" ht="14.4" hidden="true" customHeight="false" outlineLevel="0" collapsed="false">
      <c r="A18548" s="34" t="n">
        <v>53551387000130</v>
      </c>
      <c r="B18548" s="34" t="s">
        <v>33796</v>
      </c>
      <c r="C18548" s="34" t="s">
        <v>77</v>
      </c>
      <c r="E18548" s="30" t="s">
        <v>33797</v>
      </c>
      <c r="F18548" s="34" t="n">
        <f aca="false">IFERROR(VLOOKUP($A18548,'319'!$B:$H,7,0),0)</f>
        <v>0</v>
      </c>
      <c r="G18548" s="34" t="n">
        <f aca="false">SUMIFS('12.326ana'!$C:$C,'12.326ana'!$M:$M,redes!A18548)</f>
        <v>0</v>
      </c>
    </row>
    <row r="18549" customFormat="false" ht="14.4" hidden="true" customHeight="false" outlineLevel="0" collapsed="false">
      <c r="A18549" s="34" t="n">
        <v>53613046000142</v>
      </c>
      <c r="B18549" s="34" t="s">
        <v>33798</v>
      </c>
      <c r="C18549" s="34" t="s">
        <v>77</v>
      </c>
      <c r="E18549" s="30" t="s">
        <v>33799</v>
      </c>
      <c r="F18549" s="34" t="n">
        <f aca="false">IFERROR(VLOOKUP($A18549,'319'!$B:$H,7,0),0)</f>
        <v>141.57</v>
      </c>
      <c r="G18549" s="34" t="n">
        <f aca="false">SUMIFS('12.326ana'!$C:$C,'12.326ana'!$M:$M,redes!A18549)</f>
        <v>0</v>
      </c>
    </row>
    <row r="18550" customFormat="false" ht="14.4" hidden="true" customHeight="false" outlineLevel="0" collapsed="false">
      <c r="A18550" s="34" t="n">
        <v>53645242000107</v>
      </c>
      <c r="B18550" s="34" t="s">
        <v>33800</v>
      </c>
      <c r="C18550" s="34" t="s">
        <v>139</v>
      </c>
      <c r="E18550" s="30" t="s">
        <v>19334</v>
      </c>
      <c r="F18550" s="34" t="n">
        <f aca="false">IFERROR(VLOOKUP($A18550,'319'!$B:$H,7,0),0)</f>
        <v>0</v>
      </c>
      <c r="G18550" s="34" t="n">
        <f aca="false">SUMIFS('12.326ana'!$C:$C,'12.326ana'!$M:$M,redes!A18550)</f>
        <v>0</v>
      </c>
    </row>
    <row r="18551" customFormat="false" ht="14.4" hidden="true" customHeight="false" outlineLevel="0" collapsed="false">
      <c r="A18551" s="34" t="n">
        <v>53653554000154</v>
      </c>
      <c r="B18551" s="34" t="s">
        <v>33801</v>
      </c>
      <c r="C18551" s="34" t="s">
        <v>139</v>
      </c>
      <c r="E18551" s="30" t="s">
        <v>33802</v>
      </c>
      <c r="F18551" s="34" t="n">
        <f aca="false">IFERROR(VLOOKUP($A18551,'319'!$B:$H,7,0),0)</f>
        <v>0</v>
      </c>
      <c r="G18551" s="34" t="n">
        <f aca="false">SUMIFS('12.326ana'!$C:$C,'12.326ana'!$M:$M,redes!A18551)</f>
        <v>0</v>
      </c>
    </row>
    <row r="18552" customFormat="false" ht="14.4" hidden="true" customHeight="false" outlineLevel="0" collapsed="false">
      <c r="A18552" s="34" t="n">
        <v>53669741000126</v>
      </c>
      <c r="B18552" s="34" t="s">
        <v>33803</v>
      </c>
      <c r="C18552" s="34" t="s">
        <v>954</v>
      </c>
      <c r="E18552" s="30" t="s">
        <v>6348</v>
      </c>
      <c r="F18552" s="34" t="n">
        <f aca="false">IFERROR(VLOOKUP($A18552,'319'!$B:$H,7,0),0)</f>
        <v>282.69</v>
      </c>
      <c r="G18552" s="34" t="n">
        <f aca="false">SUMIFS('12.326ana'!$C:$C,'12.326ana'!$M:$M,redes!A18552)</f>
        <v>0</v>
      </c>
    </row>
    <row r="18553" customFormat="false" ht="14.4" hidden="true" customHeight="false" outlineLevel="0" collapsed="false">
      <c r="A18553" s="34" t="n">
        <v>53715042000175</v>
      </c>
      <c r="B18553" s="34" t="s">
        <v>1537</v>
      </c>
      <c r="C18553" s="34" t="s">
        <v>994</v>
      </c>
      <c r="E18553" s="30" t="s">
        <v>1537</v>
      </c>
      <c r="F18553" s="34" t="n">
        <f aca="false">IFERROR(VLOOKUP($A18553,'319'!$B:$H,7,0),0)</f>
        <v>114.6</v>
      </c>
      <c r="G18553" s="34" t="n">
        <f aca="false">SUMIFS('12.326ana'!$C:$C,'12.326ana'!$M:$M,redes!A18553)</f>
        <v>0</v>
      </c>
    </row>
    <row r="18554" customFormat="false" ht="14.4" hidden="true" customHeight="false" outlineLevel="0" collapsed="false">
      <c r="A18554" s="34" t="n">
        <v>53717120000170</v>
      </c>
      <c r="B18554" s="34" t="s">
        <v>33804</v>
      </c>
      <c r="C18554" s="34" t="s">
        <v>33805</v>
      </c>
      <c r="E18554" s="30" t="s">
        <v>33806</v>
      </c>
      <c r="F18554" s="34" t="n">
        <f aca="false">IFERROR(VLOOKUP($A18554,'319'!$B:$H,7,0),0)</f>
        <v>0</v>
      </c>
      <c r="G18554" s="34" t="n">
        <f aca="false">SUMIFS('12.326ana'!$C:$C,'12.326ana'!$M:$M,redes!A18554)</f>
        <v>0</v>
      </c>
    </row>
    <row r="18555" customFormat="false" ht="14.4" hidden="true" customHeight="false" outlineLevel="0" collapsed="false">
      <c r="A18555" s="34" t="n">
        <v>53722582000186</v>
      </c>
      <c r="B18555" s="34" t="s">
        <v>33807</v>
      </c>
      <c r="C18555" s="34" t="s">
        <v>129</v>
      </c>
      <c r="E18555" s="30" t="s">
        <v>33808</v>
      </c>
      <c r="F18555" s="34" t="n">
        <f aca="false">IFERROR(VLOOKUP($A18555,'319'!$B:$H,7,0),0)</f>
        <v>0</v>
      </c>
      <c r="G18555" s="34" t="n">
        <f aca="false">SUMIFS('12.326ana'!$C:$C,'12.326ana'!$M:$M,redes!A18555)</f>
        <v>0</v>
      </c>
    </row>
    <row r="18556" customFormat="false" ht="14.4" hidden="true" customHeight="false" outlineLevel="0" collapsed="false">
      <c r="A18556" s="34" t="n">
        <v>53750869000110</v>
      </c>
      <c r="B18556" s="34" t="s">
        <v>33809</v>
      </c>
      <c r="C18556" s="34" t="s">
        <v>77</v>
      </c>
      <c r="E18556" s="30" t="s">
        <v>28476</v>
      </c>
      <c r="F18556" s="34" t="n">
        <f aca="false">IFERROR(VLOOKUP($A18556,'319'!$B:$H,7,0),0)</f>
        <v>0</v>
      </c>
      <c r="G18556" s="34" t="n">
        <f aca="false">SUMIFS('12.326ana'!$C:$C,'12.326ana'!$M:$M,redes!A18556)</f>
        <v>0</v>
      </c>
    </row>
    <row r="18557" customFormat="false" ht="14.4" hidden="true" customHeight="false" outlineLevel="0" collapsed="false">
      <c r="A18557" s="34" t="n">
        <v>53761082000153</v>
      </c>
      <c r="B18557" s="34" t="s">
        <v>33810</v>
      </c>
      <c r="C18557" s="34" t="s">
        <v>107</v>
      </c>
      <c r="E18557" s="30" t="s">
        <v>19577</v>
      </c>
      <c r="F18557" s="34" t="n">
        <f aca="false">IFERROR(VLOOKUP($A18557,'319'!$B:$H,7,0),0)</f>
        <v>0</v>
      </c>
      <c r="G18557" s="34" t="n">
        <f aca="false">SUMIFS('12.326ana'!$C:$C,'12.326ana'!$M:$M,redes!A18557)</f>
        <v>0</v>
      </c>
    </row>
    <row r="18558" customFormat="false" ht="14.4" hidden="true" customHeight="false" outlineLevel="0" collapsed="false">
      <c r="A18558" s="34" t="n">
        <v>53770115000121</v>
      </c>
      <c r="B18558" s="34" t="s">
        <v>33811</v>
      </c>
      <c r="C18558" s="34" t="s">
        <v>77</v>
      </c>
      <c r="E18558" s="30" t="s">
        <v>33812</v>
      </c>
      <c r="F18558" s="34" t="n">
        <f aca="false">IFERROR(VLOOKUP($A18558,'319'!$B:$H,7,0),0)</f>
        <v>0</v>
      </c>
      <c r="G18558" s="34" t="n">
        <f aca="false">SUMIFS('12.326ana'!$C:$C,'12.326ana'!$M:$M,redes!A18558)</f>
        <v>0</v>
      </c>
    </row>
    <row r="18559" customFormat="false" ht="14.4" hidden="true" customHeight="false" outlineLevel="0" collapsed="false">
      <c r="A18559" s="34" t="n">
        <v>53771817000120</v>
      </c>
      <c r="B18559" s="34" t="s">
        <v>33813</v>
      </c>
      <c r="C18559" s="34" t="s">
        <v>389</v>
      </c>
      <c r="E18559" s="30" t="s">
        <v>12392</v>
      </c>
      <c r="F18559" s="34" t="n">
        <f aca="false">IFERROR(VLOOKUP($A18559,'319'!$B:$H,7,0),0)</f>
        <v>0</v>
      </c>
      <c r="G18559" s="34" t="n">
        <f aca="false">SUMIFS('12.326ana'!$C:$C,'12.326ana'!$M:$M,redes!A18559)</f>
        <v>0</v>
      </c>
    </row>
    <row r="18560" customFormat="false" ht="14.4" hidden="true" customHeight="false" outlineLevel="0" collapsed="false">
      <c r="A18560" s="34" t="n">
        <v>53798845000130</v>
      </c>
      <c r="B18560" s="34" t="s">
        <v>33814</v>
      </c>
      <c r="C18560" s="34" t="s">
        <v>107</v>
      </c>
      <c r="E18560" s="30" t="s">
        <v>33815</v>
      </c>
      <c r="F18560" s="34" t="n">
        <f aca="false">IFERROR(VLOOKUP($A18560,'319'!$B:$H,7,0),0)</f>
        <v>0</v>
      </c>
      <c r="G18560" s="34" t="n">
        <f aca="false">SUMIFS('12.326ana'!$C:$C,'12.326ana'!$M:$M,redes!A18560)</f>
        <v>0</v>
      </c>
    </row>
    <row r="18561" customFormat="false" ht="14.4" hidden="true" customHeight="false" outlineLevel="0" collapsed="false">
      <c r="A18561" s="34" t="n">
        <v>53819738000141</v>
      </c>
      <c r="B18561" s="34" t="s">
        <v>33816</v>
      </c>
      <c r="C18561" s="34" t="s">
        <v>139</v>
      </c>
      <c r="E18561" s="30" t="s">
        <v>33816</v>
      </c>
      <c r="F18561" s="34" t="n">
        <f aca="false">IFERROR(VLOOKUP($A18561,'319'!$B:$H,7,0),0)</f>
        <v>1339.78</v>
      </c>
      <c r="G18561" s="34" t="n">
        <f aca="false">SUMIFS('12.326ana'!$C:$C,'12.326ana'!$M:$M,redes!A18561)</f>
        <v>0</v>
      </c>
    </row>
    <row r="18562" customFormat="false" ht="14.4" hidden="true" customHeight="false" outlineLevel="0" collapsed="false">
      <c r="A18562" s="34" t="n">
        <v>53822455000159</v>
      </c>
      <c r="B18562" s="34" t="s">
        <v>33817</v>
      </c>
      <c r="C18562" s="34" t="s">
        <v>77</v>
      </c>
      <c r="E18562" s="30" t="s">
        <v>33818</v>
      </c>
      <c r="F18562" s="34" t="n">
        <f aca="false">IFERROR(VLOOKUP($A18562,'319'!$B:$H,7,0),0)</f>
        <v>0</v>
      </c>
      <c r="G18562" s="34" t="n">
        <f aca="false">SUMIFS('12.326ana'!$C:$C,'12.326ana'!$M:$M,redes!A18562)</f>
        <v>0</v>
      </c>
    </row>
    <row r="18563" customFormat="false" ht="14.4" hidden="true" customHeight="false" outlineLevel="0" collapsed="false">
      <c r="A18563" s="34" t="n">
        <v>53825450000180</v>
      </c>
      <c r="B18563" s="34" t="s">
        <v>33819</v>
      </c>
      <c r="C18563" s="34" t="s">
        <v>4139</v>
      </c>
      <c r="E18563" s="30" t="s">
        <v>12668</v>
      </c>
      <c r="F18563" s="34" t="n">
        <f aca="false">IFERROR(VLOOKUP($A18563,'319'!$B:$H,7,0),0)</f>
        <v>0</v>
      </c>
      <c r="G18563" s="34" t="n">
        <f aca="false">SUMIFS('12.326ana'!$C:$C,'12.326ana'!$M:$M,redes!A18563)</f>
        <v>0</v>
      </c>
    </row>
    <row r="18564" customFormat="false" ht="14.4" hidden="true" customHeight="false" outlineLevel="0" collapsed="false">
      <c r="A18564" s="34" t="n">
        <v>53830495000142</v>
      </c>
      <c r="B18564" s="34" t="s">
        <v>33820</v>
      </c>
      <c r="C18564" s="34" t="s">
        <v>89</v>
      </c>
      <c r="E18564" s="30" t="s">
        <v>33821</v>
      </c>
      <c r="F18564" s="34" t="n">
        <f aca="false">IFERROR(VLOOKUP($A18564,'319'!$B:$H,7,0),0)</f>
        <v>0</v>
      </c>
      <c r="G18564" s="34" t="n">
        <f aca="false">SUMIFS('12.326ana'!$C:$C,'12.326ana'!$M:$M,redes!A18564)</f>
        <v>0</v>
      </c>
    </row>
    <row r="18565" customFormat="false" ht="14.4" hidden="true" customHeight="false" outlineLevel="0" collapsed="false">
      <c r="A18565" s="34" t="n">
        <v>53842847000180</v>
      </c>
      <c r="B18565" s="34" t="s">
        <v>33822</v>
      </c>
      <c r="C18565" s="34" t="s">
        <v>77</v>
      </c>
      <c r="E18565" s="30" t="s">
        <v>32397</v>
      </c>
      <c r="F18565" s="34" t="n">
        <f aca="false">IFERROR(VLOOKUP($A18565,'319'!$B:$H,7,0),0)</f>
        <v>0</v>
      </c>
      <c r="G18565" s="34" t="n">
        <f aca="false">SUMIFS('12.326ana'!$C:$C,'12.326ana'!$M:$M,redes!A18565)</f>
        <v>0</v>
      </c>
    </row>
    <row r="18566" customFormat="false" ht="14.4" hidden="true" customHeight="false" outlineLevel="0" collapsed="false">
      <c r="A18566" s="34" t="n">
        <v>53844041000120</v>
      </c>
      <c r="B18566" s="34" t="s">
        <v>33823</v>
      </c>
      <c r="C18566" s="34" t="s">
        <v>89</v>
      </c>
      <c r="E18566" s="30" t="s">
        <v>33824</v>
      </c>
      <c r="F18566" s="34" t="n">
        <f aca="false">IFERROR(VLOOKUP($A18566,'319'!$B:$H,7,0),0)</f>
        <v>0</v>
      </c>
      <c r="G18566" s="34" t="n">
        <f aca="false">SUMIFS('12.326ana'!$C:$C,'12.326ana'!$M:$M,redes!A18566)</f>
        <v>0</v>
      </c>
    </row>
    <row r="18567" customFormat="false" ht="14.4" hidden="true" customHeight="false" outlineLevel="0" collapsed="false">
      <c r="A18567" s="34" t="n">
        <v>53854078000130</v>
      </c>
      <c r="B18567" s="34" t="s">
        <v>33825</v>
      </c>
      <c r="C18567" s="34" t="s">
        <v>631</v>
      </c>
      <c r="E18567" s="30" t="s">
        <v>33826</v>
      </c>
      <c r="F18567" s="34" t="n">
        <f aca="false">IFERROR(VLOOKUP($A18567,'319'!$B:$H,7,0),0)</f>
        <v>0</v>
      </c>
      <c r="G18567" s="34" t="n">
        <f aca="false">SUMIFS('12.326ana'!$C:$C,'12.326ana'!$M:$M,redes!A18567)</f>
        <v>0</v>
      </c>
    </row>
    <row r="18568" customFormat="false" ht="14.4" hidden="true" customHeight="false" outlineLevel="0" collapsed="false">
      <c r="A18568" s="34" t="n">
        <v>53856630000129</v>
      </c>
      <c r="B18568" s="34" t="s">
        <v>33827</v>
      </c>
      <c r="C18568" s="34" t="s">
        <v>77</v>
      </c>
      <c r="E18568" s="30" t="s">
        <v>33828</v>
      </c>
      <c r="F18568" s="34" t="n">
        <f aca="false">IFERROR(VLOOKUP($A18568,'319'!$B:$H,7,0),0)</f>
        <v>0</v>
      </c>
      <c r="G18568" s="34" t="n">
        <f aca="false">SUMIFS('12.326ana'!$C:$C,'12.326ana'!$M:$M,redes!A18568)</f>
        <v>0</v>
      </c>
    </row>
    <row r="18569" customFormat="false" ht="14.4" hidden="true" customHeight="false" outlineLevel="0" collapsed="false">
      <c r="A18569" s="34" t="n">
        <v>53874763000128</v>
      </c>
      <c r="B18569" s="34" t="s">
        <v>1083</v>
      </c>
      <c r="C18569" s="34" t="s">
        <v>77</v>
      </c>
      <c r="E18569" s="30" t="s">
        <v>6896</v>
      </c>
      <c r="F18569" s="34" t="n">
        <f aca="false">IFERROR(VLOOKUP($A18569,'319'!$B:$H,7,0),0)</f>
        <v>620.55</v>
      </c>
      <c r="G18569" s="34" t="n">
        <f aca="false">SUMIFS('12.326ana'!$C:$C,'12.326ana'!$M:$M,redes!A18569)</f>
        <v>0</v>
      </c>
    </row>
    <row r="18570" customFormat="false" ht="14.4" hidden="true" customHeight="false" outlineLevel="0" collapsed="false">
      <c r="A18570" s="34" t="n">
        <v>53899610000135</v>
      </c>
      <c r="B18570" s="34" t="s">
        <v>33829</v>
      </c>
      <c r="C18570" s="34" t="s">
        <v>1272</v>
      </c>
      <c r="E18570" s="30" t="s">
        <v>33830</v>
      </c>
      <c r="F18570" s="34" t="n">
        <f aca="false">IFERROR(VLOOKUP($A18570,'319'!$B:$H,7,0),0)</f>
        <v>0</v>
      </c>
      <c r="G18570" s="34" t="n">
        <f aca="false">SUMIFS('12.326ana'!$C:$C,'12.326ana'!$M:$M,redes!A18570)</f>
        <v>0</v>
      </c>
    </row>
    <row r="18571" customFormat="false" ht="14.4" hidden="true" customHeight="false" outlineLevel="0" collapsed="false">
      <c r="A18571" s="34" t="n">
        <v>53904313000130</v>
      </c>
      <c r="B18571" s="34" t="s">
        <v>33831</v>
      </c>
      <c r="C18571" s="34" t="s">
        <v>77</v>
      </c>
      <c r="E18571" s="30" t="s">
        <v>33832</v>
      </c>
      <c r="F18571" s="34" t="n">
        <f aca="false">IFERROR(VLOOKUP($A18571,'319'!$B:$H,7,0),0)</f>
        <v>0</v>
      </c>
      <c r="G18571" s="34" t="n">
        <f aca="false">SUMIFS('12.326ana'!$C:$C,'12.326ana'!$M:$M,redes!A18571)</f>
        <v>0</v>
      </c>
    </row>
    <row r="18572" customFormat="false" ht="14.4" hidden="true" customHeight="false" outlineLevel="0" collapsed="false">
      <c r="A18572" s="34" t="n">
        <v>53922299000106</v>
      </c>
      <c r="B18572" s="34" t="s">
        <v>33833</v>
      </c>
      <c r="C18572" s="34" t="s">
        <v>77</v>
      </c>
      <c r="E18572" s="30" t="s">
        <v>33834</v>
      </c>
      <c r="F18572" s="34" t="n">
        <f aca="false">IFERROR(VLOOKUP($A18572,'319'!$B:$H,7,0),0)</f>
        <v>0</v>
      </c>
      <c r="G18572" s="34" t="n">
        <f aca="false">SUMIFS('12.326ana'!$C:$C,'12.326ana'!$M:$M,redes!A18572)</f>
        <v>0</v>
      </c>
    </row>
    <row r="18573" customFormat="false" ht="14.4" hidden="true" customHeight="false" outlineLevel="0" collapsed="false">
      <c r="A18573" s="34" t="n">
        <v>53934222000148</v>
      </c>
      <c r="B18573" s="34" t="s">
        <v>33835</v>
      </c>
      <c r="C18573" s="34" t="s">
        <v>77</v>
      </c>
      <c r="E18573" s="30" t="s">
        <v>33836</v>
      </c>
      <c r="F18573" s="34" t="n">
        <f aca="false">IFERROR(VLOOKUP($A18573,'319'!$B:$H,7,0),0)</f>
        <v>0</v>
      </c>
      <c r="G18573" s="34" t="n">
        <f aca="false">SUMIFS('12.326ana'!$C:$C,'12.326ana'!$M:$M,redes!A18573)</f>
        <v>0</v>
      </c>
    </row>
    <row r="18574" customFormat="false" ht="14.4" hidden="true" customHeight="false" outlineLevel="0" collapsed="false">
      <c r="A18574" s="34" t="n">
        <v>53961420000109</v>
      </c>
      <c r="B18574" s="34" t="s">
        <v>33837</v>
      </c>
      <c r="C18574" s="34" t="s">
        <v>77</v>
      </c>
      <c r="E18574" s="30" t="s">
        <v>33838</v>
      </c>
      <c r="F18574" s="34" t="n">
        <f aca="false">IFERROR(VLOOKUP($A18574,'319'!$B:$H,7,0),0)</f>
        <v>0</v>
      </c>
      <c r="G18574" s="34" t="n">
        <f aca="false">SUMIFS('12.326ana'!$C:$C,'12.326ana'!$M:$M,redes!A18574)</f>
        <v>0</v>
      </c>
    </row>
    <row r="18575" customFormat="false" ht="14.4" hidden="true" customHeight="false" outlineLevel="0" collapsed="false">
      <c r="A18575" s="34" t="n">
        <v>53963443000810</v>
      </c>
      <c r="B18575" s="34" t="s">
        <v>33839</v>
      </c>
      <c r="C18575" s="34" t="s">
        <v>89</v>
      </c>
      <c r="E18575" s="30" t="s">
        <v>33840</v>
      </c>
      <c r="F18575" s="34" t="n">
        <f aca="false">IFERROR(VLOOKUP($A18575,'319'!$B:$H,7,0),0)</f>
        <v>0</v>
      </c>
      <c r="G18575" s="34" t="n">
        <f aca="false">SUMIFS('12.326ana'!$C:$C,'12.326ana'!$M:$M,redes!A18575)</f>
        <v>0</v>
      </c>
    </row>
    <row r="18576" customFormat="false" ht="14.4" hidden="true" customHeight="false" outlineLevel="0" collapsed="false">
      <c r="A18576" s="34" t="n">
        <v>53971731000140</v>
      </c>
      <c r="B18576" s="34" t="s">
        <v>33841</v>
      </c>
      <c r="C18576" s="34" t="s">
        <v>139</v>
      </c>
      <c r="E18576" s="30" t="s">
        <v>33841</v>
      </c>
      <c r="F18576" s="34" t="n">
        <f aca="false">IFERROR(VLOOKUP($A18576,'319'!$B:$H,7,0),0)</f>
        <v>0</v>
      </c>
      <c r="G18576" s="34" t="n">
        <f aca="false">SUMIFS('12.326ana'!$C:$C,'12.326ana'!$M:$M,redes!A18576)</f>
        <v>0</v>
      </c>
    </row>
    <row r="18577" customFormat="false" ht="14.4" hidden="true" customHeight="false" outlineLevel="0" collapsed="false">
      <c r="A18577" s="34" t="n">
        <v>54004849000162</v>
      </c>
      <c r="B18577" s="34" t="s">
        <v>33842</v>
      </c>
      <c r="C18577" s="34" t="s">
        <v>809</v>
      </c>
      <c r="E18577" s="30" t="s">
        <v>33843</v>
      </c>
      <c r="F18577" s="34" t="n">
        <f aca="false">IFERROR(VLOOKUP($A18577,'319'!$B:$H,7,0),0)</f>
        <v>0</v>
      </c>
      <c r="G18577" s="34" t="n">
        <f aca="false">SUMIFS('12.326ana'!$C:$C,'12.326ana'!$M:$M,redes!A18577)</f>
        <v>0</v>
      </c>
    </row>
    <row r="18578" customFormat="false" ht="14.4" hidden="true" customHeight="false" outlineLevel="0" collapsed="false">
      <c r="A18578" s="34" t="n">
        <v>54028226000120</v>
      </c>
      <c r="B18578" s="34" t="s">
        <v>33844</v>
      </c>
      <c r="C18578" s="34" t="s">
        <v>77</v>
      </c>
      <c r="E18578" s="30" t="s">
        <v>12912</v>
      </c>
      <c r="F18578" s="34" t="n">
        <f aca="false">IFERROR(VLOOKUP($A18578,'319'!$B:$H,7,0),0)</f>
        <v>0</v>
      </c>
      <c r="G18578" s="34" t="n">
        <f aca="false">SUMIFS('12.326ana'!$C:$C,'12.326ana'!$M:$M,redes!A18578)</f>
        <v>0</v>
      </c>
    </row>
    <row r="18579" customFormat="false" ht="14.4" hidden="true" customHeight="false" outlineLevel="0" collapsed="false">
      <c r="A18579" s="34" t="n">
        <v>54038803000164</v>
      </c>
      <c r="B18579" s="34" t="s">
        <v>33845</v>
      </c>
      <c r="C18579" s="34" t="s">
        <v>107</v>
      </c>
      <c r="E18579" s="30" t="s">
        <v>33846</v>
      </c>
      <c r="F18579" s="34" t="n">
        <f aca="false">IFERROR(VLOOKUP($A18579,'319'!$B:$H,7,0),0)</f>
        <v>0</v>
      </c>
      <c r="G18579" s="34" t="n">
        <f aca="false">SUMIFS('12.326ana'!$C:$C,'12.326ana'!$M:$M,redes!A18579)</f>
        <v>0</v>
      </c>
    </row>
    <row r="18580" customFormat="false" ht="14.4" hidden="true" customHeight="false" outlineLevel="0" collapsed="false">
      <c r="A18580" s="34" t="n">
        <v>54095822000122</v>
      </c>
      <c r="B18580" s="34" t="s">
        <v>33847</v>
      </c>
      <c r="C18580" s="34" t="s">
        <v>77</v>
      </c>
      <c r="E18580" s="30" t="s">
        <v>33847</v>
      </c>
      <c r="F18580" s="34" t="n">
        <f aca="false">IFERROR(VLOOKUP($A18580,'319'!$B:$H,7,0),0)</f>
        <v>0</v>
      </c>
      <c r="G18580" s="34" t="n">
        <f aca="false">SUMIFS('12.326ana'!$C:$C,'12.326ana'!$M:$M,redes!A18580)</f>
        <v>0</v>
      </c>
    </row>
    <row r="18581" customFormat="false" ht="14.4" hidden="true" customHeight="false" outlineLevel="0" collapsed="false">
      <c r="A18581" s="34" t="n">
        <v>54115676000150</v>
      </c>
      <c r="B18581" s="34" t="s">
        <v>33848</v>
      </c>
      <c r="C18581" s="34" t="s">
        <v>139</v>
      </c>
      <c r="E18581" s="30" t="s">
        <v>33848</v>
      </c>
      <c r="F18581" s="34" t="n">
        <f aca="false">IFERROR(VLOOKUP($A18581,'319'!$B:$H,7,0),0)</f>
        <v>0</v>
      </c>
      <c r="G18581" s="34" t="n">
        <f aca="false">SUMIFS('12.326ana'!$C:$C,'12.326ana'!$M:$M,redes!A18581)</f>
        <v>0</v>
      </c>
    </row>
    <row r="18582" customFormat="false" ht="14.4" hidden="true" customHeight="false" outlineLevel="0" collapsed="false">
      <c r="A18582" s="34" t="n">
        <v>54134274000100</v>
      </c>
      <c r="B18582" s="34" t="s">
        <v>33849</v>
      </c>
      <c r="C18582" s="34" t="s">
        <v>77</v>
      </c>
      <c r="E18582" s="30" t="s">
        <v>33849</v>
      </c>
      <c r="F18582" s="34" t="n">
        <f aca="false">IFERROR(VLOOKUP($A18582,'319'!$B:$H,7,0),0)</f>
        <v>0</v>
      </c>
      <c r="G18582" s="34" t="n">
        <f aca="false">SUMIFS('12.326ana'!$C:$C,'12.326ana'!$M:$M,redes!A18582)</f>
        <v>0</v>
      </c>
    </row>
    <row r="18583" customFormat="false" ht="14.4" hidden="true" customHeight="false" outlineLevel="0" collapsed="false">
      <c r="A18583" s="34" t="n">
        <v>54146815000102</v>
      </c>
      <c r="B18583" s="34" t="s">
        <v>33850</v>
      </c>
      <c r="C18583" s="34" t="s">
        <v>77</v>
      </c>
      <c r="E18583" s="30" t="s">
        <v>33851</v>
      </c>
      <c r="F18583" s="34" t="n">
        <f aca="false">IFERROR(VLOOKUP($A18583,'319'!$B:$H,7,0),0)</f>
        <v>0</v>
      </c>
      <c r="G18583" s="34" t="n">
        <f aca="false">SUMIFS('12.326ana'!$C:$C,'12.326ana'!$M:$M,redes!A18583)</f>
        <v>0</v>
      </c>
    </row>
    <row r="18584" customFormat="false" ht="14.4" hidden="true" customHeight="false" outlineLevel="0" collapsed="false">
      <c r="A18584" s="34" t="n">
        <v>54167555000151</v>
      </c>
      <c r="B18584" s="34" t="s">
        <v>33852</v>
      </c>
      <c r="C18584" s="34" t="s">
        <v>77</v>
      </c>
      <c r="E18584" s="30" t="s">
        <v>33853</v>
      </c>
      <c r="F18584" s="34" t="n">
        <f aca="false">IFERROR(VLOOKUP($A18584,'319'!$B:$H,7,0),0)</f>
        <v>0</v>
      </c>
      <c r="G18584" s="34" t="n">
        <f aca="false">SUMIFS('12.326ana'!$C:$C,'12.326ana'!$M:$M,redes!A18584)</f>
        <v>0</v>
      </c>
    </row>
    <row r="18585" customFormat="false" ht="14.4" hidden="true" customHeight="false" outlineLevel="0" collapsed="false">
      <c r="A18585" s="34" t="n">
        <v>54198236000103</v>
      </c>
      <c r="B18585" s="34" t="s">
        <v>33854</v>
      </c>
      <c r="C18585" s="34" t="s">
        <v>631</v>
      </c>
      <c r="E18585" s="30" t="s">
        <v>33855</v>
      </c>
      <c r="F18585" s="34" t="n">
        <f aca="false">IFERROR(VLOOKUP($A18585,'319'!$B:$H,7,0),0)</f>
        <v>0</v>
      </c>
      <c r="G18585" s="34" t="n">
        <f aca="false">SUMIFS('12.326ana'!$C:$C,'12.326ana'!$M:$M,redes!A18585)</f>
        <v>0</v>
      </c>
    </row>
    <row r="18586" customFormat="false" ht="14.4" hidden="true" customHeight="false" outlineLevel="0" collapsed="false">
      <c r="A18586" s="34" t="n">
        <v>54228151000120</v>
      </c>
      <c r="B18586" s="34" t="s">
        <v>33856</v>
      </c>
      <c r="C18586" s="34" t="s">
        <v>77</v>
      </c>
      <c r="E18586" s="30" t="s">
        <v>33857</v>
      </c>
      <c r="F18586" s="34" t="n">
        <f aca="false">IFERROR(VLOOKUP($A18586,'319'!$B:$H,7,0),0)</f>
        <v>0</v>
      </c>
      <c r="G18586" s="34" t="n">
        <f aca="false">SUMIFS('12.326ana'!$C:$C,'12.326ana'!$M:$M,redes!A18586)</f>
        <v>0</v>
      </c>
    </row>
    <row r="18587" customFormat="false" ht="14.4" hidden="true" customHeight="false" outlineLevel="0" collapsed="false">
      <c r="A18587" s="34" t="n">
        <v>54233422000136</v>
      </c>
      <c r="B18587" s="34" t="s">
        <v>33858</v>
      </c>
      <c r="C18587" s="34" t="s">
        <v>377</v>
      </c>
      <c r="E18587" s="30" t="s">
        <v>33859</v>
      </c>
      <c r="F18587" s="34" t="n">
        <f aca="false">IFERROR(VLOOKUP($A18587,'319'!$B:$H,7,0),0)</f>
        <v>0</v>
      </c>
      <c r="G18587" s="34" t="n">
        <f aca="false">SUMIFS('12.326ana'!$C:$C,'12.326ana'!$M:$M,redes!A18587)</f>
        <v>0</v>
      </c>
    </row>
    <row r="18588" customFormat="false" ht="14.4" hidden="true" customHeight="false" outlineLevel="0" collapsed="false">
      <c r="A18588" s="34" t="n">
        <v>54234507000139</v>
      </c>
      <c r="B18588" s="34" t="s">
        <v>33860</v>
      </c>
      <c r="C18588" s="34" t="s">
        <v>342</v>
      </c>
      <c r="E18588" s="30" t="s">
        <v>14678</v>
      </c>
      <c r="F18588" s="34" t="n">
        <f aca="false">IFERROR(VLOOKUP($A18588,'319'!$B:$H,7,0),0)</f>
        <v>0</v>
      </c>
      <c r="G18588" s="34" t="n">
        <f aca="false">SUMIFS('12.326ana'!$C:$C,'12.326ana'!$M:$M,redes!A18588)</f>
        <v>0</v>
      </c>
    </row>
    <row r="18589" customFormat="false" ht="14.4" hidden="true" customHeight="false" outlineLevel="0" collapsed="false">
      <c r="A18589" s="34" t="n">
        <v>54236574000192</v>
      </c>
      <c r="B18589" s="34" t="s">
        <v>33861</v>
      </c>
      <c r="C18589" s="34" t="s">
        <v>77</v>
      </c>
      <c r="E18589" s="30" t="s">
        <v>33862</v>
      </c>
      <c r="F18589" s="34" t="n">
        <f aca="false">IFERROR(VLOOKUP($A18589,'319'!$B:$H,7,0),0)</f>
        <v>0</v>
      </c>
      <c r="G18589" s="34" t="n">
        <f aca="false">SUMIFS('12.326ana'!$C:$C,'12.326ana'!$M:$M,redes!A18589)</f>
        <v>0</v>
      </c>
    </row>
    <row r="18590" customFormat="false" ht="14.4" hidden="true" customHeight="false" outlineLevel="0" collapsed="false">
      <c r="A18590" s="34" t="n">
        <v>54296608000134</v>
      </c>
      <c r="B18590" s="34" t="s">
        <v>33863</v>
      </c>
      <c r="C18590" s="34" t="s">
        <v>478</v>
      </c>
      <c r="E18590" s="30" t="s">
        <v>33864</v>
      </c>
      <c r="F18590" s="34" t="n">
        <f aca="false">IFERROR(VLOOKUP($A18590,'319'!$B:$H,7,0),0)</f>
        <v>0</v>
      </c>
      <c r="G18590" s="34" t="n">
        <f aca="false">SUMIFS('12.326ana'!$C:$C,'12.326ana'!$M:$M,redes!A18590)</f>
        <v>0</v>
      </c>
    </row>
    <row r="18591" customFormat="false" ht="14.4" hidden="true" customHeight="false" outlineLevel="0" collapsed="false">
      <c r="A18591" s="34" t="n">
        <v>54297138000123</v>
      </c>
      <c r="B18591" s="34" t="s">
        <v>33865</v>
      </c>
      <c r="C18591" s="34" t="s">
        <v>77</v>
      </c>
      <c r="E18591" s="30" t="s">
        <v>33866</v>
      </c>
      <c r="F18591" s="34" t="n">
        <f aca="false">IFERROR(VLOOKUP($A18591,'319'!$B:$H,7,0),0)</f>
        <v>0</v>
      </c>
      <c r="G18591" s="34" t="n">
        <f aca="false">SUMIFS('12.326ana'!$C:$C,'12.326ana'!$M:$M,redes!A18591)</f>
        <v>0</v>
      </c>
    </row>
    <row r="18592" customFormat="false" ht="14.4" hidden="true" customHeight="false" outlineLevel="0" collapsed="false">
      <c r="A18592" s="34" t="n">
        <v>54315620000149</v>
      </c>
      <c r="B18592" s="34" t="s">
        <v>33867</v>
      </c>
      <c r="C18592" s="34" t="s">
        <v>77</v>
      </c>
      <c r="E18592" s="30" t="s">
        <v>27737</v>
      </c>
      <c r="F18592" s="34" t="n">
        <f aca="false">IFERROR(VLOOKUP($A18592,'319'!$B:$H,7,0),0)</f>
        <v>0</v>
      </c>
      <c r="G18592" s="34" t="n">
        <f aca="false">SUMIFS('12.326ana'!$C:$C,'12.326ana'!$M:$M,redes!A18592)</f>
        <v>0</v>
      </c>
    </row>
    <row r="18593" customFormat="false" ht="14.4" hidden="true" customHeight="false" outlineLevel="0" collapsed="false">
      <c r="A18593" s="34" t="n">
        <v>54332109000155</v>
      </c>
      <c r="B18593" s="34" t="s">
        <v>33868</v>
      </c>
      <c r="C18593" s="34" t="s">
        <v>77</v>
      </c>
      <c r="E18593" s="30" t="s">
        <v>33869</v>
      </c>
      <c r="F18593" s="34" t="n">
        <f aca="false">IFERROR(VLOOKUP($A18593,'319'!$B:$H,7,0),0)</f>
        <v>0</v>
      </c>
      <c r="G18593" s="34" t="n">
        <f aca="false">SUMIFS('12.326ana'!$C:$C,'12.326ana'!$M:$M,redes!A18593)</f>
        <v>0</v>
      </c>
    </row>
    <row r="18594" customFormat="false" ht="14.4" hidden="true" customHeight="false" outlineLevel="0" collapsed="false">
      <c r="A18594" s="34" t="n">
        <v>54332477000101</v>
      </c>
      <c r="B18594" s="34" t="s">
        <v>33870</v>
      </c>
      <c r="C18594" s="34" t="s">
        <v>737</v>
      </c>
      <c r="E18594" s="30" t="s">
        <v>33871</v>
      </c>
      <c r="F18594" s="34" t="n">
        <f aca="false">IFERROR(VLOOKUP($A18594,'319'!$B:$H,7,0),0)</f>
        <v>0</v>
      </c>
      <c r="G18594" s="34" t="n">
        <f aca="false">SUMIFS('12.326ana'!$C:$C,'12.326ana'!$M:$M,redes!A18594)</f>
        <v>0</v>
      </c>
    </row>
    <row r="18595" customFormat="false" ht="14.4" hidden="true" customHeight="false" outlineLevel="0" collapsed="false">
      <c r="A18595" s="34" t="n">
        <v>54349830000158</v>
      </c>
      <c r="B18595" s="34" t="s">
        <v>33872</v>
      </c>
      <c r="C18595" s="34" t="s">
        <v>107</v>
      </c>
      <c r="E18595" s="30" t="s">
        <v>33873</v>
      </c>
      <c r="F18595" s="34" t="n">
        <f aca="false">IFERROR(VLOOKUP($A18595,'319'!$B:$H,7,0),0)</f>
        <v>0</v>
      </c>
      <c r="G18595" s="34" t="n">
        <f aca="false">SUMIFS('12.326ana'!$C:$C,'12.326ana'!$M:$M,redes!A18595)</f>
        <v>0</v>
      </c>
    </row>
    <row r="18596" customFormat="false" ht="14.4" hidden="true" customHeight="false" outlineLevel="0" collapsed="false">
      <c r="A18596" s="34" t="n">
        <v>54358693000118</v>
      </c>
      <c r="B18596" s="34" t="s">
        <v>33874</v>
      </c>
      <c r="C18596" s="34" t="s">
        <v>213</v>
      </c>
      <c r="E18596" s="30" t="s">
        <v>33875</v>
      </c>
      <c r="F18596" s="34" t="n">
        <f aca="false">IFERROR(VLOOKUP($A18596,'319'!$B:$H,7,0),0)</f>
        <v>0</v>
      </c>
      <c r="G18596" s="34" t="n">
        <f aca="false">SUMIFS('12.326ana'!$C:$C,'12.326ana'!$M:$M,redes!A18596)</f>
        <v>0</v>
      </c>
    </row>
    <row r="18597" customFormat="false" ht="14.4" hidden="true" customHeight="false" outlineLevel="0" collapsed="false">
      <c r="A18597" s="34" t="n">
        <v>54361056000109</v>
      </c>
      <c r="B18597" s="34" t="s">
        <v>33876</v>
      </c>
      <c r="C18597" s="34" t="s">
        <v>77</v>
      </c>
      <c r="E18597" s="30" t="s">
        <v>29608</v>
      </c>
      <c r="F18597" s="34" t="n">
        <f aca="false">IFERROR(VLOOKUP($A18597,'319'!$B:$H,7,0),0)</f>
        <v>0</v>
      </c>
      <c r="G18597" s="34" t="n">
        <f aca="false">SUMIFS('12.326ana'!$C:$C,'12.326ana'!$M:$M,redes!A18597)</f>
        <v>0</v>
      </c>
    </row>
    <row r="18598" customFormat="false" ht="14.4" hidden="true" customHeight="false" outlineLevel="0" collapsed="false">
      <c r="A18598" s="34" t="n">
        <v>54364354000144</v>
      </c>
      <c r="B18598" s="34" t="s">
        <v>33877</v>
      </c>
      <c r="C18598" s="34" t="s">
        <v>192</v>
      </c>
      <c r="E18598" s="30" t="s">
        <v>33878</v>
      </c>
      <c r="F18598" s="34" t="n">
        <f aca="false">IFERROR(VLOOKUP($A18598,'319'!$B:$H,7,0),0)</f>
        <v>0</v>
      </c>
      <c r="G18598" s="34" t="n">
        <f aca="false">SUMIFS('12.326ana'!$C:$C,'12.326ana'!$M:$M,redes!A18598)</f>
        <v>0</v>
      </c>
    </row>
    <row r="18599" customFormat="false" ht="14.4" hidden="true" customHeight="false" outlineLevel="0" collapsed="false">
      <c r="A18599" s="34" t="n">
        <v>54378909000107</v>
      </c>
      <c r="B18599" s="34" t="s">
        <v>33879</v>
      </c>
      <c r="C18599" s="34" t="s">
        <v>77</v>
      </c>
      <c r="E18599" s="30" t="s">
        <v>33880</v>
      </c>
      <c r="F18599" s="34" t="n">
        <f aca="false">IFERROR(VLOOKUP($A18599,'319'!$B:$H,7,0),0)</f>
        <v>0</v>
      </c>
      <c r="G18599" s="34" t="n">
        <f aca="false">SUMIFS('12.326ana'!$C:$C,'12.326ana'!$M:$M,redes!A18599)</f>
        <v>0</v>
      </c>
    </row>
    <row r="18600" customFormat="false" ht="14.4" hidden="true" customHeight="false" outlineLevel="0" collapsed="false">
      <c r="A18600" s="34" t="n">
        <v>54388405000178</v>
      </c>
      <c r="B18600" s="34" t="s">
        <v>33881</v>
      </c>
      <c r="C18600" s="34" t="s">
        <v>77</v>
      </c>
      <c r="E18600" s="30" t="s">
        <v>15312</v>
      </c>
      <c r="F18600" s="34" t="n">
        <f aca="false">IFERROR(VLOOKUP($A18600,'319'!$B:$H,7,0),0)</f>
        <v>0</v>
      </c>
      <c r="G18600" s="34" t="n">
        <f aca="false">SUMIFS('12.326ana'!$C:$C,'12.326ana'!$M:$M,redes!A18600)</f>
        <v>0</v>
      </c>
    </row>
    <row r="18601" customFormat="false" ht="14.4" hidden="true" customHeight="false" outlineLevel="0" collapsed="false">
      <c r="A18601" s="34" t="n">
        <v>54418890000185</v>
      </c>
      <c r="B18601" s="34" t="s">
        <v>33882</v>
      </c>
      <c r="C18601" s="34" t="s">
        <v>77</v>
      </c>
      <c r="E18601" s="30" t="s">
        <v>5206</v>
      </c>
      <c r="F18601" s="34" t="n">
        <f aca="false">IFERROR(VLOOKUP($A18601,'319'!$B:$H,7,0),0)</f>
        <v>-69.11</v>
      </c>
      <c r="G18601" s="34" t="n">
        <f aca="false">SUMIFS('12.326ana'!$C:$C,'12.326ana'!$M:$M,redes!A18601)</f>
        <v>0</v>
      </c>
    </row>
    <row r="18602" customFormat="false" ht="14.4" hidden="true" customHeight="false" outlineLevel="0" collapsed="false">
      <c r="A18602" s="34" t="n">
        <v>54488345000165</v>
      </c>
      <c r="B18602" s="34" t="s">
        <v>33883</v>
      </c>
      <c r="C18602" s="34" t="s">
        <v>463</v>
      </c>
      <c r="E18602" s="30" t="s">
        <v>33883</v>
      </c>
      <c r="F18602" s="34" t="n">
        <f aca="false">IFERROR(VLOOKUP($A18602,'319'!$B:$H,7,0),0)</f>
        <v>0</v>
      </c>
      <c r="G18602" s="34" t="n">
        <f aca="false">SUMIFS('12.326ana'!$C:$C,'12.326ana'!$M:$M,redes!A18602)</f>
        <v>0</v>
      </c>
    </row>
    <row r="18603" customFormat="false" ht="14.4" hidden="true" customHeight="false" outlineLevel="0" collapsed="false">
      <c r="A18603" s="34" t="n">
        <v>54516133000659</v>
      </c>
      <c r="B18603" s="34" t="s">
        <v>33884</v>
      </c>
      <c r="C18603" s="34" t="s">
        <v>562</v>
      </c>
      <c r="E18603" s="30" t="s">
        <v>33885</v>
      </c>
      <c r="F18603" s="34" t="n">
        <f aca="false">IFERROR(VLOOKUP($A18603,'319'!$B:$H,7,0),0)</f>
        <v>0</v>
      </c>
      <c r="G18603" s="34" t="n">
        <f aca="false">SUMIFS('12.326ana'!$C:$C,'12.326ana'!$M:$M,redes!A18603)</f>
        <v>0</v>
      </c>
    </row>
    <row r="18604" customFormat="false" ht="14.4" hidden="true" customHeight="false" outlineLevel="0" collapsed="false">
      <c r="A18604" s="34" t="n">
        <v>54516133001469</v>
      </c>
      <c r="B18604" s="34" t="s">
        <v>33884</v>
      </c>
      <c r="C18604" s="34" t="s">
        <v>562</v>
      </c>
      <c r="E18604" s="30" t="s">
        <v>33885</v>
      </c>
      <c r="F18604" s="34" t="n">
        <f aca="false">IFERROR(VLOOKUP($A18604,'319'!$B:$H,7,0),0)</f>
        <v>0</v>
      </c>
      <c r="G18604" s="34" t="n">
        <f aca="false">SUMIFS('12.326ana'!$C:$C,'12.326ana'!$M:$M,redes!A18604)</f>
        <v>0</v>
      </c>
    </row>
    <row r="18605" customFormat="false" ht="14.4" hidden="true" customHeight="false" outlineLevel="0" collapsed="false">
      <c r="A18605" s="34" t="n">
        <v>54516133001892</v>
      </c>
      <c r="B18605" s="34" t="s">
        <v>33884</v>
      </c>
      <c r="C18605" s="34" t="s">
        <v>562</v>
      </c>
      <c r="E18605" s="30" t="s">
        <v>33884</v>
      </c>
      <c r="F18605" s="34" t="n">
        <f aca="false">IFERROR(VLOOKUP($A18605,'319'!$B:$H,7,0),0)</f>
        <v>22080.57</v>
      </c>
      <c r="G18605" s="34" t="n">
        <f aca="false">SUMIFS('12.326ana'!$C:$C,'12.326ana'!$M:$M,redes!A18605)</f>
        <v>0</v>
      </c>
    </row>
    <row r="18606" customFormat="false" ht="14.4" hidden="true" customHeight="false" outlineLevel="0" collapsed="false">
      <c r="A18606" s="34" t="n">
        <v>54516159000192</v>
      </c>
      <c r="B18606" s="34" t="s">
        <v>33886</v>
      </c>
      <c r="C18606" s="34" t="s">
        <v>77</v>
      </c>
      <c r="E18606" s="30" t="s">
        <v>33887</v>
      </c>
      <c r="F18606" s="34" t="n">
        <f aca="false">IFERROR(VLOOKUP($A18606,'319'!$B:$H,7,0),0)</f>
        <v>0</v>
      </c>
      <c r="G18606" s="34" t="n">
        <f aca="false">SUMIFS('12.326ana'!$C:$C,'12.326ana'!$M:$M,redes!A18606)</f>
        <v>0</v>
      </c>
    </row>
    <row r="18607" customFormat="false" ht="14.4" hidden="true" customHeight="false" outlineLevel="0" collapsed="false">
      <c r="A18607" s="34" t="n">
        <v>54519890000171</v>
      </c>
      <c r="B18607" s="34" t="s">
        <v>33888</v>
      </c>
      <c r="C18607" s="34" t="s">
        <v>631</v>
      </c>
      <c r="E18607" s="30" t="s">
        <v>33889</v>
      </c>
      <c r="F18607" s="34" t="n">
        <f aca="false">IFERROR(VLOOKUP($A18607,'319'!$B:$H,7,0),0)</f>
        <v>0</v>
      </c>
      <c r="G18607" s="34" t="n">
        <f aca="false">SUMIFS('12.326ana'!$C:$C,'12.326ana'!$M:$M,redes!A18607)</f>
        <v>0</v>
      </c>
    </row>
    <row r="18608" customFormat="false" ht="14.4" hidden="true" customHeight="false" outlineLevel="0" collapsed="false">
      <c r="A18608" s="34" t="n">
        <v>54608353000106</v>
      </c>
      <c r="B18608" s="34" t="s">
        <v>33890</v>
      </c>
      <c r="C18608" s="34" t="s">
        <v>77</v>
      </c>
      <c r="E18608" s="30" t="s">
        <v>33891</v>
      </c>
      <c r="F18608" s="34" t="n">
        <f aca="false">IFERROR(VLOOKUP($A18608,'319'!$B:$H,7,0),0)</f>
        <v>0</v>
      </c>
      <c r="G18608" s="34" t="n">
        <f aca="false">SUMIFS('12.326ana'!$C:$C,'12.326ana'!$M:$M,redes!A18608)</f>
        <v>0</v>
      </c>
    </row>
    <row r="18609" customFormat="false" ht="14.4" hidden="true" customHeight="false" outlineLevel="0" collapsed="false">
      <c r="A18609" s="34" t="n">
        <v>54616090000179</v>
      </c>
      <c r="B18609" s="34" t="s">
        <v>33892</v>
      </c>
      <c r="C18609" s="34" t="s">
        <v>604</v>
      </c>
      <c r="E18609" s="30" t="s">
        <v>33892</v>
      </c>
      <c r="F18609" s="34" t="n">
        <f aca="false">IFERROR(VLOOKUP($A18609,'319'!$B:$H,7,0),0)</f>
        <v>0</v>
      </c>
      <c r="G18609" s="34" t="n">
        <f aca="false">SUMIFS('12.326ana'!$C:$C,'12.326ana'!$M:$M,redes!A18609)</f>
        <v>0</v>
      </c>
    </row>
    <row r="18610" customFormat="false" ht="14.4" hidden="true" customHeight="false" outlineLevel="0" collapsed="false">
      <c r="A18610" s="34" t="n">
        <v>54642694000190</v>
      </c>
      <c r="B18610" s="34" t="s">
        <v>33893</v>
      </c>
      <c r="C18610" s="34" t="s">
        <v>77</v>
      </c>
      <c r="E18610" s="30" t="s">
        <v>33893</v>
      </c>
      <c r="F18610" s="34" t="n">
        <f aca="false">IFERROR(VLOOKUP($A18610,'319'!$B:$H,7,0),0)</f>
        <v>0</v>
      </c>
      <c r="G18610" s="34" t="n">
        <f aca="false">SUMIFS('12.326ana'!$C:$C,'12.326ana'!$M:$M,redes!A18610)</f>
        <v>0</v>
      </c>
    </row>
    <row r="18611" customFormat="false" ht="14.4" hidden="true" customHeight="false" outlineLevel="0" collapsed="false">
      <c r="A18611" s="34" t="n">
        <v>54642694000270</v>
      </c>
      <c r="B18611" s="34" t="s">
        <v>33894</v>
      </c>
      <c r="C18611" s="34" t="s">
        <v>77</v>
      </c>
      <c r="E18611" s="30" t="s">
        <v>33895</v>
      </c>
      <c r="F18611" s="34" t="n">
        <f aca="false">IFERROR(VLOOKUP($A18611,'319'!$B:$H,7,0),0)</f>
        <v>0</v>
      </c>
      <c r="G18611" s="34" t="n">
        <f aca="false">SUMIFS('12.326ana'!$C:$C,'12.326ana'!$M:$M,redes!A18611)</f>
        <v>0</v>
      </c>
    </row>
    <row r="18612" customFormat="false" ht="14.4" hidden="true" customHeight="false" outlineLevel="0" collapsed="false">
      <c r="A18612" s="34" t="n">
        <v>54642694000351</v>
      </c>
      <c r="B18612" s="34" t="s">
        <v>33896</v>
      </c>
      <c r="C18612" s="34" t="s">
        <v>77</v>
      </c>
      <c r="E18612" s="30" t="s">
        <v>33897</v>
      </c>
      <c r="F18612" s="34" t="n">
        <f aca="false">IFERROR(VLOOKUP($A18612,'319'!$B:$H,7,0),0)</f>
        <v>0</v>
      </c>
      <c r="G18612" s="34" t="n">
        <f aca="false">SUMIFS('12.326ana'!$C:$C,'12.326ana'!$M:$M,redes!A18612)</f>
        <v>0</v>
      </c>
    </row>
    <row r="18613" customFormat="false" ht="14.4" hidden="true" customHeight="false" outlineLevel="0" collapsed="false">
      <c r="A18613" s="34" t="n">
        <v>54657681000194</v>
      </c>
      <c r="B18613" s="34" t="s">
        <v>33898</v>
      </c>
      <c r="C18613" s="34" t="s">
        <v>107</v>
      </c>
      <c r="E18613" s="30" t="s">
        <v>33899</v>
      </c>
      <c r="F18613" s="34" t="n">
        <f aca="false">IFERROR(VLOOKUP($A18613,'319'!$B:$H,7,0),0)</f>
        <v>0</v>
      </c>
      <c r="G18613" s="34" t="n">
        <f aca="false">SUMIFS('12.326ana'!$C:$C,'12.326ana'!$M:$M,redes!A18613)</f>
        <v>0</v>
      </c>
    </row>
    <row r="18614" customFormat="false" ht="14.4" hidden="true" customHeight="false" outlineLevel="0" collapsed="false">
      <c r="A18614" s="34" t="n">
        <v>54661471000170</v>
      </c>
      <c r="B18614" s="34" t="s">
        <v>33900</v>
      </c>
      <c r="C18614" s="34" t="s">
        <v>77</v>
      </c>
      <c r="E18614" s="30" t="s">
        <v>33901</v>
      </c>
      <c r="F18614" s="34" t="n">
        <f aca="false">IFERROR(VLOOKUP($A18614,'319'!$B:$H,7,0),0)</f>
        <v>0</v>
      </c>
      <c r="G18614" s="34" t="n">
        <f aca="false">SUMIFS('12.326ana'!$C:$C,'12.326ana'!$M:$M,redes!A18614)</f>
        <v>0</v>
      </c>
    </row>
    <row r="18615" customFormat="false" ht="14.4" hidden="true" customHeight="false" outlineLevel="0" collapsed="false">
      <c r="A18615" s="34" t="n">
        <v>54671645000185</v>
      </c>
      <c r="B18615" s="34" t="s">
        <v>33902</v>
      </c>
      <c r="C18615" s="34" t="s">
        <v>103</v>
      </c>
      <c r="E18615" s="30" t="s">
        <v>33903</v>
      </c>
      <c r="F18615" s="34" t="n">
        <f aca="false">IFERROR(VLOOKUP($A18615,'319'!$B:$H,7,0),0)</f>
        <v>0</v>
      </c>
      <c r="G18615" s="34" t="n">
        <f aca="false">SUMIFS('12.326ana'!$C:$C,'12.326ana'!$M:$M,redes!A18615)</f>
        <v>0</v>
      </c>
    </row>
    <row r="18616" customFormat="false" ht="14.4" hidden="true" customHeight="false" outlineLevel="0" collapsed="false">
      <c r="A18616" s="34" t="n">
        <v>54679251000173</v>
      </c>
      <c r="B18616" s="34" t="s">
        <v>33904</v>
      </c>
      <c r="C18616" s="34" t="s">
        <v>77</v>
      </c>
      <c r="E18616" s="30" t="s">
        <v>33905</v>
      </c>
      <c r="F18616" s="34" t="n">
        <f aca="false">IFERROR(VLOOKUP($A18616,'319'!$B:$H,7,0),0)</f>
        <v>0</v>
      </c>
      <c r="G18616" s="34" t="n">
        <f aca="false">SUMIFS('12.326ana'!$C:$C,'12.326ana'!$M:$M,redes!A18616)</f>
        <v>0</v>
      </c>
    </row>
    <row r="18617" customFormat="false" ht="14.4" hidden="true" customHeight="false" outlineLevel="0" collapsed="false">
      <c r="A18617" s="34" t="n">
        <v>54684967000169</v>
      </c>
      <c r="B18617" s="34" t="s">
        <v>33906</v>
      </c>
      <c r="C18617" s="34" t="s">
        <v>139</v>
      </c>
      <c r="E18617" s="30" t="s">
        <v>33907</v>
      </c>
      <c r="F18617" s="34" t="n">
        <f aca="false">IFERROR(VLOOKUP($A18617,'319'!$B:$H,7,0),0)</f>
        <v>0</v>
      </c>
      <c r="G18617" s="34" t="n">
        <f aca="false">SUMIFS('12.326ana'!$C:$C,'12.326ana'!$M:$M,redes!A18617)</f>
        <v>0</v>
      </c>
    </row>
    <row r="18618" customFormat="false" ht="14.4" hidden="true" customHeight="false" outlineLevel="0" collapsed="false">
      <c r="A18618" s="34" t="n">
        <v>54725982000108</v>
      </c>
      <c r="B18618" s="34" t="s">
        <v>33908</v>
      </c>
      <c r="C18618" s="34" t="s">
        <v>342</v>
      </c>
      <c r="E18618" s="30" t="s">
        <v>33909</v>
      </c>
      <c r="F18618" s="34" t="n">
        <f aca="false">IFERROR(VLOOKUP($A18618,'319'!$B:$H,7,0),0)</f>
        <v>0</v>
      </c>
      <c r="G18618" s="34" t="n">
        <f aca="false">SUMIFS('12.326ana'!$C:$C,'12.326ana'!$M:$M,redes!A18618)</f>
        <v>0</v>
      </c>
    </row>
    <row r="18619" customFormat="false" ht="14.4" hidden="true" customHeight="false" outlineLevel="0" collapsed="false">
      <c r="A18619" s="34" t="n">
        <v>54777709000127</v>
      </c>
      <c r="B18619" s="34" t="s">
        <v>33910</v>
      </c>
      <c r="C18619" s="34" t="s">
        <v>33911</v>
      </c>
      <c r="E18619" s="30" t="s">
        <v>33912</v>
      </c>
      <c r="F18619" s="34" t="n">
        <f aca="false">IFERROR(VLOOKUP($A18619,'319'!$B:$H,7,0),0)</f>
        <v>0</v>
      </c>
      <c r="G18619" s="34" t="n">
        <f aca="false">SUMIFS('12.326ana'!$C:$C,'12.326ana'!$M:$M,redes!A18619)</f>
        <v>0</v>
      </c>
    </row>
    <row r="18620" customFormat="false" ht="14.4" hidden="true" customHeight="false" outlineLevel="0" collapsed="false">
      <c r="A18620" s="34" t="n">
        <v>54777709000208</v>
      </c>
      <c r="B18620" s="34" t="s">
        <v>33913</v>
      </c>
      <c r="C18620" s="34" t="s">
        <v>1795</v>
      </c>
      <c r="E18620" s="30" t="s">
        <v>33914</v>
      </c>
      <c r="F18620" s="34" t="n">
        <f aca="false">IFERROR(VLOOKUP($A18620,'319'!$B:$H,7,0),0)</f>
        <v>0</v>
      </c>
      <c r="G18620" s="34" t="n">
        <f aca="false">SUMIFS('12.326ana'!$C:$C,'12.326ana'!$M:$M,redes!A18620)</f>
        <v>0</v>
      </c>
    </row>
    <row r="18621" customFormat="false" ht="14.4" hidden="true" customHeight="false" outlineLevel="0" collapsed="false">
      <c r="A18621" s="34" t="n">
        <v>54777709000712</v>
      </c>
      <c r="B18621" s="34" t="s">
        <v>33913</v>
      </c>
      <c r="C18621" s="34" t="s">
        <v>77</v>
      </c>
      <c r="E18621" s="30" t="s">
        <v>33914</v>
      </c>
      <c r="F18621" s="34" t="n">
        <f aca="false">IFERROR(VLOOKUP($A18621,'319'!$B:$H,7,0),0)</f>
        <v>0</v>
      </c>
      <c r="G18621" s="34" t="n">
        <f aca="false">SUMIFS('12.326ana'!$C:$C,'12.326ana'!$M:$M,redes!A18621)</f>
        <v>0</v>
      </c>
    </row>
    <row r="18622" customFormat="false" ht="14.4" hidden="true" customHeight="false" outlineLevel="0" collapsed="false">
      <c r="A18622" s="34" t="n">
        <v>54777709001107</v>
      </c>
      <c r="B18622" s="34" t="s">
        <v>33913</v>
      </c>
      <c r="C18622" s="34" t="s">
        <v>77</v>
      </c>
      <c r="E18622" s="30" t="s">
        <v>33915</v>
      </c>
      <c r="F18622" s="34" t="n">
        <f aca="false">IFERROR(VLOOKUP($A18622,'319'!$B:$H,7,0),0)</f>
        <v>0</v>
      </c>
      <c r="G18622" s="34" t="n">
        <f aca="false">SUMIFS('12.326ana'!$C:$C,'12.326ana'!$M:$M,redes!A18622)</f>
        <v>0</v>
      </c>
    </row>
    <row r="18623" customFormat="false" ht="14.4" hidden="true" customHeight="false" outlineLevel="0" collapsed="false">
      <c r="A18623" s="34" t="n">
        <v>54784505000113</v>
      </c>
      <c r="B18623" s="34" t="s">
        <v>33916</v>
      </c>
      <c r="C18623" s="34" t="s">
        <v>631</v>
      </c>
      <c r="E18623" s="30" t="s">
        <v>31724</v>
      </c>
      <c r="F18623" s="34" t="n">
        <f aca="false">IFERROR(VLOOKUP($A18623,'319'!$B:$H,7,0),0)</f>
        <v>0</v>
      </c>
      <c r="G18623" s="34" t="n">
        <f aca="false">SUMIFS('12.326ana'!$C:$C,'12.326ana'!$M:$M,redes!A18623)</f>
        <v>0</v>
      </c>
    </row>
    <row r="18624" customFormat="false" ht="14.4" hidden="true" customHeight="false" outlineLevel="0" collapsed="false">
      <c r="A18624" s="34" t="n">
        <v>54794522000131</v>
      </c>
      <c r="B18624" s="34" t="s">
        <v>33917</v>
      </c>
      <c r="C18624" s="34" t="s">
        <v>89</v>
      </c>
      <c r="E18624" s="30" t="s">
        <v>33917</v>
      </c>
      <c r="F18624" s="34" t="n">
        <f aca="false">IFERROR(VLOOKUP($A18624,'319'!$B:$H,7,0),0)</f>
        <v>0</v>
      </c>
      <c r="G18624" s="34" t="n">
        <f aca="false">SUMIFS('12.326ana'!$C:$C,'12.326ana'!$M:$M,redes!A18624)</f>
        <v>0</v>
      </c>
    </row>
    <row r="18625" customFormat="false" ht="14.4" hidden="true" customHeight="false" outlineLevel="0" collapsed="false">
      <c r="A18625" s="34" t="n">
        <v>54796072000116</v>
      </c>
      <c r="B18625" s="34" t="s">
        <v>16837</v>
      </c>
      <c r="C18625" s="34" t="s">
        <v>77</v>
      </c>
      <c r="E18625" s="30" t="s">
        <v>4674</v>
      </c>
      <c r="F18625" s="34" t="n">
        <f aca="false">IFERROR(VLOOKUP($A18625,'319'!$B:$H,7,0),0)</f>
        <v>0</v>
      </c>
      <c r="G18625" s="34" t="n">
        <f aca="false">SUMIFS('12.326ana'!$C:$C,'12.326ana'!$M:$M,redes!A18625)</f>
        <v>0</v>
      </c>
    </row>
    <row r="18626" customFormat="false" ht="14.4" hidden="true" customHeight="false" outlineLevel="0" collapsed="false">
      <c r="A18626" s="34" t="n">
        <v>54809514000200</v>
      </c>
      <c r="B18626" s="34" t="s">
        <v>33918</v>
      </c>
      <c r="C18626" s="34" t="s">
        <v>77</v>
      </c>
      <c r="E18626" s="30" t="s">
        <v>24757</v>
      </c>
      <c r="F18626" s="34" t="n">
        <f aca="false">IFERROR(VLOOKUP($A18626,'319'!$B:$H,7,0),0)</f>
        <v>0</v>
      </c>
      <c r="G18626" s="34" t="n">
        <f aca="false">SUMIFS('12.326ana'!$C:$C,'12.326ana'!$M:$M,redes!A18626)</f>
        <v>0</v>
      </c>
    </row>
    <row r="18627" customFormat="false" ht="14.4" hidden="true" customHeight="false" outlineLevel="0" collapsed="false">
      <c r="A18627" s="34" t="n">
        <v>54836677000193</v>
      </c>
      <c r="B18627" s="34" t="s">
        <v>33919</v>
      </c>
      <c r="C18627" s="34" t="s">
        <v>139</v>
      </c>
      <c r="E18627" s="30" t="s">
        <v>33919</v>
      </c>
      <c r="F18627" s="34" t="n">
        <f aca="false">IFERROR(VLOOKUP($A18627,'319'!$B:$H,7,0),0)</f>
        <v>0</v>
      </c>
      <c r="G18627" s="34" t="n">
        <f aca="false">SUMIFS('12.326ana'!$C:$C,'12.326ana'!$M:$M,redes!A18627)</f>
        <v>0</v>
      </c>
    </row>
    <row r="18628" customFormat="false" ht="14.4" hidden="true" customHeight="false" outlineLevel="0" collapsed="false">
      <c r="A18628" s="34" t="n">
        <v>54847978000112</v>
      </c>
      <c r="B18628" s="34" t="s">
        <v>33920</v>
      </c>
      <c r="C18628" s="34" t="s">
        <v>77</v>
      </c>
      <c r="E18628" s="30" t="s">
        <v>33921</v>
      </c>
      <c r="F18628" s="34" t="n">
        <f aca="false">IFERROR(VLOOKUP($A18628,'319'!$B:$H,7,0),0)</f>
        <v>0</v>
      </c>
      <c r="G18628" s="34" t="n">
        <f aca="false">SUMIFS('12.326ana'!$C:$C,'12.326ana'!$M:$M,redes!A18628)</f>
        <v>0</v>
      </c>
    </row>
    <row r="18629" customFormat="false" ht="14.4" hidden="true" customHeight="false" outlineLevel="0" collapsed="false">
      <c r="A18629" s="34" t="n">
        <v>54856522000119</v>
      </c>
      <c r="B18629" s="34" t="s">
        <v>33922</v>
      </c>
      <c r="C18629" s="34" t="s">
        <v>77</v>
      </c>
      <c r="E18629" s="30" t="s">
        <v>9302</v>
      </c>
      <c r="F18629" s="34" t="n">
        <f aca="false">IFERROR(VLOOKUP($A18629,'319'!$B:$H,7,0),0)</f>
        <v>0</v>
      </c>
      <c r="G18629" s="34" t="n">
        <f aca="false">SUMIFS('12.326ana'!$C:$C,'12.326ana'!$M:$M,redes!A18629)</f>
        <v>0</v>
      </c>
    </row>
    <row r="18630" customFormat="false" ht="14.4" hidden="true" customHeight="false" outlineLevel="0" collapsed="false">
      <c r="A18630" s="34" t="n">
        <v>54881042000108</v>
      </c>
      <c r="B18630" s="34" t="s">
        <v>33923</v>
      </c>
      <c r="C18630" s="34" t="s">
        <v>336</v>
      </c>
      <c r="E18630" s="30" t="s">
        <v>33924</v>
      </c>
      <c r="F18630" s="34" t="n">
        <f aca="false">IFERROR(VLOOKUP($A18630,'319'!$B:$H,7,0),0)</f>
        <v>0</v>
      </c>
      <c r="G18630" s="34" t="n">
        <f aca="false">SUMIFS('12.326ana'!$C:$C,'12.326ana'!$M:$M,redes!A18630)</f>
        <v>0</v>
      </c>
    </row>
    <row r="18631" customFormat="false" ht="14.4" hidden="true" customHeight="false" outlineLevel="0" collapsed="false">
      <c r="A18631" s="34" t="n">
        <v>54884298000179</v>
      </c>
      <c r="B18631" s="34" t="s">
        <v>33925</v>
      </c>
      <c r="C18631" s="34" t="s">
        <v>89</v>
      </c>
      <c r="E18631" s="30" t="s">
        <v>33926</v>
      </c>
      <c r="F18631" s="34" t="n">
        <f aca="false">IFERROR(VLOOKUP($A18631,'319'!$B:$H,7,0),0)</f>
        <v>0</v>
      </c>
      <c r="G18631" s="34" t="n">
        <f aca="false">SUMIFS('12.326ana'!$C:$C,'12.326ana'!$M:$M,redes!A18631)</f>
        <v>0</v>
      </c>
    </row>
    <row r="18632" customFormat="false" ht="14.4" hidden="true" customHeight="false" outlineLevel="0" collapsed="false">
      <c r="A18632" s="34" t="n">
        <v>54884298000330</v>
      </c>
      <c r="B18632" s="34" t="s">
        <v>33925</v>
      </c>
      <c r="C18632" s="34" t="s">
        <v>89</v>
      </c>
      <c r="E18632" s="30" t="s">
        <v>33927</v>
      </c>
      <c r="F18632" s="34" t="n">
        <f aca="false">IFERROR(VLOOKUP($A18632,'319'!$B:$H,7,0),0)</f>
        <v>0</v>
      </c>
      <c r="G18632" s="34" t="n">
        <f aca="false">SUMIFS('12.326ana'!$C:$C,'12.326ana'!$M:$M,redes!A18632)</f>
        <v>0</v>
      </c>
    </row>
    <row r="18633" customFormat="false" ht="14.4" hidden="true" customHeight="false" outlineLevel="0" collapsed="false">
      <c r="A18633" s="34" t="n">
        <v>54884298000411</v>
      </c>
      <c r="B18633" s="34" t="s">
        <v>33925</v>
      </c>
      <c r="C18633" s="34" t="s">
        <v>89</v>
      </c>
      <c r="E18633" s="30" t="s">
        <v>33928</v>
      </c>
      <c r="F18633" s="34" t="n">
        <f aca="false">IFERROR(VLOOKUP($A18633,'319'!$B:$H,7,0),0)</f>
        <v>0</v>
      </c>
      <c r="G18633" s="34" t="n">
        <f aca="false">SUMIFS('12.326ana'!$C:$C,'12.326ana'!$M:$M,redes!A18633)</f>
        <v>0</v>
      </c>
    </row>
    <row r="18634" customFormat="false" ht="14.4" hidden="true" customHeight="false" outlineLevel="0" collapsed="false">
      <c r="A18634" s="34" t="n">
        <v>54884298000500</v>
      </c>
      <c r="B18634" s="34" t="s">
        <v>33925</v>
      </c>
      <c r="C18634" s="34" t="s">
        <v>89</v>
      </c>
      <c r="E18634" s="30" t="s">
        <v>33929</v>
      </c>
      <c r="F18634" s="34" t="n">
        <f aca="false">IFERROR(VLOOKUP($A18634,'319'!$B:$H,7,0),0)</f>
        <v>0</v>
      </c>
      <c r="G18634" s="34" t="n">
        <f aca="false">SUMIFS('12.326ana'!$C:$C,'12.326ana'!$M:$M,redes!A18634)</f>
        <v>0</v>
      </c>
    </row>
    <row r="18635" customFormat="false" ht="14.4" hidden="true" customHeight="false" outlineLevel="0" collapsed="false">
      <c r="A18635" s="34" t="n">
        <v>54884298000683</v>
      </c>
      <c r="B18635" s="34" t="s">
        <v>33925</v>
      </c>
      <c r="C18635" s="34" t="s">
        <v>89</v>
      </c>
      <c r="E18635" s="30" t="s">
        <v>33930</v>
      </c>
      <c r="F18635" s="34" t="n">
        <f aca="false">IFERROR(VLOOKUP($A18635,'319'!$B:$H,7,0),0)</f>
        <v>0</v>
      </c>
      <c r="G18635" s="34" t="n">
        <f aca="false">SUMIFS('12.326ana'!$C:$C,'12.326ana'!$M:$M,redes!A18635)</f>
        <v>0</v>
      </c>
    </row>
    <row r="18636" customFormat="false" ht="14.4" hidden="true" customHeight="false" outlineLevel="0" collapsed="false">
      <c r="A18636" s="34" t="n">
        <v>54884298000764</v>
      </c>
      <c r="B18636" s="34" t="s">
        <v>33925</v>
      </c>
      <c r="C18636" s="34" t="s">
        <v>89</v>
      </c>
      <c r="E18636" s="30" t="s">
        <v>33931</v>
      </c>
      <c r="F18636" s="34" t="n">
        <f aca="false">IFERROR(VLOOKUP($A18636,'319'!$B:$H,7,0),0)</f>
        <v>0</v>
      </c>
      <c r="G18636" s="34" t="n">
        <f aca="false">SUMIFS('12.326ana'!$C:$C,'12.326ana'!$M:$M,redes!A18636)</f>
        <v>0</v>
      </c>
    </row>
    <row r="18637" customFormat="false" ht="14.4" hidden="true" customHeight="false" outlineLevel="0" collapsed="false">
      <c r="A18637" s="34" t="n">
        <v>54884298000845</v>
      </c>
      <c r="B18637" s="34" t="s">
        <v>33925</v>
      </c>
      <c r="C18637" s="34" t="s">
        <v>89</v>
      </c>
      <c r="E18637" s="30" t="s">
        <v>33932</v>
      </c>
      <c r="F18637" s="34" t="n">
        <f aca="false">IFERROR(VLOOKUP($A18637,'319'!$B:$H,7,0),0)</f>
        <v>0</v>
      </c>
      <c r="G18637" s="34" t="n">
        <f aca="false">SUMIFS('12.326ana'!$C:$C,'12.326ana'!$M:$M,redes!A18637)</f>
        <v>0</v>
      </c>
    </row>
    <row r="18638" customFormat="false" ht="14.4" hidden="true" customHeight="false" outlineLevel="0" collapsed="false">
      <c r="A18638" s="34" t="n">
        <v>54884298000926</v>
      </c>
      <c r="B18638" s="34" t="s">
        <v>33925</v>
      </c>
      <c r="C18638" s="34" t="s">
        <v>89</v>
      </c>
      <c r="E18638" s="30" t="s">
        <v>33933</v>
      </c>
      <c r="F18638" s="34" t="n">
        <f aca="false">IFERROR(VLOOKUP($A18638,'319'!$B:$H,7,0),0)</f>
        <v>0</v>
      </c>
      <c r="G18638" s="34" t="n">
        <f aca="false">SUMIFS('12.326ana'!$C:$C,'12.326ana'!$M:$M,redes!A18638)</f>
        <v>0</v>
      </c>
    </row>
    <row r="18639" customFormat="false" ht="14.4" hidden="true" customHeight="false" outlineLevel="0" collapsed="false">
      <c r="A18639" s="34" t="n">
        <v>54889918000162</v>
      </c>
      <c r="B18639" s="34" t="s">
        <v>33934</v>
      </c>
      <c r="C18639" s="34" t="s">
        <v>389</v>
      </c>
      <c r="E18639" s="30" t="s">
        <v>33935</v>
      </c>
      <c r="F18639" s="34" t="n">
        <f aca="false">IFERROR(VLOOKUP($A18639,'319'!$B:$H,7,0),0)</f>
        <v>0</v>
      </c>
      <c r="G18639" s="34" t="n">
        <f aca="false">SUMIFS('12.326ana'!$C:$C,'12.326ana'!$M:$M,redes!A18639)</f>
        <v>0</v>
      </c>
    </row>
    <row r="18640" customFormat="false" ht="14.4" hidden="true" customHeight="false" outlineLevel="0" collapsed="false">
      <c r="A18640" s="34" t="n">
        <v>54915982000170</v>
      </c>
      <c r="B18640" s="34" t="s">
        <v>33936</v>
      </c>
      <c r="C18640" s="34" t="s">
        <v>89</v>
      </c>
      <c r="E18640" s="30" t="s">
        <v>33936</v>
      </c>
      <c r="F18640" s="34" t="n">
        <f aca="false">IFERROR(VLOOKUP($A18640,'319'!$B:$H,7,0),0)</f>
        <v>143.66</v>
      </c>
      <c r="G18640" s="34" t="n">
        <f aca="false">SUMIFS('12.326ana'!$C:$C,'12.326ana'!$M:$M,redes!A18640)</f>
        <v>0</v>
      </c>
    </row>
    <row r="18641" customFormat="false" ht="14.4" hidden="true" customHeight="false" outlineLevel="0" collapsed="false">
      <c r="A18641" s="34" t="n">
        <v>54951578000152</v>
      </c>
      <c r="B18641" s="34" t="s">
        <v>33937</v>
      </c>
      <c r="C18641" s="34" t="s">
        <v>192</v>
      </c>
      <c r="E18641" s="30" t="s">
        <v>33937</v>
      </c>
      <c r="F18641" s="34" t="n">
        <f aca="false">IFERROR(VLOOKUP($A18641,'319'!$B:$H,7,0),0)</f>
        <v>0</v>
      </c>
      <c r="G18641" s="34" t="n">
        <f aca="false">SUMIFS('12.326ana'!$C:$C,'12.326ana'!$M:$M,redes!A18641)</f>
        <v>0</v>
      </c>
    </row>
    <row r="18642" customFormat="false" ht="14.4" hidden="true" customHeight="false" outlineLevel="0" collapsed="false">
      <c r="A18642" s="34" t="n">
        <v>54952480000110</v>
      </c>
      <c r="B18642" s="34" t="s">
        <v>33938</v>
      </c>
      <c r="C18642" s="34" t="s">
        <v>77</v>
      </c>
      <c r="E18642" s="30" t="s">
        <v>23376</v>
      </c>
      <c r="F18642" s="34" t="n">
        <f aca="false">IFERROR(VLOOKUP($A18642,'319'!$B:$H,7,0),0)</f>
        <v>0</v>
      </c>
      <c r="G18642" s="34" t="n">
        <f aca="false">SUMIFS('12.326ana'!$C:$C,'12.326ana'!$M:$M,redes!A18642)</f>
        <v>0</v>
      </c>
    </row>
    <row r="18643" customFormat="false" ht="14.4" hidden="true" customHeight="false" outlineLevel="0" collapsed="false">
      <c r="A18643" s="34" t="n">
        <v>54953784000100</v>
      </c>
      <c r="B18643" s="34" t="s">
        <v>33939</v>
      </c>
      <c r="C18643" s="34" t="s">
        <v>77</v>
      </c>
      <c r="E18643" s="30" t="s">
        <v>33940</v>
      </c>
      <c r="F18643" s="34" t="n">
        <f aca="false">IFERROR(VLOOKUP($A18643,'319'!$B:$H,7,0),0)</f>
        <v>0</v>
      </c>
      <c r="G18643" s="34" t="n">
        <f aca="false">SUMIFS('12.326ana'!$C:$C,'12.326ana'!$M:$M,redes!A18643)</f>
        <v>0</v>
      </c>
    </row>
    <row r="18644" customFormat="false" ht="14.4" hidden="true" customHeight="false" outlineLevel="0" collapsed="false">
      <c r="A18644" s="34" t="n">
        <v>54955224000771</v>
      </c>
      <c r="B18644" s="34" t="s">
        <v>33941</v>
      </c>
      <c r="C18644" s="34" t="s">
        <v>77</v>
      </c>
      <c r="E18644" s="30" t="s">
        <v>33941</v>
      </c>
      <c r="F18644" s="34" t="n">
        <f aca="false">IFERROR(VLOOKUP($A18644,'319'!$B:$H,7,0),0)</f>
        <v>0</v>
      </c>
      <c r="G18644" s="34" t="n">
        <f aca="false">SUMIFS('12.326ana'!$C:$C,'12.326ana'!$M:$M,redes!A18644)</f>
        <v>0</v>
      </c>
    </row>
    <row r="18645" customFormat="false" ht="14.4" hidden="true" customHeight="false" outlineLevel="0" collapsed="false">
      <c r="A18645" s="34" t="n">
        <v>54996658000124</v>
      </c>
      <c r="B18645" s="34" t="s">
        <v>33942</v>
      </c>
      <c r="C18645" s="34" t="s">
        <v>594</v>
      </c>
      <c r="E18645" s="30" t="s">
        <v>5554</v>
      </c>
      <c r="F18645" s="34" t="n">
        <f aca="false">IFERROR(VLOOKUP($A18645,'319'!$B:$H,7,0),0)</f>
        <v>0</v>
      </c>
      <c r="G18645" s="34" t="n">
        <f aca="false">SUMIFS('12.326ana'!$C:$C,'12.326ana'!$M:$M,redes!A18645)</f>
        <v>0</v>
      </c>
    </row>
    <row r="18646" customFormat="false" ht="14.4" hidden="true" customHeight="false" outlineLevel="0" collapsed="false">
      <c r="A18646" s="34" t="n">
        <v>55010965000157</v>
      </c>
      <c r="B18646" s="34" t="s">
        <v>33943</v>
      </c>
      <c r="C18646" s="34" t="s">
        <v>117</v>
      </c>
      <c r="E18646" s="30" t="s">
        <v>33407</v>
      </c>
      <c r="F18646" s="34" t="n">
        <f aca="false">IFERROR(VLOOKUP($A18646,'319'!$B:$H,7,0),0)</f>
        <v>0</v>
      </c>
      <c r="G18646" s="34" t="n">
        <f aca="false">SUMIFS('12.326ana'!$C:$C,'12.326ana'!$M:$M,redes!A18646)</f>
        <v>0</v>
      </c>
    </row>
    <row r="18647" customFormat="false" ht="14.4" hidden="true" customHeight="false" outlineLevel="0" collapsed="false">
      <c r="A18647" s="34" t="n">
        <v>55026221000120</v>
      </c>
      <c r="B18647" s="34" t="s">
        <v>33944</v>
      </c>
      <c r="C18647" s="34" t="s">
        <v>342</v>
      </c>
      <c r="E18647" s="30" t="s">
        <v>33945</v>
      </c>
      <c r="F18647" s="34" t="n">
        <f aca="false">IFERROR(VLOOKUP($A18647,'319'!$B:$H,7,0),0)</f>
        <v>0</v>
      </c>
      <c r="G18647" s="34" t="n">
        <f aca="false">SUMIFS('12.326ana'!$C:$C,'12.326ana'!$M:$M,redes!A18647)</f>
        <v>0</v>
      </c>
    </row>
    <row r="18648" customFormat="false" ht="14.4" hidden="true" customHeight="false" outlineLevel="0" collapsed="false">
      <c r="A18648" s="34" t="n">
        <v>55051823000138</v>
      </c>
      <c r="B18648" s="34" t="s">
        <v>33946</v>
      </c>
      <c r="C18648" s="34" t="s">
        <v>77</v>
      </c>
      <c r="E18648" s="30" t="s">
        <v>33947</v>
      </c>
      <c r="F18648" s="34" t="n">
        <f aca="false">IFERROR(VLOOKUP($A18648,'319'!$B:$H,7,0),0)</f>
        <v>0</v>
      </c>
      <c r="G18648" s="34" t="n">
        <f aca="false">SUMIFS('12.326ana'!$C:$C,'12.326ana'!$M:$M,redes!A18648)</f>
        <v>0</v>
      </c>
    </row>
    <row r="18649" customFormat="false" ht="14.4" hidden="true" customHeight="false" outlineLevel="0" collapsed="false">
      <c r="A18649" s="34" t="n">
        <v>55052188000103</v>
      </c>
      <c r="B18649" s="34" t="s">
        <v>33948</v>
      </c>
      <c r="C18649" s="34" t="s">
        <v>89</v>
      </c>
      <c r="E18649" s="30" t="s">
        <v>33949</v>
      </c>
      <c r="F18649" s="34" t="n">
        <f aca="false">IFERROR(VLOOKUP($A18649,'319'!$B:$H,7,0),0)</f>
        <v>0</v>
      </c>
      <c r="G18649" s="34" t="n">
        <f aca="false">SUMIFS('12.326ana'!$C:$C,'12.326ana'!$M:$M,redes!A18649)</f>
        <v>0</v>
      </c>
    </row>
    <row r="18650" customFormat="false" ht="14.4" hidden="true" customHeight="false" outlineLevel="0" collapsed="false">
      <c r="A18650" s="34" t="n">
        <v>55074531000110</v>
      </c>
      <c r="B18650" s="34" t="s">
        <v>33950</v>
      </c>
      <c r="C18650" s="34" t="s">
        <v>77</v>
      </c>
      <c r="E18650" s="30" t="s">
        <v>33951</v>
      </c>
      <c r="F18650" s="34" t="n">
        <f aca="false">IFERROR(VLOOKUP($A18650,'319'!$B:$H,7,0),0)</f>
        <v>0</v>
      </c>
      <c r="G18650" s="34" t="n">
        <f aca="false">SUMIFS('12.326ana'!$C:$C,'12.326ana'!$M:$M,redes!A18650)</f>
        <v>0</v>
      </c>
    </row>
    <row r="18651" customFormat="false" ht="14.4" hidden="true" customHeight="false" outlineLevel="0" collapsed="false">
      <c r="A18651" s="34" t="n">
        <v>55112813000165</v>
      </c>
      <c r="B18651" s="34" t="s">
        <v>33952</v>
      </c>
      <c r="C18651" s="34" t="s">
        <v>77</v>
      </c>
      <c r="E18651" s="30" t="s">
        <v>33953</v>
      </c>
      <c r="F18651" s="34" t="n">
        <f aca="false">IFERROR(VLOOKUP($A18651,'319'!$B:$H,7,0),0)</f>
        <v>0</v>
      </c>
      <c r="G18651" s="34" t="n">
        <f aca="false">SUMIFS('12.326ana'!$C:$C,'12.326ana'!$M:$M,redes!A18651)</f>
        <v>0</v>
      </c>
    </row>
    <row r="18652" customFormat="false" ht="14.4" hidden="true" customHeight="false" outlineLevel="0" collapsed="false">
      <c r="A18652" s="34" t="n">
        <v>55189969000144</v>
      </c>
      <c r="B18652" s="34" t="s">
        <v>33954</v>
      </c>
      <c r="C18652" s="34" t="s">
        <v>89</v>
      </c>
      <c r="E18652" s="30" t="s">
        <v>33955</v>
      </c>
      <c r="F18652" s="34" t="n">
        <f aca="false">IFERROR(VLOOKUP($A18652,'319'!$B:$H,7,0),0)</f>
        <v>0</v>
      </c>
      <c r="G18652" s="34" t="n">
        <f aca="false">SUMIFS('12.326ana'!$C:$C,'12.326ana'!$M:$M,redes!A18652)</f>
        <v>0</v>
      </c>
    </row>
    <row r="18653" customFormat="false" ht="14.4" hidden="true" customHeight="false" outlineLevel="0" collapsed="false">
      <c r="A18653" s="34" t="n">
        <v>55197169000175</v>
      </c>
      <c r="B18653" s="34" t="s">
        <v>33956</v>
      </c>
      <c r="C18653" s="34" t="s">
        <v>103</v>
      </c>
      <c r="E18653" s="30" t="s">
        <v>33957</v>
      </c>
      <c r="F18653" s="34" t="n">
        <f aca="false">IFERROR(VLOOKUP($A18653,'319'!$B:$H,7,0),0)</f>
        <v>0</v>
      </c>
      <c r="G18653" s="34" t="n">
        <f aca="false">SUMIFS('12.326ana'!$C:$C,'12.326ana'!$M:$M,redes!A18653)</f>
        <v>0</v>
      </c>
    </row>
    <row r="18654" customFormat="false" ht="14.4" hidden="true" customHeight="false" outlineLevel="0" collapsed="false">
      <c r="A18654" s="34" t="n">
        <v>55241522000177</v>
      </c>
      <c r="B18654" s="34" t="s">
        <v>33958</v>
      </c>
      <c r="C18654" s="34" t="s">
        <v>631</v>
      </c>
      <c r="E18654" s="30" t="s">
        <v>33959</v>
      </c>
      <c r="F18654" s="34" t="n">
        <f aca="false">IFERROR(VLOOKUP($A18654,'319'!$B:$H,7,0),0)</f>
        <v>0</v>
      </c>
      <c r="G18654" s="34" t="n">
        <f aca="false">SUMIFS('12.326ana'!$C:$C,'12.326ana'!$M:$M,redes!A18654)</f>
        <v>0</v>
      </c>
    </row>
    <row r="18655" customFormat="false" ht="14.4" hidden="true" customHeight="false" outlineLevel="0" collapsed="false">
      <c r="A18655" s="34" t="n">
        <v>55256107000197</v>
      </c>
      <c r="B18655" s="34" t="s">
        <v>33960</v>
      </c>
      <c r="C18655" s="34" t="s">
        <v>77</v>
      </c>
      <c r="E18655" s="30" t="s">
        <v>33961</v>
      </c>
      <c r="F18655" s="34" t="n">
        <f aca="false">IFERROR(VLOOKUP($A18655,'319'!$B:$H,7,0),0)</f>
        <v>0</v>
      </c>
      <c r="G18655" s="34" t="n">
        <f aca="false">SUMIFS('12.326ana'!$C:$C,'12.326ana'!$M:$M,redes!A18655)</f>
        <v>0</v>
      </c>
    </row>
    <row r="18656" customFormat="false" ht="14.4" hidden="true" customHeight="false" outlineLevel="0" collapsed="false">
      <c r="A18656" s="34" t="n">
        <v>55340767000151</v>
      </c>
      <c r="B18656" s="34" t="s">
        <v>33962</v>
      </c>
      <c r="C18656" s="34" t="s">
        <v>192</v>
      </c>
      <c r="E18656" s="30" t="s">
        <v>6665</v>
      </c>
      <c r="F18656" s="34" t="n">
        <f aca="false">IFERROR(VLOOKUP($A18656,'319'!$B:$H,7,0),0)</f>
        <v>0</v>
      </c>
      <c r="G18656" s="34" t="n">
        <f aca="false">SUMIFS('12.326ana'!$C:$C,'12.326ana'!$M:$M,redes!A18656)</f>
        <v>0</v>
      </c>
    </row>
    <row r="18657" customFormat="false" ht="14.4" hidden="true" customHeight="false" outlineLevel="0" collapsed="false">
      <c r="A18657" s="34" t="n">
        <v>55345569000180</v>
      </c>
      <c r="B18657" s="34" t="s">
        <v>33963</v>
      </c>
      <c r="C18657" s="34" t="s">
        <v>565</v>
      </c>
      <c r="E18657" s="30" t="s">
        <v>33964</v>
      </c>
      <c r="F18657" s="34" t="n">
        <f aca="false">IFERROR(VLOOKUP($A18657,'319'!$B:$H,7,0),0)</f>
        <v>0</v>
      </c>
      <c r="G18657" s="34" t="n">
        <f aca="false">SUMIFS('12.326ana'!$C:$C,'12.326ana'!$M:$M,redes!A18657)</f>
        <v>0</v>
      </c>
    </row>
    <row r="18658" customFormat="false" ht="14.4" hidden="true" customHeight="false" outlineLevel="0" collapsed="false">
      <c r="A18658" s="34" t="n">
        <v>55373782000104</v>
      </c>
      <c r="B18658" s="34" t="s">
        <v>33965</v>
      </c>
      <c r="C18658" s="34" t="s">
        <v>77</v>
      </c>
      <c r="E18658" s="30" t="s">
        <v>33966</v>
      </c>
      <c r="F18658" s="34" t="n">
        <f aca="false">IFERROR(VLOOKUP($A18658,'319'!$B:$H,7,0),0)</f>
        <v>0</v>
      </c>
      <c r="G18658" s="34" t="n">
        <f aca="false">SUMIFS('12.326ana'!$C:$C,'12.326ana'!$M:$M,redes!A18658)</f>
        <v>0</v>
      </c>
    </row>
    <row r="18659" customFormat="false" ht="14.4" hidden="true" customHeight="false" outlineLevel="0" collapsed="false">
      <c r="A18659" s="34" t="n">
        <v>55393233000193</v>
      </c>
      <c r="B18659" s="34" t="s">
        <v>16384</v>
      </c>
      <c r="C18659" s="34" t="s">
        <v>475</v>
      </c>
      <c r="E18659" s="30" t="s">
        <v>3194</v>
      </c>
      <c r="F18659" s="34" t="n">
        <f aca="false">IFERROR(VLOOKUP($A18659,'319'!$B:$H,7,0),0)</f>
        <v>0</v>
      </c>
      <c r="G18659" s="34" t="n">
        <f aca="false">SUMIFS('12.326ana'!$C:$C,'12.326ana'!$M:$M,redes!A18659)</f>
        <v>0</v>
      </c>
    </row>
    <row r="18660" customFormat="false" ht="14.4" hidden="true" customHeight="false" outlineLevel="0" collapsed="false">
      <c r="A18660" s="34" t="n">
        <v>55476722000109</v>
      </c>
      <c r="B18660" s="34" t="s">
        <v>33967</v>
      </c>
      <c r="C18660" s="34" t="s">
        <v>77</v>
      </c>
      <c r="E18660" s="30" t="s">
        <v>33968</v>
      </c>
      <c r="F18660" s="34" t="n">
        <f aca="false">IFERROR(VLOOKUP($A18660,'319'!$B:$H,7,0),0)</f>
        <v>0</v>
      </c>
      <c r="G18660" s="34" t="n">
        <f aca="false">SUMIFS('12.326ana'!$C:$C,'12.326ana'!$M:$M,redes!A18660)</f>
        <v>0</v>
      </c>
    </row>
    <row r="18661" customFormat="false" ht="14.4" hidden="true" customHeight="false" outlineLevel="0" collapsed="false">
      <c r="A18661" s="34" t="n">
        <v>55502915000197</v>
      </c>
      <c r="B18661" s="34" t="s">
        <v>33969</v>
      </c>
      <c r="C18661" s="34" t="s">
        <v>77</v>
      </c>
      <c r="E18661" s="30" t="s">
        <v>33970</v>
      </c>
      <c r="F18661" s="34" t="n">
        <f aca="false">IFERROR(VLOOKUP($A18661,'319'!$B:$H,7,0),0)</f>
        <v>0</v>
      </c>
      <c r="G18661" s="34" t="n">
        <f aca="false">SUMIFS('12.326ana'!$C:$C,'12.326ana'!$M:$M,redes!A18661)</f>
        <v>0</v>
      </c>
    </row>
    <row r="18662" customFormat="false" ht="14.4" hidden="true" customHeight="false" outlineLevel="0" collapsed="false">
      <c r="A18662" s="34" t="n">
        <v>55520231000118</v>
      </c>
      <c r="B18662" s="34" t="s">
        <v>33971</v>
      </c>
      <c r="C18662" s="34" t="s">
        <v>117</v>
      </c>
      <c r="E18662" s="30" t="s">
        <v>29152</v>
      </c>
      <c r="F18662" s="34" t="n">
        <f aca="false">IFERROR(VLOOKUP($A18662,'319'!$B:$H,7,0),0)</f>
        <v>0</v>
      </c>
      <c r="G18662" s="34" t="n">
        <f aca="false">SUMIFS('12.326ana'!$C:$C,'12.326ana'!$M:$M,redes!A18662)</f>
        <v>0</v>
      </c>
    </row>
    <row r="18663" customFormat="false" ht="14.4" hidden="true" customHeight="false" outlineLevel="0" collapsed="false">
      <c r="A18663" s="34" t="n">
        <v>55534815000142</v>
      </c>
      <c r="B18663" s="34" t="s">
        <v>33972</v>
      </c>
      <c r="C18663" s="34" t="s">
        <v>89</v>
      </c>
      <c r="E18663" s="30" t="s">
        <v>33973</v>
      </c>
      <c r="F18663" s="34" t="n">
        <f aca="false">IFERROR(VLOOKUP($A18663,'319'!$B:$H,7,0),0)</f>
        <v>0</v>
      </c>
      <c r="G18663" s="34" t="n">
        <f aca="false">SUMIFS('12.326ana'!$C:$C,'12.326ana'!$M:$M,redes!A18663)</f>
        <v>0</v>
      </c>
    </row>
    <row r="18664" customFormat="false" ht="14.4" hidden="true" customHeight="false" outlineLevel="0" collapsed="false">
      <c r="A18664" s="34" t="n">
        <v>55553862000133</v>
      </c>
      <c r="B18664" s="34" t="s">
        <v>33974</v>
      </c>
      <c r="C18664" s="34" t="s">
        <v>598</v>
      </c>
      <c r="E18664" s="30" t="s">
        <v>33975</v>
      </c>
      <c r="F18664" s="34" t="n">
        <f aca="false">IFERROR(VLOOKUP($A18664,'319'!$B:$H,7,0),0)</f>
        <v>0</v>
      </c>
      <c r="G18664" s="34" t="n">
        <f aca="false">SUMIFS('12.326ana'!$C:$C,'12.326ana'!$M:$M,redes!A18664)</f>
        <v>0</v>
      </c>
    </row>
    <row r="18665" customFormat="false" ht="14.4" hidden="true" customHeight="false" outlineLevel="0" collapsed="false">
      <c r="A18665" s="34" t="n">
        <v>55624741000135</v>
      </c>
      <c r="B18665" s="34" t="s">
        <v>33976</v>
      </c>
      <c r="C18665" s="34" t="s">
        <v>77</v>
      </c>
      <c r="E18665" s="30" t="s">
        <v>33976</v>
      </c>
      <c r="F18665" s="34" t="n">
        <f aca="false">IFERROR(VLOOKUP($A18665,'319'!$B:$H,7,0),0)</f>
        <v>0</v>
      </c>
      <c r="G18665" s="34" t="n">
        <f aca="false">SUMIFS('12.326ana'!$C:$C,'12.326ana'!$M:$M,redes!A18665)</f>
        <v>0</v>
      </c>
    </row>
    <row r="18666" customFormat="false" ht="14.4" hidden="true" customHeight="false" outlineLevel="0" collapsed="false">
      <c r="A18666" s="34" t="n">
        <v>55630153000104</v>
      </c>
      <c r="B18666" s="34" t="s">
        <v>1696</v>
      </c>
      <c r="C18666" s="34" t="s">
        <v>562</v>
      </c>
      <c r="E18666" s="30" t="s">
        <v>33977</v>
      </c>
      <c r="F18666" s="34" t="n">
        <f aca="false">IFERROR(VLOOKUP($A18666,'319'!$B:$H,7,0),0)</f>
        <v>47.91</v>
      </c>
      <c r="G18666" s="34" t="n">
        <f aca="false">SUMIFS('12.326ana'!$C:$C,'12.326ana'!$M:$M,redes!A18666)</f>
        <v>0</v>
      </c>
    </row>
    <row r="18667" customFormat="false" ht="14.4" hidden="true" customHeight="false" outlineLevel="0" collapsed="false">
      <c r="A18667" s="34" t="n">
        <v>55670820000182</v>
      </c>
      <c r="B18667" s="34" t="s">
        <v>33978</v>
      </c>
      <c r="C18667" s="34" t="s">
        <v>1272</v>
      </c>
      <c r="E18667" s="30" t="s">
        <v>33979</v>
      </c>
      <c r="F18667" s="34" t="n">
        <f aca="false">IFERROR(VLOOKUP($A18667,'319'!$B:$H,7,0),0)</f>
        <v>0</v>
      </c>
      <c r="G18667" s="34" t="n">
        <f aca="false">SUMIFS('12.326ana'!$C:$C,'12.326ana'!$M:$M,redes!A18667)</f>
        <v>0</v>
      </c>
    </row>
    <row r="18668" customFormat="false" ht="14.4" hidden="true" customHeight="false" outlineLevel="0" collapsed="false">
      <c r="A18668" s="34" t="n">
        <v>55728148000139</v>
      </c>
      <c r="B18668" s="34" t="s">
        <v>33980</v>
      </c>
      <c r="C18668" s="34" t="s">
        <v>77</v>
      </c>
      <c r="E18668" s="30" t="s">
        <v>33981</v>
      </c>
      <c r="F18668" s="34" t="n">
        <f aca="false">IFERROR(VLOOKUP($A18668,'319'!$B:$H,7,0),0)</f>
        <v>0</v>
      </c>
      <c r="G18668" s="34" t="n">
        <f aca="false">SUMIFS('12.326ana'!$C:$C,'12.326ana'!$M:$M,redes!A18668)</f>
        <v>0</v>
      </c>
    </row>
    <row r="18669" customFormat="false" ht="14.4" hidden="true" customHeight="false" outlineLevel="0" collapsed="false">
      <c r="A18669" s="34" t="n">
        <v>55751542000198</v>
      </c>
      <c r="B18669" s="34" t="s">
        <v>33982</v>
      </c>
      <c r="C18669" s="34" t="s">
        <v>77</v>
      </c>
      <c r="E18669" s="30" t="s">
        <v>22280</v>
      </c>
      <c r="F18669" s="34" t="n">
        <f aca="false">IFERROR(VLOOKUP($A18669,'319'!$B:$H,7,0),0)</f>
        <v>0</v>
      </c>
      <c r="G18669" s="34" t="n">
        <f aca="false">SUMIFS('12.326ana'!$C:$C,'12.326ana'!$M:$M,redes!A18669)</f>
        <v>0</v>
      </c>
    </row>
    <row r="18670" customFormat="false" ht="14.4" hidden="true" customHeight="false" outlineLevel="0" collapsed="false">
      <c r="A18670" s="34" t="n">
        <v>55752012000164</v>
      </c>
      <c r="B18670" s="34" t="s">
        <v>33983</v>
      </c>
      <c r="C18670" s="34" t="s">
        <v>77</v>
      </c>
      <c r="E18670" s="30" t="s">
        <v>33984</v>
      </c>
      <c r="F18670" s="34" t="n">
        <f aca="false">IFERROR(VLOOKUP($A18670,'319'!$B:$H,7,0),0)</f>
        <v>0</v>
      </c>
      <c r="G18670" s="34" t="n">
        <f aca="false">SUMIFS('12.326ana'!$C:$C,'12.326ana'!$M:$M,redes!A18670)</f>
        <v>0</v>
      </c>
    </row>
    <row r="18671" customFormat="false" ht="14.4" hidden="true" customHeight="false" outlineLevel="0" collapsed="false">
      <c r="A18671" s="34" t="n">
        <v>55785709000131</v>
      </c>
      <c r="B18671" s="34" t="s">
        <v>33985</v>
      </c>
      <c r="C18671" s="34" t="s">
        <v>89</v>
      </c>
      <c r="E18671" s="30" t="s">
        <v>33986</v>
      </c>
      <c r="F18671" s="34" t="n">
        <f aca="false">IFERROR(VLOOKUP($A18671,'319'!$B:$H,7,0),0)</f>
        <v>0</v>
      </c>
      <c r="G18671" s="34" t="n">
        <f aca="false">SUMIFS('12.326ana'!$C:$C,'12.326ana'!$M:$M,redes!A18671)</f>
        <v>0</v>
      </c>
    </row>
    <row r="18672" customFormat="false" ht="14.4" hidden="true" customHeight="false" outlineLevel="0" collapsed="false">
      <c r="A18672" s="34" t="n">
        <v>55796902000178</v>
      </c>
      <c r="B18672" s="34" t="s">
        <v>33987</v>
      </c>
      <c r="C18672" s="34" t="s">
        <v>139</v>
      </c>
      <c r="E18672" s="30" t="s">
        <v>33988</v>
      </c>
      <c r="F18672" s="34" t="n">
        <f aca="false">IFERROR(VLOOKUP($A18672,'319'!$B:$H,7,0),0)</f>
        <v>0</v>
      </c>
      <c r="G18672" s="34" t="n">
        <f aca="false">SUMIFS('12.326ana'!$C:$C,'12.326ana'!$M:$M,redes!A18672)</f>
        <v>0</v>
      </c>
    </row>
    <row r="18673" customFormat="false" ht="14.4" hidden="true" customHeight="false" outlineLevel="0" collapsed="false">
      <c r="A18673" s="34" t="n">
        <v>55806399000194</v>
      </c>
      <c r="B18673" s="34" t="s">
        <v>33989</v>
      </c>
      <c r="C18673" s="34" t="s">
        <v>463</v>
      </c>
      <c r="E18673" s="30" t="s">
        <v>33990</v>
      </c>
      <c r="F18673" s="34" t="n">
        <f aca="false">IFERROR(VLOOKUP($A18673,'319'!$B:$H,7,0),0)</f>
        <v>0</v>
      </c>
      <c r="G18673" s="34" t="n">
        <f aca="false">SUMIFS('12.326ana'!$C:$C,'12.326ana'!$M:$M,redes!A18673)</f>
        <v>0</v>
      </c>
    </row>
    <row r="18674" customFormat="false" ht="14.4" hidden="true" customHeight="false" outlineLevel="0" collapsed="false">
      <c r="A18674" s="34" t="n">
        <v>55840443000182</v>
      </c>
      <c r="B18674" s="34" t="s">
        <v>33991</v>
      </c>
      <c r="C18674" s="34" t="s">
        <v>77</v>
      </c>
      <c r="E18674" s="30" t="s">
        <v>33992</v>
      </c>
      <c r="F18674" s="34" t="n">
        <f aca="false">IFERROR(VLOOKUP($A18674,'319'!$B:$H,7,0),0)</f>
        <v>0</v>
      </c>
      <c r="G18674" s="34" t="n">
        <f aca="false">SUMIFS('12.326ana'!$C:$C,'12.326ana'!$M:$M,redes!A18674)</f>
        <v>0</v>
      </c>
    </row>
    <row r="18675" customFormat="false" ht="14.4" hidden="true" customHeight="false" outlineLevel="0" collapsed="false">
      <c r="A18675" s="34" t="n">
        <v>55843563000133</v>
      </c>
      <c r="B18675" s="34" t="s">
        <v>26801</v>
      </c>
      <c r="C18675" s="34" t="s">
        <v>77</v>
      </c>
      <c r="E18675" s="30" t="s">
        <v>33993</v>
      </c>
      <c r="F18675" s="34" t="n">
        <f aca="false">IFERROR(VLOOKUP($A18675,'319'!$B:$H,7,0),0)</f>
        <v>0</v>
      </c>
      <c r="G18675" s="34" t="n">
        <f aca="false">SUMIFS('12.326ana'!$C:$C,'12.326ana'!$M:$M,redes!A18675)</f>
        <v>0</v>
      </c>
    </row>
    <row r="18676" customFormat="false" ht="14.4" hidden="true" customHeight="false" outlineLevel="0" collapsed="false">
      <c r="A18676" s="34" t="n">
        <v>55854096000147</v>
      </c>
      <c r="B18676" s="34" t="s">
        <v>33994</v>
      </c>
      <c r="C18676" s="34" t="s">
        <v>342</v>
      </c>
      <c r="E18676" s="30" t="s">
        <v>33995</v>
      </c>
      <c r="F18676" s="34" t="n">
        <f aca="false">IFERROR(VLOOKUP($A18676,'319'!$B:$H,7,0),0)</f>
        <v>0</v>
      </c>
      <c r="G18676" s="34" t="n">
        <f aca="false">SUMIFS('12.326ana'!$C:$C,'12.326ana'!$M:$M,redes!A18676)</f>
        <v>0</v>
      </c>
    </row>
    <row r="18677" customFormat="false" ht="14.4" hidden="true" customHeight="false" outlineLevel="0" collapsed="false">
      <c r="A18677" s="34" t="n">
        <v>55862568000103</v>
      </c>
      <c r="B18677" s="34" t="s">
        <v>1470</v>
      </c>
      <c r="C18677" s="34" t="s">
        <v>89</v>
      </c>
      <c r="E18677" s="30" t="s">
        <v>33996</v>
      </c>
      <c r="F18677" s="34" t="n">
        <f aca="false">IFERROR(VLOOKUP($A18677,'319'!$B:$H,7,0),0)</f>
        <v>162.31</v>
      </c>
      <c r="G18677" s="34" t="n">
        <f aca="false">SUMIFS('12.326ana'!$C:$C,'12.326ana'!$M:$M,redes!A18677)</f>
        <v>0</v>
      </c>
    </row>
    <row r="18678" customFormat="false" ht="14.4" hidden="true" customHeight="false" outlineLevel="0" collapsed="false">
      <c r="A18678" s="34" t="n">
        <v>55878447000150</v>
      </c>
      <c r="B18678" s="34" t="s">
        <v>33997</v>
      </c>
      <c r="C18678" s="34" t="s">
        <v>77</v>
      </c>
      <c r="E18678" s="30" t="s">
        <v>33998</v>
      </c>
      <c r="F18678" s="34" t="n">
        <f aca="false">IFERROR(VLOOKUP($A18678,'319'!$B:$H,7,0),0)</f>
        <v>0</v>
      </c>
      <c r="G18678" s="34" t="n">
        <f aca="false">SUMIFS('12.326ana'!$C:$C,'12.326ana'!$M:$M,redes!A18678)</f>
        <v>0</v>
      </c>
    </row>
    <row r="18679" customFormat="false" ht="14.4" hidden="true" customHeight="false" outlineLevel="0" collapsed="false">
      <c r="A18679" s="34" t="n">
        <v>55878817000159</v>
      </c>
      <c r="B18679" s="34" t="s">
        <v>33999</v>
      </c>
      <c r="C18679" s="34" t="s">
        <v>77</v>
      </c>
      <c r="E18679" s="30" t="s">
        <v>24752</v>
      </c>
      <c r="F18679" s="34" t="n">
        <f aca="false">IFERROR(VLOOKUP($A18679,'319'!$B:$H,7,0),0)</f>
        <v>0</v>
      </c>
      <c r="G18679" s="34" t="n">
        <f aca="false">SUMIFS('12.326ana'!$C:$C,'12.326ana'!$M:$M,redes!A18679)</f>
        <v>0</v>
      </c>
    </row>
    <row r="18680" customFormat="false" ht="14.4" hidden="true" customHeight="false" outlineLevel="0" collapsed="false">
      <c r="A18680" s="34" t="n">
        <v>55880934000157</v>
      </c>
      <c r="B18680" s="34" t="s">
        <v>34000</v>
      </c>
      <c r="C18680" s="34" t="s">
        <v>34001</v>
      </c>
      <c r="E18680" s="30" t="s">
        <v>34002</v>
      </c>
      <c r="F18680" s="34" t="n">
        <f aca="false">IFERROR(VLOOKUP($A18680,'319'!$B:$H,7,0),0)</f>
        <v>0</v>
      </c>
      <c r="G18680" s="34" t="n">
        <f aca="false">SUMIFS('12.326ana'!$C:$C,'12.326ana'!$M:$M,redes!A18680)</f>
        <v>0</v>
      </c>
    </row>
    <row r="18681" customFormat="false" ht="14.4" hidden="true" customHeight="false" outlineLevel="0" collapsed="false">
      <c r="A18681" s="34" t="n">
        <v>55967966000194</v>
      </c>
      <c r="B18681" s="34" t="s">
        <v>34003</v>
      </c>
      <c r="C18681" s="34" t="s">
        <v>77</v>
      </c>
      <c r="E18681" s="30" t="s">
        <v>34004</v>
      </c>
      <c r="F18681" s="34" t="n">
        <f aca="false">IFERROR(VLOOKUP($A18681,'319'!$B:$H,7,0),0)</f>
        <v>0</v>
      </c>
      <c r="G18681" s="34" t="n">
        <f aca="false">SUMIFS('12.326ana'!$C:$C,'12.326ana'!$M:$M,redes!A18681)</f>
        <v>0</v>
      </c>
    </row>
    <row r="18682" customFormat="false" ht="14.4" hidden="true" customHeight="false" outlineLevel="0" collapsed="false">
      <c r="A18682" s="34" t="n">
        <v>55975979000105</v>
      </c>
      <c r="B18682" s="34" t="s">
        <v>34005</v>
      </c>
      <c r="C18682" s="34" t="s">
        <v>464</v>
      </c>
      <c r="E18682" s="30" t="s">
        <v>34006</v>
      </c>
      <c r="F18682" s="34" t="n">
        <f aca="false">IFERROR(VLOOKUP($A18682,'319'!$B:$H,7,0),0)</f>
        <v>0</v>
      </c>
      <c r="G18682" s="34" t="n">
        <f aca="false">SUMIFS('12.326ana'!$C:$C,'12.326ana'!$M:$M,redes!A18682)</f>
        <v>0</v>
      </c>
    </row>
    <row r="18683" customFormat="false" ht="14.4" hidden="true" customHeight="false" outlineLevel="0" collapsed="false">
      <c r="A18683" s="34" t="n">
        <v>56003073000191</v>
      </c>
      <c r="B18683" s="34" t="s">
        <v>34007</v>
      </c>
      <c r="C18683" s="34" t="s">
        <v>77</v>
      </c>
      <c r="E18683" s="30" t="s">
        <v>33832</v>
      </c>
      <c r="F18683" s="34" t="n">
        <f aca="false">IFERROR(VLOOKUP($A18683,'319'!$B:$H,7,0),0)</f>
        <v>0</v>
      </c>
      <c r="G18683" s="34" t="n">
        <f aca="false">SUMIFS('12.326ana'!$C:$C,'12.326ana'!$M:$M,redes!A18683)</f>
        <v>0</v>
      </c>
    </row>
    <row r="18684" customFormat="false" ht="14.4" hidden="true" customHeight="false" outlineLevel="0" collapsed="false">
      <c r="A18684" s="34" t="n">
        <v>56011243000180</v>
      </c>
      <c r="B18684" s="34" t="s">
        <v>34008</v>
      </c>
      <c r="C18684" s="34" t="s">
        <v>77</v>
      </c>
      <c r="E18684" s="30" t="s">
        <v>25985</v>
      </c>
      <c r="F18684" s="34" t="n">
        <f aca="false">IFERROR(VLOOKUP($A18684,'319'!$B:$H,7,0),0)</f>
        <v>0</v>
      </c>
      <c r="G18684" s="34" t="n">
        <f aca="false">SUMIFS('12.326ana'!$C:$C,'12.326ana'!$M:$M,redes!A18684)</f>
        <v>0</v>
      </c>
    </row>
    <row r="18685" customFormat="false" ht="14.4" hidden="true" customHeight="false" outlineLevel="0" collapsed="false">
      <c r="A18685" s="34" t="n">
        <v>56023003000103</v>
      </c>
      <c r="B18685" s="34" t="s">
        <v>34009</v>
      </c>
      <c r="C18685" s="34" t="s">
        <v>77</v>
      </c>
      <c r="E18685" s="30" t="s">
        <v>34010</v>
      </c>
      <c r="F18685" s="34" t="n">
        <f aca="false">IFERROR(VLOOKUP($A18685,'319'!$B:$H,7,0),0)</f>
        <v>0</v>
      </c>
      <c r="G18685" s="34" t="n">
        <f aca="false">SUMIFS('12.326ana'!$C:$C,'12.326ana'!$M:$M,redes!A18685)</f>
        <v>0</v>
      </c>
    </row>
    <row r="18686" customFormat="false" ht="14.4" hidden="true" customHeight="false" outlineLevel="0" collapsed="false">
      <c r="A18686" s="34" t="n">
        <v>56023063000118</v>
      </c>
      <c r="B18686" s="34" t="s">
        <v>34011</v>
      </c>
      <c r="C18686" s="34" t="s">
        <v>107</v>
      </c>
      <c r="E18686" s="30" t="s">
        <v>26638</v>
      </c>
      <c r="F18686" s="34" t="n">
        <f aca="false">IFERROR(VLOOKUP($A18686,'319'!$B:$H,7,0),0)</f>
        <v>0</v>
      </c>
      <c r="G18686" s="34" t="n">
        <f aca="false">SUMIFS('12.326ana'!$C:$C,'12.326ana'!$M:$M,redes!A18686)</f>
        <v>0</v>
      </c>
    </row>
    <row r="18687" customFormat="false" ht="14.4" hidden="true" customHeight="false" outlineLevel="0" collapsed="false">
      <c r="A18687" s="34" t="n">
        <v>56033035000181</v>
      </c>
      <c r="B18687" s="34" t="s">
        <v>34012</v>
      </c>
      <c r="C18687" s="34" t="s">
        <v>89</v>
      </c>
      <c r="E18687" s="30" t="s">
        <v>34013</v>
      </c>
      <c r="F18687" s="34" t="n">
        <f aca="false">IFERROR(VLOOKUP($A18687,'319'!$B:$H,7,0),0)</f>
        <v>0</v>
      </c>
      <c r="G18687" s="34" t="n">
        <f aca="false">SUMIFS('12.326ana'!$C:$C,'12.326ana'!$M:$M,redes!A18687)</f>
        <v>0</v>
      </c>
    </row>
    <row r="18688" customFormat="false" ht="14.4" hidden="true" customHeight="false" outlineLevel="0" collapsed="false">
      <c r="A18688" s="34" t="n">
        <v>56070700000107</v>
      </c>
      <c r="B18688" s="34" t="s">
        <v>34014</v>
      </c>
      <c r="C18688" s="34" t="s">
        <v>631</v>
      </c>
      <c r="E18688" s="30" t="s">
        <v>34015</v>
      </c>
      <c r="F18688" s="34" t="n">
        <f aca="false">IFERROR(VLOOKUP($A18688,'319'!$B:$H,7,0),0)</f>
        <v>0</v>
      </c>
      <c r="G18688" s="34" t="n">
        <f aca="false">SUMIFS('12.326ana'!$C:$C,'12.326ana'!$M:$M,redes!A18688)</f>
        <v>0</v>
      </c>
    </row>
    <row r="18689" customFormat="false" ht="14.4" hidden="true" customHeight="false" outlineLevel="0" collapsed="false">
      <c r="A18689" s="34" t="n">
        <v>56154489000100</v>
      </c>
      <c r="B18689" s="34" t="s">
        <v>34016</v>
      </c>
      <c r="C18689" s="34" t="s">
        <v>139</v>
      </c>
      <c r="E18689" s="30" t="s">
        <v>34017</v>
      </c>
      <c r="F18689" s="34" t="n">
        <f aca="false">IFERROR(VLOOKUP($A18689,'319'!$B:$H,7,0),0)</f>
        <v>0</v>
      </c>
      <c r="G18689" s="34" t="n">
        <f aca="false">SUMIFS('12.326ana'!$C:$C,'12.326ana'!$M:$M,redes!A18689)</f>
        <v>0</v>
      </c>
    </row>
    <row r="18690" customFormat="false" ht="14.4" hidden="true" customHeight="false" outlineLevel="0" collapsed="false">
      <c r="A18690" s="34" t="n">
        <v>56267491000196</v>
      </c>
      <c r="B18690" s="34" t="s">
        <v>34018</v>
      </c>
      <c r="C18690" s="34" t="s">
        <v>89</v>
      </c>
      <c r="E18690" s="30" t="s">
        <v>34019</v>
      </c>
      <c r="F18690" s="34" t="n">
        <f aca="false">IFERROR(VLOOKUP($A18690,'319'!$B:$H,7,0),0)</f>
        <v>952.34</v>
      </c>
      <c r="G18690" s="34" t="n">
        <f aca="false">SUMIFS('12.326ana'!$C:$C,'12.326ana'!$M:$M,redes!A18690)</f>
        <v>0</v>
      </c>
    </row>
    <row r="18691" customFormat="false" ht="14.4" hidden="true" customHeight="false" outlineLevel="0" collapsed="false">
      <c r="A18691" s="34" t="n">
        <v>56301522000188</v>
      </c>
      <c r="B18691" s="34" t="s">
        <v>34020</v>
      </c>
      <c r="C18691" s="34" t="s">
        <v>107</v>
      </c>
      <c r="E18691" s="30" t="s">
        <v>34021</v>
      </c>
      <c r="F18691" s="34" t="n">
        <f aca="false">IFERROR(VLOOKUP($A18691,'319'!$B:$H,7,0),0)</f>
        <v>0</v>
      </c>
      <c r="G18691" s="34" t="n">
        <f aca="false">SUMIFS('12.326ana'!$C:$C,'12.326ana'!$M:$M,redes!A18691)</f>
        <v>0</v>
      </c>
    </row>
    <row r="18692" customFormat="false" ht="14.4" hidden="true" customHeight="false" outlineLevel="0" collapsed="false">
      <c r="A18692" s="34" t="n">
        <v>56384497000143</v>
      </c>
      <c r="B18692" s="34" t="s">
        <v>34022</v>
      </c>
      <c r="C18692" s="34" t="s">
        <v>77</v>
      </c>
      <c r="E18692" s="30" t="s">
        <v>33505</v>
      </c>
      <c r="F18692" s="34" t="n">
        <f aca="false">IFERROR(VLOOKUP($A18692,'319'!$B:$H,7,0),0)</f>
        <v>0</v>
      </c>
      <c r="G18692" s="34" t="n">
        <f aca="false">SUMIFS('12.326ana'!$C:$C,'12.326ana'!$M:$M,redes!A18692)</f>
        <v>0</v>
      </c>
    </row>
    <row r="18693" customFormat="false" ht="14.4" hidden="true" customHeight="false" outlineLevel="0" collapsed="false">
      <c r="A18693" s="34" t="n">
        <v>56616130000108</v>
      </c>
      <c r="B18693" s="34" t="s">
        <v>34023</v>
      </c>
      <c r="C18693" s="34" t="s">
        <v>129</v>
      </c>
      <c r="E18693" s="30" t="s">
        <v>34024</v>
      </c>
      <c r="F18693" s="34" t="n">
        <f aca="false">IFERROR(VLOOKUP($A18693,'319'!$B:$H,7,0),0)</f>
        <v>0</v>
      </c>
      <c r="G18693" s="34" t="n">
        <f aca="false">SUMIFS('12.326ana'!$C:$C,'12.326ana'!$M:$M,redes!A18693)</f>
        <v>0</v>
      </c>
    </row>
    <row r="18694" customFormat="false" ht="14.4" hidden="true" customHeight="false" outlineLevel="0" collapsed="false">
      <c r="A18694" s="34" t="n">
        <v>56689940000194</v>
      </c>
      <c r="B18694" s="34" t="s">
        <v>34025</v>
      </c>
      <c r="C18694" s="34" t="s">
        <v>594</v>
      </c>
      <c r="E18694" s="30" t="s">
        <v>34026</v>
      </c>
      <c r="F18694" s="34" t="n">
        <f aca="false">IFERROR(VLOOKUP($A18694,'319'!$B:$H,7,0),0)</f>
        <v>0</v>
      </c>
      <c r="G18694" s="34" t="n">
        <f aca="false">SUMIFS('12.326ana'!$C:$C,'12.326ana'!$M:$M,redes!A18694)</f>
        <v>0</v>
      </c>
    </row>
    <row r="18695" customFormat="false" ht="14.4" hidden="true" customHeight="false" outlineLevel="0" collapsed="false">
      <c r="A18695" s="34" t="n">
        <v>56909094000170</v>
      </c>
      <c r="B18695" s="34" t="s">
        <v>34027</v>
      </c>
      <c r="C18695" s="34" t="s">
        <v>77</v>
      </c>
      <c r="E18695" s="30" t="s">
        <v>5725</v>
      </c>
      <c r="F18695" s="34" t="n">
        <f aca="false">IFERROR(VLOOKUP($A18695,'319'!$B:$H,7,0),0)</f>
        <v>0</v>
      </c>
      <c r="G18695" s="34" t="n">
        <f aca="false">SUMIFS('12.326ana'!$C:$C,'12.326ana'!$M:$M,redes!A18695)</f>
        <v>0</v>
      </c>
    </row>
    <row r="18696" customFormat="false" ht="14.4" hidden="true" customHeight="false" outlineLevel="0" collapsed="false">
      <c r="A18696" s="34" t="n">
        <v>56914180000171</v>
      </c>
      <c r="B18696" s="34" t="s">
        <v>34028</v>
      </c>
      <c r="C18696" s="34" t="s">
        <v>842</v>
      </c>
      <c r="E18696" s="30" t="s">
        <v>34029</v>
      </c>
      <c r="F18696" s="34" t="n">
        <f aca="false">IFERROR(VLOOKUP($A18696,'319'!$B:$H,7,0),0)</f>
        <v>0</v>
      </c>
      <c r="G18696" s="34" t="n">
        <f aca="false">SUMIFS('12.326ana'!$C:$C,'12.326ana'!$M:$M,redes!A18696)</f>
        <v>0</v>
      </c>
    </row>
    <row r="18697" customFormat="false" ht="14.4" hidden="true" customHeight="false" outlineLevel="0" collapsed="false">
      <c r="A18697" s="34" t="n">
        <v>56936445000132</v>
      </c>
      <c r="B18697" s="34" t="s">
        <v>34030</v>
      </c>
      <c r="C18697" s="34" t="s">
        <v>139</v>
      </c>
      <c r="E18697" s="30" t="s">
        <v>34031</v>
      </c>
      <c r="F18697" s="34" t="n">
        <f aca="false">IFERROR(VLOOKUP($A18697,'319'!$B:$H,7,0),0)</f>
        <v>0</v>
      </c>
      <c r="G18697" s="34" t="n">
        <f aca="false">SUMIFS('12.326ana'!$C:$C,'12.326ana'!$M:$M,redes!A18697)</f>
        <v>0</v>
      </c>
    </row>
    <row r="18698" customFormat="false" ht="14.4" hidden="true" customHeight="false" outlineLevel="0" collapsed="false">
      <c r="A18698" s="34" t="n">
        <v>56955574000178</v>
      </c>
      <c r="B18698" s="34" t="s">
        <v>34032</v>
      </c>
      <c r="C18698" s="34" t="s">
        <v>77</v>
      </c>
      <c r="E18698" s="30" t="s">
        <v>34032</v>
      </c>
      <c r="F18698" s="34" t="n">
        <f aca="false">IFERROR(VLOOKUP($A18698,'319'!$B:$H,7,0),0)</f>
        <v>0</v>
      </c>
      <c r="G18698" s="34" t="n">
        <f aca="false">SUMIFS('12.326ana'!$C:$C,'12.326ana'!$M:$M,redes!A18698)</f>
        <v>0</v>
      </c>
    </row>
    <row r="18699" customFormat="false" ht="14.4" hidden="true" customHeight="false" outlineLevel="0" collapsed="false">
      <c r="A18699" s="34" t="n">
        <v>57054183000145</v>
      </c>
      <c r="B18699" s="34" t="s">
        <v>905</v>
      </c>
      <c r="C18699" s="34" t="s">
        <v>77</v>
      </c>
      <c r="E18699" s="30" t="s">
        <v>34033</v>
      </c>
      <c r="F18699" s="34" t="n">
        <f aca="false">IFERROR(VLOOKUP($A18699,'319'!$B:$H,7,0),0)</f>
        <v>1421.33</v>
      </c>
      <c r="G18699" s="34" t="n">
        <f aca="false">SUMIFS('12.326ana'!$C:$C,'12.326ana'!$M:$M,redes!A18699)</f>
        <v>0</v>
      </c>
    </row>
    <row r="18700" customFormat="false" ht="14.4" hidden="true" customHeight="false" outlineLevel="0" collapsed="false">
      <c r="A18700" s="34" t="n">
        <v>57056794000122</v>
      </c>
      <c r="B18700" s="34" t="s">
        <v>1546</v>
      </c>
      <c r="C18700" s="34" t="s">
        <v>357</v>
      </c>
      <c r="E18700" s="30" t="s">
        <v>34034</v>
      </c>
      <c r="F18700" s="34" t="n">
        <f aca="false">IFERROR(VLOOKUP($A18700,'319'!$B:$H,7,0),0)</f>
        <v>111.52</v>
      </c>
      <c r="G18700" s="34" t="n">
        <f aca="false">SUMIFS('12.326ana'!$C:$C,'12.326ana'!$M:$M,redes!A18700)</f>
        <v>0</v>
      </c>
    </row>
    <row r="18701" customFormat="false" ht="14.4" hidden="true" customHeight="false" outlineLevel="0" collapsed="false">
      <c r="A18701" s="34" t="n">
        <v>57063707000164</v>
      </c>
      <c r="B18701" s="34" t="s">
        <v>34035</v>
      </c>
      <c r="C18701" s="34" t="s">
        <v>299</v>
      </c>
      <c r="E18701" s="30" t="s">
        <v>6648</v>
      </c>
      <c r="F18701" s="34" t="n">
        <f aca="false">IFERROR(VLOOKUP($A18701,'319'!$B:$H,7,0),0)</f>
        <v>0</v>
      </c>
      <c r="G18701" s="34" t="n">
        <f aca="false">SUMIFS('12.326ana'!$C:$C,'12.326ana'!$M:$M,redes!A18701)</f>
        <v>0</v>
      </c>
    </row>
    <row r="18702" customFormat="false" ht="14.4" hidden="true" customHeight="false" outlineLevel="0" collapsed="false">
      <c r="A18702" s="34" t="n">
        <v>57112290000182</v>
      </c>
      <c r="B18702" s="34" t="s">
        <v>34036</v>
      </c>
      <c r="C18702" s="34" t="s">
        <v>77</v>
      </c>
      <c r="E18702" s="30" t="s">
        <v>8468</v>
      </c>
      <c r="F18702" s="34" t="n">
        <f aca="false">IFERROR(VLOOKUP($A18702,'319'!$B:$H,7,0),0)</f>
        <v>0</v>
      </c>
      <c r="G18702" s="34" t="n">
        <f aca="false">SUMIFS('12.326ana'!$C:$C,'12.326ana'!$M:$M,redes!A18702)</f>
        <v>0</v>
      </c>
    </row>
    <row r="18703" customFormat="false" ht="14.4" hidden="true" customHeight="false" outlineLevel="0" collapsed="false">
      <c r="A18703" s="34" t="n">
        <v>57182197000144</v>
      </c>
      <c r="B18703" s="34" t="s">
        <v>34037</v>
      </c>
      <c r="C18703" s="34" t="s">
        <v>117</v>
      </c>
      <c r="E18703" s="30" t="s">
        <v>34038</v>
      </c>
      <c r="F18703" s="34" t="n">
        <f aca="false">IFERROR(VLOOKUP($A18703,'319'!$B:$H,7,0),0)</f>
        <v>0</v>
      </c>
      <c r="G18703" s="34" t="n">
        <f aca="false">SUMIFS('12.326ana'!$C:$C,'12.326ana'!$M:$M,redes!A18703)</f>
        <v>0</v>
      </c>
    </row>
    <row r="18704" customFormat="false" ht="14.4" hidden="true" customHeight="false" outlineLevel="0" collapsed="false">
      <c r="A18704" s="34" t="n">
        <v>57194014000100</v>
      </c>
      <c r="B18704" s="34" t="s">
        <v>34039</v>
      </c>
      <c r="C18704" s="34" t="s">
        <v>77</v>
      </c>
      <c r="E18704" s="30" t="s">
        <v>34040</v>
      </c>
      <c r="F18704" s="34" t="n">
        <f aca="false">IFERROR(VLOOKUP($A18704,'319'!$B:$H,7,0),0)</f>
        <v>0</v>
      </c>
      <c r="G18704" s="34" t="n">
        <f aca="false">SUMIFS('12.326ana'!$C:$C,'12.326ana'!$M:$M,redes!A18704)</f>
        <v>0</v>
      </c>
    </row>
    <row r="18705" customFormat="false" ht="14.4" hidden="true" customHeight="false" outlineLevel="0" collapsed="false">
      <c r="A18705" s="34" t="n">
        <v>57305584000120</v>
      </c>
      <c r="B18705" s="34" t="s">
        <v>34041</v>
      </c>
      <c r="C18705" s="34" t="s">
        <v>1272</v>
      </c>
      <c r="E18705" s="30" t="s">
        <v>34042</v>
      </c>
      <c r="F18705" s="34" t="n">
        <f aca="false">IFERROR(VLOOKUP($A18705,'319'!$B:$H,7,0),0)</f>
        <v>0</v>
      </c>
      <c r="G18705" s="34" t="n">
        <f aca="false">SUMIFS('12.326ana'!$C:$C,'12.326ana'!$M:$M,redes!A18705)</f>
        <v>0</v>
      </c>
    </row>
    <row r="18706" customFormat="false" ht="14.4" hidden="true" customHeight="false" outlineLevel="0" collapsed="false">
      <c r="A18706" s="34" t="n">
        <v>57307666000104</v>
      </c>
      <c r="B18706" s="34" t="s">
        <v>34043</v>
      </c>
      <c r="C18706" s="34" t="s">
        <v>107</v>
      </c>
      <c r="E18706" s="30" t="s">
        <v>8653</v>
      </c>
      <c r="F18706" s="34" t="n">
        <f aca="false">IFERROR(VLOOKUP($A18706,'319'!$B:$H,7,0),0)</f>
        <v>0</v>
      </c>
      <c r="G18706" s="34" t="n">
        <f aca="false">SUMIFS('12.326ana'!$C:$C,'12.326ana'!$M:$M,redes!A18706)</f>
        <v>0</v>
      </c>
    </row>
    <row r="18707" customFormat="false" ht="14.4" hidden="true" customHeight="false" outlineLevel="0" collapsed="false">
      <c r="A18707" s="34" t="n">
        <v>57335488000125</v>
      </c>
      <c r="B18707" s="34" t="s">
        <v>34044</v>
      </c>
      <c r="C18707" s="34" t="s">
        <v>706</v>
      </c>
      <c r="E18707" s="30" t="s">
        <v>34045</v>
      </c>
      <c r="F18707" s="34" t="n">
        <f aca="false">IFERROR(VLOOKUP($A18707,'319'!$B:$H,7,0),0)</f>
        <v>0</v>
      </c>
      <c r="G18707" s="34" t="n">
        <f aca="false">SUMIFS('12.326ana'!$C:$C,'12.326ana'!$M:$M,redes!A18707)</f>
        <v>0</v>
      </c>
    </row>
    <row r="18708" customFormat="false" ht="14.4" hidden="true" customHeight="false" outlineLevel="0" collapsed="false">
      <c r="A18708" s="34" t="n">
        <v>57398790000122</v>
      </c>
      <c r="B18708" s="34" t="s">
        <v>34046</v>
      </c>
      <c r="C18708" s="34" t="s">
        <v>77</v>
      </c>
      <c r="E18708" s="30" t="s">
        <v>34047</v>
      </c>
      <c r="F18708" s="34" t="n">
        <f aca="false">IFERROR(VLOOKUP($A18708,'319'!$B:$H,7,0),0)</f>
        <v>0</v>
      </c>
      <c r="G18708" s="34" t="n">
        <f aca="false">SUMIFS('12.326ana'!$C:$C,'12.326ana'!$M:$M,redes!A18708)</f>
        <v>0</v>
      </c>
    </row>
    <row r="18709" customFormat="false" ht="14.4" hidden="true" customHeight="false" outlineLevel="0" collapsed="false">
      <c r="A18709" s="34" t="n">
        <v>57463690000132</v>
      </c>
      <c r="B18709" s="34" t="s">
        <v>34048</v>
      </c>
      <c r="C18709" s="34" t="s">
        <v>77</v>
      </c>
      <c r="E18709" s="30" t="s">
        <v>34049</v>
      </c>
      <c r="F18709" s="34" t="n">
        <f aca="false">IFERROR(VLOOKUP($A18709,'319'!$B:$H,7,0),0)</f>
        <v>0</v>
      </c>
      <c r="G18709" s="34" t="n">
        <f aca="false">SUMIFS('12.326ana'!$C:$C,'12.326ana'!$M:$M,redes!A18709)</f>
        <v>0</v>
      </c>
    </row>
    <row r="18710" customFormat="false" ht="14.4" hidden="true" customHeight="false" outlineLevel="0" collapsed="false">
      <c r="A18710" s="34" t="n">
        <v>57498879000160</v>
      </c>
      <c r="B18710" s="34" t="s">
        <v>34050</v>
      </c>
      <c r="C18710" s="34" t="s">
        <v>107</v>
      </c>
      <c r="E18710" s="30" t="s">
        <v>27665</v>
      </c>
      <c r="F18710" s="34" t="n">
        <f aca="false">IFERROR(VLOOKUP($A18710,'319'!$B:$H,7,0),0)</f>
        <v>0</v>
      </c>
      <c r="G18710" s="34" t="n">
        <f aca="false">SUMIFS('12.326ana'!$C:$C,'12.326ana'!$M:$M,redes!A18710)</f>
        <v>0</v>
      </c>
    </row>
    <row r="18711" customFormat="false" ht="14.4" hidden="true" customHeight="false" outlineLevel="0" collapsed="false">
      <c r="A18711" s="34" t="n">
        <v>57507378000101</v>
      </c>
      <c r="B18711" s="34" t="s">
        <v>34051</v>
      </c>
      <c r="C18711" s="34" t="s">
        <v>12565</v>
      </c>
      <c r="E18711" s="30"/>
      <c r="F18711" s="34" t="n">
        <f aca="false">IFERROR(VLOOKUP($A18711,'319'!$B:$H,7,0),0)</f>
        <v>0</v>
      </c>
      <c r="G18711" s="34" t="n">
        <f aca="false">SUMIFS('12.326ana'!$C:$C,'12.326ana'!$M:$M,redes!A18711)</f>
        <v>0</v>
      </c>
    </row>
    <row r="18712" customFormat="false" ht="14.4" hidden="true" customHeight="false" outlineLevel="0" collapsed="false">
      <c r="A18712" s="34" t="n">
        <v>57515294000101</v>
      </c>
      <c r="B18712" s="34" t="s">
        <v>34052</v>
      </c>
      <c r="C18712" s="34" t="s">
        <v>77</v>
      </c>
      <c r="E18712" s="30" t="s">
        <v>34053</v>
      </c>
      <c r="F18712" s="34" t="n">
        <f aca="false">IFERROR(VLOOKUP($A18712,'319'!$B:$H,7,0),0)</f>
        <v>0</v>
      </c>
      <c r="G18712" s="34" t="n">
        <f aca="false">SUMIFS('12.326ana'!$C:$C,'12.326ana'!$M:$M,redes!A18712)</f>
        <v>0</v>
      </c>
    </row>
    <row r="18713" customFormat="false" ht="14.4" hidden="true" customHeight="false" outlineLevel="0" collapsed="false">
      <c r="A18713" s="34" t="n">
        <v>57547351000134</v>
      </c>
      <c r="B18713" s="34" t="s">
        <v>34054</v>
      </c>
      <c r="C18713" s="34" t="s">
        <v>77</v>
      </c>
      <c r="E18713" s="30" t="s">
        <v>34055</v>
      </c>
      <c r="F18713" s="34" t="n">
        <f aca="false">IFERROR(VLOOKUP($A18713,'319'!$B:$H,7,0),0)</f>
        <v>0</v>
      </c>
      <c r="G18713" s="34" t="n">
        <f aca="false">SUMIFS('12.326ana'!$C:$C,'12.326ana'!$M:$M,redes!A18713)</f>
        <v>0</v>
      </c>
    </row>
    <row r="18714" customFormat="false" ht="14.4" hidden="true" customHeight="false" outlineLevel="0" collapsed="false">
      <c r="A18714" s="34" t="n">
        <v>57564677000170</v>
      </c>
      <c r="B18714" s="34" t="s">
        <v>34056</v>
      </c>
      <c r="C18714" s="34" t="s">
        <v>77</v>
      </c>
      <c r="E18714" s="30" t="s">
        <v>34057</v>
      </c>
      <c r="F18714" s="34" t="n">
        <f aca="false">IFERROR(VLOOKUP($A18714,'319'!$B:$H,7,0),0)</f>
        <v>0</v>
      </c>
      <c r="G18714" s="34" t="n">
        <f aca="false">SUMIFS('12.326ana'!$C:$C,'12.326ana'!$M:$M,redes!A18714)</f>
        <v>0</v>
      </c>
    </row>
    <row r="18715" customFormat="false" ht="14.4" hidden="true" customHeight="false" outlineLevel="0" collapsed="false">
      <c r="A18715" s="34" t="n">
        <v>57583529000100</v>
      </c>
      <c r="B18715" s="34" t="s">
        <v>34058</v>
      </c>
      <c r="C18715" s="34" t="s">
        <v>979</v>
      </c>
      <c r="E18715" s="30" t="s">
        <v>34059</v>
      </c>
      <c r="F18715" s="34" t="n">
        <f aca="false">IFERROR(VLOOKUP($A18715,'319'!$B:$H,7,0),0)</f>
        <v>0</v>
      </c>
      <c r="G18715" s="34" t="n">
        <f aca="false">SUMIFS('12.326ana'!$C:$C,'12.326ana'!$M:$M,redes!A18715)</f>
        <v>0</v>
      </c>
    </row>
    <row r="18716" customFormat="false" ht="14.4" hidden="true" customHeight="false" outlineLevel="0" collapsed="false">
      <c r="A18716" s="34" t="n">
        <v>57600059000138</v>
      </c>
      <c r="B18716" s="34" t="s">
        <v>34060</v>
      </c>
      <c r="C18716" s="34" t="s">
        <v>967</v>
      </c>
      <c r="E18716" s="30" t="s">
        <v>34061</v>
      </c>
      <c r="F18716" s="34" t="n">
        <f aca="false">IFERROR(VLOOKUP($A18716,'319'!$B:$H,7,0),0)</f>
        <v>0</v>
      </c>
      <c r="G18716" s="34" t="n">
        <f aca="false">SUMIFS('12.326ana'!$C:$C,'12.326ana'!$M:$M,redes!A18716)</f>
        <v>0</v>
      </c>
    </row>
    <row r="18717" customFormat="false" ht="14.4" hidden="true" customHeight="false" outlineLevel="0" collapsed="false">
      <c r="A18717" s="34" t="n">
        <v>57619723000190</v>
      </c>
      <c r="B18717" s="34" t="s">
        <v>34062</v>
      </c>
      <c r="C18717" s="34" t="s">
        <v>77</v>
      </c>
      <c r="E18717" s="30" t="s">
        <v>34063</v>
      </c>
      <c r="F18717" s="34" t="n">
        <f aca="false">IFERROR(VLOOKUP($A18717,'319'!$B:$H,7,0),0)</f>
        <v>0</v>
      </c>
      <c r="G18717" s="34" t="n">
        <f aca="false">SUMIFS('12.326ana'!$C:$C,'12.326ana'!$M:$M,redes!A18717)</f>
        <v>0</v>
      </c>
    </row>
    <row r="18718" customFormat="false" ht="14.4" hidden="true" customHeight="false" outlineLevel="0" collapsed="false">
      <c r="A18718" s="34" t="n">
        <v>57623286000189</v>
      </c>
      <c r="B18718" s="34" t="s">
        <v>34064</v>
      </c>
      <c r="C18718" s="34" t="s">
        <v>77</v>
      </c>
      <c r="E18718" s="30" t="s">
        <v>34063</v>
      </c>
      <c r="F18718" s="34" t="n">
        <f aca="false">IFERROR(VLOOKUP($A18718,'319'!$B:$H,7,0),0)</f>
        <v>0</v>
      </c>
      <c r="G18718" s="34" t="n">
        <f aca="false">SUMIFS('12.326ana'!$C:$C,'12.326ana'!$M:$M,redes!A18718)</f>
        <v>0</v>
      </c>
    </row>
    <row r="18719" customFormat="false" ht="14.4" hidden="true" customHeight="false" outlineLevel="0" collapsed="false">
      <c r="A18719" s="34" t="n">
        <v>57627616000104</v>
      </c>
      <c r="B18719" s="34" t="s">
        <v>34065</v>
      </c>
      <c r="C18719" s="34" t="s">
        <v>213</v>
      </c>
      <c r="E18719" s="30" t="s">
        <v>34066</v>
      </c>
      <c r="F18719" s="34" t="n">
        <f aca="false">IFERROR(VLOOKUP($A18719,'319'!$B:$H,7,0),0)</f>
        <v>0</v>
      </c>
      <c r="G18719" s="34" t="n">
        <f aca="false">SUMIFS('12.326ana'!$C:$C,'12.326ana'!$M:$M,redes!A18719)</f>
        <v>0</v>
      </c>
    </row>
    <row r="18720" customFormat="false" ht="14.4" hidden="true" customHeight="false" outlineLevel="0" collapsed="false">
      <c r="A18720" s="34" t="n">
        <v>57678549000157</v>
      </c>
      <c r="B18720" s="34" t="s">
        <v>34067</v>
      </c>
      <c r="C18720" s="34" t="s">
        <v>77</v>
      </c>
      <c r="E18720" s="30" t="s">
        <v>34067</v>
      </c>
      <c r="F18720" s="34" t="n">
        <f aca="false">IFERROR(VLOOKUP($A18720,'319'!$B:$H,7,0),0)</f>
        <v>181.5</v>
      </c>
      <c r="G18720" s="34" t="n">
        <f aca="false">SUMIFS('12.326ana'!$C:$C,'12.326ana'!$M:$M,redes!A18720)</f>
        <v>0</v>
      </c>
    </row>
    <row r="18721" customFormat="false" ht="14.4" hidden="true" customHeight="false" outlineLevel="0" collapsed="false">
      <c r="A18721" s="34" t="n">
        <v>57678549000238</v>
      </c>
      <c r="B18721" s="34" t="s">
        <v>34068</v>
      </c>
      <c r="C18721" s="34" t="s">
        <v>77</v>
      </c>
      <c r="E18721" s="30" t="s">
        <v>34069</v>
      </c>
      <c r="F18721" s="34" t="n">
        <f aca="false">IFERROR(VLOOKUP($A18721,'319'!$B:$H,7,0),0)</f>
        <v>26.45</v>
      </c>
      <c r="G18721" s="34" t="n">
        <f aca="false">SUMIFS('12.326ana'!$C:$C,'12.326ana'!$M:$M,redes!A18721)</f>
        <v>0</v>
      </c>
    </row>
    <row r="18722" customFormat="false" ht="14.4" hidden="true" customHeight="false" outlineLevel="0" collapsed="false">
      <c r="A18722" s="34" t="n">
        <v>57678549000319</v>
      </c>
      <c r="B18722" s="34" t="s">
        <v>34068</v>
      </c>
      <c r="C18722" s="34" t="s">
        <v>77</v>
      </c>
      <c r="E18722" s="30" t="s">
        <v>34070</v>
      </c>
      <c r="F18722" s="34" t="n">
        <f aca="false">IFERROR(VLOOKUP($A18722,'319'!$B:$H,7,0),0)</f>
        <v>0</v>
      </c>
      <c r="G18722" s="34" t="n">
        <f aca="false">SUMIFS('12.326ana'!$C:$C,'12.326ana'!$M:$M,redes!A18722)</f>
        <v>0</v>
      </c>
    </row>
    <row r="18723" customFormat="false" ht="14.4" hidden="true" customHeight="false" outlineLevel="0" collapsed="false">
      <c r="A18723" s="34" t="n">
        <v>57692055000984</v>
      </c>
      <c r="B18723" s="34" t="s">
        <v>34071</v>
      </c>
      <c r="C18723" s="34" t="s">
        <v>77</v>
      </c>
      <c r="E18723" s="30" t="s">
        <v>34072</v>
      </c>
      <c r="F18723" s="34" t="n">
        <f aca="false">IFERROR(VLOOKUP($A18723,'319'!$B:$H,7,0),0)</f>
        <v>0</v>
      </c>
      <c r="G18723" s="34" t="n">
        <f aca="false">SUMIFS('12.326ana'!$C:$C,'12.326ana'!$M:$M,redes!A18723)</f>
        <v>0</v>
      </c>
    </row>
    <row r="18724" customFormat="false" ht="14.4" hidden="true" customHeight="false" outlineLevel="0" collapsed="false">
      <c r="A18724" s="34" t="n">
        <v>57692055001794</v>
      </c>
      <c r="B18724" s="34" t="s">
        <v>34073</v>
      </c>
      <c r="C18724" s="34" t="s">
        <v>77</v>
      </c>
      <c r="E18724" s="30" t="s">
        <v>4850</v>
      </c>
      <c r="F18724" s="34" t="n">
        <f aca="false">IFERROR(VLOOKUP($A18724,'319'!$B:$H,7,0),0)</f>
        <v>0</v>
      </c>
      <c r="G18724" s="34" t="n">
        <f aca="false">SUMIFS('12.326ana'!$C:$C,'12.326ana'!$M:$M,redes!A18724)</f>
        <v>0</v>
      </c>
    </row>
    <row r="18725" customFormat="false" ht="14.4" hidden="true" customHeight="false" outlineLevel="0" collapsed="false">
      <c r="A18725" s="34" t="n">
        <v>57692055003657</v>
      </c>
      <c r="B18725" s="34" t="s">
        <v>34074</v>
      </c>
      <c r="C18725" s="34" t="s">
        <v>12327</v>
      </c>
      <c r="E18725" s="30" t="s">
        <v>4850</v>
      </c>
      <c r="F18725" s="34" t="n">
        <f aca="false">IFERROR(VLOOKUP($A18725,'319'!$B:$H,7,0),0)</f>
        <v>0</v>
      </c>
      <c r="G18725" s="34" t="n">
        <f aca="false">SUMIFS('12.326ana'!$C:$C,'12.326ana'!$M:$M,redes!A18725)</f>
        <v>0</v>
      </c>
    </row>
    <row r="18726" customFormat="false" ht="14.4" hidden="true" customHeight="false" outlineLevel="0" collapsed="false">
      <c r="A18726" s="34" t="n">
        <v>57734901000124</v>
      </c>
      <c r="B18726" s="34" t="s">
        <v>34075</v>
      </c>
      <c r="C18726" s="34" t="s">
        <v>77</v>
      </c>
      <c r="E18726" s="30" t="s">
        <v>11496</v>
      </c>
      <c r="F18726" s="34" t="n">
        <f aca="false">IFERROR(VLOOKUP($A18726,'319'!$B:$H,7,0),0)</f>
        <v>0</v>
      </c>
      <c r="G18726" s="34" t="n">
        <f aca="false">SUMIFS('12.326ana'!$C:$C,'12.326ana'!$M:$M,redes!A18726)</f>
        <v>0</v>
      </c>
    </row>
    <row r="18727" customFormat="false" ht="14.4" hidden="true" customHeight="false" outlineLevel="0" collapsed="false">
      <c r="A18727" s="34" t="n">
        <v>57774309000237</v>
      </c>
      <c r="B18727" s="34" t="s">
        <v>34076</v>
      </c>
      <c r="C18727" s="34" t="s">
        <v>207</v>
      </c>
      <c r="E18727" s="30" t="s">
        <v>34077</v>
      </c>
      <c r="F18727" s="34" t="n">
        <f aca="false">IFERROR(VLOOKUP($A18727,'319'!$B:$H,7,0),0)</f>
        <v>0</v>
      </c>
      <c r="G18727" s="34" t="n">
        <f aca="false">SUMIFS('12.326ana'!$C:$C,'12.326ana'!$M:$M,redes!A18727)</f>
        <v>0</v>
      </c>
    </row>
    <row r="18728" customFormat="false" ht="14.4" hidden="true" customHeight="false" outlineLevel="0" collapsed="false">
      <c r="A18728" s="34" t="n">
        <v>57792259000130</v>
      </c>
      <c r="B18728" s="34" t="s">
        <v>34078</v>
      </c>
      <c r="C18728" s="34" t="s">
        <v>117</v>
      </c>
      <c r="E18728" s="30" t="s">
        <v>34079</v>
      </c>
      <c r="F18728" s="34" t="n">
        <f aca="false">IFERROR(VLOOKUP($A18728,'319'!$B:$H,7,0),0)</f>
        <v>0</v>
      </c>
      <c r="G18728" s="34" t="n">
        <f aca="false">SUMIFS('12.326ana'!$C:$C,'12.326ana'!$M:$M,redes!A18728)</f>
        <v>0</v>
      </c>
    </row>
    <row r="18729" customFormat="false" ht="14.4" hidden="true" customHeight="false" outlineLevel="0" collapsed="false">
      <c r="A18729" s="34" t="n">
        <v>57862460000146</v>
      </c>
      <c r="B18729" s="34" t="s">
        <v>34080</v>
      </c>
      <c r="C18729" s="34" t="s">
        <v>107</v>
      </c>
      <c r="E18729" s="30" t="s">
        <v>31271</v>
      </c>
      <c r="F18729" s="34" t="n">
        <f aca="false">IFERROR(VLOOKUP($A18729,'319'!$B:$H,7,0),0)</f>
        <v>0</v>
      </c>
      <c r="G18729" s="34" t="n">
        <f aca="false">SUMIFS('12.326ana'!$C:$C,'12.326ana'!$M:$M,redes!A18729)</f>
        <v>0</v>
      </c>
    </row>
    <row r="18730" customFormat="false" ht="14.4" hidden="true" customHeight="false" outlineLevel="0" collapsed="false">
      <c r="A18730" s="34" t="n">
        <v>57888959000122</v>
      </c>
      <c r="B18730" s="34" t="s">
        <v>34081</v>
      </c>
      <c r="C18730" s="34" t="s">
        <v>77</v>
      </c>
      <c r="E18730" s="30" t="s">
        <v>34082</v>
      </c>
      <c r="F18730" s="34" t="n">
        <f aca="false">IFERROR(VLOOKUP($A18730,'319'!$B:$H,7,0),0)</f>
        <v>0</v>
      </c>
      <c r="G18730" s="34" t="n">
        <f aca="false">SUMIFS('12.326ana'!$C:$C,'12.326ana'!$M:$M,redes!A18730)</f>
        <v>0</v>
      </c>
    </row>
    <row r="18731" customFormat="false" ht="14.4" hidden="true" customHeight="false" outlineLevel="0" collapsed="false">
      <c r="A18731" s="34" t="n">
        <v>57939598000104</v>
      </c>
      <c r="B18731" s="34" t="s">
        <v>34083</v>
      </c>
      <c r="C18731" s="34" t="s">
        <v>77</v>
      </c>
      <c r="E18731" s="30" t="s">
        <v>34084</v>
      </c>
      <c r="F18731" s="34" t="n">
        <f aca="false">IFERROR(VLOOKUP($A18731,'319'!$B:$H,7,0),0)</f>
        <v>0</v>
      </c>
      <c r="G18731" s="34" t="n">
        <f aca="false">SUMIFS('12.326ana'!$C:$C,'12.326ana'!$M:$M,redes!A18731)</f>
        <v>0</v>
      </c>
    </row>
    <row r="18732" customFormat="false" ht="14.4" hidden="true" customHeight="false" outlineLevel="0" collapsed="false">
      <c r="A18732" s="34" t="n">
        <v>57998440000105</v>
      </c>
      <c r="B18732" s="34" t="s">
        <v>34085</v>
      </c>
      <c r="C18732" s="34" t="s">
        <v>139</v>
      </c>
      <c r="E18732" s="30" t="s">
        <v>34085</v>
      </c>
      <c r="F18732" s="34" t="n">
        <f aca="false">IFERROR(VLOOKUP($A18732,'319'!$B:$H,7,0),0)</f>
        <v>0</v>
      </c>
      <c r="G18732" s="34" t="n">
        <f aca="false">SUMIFS('12.326ana'!$C:$C,'12.326ana'!$M:$M,redes!A18732)</f>
        <v>0</v>
      </c>
    </row>
    <row r="18733" customFormat="false" ht="14.4" hidden="true" customHeight="false" outlineLevel="0" collapsed="false">
      <c r="A18733" s="34" t="n">
        <v>58000714000180</v>
      </c>
      <c r="B18733" s="34" t="s">
        <v>34086</v>
      </c>
      <c r="C18733" s="34" t="s">
        <v>77</v>
      </c>
      <c r="E18733" s="30" t="s">
        <v>34087</v>
      </c>
      <c r="F18733" s="34" t="n">
        <f aca="false">IFERROR(VLOOKUP($A18733,'319'!$B:$H,7,0),0)</f>
        <v>0</v>
      </c>
      <c r="G18733" s="34" t="n">
        <f aca="false">SUMIFS('12.326ana'!$C:$C,'12.326ana'!$M:$M,redes!A18733)</f>
        <v>0</v>
      </c>
    </row>
    <row r="18734" customFormat="false" ht="14.4" hidden="true" customHeight="false" outlineLevel="0" collapsed="false">
      <c r="A18734" s="34" t="n">
        <v>58021421000189</v>
      </c>
      <c r="B18734" s="34" t="s">
        <v>34088</v>
      </c>
      <c r="C18734" s="34" t="s">
        <v>77</v>
      </c>
      <c r="E18734" s="30" t="s">
        <v>34089</v>
      </c>
      <c r="F18734" s="34" t="n">
        <f aca="false">IFERROR(VLOOKUP($A18734,'319'!$B:$H,7,0),0)</f>
        <v>0</v>
      </c>
      <c r="G18734" s="34" t="n">
        <f aca="false">SUMIFS('12.326ana'!$C:$C,'12.326ana'!$M:$M,redes!A18734)</f>
        <v>0</v>
      </c>
    </row>
    <row r="18735" customFormat="false" ht="14.4" hidden="true" customHeight="false" outlineLevel="0" collapsed="false">
      <c r="A18735" s="34" t="n">
        <v>58035473000104</v>
      </c>
      <c r="B18735" s="34" t="s">
        <v>34090</v>
      </c>
      <c r="C18735" s="34" t="s">
        <v>1272</v>
      </c>
      <c r="E18735" s="30" t="s">
        <v>34091</v>
      </c>
      <c r="F18735" s="34" t="n">
        <f aca="false">IFERROR(VLOOKUP($A18735,'319'!$B:$H,7,0),0)</f>
        <v>0</v>
      </c>
      <c r="G18735" s="34" t="n">
        <f aca="false">SUMIFS('12.326ana'!$C:$C,'12.326ana'!$M:$M,redes!A18735)</f>
        <v>0</v>
      </c>
    </row>
    <row r="18736" customFormat="false" ht="14.4" hidden="true" customHeight="false" outlineLevel="0" collapsed="false">
      <c r="A18736" s="34" t="n">
        <v>58037091000110</v>
      </c>
      <c r="B18736" s="34" t="s">
        <v>34092</v>
      </c>
      <c r="C18736" s="34" t="s">
        <v>77</v>
      </c>
      <c r="E18736" s="30" t="s">
        <v>34093</v>
      </c>
      <c r="F18736" s="34" t="n">
        <f aca="false">IFERROR(VLOOKUP($A18736,'319'!$B:$H,7,0),0)</f>
        <v>0</v>
      </c>
      <c r="G18736" s="34" t="n">
        <f aca="false">SUMIFS('12.326ana'!$C:$C,'12.326ana'!$M:$M,redes!A18736)</f>
        <v>0</v>
      </c>
    </row>
    <row r="18737" customFormat="false" ht="14.4" hidden="true" customHeight="false" outlineLevel="0" collapsed="false">
      <c r="A18737" s="34" t="n">
        <v>58076757000149</v>
      </c>
      <c r="B18737" s="34" t="s">
        <v>34094</v>
      </c>
      <c r="C18737" s="34" t="s">
        <v>594</v>
      </c>
      <c r="E18737" s="30" t="s">
        <v>34095</v>
      </c>
      <c r="F18737" s="34" t="n">
        <f aca="false">IFERROR(VLOOKUP($A18737,'319'!$B:$H,7,0),0)</f>
        <v>0</v>
      </c>
      <c r="G18737" s="34" t="n">
        <f aca="false">SUMIFS('12.326ana'!$C:$C,'12.326ana'!$M:$M,redes!A18737)</f>
        <v>0</v>
      </c>
    </row>
    <row r="18738" customFormat="false" ht="14.4" hidden="true" customHeight="false" outlineLevel="0" collapsed="false">
      <c r="A18738" s="34" t="n">
        <v>58131295000115</v>
      </c>
      <c r="B18738" s="34" t="s">
        <v>34096</v>
      </c>
      <c r="C18738" s="34" t="s">
        <v>1341</v>
      </c>
      <c r="E18738" s="30" t="s">
        <v>34097</v>
      </c>
      <c r="F18738" s="34" t="n">
        <f aca="false">IFERROR(VLOOKUP($A18738,'319'!$B:$H,7,0),0)</f>
        <v>0</v>
      </c>
      <c r="G18738" s="34" t="n">
        <f aca="false">SUMIFS('12.326ana'!$C:$C,'12.326ana'!$M:$M,redes!A18738)</f>
        <v>0</v>
      </c>
    </row>
    <row r="18739" customFormat="false" ht="14.4" hidden="true" customHeight="false" outlineLevel="0" collapsed="false">
      <c r="A18739" s="34" t="n">
        <v>58180170000185</v>
      </c>
      <c r="B18739" s="34" t="s">
        <v>1372</v>
      </c>
      <c r="C18739" s="34" t="s">
        <v>342</v>
      </c>
      <c r="E18739" s="30" t="s">
        <v>34098</v>
      </c>
      <c r="F18739" s="34" t="n">
        <f aca="false">IFERROR(VLOOKUP($A18739,'319'!$B:$H,7,0),0)</f>
        <v>250.33</v>
      </c>
      <c r="G18739" s="34" t="n">
        <f aca="false">SUMIFS('12.326ana'!$C:$C,'12.326ana'!$M:$M,redes!A18739)</f>
        <v>0</v>
      </c>
    </row>
    <row r="18740" customFormat="false" ht="14.4" hidden="true" customHeight="false" outlineLevel="0" collapsed="false">
      <c r="A18740" s="34" t="n">
        <v>58207219000146</v>
      </c>
      <c r="B18740" s="34" t="s">
        <v>34099</v>
      </c>
      <c r="C18740" s="34" t="s">
        <v>77</v>
      </c>
      <c r="E18740" s="30" t="s">
        <v>34100</v>
      </c>
      <c r="F18740" s="34" t="n">
        <f aca="false">IFERROR(VLOOKUP($A18740,'319'!$B:$H,7,0),0)</f>
        <v>0</v>
      </c>
      <c r="G18740" s="34" t="n">
        <f aca="false">SUMIFS('12.326ana'!$C:$C,'12.326ana'!$M:$M,redes!A18740)</f>
        <v>0</v>
      </c>
    </row>
    <row r="18741" customFormat="false" ht="14.4" hidden="true" customHeight="false" outlineLevel="0" collapsed="false">
      <c r="A18741" s="34" t="n">
        <v>58238424000179</v>
      </c>
      <c r="B18741" s="34" t="s">
        <v>34101</v>
      </c>
      <c r="C18741" s="34" t="s">
        <v>631</v>
      </c>
      <c r="E18741" s="30" t="s">
        <v>12450</v>
      </c>
      <c r="F18741" s="34" t="n">
        <f aca="false">IFERROR(VLOOKUP($A18741,'319'!$B:$H,7,0),0)</f>
        <v>0</v>
      </c>
      <c r="G18741" s="34" t="n">
        <f aca="false">SUMIFS('12.326ana'!$C:$C,'12.326ana'!$M:$M,redes!A18741)</f>
        <v>0</v>
      </c>
    </row>
    <row r="18742" customFormat="false" ht="14.4" hidden="true" customHeight="false" outlineLevel="0" collapsed="false">
      <c r="A18742" s="34" t="n">
        <v>58251848000173</v>
      </c>
      <c r="B18742" s="34" t="s">
        <v>13359</v>
      </c>
      <c r="C18742" s="34" t="s">
        <v>77</v>
      </c>
      <c r="E18742" s="30" t="s">
        <v>13359</v>
      </c>
      <c r="F18742" s="34" t="n">
        <f aca="false">IFERROR(VLOOKUP($A18742,'319'!$B:$H,7,0),0)</f>
        <v>0</v>
      </c>
      <c r="G18742" s="34" t="n">
        <f aca="false">SUMIFS('12.326ana'!$C:$C,'12.326ana'!$M:$M,redes!A18742)</f>
        <v>0</v>
      </c>
    </row>
    <row r="18743" customFormat="false" ht="14.4" hidden="true" customHeight="false" outlineLevel="0" collapsed="false">
      <c r="A18743" s="34" t="n">
        <v>58264802000199</v>
      </c>
      <c r="B18743" s="34" t="s">
        <v>34102</v>
      </c>
      <c r="C18743" s="34" t="s">
        <v>77</v>
      </c>
      <c r="E18743" s="30" t="s">
        <v>34103</v>
      </c>
      <c r="F18743" s="34" t="n">
        <f aca="false">IFERROR(VLOOKUP($A18743,'319'!$B:$H,7,0),0)</f>
        <v>0</v>
      </c>
      <c r="G18743" s="34" t="n">
        <f aca="false">SUMIFS('12.326ana'!$C:$C,'12.326ana'!$M:$M,redes!A18743)</f>
        <v>0</v>
      </c>
    </row>
    <row r="18744" customFormat="false" ht="14.4" hidden="true" customHeight="false" outlineLevel="0" collapsed="false">
      <c r="A18744" s="34" t="n">
        <v>58275443000175</v>
      </c>
      <c r="B18744" s="34" t="s">
        <v>34104</v>
      </c>
      <c r="C18744" s="34" t="s">
        <v>77</v>
      </c>
      <c r="E18744" s="30" t="s">
        <v>34105</v>
      </c>
      <c r="F18744" s="34" t="n">
        <f aca="false">IFERROR(VLOOKUP($A18744,'319'!$B:$H,7,0),0)</f>
        <v>0</v>
      </c>
      <c r="G18744" s="34" t="n">
        <f aca="false">SUMIFS('12.326ana'!$C:$C,'12.326ana'!$M:$M,redes!A18744)</f>
        <v>0</v>
      </c>
    </row>
    <row r="18745" customFormat="false" ht="14.4" hidden="true" customHeight="false" outlineLevel="0" collapsed="false">
      <c r="A18745" s="34" t="n">
        <v>58353836000150</v>
      </c>
      <c r="B18745" s="34" t="s">
        <v>34106</v>
      </c>
      <c r="C18745" s="34" t="s">
        <v>77</v>
      </c>
      <c r="E18745" s="30" t="s">
        <v>34107</v>
      </c>
      <c r="F18745" s="34" t="n">
        <f aca="false">IFERROR(VLOOKUP($A18745,'319'!$B:$H,7,0),0)</f>
        <v>0</v>
      </c>
      <c r="G18745" s="34" t="n">
        <f aca="false">SUMIFS('12.326ana'!$C:$C,'12.326ana'!$M:$M,redes!A18745)</f>
        <v>0</v>
      </c>
    </row>
    <row r="18746" customFormat="false" ht="14.4" hidden="true" customHeight="false" outlineLevel="0" collapsed="false">
      <c r="A18746" s="34" t="n">
        <v>58430774000132</v>
      </c>
      <c r="B18746" s="34" t="s">
        <v>34108</v>
      </c>
      <c r="C18746" s="34" t="s">
        <v>77</v>
      </c>
      <c r="E18746" s="30" t="s">
        <v>34108</v>
      </c>
      <c r="F18746" s="34" t="n">
        <f aca="false">IFERROR(VLOOKUP($A18746,'319'!$B:$H,7,0),0)</f>
        <v>0</v>
      </c>
      <c r="G18746" s="34" t="n">
        <f aca="false">SUMIFS('12.326ana'!$C:$C,'12.326ana'!$M:$M,redes!A18746)</f>
        <v>0</v>
      </c>
    </row>
    <row r="18747" customFormat="false" ht="14.4" hidden="true" customHeight="false" outlineLevel="0" collapsed="false">
      <c r="A18747" s="34" t="n">
        <v>58438515000158</v>
      </c>
      <c r="B18747" s="34" t="s">
        <v>34109</v>
      </c>
      <c r="C18747" s="34" t="s">
        <v>631</v>
      </c>
      <c r="E18747" s="30" t="s">
        <v>34110</v>
      </c>
      <c r="F18747" s="34" t="n">
        <f aca="false">IFERROR(VLOOKUP($A18747,'319'!$B:$H,7,0),0)</f>
        <v>0</v>
      </c>
      <c r="G18747" s="34" t="n">
        <f aca="false">SUMIFS('12.326ana'!$C:$C,'12.326ana'!$M:$M,redes!A18747)</f>
        <v>0</v>
      </c>
    </row>
    <row r="18748" customFormat="false" ht="14.4" hidden="true" customHeight="false" outlineLevel="0" collapsed="false">
      <c r="A18748" s="34" t="n">
        <v>58446069000123</v>
      </c>
      <c r="B18748" s="34" t="s">
        <v>34111</v>
      </c>
      <c r="C18748" s="34" t="s">
        <v>103</v>
      </c>
      <c r="E18748" s="30" t="s">
        <v>31143</v>
      </c>
      <c r="F18748" s="34" t="n">
        <f aca="false">IFERROR(VLOOKUP($A18748,'319'!$B:$H,7,0),0)</f>
        <v>-532.76</v>
      </c>
      <c r="G18748" s="34" t="n">
        <f aca="false">SUMIFS('12.326ana'!$C:$C,'12.326ana'!$M:$M,redes!A18748)</f>
        <v>0</v>
      </c>
    </row>
    <row r="18749" customFormat="false" ht="14.4" hidden="true" customHeight="false" outlineLevel="0" collapsed="false">
      <c r="A18749" s="34" t="n">
        <v>58492033000186</v>
      </c>
      <c r="B18749" s="34" t="s">
        <v>34112</v>
      </c>
      <c r="C18749" s="34" t="s">
        <v>89</v>
      </c>
      <c r="E18749" s="30" t="s">
        <v>30863</v>
      </c>
      <c r="F18749" s="34" t="n">
        <f aca="false">IFERROR(VLOOKUP($A18749,'319'!$B:$H,7,0),0)</f>
        <v>0</v>
      </c>
      <c r="G18749" s="34" t="n">
        <f aca="false">SUMIFS('12.326ana'!$C:$C,'12.326ana'!$M:$M,redes!A18749)</f>
        <v>0</v>
      </c>
    </row>
    <row r="18750" customFormat="false" ht="14.4" hidden="true" customHeight="false" outlineLevel="0" collapsed="false">
      <c r="A18750" s="34" t="n">
        <v>58506155000699</v>
      </c>
      <c r="B18750" s="34" t="s">
        <v>34113</v>
      </c>
      <c r="C18750" s="34" t="s">
        <v>77</v>
      </c>
      <c r="E18750" s="30" t="s">
        <v>34114</v>
      </c>
      <c r="F18750" s="34" t="n">
        <f aca="false">IFERROR(VLOOKUP($A18750,'319'!$B:$H,7,0),0)</f>
        <v>0</v>
      </c>
      <c r="G18750" s="34" t="n">
        <f aca="false">SUMIFS('12.326ana'!$C:$C,'12.326ana'!$M:$M,redes!A18750)</f>
        <v>0</v>
      </c>
    </row>
    <row r="18751" customFormat="false" ht="14.4" hidden="true" customHeight="false" outlineLevel="0" collapsed="false">
      <c r="A18751" s="34" t="n">
        <v>58520257000154</v>
      </c>
      <c r="B18751" s="34" t="s">
        <v>34115</v>
      </c>
      <c r="C18751" s="34" t="s">
        <v>842</v>
      </c>
      <c r="E18751" s="30" t="s">
        <v>34116</v>
      </c>
      <c r="F18751" s="34" t="n">
        <f aca="false">IFERROR(VLOOKUP($A18751,'319'!$B:$H,7,0),0)</f>
        <v>0</v>
      </c>
      <c r="G18751" s="34" t="n">
        <f aca="false">SUMIFS('12.326ana'!$C:$C,'12.326ana'!$M:$M,redes!A18751)</f>
        <v>0</v>
      </c>
    </row>
    <row r="18752" customFormat="false" ht="14.4" hidden="true" customHeight="false" outlineLevel="0" collapsed="false">
      <c r="A18752" s="34" t="n">
        <v>58532138000111</v>
      </c>
      <c r="B18752" s="34" t="s">
        <v>34117</v>
      </c>
      <c r="C18752" s="34" t="s">
        <v>89</v>
      </c>
      <c r="E18752" s="30" t="s">
        <v>32415</v>
      </c>
      <c r="F18752" s="34" t="n">
        <f aca="false">IFERROR(VLOOKUP($A18752,'319'!$B:$H,7,0),0)</f>
        <v>0</v>
      </c>
      <c r="G18752" s="34" t="n">
        <f aca="false">SUMIFS('12.326ana'!$C:$C,'12.326ana'!$M:$M,redes!A18752)</f>
        <v>0</v>
      </c>
    </row>
    <row r="18753" customFormat="false" ht="14.4" hidden="true" customHeight="false" outlineLevel="0" collapsed="false">
      <c r="A18753" s="34" t="n">
        <v>58607340000165</v>
      </c>
      <c r="B18753" s="34" t="s">
        <v>34118</v>
      </c>
      <c r="C18753" s="34" t="s">
        <v>77</v>
      </c>
      <c r="E18753" s="30" t="s">
        <v>5709</v>
      </c>
      <c r="F18753" s="34" t="n">
        <f aca="false">IFERROR(VLOOKUP($A18753,'319'!$B:$H,7,0),0)</f>
        <v>0</v>
      </c>
      <c r="G18753" s="34" t="n">
        <f aca="false">SUMIFS('12.326ana'!$C:$C,'12.326ana'!$M:$M,redes!A18753)</f>
        <v>0</v>
      </c>
    </row>
    <row r="18754" customFormat="false" ht="14.4" hidden="true" customHeight="false" outlineLevel="0" collapsed="false">
      <c r="A18754" s="34" t="n">
        <v>58617386000165</v>
      </c>
      <c r="B18754" s="34" t="s">
        <v>34119</v>
      </c>
      <c r="C18754" s="34" t="s">
        <v>979</v>
      </c>
      <c r="E18754" s="30" t="s">
        <v>34119</v>
      </c>
      <c r="F18754" s="34" t="n">
        <f aca="false">IFERROR(VLOOKUP($A18754,'319'!$B:$H,7,0),0)</f>
        <v>0</v>
      </c>
      <c r="G18754" s="34" t="n">
        <f aca="false">SUMIFS('12.326ana'!$C:$C,'12.326ana'!$M:$M,redes!A18754)</f>
        <v>0</v>
      </c>
    </row>
    <row r="18755" customFormat="false" ht="14.4" hidden="true" customHeight="false" outlineLevel="0" collapsed="false">
      <c r="A18755" s="34" t="n">
        <v>58671886000185</v>
      </c>
      <c r="B18755" s="34" t="s">
        <v>34120</v>
      </c>
      <c r="C18755" s="34" t="s">
        <v>77</v>
      </c>
      <c r="E18755" s="30" t="s">
        <v>34120</v>
      </c>
      <c r="F18755" s="34" t="n">
        <f aca="false">IFERROR(VLOOKUP($A18755,'319'!$B:$H,7,0),0)</f>
        <v>0</v>
      </c>
      <c r="G18755" s="34" t="n">
        <f aca="false">SUMIFS('12.326ana'!$C:$C,'12.326ana'!$M:$M,redes!A18755)</f>
        <v>0</v>
      </c>
    </row>
    <row r="18756" customFormat="false" ht="14.4" hidden="true" customHeight="false" outlineLevel="0" collapsed="false">
      <c r="A18756" s="34" t="n">
        <v>58673844000183</v>
      </c>
      <c r="B18756" s="34" t="s">
        <v>34121</v>
      </c>
      <c r="C18756" s="34" t="s">
        <v>1272</v>
      </c>
      <c r="E18756" s="30" t="s">
        <v>31228</v>
      </c>
      <c r="F18756" s="34" t="n">
        <f aca="false">IFERROR(VLOOKUP($A18756,'319'!$B:$H,7,0),0)</f>
        <v>0</v>
      </c>
      <c r="G18756" s="34" t="n">
        <f aca="false">SUMIFS('12.326ana'!$C:$C,'12.326ana'!$M:$M,redes!A18756)</f>
        <v>0</v>
      </c>
    </row>
    <row r="18757" customFormat="false" ht="14.4" hidden="true" customHeight="false" outlineLevel="0" collapsed="false">
      <c r="A18757" s="34" t="n">
        <v>58687793000149</v>
      </c>
      <c r="B18757" s="34" t="s">
        <v>34122</v>
      </c>
      <c r="C18757" s="34" t="s">
        <v>737</v>
      </c>
      <c r="E18757" s="30" t="s">
        <v>34123</v>
      </c>
      <c r="F18757" s="34" t="n">
        <f aca="false">IFERROR(VLOOKUP($A18757,'319'!$B:$H,7,0),0)</f>
        <v>0</v>
      </c>
      <c r="G18757" s="34" t="n">
        <f aca="false">SUMIFS('12.326ana'!$C:$C,'12.326ana'!$M:$M,redes!A18757)</f>
        <v>0</v>
      </c>
    </row>
    <row r="18758" customFormat="false" ht="14.4" hidden="true" customHeight="false" outlineLevel="0" collapsed="false">
      <c r="A18758" s="34" t="n">
        <v>58690667000143</v>
      </c>
      <c r="B18758" s="34" t="s">
        <v>34124</v>
      </c>
      <c r="C18758" s="34" t="s">
        <v>463</v>
      </c>
      <c r="E18758" s="30" t="s">
        <v>34125</v>
      </c>
      <c r="F18758" s="34" t="n">
        <f aca="false">IFERROR(VLOOKUP($A18758,'319'!$B:$H,7,0),0)</f>
        <v>65.52</v>
      </c>
      <c r="G18758" s="34" t="n">
        <f aca="false">SUMIFS('12.326ana'!$C:$C,'12.326ana'!$M:$M,redes!A18758)</f>
        <v>0</v>
      </c>
    </row>
    <row r="18759" customFormat="false" ht="14.4" hidden="true" customHeight="false" outlineLevel="0" collapsed="false">
      <c r="A18759" s="34" t="n">
        <v>58714179000129</v>
      </c>
      <c r="B18759" s="34" t="s">
        <v>34126</v>
      </c>
      <c r="C18759" s="34" t="s">
        <v>463</v>
      </c>
      <c r="E18759" s="30" t="s">
        <v>34126</v>
      </c>
      <c r="F18759" s="34" t="n">
        <f aca="false">IFERROR(VLOOKUP($A18759,'319'!$B:$H,7,0),0)</f>
        <v>0</v>
      </c>
      <c r="G18759" s="34" t="n">
        <f aca="false">SUMIFS('12.326ana'!$C:$C,'12.326ana'!$M:$M,redes!A18759)</f>
        <v>0</v>
      </c>
    </row>
    <row r="18760" customFormat="false" ht="14.4" hidden="true" customHeight="false" outlineLevel="0" collapsed="false">
      <c r="A18760" s="34" t="n">
        <v>58731841000159</v>
      </c>
      <c r="B18760" s="34" t="s">
        <v>34127</v>
      </c>
      <c r="C18760" s="34" t="s">
        <v>1341</v>
      </c>
      <c r="E18760" s="30" t="s">
        <v>34128</v>
      </c>
      <c r="F18760" s="34" t="n">
        <f aca="false">IFERROR(VLOOKUP($A18760,'319'!$B:$H,7,0),0)</f>
        <v>0</v>
      </c>
      <c r="G18760" s="34" t="n">
        <f aca="false">SUMIFS('12.326ana'!$C:$C,'12.326ana'!$M:$M,redes!A18760)</f>
        <v>0</v>
      </c>
    </row>
    <row r="18761" customFormat="false" ht="14.4" hidden="true" customHeight="false" outlineLevel="0" collapsed="false">
      <c r="A18761" s="34" t="n">
        <v>58837518000164</v>
      </c>
      <c r="B18761" s="34" t="s">
        <v>34129</v>
      </c>
      <c r="C18761" s="34" t="s">
        <v>192</v>
      </c>
      <c r="E18761" s="30" t="s">
        <v>34130</v>
      </c>
      <c r="F18761" s="34" t="n">
        <f aca="false">IFERROR(VLOOKUP($A18761,'319'!$B:$H,7,0),0)</f>
        <v>0</v>
      </c>
      <c r="G18761" s="34" t="n">
        <f aca="false">SUMIFS('12.326ana'!$C:$C,'12.326ana'!$M:$M,redes!A18761)</f>
        <v>0</v>
      </c>
    </row>
    <row r="18762" customFormat="false" ht="14.4" hidden="true" customHeight="false" outlineLevel="0" collapsed="false">
      <c r="A18762" s="34" t="n">
        <v>58879871000107</v>
      </c>
      <c r="B18762" s="34" t="s">
        <v>34131</v>
      </c>
      <c r="C18762" s="34" t="s">
        <v>478</v>
      </c>
      <c r="E18762" s="30" t="s">
        <v>34132</v>
      </c>
      <c r="F18762" s="34" t="n">
        <f aca="false">IFERROR(VLOOKUP($A18762,'319'!$B:$H,7,0),0)</f>
        <v>0</v>
      </c>
      <c r="G18762" s="34" t="n">
        <f aca="false">SUMIFS('12.326ana'!$C:$C,'12.326ana'!$M:$M,redes!A18762)</f>
        <v>0</v>
      </c>
    </row>
    <row r="18763" customFormat="false" ht="14.4" hidden="true" customHeight="false" outlineLevel="0" collapsed="false">
      <c r="A18763" s="34" t="n">
        <v>58927033000161</v>
      </c>
      <c r="B18763" s="34" t="s">
        <v>34133</v>
      </c>
      <c r="C18763" s="34" t="s">
        <v>107</v>
      </c>
      <c r="E18763" s="30" t="s">
        <v>34134</v>
      </c>
      <c r="F18763" s="34" t="n">
        <f aca="false">IFERROR(VLOOKUP($A18763,'319'!$B:$H,7,0),0)</f>
        <v>0</v>
      </c>
      <c r="G18763" s="34" t="n">
        <f aca="false">SUMIFS('12.326ana'!$C:$C,'12.326ana'!$M:$M,redes!A18763)</f>
        <v>0</v>
      </c>
    </row>
    <row r="18764" customFormat="false" ht="14.4" hidden="true" customHeight="false" outlineLevel="0" collapsed="false">
      <c r="A18764" s="34" t="n">
        <v>58989925000197</v>
      </c>
      <c r="B18764" s="34" t="s">
        <v>34135</v>
      </c>
      <c r="C18764" s="34" t="s">
        <v>107</v>
      </c>
      <c r="E18764" s="30" t="s">
        <v>34136</v>
      </c>
      <c r="F18764" s="34" t="n">
        <f aca="false">IFERROR(VLOOKUP($A18764,'319'!$B:$H,7,0),0)</f>
        <v>0</v>
      </c>
      <c r="G18764" s="34" t="n">
        <f aca="false">SUMIFS('12.326ana'!$C:$C,'12.326ana'!$M:$M,redes!A18764)</f>
        <v>0</v>
      </c>
    </row>
    <row r="18765" customFormat="false" ht="14.4" hidden="true" customHeight="false" outlineLevel="0" collapsed="false">
      <c r="A18765" s="34" t="n">
        <v>59032689000189</v>
      </c>
      <c r="B18765" s="34" t="s">
        <v>34137</v>
      </c>
      <c r="C18765" s="34" t="s">
        <v>77</v>
      </c>
      <c r="E18765" s="30" t="s">
        <v>34138</v>
      </c>
      <c r="F18765" s="34" t="n">
        <f aca="false">IFERROR(VLOOKUP($A18765,'319'!$B:$H,7,0),0)</f>
        <v>0</v>
      </c>
      <c r="G18765" s="34" t="n">
        <f aca="false">SUMIFS('12.326ana'!$C:$C,'12.326ana'!$M:$M,redes!A18765)</f>
        <v>0</v>
      </c>
    </row>
    <row r="18766" customFormat="false" ht="14.4" hidden="true" customHeight="false" outlineLevel="0" collapsed="false">
      <c r="A18766" s="34" t="n">
        <v>59036106000198</v>
      </c>
      <c r="B18766" s="34" t="s">
        <v>34139</v>
      </c>
      <c r="C18766" s="34" t="s">
        <v>107</v>
      </c>
      <c r="E18766" s="30" t="s">
        <v>34140</v>
      </c>
      <c r="F18766" s="34" t="n">
        <f aca="false">IFERROR(VLOOKUP($A18766,'319'!$B:$H,7,0),0)</f>
        <v>0</v>
      </c>
      <c r="G18766" s="34" t="n">
        <f aca="false">SUMIFS('12.326ana'!$C:$C,'12.326ana'!$M:$M,redes!A18766)</f>
        <v>0</v>
      </c>
    </row>
    <row r="18767" customFormat="false" ht="14.4" hidden="true" customHeight="false" outlineLevel="0" collapsed="false">
      <c r="A18767" s="34" t="n">
        <v>59039731000193</v>
      </c>
      <c r="B18767" s="34" t="s">
        <v>34141</v>
      </c>
      <c r="C18767" s="34" t="s">
        <v>192</v>
      </c>
      <c r="E18767" s="30" t="s">
        <v>34142</v>
      </c>
      <c r="F18767" s="34" t="n">
        <f aca="false">IFERROR(VLOOKUP($A18767,'319'!$B:$H,7,0),0)</f>
        <v>0</v>
      </c>
      <c r="G18767" s="34" t="n">
        <f aca="false">SUMIFS('12.326ana'!$C:$C,'12.326ana'!$M:$M,redes!A18767)</f>
        <v>0</v>
      </c>
    </row>
    <row r="18768" customFormat="false" ht="14.4" hidden="true" customHeight="false" outlineLevel="0" collapsed="false">
      <c r="A18768" s="34" t="n">
        <v>59048933000100</v>
      </c>
      <c r="B18768" s="34" t="s">
        <v>34143</v>
      </c>
      <c r="C18768" s="34" t="s">
        <v>464</v>
      </c>
      <c r="E18768" s="30" t="s">
        <v>15156</v>
      </c>
      <c r="F18768" s="34" t="n">
        <f aca="false">IFERROR(VLOOKUP($A18768,'319'!$B:$H,7,0),0)</f>
        <v>0</v>
      </c>
      <c r="G18768" s="34" t="n">
        <f aca="false">SUMIFS('12.326ana'!$C:$C,'12.326ana'!$M:$M,redes!A18768)</f>
        <v>0</v>
      </c>
    </row>
    <row r="18769" customFormat="false" ht="14.4" hidden="true" customHeight="false" outlineLevel="0" collapsed="false">
      <c r="A18769" s="34" t="n">
        <v>59055916000191</v>
      </c>
      <c r="B18769" s="34" t="s">
        <v>34144</v>
      </c>
      <c r="C18769" s="34" t="s">
        <v>77</v>
      </c>
      <c r="E18769" s="30" t="s">
        <v>23986</v>
      </c>
      <c r="F18769" s="34" t="n">
        <f aca="false">IFERROR(VLOOKUP($A18769,'319'!$B:$H,7,0),0)</f>
        <v>0</v>
      </c>
      <c r="G18769" s="34" t="n">
        <f aca="false">SUMIFS('12.326ana'!$C:$C,'12.326ana'!$M:$M,redes!A18769)</f>
        <v>0</v>
      </c>
    </row>
    <row r="18770" customFormat="false" ht="14.4" hidden="true" customHeight="false" outlineLevel="0" collapsed="false">
      <c r="A18770" s="34" t="n">
        <v>59064963000100</v>
      </c>
      <c r="B18770" s="34" t="s">
        <v>34145</v>
      </c>
      <c r="C18770" s="34" t="s">
        <v>89</v>
      </c>
      <c r="E18770" s="30" t="s">
        <v>34146</v>
      </c>
      <c r="F18770" s="34" t="n">
        <f aca="false">IFERROR(VLOOKUP($A18770,'319'!$B:$H,7,0),0)</f>
        <v>0</v>
      </c>
      <c r="G18770" s="34" t="n">
        <f aca="false">SUMIFS('12.326ana'!$C:$C,'12.326ana'!$M:$M,redes!A18770)</f>
        <v>0</v>
      </c>
    </row>
    <row r="18771" customFormat="false" ht="14.4" hidden="true" customHeight="false" outlineLevel="0" collapsed="false">
      <c r="A18771" s="34" t="n">
        <v>59121591000106</v>
      </c>
      <c r="B18771" s="34" t="s">
        <v>34147</v>
      </c>
      <c r="C18771" s="34" t="s">
        <v>478</v>
      </c>
      <c r="E18771" s="30" t="s">
        <v>21117</v>
      </c>
      <c r="F18771" s="34" t="n">
        <f aca="false">IFERROR(VLOOKUP($A18771,'319'!$B:$H,7,0),0)</f>
        <v>0</v>
      </c>
      <c r="G18771" s="34" t="n">
        <f aca="false">SUMIFS('12.326ana'!$C:$C,'12.326ana'!$M:$M,redes!A18771)</f>
        <v>0</v>
      </c>
    </row>
    <row r="18772" customFormat="false" ht="14.4" hidden="true" customHeight="false" outlineLevel="0" collapsed="false">
      <c r="A18772" s="34" t="n">
        <v>59130964000105</v>
      </c>
      <c r="B18772" s="34" t="s">
        <v>34148</v>
      </c>
      <c r="C18772" s="34" t="s">
        <v>77</v>
      </c>
      <c r="E18772" s="30" t="s">
        <v>34149</v>
      </c>
      <c r="F18772" s="34" t="n">
        <f aca="false">IFERROR(VLOOKUP($A18772,'319'!$B:$H,7,0),0)</f>
        <v>0</v>
      </c>
      <c r="G18772" s="34" t="n">
        <f aca="false">SUMIFS('12.326ana'!$C:$C,'12.326ana'!$M:$M,redes!A18772)</f>
        <v>0</v>
      </c>
    </row>
    <row r="18773" customFormat="false" ht="14.4" hidden="true" customHeight="false" outlineLevel="0" collapsed="false">
      <c r="A18773" s="34" t="n">
        <v>59158300000146</v>
      </c>
      <c r="B18773" s="34" t="s">
        <v>34150</v>
      </c>
      <c r="C18773" s="34" t="s">
        <v>77</v>
      </c>
      <c r="E18773" s="30" t="s">
        <v>34105</v>
      </c>
      <c r="F18773" s="34" t="n">
        <f aca="false">IFERROR(VLOOKUP($A18773,'319'!$B:$H,7,0),0)</f>
        <v>0</v>
      </c>
      <c r="G18773" s="34" t="n">
        <f aca="false">SUMIFS('12.326ana'!$C:$C,'12.326ana'!$M:$M,redes!A18773)</f>
        <v>0</v>
      </c>
    </row>
    <row r="18774" customFormat="false" ht="14.4" hidden="true" customHeight="false" outlineLevel="0" collapsed="false">
      <c r="A18774" s="34" t="n">
        <v>59206486000161</v>
      </c>
      <c r="B18774" s="34" t="s">
        <v>34151</v>
      </c>
      <c r="C18774" s="34" t="s">
        <v>77</v>
      </c>
      <c r="E18774" s="30" t="s">
        <v>34152</v>
      </c>
      <c r="F18774" s="34" t="n">
        <f aca="false">IFERROR(VLOOKUP($A18774,'319'!$B:$H,7,0),0)</f>
        <v>0</v>
      </c>
      <c r="G18774" s="34" t="n">
        <f aca="false">SUMIFS('12.326ana'!$C:$C,'12.326ana'!$M:$M,redes!A18774)</f>
        <v>0</v>
      </c>
    </row>
    <row r="18775" customFormat="false" ht="14.4" hidden="true" customHeight="false" outlineLevel="0" collapsed="false">
      <c r="A18775" s="34" t="n">
        <v>59273617000123</v>
      </c>
      <c r="B18775" s="34" t="s">
        <v>34153</v>
      </c>
      <c r="C18775" s="34" t="s">
        <v>1341</v>
      </c>
      <c r="E18775" s="30" t="s">
        <v>34154</v>
      </c>
      <c r="F18775" s="34" t="n">
        <f aca="false">IFERROR(VLOOKUP($A18775,'319'!$B:$H,7,0),0)</f>
        <v>0</v>
      </c>
      <c r="G18775" s="34" t="n">
        <f aca="false">SUMIFS('12.326ana'!$C:$C,'12.326ana'!$M:$M,redes!A18775)</f>
        <v>0</v>
      </c>
    </row>
    <row r="18776" customFormat="false" ht="14.4" hidden="true" customHeight="false" outlineLevel="0" collapsed="false">
      <c r="A18776" s="34" t="n">
        <v>59287757000150</v>
      </c>
      <c r="B18776" s="34" t="s">
        <v>34155</v>
      </c>
      <c r="C18776" s="34" t="s">
        <v>77</v>
      </c>
      <c r="E18776" s="30" t="s">
        <v>3831</v>
      </c>
      <c r="F18776" s="34" t="n">
        <f aca="false">IFERROR(VLOOKUP($A18776,'319'!$B:$H,7,0),0)</f>
        <v>0</v>
      </c>
      <c r="G18776" s="34" t="n">
        <f aca="false">SUMIFS('12.326ana'!$C:$C,'12.326ana'!$M:$M,redes!A18776)</f>
        <v>0</v>
      </c>
    </row>
    <row r="18777" customFormat="false" ht="14.4" hidden="true" customHeight="false" outlineLevel="0" collapsed="false">
      <c r="A18777" s="34" t="n">
        <v>59291534023370</v>
      </c>
      <c r="B18777" s="34" t="s">
        <v>34156</v>
      </c>
      <c r="C18777" s="34" t="s">
        <v>77</v>
      </c>
      <c r="E18777" s="30" t="s">
        <v>34157</v>
      </c>
      <c r="F18777" s="34" t="n">
        <f aca="false">IFERROR(VLOOKUP($A18777,'319'!$B:$H,7,0),0)</f>
        <v>0</v>
      </c>
      <c r="G18777" s="34" t="n">
        <f aca="false">SUMIFS('12.326ana'!$C:$C,'12.326ana'!$M:$M,redes!A18777)</f>
        <v>0</v>
      </c>
    </row>
    <row r="18778" customFormat="false" ht="14.4" hidden="true" customHeight="false" outlineLevel="0" collapsed="false">
      <c r="A18778" s="34" t="n">
        <v>59291534037249</v>
      </c>
      <c r="B18778" s="34" t="s">
        <v>34156</v>
      </c>
      <c r="C18778" s="34" t="s">
        <v>77</v>
      </c>
      <c r="E18778" s="30" t="s">
        <v>34158</v>
      </c>
      <c r="F18778" s="34" t="n">
        <f aca="false">IFERROR(VLOOKUP($A18778,'319'!$B:$H,7,0),0)</f>
        <v>0</v>
      </c>
      <c r="G18778" s="34" t="n">
        <f aca="false">SUMIFS('12.326ana'!$C:$C,'12.326ana'!$M:$M,redes!A18778)</f>
        <v>0</v>
      </c>
    </row>
    <row r="18779" customFormat="false" ht="14.4" hidden="true" customHeight="false" outlineLevel="0" collapsed="false">
      <c r="A18779" s="34" t="n">
        <v>59291534077208</v>
      </c>
      <c r="B18779" s="34" t="s">
        <v>34156</v>
      </c>
      <c r="C18779" s="34" t="s">
        <v>77</v>
      </c>
      <c r="E18779" s="30" t="s">
        <v>34159</v>
      </c>
      <c r="F18779" s="34" t="n">
        <f aca="false">IFERROR(VLOOKUP($A18779,'319'!$B:$H,7,0),0)</f>
        <v>0</v>
      </c>
      <c r="G18779" s="34" t="n">
        <f aca="false">SUMIFS('12.326ana'!$C:$C,'12.326ana'!$M:$M,redes!A18779)</f>
        <v>0</v>
      </c>
    </row>
    <row r="18780" customFormat="false" ht="14.4" hidden="true" customHeight="false" outlineLevel="0" collapsed="false">
      <c r="A18780" s="34" t="n">
        <v>59319713000165</v>
      </c>
      <c r="B18780" s="34" t="s">
        <v>34160</v>
      </c>
      <c r="C18780" s="34" t="s">
        <v>562</v>
      </c>
      <c r="E18780" s="30" t="s">
        <v>34161</v>
      </c>
      <c r="F18780" s="34" t="n">
        <f aca="false">IFERROR(VLOOKUP($A18780,'319'!$B:$H,7,0),0)</f>
        <v>0</v>
      </c>
      <c r="G18780" s="34" t="n">
        <f aca="false">SUMIFS('12.326ana'!$C:$C,'12.326ana'!$M:$M,redes!A18780)</f>
        <v>0</v>
      </c>
    </row>
    <row r="18781" customFormat="false" ht="14.4" hidden="true" customHeight="false" outlineLevel="0" collapsed="false">
      <c r="A18781" s="34" t="n">
        <v>59352002000192</v>
      </c>
      <c r="B18781" s="34" t="s">
        <v>34162</v>
      </c>
      <c r="C18781" s="34" t="s">
        <v>463</v>
      </c>
      <c r="E18781" s="30" t="s">
        <v>34162</v>
      </c>
      <c r="F18781" s="34" t="n">
        <f aca="false">IFERROR(VLOOKUP($A18781,'319'!$B:$H,7,0),0)</f>
        <v>0</v>
      </c>
      <c r="G18781" s="34" t="n">
        <f aca="false">SUMIFS('12.326ana'!$C:$C,'12.326ana'!$M:$M,redes!A18781)</f>
        <v>0</v>
      </c>
    </row>
    <row r="18782" customFormat="false" ht="14.4" hidden="true" customHeight="false" outlineLevel="0" collapsed="false">
      <c r="A18782" s="34" t="n">
        <v>59405686000143</v>
      </c>
      <c r="B18782" s="34" t="s">
        <v>34163</v>
      </c>
      <c r="C18782" s="34" t="s">
        <v>77</v>
      </c>
      <c r="E18782" s="30" t="s">
        <v>4071</v>
      </c>
      <c r="F18782" s="34" t="n">
        <f aca="false">IFERROR(VLOOKUP($A18782,'319'!$B:$H,7,0),0)</f>
        <v>0</v>
      </c>
      <c r="G18782" s="34" t="n">
        <f aca="false">SUMIFS('12.326ana'!$C:$C,'12.326ana'!$M:$M,redes!A18782)</f>
        <v>0</v>
      </c>
    </row>
    <row r="18783" customFormat="false" ht="14.4" hidden="true" customHeight="false" outlineLevel="0" collapsed="false">
      <c r="A18783" s="34" t="n">
        <v>59411879000107</v>
      </c>
      <c r="B18783" s="34" t="s">
        <v>34164</v>
      </c>
      <c r="C18783" s="34" t="s">
        <v>809</v>
      </c>
      <c r="E18783" s="30" t="s">
        <v>34165</v>
      </c>
      <c r="F18783" s="34" t="n">
        <f aca="false">IFERROR(VLOOKUP($A18783,'319'!$B:$H,7,0),0)</f>
        <v>-727.92</v>
      </c>
      <c r="G18783" s="34" t="n">
        <f aca="false">SUMIFS('12.326ana'!$C:$C,'12.326ana'!$M:$M,redes!A18783)</f>
        <v>0</v>
      </c>
    </row>
    <row r="18784" customFormat="false" ht="14.4" hidden="true" customHeight="false" outlineLevel="0" collapsed="false">
      <c r="A18784" s="34" t="n">
        <v>59481610000105</v>
      </c>
      <c r="B18784" s="34" t="s">
        <v>34166</v>
      </c>
      <c r="C18784" s="34" t="s">
        <v>89</v>
      </c>
      <c r="E18784" s="30" t="s">
        <v>34167</v>
      </c>
      <c r="F18784" s="34" t="n">
        <f aca="false">IFERROR(VLOOKUP($A18784,'319'!$B:$H,7,0),0)</f>
        <v>0</v>
      </c>
      <c r="G18784" s="34" t="n">
        <f aca="false">SUMIFS('12.326ana'!$C:$C,'12.326ana'!$M:$M,redes!A18784)</f>
        <v>0</v>
      </c>
    </row>
    <row r="18785" customFormat="false" ht="14.4" hidden="true" customHeight="false" outlineLevel="0" collapsed="false">
      <c r="A18785" s="34" t="n">
        <v>59558456000114</v>
      </c>
      <c r="B18785" s="34" t="s">
        <v>34168</v>
      </c>
      <c r="C18785" s="34" t="s">
        <v>77</v>
      </c>
      <c r="E18785" s="30" t="s">
        <v>34169</v>
      </c>
      <c r="F18785" s="34" t="n">
        <f aca="false">IFERROR(VLOOKUP($A18785,'319'!$B:$H,7,0),0)</f>
        <v>0</v>
      </c>
      <c r="G18785" s="34" t="n">
        <f aca="false">SUMIFS('12.326ana'!$C:$C,'12.326ana'!$M:$M,redes!A18785)</f>
        <v>0</v>
      </c>
    </row>
    <row r="18786" customFormat="false" ht="14.4" hidden="true" customHeight="false" outlineLevel="0" collapsed="false">
      <c r="A18786" s="34" t="n">
        <v>59664324000177</v>
      </c>
      <c r="B18786" s="34" t="s">
        <v>34170</v>
      </c>
      <c r="C18786" s="34" t="s">
        <v>463</v>
      </c>
      <c r="E18786" s="30" t="s">
        <v>4655</v>
      </c>
      <c r="F18786" s="34" t="n">
        <f aca="false">IFERROR(VLOOKUP($A18786,'319'!$B:$H,7,0),0)</f>
        <v>0</v>
      </c>
      <c r="G18786" s="34" t="n">
        <f aca="false">SUMIFS('12.326ana'!$C:$C,'12.326ana'!$M:$M,redes!A18786)</f>
        <v>0</v>
      </c>
    </row>
    <row r="18787" customFormat="false" ht="14.4" hidden="true" customHeight="false" outlineLevel="0" collapsed="false">
      <c r="A18787" s="34" t="n">
        <v>59674981000103</v>
      </c>
      <c r="B18787" s="34" t="s">
        <v>34171</v>
      </c>
      <c r="C18787" s="34" t="s">
        <v>744</v>
      </c>
      <c r="E18787" s="30" t="s">
        <v>34171</v>
      </c>
      <c r="F18787" s="34" t="n">
        <f aca="false">IFERROR(VLOOKUP($A18787,'319'!$B:$H,7,0),0)</f>
        <v>0</v>
      </c>
      <c r="G18787" s="34" t="n">
        <f aca="false">SUMIFS('12.326ana'!$C:$C,'12.326ana'!$M:$M,redes!A18787)</f>
        <v>0</v>
      </c>
    </row>
    <row r="18788" customFormat="false" ht="14.4" hidden="true" customHeight="false" outlineLevel="0" collapsed="false">
      <c r="A18788" s="34" t="n">
        <v>59684920000119</v>
      </c>
      <c r="B18788" s="34" t="s">
        <v>34172</v>
      </c>
      <c r="C18788" s="34" t="s">
        <v>721</v>
      </c>
      <c r="E18788" s="30" t="s">
        <v>34172</v>
      </c>
      <c r="F18788" s="34" t="n">
        <f aca="false">IFERROR(VLOOKUP($A18788,'319'!$B:$H,7,0),0)</f>
        <v>0</v>
      </c>
      <c r="G18788" s="34" t="n">
        <f aca="false">SUMIFS('12.326ana'!$C:$C,'12.326ana'!$M:$M,redes!A18788)</f>
        <v>0</v>
      </c>
    </row>
    <row r="18789" customFormat="false" ht="14.4" hidden="true" customHeight="false" outlineLevel="0" collapsed="false">
      <c r="A18789" s="34" t="n">
        <v>59705476000170</v>
      </c>
      <c r="B18789" s="34" t="s">
        <v>4394</v>
      </c>
      <c r="C18789" s="34" t="s">
        <v>594</v>
      </c>
      <c r="E18789" s="30" t="s">
        <v>26914</v>
      </c>
      <c r="F18789" s="34" t="n">
        <f aca="false">IFERROR(VLOOKUP($A18789,'319'!$B:$H,7,0),0)</f>
        <v>0</v>
      </c>
      <c r="G18789" s="34" t="n">
        <f aca="false">SUMIFS('12.326ana'!$C:$C,'12.326ana'!$M:$M,redes!A18789)</f>
        <v>0</v>
      </c>
    </row>
    <row r="18790" customFormat="false" ht="14.4" hidden="true" customHeight="false" outlineLevel="0" collapsed="false">
      <c r="A18790" s="34" t="n">
        <v>59750163000134</v>
      </c>
      <c r="B18790" s="34" t="s">
        <v>34173</v>
      </c>
      <c r="C18790" s="34" t="s">
        <v>77</v>
      </c>
      <c r="E18790" s="30" t="s">
        <v>34173</v>
      </c>
      <c r="F18790" s="34" t="n">
        <f aca="false">IFERROR(VLOOKUP($A18790,'319'!$B:$H,7,0),0)</f>
        <v>0</v>
      </c>
      <c r="G18790" s="34" t="n">
        <f aca="false">SUMIFS('12.326ana'!$C:$C,'12.326ana'!$M:$M,redes!A18790)</f>
        <v>0</v>
      </c>
    </row>
    <row r="18791" customFormat="false" ht="14.4" hidden="true" customHeight="false" outlineLevel="0" collapsed="false">
      <c r="A18791" s="34" t="n">
        <v>59777392000142</v>
      </c>
      <c r="B18791" s="34" t="s">
        <v>34174</v>
      </c>
      <c r="C18791" s="34" t="s">
        <v>721</v>
      </c>
      <c r="E18791" s="30" t="s">
        <v>34175</v>
      </c>
      <c r="F18791" s="34" t="n">
        <f aca="false">IFERROR(VLOOKUP($A18791,'319'!$B:$H,7,0),0)</f>
        <v>0</v>
      </c>
      <c r="G18791" s="34" t="n">
        <f aca="false">SUMIFS('12.326ana'!$C:$C,'12.326ana'!$M:$M,redes!A18791)</f>
        <v>0</v>
      </c>
    </row>
    <row r="18792" customFormat="false" ht="14.4" hidden="true" customHeight="false" outlineLevel="0" collapsed="false">
      <c r="A18792" s="34" t="n">
        <v>59807637000137</v>
      </c>
      <c r="B18792" s="34" t="s">
        <v>34176</v>
      </c>
      <c r="C18792" s="34" t="s">
        <v>680</v>
      </c>
      <c r="E18792" s="30" t="s">
        <v>34177</v>
      </c>
      <c r="F18792" s="34" t="n">
        <f aca="false">IFERROR(VLOOKUP($A18792,'319'!$B:$H,7,0),0)</f>
        <v>0</v>
      </c>
      <c r="G18792" s="34" t="n">
        <f aca="false">SUMIFS('12.326ana'!$C:$C,'12.326ana'!$M:$M,redes!A18792)</f>
        <v>0</v>
      </c>
    </row>
    <row r="18793" customFormat="false" ht="14.4" hidden="true" customHeight="false" outlineLevel="0" collapsed="false">
      <c r="A18793" s="34" t="n">
        <v>59835102000170</v>
      </c>
      <c r="B18793" s="34" t="s">
        <v>34178</v>
      </c>
      <c r="C18793" s="34" t="s">
        <v>77</v>
      </c>
      <c r="E18793" s="30" t="s">
        <v>34179</v>
      </c>
      <c r="F18793" s="34" t="n">
        <f aca="false">IFERROR(VLOOKUP($A18793,'319'!$B:$H,7,0),0)</f>
        <v>0</v>
      </c>
      <c r="G18793" s="34" t="n">
        <f aca="false">SUMIFS('12.326ana'!$C:$C,'12.326ana'!$M:$M,redes!A18793)</f>
        <v>0</v>
      </c>
    </row>
    <row r="18794" customFormat="false" ht="14.4" hidden="true" customHeight="false" outlineLevel="0" collapsed="false">
      <c r="A18794" s="34" t="n">
        <v>59844699000119</v>
      </c>
      <c r="B18794" s="34" t="s">
        <v>34180</v>
      </c>
      <c r="C18794" s="34" t="s">
        <v>357</v>
      </c>
      <c r="E18794" s="30" t="s">
        <v>34181</v>
      </c>
      <c r="F18794" s="34" t="n">
        <f aca="false">IFERROR(VLOOKUP($A18794,'319'!$B:$H,7,0),0)</f>
        <v>760.76</v>
      </c>
      <c r="G18794" s="34" t="n">
        <f aca="false">SUMIFS('12.326ana'!$C:$C,'12.326ana'!$M:$M,redes!A18794)</f>
        <v>907.18</v>
      </c>
    </row>
    <row r="18795" customFormat="false" ht="14.4" hidden="true" customHeight="false" outlineLevel="0" collapsed="false">
      <c r="A18795" s="34" t="n">
        <v>59847452000156</v>
      </c>
      <c r="B18795" s="34" t="s">
        <v>34182</v>
      </c>
      <c r="C18795" s="34" t="s">
        <v>1272</v>
      </c>
      <c r="E18795" s="30" t="s">
        <v>34182</v>
      </c>
      <c r="F18795" s="34" t="n">
        <f aca="false">IFERROR(VLOOKUP($A18795,'319'!$B:$H,7,0),0)</f>
        <v>0</v>
      </c>
      <c r="G18795" s="34" t="n">
        <f aca="false">SUMIFS('12.326ana'!$C:$C,'12.326ana'!$M:$M,redes!A18795)</f>
        <v>0</v>
      </c>
    </row>
    <row r="18796" customFormat="false" ht="14.4" hidden="true" customHeight="false" outlineLevel="0" collapsed="false">
      <c r="A18796" s="34" t="n">
        <v>59851397000178</v>
      </c>
      <c r="B18796" s="34" t="s">
        <v>34183</v>
      </c>
      <c r="C18796" s="34" t="s">
        <v>581</v>
      </c>
      <c r="E18796" s="30" t="s">
        <v>34184</v>
      </c>
      <c r="F18796" s="34" t="n">
        <f aca="false">IFERROR(VLOOKUP($A18796,'319'!$B:$H,7,0),0)</f>
        <v>0</v>
      </c>
      <c r="G18796" s="34" t="n">
        <f aca="false">SUMIFS('12.326ana'!$C:$C,'12.326ana'!$M:$M,redes!A18796)</f>
        <v>0</v>
      </c>
    </row>
    <row r="18797" customFormat="false" ht="14.4" hidden="true" customHeight="false" outlineLevel="0" collapsed="false">
      <c r="A18797" s="34" t="n">
        <v>59875399000105</v>
      </c>
      <c r="B18797" s="34" t="s">
        <v>34185</v>
      </c>
      <c r="C18797" s="34" t="s">
        <v>77</v>
      </c>
      <c r="E18797" s="30" t="s">
        <v>34186</v>
      </c>
      <c r="F18797" s="34" t="n">
        <f aca="false">IFERROR(VLOOKUP($A18797,'319'!$B:$H,7,0),0)</f>
        <v>805.01</v>
      </c>
      <c r="G18797" s="34" t="n">
        <f aca="false">SUMIFS('12.326ana'!$C:$C,'12.326ana'!$M:$M,redes!A18797)</f>
        <v>0</v>
      </c>
    </row>
    <row r="18798" customFormat="false" ht="14.4" hidden="true" customHeight="false" outlineLevel="0" collapsed="false">
      <c r="A18798" s="34" t="n">
        <v>59930739000145</v>
      </c>
      <c r="B18798" s="34" t="s">
        <v>34187</v>
      </c>
      <c r="C18798" s="34" t="s">
        <v>77</v>
      </c>
      <c r="E18798" s="30" t="s">
        <v>34188</v>
      </c>
      <c r="F18798" s="34" t="n">
        <f aca="false">IFERROR(VLOOKUP($A18798,'319'!$B:$H,7,0),0)</f>
        <v>0</v>
      </c>
      <c r="G18798" s="34" t="n">
        <f aca="false">SUMIFS('12.326ana'!$C:$C,'12.326ana'!$M:$M,redes!A18798)</f>
        <v>0</v>
      </c>
    </row>
    <row r="18799" customFormat="false" ht="14.4" hidden="true" customHeight="false" outlineLevel="0" collapsed="false">
      <c r="A18799" s="34" t="n">
        <v>59982831000159</v>
      </c>
      <c r="B18799" s="34" t="s">
        <v>34189</v>
      </c>
      <c r="C18799" s="34" t="s">
        <v>77</v>
      </c>
      <c r="E18799" s="30" t="s">
        <v>10068</v>
      </c>
      <c r="F18799" s="34" t="n">
        <f aca="false">IFERROR(VLOOKUP($A18799,'319'!$B:$H,7,0),0)</f>
        <v>0</v>
      </c>
      <c r="G18799" s="34" t="n">
        <f aca="false">SUMIFS('12.326ana'!$C:$C,'12.326ana'!$M:$M,redes!A18799)</f>
        <v>0</v>
      </c>
    </row>
    <row r="18800" customFormat="false" ht="14.4" hidden="true" customHeight="false" outlineLevel="0" collapsed="false">
      <c r="A18800" s="34" t="n">
        <v>60007057000144</v>
      </c>
      <c r="B18800" s="34" t="s">
        <v>34190</v>
      </c>
      <c r="C18800" s="34" t="s">
        <v>89</v>
      </c>
      <c r="E18800" s="30" t="s">
        <v>15194</v>
      </c>
      <c r="F18800" s="34" t="n">
        <f aca="false">IFERROR(VLOOKUP($A18800,'319'!$B:$H,7,0),0)</f>
        <v>0</v>
      </c>
      <c r="G18800" s="34" t="n">
        <f aca="false">SUMIFS('12.326ana'!$C:$C,'12.326ana'!$M:$M,redes!A18800)</f>
        <v>0</v>
      </c>
    </row>
    <row r="18801" customFormat="false" ht="14.4" hidden="true" customHeight="false" outlineLevel="0" collapsed="false">
      <c r="A18801" s="34" t="n">
        <v>60019933000152</v>
      </c>
      <c r="B18801" s="34" t="s">
        <v>34191</v>
      </c>
      <c r="C18801" s="34" t="s">
        <v>77</v>
      </c>
      <c r="E18801" s="30" t="s">
        <v>34192</v>
      </c>
      <c r="F18801" s="34" t="n">
        <f aca="false">IFERROR(VLOOKUP($A18801,'319'!$B:$H,7,0),0)</f>
        <v>0</v>
      </c>
      <c r="G18801" s="34" t="n">
        <f aca="false">SUMIFS('12.326ana'!$C:$C,'12.326ana'!$M:$M,redes!A18801)</f>
        <v>0</v>
      </c>
    </row>
    <row r="18802" customFormat="false" ht="14.4" hidden="true" customHeight="false" outlineLevel="0" collapsed="false">
      <c r="A18802" s="34" t="n">
        <v>60115233000161</v>
      </c>
      <c r="B18802" s="34" t="s">
        <v>34193</v>
      </c>
      <c r="C18802" s="34" t="s">
        <v>77</v>
      </c>
      <c r="E18802" s="30" t="s">
        <v>34194</v>
      </c>
      <c r="F18802" s="34" t="n">
        <f aca="false">IFERROR(VLOOKUP($A18802,'319'!$B:$H,7,0),0)</f>
        <v>0</v>
      </c>
      <c r="G18802" s="34" t="n">
        <f aca="false">SUMIFS('12.326ana'!$C:$C,'12.326ana'!$M:$M,redes!A18802)</f>
        <v>0</v>
      </c>
    </row>
    <row r="18803" customFormat="false" ht="14.4" hidden="true" customHeight="false" outlineLevel="0" collapsed="false">
      <c r="A18803" s="34" t="n">
        <v>60115444000102</v>
      </c>
      <c r="B18803" s="34" t="s">
        <v>34195</v>
      </c>
      <c r="C18803" s="34" t="s">
        <v>77</v>
      </c>
      <c r="E18803" s="30" t="s">
        <v>34196</v>
      </c>
      <c r="F18803" s="34" t="n">
        <f aca="false">IFERROR(VLOOKUP($A18803,'319'!$B:$H,7,0),0)</f>
        <v>0</v>
      </c>
      <c r="G18803" s="34" t="n">
        <f aca="false">SUMIFS('12.326ana'!$C:$C,'12.326ana'!$M:$M,redes!A18803)</f>
        <v>0</v>
      </c>
    </row>
    <row r="18804" customFormat="false" ht="14.4" hidden="true" customHeight="false" outlineLevel="0" collapsed="false">
      <c r="A18804" s="34" t="n">
        <v>60115752000120</v>
      </c>
      <c r="B18804" s="34" t="s">
        <v>1374</v>
      </c>
      <c r="C18804" s="34" t="s">
        <v>103</v>
      </c>
      <c r="E18804" s="30" t="s">
        <v>34197</v>
      </c>
      <c r="F18804" s="34" t="n">
        <f aca="false">IFERROR(VLOOKUP($A18804,'319'!$B:$H,7,0),0)</f>
        <v>250.33</v>
      </c>
      <c r="G18804" s="34" t="n">
        <f aca="false">SUMIFS('12.326ana'!$C:$C,'12.326ana'!$M:$M,redes!A18804)</f>
        <v>0</v>
      </c>
    </row>
    <row r="18805" customFormat="false" ht="14.4" hidden="true" customHeight="false" outlineLevel="0" collapsed="false">
      <c r="A18805" s="34" t="n">
        <v>60122393000138</v>
      </c>
      <c r="B18805" s="34" t="s">
        <v>34198</v>
      </c>
      <c r="C18805" s="34" t="s">
        <v>562</v>
      </c>
      <c r="E18805" s="30" t="s">
        <v>18728</v>
      </c>
      <c r="F18805" s="34" t="n">
        <f aca="false">IFERROR(VLOOKUP($A18805,'319'!$B:$H,7,0),0)</f>
        <v>0</v>
      </c>
      <c r="G18805" s="34" t="n">
        <f aca="false">SUMIFS('12.326ana'!$C:$C,'12.326ana'!$M:$M,redes!A18805)</f>
        <v>0</v>
      </c>
    </row>
    <row r="18806" customFormat="false" ht="14.4" hidden="true" customHeight="false" outlineLevel="0" collapsed="false">
      <c r="A18806" s="34" t="n">
        <v>60217913000196</v>
      </c>
      <c r="B18806" s="34" t="s">
        <v>34199</v>
      </c>
      <c r="C18806" s="34" t="s">
        <v>309</v>
      </c>
      <c r="E18806" s="30" t="s">
        <v>34200</v>
      </c>
      <c r="F18806" s="34" t="n">
        <f aca="false">IFERROR(VLOOKUP($A18806,'319'!$B:$H,7,0),0)</f>
        <v>0</v>
      </c>
      <c r="G18806" s="34" t="n">
        <f aca="false">SUMIFS('12.326ana'!$C:$C,'12.326ana'!$M:$M,redes!A18806)</f>
        <v>0</v>
      </c>
    </row>
    <row r="18807" customFormat="false" ht="14.4" hidden="true" customHeight="false" outlineLevel="0" collapsed="false">
      <c r="A18807" s="34" t="n">
        <v>60236994000171</v>
      </c>
      <c r="B18807" s="34" t="s">
        <v>34201</v>
      </c>
      <c r="C18807" s="34" t="s">
        <v>77</v>
      </c>
      <c r="E18807" s="30" t="s">
        <v>34202</v>
      </c>
      <c r="F18807" s="34" t="n">
        <f aca="false">IFERROR(VLOOKUP($A18807,'319'!$B:$H,7,0),0)</f>
        <v>0</v>
      </c>
      <c r="G18807" s="34" t="n">
        <f aca="false">SUMIFS('12.326ana'!$C:$C,'12.326ana'!$M:$M,redes!A18807)</f>
        <v>0</v>
      </c>
    </row>
    <row r="18808" customFormat="false" ht="14.4" hidden="true" customHeight="false" outlineLevel="0" collapsed="false">
      <c r="A18808" s="34" t="n">
        <v>60250153000119</v>
      </c>
      <c r="B18808" s="34" t="s">
        <v>34203</v>
      </c>
      <c r="C18808" s="34" t="s">
        <v>4139</v>
      </c>
      <c r="E18808" s="30" t="s">
        <v>34203</v>
      </c>
      <c r="F18808" s="34" t="n">
        <f aca="false">IFERROR(VLOOKUP($A18808,'319'!$B:$H,7,0),0)</f>
        <v>0</v>
      </c>
      <c r="G18808" s="34" t="n">
        <f aca="false">SUMIFS('12.326ana'!$C:$C,'12.326ana'!$M:$M,redes!A18808)</f>
        <v>0</v>
      </c>
    </row>
    <row r="18809" customFormat="false" ht="14.4" hidden="true" customHeight="false" outlineLevel="0" collapsed="false">
      <c r="A18809" s="34" t="n">
        <v>60266747000118</v>
      </c>
      <c r="B18809" s="34" t="s">
        <v>1538</v>
      </c>
      <c r="C18809" s="34" t="s">
        <v>89</v>
      </c>
      <c r="E18809" s="30" t="s">
        <v>34204</v>
      </c>
      <c r="F18809" s="34" t="n">
        <f aca="false">IFERROR(VLOOKUP($A18809,'319'!$B:$H,7,0),0)</f>
        <v>114.34</v>
      </c>
      <c r="G18809" s="34" t="n">
        <f aca="false">SUMIFS('12.326ana'!$C:$C,'12.326ana'!$M:$M,redes!A18809)</f>
        <v>0</v>
      </c>
    </row>
    <row r="18810" customFormat="false" ht="14.4" hidden="true" customHeight="false" outlineLevel="0" collapsed="false">
      <c r="A18810" s="34" t="n">
        <v>60298951000110</v>
      </c>
      <c r="B18810" s="34" t="s">
        <v>34205</v>
      </c>
      <c r="C18810" s="34" t="s">
        <v>77</v>
      </c>
      <c r="E18810" s="30" t="s">
        <v>34206</v>
      </c>
      <c r="F18810" s="34" t="n">
        <f aca="false">IFERROR(VLOOKUP($A18810,'319'!$B:$H,7,0),0)</f>
        <v>0</v>
      </c>
      <c r="G18810" s="34" t="n">
        <f aca="false">SUMIFS('12.326ana'!$C:$C,'12.326ana'!$M:$M,redes!A18810)</f>
        <v>0</v>
      </c>
    </row>
    <row r="18811" customFormat="false" ht="14.4" hidden="true" customHeight="false" outlineLevel="0" collapsed="false">
      <c r="A18811" s="34" t="n">
        <v>60321106000119</v>
      </c>
      <c r="B18811" s="34" t="s">
        <v>34207</v>
      </c>
      <c r="C18811" s="34" t="s">
        <v>89</v>
      </c>
      <c r="E18811" s="30" t="s">
        <v>8343</v>
      </c>
      <c r="F18811" s="34" t="n">
        <f aca="false">IFERROR(VLOOKUP($A18811,'319'!$B:$H,7,0),0)</f>
        <v>0</v>
      </c>
      <c r="G18811" s="34" t="n">
        <f aca="false">SUMIFS('12.326ana'!$C:$C,'12.326ana'!$M:$M,redes!A18811)</f>
        <v>0</v>
      </c>
    </row>
    <row r="18812" customFormat="false" ht="14.4" hidden="true" customHeight="false" outlineLevel="0" collapsed="false">
      <c r="A18812" s="34" t="n">
        <v>60342257000153</v>
      </c>
      <c r="B18812" s="34" t="s">
        <v>1376</v>
      </c>
      <c r="C18812" s="34" t="s">
        <v>7250</v>
      </c>
      <c r="E18812" s="30" t="s">
        <v>34208</v>
      </c>
      <c r="F18812" s="34" t="n">
        <f aca="false">IFERROR(VLOOKUP($A18812,'319'!$B:$H,7,0),0)</f>
        <v>250.33</v>
      </c>
      <c r="G18812" s="34" t="n">
        <f aca="false">SUMIFS('12.326ana'!$C:$C,'12.326ana'!$M:$M,redes!A18812)</f>
        <v>0</v>
      </c>
    </row>
    <row r="18813" customFormat="false" ht="14.4" hidden="true" customHeight="false" outlineLevel="0" collapsed="false">
      <c r="A18813" s="34" t="n">
        <v>60345590000116</v>
      </c>
      <c r="B18813" s="34" t="s">
        <v>34209</v>
      </c>
      <c r="C18813" s="34" t="s">
        <v>77</v>
      </c>
      <c r="E18813" s="30" t="s">
        <v>34210</v>
      </c>
      <c r="F18813" s="34" t="n">
        <f aca="false">IFERROR(VLOOKUP($A18813,'319'!$B:$H,7,0),0)</f>
        <v>164.31</v>
      </c>
      <c r="G18813" s="34" t="n">
        <f aca="false">SUMIFS('12.326ana'!$C:$C,'12.326ana'!$M:$M,redes!A18813)</f>
        <v>0</v>
      </c>
    </row>
    <row r="18814" customFormat="false" ht="14.4" hidden="true" customHeight="false" outlineLevel="0" collapsed="false">
      <c r="A18814" s="34" t="n">
        <v>60355896000153</v>
      </c>
      <c r="B18814" s="34" t="s">
        <v>34211</v>
      </c>
      <c r="C18814" s="34" t="s">
        <v>89</v>
      </c>
      <c r="E18814" s="30" t="s">
        <v>16360</v>
      </c>
      <c r="F18814" s="34" t="n">
        <f aca="false">IFERROR(VLOOKUP($A18814,'319'!$B:$H,7,0),0)</f>
        <v>203.14</v>
      </c>
      <c r="G18814" s="34" t="n">
        <f aca="false">SUMIFS('12.326ana'!$C:$C,'12.326ana'!$M:$M,redes!A18814)</f>
        <v>0</v>
      </c>
    </row>
    <row r="18815" customFormat="false" ht="14.4" hidden="true" customHeight="false" outlineLevel="0" collapsed="false">
      <c r="A18815" s="34" t="n">
        <v>60358111000104</v>
      </c>
      <c r="B18815" s="34" t="s">
        <v>34212</v>
      </c>
      <c r="C18815" s="34" t="s">
        <v>77</v>
      </c>
      <c r="E18815" s="30" t="s">
        <v>19989</v>
      </c>
      <c r="F18815" s="34" t="n">
        <f aca="false">IFERROR(VLOOKUP($A18815,'319'!$B:$H,7,0),0)</f>
        <v>0</v>
      </c>
      <c r="G18815" s="34" t="n">
        <f aca="false">SUMIFS('12.326ana'!$C:$C,'12.326ana'!$M:$M,redes!A18815)</f>
        <v>0</v>
      </c>
    </row>
    <row r="18816" customFormat="false" ht="14.4" hidden="true" customHeight="false" outlineLevel="0" collapsed="false">
      <c r="A18816" s="34" t="n">
        <v>60400949000100</v>
      </c>
      <c r="B18816" s="34" t="s">
        <v>34213</v>
      </c>
      <c r="C18816" s="34" t="s">
        <v>77</v>
      </c>
      <c r="E18816" s="30" t="s">
        <v>34214</v>
      </c>
      <c r="F18816" s="34" t="n">
        <f aca="false">IFERROR(VLOOKUP($A18816,'319'!$B:$H,7,0),0)</f>
        <v>0</v>
      </c>
      <c r="G18816" s="34" t="n">
        <f aca="false">SUMIFS('12.326ana'!$C:$C,'12.326ana'!$M:$M,redes!A18816)</f>
        <v>0</v>
      </c>
    </row>
    <row r="18817" customFormat="false" ht="14.4" hidden="true" customHeight="false" outlineLevel="0" collapsed="false">
      <c r="A18817" s="34" t="n">
        <v>60434487000223</v>
      </c>
      <c r="B18817" s="34" t="s">
        <v>34215</v>
      </c>
      <c r="C18817" s="34" t="s">
        <v>20618</v>
      </c>
      <c r="E18817" s="30" t="s">
        <v>34216</v>
      </c>
      <c r="F18817" s="34" t="n">
        <f aca="false">IFERROR(VLOOKUP($A18817,'319'!$B:$H,7,0),0)</f>
        <v>0</v>
      </c>
      <c r="G18817" s="34" t="n">
        <f aca="false">SUMIFS('12.326ana'!$C:$C,'12.326ana'!$M:$M,redes!A18817)</f>
        <v>0</v>
      </c>
    </row>
    <row r="18818" customFormat="false" ht="14.4" hidden="true" customHeight="false" outlineLevel="0" collapsed="false">
      <c r="A18818" s="34" t="n">
        <v>60438489000100</v>
      </c>
      <c r="B18818" s="34" t="s">
        <v>34217</v>
      </c>
      <c r="C18818" s="34" t="s">
        <v>107</v>
      </c>
      <c r="E18818" s="30" t="s">
        <v>34218</v>
      </c>
      <c r="F18818" s="34" t="n">
        <f aca="false">IFERROR(VLOOKUP($A18818,'319'!$B:$H,7,0),0)</f>
        <v>0</v>
      </c>
      <c r="G18818" s="34" t="n">
        <f aca="false">SUMIFS('12.326ana'!$C:$C,'12.326ana'!$M:$M,redes!A18818)</f>
        <v>0</v>
      </c>
    </row>
    <row r="18819" customFormat="false" ht="14.4" hidden="true" customHeight="false" outlineLevel="0" collapsed="false">
      <c r="A18819" s="34" t="n">
        <v>60498706037077</v>
      </c>
      <c r="B18819" s="34" t="s">
        <v>34219</v>
      </c>
      <c r="C18819" s="34" t="s">
        <v>13835</v>
      </c>
      <c r="E18819" s="30" t="s">
        <v>34220</v>
      </c>
      <c r="F18819" s="34" t="n">
        <f aca="false">IFERROR(VLOOKUP($A18819,'319'!$B:$H,7,0),0)</f>
        <v>0</v>
      </c>
      <c r="G18819" s="34" t="n">
        <f aca="false">SUMIFS('12.326ana'!$C:$C,'12.326ana'!$M:$M,redes!A18819)</f>
        <v>0</v>
      </c>
    </row>
    <row r="18820" customFormat="false" ht="14.4" hidden="true" customHeight="false" outlineLevel="0" collapsed="false">
      <c r="A18820" s="34" t="n">
        <v>60529012000130</v>
      </c>
      <c r="B18820" s="34" t="s">
        <v>34221</v>
      </c>
      <c r="C18820" s="34" t="s">
        <v>594</v>
      </c>
      <c r="E18820" s="30" t="s">
        <v>34222</v>
      </c>
      <c r="F18820" s="34" t="n">
        <f aca="false">IFERROR(VLOOKUP($A18820,'319'!$B:$H,7,0),0)</f>
        <v>0</v>
      </c>
      <c r="G18820" s="34" t="n">
        <f aca="false">SUMIFS('12.326ana'!$C:$C,'12.326ana'!$M:$M,redes!A18820)</f>
        <v>0</v>
      </c>
    </row>
    <row r="18821" customFormat="false" ht="14.4" hidden="true" customHeight="false" outlineLevel="0" collapsed="false">
      <c r="A18821" s="34" t="n">
        <v>60617163000140</v>
      </c>
      <c r="B18821" s="34" t="s">
        <v>34223</v>
      </c>
      <c r="C18821" s="34" t="s">
        <v>213</v>
      </c>
      <c r="E18821" s="30" t="s">
        <v>34223</v>
      </c>
      <c r="F18821" s="34" t="n">
        <f aca="false">IFERROR(VLOOKUP($A18821,'319'!$B:$H,7,0),0)</f>
        <v>0</v>
      </c>
      <c r="G18821" s="34" t="n">
        <f aca="false">SUMIFS('12.326ana'!$C:$C,'12.326ana'!$M:$M,redes!A18821)</f>
        <v>0</v>
      </c>
    </row>
    <row r="18822" customFormat="false" ht="14.4" hidden="true" customHeight="false" outlineLevel="0" collapsed="false">
      <c r="A18822" s="34" t="n">
        <v>60628417000125</v>
      </c>
      <c r="B18822" s="34" t="s">
        <v>34224</v>
      </c>
      <c r="C18822" s="34" t="s">
        <v>77</v>
      </c>
      <c r="E18822" s="30" t="s">
        <v>34224</v>
      </c>
      <c r="F18822" s="34" t="n">
        <f aca="false">IFERROR(VLOOKUP($A18822,'319'!$B:$H,7,0),0)</f>
        <v>0</v>
      </c>
      <c r="G18822" s="34" t="n">
        <f aca="false">SUMIFS('12.326ana'!$C:$C,'12.326ana'!$M:$M,redes!A18822)</f>
        <v>0</v>
      </c>
    </row>
    <row r="18823" customFormat="false" ht="14.4" hidden="true" customHeight="false" outlineLevel="0" collapsed="false">
      <c r="A18823" s="34" t="n">
        <v>60664828006530</v>
      </c>
      <c r="B18823" s="34" t="s">
        <v>34225</v>
      </c>
      <c r="C18823" s="34" t="s">
        <v>77</v>
      </c>
      <c r="E18823" s="30" t="s">
        <v>34226</v>
      </c>
      <c r="F18823" s="34" t="n">
        <f aca="false">IFERROR(VLOOKUP($A18823,'319'!$B:$H,7,0),0)</f>
        <v>0</v>
      </c>
      <c r="G18823" s="34" t="n">
        <f aca="false">SUMIFS('12.326ana'!$C:$C,'12.326ana'!$M:$M,redes!A18823)</f>
        <v>0</v>
      </c>
    </row>
    <row r="18824" customFormat="false" ht="14.4" hidden="true" customHeight="false" outlineLevel="0" collapsed="false">
      <c r="A18824" s="34" t="n">
        <v>60689604000119</v>
      </c>
      <c r="B18824" s="34" t="s">
        <v>34227</v>
      </c>
      <c r="C18824" s="34" t="s">
        <v>139</v>
      </c>
      <c r="E18824" s="30" t="s">
        <v>34228</v>
      </c>
      <c r="F18824" s="34" t="n">
        <f aca="false">IFERROR(VLOOKUP($A18824,'319'!$B:$H,7,0),0)</f>
        <v>0</v>
      </c>
      <c r="G18824" s="34" t="n">
        <f aca="false">SUMIFS('12.326ana'!$C:$C,'12.326ana'!$M:$M,redes!A18824)</f>
        <v>0</v>
      </c>
    </row>
    <row r="18825" customFormat="false" ht="14.4" hidden="true" customHeight="false" outlineLevel="0" collapsed="false">
      <c r="A18825" s="34" t="n">
        <v>60706953000100</v>
      </c>
      <c r="B18825" s="34" t="s">
        <v>34229</v>
      </c>
      <c r="C18825" s="34" t="s">
        <v>89</v>
      </c>
      <c r="E18825" s="30" t="s">
        <v>34230</v>
      </c>
      <c r="F18825" s="34" t="n">
        <f aca="false">IFERROR(VLOOKUP($A18825,'319'!$B:$H,7,0),0)</f>
        <v>0</v>
      </c>
      <c r="G18825" s="34" t="n">
        <f aca="false">SUMIFS('12.326ana'!$C:$C,'12.326ana'!$M:$M,redes!A18825)</f>
        <v>0</v>
      </c>
    </row>
    <row r="18826" customFormat="false" ht="14.4" hidden="true" customHeight="false" outlineLevel="0" collapsed="false">
      <c r="A18826" s="34" t="n">
        <v>60720496000108</v>
      </c>
      <c r="B18826" s="34" t="s">
        <v>34231</v>
      </c>
      <c r="C18826" s="34" t="s">
        <v>77</v>
      </c>
      <c r="E18826" s="30" t="s">
        <v>34231</v>
      </c>
      <c r="F18826" s="34" t="n">
        <f aca="false">IFERROR(VLOOKUP($A18826,'319'!$B:$H,7,0),0)</f>
        <v>0</v>
      </c>
      <c r="G18826" s="34" t="n">
        <f aca="false">SUMIFS('12.326ana'!$C:$C,'12.326ana'!$M:$M,redes!A18826)</f>
        <v>0</v>
      </c>
    </row>
    <row r="18827" customFormat="false" ht="14.4" hidden="true" customHeight="false" outlineLevel="0" collapsed="false">
      <c r="A18827" s="34" t="n">
        <v>60748058000140</v>
      </c>
      <c r="B18827" s="34" t="s">
        <v>34232</v>
      </c>
      <c r="C18827" s="34" t="s">
        <v>77</v>
      </c>
      <c r="E18827" s="30" t="s">
        <v>34232</v>
      </c>
      <c r="F18827" s="34" t="n">
        <f aca="false">IFERROR(VLOOKUP($A18827,'319'!$B:$H,7,0),0)</f>
        <v>975.18</v>
      </c>
      <c r="G18827" s="34" t="n">
        <f aca="false">SUMIFS('12.326ana'!$C:$C,'12.326ana'!$M:$M,redes!A18827)</f>
        <v>0</v>
      </c>
    </row>
    <row r="18828" customFormat="false" ht="14.4" hidden="true" customHeight="false" outlineLevel="0" collapsed="false">
      <c r="A18828" s="34" t="n">
        <v>60759913000118</v>
      </c>
      <c r="B18828" s="34" t="s">
        <v>34233</v>
      </c>
      <c r="C18828" s="34" t="s">
        <v>77</v>
      </c>
      <c r="E18828" s="30" t="s">
        <v>34233</v>
      </c>
      <c r="F18828" s="34" t="n">
        <f aca="false">IFERROR(VLOOKUP($A18828,'319'!$B:$H,7,0),0)</f>
        <v>0</v>
      </c>
      <c r="G18828" s="34" t="n">
        <f aca="false">SUMIFS('12.326ana'!$C:$C,'12.326ana'!$M:$M,redes!A18828)</f>
        <v>0</v>
      </c>
    </row>
    <row r="18829" customFormat="false" ht="14.4" hidden="true" customHeight="false" outlineLevel="0" collapsed="false">
      <c r="A18829" s="34" t="n">
        <v>60783728000169</v>
      </c>
      <c r="B18829" s="34" t="s">
        <v>34234</v>
      </c>
      <c r="C18829" s="34" t="s">
        <v>598</v>
      </c>
      <c r="E18829" s="30" t="s">
        <v>34235</v>
      </c>
      <c r="F18829" s="34" t="n">
        <f aca="false">IFERROR(VLOOKUP($A18829,'319'!$B:$H,7,0),0)</f>
        <v>0</v>
      </c>
      <c r="G18829" s="34" t="n">
        <f aca="false">SUMIFS('12.326ana'!$C:$C,'12.326ana'!$M:$M,redes!A18829)</f>
        <v>0</v>
      </c>
    </row>
    <row r="18830" customFormat="false" ht="14.4" hidden="true" customHeight="false" outlineLevel="0" collapsed="false">
      <c r="A18830" s="34" t="n">
        <v>60833910001230</v>
      </c>
      <c r="B18830" s="34" t="s">
        <v>34236</v>
      </c>
      <c r="C18830" s="34" t="s">
        <v>77</v>
      </c>
      <c r="E18830" s="30" t="s">
        <v>34237</v>
      </c>
      <c r="F18830" s="34" t="n">
        <f aca="false">IFERROR(VLOOKUP($A18830,'319'!$B:$H,7,0),0)</f>
        <v>0</v>
      </c>
      <c r="G18830" s="34" t="n">
        <f aca="false">SUMIFS('12.326ana'!$C:$C,'12.326ana'!$M:$M,redes!A18830)</f>
        <v>0</v>
      </c>
    </row>
    <row r="18831" customFormat="false" ht="14.4" hidden="true" customHeight="false" outlineLevel="0" collapsed="false">
      <c r="A18831" s="34" t="n">
        <v>60861056000162</v>
      </c>
      <c r="B18831" s="34" t="s">
        <v>34238</v>
      </c>
      <c r="C18831" s="34" t="s">
        <v>89</v>
      </c>
      <c r="E18831" s="30" t="s">
        <v>34239</v>
      </c>
      <c r="F18831" s="34" t="n">
        <f aca="false">IFERROR(VLOOKUP($A18831,'319'!$B:$H,7,0),0)</f>
        <v>0</v>
      </c>
      <c r="G18831" s="34" t="n">
        <f aca="false">SUMIFS('12.326ana'!$C:$C,'12.326ana'!$M:$M,redes!A18831)</f>
        <v>0</v>
      </c>
    </row>
    <row r="18832" customFormat="false" ht="14.4" hidden="true" customHeight="false" outlineLevel="0" collapsed="false">
      <c r="A18832" s="34" t="n">
        <v>60911049000128</v>
      </c>
      <c r="B18832" s="34" t="s">
        <v>34240</v>
      </c>
      <c r="C18832" s="34" t="s">
        <v>680</v>
      </c>
      <c r="E18832" s="30" t="s">
        <v>34241</v>
      </c>
      <c r="F18832" s="34" t="n">
        <f aca="false">IFERROR(VLOOKUP($A18832,'319'!$B:$H,7,0),0)</f>
        <v>0</v>
      </c>
      <c r="G18832" s="34" t="n">
        <f aca="false">SUMIFS('12.326ana'!$C:$C,'12.326ana'!$M:$M,redes!A18832)</f>
        <v>0</v>
      </c>
    </row>
    <row r="18833" customFormat="false" ht="14.4" hidden="true" customHeight="false" outlineLevel="0" collapsed="false">
      <c r="A18833" s="34" t="n">
        <v>60934551000405</v>
      </c>
      <c r="B18833" s="34" t="s">
        <v>34242</v>
      </c>
      <c r="C18833" s="34" t="s">
        <v>34243</v>
      </c>
      <c r="E18833" s="30" t="s">
        <v>34244</v>
      </c>
      <c r="F18833" s="34" t="n">
        <f aca="false">IFERROR(VLOOKUP($A18833,'319'!$B:$H,7,0),0)</f>
        <v>0</v>
      </c>
      <c r="G18833" s="34" t="n">
        <f aca="false">SUMIFS('12.326ana'!$C:$C,'12.326ana'!$M:$M,redes!A18833)</f>
        <v>0</v>
      </c>
    </row>
    <row r="18834" customFormat="false" ht="14.4" hidden="true" customHeight="false" outlineLevel="0" collapsed="false">
      <c r="A18834" s="34" t="n">
        <v>60961864000100</v>
      </c>
      <c r="B18834" s="34" t="s">
        <v>34245</v>
      </c>
      <c r="C18834" s="34" t="s">
        <v>631</v>
      </c>
      <c r="E18834" s="30" t="s">
        <v>22980</v>
      </c>
      <c r="F18834" s="34" t="n">
        <f aca="false">IFERROR(VLOOKUP($A18834,'319'!$B:$H,7,0),0)</f>
        <v>0</v>
      </c>
      <c r="G18834" s="34" t="n">
        <f aca="false">SUMIFS('12.326ana'!$C:$C,'12.326ana'!$M:$M,redes!A18834)</f>
        <v>0</v>
      </c>
    </row>
    <row r="18835" customFormat="false" ht="14.4" hidden="true" customHeight="false" outlineLevel="0" collapsed="false">
      <c r="A18835" s="34" t="n">
        <v>60979019000153</v>
      </c>
      <c r="B18835" s="34" t="s">
        <v>34246</v>
      </c>
      <c r="C18835" s="34" t="s">
        <v>213</v>
      </c>
      <c r="E18835" s="30" t="s">
        <v>34247</v>
      </c>
      <c r="F18835" s="34" t="n">
        <f aca="false">IFERROR(VLOOKUP($A18835,'319'!$B:$H,7,0),0)</f>
        <v>0</v>
      </c>
      <c r="G18835" s="34" t="n">
        <f aca="false">SUMIFS('12.326ana'!$C:$C,'12.326ana'!$M:$M,redes!A18835)</f>
        <v>0</v>
      </c>
    </row>
    <row r="18836" customFormat="false" ht="14.4" hidden="true" customHeight="false" outlineLevel="0" collapsed="false">
      <c r="A18836" s="34" t="n">
        <v>61026953000113</v>
      </c>
      <c r="B18836" s="34" t="s">
        <v>34248</v>
      </c>
      <c r="C18836" s="34" t="s">
        <v>107</v>
      </c>
      <c r="E18836" s="30" t="s">
        <v>34249</v>
      </c>
      <c r="F18836" s="34" t="n">
        <f aca="false">IFERROR(VLOOKUP($A18836,'319'!$B:$H,7,0),0)</f>
        <v>0</v>
      </c>
      <c r="G18836" s="34" t="n">
        <f aca="false">SUMIFS('12.326ana'!$C:$C,'12.326ana'!$M:$M,redes!A18836)</f>
        <v>0</v>
      </c>
    </row>
    <row r="18837" customFormat="false" ht="14.4" hidden="true" customHeight="false" outlineLevel="0" collapsed="false">
      <c r="A18837" s="34" t="n">
        <v>61068276002816</v>
      </c>
      <c r="B18837" s="34" t="s">
        <v>34250</v>
      </c>
      <c r="C18837" s="34" t="s">
        <v>32315</v>
      </c>
      <c r="E18837" s="30" t="s">
        <v>34250</v>
      </c>
      <c r="F18837" s="34" t="n">
        <f aca="false">IFERROR(VLOOKUP($A18837,'319'!$B:$H,7,0),0)</f>
        <v>0</v>
      </c>
      <c r="G18837" s="34" t="n">
        <f aca="false">SUMIFS('12.326ana'!$C:$C,'12.326ana'!$M:$M,redes!A18837)</f>
        <v>0</v>
      </c>
    </row>
    <row r="18838" customFormat="false" ht="14.4" hidden="true" customHeight="false" outlineLevel="0" collapsed="false">
      <c r="A18838" s="34" t="n">
        <v>61068276029005</v>
      </c>
      <c r="B18838" s="34" t="s">
        <v>34251</v>
      </c>
      <c r="C18838" s="34" t="s">
        <v>12327</v>
      </c>
      <c r="E18838" s="30" t="s">
        <v>34251</v>
      </c>
      <c r="F18838" s="34" t="n">
        <f aca="false">IFERROR(VLOOKUP($A18838,'319'!$B:$H,7,0),0)</f>
        <v>0</v>
      </c>
      <c r="G18838" s="34" t="n">
        <f aca="false">SUMIFS('12.326ana'!$C:$C,'12.326ana'!$M:$M,redes!A18838)</f>
        <v>0</v>
      </c>
    </row>
    <row r="18839" customFormat="false" ht="14.4" hidden="true" customHeight="false" outlineLevel="0" collapsed="false">
      <c r="A18839" s="34" t="n">
        <v>61068276030780</v>
      </c>
      <c r="B18839" s="34" t="s">
        <v>34251</v>
      </c>
      <c r="C18839" s="34" t="s">
        <v>32315</v>
      </c>
      <c r="E18839" s="30" t="s">
        <v>34252</v>
      </c>
      <c r="F18839" s="34" t="n">
        <f aca="false">IFERROR(VLOOKUP($A18839,'319'!$B:$H,7,0),0)</f>
        <v>0</v>
      </c>
      <c r="G18839" s="34" t="n">
        <f aca="false">SUMIFS('12.326ana'!$C:$C,'12.326ana'!$M:$M,redes!A18839)</f>
        <v>0</v>
      </c>
    </row>
    <row r="18840" customFormat="false" ht="14.4" hidden="true" customHeight="false" outlineLevel="0" collapsed="false">
      <c r="A18840" s="34" t="n">
        <v>61144743000120</v>
      </c>
      <c r="B18840" s="34" t="s">
        <v>1566</v>
      </c>
      <c r="C18840" s="34" t="s">
        <v>89</v>
      </c>
      <c r="E18840" s="30" t="s">
        <v>33762</v>
      </c>
      <c r="F18840" s="34" t="n">
        <f aca="false">IFERROR(VLOOKUP($A18840,'319'!$B:$H,7,0),0)</f>
        <v>102.51</v>
      </c>
      <c r="G18840" s="34" t="n">
        <f aca="false">SUMIFS('12.326ana'!$C:$C,'12.326ana'!$M:$M,redes!A18840)</f>
        <v>0</v>
      </c>
    </row>
    <row r="18841" customFormat="false" ht="14.4" hidden="true" customHeight="false" outlineLevel="0" collapsed="false">
      <c r="A18841" s="34" t="n">
        <v>61153360000118</v>
      </c>
      <c r="B18841" s="34" t="s">
        <v>34253</v>
      </c>
      <c r="C18841" s="34" t="s">
        <v>581</v>
      </c>
      <c r="E18841" s="30" t="s">
        <v>34253</v>
      </c>
      <c r="F18841" s="34" t="n">
        <f aca="false">IFERROR(VLOOKUP($A18841,'319'!$B:$H,7,0),0)</f>
        <v>0</v>
      </c>
      <c r="G18841" s="34" t="n">
        <f aca="false">SUMIFS('12.326ana'!$C:$C,'12.326ana'!$M:$M,redes!A18841)</f>
        <v>0</v>
      </c>
    </row>
    <row r="18842" customFormat="false" ht="14.4" hidden="true" customHeight="false" outlineLevel="0" collapsed="false">
      <c r="A18842" s="34" t="n">
        <v>61168507000143</v>
      </c>
      <c r="B18842" s="34" t="s">
        <v>34254</v>
      </c>
      <c r="C18842" s="34" t="s">
        <v>117</v>
      </c>
      <c r="E18842" s="30" t="s">
        <v>34255</v>
      </c>
      <c r="F18842" s="34" t="n">
        <f aca="false">IFERROR(VLOOKUP($A18842,'319'!$B:$H,7,0),0)</f>
        <v>0</v>
      </c>
      <c r="G18842" s="34" t="n">
        <f aca="false">SUMIFS('12.326ana'!$C:$C,'12.326ana'!$M:$M,redes!A18842)</f>
        <v>0</v>
      </c>
    </row>
    <row r="18843" customFormat="false" ht="14.4" hidden="true" customHeight="false" outlineLevel="0" collapsed="false">
      <c r="A18843" s="34" t="n">
        <v>61178152000173</v>
      </c>
      <c r="B18843" s="34" t="s">
        <v>34256</v>
      </c>
      <c r="C18843" s="34" t="s">
        <v>107</v>
      </c>
      <c r="E18843" s="30" t="s">
        <v>34257</v>
      </c>
      <c r="F18843" s="34" t="n">
        <f aca="false">IFERROR(VLOOKUP($A18843,'319'!$B:$H,7,0),0)</f>
        <v>0</v>
      </c>
      <c r="G18843" s="34" t="n">
        <f aca="false">SUMIFS('12.326ana'!$C:$C,'12.326ana'!$M:$M,redes!A18843)</f>
        <v>0</v>
      </c>
    </row>
    <row r="18844" customFormat="false" ht="14.4" hidden="true" customHeight="false" outlineLevel="0" collapsed="false">
      <c r="A18844" s="34" t="n">
        <v>61178152000254</v>
      </c>
      <c r="B18844" s="34" t="s">
        <v>34256</v>
      </c>
      <c r="C18844" s="34" t="s">
        <v>107</v>
      </c>
      <c r="E18844" s="30" t="s">
        <v>34258</v>
      </c>
      <c r="F18844" s="34" t="n">
        <f aca="false">IFERROR(VLOOKUP($A18844,'319'!$B:$H,7,0),0)</f>
        <v>0</v>
      </c>
      <c r="G18844" s="34" t="n">
        <f aca="false">SUMIFS('12.326ana'!$C:$C,'12.326ana'!$M:$M,redes!A18844)</f>
        <v>0</v>
      </c>
    </row>
    <row r="18845" customFormat="false" ht="14.4" hidden="true" customHeight="false" outlineLevel="0" collapsed="false">
      <c r="A18845" s="34" t="n">
        <v>61186888009816</v>
      </c>
      <c r="B18845" s="34" t="s">
        <v>34259</v>
      </c>
      <c r="C18845" s="34" t="s">
        <v>77</v>
      </c>
      <c r="E18845" s="30"/>
      <c r="F18845" s="34" t="n">
        <f aca="false">IFERROR(VLOOKUP($A18845,'319'!$B:$H,7,0),0)</f>
        <v>0</v>
      </c>
      <c r="G18845" s="34" t="n">
        <f aca="false">SUMIFS('12.326ana'!$C:$C,'12.326ana'!$M:$M,redes!A18845)</f>
        <v>0</v>
      </c>
    </row>
    <row r="18846" customFormat="false" ht="14.4" hidden="true" customHeight="false" outlineLevel="0" collapsed="false">
      <c r="A18846" s="34" t="n">
        <v>61189279000198</v>
      </c>
      <c r="B18846" s="34" t="s">
        <v>34260</v>
      </c>
      <c r="C18846" s="34" t="s">
        <v>309</v>
      </c>
      <c r="E18846" s="30" t="s">
        <v>34261</v>
      </c>
      <c r="F18846" s="34" t="n">
        <f aca="false">IFERROR(VLOOKUP($A18846,'319'!$B:$H,7,0),0)</f>
        <v>1390.26</v>
      </c>
      <c r="G18846" s="34" t="n">
        <f aca="false">SUMIFS('12.326ana'!$C:$C,'12.326ana'!$M:$M,redes!A18846)</f>
        <v>0</v>
      </c>
    </row>
    <row r="18847" customFormat="false" ht="14.4" hidden="true" customHeight="false" outlineLevel="0" collapsed="false">
      <c r="A18847" s="34" t="n">
        <v>61239988000130</v>
      </c>
      <c r="B18847" s="34" t="s">
        <v>908</v>
      </c>
      <c r="C18847" s="34" t="s">
        <v>77</v>
      </c>
      <c r="E18847" s="30" t="s">
        <v>6851</v>
      </c>
      <c r="F18847" s="34" t="n">
        <f aca="false">IFERROR(VLOOKUP($A18847,'319'!$B:$H,7,0),0)</f>
        <v>1410.08</v>
      </c>
      <c r="G18847" s="34" t="n">
        <f aca="false">SUMIFS('12.326ana'!$C:$C,'12.326ana'!$M:$M,redes!A18847)</f>
        <v>0</v>
      </c>
    </row>
    <row r="18848" customFormat="false" ht="14.4" hidden="true" customHeight="false" outlineLevel="0" collapsed="false">
      <c r="A18848" s="34" t="n">
        <v>61286636000136</v>
      </c>
      <c r="B18848" s="34" t="s">
        <v>34262</v>
      </c>
      <c r="C18848" s="34" t="s">
        <v>107</v>
      </c>
      <c r="E18848" s="30" t="s">
        <v>34263</v>
      </c>
      <c r="F18848" s="34" t="n">
        <f aca="false">IFERROR(VLOOKUP($A18848,'319'!$B:$H,7,0),0)</f>
        <v>0</v>
      </c>
      <c r="G18848" s="34" t="n">
        <f aca="false">SUMIFS('12.326ana'!$C:$C,'12.326ana'!$M:$M,redes!A18848)</f>
        <v>0</v>
      </c>
    </row>
    <row r="18849" customFormat="false" ht="14.4" hidden="true" customHeight="false" outlineLevel="0" collapsed="false">
      <c r="A18849" s="34" t="n">
        <v>61339025000109</v>
      </c>
      <c r="B18849" s="34" t="s">
        <v>34264</v>
      </c>
      <c r="C18849" s="34" t="s">
        <v>77</v>
      </c>
      <c r="E18849" s="30" t="s">
        <v>34265</v>
      </c>
      <c r="F18849" s="34" t="n">
        <f aca="false">IFERROR(VLOOKUP($A18849,'319'!$B:$H,7,0),0)</f>
        <v>0</v>
      </c>
      <c r="G18849" s="34" t="n">
        <f aca="false">SUMIFS('12.326ana'!$C:$C,'12.326ana'!$M:$M,redes!A18849)</f>
        <v>0</v>
      </c>
    </row>
    <row r="18850" customFormat="false" ht="14.4" hidden="true" customHeight="false" outlineLevel="0" collapsed="false">
      <c r="A18850" s="34" t="n">
        <v>61348682000112</v>
      </c>
      <c r="B18850" s="34" t="s">
        <v>34266</v>
      </c>
      <c r="C18850" s="34" t="s">
        <v>979</v>
      </c>
      <c r="E18850" s="30" t="s">
        <v>26631</v>
      </c>
      <c r="F18850" s="34" t="n">
        <f aca="false">IFERROR(VLOOKUP($A18850,'319'!$B:$H,7,0),0)</f>
        <v>0</v>
      </c>
      <c r="G18850" s="34" t="n">
        <f aca="false">SUMIFS('12.326ana'!$C:$C,'12.326ana'!$M:$M,redes!A18850)</f>
        <v>0</v>
      </c>
    </row>
    <row r="18851" customFormat="false" ht="14.4" hidden="true" customHeight="false" outlineLevel="0" collapsed="false">
      <c r="A18851" s="34" t="n">
        <v>61348790000195</v>
      </c>
      <c r="B18851" s="34" t="s">
        <v>34267</v>
      </c>
      <c r="C18851" s="34" t="s">
        <v>89</v>
      </c>
      <c r="E18851" s="30" t="s">
        <v>34268</v>
      </c>
      <c r="F18851" s="34" t="n">
        <f aca="false">IFERROR(VLOOKUP($A18851,'319'!$B:$H,7,0),0)</f>
        <v>0</v>
      </c>
      <c r="G18851" s="34" t="n">
        <f aca="false">SUMIFS('12.326ana'!$C:$C,'12.326ana'!$M:$M,redes!A18851)</f>
        <v>0</v>
      </c>
    </row>
    <row r="18852" customFormat="false" ht="14.4" hidden="true" customHeight="false" outlineLevel="0" collapsed="false">
      <c r="A18852" s="34" t="n">
        <v>61400995000172</v>
      </c>
      <c r="B18852" s="34" t="s">
        <v>34269</v>
      </c>
      <c r="C18852" s="34" t="s">
        <v>77</v>
      </c>
      <c r="E18852" s="30" t="s">
        <v>34270</v>
      </c>
      <c r="F18852" s="34" t="n">
        <f aca="false">IFERROR(VLOOKUP($A18852,'319'!$B:$H,7,0),0)</f>
        <v>0</v>
      </c>
      <c r="G18852" s="34" t="n">
        <f aca="false">SUMIFS('12.326ana'!$C:$C,'12.326ana'!$M:$M,redes!A18852)</f>
        <v>0</v>
      </c>
    </row>
    <row r="18853" customFormat="false" ht="14.4" hidden="true" customHeight="false" outlineLevel="0" collapsed="false">
      <c r="A18853" s="34" t="n">
        <v>61417379000124</v>
      </c>
      <c r="B18853" s="34" t="s">
        <v>34271</v>
      </c>
      <c r="C18853" s="34" t="s">
        <v>604</v>
      </c>
      <c r="E18853" s="30" t="s">
        <v>23234</v>
      </c>
      <c r="F18853" s="34" t="n">
        <f aca="false">IFERROR(VLOOKUP($A18853,'319'!$B:$H,7,0),0)</f>
        <v>0</v>
      </c>
      <c r="G18853" s="34" t="n">
        <f aca="false">SUMIFS('12.326ana'!$C:$C,'12.326ana'!$M:$M,redes!A18853)</f>
        <v>0</v>
      </c>
    </row>
    <row r="18854" customFormat="false" ht="14.4" hidden="true" customHeight="false" outlineLevel="0" collapsed="false">
      <c r="A18854" s="34" t="n">
        <v>61641100000191</v>
      </c>
      <c r="B18854" s="34" t="s">
        <v>34272</v>
      </c>
      <c r="C18854" s="34" t="s">
        <v>1272</v>
      </c>
      <c r="E18854" s="30" t="s">
        <v>31375</v>
      </c>
      <c r="F18854" s="34" t="n">
        <f aca="false">IFERROR(VLOOKUP($A18854,'319'!$B:$H,7,0),0)</f>
        <v>0</v>
      </c>
      <c r="G18854" s="34" t="n">
        <f aca="false">SUMIFS('12.326ana'!$C:$C,'12.326ana'!$M:$M,redes!A18854)</f>
        <v>0</v>
      </c>
    </row>
    <row r="18855" customFormat="false" ht="14.4" hidden="true" customHeight="false" outlineLevel="0" collapsed="false">
      <c r="A18855" s="34" t="n">
        <v>61673191000147</v>
      </c>
      <c r="B18855" s="34" t="s">
        <v>34273</v>
      </c>
      <c r="C18855" s="34" t="s">
        <v>77</v>
      </c>
      <c r="E18855" s="30" t="s">
        <v>34274</v>
      </c>
      <c r="F18855" s="34" t="n">
        <f aca="false">IFERROR(VLOOKUP($A18855,'319'!$B:$H,7,0),0)</f>
        <v>0</v>
      </c>
      <c r="G18855" s="34" t="n">
        <f aca="false">SUMIFS('12.326ana'!$C:$C,'12.326ana'!$M:$M,redes!A18855)</f>
        <v>0</v>
      </c>
    </row>
    <row r="18856" customFormat="false" ht="14.4" hidden="true" customHeight="false" outlineLevel="0" collapsed="false">
      <c r="A18856" s="34" t="n">
        <v>61688185000163</v>
      </c>
      <c r="B18856" s="34" t="s">
        <v>34275</v>
      </c>
      <c r="C18856" s="34" t="s">
        <v>77</v>
      </c>
      <c r="E18856" s="30" t="s">
        <v>34275</v>
      </c>
      <c r="F18856" s="34" t="n">
        <f aca="false">IFERROR(VLOOKUP($A18856,'319'!$B:$H,7,0),0)</f>
        <v>0</v>
      </c>
      <c r="G18856" s="34" t="n">
        <f aca="false">SUMIFS('12.326ana'!$C:$C,'12.326ana'!$M:$M,redes!A18856)</f>
        <v>0</v>
      </c>
    </row>
    <row r="18857" customFormat="false" ht="14.4" hidden="true" customHeight="false" outlineLevel="0" collapsed="false">
      <c r="A18857" s="34" t="n">
        <v>61775799000182</v>
      </c>
      <c r="B18857" s="34" t="s">
        <v>34276</v>
      </c>
      <c r="C18857" s="34" t="s">
        <v>103</v>
      </c>
      <c r="E18857" s="30" t="s">
        <v>21489</v>
      </c>
      <c r="F18857" s="34" t="n">
        <f aca="false">IFERROR(VLOOKUP($A18857,'319'!$B:$H,7,0),0)</f>
        <v>0</v>
      </c>
      <c r="G18857" s="34" t="n">
        <f aca="false">SUMIFS('12.326ana'!$C:$C,'12.326ana'!$M:$M,redes!A18857)</f>
        <v>0</v>
      </c>
    </row>
    <row r="18858" customFormat="false" ht="14.4" hidden="true" customHeight="false" outlineLevel="0" collapsed="false">
      <c r="A18858" s="34" t="n">
        <v>61878129000191</v>
      </c>
      <c r="B18858" s="34" t="s">
        <v>34277</v>
      </c>
      <c r="C18858" s="34" t="s">
        <v>117</v>
      </c>
      <c r="E18858" s="30" t="s">
        <v>34278</v>
      </c>
      <c r="F18858" s="34" t="n">
        <f aca="false">IFERROR(VLOOKUP($A18858,'319'!$B:$H,7,0),0)</f>
        <v>0</v>
      </c>
      <c r="G18858" s="34" t="n">
        <f aca="false">SUMIFS('12.326ana'!$C:$C,'12.326ana'!$M:$M,redes!A18858)</f>
        <v>0</v>
      </c>
    </row>
    <row r="18859" customFormat="false" ht="14.4" hidden="true" customHeight="false" outlineLevel="0" collapsed="false">
      <c r="A18859" s="34" t="n">
        <v>62144552000120</v>
      </c>
      <c r="B18859" s="34" t="s">
        <v>34279</v>
      </c>
      <c r="C18859" s="34" t="s">
        <v>631</v>
      </c>
      <c r="E18859" s="30" t="s">
        <v>16783</v>
      </c>
      <c r="F18859" s="34" t="n">
        <f aca="false">IFERROR(VLOOKUP($A18859,'319'!$B:$H,7,0),0)</f>
        <v>5599.28</v>
      </c>
      <c r="G18859" s="34" t="n">
        <f aca="false">SUMIFS('12.326ana'!$C:$C,'12.326ana'!$M:$M,redes!A18859)</f>
        <v>0</v>
      </c>
    </row>
    <row r="18860" customFormat="false" ht="14.4" hidden="true" customHeight="false" outlineLevel="0" collapsed="false">
      <c r="A18860" s="34" t="n">
        <v>62202208000140</v>
      </c>
      <c r="B18860" s="34" t="s">
        <v>1453</v>
      </c>
      <c r="C18860" s="34" t="s">
        <v>1306</v>
      </c>
      <c r="E18860" s="30" t="s">
        <v>1453</v>
      </c>
      <c r="F18860" s="34" t="n">
        <f aca="false">IFERROR(VLOOKUP($A18860,'319'!$B:$H,7,0),0)</f>
        <v>177.88</v>
      </c>
      <c r="G18860" s="34" t="n">
        <f aca="false">SUMIFS('12.326ana'!$C:$C,'12.326ana'!$M:$M,redes!A18860)</f>
        <v>0</v>
      </c>
    </row>
    <row r="18861" customFormat="false" ht="14.4" hidden="true" customHeight="false" outlineLevel="0" collapsed="false">
      <c r="A18861" s="34" t="n">
        <v>62235947000139</v>
      </c>
      <c r="B18861" s="34" t="s">
        <v>34280</v>
      </c>
      <c r="C18861" s="34" t="s">
        <v>342</v>
      </c>
      <c r="E18861" s="30" t="s">
        <v>34281</v>
      </c>
      <c r="F18861" s="34" t="n">
        <f aca="false">IFERROR(VLOOKUP($A18861,'319'!$B:$H,7,0),0)</f>
        <v>0</v>
      </c>
      <c r="G18861" s="34" t="n">
        <f aca="false">SUMIFS('12.326ana'!$C:$C,'12.326ana'!$M:$M,redes!A18861)</f>
        <v>0</v>
      </c>
    </row>
    <row r="18862" customFormat="false" ht="14.4" hidden="true" customHeight="false" outlineLevel="0" collapsed="false">
      <c r="A18862" s="34" t="n">
        <v>62295392000110</v>
      </c>
      <c r="B18862" s="34" t="s">
        <v>34282</v>
      </c>
      <c r="C18862" s="34" t="s">
        <v>77</v>
      </c>
      <c r="E18862" s="30" t="s">
        <v>34283</v>
      </c>
      <c r="F18862" s="34" t="n">
        <f aca="false">IFERROR(VLOOKUP($A18862,'319'!$B:$H,7,0),0)</f>
        <v>0</v>
      </c>
      <c r="G18862" s="34" t="n">
        <f aca="false">SUMIFS('12.326ana'!$C:$C,'12.326ana'!$M:$M,redes!A18862)</f>
        <v>0</v>
      </c>
    </row>
    <row r="18863" customFormat="false" ht="14.4" hidden="true" customHeight="false" outlineLevel="0" collapsed="false">
      <c r="A18863" s="34" t="n">
        <v>62312702000168</v>
      </c>
      <c r="B18863" s="34" t="s">
        <v>34284</v>
      </c>
      <c r="C18863" s="34" t="s">
        <v>103</v>
      </c>
      <c r="E18863" s="30" t="s">
        <v>34285</v>
      </c>
      <c r="F18863" s="34" t="n">
        <f aca="false">IFERROR(VLOOKUP($A18863,'319'!$B:$H,7,0),0)</f>
        <v>0</v>
      </c>
      <c r="G18863" s="34" t="n">
        <f aca="false">SUMIFS('12.326ana'!$C:$C,'12.326ana'!$M:$M,redes!A18863)</f>
        <v>0</v>
      </c>
    </row>
    <row r="18864" customFormat="false" ht="14.4" hidden="true" customHeight="false" outlineLevel="0" collapsed="false">
      <c r="A18864" s="34" t="n">
        <v>62324881000153</v>
      </c>
      <c r="B18864" s="34" t="s">
        <v>34286</v>
      </c>
      <c r="C18864" s="34" t="s">
        <v>103</v>
      </c>
      <c r="E18864" s="30" t="s">
        <v>34287</v>
      </c>
      <c r="F18864" s="34" t="n">
        <f aca="false">IFERROR(VLOOKUP($A18864,'319'!$B:$H,7,0),0)</f>
        <v>0</v>
      </c>
      <c r="G18864" s="34" t="n">
        <f aca="false">SUMIFS('12.326ana'!$C:$C,'12.326ana'!$M:$M,redes!A18864)</f>
        <v>0</v>
      </c>
    </row>
    <row r="18865" customFormat="false" ht="14.4" hidden="true" customHeight="false" outlineLevel="0" collapsed="false">
      <c r="A18865" s="34" t="n">
        <v>62343168000157</v>
      </c>
      <c r="B18865" s="34" t="s">
        <v>34288</v>
      </c>
      <c r="C18865" s="34" t="s">
        <v>77</v>
      </c>
      <c r="E18865" s="30" t="s">
        <v>34289</v>
      </c>
      <c r="F18865" s="34" t="n">
        <f aca="false">IFERROR(VLOOKUP($A18865,'319'!$B:$H,7,0),0)</f>
        <v>0</v>
      </c>
      <c r="G18865" s="34" t="n">
        <f aca="false">SUMIFS('12.326ana'!$C:$C,'12.326ana'!$M:$M,redes!A18865)</f>
        <v>0</v>
      </c>
    </row>
    <row r="18866" customFormat="false" ht="14.4" hidden="true" customHeight="false" outlineLevel="0" collapsed="false">
      <c r="A18866" s="34" t="n">
        <v>62357339000105</v>
      </c>
      <c r="B18866" s="34" t="s">
        <v>34290</v>
      </c>
      <c r="C18866" s="34" t="s">
        <v>1272</v>
      </c>
      <c r="E18866" s="30" t="s">
        <v>34291</v>
      </c>
      <c r="F18866" s="34" t="n">
        <f aca="false">IFERROR(VLOOKUP($A18866,'319'!$B:$H,7,0),0)</f>
        <v>0</v>
      </c>
      <c r="G18866" s="34" t="n">
        <f aca="false">SUMIFS('12.326ana'!$C:$C,'12.326ana'!$M:$M,redes!A18866)</f>
        <v>0</v>
      </c>
    </row>
    <row r="18867" customFormat="false" ht="14.4" hidden="true" customHeight="false" outlineLevel="0" collapsed="false">
      <c r="A18867" s="34" t="n">
        <v>62386670000145</v>
      </c>
      <c r="B18867" s="34" t="s">
        <v>34292</v>
      </c>
      <c r="C18867" s="34" t="s">
        <v>77</v>
      </c>
      <c r="E18867" s="30" t="s">
        <v>34293</v>
      </c>
      <c r="F18867" s="34" t="n">
        <f aca="false">IFERROR(VLOOKUP($A18867,'319'!$B:$H,7,0),0)</f>
        <v>0</v>
      </c>
      <c r="G18867" s="34" t="n">
        <f aca="false">SUMIFS('12.326ana'!$C:$C,'12.326ana'!$M:$M,redes!A18867)</f>
        <v>0</v>
      </c>
    </row>
    <row r="18868" customFormat="false" ht="14.4" hidden="true" customHeight="false" outlineLevel="0" collapsed="false">
      <c r="A18868" s="34" t="n">
        <v>62404670000120</v>
      </c>
      <c r="B18868" s="34" t="s">
        <v>1378</v>
      </c>
      <c r="C18868" s="34" t="s">
        <v>107</v>
      </c>
      <c r="E18868" s="30" t="s">
        <v>32096</v>
      </c>
      <c r="F18868" s="34" t="n">
        <f aca="false">IFERROR(VLOOKUP($A18868,'319'!$B:$H,7,0),0)</f>
        <v>250.33</v>
      </c>
      <c r="G18868" s="34" t="n">
        <f aca="false">SUMIFS('12.326ana'!$C:$C,'12.326ana'!$M:$M,redes!A18868)</f>
        <v>0</v>
      </c>
    </row>
    <row r="18869" customFormat="false" ht="14.4" hidden="true" customHeight="false" outlineLevel="0" collapsed="false">
      <c r="A18869" s="34" t="n">
        <v>62545579002683</v>
      </c>
      <c r="B18869" s="34" t="s">
        <v>34294</v>
      </c>
      <c r="C18869" s="34" t="s">
        <v>77</v>
      </c>
      <c r="E18869" s="30" t="s">
        <v>34295</v>
      </c>
      <c r="F18869" s="34" t="n">
        <f aca="false">IFERROR(VLOOKUP($A18869,'319'!$B:$H,7,0),0)</f>
        <v>0</v>
      </c>
      <c r="G18869" s="34" t="n">
        <f aca="false">SUMIFS('12.326ana'!$C:$C,'12.326ana'!$M:$M,redes!A18869)</f>
        <v>0</v>
      </c>
    </row>
    <row r="18870" customFormat="false" ht="14.4" hidden="true" customHeight="false" outlineLevel="0" collapsed="false">
      <c r="A18870" s="34" t="n">
        <v>62589243000164</v>
      </c>
      <c r="B18870" s="34" t="s">
        <v>34296</v>
      </c>
      <c r="C18870" s="34" t="s">
        <v>139</v>
      </c>
      <c r="E18870" s="30" t="s">
        <v>34297</v>
      </c>
      <c r="F18870" s="34" t="n">
        <f aca="false">IFERROR(VLOOKUP($A18870,'319'!$B:$H,7,0),0)</f>
        <v>0</v>
      </c>
      <c r="G18870" s="34" t="n">
        <f aca="false">SUMIFS('12.326ana'!$C:$C,'12.326ana'!$M:$M,redes!A18870)</f>
        <v>0</v>
      </c>
    </row>
    <row r="18871" customFormat="false" ht="14.4" hidden="true" customHeight="false" outlineLevel="0" collapsed="false">
      <c r="A18871" s="34" t="n">
        <v>62603718000120</v>
      </c>
      <c r="B18871" s="34" t="s">
        <v>34298</v>
      </c>
      <c r="C18871" s="34" t="s">
        <v>192</v>
      </c>
      <c r="E18871" s="30" t="s">
        <v>27937</v>
      </c>
      <c r="F18871" s="34" t="n">
        <f aca="false">IFERROR(VLOOKUP($A18871,'319'!$B:$H,7,0),0)</f>
        <v>0</v>
      </c>
      <c r="G18871" s="34" t="n">
        <f aca="false">SUMIFS('12.326ana'!$C:$C,'12.326ana'!$M:$M,redes!A18871)</f>
        <v>0</v>
      </c>
    </row>
    <row r="18872" customFormat="false" ht="14.4" hidden="true" customHeight="false" outlineLevel="0" collapsed="false">
      <c r="A18872" s="34" t="n">
        <v>62636093000100</v>
      </c>
      <c r="B18872" s="34" t="s">
        <v>34299</v>
      </c>
      <c r="C18872" s="34" t="s">
        <v>77</v>
      </c>
      <c r="E18872" s="30" t="s">
        <v>34299</v>
      </c>
      <c r="F18872" s="34" t="n">
        <f aca="false">IFERROR(VLOOKUP($A18872,'319'!$B:$H,7,0),0)</f>
        <v>0</v>
      </c>
      <c r="G18872" s="34" t="n">
        <f aca="false">SUMIFS('12.326ana'!$C:$C,'12.326ana'!$M:$M,redes!A18872)</f>
        <v>0</v>
      </c>
    </row>
    <row r="18873" customFormat="false" ht="14.4" hidden="true" customHeight="false" outlineLevel="0" collapsed="false">
      <c r="A18873" s="34" t="n">
        <v>62828463000101</v>
      </c>
      <c r="B18873" s="34" t="s">
        <v>34300</v>
      </c>
      <c r="C18873" s="34" t="s">
        <v>475</v>
      </c>
      <c r="E18873" s="30" t="s">
        <v>34300</v>
      </c>
      <c r="F18873" s="34" t="n">
        <f aca="false">IFERROR(VLOOKUP($A18873,'319'!$B:$H,7,0),0)</f>
        <v>0</v>
      </c>
      <c r="G18873" s="34" t="n">
        <f aca="false">SUMIFS('12.326ana'!$C:$C,'12.326ana'!$M:$M,redes!A18873)</f>
        <v>0</v>
      </c>
    </row>
    <row r="18874" customFormat="false" ht="14.4" hidden="true" customHeight="false" outlineLevel="0" collapsed="false">
      <c r="A18874" s="34" t="n">
        <v>62849267000105</v>
      </c>
      <c r="B18874" s="34" t="s">
        <v>34301</v>
      </c>
      <c r="C18874" s="34" t="s">
        <v>77</v>
      </c>
      <c r="E18874" s="30" t="s">
        <v>34302</v>
      </c>
      <c r="F18874" s="34" t="n">
        <f aca="false">IFERROR(VLOOKUP($A18874,'319'!$B:$H,7,0),0)</f>
        <v>0</v>
      </c>
      <c r="G18874" s="34" t="n">
        <f aca="false">SUMIFS('12.326ana'!$C:$C,'12.326ana'!$M:$M,redes!A18874)</f>
        <v>0</v>
      </c>
    </row>
    <row r="18875" customFormat="false" ht="14.4" hidden="true" customHeight="false" outlineLevel="0" collapsed="false">
      <c r="A18875" s="34" t="n">
        <v>63071566000124</v>
      </c>
      <c r="B18875" s="34" t="s">
        <v>34303</v>
      </c>
      <c r="C18875" s="34" t="s">
        <v>565</v>
      </c>
      <c r="E18875" s="30" t="s">
        <v>34303</v>
      </c>
      <c r="F18875" s="34" t="n">
        <f aca="false">IFERROR(VLOOKUP($A18875,'319'!$B:$H,7,0),0)</f>
        <v>0</v>
      </c>
      <c r="G18875" s="34" t="n">
        <f aca="false">SUMIFS('12.326ana'!$C:$C,'12.326ana'!$M:$M,redes!A18875)</f>
        <v>0</v>
      </c>
    </row>
    <row r="18876" customFormat="false" ht="14.4" hidden="true" customHeight="false" outlineLevel="0" collapsed="false">
      <c r="A18876" s="34" t="n">
        <v>63072162000155</v>
      </c>
      <c r="B18876" s="34" t="s">
        <v>34304</v>
      </c>
      <c r="C18876" s="34" t="s">
        <v>631</v>
      </c>
      <c r="E18876" s="30" t="s">
        <v>34305</v>
      </c>
      <c r="F18876" s="34" t="n">
        <f aca="false">IFERROR(VLOOKUP($A18876,'319'!$B:$H,7,0),0)</f>
        <v>0</v>
      </c>
      <c r="G18876" s="34" t="n">
        <f aca="false">SUMIFS('12.326ana'!$C:$C,'12.326ana'!$M:$M,redes!A18876)</f>
        <v>0</v>
      </c>
    </row>
    <row r="18877" customFormat="false" ht="14.4" hidden="true" customHeight="false" outlineLevel="0" collapsed="false">
      <c r="A18877" s="34" t="n">
        <v>63114195000110</v>
      </c>
      <c r="B18877" s="34" t="s">
        <v>34306</v>
      </c>
      <c r="C18877" s="34" t="s">
        <v>565</v>
      </c>
      <c r="E18877" s="30" t="s">
        <v>34307</v>
      </c>
      <c r="F18877" s="34" t="n">
        <f aca="false">IFERROR(VLOOKUP($A18877,'319'!$B:$H,7,0),0)</f>
        <v>0</v>
      </c>
      <c r="G18877" s="34" t="n">
        <f aca="false">SUMIFS('12.326ana'!$C:$C,'12.326ana'!$M:$M,redes!A18877)</f>
        <v>0</v>
      </c>
    </row>
    <row r="18878" customFormat="false" ht="14.4" hidden="true" customHeight="false" outlineLevel="0" collapsed="false">
      <c r="A18878" s="34" t="n">
        <v>63123318000180</v>
      </c>
      <c r="B18878" s="34" t="s">
        <v>1227</v>
      </c>
      <c r="C18878" s="34" t="s">
        <v>89</v>
      </c>
      <c r="E18878" s="30" t="s">
        <v>34308</v>
      </c>
      <c r="F18878" s="34" t="n">
        <f aca="false">IFERROR(VLOOKUP($A18878,'319'!$B:$H,7,0),0)</f>
        <v>304.28</v>
      </c>
      <c r="G18878" s="34" t="n">
        <f aca="false">SUMIFS('12.326ana'!$C:$C,'12.326ana'!$M:$M,redes!A18878)</f>
        <v>0</v>
      </c>
    </row>
    <row r="18879" customFormat="false" ht="14.4" hidden="true" customHeight="false" outlineLevel="0" collapsed="false">
      <c r="A18879" s="34" t="n">
        <v>63267292000143</v>
      </c>
      <c r="B18879" s="34" t="s">
        <v>34309</v>
      </c>
      <c r="C18879" s="34" t="s">
        <v>89</v>
      </c>
      <c r="E18879" s="30" t="s">
        <v>34310</v>
      </c>
      <c r="F18879" s="34" t="n">
        <f aca="false">IFERROR(VLOOKUP($A18879,'319'!$B:$H,7,0),0)</f>
        <v>0</v>
      </c>
      <c r="G18879" s="34" t="n">
        <f aca="false">SUMIFS('12.326ana'!$C:$C,'12.326ana'!$M:$M,redes!A18879)</f>
        <v>0</v>
      </c>
    </row>
    <row r="18880" customFormat="false" ht="14.4" hidden="true" customHeight="false" outlineLevel="0" collapsed="false">
      <c r="A18880" s="34" t="n">
        <v>63288366000128</v>
      </c>
      <c r="B18880" s="34" t="s">
        <v>34311</v>
      </c>
      <c r="C18880" s="34" t="s">
        <v>139</v>
      </c>
      <c r="E18880" s="30" t="s">
        <v>34311</v>
      </c>
      <c r="F18880" s="34" t="n">
        <f aca="false">IFERROR(VLOOKUP($A18880,'319'!$B:$H,7,0),0)</f>
        <v>0</v>
      </c>
      <c r="G18880" s="34" t="n">
        <f aca="false">SUMIFS('12.326ana'!$C:$C,'12.326ana'!$M:$M,redes!A18880)</f>
        <v>0</v>
      </c>
    </row>
    <row r="18881" customFormat="false" ht="14.4" hidden="true" customHeight="false" outlineLevel="0" collapsed="false">
      <c r="A18881" s="34" t="n">
        <v>63289957000110</v>
      </c>
      <c r="B18881" s="34" t="s">
        <v>932</v>
      </c>
      <c r="C18881" s="34" t="s">
        <v>680</v>
      </c>
      <c r="E18881" s="30" t="s">
        <v>34312</v>
      </c>
      <c r="F18881" s="34" t="n">
        <f aca="false">IFERROR(VLOOKUP($A18881,'319'!$B:$H,7,0),0)</f>
        <v>1242.27</v>
      </c>
      <c r="G18881" s="34" t="n">
        <f aca="false">SUMIFS('12.326ana'!$C:$C,'12.326ana'!$M:$M,redes!A18881)</f>
        <v>0</v>
      </c>
    </row>
    <row r="18882" customFormat="false" ht="14.4" hidden="true" customHeight="false" outlineLevel="0" collapsed="false">
      <c r="A18882" s="34" t="n">
        <v>63446373000100</v>
      </c>
      <c r="B18882" s="34" t="s">
        <v>34313</v>
      </c>
      <c r="C18882" s="34" t="s">
        <v>448</v>
      </c>
      <c r="E18882" s="30" t="s">
        <v>34313</v>
      </c>
      <c r="F18882" s="34" t="n">
        <f aca="false">IFERROR(VLOOKUP($A18882,'319'!$B:$H,7,0),0)</f>
        <v>0</v>
      </c>
      <c r="G18882" s="34" t="n">
        <f aca="false">SUMIFS('12.326ana'!$C:$C,'12.326ana'!$M:$M,redes!A18882)</f>
        <v>0</v>
      </c>
    </row>
    <row r="18883" customFormat="false" ht="14.4" hidden="true" customHeight="false" outlineLevel="0" collapsed="false">
      <c r="A18883" s="34" t="n">
        <v>63460299000187</v>
      </c>
      <c r="B18883" s="34" t="s">
        <v>34314</v>
      </c>
      <c r="C18883" s="34" t="s">
        <v>34315</v>
      </c>
      <c r="E18883" s="30" t="s">
        <v>34316</v>
      </c>
      <c r="F18883" s="34" t="n">
        <f aca="false">IFERROR(VLOOKUP($A18883,'319'!$B:$H,7,0),0)</f>
        <v>0</v>
      </c>
      <c r="G18883" s="34" t="n">
        <f aca="false">SUMIFS('12.326ana'!$C:$C,'12.326ana'!$M:$M,redes!A18883)</f>
        <v>0</v>
      </c>
    </row>
    <row r="18884" customFormat="false" ht="14.4" hidden="true" customHeight="false" outlineLevel="0" collapsed="false">
      <c r="A18884" s="34" t="n">
        <v>63551825000114</v>
      </c>
      <c r="B18884" s="34" t="s">
        <v>34317</v>
      </c>
      <c r="C18884" s="34" t="s">
        <v>1272</v>
      </c>
      <c r="E18884" s="30" t="s">
        <v>22543</v>
      </c>
      <c r="F18884" s="34" t="n">
        <f aca="false">IFERROR(VLOOKUP($A18884,'319'!$B:$H,7,0),0)</f>
        <v>0</v>
      </c>
      <c r="G18884" s="34" t="n">
        <f aca="false">SUMIFS('12.326ana'!$C:$C,'12.326ana'!$M:$M,redes!A18884)</f>
        <v>0</v>
      </c>
    </row>
    <row r="18885" customFormat="false" ht="14.4" hidden="true" customHeight="false" outlineLevel="0" collapsed="false">
      <c r="A18885" s="34" t="n">
        <v>63805007000109</v>
      </c>
      <c r="B18885" s="34" t="s">
        <v>34318</v>
      </c>
      <c r="C18885" s="34" t="s">
        <v>77</v>
      </c>
      <c r="E18885" s="30" t="s">
        <v>34318</v>
      </c>
      <c r="F18885" s="34" t="n">
        <f aca="false">IFERROR(VLOOKUP($A18885,'319'!$B:$H,7,0),0)</f>
        <v>0</v>
      </c>
      <c r="G18885" s="34" t="n">
        <f aca="false">SUMIFS('12.326ana'!$C:$C,'12.326ana'!$M:$M,redes!A18885)</f>
        <v>0</v>
      </c>
    </row>
    <row r="18886" customFormat="false" ht="14.4" hidden="true" customHeight="false" outlineLevel="0" collapsed="false">
      <c r="A18886" s="34" t="n">
        <v>63897550000175</v>
      </c>
      <c r="B18886" s="34" t="s">
        <v>34319</v>
      </c>
      <c r="C18886" s="34" t="s">
        <v>842</v>
      </c>
      <c r="E18886" s="30" t="s">
        <v>34320</v>
      </c>
      <c r="F18886" s="34" t="n">
        <f aca="false">IFERROR(VLOOKUP($A18886,'319'!$B:$H,7,0),0)</f>
        <v>0</v>
      </c>
      <c r="G18886" s="34" t="n">
        <f aca="false">SUMIFS('12.326ana'!$C:$C,'12.326ana'!$M:$M,redes!A18886)</f>
        <v>0</v>
      </c>
    </row>
    <row r="18887" customFormat="false" ht="14.4" hidden="true" customHeight="false" outlineLevel="0" collapsed="false">
      <c r="A18887" s="34" t="n">
        <v>63909686000158</v>
      </c>
      <c r="B18887" s="34" t="s">
        <v>34231</v>
      </c>
      <c r="C18887" s="34" t="s">
        <v>77</v>
      </c>
      <c r="E18887" s="30" t="s">
        <v>34231</v>
      </c>
      <c r="F18887" s="34" t="n">
        <f aca="false">IFERROR(VLOOKUP($A18887,'319'!$B:$H,7,0),0)</f>
        <v>0</v>
      </c>
      <c r="G18887" s="34" t="n">
        <f aca="false">SUMIFS('12.326ana'!$C:$C,'12.326ana'!$M:$M,redes!A18887)</f>
        <v>0</v>
      </c>
    </row>
    <row r="18888" customFormat="false" ht="14.4" hidden="true" customHeight="false" outlineLevel="0" collapsed="false">
      <c r="A18888" s="34" t="n">
        <v>63951933000427</v>
      </c>
      <c r="B18888" s="34" t="s">
        <v>34321</v>
      </c>
      <c r="C18888" s="34" t="s">
        <v>34322</v>
      </c>
      <c r="E18888" s="30" t="s">
        <v>34321</v>
      </c>
      <c r="F18888" s="34" t="n">
        <f aca="false">IFERROR(VLOOKUP($A18888,'319'!$B:$H,7,0),0)</f>
        <v>0</v>
      </c>
      <c r="G18888" s="34" t="n">
        <f aca="false">SUMIFS('12.326ana'!$C:$C,'12.326ana'!$M:$M,redes!A18888)</f>
        <v>0</v>
      </c>
    </row>
    <row r="18889" customFormat="false" ht="14.4" hidden="true" customHeight="false" outlineLevel="0" collapsed="false">
      <c r="A18889" s="34" t="n">
        <v>64025666000187</v>
      </c>
      <c r="B18889" s="34" t="s">
        <v>34323</v>
      </c>
      <c r="C18889" s="34" t="s">
        <v>139</v>
      </c>
      <c r="E18889" s="30" t="s">
        <v>34324</v>
      </c>
      <c r="F18889" s="34" t="n">
        <f aca="false">IFERROR(VLOOKUP($A18889,'319'!$B:$H,7,0),0)</f>
        <v>0</v>
      </c>
      <c r="G18889" s="34" t="n">
        <f aca="false">SUMIFS('12.326ana'!$C:$C,'12.326ana'!$M:$M,redes!A18889)</f>
        <v>0</v>
      </c>
    </row>
    <row r="18890" customFormat="false" ht="14.4" hidden="true" customHeight="false" outlineLevel="0" collapsed="false">
      <c r="A18890" s="34" t="n">
        <v>64171699000135</v>
      </c>
      <c r="B18890" s="34" t="s">
        <v>34325</v>
      </c>
      <c r="C18890" s="34" t="s">
        <v>77</v>
      </c>
      <c r="E18890" s="30" t="s">
        <v>34325</v>
      </c>
      <c r="F18890" s="34" t="n">
        <f aca="false">IFERROR(VLOOKUP($A18890,'319'!$B:$H,7,0),0)</f>
        <v>0</v>
      </c>
      <c r="G18890" s="34" t="n">
        <f aca="false">SUMIFS('12.326ana'!$C:$C,'12.326ana'!$M:$M,redes!A18890)</f>
        <v>0</v>
      </c>
    </row>
    <row r="18891" customFormat="false" ht="14.4" hidden="true" customHeight="false" outlineLevel="0" collapsed="false">
      <c r="A18891" s="34" t="n">
        <v>64184466000177</v>
      </c>
      <c r="B18891" s="34" t="s">
        <v>34326</v>
      </c>
      <c r="C18891" s="34" t="s">
        <v>77</v>
      </c>
      <c r="E18891" s="30" t="s">
        <v>34069</v>
      </c>
      <c r="F18891" s="34" t="n">
        <f aca="false">IFERROR(VLOOKUP($A18891,'319'!$B:$H,7,0),0)</f>
        <v>0</v>
      </c>
      <c r="G18891" s="34" t="n">
        <f aca="false">SUMIFS('12.326ana'!$C:$C,'12.326ana'!$M:$M,redes!A18891)</f>
        <v>0</v>
      </c>
    </row>
    <row r="18892" customFormat="false" ht="14.4" hidden="true" customHeight="false" outlineLevel="0" collapsed="false">
      <c r="A18892" s="34" t="n">
        <v>64254363000136</v>
      </c>
      <c r="B18892" s="34" t="s">
        <v>34327</v>
      </c>
      <c r="C18892" s="34" t="s">
        <v>89</v>
      </c>
      <c r="E18892" s="30" t="s">
        <v>24697</v>
      </c>
      <c r="F18892" s="34" t="n">
        <f aca="false">IFERROR(VLOOKUP($A18892,'319'!$B:$H,7,0),0)</f>
        <v>0</v>
      </c>
      <c r="G18892" s="34" t="n">
        <f aca="false">SUMIFS('12.326ana'!$C:$C,'12.326ana'!$M:$M,redes!A18892)</f>
        <v>0</v>
      </c>
    </row>
    <row r="18893" customFormat="false" ht="14.4" hidden="true" customHeight="false" outlineLevel="0" collapsed="false">
      <c r="A18893" s="34" t="n">
        <v>64508697000199</v>
      </c>
      <c r="B18893" s="34" t="s">
        <v>28977</v>
      </c>
      <c r="C18893" s="34" t="s">
        <v>77</v>
      </c>
      <c r="E18893" s="30" t="s">
        <v>17279</v>
      </c>
      <c r="F18893" s="34" t="n">
        <f aca="false">IFERROR(VLOOKUP($A18893,'319'!$B:$H,7,0),0)</f>
        <v>0</v>
      </c>
      <c r="G18893" s="34" t="n">
        <f aca="false">SUMIFS('12.326ana'!$C:$C,'12.326ana'!$M:$M,redes!A18893)</f>
        <v>0</v>
      </c>
    </row>
    <row r="18894" customFormat="false" ht="14.4" hidden="true" customHeight="false" outlineLevel="0" collapsed="false">
      <c r="A18894" s="34" t="n">
        <v>64799690001800</v>
      </c>
      <c r="B18894" s="34" t="s">
        <v>28780</v>
      </c>
      <c r="C18894" s="34" t="s">
        <v>1272</v>
      </c>
      <c r="E18894" s="30" t="s">
        <v>28781</v>
      </c>
      <c r="F18894" s="34" t="n">
        <f aca="false">IFERROR(VLOOKUP($A18894,'319'!$B:$H,7,0),0)</f>
        <v>0</v>
      </c>
      <c r="G18894" s="34" t="n">
        <f aca="false">SUMIFS('12.326ana'!$C:$C,'12.326ana'!$M:$M,redes!A18894)</f>
        <v>0</v>
      </c>
    </row>
    <row r="18895" customFormat="false" ht="14.4" hidden="true" customHeight="false" outlineLevel="0" collapsed="false">
      <c r="A18895" s="34" t="n">
        <v>64807141000101</v>
      </c>
      <c r="B18895" s="34" t="s">
        <v>34328</v>
      </c>
      <c r="C18895" s="34" t="s">
        <v>342</v>
      </c>
      <c r="E18895" s="30" t="s">
        <v>34329</v>
      </c>
      <c r="F18895" s="34" t="n">
        <f aca="false">IFERROR(VLOOKUP($A18895,'319'!$B:$H,7,0),0)</f>
        <v>0</v>
      </c>
      <c r="G18895" s="34" t="n">
        <f aca="false">SUMIFS('12.326ana'!$C:$C,'12.326ana'!$M:$M,redes!A18895)</f>
        <v>0</v>
      </c>
    </row>
    <row r="18896" customFormat="false" ht="14.4" hidden="true" customHeight="false" outlineLevel="0" collapsed="false">
      <c r="A18896" s="34" t="n">
        <v>64904295002823</v>
      </c>
      <c r="B18896" s="34" t="s">
        <v>34330</v>
      </c>
      <c r="C18896" s="34" t="s">
        <v>34331</v>
      </c>
      <c r="E18896" s="30" t="s">
        <v>34332</v>
      </c>
      <c r="F18896" s="34" t="n">
        <f aca="false">IFERROR(VLOOKUP($A18896,'319'!$B:$H,7,0),0)</f>
        <v>0</v>
      </c>
      <c r="G18896" s="34" t="n">
        <f aca="false">SUMIFS('12.326ana'!$C:$C,'12.326ana'!$M:$M,redes!A18896)</f>
        <v>0</v>
      </c>
    </row>
    <row r="18897" customFormat="false" ht="14.4" hidden="true" customHeight="false" outlineLevel="0" collapsed="false">
      <c r="A18897" s="34" t="n">
        <v>64904295004281</v>
      </c>
      <c r="B18897" s="34" t="s">
        <v>34330</v>
      </c>
      <c r="C18897" s="34" t="s">
        <v>15301</v>
      </c>
      <c r="E18897" s="30" t="s">
        <v>34330</v>
      </c>
      <c r="F18897" s="34" t="n">
        <f aca="false">IFERROR(VLOOKUP($A18897,'319'!$B:$H,7,0),0)</f>
        <v>0</v>
      </c>
      <c r="G18897" s="34" t="n">
        <f aca="false">SUMIFS('12.326ana'!$C:$C,'12.326ana'!$M:$M,redes!A18897)</f>
        <v>0</v>
      </c>
    </row>
    <row r="18898" customFormat="false" ht="14.4" hidden="true" customHeight="false" outlineLevel="0" collapsed="false">
      <c r="A18898" s="34" t="n">
        <v>64948585000159</v>
      </c>
      <c r="B18898" s="34" t="s">
        <v>27342</v>
      </c>
      <c r="C18898" s="34" t="s">
        <v>129</v>
      </c>
      <c r="E18898" s="30" t="s">
        <v>27342</v>
      </c>
      <c r="F18898" s="34" t="n">
        <f aca="false">IFERROR(VLOOKUP($A18898,'319'!$B:$H,7,0),0)</f>
        <v>0</v>
      </c>
      <c r="G18898" s="34" t="n">
        <f aca="false">SUMIFS('12.326ana'!$C:$C,'12.326ana'!$M:$M,redes!A18898)</f>
        <v>0</v>
      </c>
    </row>
    <row r="18899" customFormat="false" ht="14.4" hidden="true" customHeight="false" outlineLevel="0" collapsed="false">
      <c r="A18899" s="34" t="n">
        <v>64986316000187</v>
      </c>
      <c r="B18899" s="34" t="s">
        <v>34333</v>
      </c>
      <c r="C18899" s="34" t="s">
        <v>1272</v>
      </c>
      <c r="E18899" s="30" t="s">
        <v>34333</v>
      </c>
      <c r="F18899" s="34" t="n">
        <f aca="false">IFERROR(VLOOKUP($A18899,'319'!$B:$H,7,0),0)</f>
        <v>0</v>
      </c>
      <c r="G18899" s="34" t="n">
        <f aca="false">SUMIFS('12.326ana'!$C:$C,'12.326ana'!$M:$M,redes!A18899)</f>
        <v>0</v>
      </c>
    </row>
    <row r="18900" customFormat="false" ht="14.4" hidden="true" customHeight="false" outlineLevel="0" collapsed="false">
      <c r="A18900" s="34" t="n">
        <v>65040536000186</v>
      </c>
      <c r="B18900" s="34" t="s">
        <v>34334</v>
      </c>
      <c r="C18900" s="34" t="s">
        <v>935</v>
      </c>
      <c r="E18900" s="30" t="s">
        <v>34334</v>
      </c>
      <c r="F18900" s="34" t="n">
        <f aca="false">IFERROR(VLOOKUP($A18900,'319'!$B:$H,7,0),0)</f>
        <v>0</v>
      </c>
      <c r="G18900" s="34" t="n">
        <f aca="false">SUMIFS('12.326ana'!$C:$C,'12.326ana'!$M:$M,redes!A18900)</f>
        <v>0</v>
      </c>
    </row>
    <row r="18901" customFormat="false" ht="14.4" hidden="true" customHeight="false" outlineLevel="0" collapsed="false">
      <c r="A18901" s="34" t="n">
        <v>65067597000307</v>
      </c>
      <c r="B18901" s="34" t="s">
        <v>34335</v>
      </c>
      <c r="C18901" s="34" t="s">
        <v>77</v>
      </c>
      <c r="E18901" s="30" t="s">
        <v>34336</v>
      </c>
      <c r="F18901" s="34" t="n">
        <f aca="false">IFERROR(VLOOKUP($A18901,'319'!$B:$H,7,0),0)</f>
        <v>0</v>
      </c>
      <c r="G18901" s="34" t="n">
        <f aca="false">SUMIFS('12.326ana'!$C:$C,'12.326ana'!$M:$M,redes!A18901)</f>
        <v>0</v>
      </c>
    </row>
    <row r="18902" customFormat="false" ht="14.4" hidden="true" customHeight="false" outlineLevel="0" collapsed="false">
      <c r="A18902" s="34" t="n">
        <v>65169816000199</v>
      </c>
      <c r="B18902" s="34" t="s">
        <v>34337</v>
      </c>
      <c r="C18902" s="34" t="s">
        <v>77</v>
      </c>
      <c r="E18902" s="30" t="s">
        <v>12966</v>
      </c>
      <c r="F18902" s="34" t="n">
        <f aca="false">IFERROR(VLOOKUP($A18902,'319'!$B:$H,7,0),0)</f>
        <v>0</v>
      </c>
      <c r="G18902" s="34" t="n">
        <f aca="false">SUMIFS('12.326ana'!$C:$C,'12.326ana'!$M:$M,redes!A18902)</f>
        <v>0</v>
      </c>
    </row>
    <row r="18903" customFormat="false" ht="14.4" hidden="true" customHeight="false" outlineLevel="0" collapsed="false">
      <c r="A18903" s="34" t="n">
        <v>65448764000190</v>
      </c>
      <c r="B18903" s="34" t="s">
        <v>34338</v>
      </c>
      <c r="C18903" s="34" t="s">
        <v>604</v>
      </c>
      <c r="E18903" s="30" t="s">
        <v>34339</v>
      </c>
      <c r="F18903" s="34" t="n">
        <f aca="false">IFERROR(VLOOKUP($A18903,'319'!$B:$H,7,0),0)</f>
        <v>0</v>
      </c>
      <c r="G18903" s="34" t="n">
        <f aca="false">SUMIFS('12.326ana'!$C:$C,'12.326ana'!$M:$M,redes!A18903)</f>
        <v>0</v>
      </c>
    </row>
    <row r="18904" customFormat="false" ht="14.4" hidden="true" customHeight="false" outlineLevel="0" collapsed="false">
      <c r="A18904" s="34" t="n">
        <v>65572800000122</v>
      </c>
      <c r="B18904" s="34" t="s">
        <v>34340</v>
      </c>
      <c r="C18904" s="34" t="s">
        <v>77</v>
      </c>
      <c r="E18904" s="30" t="s">
        <v>34341</v>
      </c>
      <c r="F18904" s="34" t="n">
        <f aca="false">IFERROR(VLOOKUP($A18904,'319'!$B:$H,7,0),0)</f>
        <v>0</v>
      </c>
      <c r="G18904" s="34" t="n">
        <f aca="false">SUMIFS('12.326ana'!$C:$C,'12.326ana'!$M:$M,redes!A18904)</f>
        <v>0</v>
      </c>
    </row>
    <row r="18905" customFormat="false" ht="14.4" hidden="true" customHeight="false" outlineLevel="0" collapsed="false">
      <c r="A18905" s="34" t="n">
        <v>65615753000157</v>
      </c>
      <c r="B18905" s="34" t="s">
        <v>34342</v>
      </c>
      <c r="C18905" s="34" t="s">
        <v>139</v>
      </c>
      <c r="E18905" s="30" t="s">
        <v>34343</v>
      </c>
      <c r="F18905" s="34" t="n">
        <f aca="false">IFERROR(VLOOKUP($A18905,'319'!$B:$H,7,0),0)</f>
        <v>0</v>
      </c>
      <c r="G18905" s="34" t="n">
        <f aca="false">SUMIFS('12.326ana'!$C:$C,'12.326ana'!$M:$M,redes!A18905)</f>
        <v>0</v>
      </c>
    </row>
    <row r="18906" customFormat="false" ht="14.4" hidden="true" customHeight="false" outlineLevel="0" collapsed="false">
      <c r="A18906" s="34" t="n">
        <v>65754046000303</v>
      </c>
      <c r="B18906" s="34" t="s">
        <v>34344</v>
      </c>
      <c r="C18906" s="34" t="s">
        <v>89</v>
      </c>
      <c r="E18906" s="30" t="s">
        <v>19951</v>
      </c>
      <c r="F18906" s="34" t="n">
        <f aca="false">IFERROR(VLOOKUP($A18906,'319'!$B:$H,7,0),0)</f>
        <v>0</v>
      </c>
      <c r="G18906" s="34" t="n">
        <f aca="false">SUMIFS('12.326ana'!$C:$C,'12.326ana'!$M:$M,redes!A18906)</f>
        <v>0</v>
      </c>
    </row>
    <row r="18907" customFormat="false" ht="14.4" hidden="true" customHeight="false" outlineLevel="0" collapsed="false">
      <c r="A18907" s="34" t="n">
        <v>65781889000137</v>
      </c>
      <c r="B18907" s="34" t="s">
        <v>34345</v>
      </c>
      <c r="C18907" s="34" t="s">
        <v>299</v>
      </c>
      <c r="E18907" s="30" t="s">
        <v>34345</v>
      </c>
      <c r="F18907" s="34" t="n">
        <f aca="false">IFERROR(VLOOKUP($A18907,'319'!$B:$H,7,0),0)</f>
        <v>0</v>
      </c>
      <c r="G18907" s="34" t="n">
        <f aca="false">SUMIFS('12.326ana'!$C:$C,'12.326ana'!$M:$M,redes!A18907)</f>
        <v>0</v>
      </c>
    </row>
    <row r="18908" customFormat="false" ht="14.4" hidden="true" customHeight="false" outlineLevel="0" collapsed="false">
      <c r="A18908" s="34" t="n">
        <v>65791437000136</v>
      </c>
      <c r="B18908" s="34" t="s">
        <v>34346</v>
      </c>
      <c r="C18908" s="34" t="s">
        <v>213</v>
      </c>
      <c r="E18908" s="30" t="s">
        <v>34347</v>
      </c>
      <c r="F18908" s="34" t="n">
        <f aca="false">IFERROR(VLOOKUP($A18908,'319'!$B:$H,7,0),0)</f>
        <v>0</v>
      </c>
      <c r="G18908" s="34" t="n">
        <f aca="false">SUMIFS('12.326ana'!$C:$C,'12.326ana'!$M:$M,redes!A18908)</f>
        <v>0</v>
      </c>
    </row>
    <row r="18909" customFormat="false" ht="14.4" hidden="true" customHeight="false" outlineLevel="0" collapsed="false">
      <c r="A18909" s="34" t="n">
        <v>65810328000119</v>
      </c>
      <c r="B18909" s="34" t="s">
        <v>34348</v>
      </c>
      <c r="C18909" s="34" t="s">
        <v>77</v>
      </c>
      <c r="E18909" s="30" t="s">
        <v>34348</v>
      </c>
      <c r="F18909" s="34" t="n">
        <f aca="false">IFERROR(VLOOKUP($A18909,'319'!$B:$H,7,0),0)</f>
        <v>0</v>
      </c>
      <c r="G18909" s="34" t="n">
        <f aca="false">SUMIFS('12.326ana'!$C:$C,'12.326ana'!$M:$M,redes!A18909)</f>
        <v>0</v>
      </c>
    </row>
    <row r="18910" customFormat="false" ht="14.4" hidden="true" customHeight="false" outlineLevel="0" collapsed="false">
      <c r="A18910" s="34" t="n">
        <v>65870227000133</v>
      </c>
      <c r="B18910" s="34" t="s">
        <v>34349</v>
      </c>
      <c r="C18910" s="34" t="s">
        <v>342</v>
      </c>
      <c r="E18910" s="30" t="s">
        <v>34349</v>
      </c>
      <c r="F18910" s="34" t="n">
        <f aca="false">IFERROR(VLOOKUP($A18910,'319'!$B:$H,7,0),0)</f>
        <v>0</v>
      </c>
      <c r="G18910" s="34" t="n">
        <f aca="false">SUMIFS('12.326ana'!$C:$C,'12.326ana'!$M:$M,redes!A18910)</f>
        <v>0</v>
      </c>
    </row>
    <row r="18911" customFormat="false" ht="14.4" hidden="true" customHeight="false" outlineLevel="0" collapsed="false">
      <c r="A18911" s="34" t="n">
        <v>65878378000138</v>
      </c>
      <c r="B18911" s="34" t="s">
        <v>34350</v>
      </c>
      <c r="C18911" s="34" t="s">
        <v>598</v>
      </c>
      <c r="E18911" s="30" t="s">
        <v>793</v>
      </c>
      <c r="F18911" s="34" t="n">
        <f aca="false">IFERROR(VLOOKUP($A18911,'319'!$B:$H,7,0),0)</f>
        <v>2975.49</v>
      </c>
      <c r="G18911" s="34" t="n">
        <f aca="false">SUMIFS('12.326ana'!$C:$C,'12.326ana'!$M:$M,redes!A18911)</f>
        <v>0</v>
      </c>
    </row>
    <row r="18912" customFormat="false" ht="14.4" hidden="true" customHeight="false" outlineLevel="0" collapsed="false">
      <c r="A18912" s="34" t="n">
        <v>66221472000182</v>
      </c>
      <c r="B18912" s="34" t="s">
        <v>34351</v>
      </c>
      <c r="C18912" s="34" t="s">
        <v>475</v>
      </c>
      <c r="E18912" s="30" t="s">
        <v>34352</v>
      </c>
      <c r="F18912" s="34" t="n">
        <f aca="false">IFERROR(VLOOKUP($A18912,'319'!$B:$H,7,0),0)</f>
        <v>0</v>
      </c>
      <c r="G18912" s="34" t="n">
        <f aca="false">SUMIFS('12.326ana'!$C:$C,'12.326ana'!$M:$M,redes!A18912)</f>
        <v>0</v>
      </c>
    </row>
    <row r="18913" customFormat="false" ht="14.4" hidden="true" customHeight="false" outlineLevel="0" collapsed="false">
      <c r="A18913" s="34" t="n">
        <v>66789563000119</v>
      </c>
      <c r="B18913" s="34" t="s">
        <v>34353</v>
      </c>
      <c r="C18913" s="34" t="s">
        <v>192</v>
      </c>
      <c r="E18913" s="30" t="s">
        <v>34354</v>
      </c>
      <c r="F18913" s="34" t="n">
        <f aca="false">IFERROR(VLOOKUP($A18913,'319'!$B:$H,7,0),0)</f>
        <v>0</v>
      </c>
      <c r="G18913" s="34" t="n">
        <f aca="false">SUMIFS('12.326ana'!$C:$C,'12.326ana'!$M:$M,redes!A18913)</f>
        <v>0</v>
      </c>
    </row>
    <row r="18914" customFormat="false" ht="14.4" hidden="true" customHeight="false" outlineLevel="0" collapsed="false">
      <c r="A18914" s="34" t="n">
        <v>68965078000184</v>
      </c>
      <c r="B18914" s="34" t="s">
        <v>34355</v>
      </c>
      <c r="C18914" s="34" t="s">
        <v>139</v>
      </c>
      <c r="E18914" s="30" t="s">
        <v>34356</v>
      </c>
      <c r="F18914" s="34" t="n">
        <f aca="false">IFERROR(VLOOKUP($A18914,'319'!$B:$H,7,0),0)</f>
        <v>0</v>
      </c>
      <c r="G18914" s="34" t="n">
        <f aca="false">SUMIFS('12.326ana'!$C:$C,'12.326ana'!$M:$M,redes!A18914)</f>
        <v>0</v>
      </c>
    </row>
    <row r="18915" customFormat="false" ht="14.4" hidden="true" customHeight="false" outlineLevel="0" collapsed="false">
      <c r="A18915" s="34" t="n">
        <v>69020915000831</v>
      </c>
      <c r="B18915" s="34" t="s">
        <v>34357</v>
      </c>
      <c r="C18915" s="34" t="s">
        <v>34358</v>
      </c>
      <c r="E18915" s="30" t="s">
        <v>34357</v>
      </c>
      <c r="F18915" s="34" t="n">
        <f aca="false">IFERROR(VLOOKUP($A18915,'319'!$B:$H,7,0),0)</f>
        <v>0</v>
      </c>
      <c r="G18915" s="34" t="n">
        <f aca="false">SUMIFS('12.326ana'!$C:$C,'12.326ana'!$M:$M,redes!A18915)</f>
        <v>0</v>
      </c>
    </row>
    <row r="18916" customFormat="false" ht="14.4" hidden="true" customHeight="false" outlineLevel="0" collapsed="false">
      <c r="A18916" s="34" t="n">
        <v>70354600000133</v>
      </c>
      <c r="B18916" s="34" t="s">
        <v>34359</v>
      </c>
      <c r="C18916" s="34" t="s">
        <v>77</v>
      </c>
      <c r="E18916" s="30" t="s">
        <v>34360</v>
      </c>
      <c r="F18916" s="34" t="n">
        <f aca="false">IFERROR(VLOOKUP($A18916,'319'!$B:$H,7,0),0)</f>
        <v>0</v>
      </c>
      <c r="G18916" s="34" t="n">
        <f aca="false">SUMIFS('12.326ana'!$C:$C,'12.326ana'!$M:$M,redes!A18916)</f>
        <v>0</v>
      </c>
    </row>
    <row r="18917" customFormat="false" ht="14.4" hidden="true" customHeight="false" outlineLevel="0" collapsed="false">
      <c r="A18917" s="34" t="n">
        <v>70354626000181</v>
      </c>
      <c r="B18917" s="34" t="s">
        <v>34361</v>
      </c>
      <c r="C18917" s="34" t="s">
        <v>107</v>
      </c>
      <c r="E18917" s="30" t="s">
        <v>34362</v>
      </c>
      <c r="F18917" s="34" t="n">
        <f aca="false">IFERROR(VLOOKUP($A18917,'319'!$B:$H,7,0),0)</f>
        <v>0</v>
      </c>
      <c r="G18917" s="34" t="n">
        <f aca="false">SUMIFS('12.326ana'!$C:$C,'12.326ana'!$M:$M,redes!A18917)</f>
        <v>0</v>
      </c>
    </row>
    <row r="18918" customFormat="false" ht="14.4" hidden="true" customHeight="false" outlineLevel="0" collapsed="false">
      <c r="A18918" s="34" t="n">
        <v>70355201000197</v>
      </c>
      <c r="B18918" s="34" t="s">
        <v>7818</v>
      </c>
      <c r="C18918" s="34" t="s">
        <v>77</v>
      </c>
      <c r="E18918" s="30" t="s">
        <v>5750</v>
      </c>
      <c r="F18918" s="34" t="n">
        <f aca="false">IFERROR(VLOOKUP($A18918,'319'!$B:$H,7,0),0)</f>
        <v>0</v>
      </c>
      <c r="G18918" s="34" t="n">
        <f aca="false">SUMIFS('12.326ana'!$C:$C,'12.326ana'!$M:$M,redes!A18918)</f>
        <v>0</v>
      </c>
    </row>
    <row r="18919" customFormat="false" ht="14.4" hidden="true" customHeight="false" outlineLevel="0" collapsed="false">
      <c r="A18919" s="34" t="n">
        <v>70355615000116</v>
      </c>
      <c r="B18919" s="34" t="s">
        <v>975</v>
      </c>
      <c r="C18919" s="34" t="s">
        <v>976</v>
      </c>
      <c r="E18919" s="30" t="s">
        <v>34363</v>
      </c>
      <c r="F18919" s="34" t="n">
        <f aca="false">IFERROR(VLOOKUP($A18919,'319'!$B:$H,7,0),0)</f>
        <v>1013</v>
      </c>
      <c r="G18919" s="34" t="n">
        <f aca="false">SUMIFS('12.326ana'!$C:$C,'12.326ana'!$M:$M,redes!A18919)</f>
        <v>0</v>
      </c>
    </row>
    <row r="18920" customFormat="false" ht="14.4" hidden="true" customHeight="false" outlineLevel="0" collapsed="false">
      <c r="A18920" s="34" t="n">
        <v>70356084000186</v>
      </c>
      <c r="B18920" s="34" t="s">
        <v>34364</v>
      </c>
      <c r="C18920" s="34" t="s">
        <v>103</v>
      </c>
      <c r="E18920" s="30" t="s">
        <v>34365</v>
      </c>
      <c r="F18920" s="34" t="n">
        <f aca="false">IFERROR(VLOOKUP($A18920,'319'!$B:$H,7,0),0)</f>
        <v>0</v>
      </c>
      <c r="G18920" s="34" t="n">
        <f aca="false">SUMIFS('12.326ana'!$C:$C,'12.326ana'!$M:$M,redes!A18920)</f>
        <v>0</v>
      </c>
    </row>
    <row r="18921" customFormat="false" ht="14.4" hidden="true" customHeight="false" outlineLevel="0" collapsed="false">
      <c r="A18921" s="34" t="n">
        <v>70356357000192</v>
      </c>
      <c r="B18921" s="34" t="s">
        <v>34366</v>
      </c>
      <c r="C18921" s="34" t="s">
        <v>77</v>
      </c>
      <c r="E18921" s="30" t="s">
        <v>34367</v>
      </c>
      <c r="F18921" s="34" t="n">
        <f aca="false">IFERROR(VLOOKUP($A18921,'319'!$B:$H,7,0),0)</f>
        <v>0</v>
      </c>
      <c r="G18921" s="34" t="n">
        <f aca="false">SUMIFS('12.326ana'!$C:$C,'12.326ana'!$M:$M,redes!A18921)</f>
        <v>0</v>
      </c>
    </row>
    <row r="18922" customFormat="false" ht="14.4" hidden="true" customHeight="false" outlineLevel="0" collapsed="false">
      <c r="A18922" s="34" t="n">
        <v>70356449000687</v>
      </c>
      <c r="B18922" s="34" t="s">
        <v>34368</v>
      </c>
      <c r="C18922" s="34" t="s">
        <v>377</v>
      </c>
      <c r="E18922" s="30" t="s">
        <v>34369</v>
      </c>
      <c r="F18922" s="34" t="n">
        <f aca="false">IFERROR(VLOOKUP($A18922,'319'!$B:$H,7,0),0)</f>
        <v>-233.47</v>
      </c>
      <c r="G18922" s="34" t="n">
        <f aca="false">SUMIFS('12.326ana'!$C:$C,'12.326ana'!$M:$M,redes!A18922)</f>
        <v>0</v>
      </c>
    </row>
    <row r="18923" customFormat="false" ht="14.4" hidden="true" customHeight="false" outlineLevel="0" collapsed="false">
      <c r="A18923" s="34" t="n">
        <v>70356449000849</v>
      </c>
      <c r="B18923" s="34" t="s">
        <v>34370</v>
      </c>
      <c r="C18923" s="34" t="s">
        <v>351</v>
      </c>
      <c r="E18923" s="30" t="s">
        <v>34371</v>
      </c>
      <c r="F18923" s="34" t="n">
        <f aca="false">IFERROR(VLOOKUP($A18923,'319'!$B:$H,7,0),0)</f>
        <v>0</v>
      </c>
      <c r="G18923" s="34" t="n">
        <f aca="false">SUMIFS('12.326ana'!$C:$C,'12.326ana'!$M:$M,redes!A18923)</f>
        <v>0</v>
      </c>
    </row>
    <row r="18924" customFormat="false" ht="14.4" hidden="true" customHeight="false" outlineLevel="0" collapsed="false">
      <c r="A18924" s="34" t="n">
        <v>70357496000130</v>
      </c>
      <c r="B18924" s="34" t="s">
        <v>34372</v>
      </c>
      <c r="C18924" s="34" t="s">
        <v>77</v>
      </c>
      <c r="E18924" s="30" t="s">
        <v>34373</v>
      </c>
      <c r="F18924" s="34" t="n">
        <f aca="false">IFERROR(VLOOKUP($A18924,'319'!$B:$H,7,0),0)</f>
        <v>0</v>
      </c>
      <c r="G18924" s="34" t="n">
        <f aca="false">SUMIFS('12.326ana'!$C:$C,'12.326ana'!$M:$M,redes!A18924)</f>
        <v>0</v>
      </c>
    </row>
    <row r="18925" customFormat="false" ht="14.4" hidden="true" customHeight="false" outlineLevel="0" collapsed="false">
      <c r="A18925" s="34" t="n">
        <v>70357496000211</v>
      </c>
      <c r="B18925" s="34" t="s">
        <v>34374</v>
      </c>
      <c r="C18925" s="34" t="s">
        <v>77</v>
      </c>
      <c r="E18925" s="30" t="s">
        <v>34373</v>
      </c>
      <c r="F18925" s="34" t="n">
        <f aca="false">IFERROR(VLOOKUP($A18925,'319'!$B:$H,7,0),0)</f>
        <v>0</v>
      </c>
      <c r="G18925" s="34" t="n">
        <f aca="false">SUMIFS('12.326ana'!$C:$C,'12.326ana'!$M:$M,redes!A18925)</f>
        <v>0</v>
      </c>
    </row>
    <row r="18926" customFormat="false" ht="14.4" hidden="true" customHeight="false" outlineLevel="0" collapsed="false">
      <c r="A18926" s="34" t="n">
        <v>70357496000483</v>
      </c>
      <c r="B18926" s="34" t="s">
        <v>34372</v>
      </c>
      <c r="C18926" s="34" t="s">
        <v>77</v>
      </c>
      <c r="E18926" s="30" t="s">
        <v>34373</v>
      </c>
      <c r="F18926" s="34" t="n">
        <f aca="false">IFERROR(VLOOKUP($A18926,'319'!$B:$H,7,0),0)</f>
        <v>0</v>
      </c>
      <c r="G18926" s="34" t="n">
        <f aca="false">SUMIFS('12.326ana'!$C:$C,'12.326ana'!$M:$M,redes!A18926)</f>
        <v>0</v>
      </c>
    </row>
    <row r="18927" customFormat="false" ht="14.4" hidden="true" customHeight="false" outlineLevel="0" collapsed="false">
      <c r="A18927" s="34" t="n">
        <v>70357751000145</v>
      </c>
      <c r="B18927" s="34" t="s">
        <v>34375</v>
      </c>
      <c r="C18927" s="34" t="s">
        <v>77</v>
      </c>
      <c r="E18927" s="30" t="s">
        <v>3194</v>
      </c>
      <c r="F18927" s="34" t="n">
        <f aca="false">IFERROR(VLOOKUP($A18927,'319'!$B:$H,7,0),0)</f>
        <v>0</v>
      </c>
      <c r="G18927" s="34" t="n">
        <f aca="false">SUMIFS('12.326ana'!$C:$C,'12.326ana'!$M:$M,redes!A18927)</f>
        <v>0</v>
      </c>
    </row>
    <row r="18928" customFormat="false" ht="14.4" hidden="true" customHeight="false" outlineLevel="0" collapsed="false">
      <c r="A18928" s="34" t="n">
        <v>70357777000193</v>
      </c>
      <c r="B18928" s="34" t="s">
        <v>34376</v>
      </c>
      <c r="C18928" s="34" t="s">
        <v>604</v>
      </c>
      <c r="E18928" s="30" t="s">
        <v>12050</v>
      </c>
      <c r="F18928" s="34" t="n">
        <f aca="false">IFERROR(VLOOKUP($A18928,'319'!$B:$H,7,0),0)</f>
        <v>0</v>
      </c>
      <c r="G18928" s="34" t="n">
        <f aca="false">SUMIFS('12.326ana'!$C:$C,'12.326ana'!$M:$M,redes!A18928)</f>
        <v>0</v>
      </c>
    </row>
    <row r="18929" customFormat="false" ht="14.4" hidden="true" customHeight="false" outlineLevel="0" collapsed="false">
      <c r="A18929" s="34" t="n">
        <v>70357785000130</v>
      </c>
      <c r="B18929" s="34" t="s">
        <v>34377</v>
      </c>
      <c r="C18929" s="34" t="s">
        <v>107</v>
      </c>
      <c r="E18929" s="30" t="s">
        <v>4638</v>
      </c>
      <c r="F18929" s="34" t="n">
        <f aca="false">IFERROR(VLOOKUP($A18929,'319'!$B:$H,7,0),0)</f>
        <v>0</v>
      </c>
      <c r="G18929" s="34" t="n">
        <f aca="false">SUMIFS('12.326ana'!$C:$C,'12.326ana'!$M:$M,redes!A18929)</f>
        <v>0</v>
      </c>
    </row>
    <row r="18930" customFormat="false" ht="14.4" hidden="true" customHeight="false" outlineLevel="0" collapsed="false">
      <c r="A18930" s="34" t="n">
        <v>70358874000109</v>
      </c>
      <c r="B18930" s="34" t="s">
        <v>34378</v>
      </c>
      <c r="C18930" s="34" t="s">
        <v>107</v>
      </c>
      <c r="E18930" s="30" t="s">
        <v>34379</v>
      </c>
      <c r="F18930" s="34" t="n">
        <f aca="false">IFERROR(VLOOKUP($A18930,'319'!$B:$H,7,0),0)</f>
        <v>0</v>
      </c>
      <c r="G18930" s="34" t="n">
        <f aca="false">SUMIFS('12.326ana'!$C:$C,'12.326ana'!$M:$M,redes!A18930)</f>
        <v>0</v>
      </c>
    </row>
    <row r="18931" customFormat="false" ht="14.4" hidden="true" customHeight="false" outlineLevel="0" collapsed="false">
      <c r="A18931" s="34" t="n">
        <v>70358924000140</v>
      </c>
      <c r="B18931" s="34" t="s">
        <v>34380</v>
      </c>
      <c r="C18931" s="34" t="s">
        <v>77</v>
      </c>
      <c r="E18931" s="30" t="s">
        <v>22138</v>
      </c>
      <c r="F18931" s="34" t="n">
        <f aca="false">IFERROR(VLOOKUP($A18931,'319'!$B:$H,7,0),0)</f>
        <v>0</v>
      </c>
      <c r="G18931" s="34" t="n">
        <f aca="false">SUMIFS('12.326ana'!$C:$C,'12.326ana'!$M:$M,redes!A18931)</f>
        <v>0</v>
      </c>
    </row>
    <row r="18932" customFormat="false" ht="14.4" hidden="true" customHeight="false" outlineLevel="0" collapsed="false">
      <c r="A18932" s="34" t="n">
        <v>70359013000137</v>
      </c>
      <c r="B18932" s="34" t="s">
        <v>34381</v>
      </c>
      <c r="C18932" s="34" t="s">
        <v>4829</v>
      </c>
      <c r="E18932" s="30" t="s">
        <v>34382</v>
      </c>
      <c r="F18932" s="34" t="n">
        <f aca="false">IFERROR(VLOOKUP($A18932,'319'!$B:$H,7,0),0)</f>
        <v>0</v>
      </c>
      <c r="G18932" s="34" t="n">
        <f aca="false">SUMIFS('12.326ana'!$C:$C,'12.326ana'!$M:$M,redes!A18932)</f>
        <v>0</v>
      </c>
    </row>
    <row r="18933" customFormat="false" ht="14.4" hidden="true" customHeight="false" outlineLevel="0" collapsed="false">
      <c r="A18933" s="34" t="n">
        <v>70359542000130</v>
      </c>
      <c r="B18933" s="34" t="s">
        <v>34383</v>
      </c>
      <c r="C18933" s="34" t="s">
        <v>967</v>
      </c>
      <c r="E18933" s="30" t="s">
        <v>3078</v>
      </c>
      <c r="F18933" s="34" t="n">
        <f aca="false">IFERROR(VLOOKUP($A18933,'319'!$B:$H,7,0),0)</f>
        <v>0</v>
      </c>
      <c r="G18933" s="34" t="n">
        <f aca="false">SUMIFS('12.326ana'!$C:$C,'12.326ana'!$M:$M,redes!A18933)</f>
        <v>0</v>
      </c>
    </row>
    <row r="18934" customFormat="false" ht="14.4" hidden="true" customHeight="false" outlineLevel="0" collapsed="false">
      <c r="A18934" s="34" t="n">
        <v>70359864000180</v>
      </c>
      <c r="B18934" s="34" t="s">
        <v>34384</v>
      </c>
      <c r="C18934" s="34" t="s">
        <v>546</v>
      </c>
      <c r="E18934" s="30" t="s">
        <v>34385</v>
      </c>
      <c r="F18934" s="34" t="n">
        <f aca="false">IFERROR(VLOOKUP($A18934,'319'!$B:$H,7,0),0)</f>
        <v>0</v>
      </c>
      <c r="G18934" s="34" t="n">
        <f aca="false">SUMIFS('12.326ana'!$C:$C,'12.326ana'!$M:$M,redes!A18934)</f>
        <v>0</v>
      </c>
    </row>
    <row r="18935" customFormat="false" ht="14.4" hidden="true" customHeight="false" outlineLevel="0" collapsed="false">
      <c r="A18935" s="34" t="n">
        <v>70359898000174</v>
      </c>
      <c r="B18935" s="34" t="s">
        <v>34386</v>
      </c>
      <c r="C18935" s="34" t="s">
        <v>77</v>
      </c>
      <c r="E18935" s="30" t="s">
        <v>34387</v>
      </c>
      <c r="F18935" s="34" t="n">
        <f aca="false">IFERROR(VLOOKUP($A18935,'319'!$B:$H,7,0),0)</f>
        <v>0</v>
      </c>
      <c r="G18935" s="34" t="n">
        <f aca="false">SUMIFS('12.326ana'!$C:$C,'12.326ana'!$M:$M,redes!A18935)</f>
        <v>0</v>
      </c>
    </row>
    <row r="18936" customFormat="false" ht="14.4" hidden="true" customHeight="false" outlineLevel="0" collapsed="false">
      <c r="A18936" s="34" t="n">
        <v>70360615000104</v>
      </c>
      <c r="B18936" s="34" t="s">
        <v>34388</v>
      </c>
      <c r="C18936" s="34" t="s">
        <v>562</v>
      </c>
      <c r="D18936" s="34" t="s">
        <v>33</v>
      </c>
      <c r="E18936" s="30" t="s">
        <v>13290</v>
      </c>
      <c r="F18936" s="34" t="n">
        <f aca="false">IFERROR(VLOOKUP($A18936,'319'!$B:$H,7,0),0)</f>
        <v>0</v>
      </c>
      <c r="G18936" s="34" t="n">
        <f aca="false">SUMIFS('12.326ana'!$C:$C,'12.326ana'!$M:$M,redes!A18936)</f>
        <v>0</v>
      </c>
    </row>
    <row r="18937" customFormat="false" ht="14.4" hidden="true" customHeight="false" outlineLevel="0" collapsed="false">
      <c r="A18937" s="34" t="n">
        <v>70360656000109</v>
      </c>
      <c r="B18937" s="34" t="s">
        <v>34389</v>
      </c>
      <c r="C18937" s="34" t="s">
        <v>562</v>
      </c>
      <c r="E18937" s="30" t="s">
        <v>2912</v>
      </c>
      <c r="F18937" s="34" t="n">
        <f aca="false">IFERROR(VLOOKUP($A18937,'319'!$B:$H,7,0),0)</f>
        <v>0</v>
      </c>
      <c r="G18937" s="34" t="n">
        <f aca="false">SUMIFS('12.326ana'!$C:$C,'12.326ana'!$M:$M,redes!A18937)</f>
        <v>0</v>
      </c>
    </row>
    <row r="18938" customFormat="false" ht="14.4" hidden="true" customHeight="false" outlineLevel="0" collapsed="false">
      <c r="A18938" s="34" t="n">
        <v>70360870000157</v>
      </c>
      <c r="B18938" s="34" t="s">
        <v>34390</v>
      </c>
      <c r="C18938" s="34" t="s">
        <v>77</v>
      </c>
      <c r="E18938" s="30" t="s">
        <v>29221</v>
      </c>
      <c r="F18938" s="34" t="n">
        <f aca="false">IFERROR(VLOOKUP($A18938,'319'!$B:$H,7,0),0)</f>
        <v>0</v>
      </c>
      <c r="G18938" s="34" t="n">
        <f aca="false">SUMIFS('12.326ana'!$C:$C,'12.326ana'!$M:$M,redes!A18938)</f>
        <v>0</v>
      </c>
    </row>
    <row r="18939" customFormat="false" ht="14.4" hidden="true" customHeight="false" outlineLevel="0" collapsed="false">
      <c r="A18939" s="34" t="n">
        <v>70361050000180</v>
      </c>
      <c r="B18939" s="34" t="s">
        <v>34391</v>
      </c>
      <c r="C18939" s="34" t="s">
        <v>6278</v>
      </c>
      <c r="E18939" s="30" t="s">
        <v>34392</v>
      </c>
      <c r="F18939" s="34" t="n">
        <f aca="false">IFERROR(VLOOKUP($A18939,'319'!$B:$H,7,0),0)</f>
        <v>0</v>
      </c>
      <c r="G18939" s="34" t="n">
        <f aca="false">SUMIFS('12.326ana'!$C:$C,'12.326ana'!$M:$M,redes!A18939)</f>
        <v>0</v>
      </c>
    </row>
    <row r="18940" customFormat="false" ht="14.4" hidden="true" customHeight="false" outlineLevel="0" collapsed="false">
      <c r="A18940" s="34" t="n">
        <v>70361159000117</v>
      </c>
      <c r="B18940" s="34" t="s">
        <v>34393</v>
      </c>
      <c r="C18940" s="34" t="s">
        <v>77</v>
      </c>
      <c r="E18940" s="30" t="s">
        <v>34394</v>
      </c>
      <c r="F18940" s="34" t="n">
        <f aca="false">IFERROR(VLOOKUP($A18940,'319'!$B:$H,7,0),0)</f>
        <v>0</v>
      </c>
      <c r="G18940" s="34" t="n">
        <f aca="false">SUMIFS('12.326ana'!$C:$C,'12.326ana'!$M:$M,redes!A18940)</f>
        <v>0</v>
      </c>
    </row>
    <row r="18941" customFormat="false" ht="14.4" hidden="true" customHeight="false" outlineLevel="0" collapsed="false">
      <c r="A18941" s="34" t="n">
        <v>70361472000155</v>
      </c>
      <c r="B18941" s="34" t="s">
        <v>34395</v>
      </c>
      <c r="C18941" s="34" t="s">
        <v>1618</v>
      </c>
      <c r="E18941" s="30" t="s">
        <v>4499</v>
      </c>
      <c r="F18941" s="34" t="n">
        <f aca="false">IFERROR(VLOOKUP($A18941,'319'!$B:$H,7,0),0)</f>
        <v>0</v>
      </c>
      <c r="G18941" s="34" t="n">
        <f aca="false">SUMIFS('12.326ana'!$C:$C,'12.326ana'!$M:$M,redes!A18941)</f>
        <v>0</v>
      </c>
    </row>
    <row r="18942" customFormat="false" ht="14.4" hidden="true" customHeight="false" outlineLevel="0" collapsed="false">
      <c r="A18942" s="34" t="n">
        <v>70361548000142</v>
      </c>
      <c r="B18942" s="34" t="s">
        <v>34396</v>
      </c>
      <c r="C18942" s="34" t="s">
        <v>804</v>
      </c>
      <c r="E18942" s="30" t="s">
        <v>34397</v>
      </c>
      <c r="F18942" s="34" t="n">
        <f aca="false">IFERROR(VLOOKUP($A18942,'319'!$B:$H,7,0),0)</f>
        <v>0</v>
      </c>
      <c r="G18942" s="34" t="n">
        <f aca="false">SUMIFS('12.326ana'!$C:$C,'12.326ana'!$M:$M,redes!A18942)</f>
        <v>0</v>
      </c>
    </row>
    <row r="18943" customFormat="false" ht="14.4" hidden="true" customHeight="false" outlineLevel="0" collapsed="false">
      <c r="A18943" s="34" t="n">
        <v>70361688000110</v>
      </c>
      <c r="B18943" s="34" t="s">
        <v>34398</v>
      </c>
      <c r="C18943" s="34" t="s">
        <v>309</v>
      </c>
      <c r="E18943" s="30" t="s">
        <v>34399</v>
      </c>
      <c r="F18943" s="34" t="n">
        <f aca="false">IFERROR(VLOOKUP($A18943,'319'!$B:$H,7,0),0)</f>
        <v>0</v>
      </c>
      <c r="G18943" s="34" t="n">
        <f aca="false">SUMIFS('12.326ana'!$C:$C,'12.326ana'!$M:$M,redes!A18943)</f>
        <v>0</v>
      </c>
    </row>
    <row r="18944" customFormat="false" ht="14.4" hidden="true" customHeight="false" outlineLevel="0" collapsed="false">
      <c r="A18944" s="34" t="n">
        <v>70362033000167</v>
      </c>
      <c r="B18944" s="34" t="s">
        <v>34400</v>
      </c>
      <c r="C18944" s="34" t="s">
        <v>107</v>
      </c>
      <c r="E18944" s="30" t="s">
        <v>34401</v>
      </c>
      <c r="F18944" s="34" t="n">
        <f aca="false">IFERROR(VLOOKUP($A18944,'319'!$B:$H,7,0),0)</f>
        <v>0</v>
      </c>
      <c r="G18944" s="34" t="n">
        <f aca="false">SUMIFS('12.326ana'!$C:$C,'12.326ana'!$M:$M,redes!A18944)</f>
        <v>0</v>
      </c>
    </row>
    <row r="18945" customFormat="false" ht="14.4" hidden="true" customHeight="false" outlineLevel="0" collapsed="false">
      <c r="A18945" s="34" t="n">
        <v>70362306000173</v>
      </c>
      <c r="B18945" s="34" t="s">
        <v>10901</v>
      </c>
      <c r="C18945" s="34" t="s">
        <v>1591</v>
      </c>
      <c r="E18945" s="30" t="s">
        <v>3807</v>
      </c>
      <c r="F18945" s="34" t="n">
        <f aca="false">IFERROR(VLOOKUP($A18945,'319'!$B:$H,7,0),0)</f>
        <v>0</v>
      </c>
      <c r="G18945" s="34" t="n">
        <f aca="false">SUMIFS('12.326ana'!$C:$C,'12.326ana'!$M:$M,redes!A18945)</f>
        <v>0</v>
      </c>
    </row>
    <row r="18946" customFormat="false" ht="14.4" hidden="true" customHeight="false" outlineLevel="0" collapsed="false">
      <c r="A18946" s="34" t="n">
        <v>70362397000147</v>
      </c>
      <c r="B18946" s="34" t="s">
        <v>34402</v>
      </c>
      <c r="C18946" s="34" t="s">
        <v>77</v>
      </c>
      <c r="D18946" s="34" t="s">
        <v>23</v>
      </c>
      <c r="E18946" s="30" t="s">
        <v>34403</v>
      </c>
      <c r="F18946" s="34" t="n">
        <f aca="false">IFERROR(VLOOKUP($A18946,'319'!$B:$H,7,0),0)</f>
        <v>0</v>
      </c>
      <c r="G18946" s="34" t="n">
        <f aca="false">SUMIFS('12.326ana'!$C:$C,'12.326ana'!$M:$M,redes!A18946)</f>
        <v>0</v>
      </c>
    </row>
    <row r="18947" customFormat="false" ht="14.4" hidden="true" customHeight="false" outlineLevel="0" collapsed="false">
      <c r="A18947" s="34" t="n">
        <v>70362686000146</v>
      </c>
      <c r="B18947" s="34" t="s">
        <v>34404</v>
      </c>
      <c r="C18947" s="34" t="s">
        <v>89</v>
      </c>
      <c r="E18947" s="30" t="s">
        <v>34405</v>
      </c>
      <c r="F18947" s="34" t="n">
        <f aca="false">IFERROR(VLOOKUP($A18947,'319'!$B:$H,7,0),0)</f>
        <v>0</v>
      </c>
      <c r="G18947" s="34" t="n">
        <f aca="false">SUMIFS('12.326ana'!$C:$C,'12.326ana'!$M:$M,redes!A18947)</f>
        <v>0</v>
      </c>
    </row>
    <row r="18948" customFormat="false" ht="14.4" hidden="true" customHeight="false" outlineLevel="0" collapsed="false">
      <c r="A18948" s="34" t="n">
        <v>70362835000258</v>
      </c>
      <c r="B18948" s="34" t="s">
        <v>34406</v>
      </c>
      <c r="C18948" s="34" t="s">
        <v>77</v>
      </c>
      <c r="E18948" s="30" t="s">
        <v>3304</v>
      </c>
      <c r="F18948" s="34" t="n">
        <f aca="false">IFERROR(VLOOKUP($A18948,'319'!$B:$H,7,0),0)</f>
        <v>0</v>
      </c>
      <c r="G18948" s="34" t="n">
        <f aca="false">SUMIFS('12.326ana'!$C:$C,'12.326ana'!$M:$M,redes!A18948)</f>
        <v>0</v>
      </c>
    </row>
    <row r="18949" customFormat="false" ht="14.4" hidden="true" customHeight="false" outlineLevel="0" collapsed="false">
      <c r="A18949" s="34" t="n">
        <v>70363270000142</v>
      </c>
      <c r="B18949" s="34" t="s">
        <v>34407</v>
      </c>
      <c r="C18949" s="34" t="s">
        <v>77</v>
      </c>
      <c r="E18949" s="30" t="s">
        <v>5802</v>
      </c>
      <c r="F18949" s="34" t="n">
        <f aca="false">IFERROR(VLOOKUP($A18949,'319'!$B:$H,7,0),0)</f>
        <v>0</v>
      </c>
      <c r="G18949" s="34" t="n">
        <f aca="false">SUMIFS('12.326ana'!$C:$C,'12.326ana'!$M:$M,redes!A18949)</f>
        <v>0</v>
      </c>
    </row>
    <row r="18950" customFormat="false" ht="14.4" hidden="true" customHeight="false" outlineLevel="0" collapsed="false">
      <c r="A18950" s="34" t="n">
        <v>70364807000199</v>
      </c>
      <c r="B18950" s="34" t="s">
        <v>34408</v>
      </c>
      <c r="C18950" s="34" t="s">
        <v>737</v>
      </c>
      <c r="E18950" s="30" t="s">
        <v>13527</v>
      </c>
      <c r="F18950" s="34" t="n">
        <f aca="false">IFERROR(VLOOKUP($A18950,'319'!$B:$H,7,0),0)</f>
        <v>0</v>
      </c>
      <c r="G18950" s="34" t="n">
        <f aca="false">SUMIFS('12.326ana'!$C:$C,'12.326ana'!$M:$M,redes!A18950)</f>
        <v>0</v>
      </c>
    </row>
    <row r="18951" customFormat="false" ht="14.4" hidden="true" customHeight="false" outlineLevel="0" collapsed="false">
      <c r="A18951" s="34" t="n">
        <v>70364922000163</v>
      </c>
      <c r="B18951" s="34" t="s">
        <v>34409</v>
      </c>
      <c r="C18951" s="34" t="s">
        <v>77</v>
      </c>
      <c r="E18951" s="30" t="s">
        <v>34410</v>
      </c>
      <c r="F18951" s="34" t="n">
        <f aca="false">IFERROR(VLOOKUP($A18951,'319'!$B:$H,7,0),0)</f>
        <v>0</v>
      </c>
      <c r="G18951" s="34" t="n">
        <f aca="false">SUMIFS('12.326ana'!$C:$C,'12.326ana'!$M:$M,redes!A18951)</f>
        <v>0</v>
      </c>
    </row>
    <row r="18952" customFormat="false" ht="14.4" hidden="true" customHeight="false" outlineLevel="0" collapsed="false">
      <c r="A18952" s="34" t="n">
        <v>70365200000395</v>
      </c>
      <c r="B18952" s="34" t="s">
        <v>34411</v>
      </c>
      <c r="C18952" s="34" t="s">
        <v>77</v>
      </c>
      <c r="E18952" s="30" t="s">
        <v>34412</v>
      </c>
      <c r="F18952" s="34" t="n">
        <f aca="false">IFERROR(VLOOKUP($A18952,'319'!$B:$H,7,0),0)</f>
        <v>0</v>
      </c>
      <c r="G18952" s="34" t="n">
        <f aca="false">SUMIFS('12.326ana'!$C:$C,'12.326ana'!$M:$M,redes!A18952)</f>
        <v>0</v>
      </c>
    </row>
    <row r="18953" customFormat="false" ht="14.4" hidden="true" customHeight="false" outlineLevel="0" collapsed="false">
      <c r="A18953" s="34" t="n">
        <v>70365572000150</v>
      </c>
      <c r="B18953" s="34" t="s">
        <v>34413</v>
      </c>
      <c r="C18953" s="34" t="s">
        <v>744</v>
      </c>
      <c r="E18953" s="30" t="s">
        <v>30796</v>
      </c>
      <c r="F18953" s="34" t="n">
        <f aca="false">IFERROR(VLOOKUP($A18953,'319'!$B:$H,7,0),0)</f>
        <v>0</v>
      </c>
      <c r="G18953" s="34" t="n">
        <f aca="false">SUMIFS('12.326ana'!$C:$C,'12.326ana'!$M:$M,redes!A18953)</f>
        <v>0</v>
      </c>
    </row>
    <row r="18954" customFormat="false" ht="14.4" hidden="true" customHeight="false" outlineLevel="0" collapsed="false">
      <c r="A18954" s="34" t="n">
        <v>70366117000179</v>
      </c>
      <c r="B18954" s="34" t="s">
        <v>34414</v>
      </c>
      <c r="C18954" s="34" t="s">
        <v>107</v>
      </c>
      <c r="E18954" s="30" t="s">
        <v>34415</v>
      </c>
      <c r="F18954" s="34" t="n">
        <f aca="false">IFERROR(VLOOKUP($A18954,'319'!$B:$H,7,0),0)</f>
        <v>0</v>
      </c>
      <c r="G18954" s="34" t="n">
        <f aca="false">SUMIFS('12.326ana'!$C:$C,'12.326ana'!$M:$M,redes!A18954)</f>
        <v>0</v>
      </c>
    </row>
    <row r="18955" customFormat="false" ht="14.4" hidden="true" customHeight="false" outlineLevel="0" collapsed="false">
      <c r="A18955" s="34" t="n">
        <v>70390455000146</v>
      </c>
      <c r="B18955" s="34" t="s">
        <v>34416</v>
      </c>
      <c r="C18955" s="34" t="s">
        <v>881</v>
      </c>
      <c r="E18955" s="30" t="s">
        <v>34417</v>
      </c>
      <c r="F18955" s="34" t="n">
        <f aca="false">IFERROR(VLOOKUP($A18955,'319'!$B:$H,7,0),0)</f>
        <v>0</v>
      </c>
      <c r="G18955" s="34" t="n">
        <f aca="false">SUMIFS('12.326ana'!$C:$C,'12.326ana'!$M:$M,redes!A18955)</f>
        <v>0</v>
      </c>
    </row>
    <row r="18956" customFormat="false" ht="14.4" hidden="true" customHeight="false" outlineLevel="0" collapsed="false">
      <c r="A18956" s="34" t="n">
        <v>70390620000160</v>
      </c>
      <c r="B18956" s="34" t="s">
        <v>34418</v>
      </c>
      <c r="C18956" s="34" t="s">
        <v>77</v>
      </c>
      <c r="E18956" s="30" t="s">
        <v>34419</v>
      </c>
      <c r="F18956" s="34" t="n">
        <f aca="false">IFERROR(VLOOKUP($A18956,'319'!$B:$H,7,0),0)</f>
        <v>0</v>
      </c>
      <c r="G18956" s="34" t="n">
        <f aca="false">SUMIFS('12.326ana'!$C:$C,'12.326ana'!$M:$M,redes!A18956)</f>
        <v>0</v>
      </c>
    </row>
    <row r="18957" customFormat="false" ht="14.4" hidden="true" customHeight="false" outlineLevel="0" collapsed="false">
      <c r="A18957" s="34" t="n">
        <v>70391230000104</v>
      </c>
      <c r="B18957" s="34" t="s">
        <v>34420</v>
      </c>
      <c r="C18957" s="34" t="s">
        <v>1054</v>
      </c>
      <c r="E18957" s="30" t="s">
        <v>34421</v>
      </c>
      <c r="F18957" s="34" t="n">
        <f aca="false">IFERROR(VLOOKUP($A18957,'319'!$B:$H,7,0),0)</f>
        <v>0</v>
      </c>
      <c r="G18957" s="34" t="n">
        <f aca="false">SUMIFS('12.326ana'!$C:$C,'12.326ana'!$M:$M,redes!A18957)</f>
        <v>0</v>
      </c>
    </row>
    <row r="18958" customFormat="false" ht="14.4" hidden="true" customHeight="false" outlineLevel="0" collapsed="false">
      <c r="A18958" s="34" t="n">
        <v>70391438000123</v>
      </c>
      <c r="B18958" s="34" t="s">
        <v>34422</v>
      </c>
      <c r="C18958" s="34" t="s">
        <v>357</v>
      </c>
      <c r="E18958" s="30" t="s">
        <v>6351</v>
      </c>
      <c r="F18958" s="34" t="n">
        <f aca="false">IFERROR(VLOOKUP($A18958,'319'!$B:$H,7,0),0)</f>
        <v>0</v>
      </c>
      <c r="G18958" s="34" t="n">
        <f aca="false">SUMIFS('12.326ana'!$C:$C,'12.326ana'!$M:$M,redes!A18958)</f>
        <v>0</v>
      </c>
    </row>
    <row r="18959" customFormat="false" ht="14.4" hidden="true" customHeight="false" outlineLevel="0" collapsed="false">
      <c r="A18959" s="34" t="n">
        <v>70391891000130</v>
      </c>
      <c r="B18959" s="34" t="s">
        <v>34423</v>
      </c>
      <c r="C18959" s="34" t="s">
        <v>737</v>
      </c>
      <c r="E18959" s="30" t="s">
        <v>8513</v>
      </c>
      <c r="F18959" s="34" t="n">
        <f aca="false">IFERROR(VLOOKUP($A18959,'319'!$B:$H,7,0),0)</f>
        <v>0</v>
      </c>
      <c r="G18959" s="34" t="n">
        <f aca="false">SUMIFS('12.326ana'!$C:$C,'12.326ana'!$M:$M,redes!A18959)</f>
        <v>0</v>
      </c>
    </row>
    <row r="18960" customFormat="false" ht="14.4" hidden="true" customHeight="false" outlineLevel="0" collapsed="false">
      <c r="A18960" s="34" t="n">
        <v>70392386000100</v>
      </c>
      <c r="B18960" s="34" t="s">
        <v>34424</v>
      </c>
      <c r="C18960" s="34" t="s">
        <v>473</v>
      </c>
      <c r="E18960" s="30" t="s">
        <v>34425</v>
      </c>
      <c r="F18960" s="34" t="n">
        <f aca="false">IFERROR(VLOOKUP($A18960,'319'!$B:$H,7,0),0)</f>
        <v>0</v>
      </c>
      <c r="G18960" s="34" t="n">
        <f aca="false">SUMIFS('12.326ana'!$C:$C,'12.326ana'!$M:$M,redes!A18960)</f>
        <v>0</v>
      </c>
    </row>
    <row r="18961" customFormat="false" ht="14.4" hidden="true" customHeight="false" outlineLevel="0" collapsed="false">
      <c r="A18961" s="34" t="n">
        <v>70392998000100</v>
      </c>
      <c r="B18961" s="34" t="s">
        <v>34426</v>
      </c>
      <c r="C18961" s="34" t="s">
        <v>721</v>
      </c>
      <c r="E18961" s="30" t="s">
        <v>34427</v>
      </c>
      <c r="F18961" s="34" t="n">
        <f aca="false">IFERROR(VLOOKUP($A18961,'319'!$B:$H,7,0),0)</f>
        <v>0</v>
      </c>
      <c r="G18961" s="34" t="n">
        <f aca="false">SUMIFS('12.326ana'!$C:$C,'12.326ana'!$M:$M,redes!A18961)</f>
        <v>0</v>
      </c>
    </row>
    <row r="18962" customFormat="false" ht="14.4" hidden="true" customHeight="false" outlineLevel="0" collapsed="false">
      <c r="A18962" s="34" t="n">
        <v>70393145000185</v>
      </c>
      <c r="B18962" s="34" t="s">
        <v>34428</v>
      </c>
      <c r="C18962" s="34" t="s">
        <v>77</v>
      </c>
      <c r="E18962" s="30" t="s">
        <v>34429</v>
      </c>
      <c r="F18962" s="34" t="n">
        <f aca="false">IFERROR(VLOOKUP($A18962,'319'!$B:$H,7,0),0)</f>
        <v>0</v>
      </c>
      <c r="G18962" s="34" t="n">
        <f aca="false">SUMIFS('12.326ana'!$C:$C,'12.326ana'!$M:$M,redes!A18962)</f>
        <v>0</v>
      </c>
    </row>
    <row r="18963" customFormat="false" ht="14.4" hidden="true" customHeight="false" outlineLevel="0" collapsed="false">
      <c r="A18963" s="34" t="n">
        <v>70393400000190</v>
      </c>
      <c r="B18963" s="34" t="s">
        <v>34430</v>
      </c>
      <c r="C18963" s="34" t="s">
        <v>473</v>
      </c>
      <c r="E18963" s="30" t="s">
        <v>34431</v>
      </c>
      <c r="F18963" s="34" t="n">
        <f aca="false">IFERROR(VLOOKUP($A18963,'319'!$B:$H,7,0),0)</f>
        <v>0</v>
      </c>
      <c r="G18963" s="34" t="n">
        <f aca="false">SUMIFS('12.326ana'!$C:$C,'12.326ana'!$M:$M,redes!A18963)</f>
        <v>0</v>
      </c>
    </row>
    <row r="18964" customFormat="false" ht="14.4" hidden="true" customHeight="false" outlineLevel="0" collapsed="false">
      <c r="A18964" s="34" t="n">
        <v>70393558000160</v>
      </c>
      <c r="B18964" s="34" t="s">
        <v>34432</v>
      </c>
      <c r="C18964" s="34" t="s">
        <v>299</v>
      </c>
      <c r="E18964" s="30" t="s">
        <v>19717</v>
      </c>
      <c r="F18964" s="34" t="n">
        <f aca="false">IFERROR(VLOOKUP($A18964,'319'!$B:$H,7,0),0)</f>
        <v>0</v>
      </c>
      <c r="G18964" s="34" t="n">
        <f aca="false">SUMIFS('12.326ana'!$C:$C,'12.326ana'!$M:$M,redes!A18964)</f>
        <v>0</v>
      </c>
    </row>
    <row r="18965" customFormat="false" ht="14.4" hidden="true" customHeight="false" outlineLevel="0" collapsed="false">
      <c r="A18965" s="34" t="n">
        <v>70393947000195</v>
      </c>
      <c r="B18965" s="34" t="s">
        <v>34433</v>
      </c>
      <c r="C18965" s="34" t="s">
        <v>77</v>
      </c>
      <c r="E18965" s="30" t="s">
        <v>34434</v>
      </c>
      <c r="F18965" s="34" t="n">
        <f aca="false">IFERROR(VLOOKUP($A18965,'319'!$B:$H,7,0),0)</f>
        <v>0</v>
      </c>
      <c r="G18965" s="34" t="n">
        <f aca="false">SUMIFS('12.326ana'!$C:$C,'12.326ana'!$M:$M,redes!A18965)</f>
        <v>0</v>
      </c>
    </row>
    <row r="18966" customFormat="false" ht="14.4" hidden="true" customHeight="false" outlineLevel="0" collapsed="false">
      <c r="A18966" s="34" t="n">
        <v>70394101000170</v>
      </c>
      <c r="B18966" s="34" t="s">
        <v>34435</v>
      </c>
      <c r="C18966" s="34" t="s">
        <v>448</v>
      </c>
      <c r="E18966" s="30" t="s">
        <v>2946</v>
      </c>
      <c r="F18966" s="34" t="n">
        <f aca="false">IFERROR(VLOOKUP($A18966,'319'!$B:$H,7,0),0)</f>
        <v>0</v>
      </c>
      <c r="G18966" s="34" t="n">
        <f aca="false">SUMIFS('12.326ana'!$C:$C,'12.326ana'!$M:$M,redes!A18966)</f>
        <v>0</v>
      </c>
    </row>
    <row r="18967" customFormat="false" ht="14.4" hidden="true" customHeight="false" outlineLevel="0" collapsed="false">
      <c r="A18967" s="34" t="n">
        <v>70394523000145</v>
      </c>
      <c r="B18967" s="34" t="s">
        <v>34436</v>
      </c>
      <c r="C18967" s="34" t="s">
        <v>197</v>
      </c>
      <c r="E18967" s="30"/>
      <c r="F18967" s="34" t="n">
        <f aca="false">IFERROR(VLOOKUP($A18967,'319'!$B:$H,7,0),0)</f>
        <v>0</v>
      </c>
      <c r="G18967" s="34" t="n">
        <f aca="false">SUMIFS('12.326ana'!$C:$C,'12.326ana'!$M:$M,redes!A18967)</f>
        <v>0</v>
      </c>
    </row>
    <row r="18968" customFormat="false" ht="14.4" hidden="true" customHeight="false" outlineLevel="0" collapsed="false">
      <c r="A18968" s="34" t="n">
        <v>70394655000177</v>
      </c>
      <c r="B18968" s="34" t="s">
        <v>34437</v>
      </c>
      <c r="C18968" s="34" t="s">
        <v>357</v>
      </c>
      <c r="E18968" s="30" t="s">
        <v>34438</v>
      </c>
      <c r="F18968" s="34" t="n">
        <f aca="false">IFERROR(VLOOKUP($A18968,'319'!$B:$H,7,0),0)</f>
        <v>0</v>
      </c>
      <c r="G18968" s="34" t="n">
        <f aca="false">SUMIFS('12.326ana'!$C:$C,'12.326ana'!$M:$M,redes!A18968)</f>
        <v>0</v>
      </c>
    </row>
    <row r="18969" customFormat="false" ht="14.4" hidden="true" customHeight="false" outlineLevel="0" collapsed="false">
      <c r="A18969" s="34" t="n">
        <v>70394721000109</v>
      </c>
      <c r="B18969" s="34" t="s">
        <v>34439</v>
      </c>
      <c r="C18969" s="34" t="s">
        <v>351</v>
      </c>
      <c r="E18969" s="30" t="s">
        <v>34440</v>
      </c>
      <c r="F18969" s="34" t="n">
        <f aca="false">IFERROR(VLOOKUP($A18969,'319'!$B:$H,7,0),0)</f>
        <v>0</v>
      </c>
      <c r="G18969" s="34" t="n">
        <f aca="false">SUMIFS('12.326ana'!$C:$C,'12.326ana'!$M:$M,redes!A18969)</f>
        <v>0</v>
      </c>
    </row>
    <row r="18970" customFormat="false" ht="14.4" hidden="true" customHeight="false" outlineLevel="0" collapsed="false">
      <c r="A18970" s="34" t="n">
        <v>70394911000126</v>
      </c>
      <c r="B18970" s="34" t="s">
        <v>34441</v>
      </c>
      <c r="C18970" s="34" t="s">
        <v>89</v>
      </c>
      <c r="E18970" s="30" t="s">
        <v>34442</v>
      </c>
      <c r="F18970" s="34" t="n">
        <f aca="false">IFERROR(VLOOKUP($A18970,'319'!$B:$H,7,0),0)</f>
        <v>0</v>
      </c>
      <c r="G18970" s="34" t="n">
        <f aca="false">SUMIFS('12.326ana'!$C:$C,'12.326ana'!$M:$M,redes!A18970)</f>
        <v>0</v>
      </c>
    </row>
    <row r="18971" customFormat="false" ht="14.4" hidden="true" customHeight="false" outlineLevel="0" collapsed="false">
      <c r="A18971" s="34" t="n">
        <v>70394937000174</v>
      </c>
      <c r="B18971" s="34" t="s">
        <v>34443</v>
      </c>
      <c r="C18971" s="34" t="s">
        <v>107</v>
      </c>
      <c r="E18971" s="30" t="s">
        <v>34444</v>
      </c>
      <c r="F18971" s="34" t="n">
        <f aca="false">IFERROR(VLOOKUP($A18971,'319'!$B:$H,7,0),0)</f>
        <v>0</v>
      </c>
      <c r="G18971" s="34" t="n">
        <f aca="false">SUMIFS('12.326ana'!$C:$C,'12.326ana'!$M:$M,redes!A18971)</f>
        <v>0</v>
      </c>
    </row>
    <row r="18972" customFormat="false" ht="14.4" hidden="true" customHeight="false" outlineLevel="0" collapsed="false">
      <c r="A18972" s="34" t="n">
        <v>70490107000140</v>
      </c>
      <c r="B18972" s="34" t="s">
        <v>34445</v>
      </c>
      <c r="C18972" s="34" t="s">
        <v>127</v>
      </c>
      <c r="E18972" s="30" t="s">
        <v>34446</v>
      </c>
      <c r="F18972" s="34" t="n">
        <f aca="false">IFERROR(VLOOKUP($A18972,'319'!$B:$H,7,0),0)</f>
        <v>0</v>
      </c>
      <c r="G18972" s="34" t="n">
        <f aca="false">SUMIFS('12.326ana'!$C:$C,'12.326ana'!$M:$M,redes!A18972)</f>
        <v>0</v>
      </c>
    </row>
    <row r="18973" customFormat="false" ht="14.4" hidden="true" customHeight="false" outlineLevel="0" collapsed="false">
      <c r="A18973" s="34" t="n">
        <v>70494307000252</v>
      </c>
      <c r="B18973" s="34" t="s">
        <v>34447</v>
      </c>
      <c r="C18973" s="34" t="s">
        <v>77</v>
      </c>
      <c r="E18973" s="30" t="s">
        <v>34448</v>
      </c>
      <c r="F18973" s="34" t="n">
        <f aca="false">IFERROR(VLOOKUP($A18973,'319'!$B:$H,7,0),0)</f>
        <v>0</v>
      </c>
      <c r="G18973" s="34" t="n">
        <f aca="false">SUMIFS('12.326ana'!$C:$C,'12.326ana'!$M:$M,redes!A18973)</f>
        <v>0</v>
      </c>
    </row>
    <row r="18974" customFormat="false" ht="14.4" hidden="true" customHeight="false" outlineLevel="0" collapsed="false">
      <c r="A18974" s="34" t="n">
        <v>70940994000373</v>
      </c>
      <c r="B18974" s="34" t="s">
        <v>34449</v>
      </c>
      <c r="C18974" s="34" t="s">
        <v>34450</v>
      </c>
      <c r="E18974" s="30" t="s">
        <v>34451</v>
      </c>
      <c r="F18974" s="34" t="n">
        <f aca="false">IFERROR(VLOOKUP($A18974,'319'!$B:$H,7,0),0)</f>
        <v>0</v>
      </c>
      <c r="G18974" s="34" t="n">
        <f aca="false">SUMIFS('12.326ana'!$C:$C,'12.326ana'!$M:$M,redes!A18974)</f>
        <v>0</v>
      </c>
    </row>
    <row r="18975" customFormat="false" ht="14.4" hidden="true" customHeight="false" outlineLevel="0" collapsed="false">
      <c r="A18975" s="34" t="n">
        <v>71948699000245</v>
      </c>
      <c r="B18975" s="34" t="s">
        <v>34242</v>
      </c>
      <c r="C18975" s="34" t="s">
        <v>34450</v>
      </c>
      <c r="E18975" s="30" t="s">
        <v>34452</v>
      </c>
      <c r="F18975" s="34" t="n">
        <f aca="false">IFERROR(VLOOKUP($A18975,'319'!$B:$H,7,0),0)</f>
        <v>0</v>
      </c>
      <c r="G18975" s="34" t="n">
        <f aca="false">SUMIFS('12.326ana'!$C:$C,'12.326ana'!$M:$M,redes!A18975)</f>
        <v>0</v>
      </c>
    </row>
    <row r="18976" customFormat="false" ht="14.4" hidden="true" customHeight="false" outlineLevel="0" collapsed="false">
      <c r="A18976" s="34" t="n">
        <v>72027014001696</v>
      </c>
      <c r="B18976" s="34" t="s">
        <v>34453</v>
      </c>
      <c r="C18976" s="34" t="s">
        <v>34450</v>
      </c>
      <c r="E18976" s="30" t="s">
        <v>34454</v>
      </c>
      <c r="F18976" s="34" t="n">
        <f aca="false">IFERROR(VLOOKUP($A18976,'319'!$B:$H,7,0),0)</f>
        <v>0</v>
      </c>
      <c r="G18976" s="34" t="n">
        <f aca="false">SUMIFS('12.326ana'!$C:$C,'12.326ana'!$M:$M,redes!A18976)</f>
        <v>0</v>
      </c>
    </row>
    <row r="18977" customFormat="false" ht="14.4" hidden="true" customHeight="false" outlineLevel="0" collapsed="false">
      <c r="A18977" s="34" t="n">
        <v>72027014002153</v>
      </c>
      <c r="B18977" s="34" t="s">
        <v>34455</v>
      </c>
      <c r="C18977" s="34" t="s">
        <v>34450</v>
      </c>
      <c r="E18977" s="30" t="s">
        <v>34454</v>
      </c>
      <c r="F18977" s="34" t="n">
        <f aca="false">IFERROR(VLOOKUP($A18977,'319'!$B:$H,7,0),0)</f>
        <v>0</v>
      </c>
      <c r="G18977" s="34" t="n">
        <f aca="false">SUMIFS('12.326ana'!$C:$C,'12.326ana'!$M:$M,redes!A18977)</f>
        <v>0</v>
      </c>
    </row>
    <row r="18978" customFormat="false" ht="14.4" hidden="true" customHeight="false" outlineLevel="0" collapsed="false">
      <c r="A18978" s="34" t="n">
        <v>72027014002900</v>
      </c>
      <c r="B18978" s="34" t="s">
        <v>34455</v>
      </c>
      <c r="C18978" s="34" t="s">
        <v>644</v>
      </c>
      <c r="E18978" s="30" t="s">
        <v>34454</v>
      </c>
      <c r="F18978" s="34" t="n">
        <f aca="false">IFERROR(VLOOKUP($A18978,'319'!$B:$H,7,0),0)</f>
        <v>0</v>
      </c>
      <c r="G18978" s="34" t="n">
        <f aca="false">SUMIFS('12.326ana'!$C:$C,'12.326ana'!$M:$M,redes!A18978)</f>
        <v>0</v>
      </c>
    </row>
    <row r="18979" customFormat="false" ht="14.4" hidden="true" customHeight="false" outlineLevel="0" collapsed="false">
      <c r="A18979" s="34" t="n">
        <v>73317968000110</v>
      </c>
      <c r="B18979" s="34" t="s">
        <v>34456</v>
      </c>
      <c r="C18979" s="34" t="s">
        <v>2998</v>
      </c>
      <c r="E18979" s="30" t="s">
        <v>22188</v>
      </c>
      <c r="F18979" s="34" t="n">
        <f aca="false">IFERROR(VLOOKUP($A18979,'319'!$B:$H,7,0),0)</f>
        <v>0</v>
      </c>
      <c r="G18979" s="34" t="n">
        <f aca="false">SUMIFS('12.326ana'!$C:$C,'12.326ana'!$M:$M,redes!A18979)</f>
        <v>0</v>
      </c>
    </row>
    <row r="18980" customFormat="false" ht="14.4" hidden="true" customHeight="false" outlineLevel="0" collapsed="false">
      <c r="A18980" s="34" t="n">
        <v>73318222000120</v>
      </c>
      <c r="B18980" s="34" t="s">
        <v>34457</v>
      </c>
      <c r="C18980" s="34" t="s">
        <v>377</v>
      </c>
      <c r="E18980" s="30" t="s">
        <v>34458</v>
      </c>
      <c r="F18980" s="34" t="n">
        <f aca="false">IFERROR(VLOOKUP($A18980,'319'!$B:$H,7,0),0)</f>
        <v>0</v>
      </c>
      <c r="G18980" s="34" t="n">
        <f aca="false">SUMIFS('12.326ana'!$C:$C,'12.326ana'!$M:$M,redes!A18980)</f>
        <v>0</v>
      </c>
    </row>
    <row r="18981" customFormat="false" ht="14.4" hidden="true" customHeight="false" outlineLevel="0" collapsed="false">
      <c r="A18981" s="34" t="n">
        <v>73328999000176</v>
      </c>
      <c r="B18981" s="34" t="s">
        <v>34459</v>
      </c>
      <c r="C18981" s="34" t="s">
        <v>139</v>
      </c>
      <c r="E18981" s="30" t="s">
        <v>28213</v>
      </c>
      <c r="F18981" s="34" t="n">
        <f aca="false">IFERROR(VLOOKUP($A18981,'319'!$B:$H,7,0),0)</f>
        <v>0</v>
      </c>
      <c r="G18981" s="34" t="n">
        <f aca="false">SUMIFS('12.326ana'!$C:$C,'12.326ana'!$M:$M,redes!A18981)</f>
        <v>0</v>
      </c>
    </row>
    <row r="18982" customFormat="false" ht="14.4" hidden="true" customHeight="false" outlineLevel="0" collapsed="false">
      <c r="A18982" s="34" t="n">
        <v>73330300000102</v>
      </c>
      <c r="B18982" s="34" t="s">
        <v>34460</v>
      </c>
      <c r="C18982" s="34" t="s">
        <v>77</v>
      </c>
      <c r="E18982" s="30" t="s">
        <v>14409</v>
      </c>
      <c r="F18982" s="34" t="n">
        <f aca="false">IFERROR(VLOOKUP($A18982,'319'!$B:$H,7,0),0)</f>
        <v>0</v>
      </c>
      <c r="G18982" s="34" t="n">
        <f aca="false">SUMIFS('12.326ana'!$C:$C,'12.326ana'!$M:$M,redes!A18982)</f>
        <v>0</v>
      </c>
    </row>
    <row r="18983" customFormat="false" ht="14.4" hidden="true" customHeight="false" outlineLevel="0" collapsed="false">
      <c r="A18983" s="34" t="n">
        <v>73330441000125</v>
      </c>
      <c r="B18983" s="34" t="s">
        <v>34461</v>
      </c>
      <c r="C18983" s="34" t="s">
        <v>77</v>
      </c>
      <c r="E18983" s="30" t="s">
        <v>34462</v>
      </c>
      <c r="F18983" s="34" t="n">
        <f aca="false">IFERROR(VLOOKUP($A18983,'319'!$B:$H,7,0),0)</f>
        <v>0</v>
      </c>
      <c r="G18983" s="34" t="n">
        <f aca="false">SUMIFS('12.326ana'!$C:$C,'12.326ana'!$M:$M,redes!A18983)</f>
        <v>0</v>
      </c>
    </row>
    <row r="18984" customFormat="false" ht="14.4" hidden="true" customHeight="false" outlineLevel="0" collapsed="false">
      <c r="A18984" s="34" t="n">
        <v>73365611000107</v>
      </c>
      <c r="B18984" s="34" t="s">
        <v>34463</v>
      </c>
      <c r="C18984" s="34" t="s">
        <v>77</v>
      </c>
      <c r="E18984" s="30" t="s">
        <v>34464</v>
      </c>
      <c r="F18984" s="34" t="n">
        <f aca="false">IFERROR(VLOOKUP($A18984,'319'!$B:$H,7,0),0)</f>
        <v>0</v>
      </c>
      <c r="G18984" s="34" t="n">
        <f aca="false">SUMIFS('12.326ana'!$C:$C,'12.326ana'!$M:$M,redes!A18984)</f>
        <v>0</v>
      </c>
    </row>
    <row r="18985" customFormat="false" ht="14.4" hidden="true" customHeight="false" outlineLevel="0" collapsed="false">
      <c r="A18985" s="34" t="n">
        <v>73365793000116</v>
      </c>
      <c r="B18985" s="34" t="s">
        <v>34465</v>
      </c>
      <c r="C18985" s="34" t="s">
        <v>1272</v>
      </c>
      <c r="E18985" s="30" t="s">
        <v>34466</v>
      </c>
      <c r="F18985" s="34" t="n">
        <f aca="false">IFERROR(VLOOKUP($A18985,'319'!$B:$H,7,0),0)</f>
        <v>0</v>
      </c>
      <c r="G18985" s="34" t="n">
        <f aca="false">SUMIFS('12.326ana'!$C:$C,'12.326ana'!$M:$M,redes!A18985)</f>
        <v>0</v>
      </c>
    </row>
    <row r="18986" customFormat="false" ht="14.4" hidden="true" customHeight="false" outlineLevel="0" collapsed="false">
      <c r="A18986" s="34" t="n">
        <v>73368193000101</v>
      </c>
      <c r="B18986" s="34" t="s">
        <v>34467</v>
      </c>
      <c r="C18986" s="34" t="s">
        <v>77</v>
      </c>
      <c r="E18986" s="30" t="s">
        <v>34468</v>
      </c>
      <c r="F18986" s="34" t="n">
        <f aca="false">IFERROR(VLOOKUP($A18986,'319'!$B:$H,7,0),0)</f>
        <v>0</v>
      </c>
      <c r="G18986" s="34" t="n">
        <f aca="false">SUMIFS('12.326ana'!$C:$C,'12.326ana'!$M:$M,redes!A18986)</f>
        <v>0</v>
      </c>
    </row>
    <row r="18987" customFormat="false" ht="14.4" hidden="true" customHeight="false" outlineLevel="0" collapsed="false">
      <c r="A18987" s="34" t="n">
        <v>73377061000146</v>
      </c>
      <c r="B18987" s="34" t="s">
        <v>34469</v>
      </c>
      <c r="C18987" s="34" t="s">
        <v>107</v>
      </c>
      <c r="E18987" s="30" t="s">
        <v>7223</v>
      </c>
      <c r="F18987" s="34" t="n">
        <f aca="false">IFERROR(VLOOKUP($A18987,'319'!$B:$H,7,0),0)</f>
        <v>0</v>
      </c>
      <c r="G18987" s="34" t="n">
        <f aca="false">SUMIFS('12.326ana'!$C:$C,'12.326ana'!$M:$M,redes!A18987)</f>
        <v>0</v>
      </c>
    </row>
    <row r="18988" customFormat="false" ht="14.4" hidden="true" customHeight="false" outlineLevel="0" collapsed="false">
      <c r="A18988" s="34" t="n">
        <v>73383655000160</v>
      </c>
      <c r="B18988" s="34" t="s">
        <v>34470</v>
      </c>
      <c r="C18988" s="34" t="s">
        <v>744</v>
      </c>
      <c r="E18988" s="30" t="s">
        <v>11808</v>
      </c>
      <c r="F18988" s="34" t="n">
        <f aca="false">IFERROR(VLOOKUP($A18988,'319'!$B:$H,7,0),0)</f>
        <v>0</v>
      </c>
      <c r="G18988" s="34" t="n">
        <f aca="false">SUMIFS('12.326ana'!$C:$C,'12.326ana'!$M:$M,redes!A18988)</f>
        <v>0</v>
      </c>
    </row>
    <row r="18989" customFormat="false" ht="14.4" hidden="true" customHeight="false" outlineLevel="0" collapsed="false">
      <c r="A18989" s="34" t="n">
        <v>73391765000173</v>
      </c>
      <c r="B18989" s="34" t="s">
        <v>34471</v>
      </c>
      <c r="C18989" s="34" t="s">
        <v>6278</v>
      </c>
      <c r="E18989" s="30" t="s">
        <v>34472</v>
      </c>
      <c r="F18989" s="34" t="n">
        <f aca="false">IFERROR(VLOOKUP($A18989,'319'!$B:$H,7,0),0)</f>
        <v>0</v>
      </c>
      <c r="G18989" s="34" t="n">
        <f aca="false">SUMIFS('12.326ana'!$C:$C,'12.326ana'!$M:$M,redes!A18989)</f>
        <v>0</v>
      </c>
    </row>
    <row r="18990" customFormat="false" ht="14.4" hidden="true" customHeight="false" outlineLevel="0" collapsed="false">
      <c r="A18990" s="34" t="n">
        <v>73395204000142</v>
      </c>
      <c r="B18990" s="34" t="s">
        <v>34473</v>
      </c>
      <c r="C18990" s="34" t="s">
        <v>77</v>
      </c>
      <c r="E18990" s="30" t="s">
        <v>34474</v>
      </c>
      <c r="F18990" s="34" t="n">
        <f aca="false">IFERROR(VLOOKUP($A18990,'319'!$B:$H,7,0),0)</f>
        <v>0</v>
      </c>
      <c r="G18990" s="34" t="n">
        <f aca="false">SUMIFS('12.326ana'!$C:$C,'12.326ana'!$M:$M,redes!A18990)</f>
        <v>0</v>
      </c>
    </row>
    <row r="18991" customFormat="false" ht="14.4" hidden="true" customHeight="false" outlineLevel="0" collapsed="false">
      <c r="A18991" s="34" t="n">
        <v>73399826000149</v>
      </c>
      <c r="B18991" s="34" t="s">
        <v>34475</v>
      </c>
      <c r="C18991" s="34" t="s">
        <v>77</v>
      </c>
      <c r="E18991" s="30" t="s">
        <v>34476</v>
      </c>
      <c r="F18991" s="34" t="n">
        <f aca="false">IFERROR(VLOOKUP($A18991,'319'!$B:$H,7,0),0)</f>
        <v>0</v>
      </c>
      <c r="G18991" s="34" t="n">
        <f aca="false">SUMIFS('12.326ana'!$C:$C,'12.326ana'!$M:$M,redes!A18991)</f>
        <v>0</v>
      </c>
    </row>
    <row r="18992" customFormat="false" ht="14.4" hidden="true" customHeight="false" outlineLevel="0" collapsed="false">
      <c r="A18992" s="34" t="n">
        <v>73399826000220</v>
      </c>
      <c r="B18992" s="34" t="s">
        <v>34475</v>
      </c>
      <c r="C18992" s="34" t="s">
        <v>77</v>
      </c>
      <c r="E18992" s="30" t="s">
        <v>34477</v>
      </c>
      <c r="F18992" s="34" t="n">
        <f aca="false">IFERROR(VLOOKUP($A18992,'319'!$B:$H,7,0),0)</f>
        <v>0</v>
      </c>
      <c r="G18992" s="34" t="n">
        <f aca="false">SUMIFS('12.326ana'!$C:$C,'12.326ana'!$M:$M,redes!A18992)</f>
        <v>0</v>
      </c>
    </row>
    <row r="18993" customFormat="false" ht="14.4" hidden="true" customHeight="false" outlineLevel="0" collapsed="false">
      <c r="A18993" s="34" t="n">
        <v>73410268000175</v>
      </c>
      <c r="B18993" s="34" t="s">
        <v>34478</v>
      </c>
      <c r="C18993" s="34" t="s">
        <v>1054</v>
      </c>
      <c r="E18993" s="30" t="s">
        <v>19472</v>
      </c>
      <c r="F18993" s="34" t="n">
        <f aca="false">IFERROR(VLOOKUP($A18993,'319'!$B:$H,7,0),0)</f>
        <v>0</v>
      </c>
      <c r="G18993" s="34" t="n">
        <f aca="false">SUMIFS('12.326ana'!$C:$C,'12.326ana'!$M:$M,redes!A18993)</f>
        <v>0</v>
      </c>
    </row>
    <row r="18994" customFormat="false" ht="14.4" hidden="true" customHeight="false" outlineLevel="0" collapsed="false">
      <c r="A18994" s="34" t="n">
        <v>73410326004409</v>
      </c>
      <c r="B18994" s="34" t="s">
        <v>10156</v>
      </c>
      <c r="C18994" s="34" t="s">
        <v>77</v>
      </c>
      <c r="E18994" s="30" t="s">
        <v>34479</v>
      </c>
      <c r="F18994" s="34" t="n">
        <f aca="false">IFERROR(VLOOKUP($A18994,'319'!$B:$H,7,0),0)</f>
        <v>0</v>
      </c>
      <c r="G18994" s="34" t="n">
        <f aca="false">SUMIFS('12.326ana'!$C:$C,'12.326ana'!$M:$M,redes!A18994)</f>
        <v>0</v>
      </c>
    </row>
    <row r="18995" customFormat="false" ht="14.4" hidden="true" customHeight="false" outlineLevel="0" collapsed="false">
      <c r="A18995" s="34" t="n">
        <v>73448987000185</v>
      </c>
      <c r="B18995" s="34" t="s">
        <v>34480</v>
      </c>
      <c r="C18995" s="34" t="s">
        <v>107</v>
      </c>
      <c r="E18995" s="30" t="s">
        <v>13297</v>
      </c>
      <c r="F18995" s="34" t="n">
        <f aca="false">IFERROR(VLOOKUP($A18995,'319'!$B:$H,7,0),0)</f>
        <v>0</v>
      </c>
      <c r="G18995" s="34" t="n">
        <f aca="false">SUMIFS('12.326ana'!$C:$C,'12.326ana'!$M:$M,redes!A18995)</f>
        <v>0</v>
      </c>
    </row>
    <row r="18996" customFormat="false" ht="14.4" hidden="true" customHeight="false" outlineLevel="0" collapsed="false">
      <c r="A18996" s="34" t="n">
        <v>73455719000190</v>
      </c>
      <c r="B18996" s="34" t="s">
        <v>34481</v>
      </c>
      <c r="C18996" s="34" t="s">
        <v>103</v>
      </c>
      <c r="E18996" s="30" t="s">
        <v>34482</v>
      </c>
      <c r="F18996" s="34" t="n">
        <f aca="false">IFERROR(VLOOKUP($A18996,'319'!$B:$H,7,0),0)</f>
        <v>0</v>
      </c>
      <c r="G18996" s="34" t="n">
        <f aca="false">SUMIFS('12.326ana'!$C:$C,'12.326ana'!$M:$M,redes!A18996)</f>
        <v>0</v>
      </c>
    </row>
    <row r="18997" customFormat="false" ht="14.4" hidden="true" customHeight="false" outlineLevel="0" collapsed="false">
      <c r="A18997" s="34" t="n">
        <v>73456949000174</v>
      </c>
      <c r="B18997" s="34" t="s">
        <v>34483</v>
      </c>
      <c r="C18997" s="34" t="s">
        <v>598</v>
      </c>
      <c r="E18997" s="30" t="s">
        <v>3668</v>
      </c>
      <c r="F18997" s="34" t="n">
        <f aca="false">IFERROR(VLOOKUP($A18997,'319'!$B:$H,7,0),0)</f>
        <v>0</v>
      </c>
      <c r="G18997" s="34" t="n">
        <f aca="false">SUMIFS('12.326ana'!$C:$C,'12.326ana'!$M:$M,redes!A18997)</f>
        <v>0</v>
      </c>
    </row>
    <row r="18998" customFormat="false" ht="14.4" hidden="true" customHeight="false" outlineLevel="0" collapsed="false">
      <c r="A18998" s="34" t="n">
        <v>73459315000175</v>
      </c>
      <c r="B18998" s="34" t="s">
        <v>34484</v>
      </c>
      <c r="C18998" s="34" t="s">
        <v>604</v>
      </c>
      <c r="E18998" s="30" t="s">
        <v>34485</v>
      </c>
      <c r="F18998" s="34" t="n">
        <f aca="false">IFERROR(VLOOKUP($A18998,'319'!$B:$H,7,0),0)</f>
        <v>0</v>
      </c>
      <c r="G18998" s="34" t="n">
        <f aca="false">SUMIFS('12.326ana'!$C:$C,'12.326ana'!$M:$M,redes!A18998)</f>
        <v>0</v>
      </c>
    </row>
    <row r="18999" customFormat="false" ht="14.4" hidden="true" customHeight="false" outlineLevel="0" collapsed="false">
      <c r="A18999" s="34" t="n">
        <v>73479453000116</v>
      </c>
      <c r="B18999" s="34" t="s">
        <v>7678</v>
      </c>
      <c r="C18999" s="34" t="s">
        <v>154</v>
      </c>
      <c r="E18999" s="30" t="s">
        <v>34486</v>
      </c>
      <c r="F18999" s="34" t="n">
        <f aca="false">IFERROR(VLOOKUP($A18999,'319'!$B:$H,7,0),0)</f>
        <v>0</v>
      </c>
      <c r="G18999" s="34" t="n">
        <f aca="false">SUMIFS('12.326ana'!$C:$C,'12.326ana'!$M:$M,redes!A18999)</f>
        <v>0</v>
      </c>
    </row>
    <row r="19000" customFormat="false" ht="14.4" hidden="true" customHeight="false" outlineLevel="0" collapsed="false">
      <c r="A19000" s="34" t="n">
        <v>73502197000130</v>
      </c>
      <c r="B19000" s="34" t="s">
        <v>34487</v>
      </c>
      <c r="C19000" s="34" t="s">
        <v>77</v>
      </c>
      <c r="E19000" s="30" t="s">
        <v>34488</v>
      </c>
      <c r="F19000" s="34" t="n">
        <f aca="false">IFERROR(VLOOKUP($A19000,'319'!$B:$H,7,0),0)</f>
        <v>0</v>
      </c>
      <c r="G19000" s="34" t="n">
        <f aca="false">SUMIFS('12.326ana'!$C:$C,'12.326ana'!$M:$M,redes!A19000)</f>
        <v>0</v>
      </c>
    </row>
    <row r="19001" customFormat="false" ht="14.4" hidden="true" customHeight="false" outlineLevel="0" collapsed="false">
      <c r="A19001" s="34" t="n">
        <v>73504698000156</v>
      </c>
      <c r="B19001" s="34" t="s">
        <v>34489</v>
      </c>
      <c r="C19001" s="34" t="s">
        <v>77</v>
      </c>
      <c r="E19001" s="30" t="s">
        <v>34490</v>
      </c>
      <c r="F19001" s="34" t="n">
        <f aca="false">IFERROR(VLOOKUP($A19001,'319'!$B:$H,7,0),0)</f>
        <v>0</v>
      </c>
      <c r="G19001" s="34" t="n">
        <f aca="false">SUMIFS('12.326ana'!$C:$C,'12.326ana'!$M:$M,redes!A19001)</f>
        <v>0</v>
      </c>
    </row>
    <row r="19002" customFormat="false" ht="14.4" hidden="true" customHeight="false" outlineLevel="0" collapsed="false">
      <c r="A19002" s="34" t="n">
        <v>73505422000192</v>
      </c>
      <c r="B19002" s="34" t="s">
        <v>34491</v>
      </c>
      <c r="C19002" s="34" t="s">
        <v>77</v>
      </c>
      <c r="D19002" s="34" t="s">
        <v>23</v>
      </c>
      <c r="E19002" s="30" t="s">
        <v>34492</v>
      </c>
      <c r="F19002" s="34" t="n">
        <f aca="false">IFERROR(VLOOKUP($A19002,'319'!$B:$H,7,0),0)</f>
        <v>0</v>
      </c>
      <c r="G19002" s="34" t="n">
        <f aca="false">SUMIFS('12.326ana'!$C:$C,'12.326ana'!$M:$M,redes!A19002)</f>
        <v>0</v>
      </c>
    </row>
    <row r="19003" customFormat="false" ht="14.4" hidden="true" customHeight="false" outlineLevel="0" collapsed="false">
      <c r="A19003" s="34" t="n">
        <v>73515793000155</v>
      </c>
      <c r="B19003" s="34" t="s">
        <v>34493</v>
      </c>
      <c r="C19003" s="34" t="s">
        <v>77</v>
      </c>
      <c r="E19003" s="30"/>
      <c r="F19003" s="34" t="n">
        <f aca="false">IFERROR(VLOOKUP($A19003,'319'!$B:$H,7,0),0)</f>
        <v>0</v>
      </c>
      <c r="G19003" s="34" t="n">
        <f aca="false">SUMIFS('12.326ana'!$C:$C,'12.326ana'!$M:$M,redes!A19003)</f>
        <v>0</v>
      </c>
    </row>
    <row r="19004" customFormat="false" ht="14.4" hidden="true" customHeight="false" outlineLevel="0" collapsed="false">
      <c r="A19004" s="34" t="n">
        <v>73523771000137</v>
      </c>
      <c r="B19004" s="34" t="s">
        <v>34494</v>
      </c>
      <c r="C19004" s="34" t="s">
        <v>89</v>
      </c>
      <c r="E19004" s="30" t="s">
        <v>34495</v>
      </c>
      <c r="F19004" s="34" t="n">
        <f aca="false">IFERROR(VLOOKUP($A19004,'319'!$B:$H,7,0),0)</f>
        <v>0</v>
      </c>
      <c r="G19004" s="34" t="n">
        <f aca="false">SUMIFS('12.326ana'!$C:$C,'12.326ana'!$M:$M,redes!A19004)</f>
        <v>0</v>
      </c>
    </row>
    <row r="19005" customFormat="false" ht="14.4" hidden="true" customHeight="false" outlineLevel="0" collapsed="false">
      <c r="A19005" s="34" t="n">
        <v>73524035000101</v>
      </c>
      <c r="B19005" s="34" t="s">
        <v>34496</v>
      </c>
      <c r="C19005" s="34" t="s">
        <v>154</v>
      </c>
      <c r="E19005" s="30" t="s">
        <v>8760</v>
      </c>
      <c r="F19005" s="34" t="n">
        <f aca="false">IFERROR(VLOOKUP($A19005,'319'!$B:$H,7,0),0)</f>
        <v>0</v>
      </c>
      <c r="G19005" s="34" t="n">
        <f aca="false">SUMIFS('12.326ana'!$C:$C,'12.326ana'!$M:$M,redes!A19005)</f>
        <v>0</v>
      </c>
    </row>
    <row r="19006" customFormat="false" ht="14.4" hidden="true" customHeight="false" outlineLevel="0" collapsed="false">
      <c r="A19006" s="34" t="n">
        <v>73544553000189</v>
      </c>
      <c r="B19006" s="34" t="s">
        <v>34497</v>
      </c>
      <c r="C19006" s="34" t="s">
        <v>377</v>
      </c>
      <c r="E19006" s="30" t="s">
        <v>34498</v>
      </c>
      <c r="F19006" s="34" t="n">
        <f aca="false">IFERROR(VLOOKUP($A19006,'319'!$B:$H,7,0),0)</f>
        <v>0</v>
      </c>
      <c r="G19006" s="34" t="n">
        <f aca="false">SUMIFS('12.326ana'!$C:$C,'12.326ana'!$M:$M,redes!A19006)</f>
        <v>0</v>
      </c>
    </row>
    <row r="19007" customFormat="false" ht="14.4" hidden="true" customHeight="false" outlineLevel="0" collapsed="false">
      <c r="A19007" s="34" t="n">
        <v>73562969000120</v>
      </c>
      <c r="B19007" s="34" t="s">
        <v>34499</v>
      </c>
      <c r="C19007" s="34" t="s">
        <v>77</v>
      </c>
      <c r="E19007" s="30" t="s">
        <v>3588</v>
      </c>
      <c r="F19007" s="34" t="n">
        <f aca="false">IFERROR(VLOOKUP($A19007,'319'!$B:$H,7,0),0)</f>
        <v>0</v>
      </c>
      <c r="G19007" s="34" t="n">
        <f aca="false">SUMIFS('12.326ana'!$C:$C,'12.326ana'!$M:$M,redes!A19007)</f>
        <v>0</v>
      </c>
    </row>
    <row r="19008" customFormat="false" ht="14.4" hidden="true" customHeight="false" outlineLevel="0" collapsed="false">
      <c r="A19008" s="34" t="n">
        <v>73566044000157</v>
      </c>
      <c r="B19008" s="34" t="s">
        <v>34500</v>
      </c>
      <c r="C19008" s="34" t="s">
        <v>107</v>
      </c>
      <c r="E19008" s="30"/>
      <c r="F19008" s="34" t="n">
        <f aca="false">IFERROR(VLOOKUP($A19008,'319'!$B:$H,7,0),0)</f>
        <v>0</v>
      </c>
      <c r="G19008" s="34" t="n">
        <f aca="false">SUMIFS('12.326ana'!$C:$C,'12.326ana'!$M:$M,redes!A19008)</f>
        <v>0</v>
      </c>
    </row>
    <row r="19009" customFormat="false" ht="14.4" hidden="true" customHeight="false" outlineLevel="0" collapsed="false">
      <c r="A19009" s="34" t="n">
        <v>73566127000146</v>
      </c>
      <c r="B19009" s="34" t="s">
        <v>34501</v>
      </c>
      <c r="C19009" s="34" t="s">
        <v>342</v>
      </c>
      <c r="E19009" s="30" t="s">
        <v>5222</v>
      </c>
      <c r="F19009" s="34" t="n">
        <f aca="false">IFERROR(VLOOKUP($A19009,'319'!$B:$H,7,0),0)</f>
        <v>0</v>
      </c>
      <c r="G19009" s="34" t="n">
        <f aca="false">SUMIFS('12.326ana'!$C:$C,'12.326ana'!$M:$M,redes!A19009)</f>
        <v>0</v>
      </c>
    </row>
    <row r="19010" customFormat="false" ht="14.4" hidden="true" customHeight="false" outlineLevel="0" collapsed="false">
      <c r="A19010" s="34" t="n">
        <v>73606204000144</v>
      </c>
      <c r="B19010" s="34" t="s">
        <v>34502</v>
      </c>
      <c r="C19010" s="34" t="s">
        <v>77</v>
      </c>
      <c r="E19010" s="30" t="s">
        <v>34503</v>
      </c>
      <c r="F19010" s="34" t="n">
        <f aca="false">IFERROR(VLOOKUP($A19010,'319'!$B:$H,7,0),0)</f>
        <v>0</v>
      </c>
      <c r="G19010" s="34" t="n">
        <f aca="false">SUMIFS('12.326ana'!$C:$C,'12.326ana'!$M:$M,redes!A19010)</f>
        <v>0</v>
      </c>
    </row>
    <row r="19011" customFormat="false" ht="14.4" hidden="true" customHeight="false" outlineLevel="0" collapsed="false">
      <c r="A19011" s="34" t="n">
        <v>73606360000105</v>
      </c>
      <c r="B19011" s="34" t="s">
        <v>34504</v>
      </c>
      <c r="C19011" s="34" t="s">
        <v>107</v>
      </c>
      <c r="E19011" s="30" t="s">
        <v>12953</v>
      </c>
      <c r="F19011" s="34" t="n">
        <f aca="false">IFERROR(VLOOKUP($A19011,'319'!$B:$H,7,0),0)</f>
        <v>0</v>
      </c>
      <c r="G19011" s="34" t="n">
        <f aca="false">SUMIFS('12.326ana'!$C:$C,'12.326ana'!$M:$M,redes!A19011)</f>
        <v>0</v>
      </c>
    </row>
    <row r="19012" customFormat="false" ht="14.4" hidden="true" customHeight="false" outlineLevel="0" collapsed="false">
      <c r="A19012" s="34" t="n">
        <v>73616344000101</v>
      </c>
      <c r="B19012" s="34" t="s">
        <v>34505</v>
      </c>
      <c r="C19012" s="34" t="s">
        <v>994</v>
      </c>
      <c r="E19012" s="30" t="s">
        <v>11331</v>
      </c>
      <c r="F19012" s="34" t="n">
        <f aca="false">IFERROR(VLOOKUP($A19012,'319'!$B:$H,7,0),0)</f>
        <v>286.27</v>
      </c>
      <c r="G19012" s="34" t="n">
        <f aca="false">SUMIFS('12.326ana'!$C:$C,'12.326ana'!$M:$M,redes!A19012)</f>
        <v>0</v>
      </c>
    </row>
    <row r="19013" customFormat="false" ht="14.4" hidden="true" customHeight="false" outlineLevel="0" collapsed="false">
      <c r="A19013" s="34" t="n">
        <v>73625030000167</v>
      </c>
      <c r="B19013" s="34" t="s">
        <v>34506</v>
      </c>
      <c r="C19013" s="34" t="s">
        <v>77</v>
      </c>
      <c r="E19013" s="30" t="s">
        <v>34507</v>
      </c>
      <c r="F19013" s="34" t="n">
        <f aca="false">IFERROR(VLOOKUP($A19013,'319'!$B:$H,7,0),0)</f>
        <v>0</v>
      </c>
      <c r="G19013" s="34" t="n">
        <f aca="false">SUMIFS('12.326ana'!$C:$C,'12.326ana'!$M:$M,redes!A19013)</f>
        <v>0</v>
      </c>
    </row>
    <row r="19014" customFormat="false" ht="14.4" hidden="true" customHeight="false" outlineLevel="0" collapsed="false">
      <c r="A19014" s="34" t="n">
        <v>73644221000176</v>
      </c>
      <c r="B19014" s="34" t="s">
        <v>34508</v>
      </c>
      <c r="C19014" s="34" t="s">
        <v>4139</v>
      </c>
      <c r="E19014" s="30" t="s">
        <v>3790</v>
      </c>
      <c r="F19014" s="34" t="n">
        <f aca="false">IFERROR(VLOOKUP($A19014,'319'!$B:$H,7,0),0)</f>
        <v>0</v>
      </c>
      <c r="G19014" s="34" t="n">
        <f aca="false">SUMIFS('12.326ana'!$C:$C,'12.326ana'!$M:$M,redes!A19014)</f>
        <v>0</v>
      </c>
    </row>
    <row r="19015" customFormat="false" ht="14.4" hidden="true" customHeight="false" outlineLevel="0" collapsed="false">
      <c r="A19015" s="34" t="n">
        <v>73647729000128</v>
      </c>
      <c r="B19015" s="34" t="s">
        <v>34509</v>
      </c>
      <c r="C19015" s="34" t="s">
        <v>154</v>
      </c>
      <c r="E19015" s="30" t="s">
        <v>11517</v>
      </c>
      <c r="F19015" s="34" t="n">
        <f aca="false">IFERROR(VLOOKUP($A19015,'319'!$B:$H,7,0),0)</f>
        <v>0</v>
      </c>
      <c r="G19015" s="34" t="n">
        <f aca="false">SUMIFS('12.326ana'!$C:$C,'12.326ana'!$M:$M,redes!A19015)</f>
        <v>0</v>
      </c>
    </row>
    <row r="19016" customFormat="false" ht="14.4" hidden="true" customHeight="false" outlineLevel="0" collapsed="false">
      <c r="A19016" s="34" t="n">
        <v>73647729000209</v>
      </c>
      <c r="B19016" s="34" t="s">
        <v>34510</v>
      </c>
      <c r="C19016" s="34" t="s">
        <v>77</v>
      </c>
      <c r="E19016" s="30" t="s">
        <v>34511</v>
      </c>
      <c r="F19016" s="34" t="n">
        <f aca="false">IFERROR(VLOOKUP($A19016,'319'!$B:$H,7,0),0)</f>
        <v>0</v>
      </c>
      <c r="G19016" s="34" t="n">
        <f aca="false">SUMIFS('12.326ana'!$C:$C,'12.326ana'!$M:$M,redes!A19016)</f>
        <v>0</v>
      </c>
    </row>
    <row r="19017" customFormat="false" ht="14.4" hidden="true" customHeight="false" outlineLevel="0" collapsed="false">
      <c r="A19017" s="34" t="n">
        <v>73648552000184</v>
      </c>
      <c r="B19017" s="34" t="s">
        <v>34512</v>
      </c>
      <c r="C19017" s="34" t="s">
        <v>357</v>
      </c>
      <c r="E19017" s="30" t="s">
        <v>34513</v>
      </c>
      <c r="F19017" s="34" t="n">
        <f aca="false">IFERROR(VLOOKUP($A19017,'319'!$B:$H,7,0),0)</f>
        <v>0</v>
      </c>
      <c r="G19017" s="34" t="n">
        <f aca="false">SUMIFS('12.326ana'!$C:$C,'12.326ana'!$M:$M,redes!A19017)</f>
        <v>0</v>
      </c>
    </row>
    <row r="19018" customFormat="false" ht="14.4" hidden="true" customHeight="false" outlineLevel="0" collapsed="false">
      <c r="A19018" s="34" t="n">
        <v>73655938000113</v>
      </c>
      <c r="B19018" s="34" t="s">
        <v>34514</v>
      </c>
      <c r="C19018" s="34" t="s">
        <v>139</v>
      </c>
      <c r="E19018" s="30" t="s">
        <v>34515</v>
      </c>
      <c r="F19018" s="34" t="n">
        <f aca="false">IFERROR(VLOOKUP($A19018,'319'!$B:$H,7,0),0)</f>
        <v>0</v>
      </c>
      <c r="G19018" s="34" t="n">
        <f aca="false">SUMIFS('12.326ana'!$C:$C,'12.326ana'!$M:$M,redes!A19018)</f>
        <v>0</v>
      </c>
    </row>
    <row r="19019" customFormat="false" ht="14.4" hidden="true" customHeight="false" outlineLevel="0" collapsed="false">
      <c r="A19019" s="34" t="n">
        <v>73655938000202</v>
      </c>
      <c r="B19019" s="34" t="s">
        <v>34514</v>
      </c>
      <c r="C19019" s="34" t="s">
        <v>139</v>
      </c>
      <c r="E19019" s="30" t="s">
        <v>34516</v>
      </c>
      <c r="F19019" s="34" t="n">
        <f aca="false">IFERROR(VLOOKUP($A19019,'319'!$B:$H,7,0),0)</f>
        <v>0</v>
      </c>
      <c r="G19019" s="34" t="n">
        <f aca="false">SUMIFS('12.326ana'!$C:$C,'12.326ana'!$M:$M,redes!A19019)</f>
        <v>0</v>
      </c>
    </row>
    <row r="19020" customFormat="false" ht="14.4" hidden="true" customHeight="false" outlineLevel="0" collapsed="false">
      <c r="A19020" s="34" t="n">
        <v>73681173000196</v>
      </c>
      <c r="B19020" s="34" t="s">
        <v>34517</v>
      </c>
      <c r="C19020" s="34" t="s">
        <v>89</v>
      </c>
      <c r="E19020" s="30" t="s">
        <v>34518</v>
      </c>
      <c r="F19020" s="34" t="n">
        <f aca="false">IFERROR(VLOOKUP($A19020,'319'!$B:$H,7,0),0)</f>
        <v>0</v>
      </c>
      <c r="G19020" s="34" t="n">
        <f aca="false">SUMIFS('12.326ana'!$C:$C,'12.326ana'!$M:$M,redes!A19020)</f>
        <v>0</v>
      </c>
    </row>
    <row r="19021" customFormat="false" ht="14.4" hidden="true" customHeight="false" outlineLevel="0" collapsed="false">
      <c r="A19021" s="34" t="n">
        <v>73697021000181</v>
      </c>
      <c r="B19021" s="34" t="s">
        <v>34519</v>
      </c>
      <c r="C19021" s="34" t="s">
        <v>1591</v>
      </c>
      <c r="E19021" s="30" t="s">
        <v>8139</v>
      </c>
      <c r="F19021" s="34" t="n">
        <f aca="false">IFERROR(VLOOKUP($A19021,'319'!$B:$H,7,0),0)</f>
        <v>0</v>
      </c>
      <c r="G19021" s="34" t="n">
        <f aca="false">SUMIFS('12.326ana'!$C:$C,'12.326ana'!$M:$M,redes!A19021)</f>
        <v>0</v>
      </c>
    </row>
    <row r="19022" customFormat="false" ht="14.4" hidden="true" customHeight="false" outlineLevel="0" collapsed="false">
      <c r="A19022" s="34" t="n">
        <v>73697062000178</v>
      </c>
      <c r="B19022" s="34" t="s">
        <v>34520</v>
      </c>
      <c r="C19022" s="34" t="s">
        <v>309</v>
      </c>
      <c r="E19022" s="30" t="s">
        <v>13304</v>
      </c>
      <c r="F19022" s="34" t="n">
        <f aca="false">IFERROR(VLOOKUP($A19022,'319'!$B:$H,7,0),0)</f>
        <v>0</v>
      </c>
      <c r="G19022" s="34" t="n">
        <f aca="false">SUMIFS('12.326ana'!$C:$C,'12.326ana'!$M:$M,redes!A19022)</f>
        <v>0</v>
      </c>
    </row>
    <row r="19023" customFormat="false" ht="14.4" hidden="true" customHeight="false" outlineLevel="0" collapsed="false">
      <c r="A19023" s="34" t="n">
        <v>73706830000102</v>
      </c>
      <c r="B19023" s="34" t="s">
        <v>34521</v>
      </c>
      <c r="C19023" s="34" t="s">
        <v>207</v>
      </c>
      <c r="E19023" s="30" t="s">
        <v>34522</v>
      </c>
      <c r="F19023" s="34" t="n">
        <f aca="false">IFERROR(VLOOKUP($A19023,'319'!$B:$H,7,0),0)</f>
        <v>0</v>
      </c>
      <c r="G19023" s="34" t="n">
        <f aca="false">SUMIFS('12.326ana'!$C:$C,'12.326ana'!$M:$M,redes!A19023)</f>
        <v>0</v>
      </c>
    </row>
    <row r="19024" customFormat="false" ht="14.4" hidden="true" customHeight="false" outlineLevel="0" collapsed="false">
      <c r="A19024" s="34" t="n">
        <v>73715096000148</v>
      </c>
      <c r="B19024" s="34" t="s">
        <v>34523</v>
      </c>
      <c r="C19024" s="34" t="s">
        <v>107</v>
      </c>
      <c r="E19024" s="30" t="s">
        <v>34524</v>
      </c>
      <c r="F19024" s="34" t="n">
        <f aca="false">IFERROR(VLOOKUP($A19024,'319'!$B:$H,7,0),0)</f>
        <v>0</v>
      </c>
      <c r="G19024" s="34" t="n">
        <f aca="false">SUMIFS('12.326ana'!$C:$C,'12.326ana'!$M:$M,redes!A19024)</f>
        <v>0</v>
      </c>
    </row>
    <row r="19025" customFormat="false" ht="14.4" hidden="true" customHeight="false" outlineLevel="0" collapsed="false">
      <c r="A19025" s="34" t="n">
        <v>73765844000105</v>
      </c>
      <c r="B19025" s="34" t="s">
        <v>34525</v>
      </c>
      <c r="C19025" s="34" t="s">
        <v>107</v>
      </c>
      <c r="E19025" s="30"/>
      <c r="F19025" s="34" t="n">
        <f aca="false">IFERROR(VLOOKUP($A19025,'319'!$B:$H,7,0),0)</f>
        <v>0</v>
      </c>
      <c r="G19025" s="34" t="n">
        <f aca="false">SUMIFS('12.326ana'!$C:$C,'12.326ana'!$M:$M,redes!A19025)</f>
        <v>0</v>
      </c>
    </row>
    <row r="19026" customFormat="false" ht="14.4" hidden="true" customHeight="false" outlineLevel="0" collapsed="false">
      <c r="A19026" s="34" t="n">
        <v>73765877000147</v>
      </c>
      <c r="B19026" s="34" t="s">
        <v>34526</v>
      </c>
      <c r="C19026" s="34" t="s">
        <v>77</v>
      </c>
      <c r="E19026" s="30" t="s">
        <v>34527</v>
      </c>
      <c r="F19026" s="34" t="n">
        <f aca="false">IFERROR(VLOOKUP($A19026,'319'!$B:$H,7,0),0)</f>
        <v>0</v>
      </c>
      <c r="G19026" s="34" t="n">
        <f aca="false">SUMIFS('12.326ana'!$C:$C,'12.326ana'!$M:$M,redes!A19026)</f>
        <v>0</v>
      </c>
    </row>
    <row r="19027" customFormat="false" ht="14.4" hidden="true" customHeight="false" outlineLevel="0" collapsed="false">
      <c r="A19027" s="34" t="n">
        <v>73778144000147</v>
      </c>
      <c r="B19027" s="34" t="s">
        <v>34528</v>
      </c>
      <c r="C19027" s="34" t="s">
        <v>16084</v>
      </c>
      <c r="E19027" s="30" t="s">
        <v>34529</v>
      </c>
      <c r="F19027" s="34" t="n">
        <f aca="false">IFERROR(VLOOKUP($A19027,'319'!$B:$H,7,0),0)</f>
        <v>0</v>
      </c>
      <c r="G19027" s="34" t="n">
        <f aca="false">SUMIFS('12.326ana'!$C:$C,'12.326ana'!$M:$M,redes!A19027)</f>
        <v>0</v>
      </c>
    </row>
    <row r="19028" customFormat="false" ht="14.4" hidden="true" customHeight="false" outlineLevel="0" collapsed="false">
      <c r="A19028" s="34" t="n">
        <v>73778391000143</v>
      </c>
      <c r="B19028" s="34" t="s">
        <v>34530</v>
      </c>
      <c r="C19028" s="34" t="s">
        <v>77</v>
      </c>
      <c r="E19028" s="30" t="s">
        <v>16898</v>
      </c>
      <c r="F19028" s="34" t="n">
        <f aca="false">IFERROR(VLOOKUP($A19028,'319'!$B:$H,7,0),0)</f>
        <v>0</v>
      </c>
      <c r="G19028" s="34" t="n">
        <f aca="false">SUMIFS('12.326ana'!$C:$C,'12.326ana'!$M:$M,redes!A19028)</f>
        <v>0</v>
      </c>
    </row>
    <row r="19029" customFormat="false" ht="14.4" hidden="true" customHeight="false" outlineLevel="0" collapsed="false">
      <c r="A19029" s="34" t="n">
        <v>73819500000123</v>
      </c>
      <c r="B19029" s="34" t="s">
        <v>34531</v>
      </c>
      <c r="C19029" s="34" t="s">
        <v>107</v>
      </c>
      <c r="E19029" s="30" t="s">
        <v>4006</v>
      </c>
      <c r="F19029" s="34" t="n">
        <f aca="false">IFERROR(VLOOKUP($A19029,'319'!$B:$H,7,0),0)</f>
        <v>0</v>
      </c>
      <c r="G19029" s="34" t="n">
        <f aca="false">SUMIFS('12.326ana'!$C:$C,'12.326ana'!$M:$M,redes!A19029)</f>
        <v>0</v>
      </c>
    </row>
    <row r="19030" customFormat="false" ht="14.4" hidden="true" customHeight="false" outlineLevel="0" collapsed="false">
      <c r="A19030" s="34" t="n">
        <v>73821183000180</v>
      </c>
      <c r="B19030" s="34" t="s">
        <v>34532</v>
      </c>
      <c r="C19030" s="34" t="s">
        <v>139</v>
      </c>
      <c r="E19030" s="30" t="s">
        <v>34533</v>
      </c>
      <c r="F19030" s="34" t="n">
        <f aca="false">IFERROR(VLOOKUP($A19030,'319'!$B:$H,7,0),0)</f>
        <v>0</v>
      </c>
      <c r="G19030" s="34" t="n">
        <f aca="false">SUMIFS('12.326ana'!$C:$C,'12.326ana'!$M:$M,redes!A19030)</f>
        <v>0</v>
      </c>
    </row>
    <row r="19031" customFormat="false" ht="14.4" hidden="true" customHeight="false" outlineLevel="0" collapsed="false">
      <c r="A19031" s="34" t="n">
        <v>73842320000162</v>
      </c>
      <c r="B19031" s="34" t="s">
        <v>34534</v>
      </c>
      <c r="C19031" s="34" t="s">
        <v>357</v>
      </c>
      <c r="E19031" s="30" t="s">
        <v>8736</v>
      </c>
      <c r="F19031" s="34" t="n">
        <f aca="false">IFERROR(VLOOKUP($A19031,'319'!$B:$H,7,0),0)</f>
        <v>0</v>
      </c>
      <c r="G19031" s="34" t="n">
        <f aca="false">SUMIFS('12.326ana'!$C:$C,'12.326ana'!$M:$M,redes!A19031)</f>
        <v>0</v>
      </c>
    </row>
    <row r="19032" customFormat="false" ht="14.4" hidden="true" customHeight="false" outlineLevel="0" collapsed="false">
      <c r="A19032" s="34" t="n">
        <v>73875064000100</v>
      </c>
      <c r="B19032" s="34" t="s">
        <v>34535</v>
      </c>
      <c r="C19032" s="34" t="s">
        <v>881</v>
      </c>
      <c r="E19032" s="30" t="s">
        <v>34536</v>
      </c>
      <c r="F19032" s="34" t="n">
        <f aca="false">IFERROR(VLOOKUP($A19032,'319'!$B:$H,7,0),0)</f>
        <v>0</v>
      </c>
      <c r="G19032" s="34" t="n">
        <f aca="false">SUMIFS('12.326ana'!$C:$C,'12.326ana'!$M:$M,redes!A19032)</f>
        <v>0</v>
      </c>
    </row>
    <row r="19033" customFormat="false" ht="14.4" hidden="true" customHeight="false" outlineLevel="0" collapsed="false">
      <c r="A19033" s="34" t="n">
        <v>73916207000184</v>
      </c>
      <c r="B19033" s="34" t="s">
        <v>34537</v>
      </c>
      <c r="C19033" s="34" t="s">
        <v>77</v>
      </c>
      <c r="D19033" s="34" t="s">
        <v>3324</v>
      </c>
      <c r="E19033" s="30" t="s">
        <v>31735</v>
      </c>
      <c r="F19033" s="34" t="n">
        <f aca="false">IFERROR(VLOOKUP($A19033,'319'!$B:$H,7,0),0)</f>
        <v>0</v>
      </c>
      <c r="G19033" s="34" t="n">
        <f aca="false">SUMIFS('12.326ana'!$C:$C,'12.326ana'!$M:$M,redes!A19033)</f>
        <v>0</v>
      </c>
    </row>
    <row r="19034" customFormat="false" ht="14.4" hidden="true" customHeight="false" outlineLevel="0" collapsed="false">
      <c r="A19034" s="34" t="n">
        <v>73916256000117</v>
      </c>
      <c r="B19034" s="34" t="s">
        <v>34538</v>
      </c>
      <c r="C19034" s="34" t="s">
        <v>107</v>
      </c>
      <c r="E19034" s="30" t="s">
        <v>4655</v>
      </c>
      <c r="F19034" s="34" t="n">
        <f aca="false">IFERROR(VLOOKUP($A19034,'319'!$B:$H,7,0),0)</f>
        <v>0</v>
      </c>
      <c r="G19034" s="34" t="n">
        <f aca="false">SUMIFS('12.326ana'!$C:$C,'12.326ana'!$M:$M,redes!A19034)</f>
        <v>0</v>
      </c>
    </row>
    <row r="19035" customFormat="false" ht="14.4" hidden="true" customHeight="false" outlineLevel="0" collapsed="false">
      <c r="A19035" s="34" t="n">
        <v>73977597000364</v>
      </c>
      <c r="B19035" s="34" t="s">
        <v>34539</v>
      </c>
      <c r="C19035" s="34" t="s">
        <v>77</v>
      </c>
      <c r="E19035" s="30" t="s">
        <v>34540</v>
      </c>
      <c r="F19035" s="34" t="n">
        <f aca="false">IFERROR(VLOOKUP($A19035,'319'!$B:$H,7,0),0)</f>
        <v>0</v>
      </c>
      <c r="G19035" s="34" t="n">
        <f aca="false">SUMIFS('12.326ana'!$C:$C,'12.326ana'!$M:$M,redes!A19035)</f>
        <v>0</v>
      </c>
    </row>
    <row r="19036" customFormat="false" ht="14.4" hidden="true" customHeight="false" outlineLevel="0" collapsed="false">
      <c r="A19036" s="34" t="n">
        <v>73977597000798</v>
      </c>
      <c r="B19036" s="34" t="s">
        <v>34539</v>
      </c>
      <c r="C19036" s="34" t="s">
        <v>77</v>
      </c>
      <c r="E19036" s="30" t="s">
        <v>21637</v>
      </c>
      <c r="F19036" s="34" t="n">
        <f aca="false">IFERROR(VLOOKUP($A19036,'319'!$B:$H,7,0),0)</f>
        <v>0</v>
      </c>
      <c r="G19036" s="34" t="n">
        <f aca="false">SUMIFS('12.326ana'!$C:$C,'12.326ana'!$M:$M,redes!A19036)</f>
        <v>0</v>
      </c>
    </row>
    <row r="19037" customFormat="false" ht="14.4" hidden="true" customHeight="false" outlineLevel="0" collapsed="false">
      <c r="A19037" s="34" t="n">
        <v>73977597000879</v>
      </c>
      <c r="B19037" s="34" t="s">
        <v>34539</v>
      </c>
      <c r="C19037" s="34" t="s">
        <v>77</v>
      </c>
      <c r="E19037" s="30" t="s">
        <v>21641</v>
      </c>
      <c r="F19037" s="34" t="n">
        <f aca="false">IFERROR(VLOOKUP($A19037,'319'!$B:$H,7,0),0)</f>
        <v>0</v>
      </c>
      <c r="G19037" s="34" t="n">
        <f aca="false">SUMIFS('12.326ana'!$C:$C,'12.326ana'!$M:$M,redes!A19037)</f>
        <v>0</v>
      </c>
    </row>
    <row r="19038" customFormat="false" ht="14.4" hidden="true" customHeight="false" outlineLevel="0" collapsed="false">
      <c r="A19038" s="34" t="n">
        <v>74007519000138</v>
      </c>
      <c r="B19038" s="34" t="s">
        <v>34541</v>
      </c>
      <c r="C19038" s="34" t="s">
        <v>1680</v>
      </c>
      <c r="E19038" s="30" t="s">
        <v>11597</v>
      </c>
      <c r="F19038" s="34" t="n">
        <f aca="false">IFERROR(VLOOKUP($A19038,'319'!$B:$H,7,0),0)</f>
        <v>0</v>
      </c>
      <c r="G19038" s="34" t="n">
        <f aca="false">SUMIFS('12.326ana'!$C:$C,'12.326ana'!$M:$M,redes!A19038)</f>
        <v>0</v>
      </c>
    </row>
    <row r="19039" customFormat="false" ht="14.4" hidden="true" customHeight="false" outlineLevel="0" collapsed="false">
      <c r="A19039" s="34" t="n">
        <v>74016064000117</v>
      </c>
      <c r="B19039" s="34" t="s">
        <v>34542</v>
      </c>
      <c r="C19039" s="34" t="s">
        <v>77</v>
      </c>
      <c r="E19039" s="30" t="s">
        <v>34543</v>
      </c>
      <c r="F19039" s="34" t="n">
        <f aca="false">IFERROR(VLOOKUP($A19039,'319'!$B:$H,7,0),0)</f>
        <v>0</v>
      </c>
      <c r="G19039" s="34" t="n">
        <f aca="false">SUMIFS('12.326ana'!$C:$C,'12.326ana'!$M:$M,redes!A19039)</f>
        <v>0</v>
      </c>
    </row>
    <row r="19040" customFormat="false" ht="14.4" hidden="true" customHeight="false" outlineLevel="0" collapsed="false">
      <c r="A19040" s="34" t="n">
        <v>74024779000111</v>
      </c>
      <c r="B19040" s="34" t="s">
        <v>34544</v>
      </c>
      <c r="C19040" s="34" t="s">
        <v>4829</v>
      </c>
      <c r="E19040" s="30" t="s">
        <v>3166</v>
      </c>
      <c r="F19040" s="34" t="n">
        <f aca="false">IFERROR(VLOOKUP($A19040,'319'!$B:$H,7,0),0)</f>
        <v>0</v>
      </c>
      <c r="G19040" s="34" t="n">
        <f aca="false">SUMIFS('12.326ana'!$C:$C,'12.326ana'!$M:$M,redes!A19040)</f>
        <v>0</v>
      </c>
    </row>
    <row r="19041" customFormat="false" ht="14.4" hidden="true" customHeight="false" outlineLevel="0" collapsed="false">
      <c r="A19041" s="34" t="n">
        <v>74033671000195</v>
      </c>
      <c r="B19041" s="34" t="s">
        <v>34545</v>
      </c>
      <c r="C19041" s="34" t="s">
        <v>154</v>
      </c>
      <c r="E19041" s="30" t="s">
        <v>34546</v>
      </c>
      <c r="F19041" s="34" t="n">
        <f aca="false">IFERROR(VLOOKUP($A19041,'319'!$B:$H,7,0),0)</f>
        <v>0</v>
      </c>
      <c r="G19041" s="34" t="n">
        <f aca="false">SUMIFS('12.326ana'!$C:$C,'12.326ana'!$M:$M,redes!A19041)</f>
        <v>0</v>
      </c>
    </row>
    <row r="19042" customFormat="false" ht="14.4" hidden="true" customHeight="false" outlineLevel="0" collapsed="false">
      <c r="A19042" s="34" t="n">
        <v>74043506000114</v>
      </c>
      <c r="B19042" s="34" t="s">
        <v>34547</v>
      </c>
      <c r="C19042" s="34" t="s">
        <v>1054</v>
      </c>
      <c r="E19042" s="30" t="s">
        <v>34548</v>
      </c>
      <c r="F19042" s="34" t="n">
        <f aca="false">IFERROR(VLOOKUP($A19042,'319'!$B:$H,7,0),0)</f>
        <v>0</v>
      </c>
      <c r="G19042" s="34" t="n">
        <f aca="false">SUMIFS('12.326ana'!$C:$C,'12.326ana'!$M:$M,redes!A19042)</f>
        <v>0</v>
      </c>
    </row>
    <row r="19043" customFormat="false" ht="14.4" hidden="true" customHeight="false" outlineLevel="0" collapsed="false">
      <c r="A19043" s="34" t="n">
        <v>74049610000116</v>
      </c>
      <c r="B19043" s="34" t="s">
        <v>34549</v>
      </c>
      <c r="C19043" s="34" t="s">
        <v>357</v>
      </c>
      <c r="E19043" s="30" t="s">
        <v>34550</v>
      </c>
      <c r="F19043" s="34" t="n">
        <f aca="false">IFERROR(VLOOKUP($A19043,'319'!$B:$H,7,0),0)</f>
        <v>0</v>
      </c>
      <c r="G19043" s="34" t="n">
        <f aca="false">SUMIFS('12.326ana'!$C:$C,'12.326ana'!$M:$M,redes!A19043)</f>
        <v>0</v>
      </c>
    </row>
    <row r="19044" customFormat="false" ht="14.4" hidden="true" customHeight="false" outlineLevel="0" collapsed="false">
      <c r="A19044" s="34" t="n">
        <v>74084161000147</v>
      </c>
      <c r="B19044" s="34" t="s">
        <v>9444</v>
      </c>
      <c r="C19044" s="34" t="s">
        <v>464</v>
      </c>
      <c r="E19044" s="30" t="s">
        <v>9445</v>
      </c>
      <c r="F19044" s="34" t="n">
        <f aca="false">IFERROR(VLOOKUP($A19044,'319'!$B:$H,7,0),0)</f>
        <v>0</v>
      </c>
      <c r="G19044" s="34" t="n">
        <f aca="false">SUMIFS('12.326ana'!$C:$C,'12.326ana'!$M:$M,redes!A19044)</f>
        <v>0</v>
      </c>
    </row>
    <row r="19045" customFormat="false" ht="14.4" hidden="true" customHeight="false" outlineLevel="0" collapsed="false">
      <c r="A19045" s="34" t="n">
        <v>74121351000197</v>
      </c>
      <c r="B19045" s="34" t="s">
        <v>34551</v>
      </c>
      <c r="C19045" s="34" t="s">
        <v>77</v>
      </c>
      <c r="E19045" s="30" t="s">
        <v>34552</v>
      </c>
      <c r="F19045" s="34" t="n">
        <f aca="false">IFERROR(VLOOKUP($A19045,'319'!$B:$H,7,0),0)</f>
        <v>0</v>
      </c>
      <c r="G19045" s="34" t="n">
        <f aca="false">SUMIFS('12.326ana'!$C:$C,'12.326ana'!$M:$M,redes!A19045)</f>
        <v>0</v>
      </c>
    </row>
    <row r="19046" customFormat="false" ht="14.4" hidden="true" customHeight="false" outlineLevel="0" collapsed="false">
      <c r="A19046" s="34" t="n">
        <v>74129107000170</v>
      </c>
      <c r="B19046" s="34" t="s">
        <v>34553</v>
      </c>
      <c r="C19046" s="34" t="s">
        <v>77</v>
      </c>
      <c r="E19046" s="30" t="s">
        <v>34554</v>
      </c>
      <c r="F19046" s="34" t="n">
        <f aca="false">IFERROR(VLOOKUP($A19046,'319'!$B:$H,7,0),0)</f>
        <v>0</v>
      </c>
      <c r="G19046" s="34" t="n">
        <f aca="false">SUMIFS('12.326ana'!$C:$C,'12.326ana'!$M:$M,redes!A19046)</f>
        <v>0</v>
      </c>
    </row>
    <row r="19047" customFormat="false" ht="14.4" hidden="true" customHeight="false" outlineLevel="0" collapsed="false">
      <c r="A19047" s="34" t="n">
        <v>74129503000106</v>
      </c>
      <c r="B19047" s="34" t="s">
        <v>34555</v>
      </c>
      <c r="C19047" s="34" t="s">
        <v>546</v>
      </c>
      <c r="E19047" s="30" t="s">
        <v>17872</v>
      </c>
      <c r="F19047" s="34" t="n">
        <f aca="false">IFERROR(VLOOKUP($A19047,'319'!$B:$H,7,0),0)</f>
        <v>0</v>
      </c>
      <c r="G19047" s="34" t="n">
        <f aca="false">SUMIFS('12.326ana'!$C:$C,'12.326ana'!$M:$M,redes!A19047)</f>
        <v>0</v>
      </c>
    </row>
    <row r="19048" customFormat="false" ht="14.4" hidden="true" customHeight="false" outlineLevel="0" collapsed="false">
      <c r="A19048" s="34" t="n">
        <v>74129719000163</v>
      </c>
      <c r="B19048" s="34" t="s">
        <v>34556</v>
      </c>
      <c r="C19048" s="34" t="s">
        <v>77</v>
      </c>
      <c r="E19048" s="30" t="s">
        <v>7594</v>
      </c>
      <c r="F19048" s="34" t="n">
        <f aca="false">IFERROR(VLOOKUP($A19048,'319'!$B:$H,7,0),0)</f>
        <v>0</v>
      </c>
      <c r="G19048" s="34" t="n">
        <f aca="false">SUMIFS('12.326ana'!$C:$C,'12.326ana'!$M:$M,redes!A19048)</f>
        <v>0</v>
      </c>
    </row>
    <row r="19049" customFormat="false" ht="14.4" hidden="true" customHeight="false" outlineLevel="0" collapsed="false">
      <c r="A19049" s="34" t="n">
        <v>74136672000165</v>
      </c>
      <c r="B19049" s="34" t="s">
        <v>32959</v>
      </c>
      <c r="C19049" s="34" t="s">
        <v>107</v>
      </c>
      <c r="E19049" s="30" t="s">
        <v>34557</v>
      </c>
      <c r="F19049" s="34" t="n">
        <f aca="false">IFERROR(VLOOKUP($A19049,'319'!$B:$H,7,0),0)</f>
        <v>0</v>
      </c>
      <c r="G19049" s="34" t="n">
        <f aca="false">SUMIFS('12.326ana'!$C:$C,'12.326ana'!$M:$M,redes!A19049)</f>
        <v>0</v>
      </c>
    </row>
    <row r="19050" customFormat="false" ht="14.4" hidden="true" customHeight="false" outlineLevel="0" collapsed="false">
      <c r="A19050" s="34" t="n">
        <v>74148412000100</v>
      </c>
      <c r="B19050" s="34" t="s">
        <v>34558</v>
      </c>
      <c r="C19050" s="34" t="s">
        <v>342</v>
      </c>
      <c r="E19050" s="30" t="s">
        <v>34559</v>
      </c>
      <c r="F19050" s="34" t="n">
        <f aca="false">IFERROR(VLOOKUP($A19050,'319'!$B:$H,7,0),0)</f>
        <v>0</v>
      </c>
      <c r="G19050" s="34" t="n">
        <f aca="false">SUMIFS('12.326ana'!$C:$C,'12.326ana'!$M:$M,redes!A19050)</f>
        <v>0</v>
      </c>
    </row>
    <row r="19051" customFormat="false" ht="14.4" hidden="true" customHeight="false" outlineLevel="0" collapsed="false">
      <c r="A19051" s="34" t="n">
        <v>74174947000155</v>
      </c>
      <c r="B19051" s="34" t="s">
        <v>34560</v>
      </c>
      <c r="C19051" s="34" t="s">
        <v>357</v>
      </c>
      <c r="E19051" s="30" t="s">
        <v>34561</v>
      </c>
      <c r="F19051" s="34" t="n">
        <f aca="false">IFERROR(VLOOKUP($A19051,'319'!$B:$H,7,0),0)</f>
        <v>0</v>
      </c>
      <c r="G19051" s="34" t="n">
        <f aca="false">SUMIFS('12.326ana'!$C:$C,'12.326ana'!$M:$M,redes!A19051)</f>
        <v>0</v>
      </c>
    </row>
    <row r="19052" customFormat="false" ht="14.4" hidden="true" customHeight="false" outlineLevel="0" collapsed="false">
      <c r="A19052" s="34" t="n">
        <v>74180688000175</v>
      </c>
      <c r="B19052" s="34" t="s">
        <v>34562</v>
      </c>
      <c r="C19052" s="34" t="s">
        <v>1591</v>
      </c>
      <c r="E19052" s="30" t="s">
        <v>34563</v>
      </c>
      <c r="F19052" s="34" t="n">
        <f aca="false">IFERROR(VLOOKUP($A19052,'319'!$B:$H,7,0),0)</f>
        <v>0</v>
      </c>
      <c r="G19052" s="34" t="n">
        <f aca="false">SUMIFS('12.326ana'!$C:$C,'12.326ana'!$M:$M,redes!A19052)</f>
        <v>0</v>
      </c>
    </row>
    <row r="19053" customFormat="false" ht="14.4" hidden="true" customHeight="false" outlineLevel="0" collapsed="false">
      <c r="A19053" s="34" t="n">
        <v>74180845000142</v>
      </c>
      <c r="B19053" s="34" t="s">
        <v>34564</v>
      </c>
      <c r="C19053" s="34" t="s">
        <v>77</v>
      </c>
      <c r="E19053" s="30" t="s">
        <v>34565</v>
      </c>
      <c r="F19053" s="34" t="n">
        <f aca="false">IFERROR(VLOOKUP($A19053,'319'!$B:$H,7,0),0)</f>
        <v>0</v>
      </c>
      <c r="G19053" s="34" t="n">
        <f aca="false">SUMIFS('12.326ana'!$C:$C,'12.326ana'!$M:$M,redes!A19053)</f>
        <v>0</v>
      </c>
    </row>
    <row r="19054" customFormat="false" ht="14.4" hidden="true" customHeight="false" outlineLevel="0" collapsed="false">
      <c r="A19054" s="34" t="n">
        <v>74184714000133</v>
      </c>
      <c r="B19054" s="34" t="s">
        <v>34566</v>
      </c>
      <c r="C19054" s="34" t="s">
        <v>77</v>
      </c>
      <c r="E19054" s="30" t="s">
        <v>4863</v>
      </c>
      <c r="F19054" s="34" t="n">
        <f aca="false">IFERROR(VLOOKUP($A19054,'319'!$B:$H,7,0),0)</f>
        <v>0</v>
      </c>
      <c r="G19054" s="34" t="n">
        <f aca="false">SUMIFS('12.326ana'!$C:$C,'12.326ana'!$M:$M,redes!A19054)</f>
        <v>0</v>
      </c>
    </row>
    <row r="19055" customFormat="false" ht="14.4" hidden="true" customHeight="false" outlineLevel="0" collapsed="false">
      <c r="A19055" s="34" t="n">
        <v>74197229000102</v>
      </c>
      <c r="B19055" s="34" t="s">
        <v>34567</v>
      </c>
      <c r="C19055" s="34" t="s">
        <v>77</v>
      </c>
      <c r="E19055" s="30" t="s">
        <v>25026</v>
      </c>
      <c r="F19055" s="34" t="n">
        <f aca="false">IFERROR(VLOOKUP($A19055,'319'!$B:$H,7,0),0)</f>
        <v>0</v>
      </c>
      <c r="G19055" s="34" t="n">
        <f aca="false">SUMIFS('12.326ana'!$C:$C,'12.326ana'!$M:$M,redes!A19055)</f>
        <v>0</v>
      </c>
    </row>
    <row r="19056" customFormat="false" ht="14.4" hidden="true" customHeight="false" outlineLevel="0" collapsed="false">
      <c r="A19056" s="34" t="n">
        <v>74823680000180</v>
      </c>
      <c r="B19056" s="34" t="s">
        <v>34568</v>
      </c>
      <c r="C19056" s="34" t="s">
        <v>89</v>
      </c>
      <c r="E19056" s="30"/>
      <c r="F19056" s="34" t="n">
        <f aca="false">IFERROR(VLOOKUP($A19056,'319'!$B:$H,7,0),0)</f>
        <v>0</v>
      </c>
      <c r="G19056" s="34" t="n">
        <f aca="false">SUMIFS('12.326ana'!$C:$C,'12.326ana'!$M:$M,redes!A19056)</f>
        <v>0</v>
      </c>
    </row>
    <row r="19057" customFormat="false" ht="14.4" hidden="true" customHeight="false" outlineLevel="0" collapsed="false">
      <c r="A19057" s="34" t="n">
        <v>75222901000127</v>
      </c>
      <c r="B19057" s="34" t="s">
        <v>34569</v>
      </c>
      <c r="C19057" s="34" t="s">
        <v>34570</v>
      </c>
      <c r="E19057" s="30" t="s">
        <v>34571</v>
      </c>
      <c r="F19057" s="34" t="n">
        <f aca="false">IFERROR(VLOOKUP($A19057,'319'!$B:$H,7,0),0)</f>
        <v>0</v>
      </c>
      <c r="G19057" s="34" t="n">
        <f aca="false">SUMIFS('12.326ana'!$C:$C,'12.326ana'!$M:$M,redes!A19057)</f>
        <v>0</v>
      </c>
    </row>
    <row r="19058" customFormat="false" ht="14.4" hidden="true" customHeight="false" outlineLevel="0" collapsed="false">
      <c r="A19058" s="34" t="n">
        <v>75315333000290</v>
      </c>
      <c r="B19058" s="34" t="s">
        <v>34572</v>
      </c>
      <c r="C19058" s="34" t="s">
        <v>77</v>
      </c>
      <c r="D19058" s="34" t="s">
        <v>34573</v>
      </c>
      <c r="E19058" s="30" t="s">
        <v>34574</v>
      </c>
      <c r="F19058" s="34" t="n">
        <f aca="false">IFERROR(VLOOKUP($A19058,'319'!$B:$H,7,0),0)</f>
        <v>0</v>
      </c>
      <c r="G19058" s="34" t="n">
        <f aca="false">SUMIFS('12.326ana'!$C:$C,'12.326ana'!$M:$M,redes!A19058)</f>
        <v>0</v>
      </c>
    </row>
    <row r="19059" customFormat="false" ht="14.4" hidden="true" customHeight="false" outlineLevel="0" collapsed="false">
      <c r="A19059" s="34" t="n">
        <v>75315333000370</v>
      </c>
      <c r="B19059" s="34" t="s">
        <v>34572</v>
      </c>
      <c r="C19059" s="34" t="s">
        <v>77</v>
      </c>
      <c r="D19059" s="34" t="s">
        <v>34573</v>
      </c>
      <c r="E19059" s="30" t="s">
        <v>34574</v>
      </c>
      <c r="F19059" s="34" t="n">
        <f aca="false">IFERROR(VLOOKUP($A19059,'319'!$B:$H,7,0),0)</f>
        <v>0</v>
      </c>
      <c r="G19059" s="34" t="n">
        <f aca="false">SUMIFS('12.326ana'!$C:$C,'12.326ana'!$M:$M,redes!A19059)</f>
        <v>0</v>
      </c>
    </row>
    <row r="19060" customFormat="false" ht="14.4" hidden="true" customHeight="false" outlineLevel="0" collapsed="false">
      <c r="A19060" s="34" t="n">
        <v>75315333000702</v>
      </c>
      <c r="B19060" s="34" t="s">
        <v>34575</v>
      </c>
      <c r="C19060" s="34" t="s">
        <v>107</v>
      </c>
      <c r="D19060" s="34" t="s">
        <v>34573</v>
      </c>
      <c r="E19060" s="30" t="s">
        <v>34574</v>
      </c>
      <c r="F19060" s="34" t="n">
        <f aca="false">IFERROR(VLOOKUP($A19060,'319'!$B:$H,7,0),0)</f>
        <v>0</v>
      </c>
      <c r="G19060" s="34" t="n">
        <f aca="false">SUMIFS('12.326ana'!$C:$C,'12.326ana'!$M:$M,redes!A19060)</f>
        <v>0</v>
      </c>
    </row>
    <row r="19061" customFormat="false" ht="14.4" hidden="true" customHeight="false" outlineLevel="0" collapsed="false">
      <c r="A19061" s="34" t="n">
        <v>75315333003124</v>
      </c>
      <c r="B19061" s="34" t="s">
        <v>34572</v>
      </c>
      <c r="C19061" s="34" t="s">
        <v>77</v>
      </c>
      <c r="D19061" s="34" t="s">
        <v>34573</v>
      </c>
      <c r="E19061" s="30" t="s">
        <v>34574</v>
      </c>
      <c r="F19061" s="34" t="n">
        <f aca="false">IFERROR(VLOOKUP($A19061,'319'!$B:$H,7,0),0)</f>
        <v>0</v>
      </c>
      <c r="G19061" s="34" t="n">
        <f aca="false">SUMIFS('12.326ana'!$C:$C,'12.326ana'!$M:$M,redes!A19061)</f>
        <v>0</v>
      </c>
    </row>
    <row r="19062" customFormat="false" ht="14.4" hidden="true" customHeight="false" outlineLevel="0" collapsed="false">
      <c r="A19062" s="34" t="n">
        <v>75315333013782</v>
      </c>
      <c r="B19062" s="34" t="s">
        <v>34572</v>
      </c>
      <c r="C19062" s="34" t="s">
        <v>77</v>
      </c>
      <c r="D19062" s="34" t="s">
        <v>34573</v>
      </c>
      <c r="E19062" s="30" t="s">
        <v>34574</v>
      </c>
      <c r="F19062" s="34" t="n">
        <f aca="false">IFERROR(VLOOKUP($A19062,'319'!$B:$H,7,0),0)</f>
        <v>0</v>
      </c>
      <c r="G19062" s="34" t="n">
        <f aca="false">SUMIFS('12.326ana'!$C:$C,'12.326ana'!$M:$M,redes!A19062)</f>
        <v>0</v>
      </c>
    </row>
    <row r="19063" customFormat="false" ht="14.4" hidden="true" customHeight="false" outlineLevel="0" collapsed="false">
      <c r="A19063" s="34" t="n">
        <v>75315333023745</v>
      </c>
      <c r="B19063" s="34" t="s">
        <v>34575</v>
      </c>
      <c r="C19063" s="34" t="s">
        <v>89</v>
      </c>
      <c r="D19063" s="34" t="s">
        <v>34573</v>
      </c>
      <c r="E19063" s="30" t="s">
        <v>34574</v>
      </c>
      <c r="F19063" s="34" t="n">
        <f aca="false">IFERROR(VLOOKUP($A19063,'319'!$B:$H,7,0),0)</f>
        <v>0</v>
      </c>
      <c r="G19063" s="34" t="n">
        <f aca="false">SUMIFS('12.326ana'!$C:$C,'12.326ana'!$M:$M,redes!A19063)</f>
        <v>0</v>
      </c>
    </row>
    <row r="19064" customFormat="false" ht="14.4" hidden="true" customHeight="false" outlineLevel="0" collapsed="false">
      <c r="A19064" s="34" t="n">
        <v>76093731001324</v>
      </c>
      <c r="B19064" s="34" t="s">
        <v>34576</v>
      </c>
      <c r="C19064" s="34" t="s">
        <v>77</v>
      </c>
      <c r="E19064" s="30" t="s">
        <v>34577</v>
      </c>
      <c r="F19064" s="34" t="n">
        <f aca="false">IFERROR(VLOOKUP($A19064,'319'!$B:$H,7,0),0)</f>
        <v>0</v>
      </c>
      <c r="G19064" s="34" t="n">
        <f aca="false">SUMIFS('12.326ana'!$C:$C,'12.326ana'!$M:$M,redes!A19064)</f>
        <v>0</v>
      </c>
    </row>
    <row r="19065" customFormat="false" ht="14.4" hidden="true" customHeight="false" outlineLevel="0" collapsed="false">
      <c r="A19065" s="34" t="n">
        <v>76110543000123</v>
      </c>
      <c r="B19065" s="34" t="s">
        <v>34578</v>
      </c>
      <c r="C19065" s="34" t="s">
        <v>4462</v>
      </c>
      <c r="E19065" s="30" t="s">
        <v>34579</v>
      </c>
      <c r="F19065" s="34" t="n">
        <f aca="false">IFERROR(VLOOKUP($A19065,'319'!$B:$H,7,0),0)</f>
        <v>0</v>
      </c>
      <c r="G19065" s="34" t="n">
        <f aca="false">SUMIFS('12.326ana'!$C:$C,'12.326ana'!$M:$M,redes!A19065)</f>
        <v>0</v>
      </c>
    </row>
    <row r="19066" customFormat="false" ht="14.4" hidden="true" customHeight="false" outlineLevel="0" collapsed="false">
      <c r="A19066" s="34" t="n">
        <v>76490184000187</v>
      </c>
      <c r="B19066" s="34" t="s">
        <v>34580</v>
      </c>
      <c r="C19066" s="34" t="s">
        <v>17741</v>
      </c>
      <c r="E19066" s="30" t="s">
        <v>34581</v>
      </c>
      <c r="F19066" s="34" t="n">
        <f aca="false">IFERROR(VLOOKUP($A19066,'319'!$B:$H,7,0),0)</f>
        <v>0</v>
      </c>
      <c r="G19066" s="34" t="n">
        <f aca="false">SUMIFS('12.326ana'!$C:$C,'12.326ana'!$M:$M,redes!A19066)</f>
        <v>0</v>
      </c>
    </row>
    <row r="19067" customFormat="false" ht="14.4" hidden="true" customHeight="false" outlineLevel="0" collapsed="false">
      <c r="A19067" s="34" t="n">
        <v>76726884007998</v>
      </c>
      <c r="B19067" s="34" t="s">
        <v>34582</v>
      </c>
      <c r="C19067" s="34" t="s">
        <v>77</v>
      </c>
      <c r="E19067" s="30"/>
      <c r="F19067" s="34" t="n">
        <f aca="false">IFERROR(VLOOKUP($A19067,'319'!$B:$H,7,0),0)</f>
        <v>0</v>
      </c>
      <c r="G19067" s="34" t="n">
        <f aca="false">SUMIFS('12.326ana'!$C:$C,'12.326ana'!$M:$M,redes!A19067)</f>
        <v>0</v>
      </c>
    </row>
    <row r="19068" customFormat="false" ht="14.4" hidden="true" customHeight="false" outlineLevel="0" collapsed="false">
      <c r="A19068" s="34" t="n">
        <v>77115889000187</v>
      </c>
      <c r="B19068" s="34" t="s">
        <v>34583</v>
      </c>
      <c r="C19068" s="34" t="s">
        <v>562</v>
      </c>
      <c r="E19068" s="30" t="s">
        <v>34584</v>
      </c>
      <c r="F19068" s="34" t="n">
        <f aca="false">IFERROR(VLOOKUP($A19068,'319'!$B:$H,7,0),0)</f>
        <v>0</v>
      </c>
      <c r="G19068" s="34" t="n">
        <f aca="false">SUMIFS('12.326ana'!$C:$C,'12.326ana'!$M:$M,redes!A19068)</f>
        <v>0</v>
      </c>
    </row>
    <row r="19069" customFormat="false" ht="14.4" hidden="true" customHeight="false" outlineLevel="0" collapsed="false">
      <c r="A19069" s="34" t="n">
        <v>77830156000124</v>
      </c>
      <c r="B19069" s="34" t="s">
        <v>34585</v>
      </c>
      <c r="C19069" s="34" t="s">
        <v>77</v>
      </c>
      <c r="E19069" s="30" t="s">
        <v>34586</v>
      </c>
      <c r="F19069" s="34" t="n">
        <f aca="false">IFERROR(VLOOKUP($A19069,'319'!$B:$H,7,0),0)</f>
        <v>0</v>
      </c>
      <c r="G19069" s="34" t="n">
        <f aca="false">SUMIFS('12.326ana'!$C:$C,'12.326ana'!$M:$M,redes!A19069)</f>
        <v>0</v>
      </c>
    </row>
    <row r="19070" customFormat="false" ht="14.4" hidden="true" customHeight="false" outlineLevel="0" collapsed="false">
      <c r="A19070" s="34" t="n">
        <v>77863223009597</v>
      </c>
      <c r="B19070" s="34" t="s">
        <v>34587</v>
      </c>
      <c r="C19070" s="34" t="s">
        <v>309</v>
      </c>
      <c r="E19070" s="30" t="s">
        <v>34588</v>
      </c>
      <c r="F19070" s="34" t="n">
        <f aca="false">IFERROR(VLOOKUP($A19070,'319'!$B:$H,7,0),0)</f>
        <v>0</v>
      </c>
      <c r="G19070" s="34" t="n">
        <f aca="false">SUMIFS('12.326ana'!$C:$C,'12.326ana'!$M:$M,redes!A19070)</f>
        <v>0</v>
      </c>
    </row>
    <row r="19071" customFormat="false" ht="14.4" hidden="true" customHeight="false" outlineLevel="0" collapsed="false">
      <c r="A19071" s="34" t="n">
        <v>77863223012709</v>
      </c>
      <c r="B19071" s="34" t="s">
        <v>34587</v>
      </c>
      <c r="C19071" s="34" t="s">
        <v>935</v>
      </c>
      <c r="E19071" s="30" t="s">
        <v>34588</v>
      </c>
      <c r="F19071" s="34" t="n">
        <f aca="false">IFERROR(VLOOKUP($A19071,'319'!$B:$H,7,0),0)</f>
        <v>0</v>
      </c>
      <c r="G19071" s="34" t="n">
        <f aca="false">SUMIFS('12.326ana'!$C:$C,'12.326ana'!$M:$M,redes!A19071)</f>
        <v>0</v>
      </c>
    </row>
    <row r="19072" customFormat="false" ht="14.4" hidden="true" customHeight="false" outlineLevel="0" collapsed="false">
      <c r="A19072" s="34" t="n">
        <v>77863223020990</v>
      </c>
      <c r="B19072" s="34" t="s">
        <v>34589</v>
      </c>
      <c r="C19072" s="34" t="s">
        <v>594</v>
      </c>
      <c r="E19072" s="30" t="s">
        <v>34588</v>
      </c>
      <c r="F19072" s="34" t="n">
        <f aca="false">IFERROR(VLOOKUP($A19072,'319'!$B:$H,7,0),0)</f>
        <v>0</v>
      </c>
      <c r="G19072" s="34" t="n">
        <f aca="false">SUMIFS('12.326ana'!$C:$C,'12.326ana'!$M:$M,redes!A19072)</f>
        <v>0</v>
      </c>
    </row>
    <row r="19073" customFormat="false" ht="14.4" hidden="true" customHeight="false" outlineLevel="0" collapsed="false">
      <c r="A19073" s="34" t="n">
        <v>77917680000137</v>
      </c>
      <c r="B19073" s="34" t="s">
        <v>34590</v>
      </c>
      <c r="C19073" s="34" t="s">
        <v>342</v>
      </c>
      <c r="E19073" s="30" t="s">
        <v>34591</v>
      </c>
      <c r="F19073" s="34" t="n">
        <f aca="false">IFERROR(VLOOKUP($A19073,'319'!$B:$H,7,0),0)</f>
        <v>0</v>
      </c>
      <c r="G19073" s="34" t="n">
        <f aca="false">SUMIFS('12.326ana'!$C:$C,'12.326ana'!$M:$M,redes!A19073)</f>
        <v>0</v>
      </c>
    </row>
    <row r="19074" customFormat="false" ht="14.4" hidden="true" customHeight="false" outlineLevel="0" collapsed="false">
      <c r="A19074" s="34" t="n">
        <v>78384674000124</v>
      </c>
      <c r="B19074" s="34" t="s">
        <v>34592</v>
      </c>
      <c r="C19074" s="34" t="s">
        <v>14155</v>
      </c>
      <c r="E19074" s="30" t="s">
        <v>34593</v>
      </c>
      <c r="F19074" s="34" t="n">
        <f aca="false">IFERROR(VLOOKUP($A19074,'319'!$B:$H,7,0),0)</f>
        <v>0</v>
      </c>
      <c r="G19074" s="34" t="n">
        <f aca="false">SUMIFS('12.326ana'!$C:$C,'12.326ana'!$M:$M,redes!A19074)</f>
        <v>0</v>
      </c>
    </row>
    <row r="19075" customFormat="false" ht="14.4" hidden="true" customHeight="false" outlineLevel="0" collapsed="false">
      <c r="A19075" s="34" t="n">
        <v>78384674001287</v>
      </c>
      <c r="B19075" s="34" t="s">
        <v>34594</v>
      </c>
      <c r="C19075" s="34" t="s">
        <v>77</v>
      </c>
      <c r="E19075" s="30" t="s">
        <v>34593</v>
      </c>
      <c r="F19075" s="34" t="n">
        <f aca="false">IFERROR(VLOOKUP($A19075,'319'!$B:$H,7,0),0)</f>
        <v>0</v>
      </c>
      <c r="G19075" s="34" t="n">
        <f aca="false">SUMIFS('12.326ana'!$C:$C,'12.326ana'!$M:$M,redes!A19075)</f>
        <v>0</v>
      </c>
    </row>
    <row r="19076" customFormat="false" ht="14.4" hidden="true" customHeight="false" outlineLevel="0" collapsed="false">
      <c r="A19076" s="34" t="n">
        <v>78384674001449</v>
      </c>
      <c r="B19076" s="34" t="s">
        <v>34594</v>
      </c>
      <c r="C19076" s="34" t="s">
        <v>14155</v>
      </c>
      <c r="E19076" s="30" t="s">
        <v>34595</v>
      </c>
      <c r="F19076" s="34" t="n">
        <f aca="false">IFERROR(VLOOKUP($A19076,'319'!$B:$H,7,0),0)</f>
        <v>0</v>
      </c>
      <c r="G19076" s="34" t="n">
        <f aca="false">SUMIFS('12.326ana'!$C:$C,'12.326ana'!$M:$M,redes!A19076)</f>
        <v>0</v>
      </c>
    </row>
    <row r="19077" customFormat="false" ht="14.4" hidden="true" customHeight="false" outlineLevel="0" collapsed="false">
      <c r="A19077" s="34" t="n">
        <v>78384674001872</v>
      </c>
      <c r="B19077" s="34" t="s">
        <v>34594</v>
      </c>
      <c r="C19077" s="34" t="s">
        <v>14386</v>
      </c>
      <c r="E19077" s="30"/>
      <c r="F19077" s="34" t="n">
        <f aca="false">IFERROR(VLOOKUP($A19077,'319'!$B:$H,7,0),0)</f>
        <v>0</v>
      </c>
      <c r="G19077" s="34" t="n">
        <f aca="false">SUMIFS('12.326ana'!$C:$C,'12.326ana'!$M:$M,redes!A19077)</f>
        <v>0</v>
      </c>
    </row>
    <row r="19078" customFormat="false" ht="14.4" hidden="true" customHeight="false" outlineLevel="0" collapsed="false">
      <c r="A19078" s="34" t="n">
        <v>79072427000155</v>
      </c>
      <c r="B19078" s="34" t="s">
        <v>34596</v>
      </c>
      <c r="C19078" s="34" t="s">
        <v>77</v>
      </c>
      <c r="E19078" s="30" t="s">
        <v>34597</v>
      </c>
      <c r="F19078" s="34" t="n">
        <f aca="false">IFERROR(VLOOKUP($A19078,'319'!$B:$H,7,0),0)</f>
        <v>0</v>
      </c>
      <c r="G19078" s="34" t="n">
        <f aca="false">SUMIFS('12.326ana'!$C:$C,'12.326ana'!$M:$M,redes!A19078)</f>
        <v>0</v>
      </c>
    </row>
    <row r="19079" customFormat="false" ht="14.4" hidden="true" customHeight="false" outlineLevel="0" collapsed="false">
      <c r="A19079" s="34" t="n">
        <v>79073144000128</v>
      </c>
      <c r="B19079" s="34" t="s">
        <v>34598</v>
      </c>
      <c r="C19079" s="34" t="s">
        <v>309</v>
      </c>
      <c r="E19079" s="30" t="s">
        <v>9181</v>
      </c>
      <c r="F19079" s="34" t="n">
        <f aca="false">IFERROR(VLOOKUP($A19079,'319'!$B:$H,7,0),0)</f>
        <v>0</v>
      </c>
      <c r="G19079" s="34" t="n">
        <f aca="false">SUMIFS('12.326ana'!$C:$C,'12.326ana'!$M:$M,redes!A19079)</f>
        <v>0</v>
      </c>
    </row>
    <row r="19080" customFormat="false" ht="14.4" hidden="true" customHeight="false" outlineLevel="0" collapsed="false">
      <c r="A19080" s="34" t="n">
        <v>80329725000167</v>
      </c>
      <c r="B19080" s="34" t="s">
        <v>34599</v>
      </c>
      <c r="C19080" s="34" t="s">
        <v>103</v>
      </c>
      <c r="E19080" s="30" t="s">
        <v>34600</v>
      </c>
      <c r="F19080" s="34" t="n">
        <f aca="false">IFERROR(VLOOKUP($A19080,'319'!$B:$H,7,0),0)</f>
        <v>0</v>
      </c>
      <c r="G19080" s="34" t="n">
        <f aca="false">SUMIFS('12.326ana'!$C:$C,'12.326ana'!$M:$M,redes!A19080)</f>
        <v>0</v>
      </c>
    </row>
    <row r="19081" customFormat="false" ht="14.4" hidden="true" customHeight="false" outlineLevel="0" collapsed="false">
      <c r="A19081" s="34" t="n">
        <v>81049504000106</v>
      </c>
      <c r="B19081" s="34" t="s">
        <v>34601</v>
      </c>
      <c r="C19081" s="34" t="s">
        <v>20768</v>
      </c>
      <c r="E19081" s="30" t="s">
        <v>12806</v>
      </c>
      <c r="F19081" s="34" t="n">
        <f aca="false">IFERROR(VLOOKUP($A19081,'319'!$B:$H,7,0),0)</f>
        <v>0</v>
      </c>
      <c r="G19081" s="34" t="n">
        <f aca="false">SUMIFS('12.326ana'!$C:$C,'12.326ana'!$M:$M,redes!A19081)</f>
        <v>0</v>
      </c>
    </row>
    <row r="19082" customFormat="false" ht="14.4" hidden="true" customHeight="false" outlineLevel="0" collapsed="false">
      <c r="A19082" s="34" t="n">
        <v>81049504000289</v>
      </c>
      <c r="B19082" s="34" t="s">
        <v>34602</v>
      </c>
      <c r="C19082" s="34" t="s">
        <v>20770</v>
      </c>
      <c r="E19082" s="30" t="s">
        <v>34603</v>
      </c>
      <c r="F19082" s="34" t="n">
        <f aca="false">IFERROR(VLOOKUP($A19082,'319'!$B:$H,7,0),0)</f>
        <v>0</v>
      </c>
      <c r="G19082" s="34" t="n">
        <f aca="false">SUMIFS('12.326ana'!$C:$C,'12.326ana'!$M:$M,redes!A19082)</f>
        <v>0</v>
      </c>
    </row>
    <row r="19083" customFormat="false" ht="14.4" hidden="true" customHeight="false" outlineLevel="0" collapsed="false">
      <c r="A19083" s="34" t="n">
        <v>81071623001200</v>
      </c>
      <c r="B19083" s="34" t="s">
        <v>34604</v>
      </c>
      <c r="C19083" s="34" t="s">
        <v>77</v>
      </c>
      <c r="E19083" s="30" t="s">
        <v>34604</v>
      </c>
      <c r="F19083" s="34" t="n">
        <f aca="false">IFERROR(VLOOKUP($A19083,'319'!$B:$H,7,0),0)</f>
        <v>0</v>
      </c>
      <c r="G19083" s="34" t="n">
        <f aca="false">SUMIFS('12.326ana'!$C:$C,'12.326ana'!$M:$M,redes!A19083)</f>
        <v>0</v>
      </c>
    </row>
    <row r="19084" customFormat="false" ht="14.4" hidden="true" customHeight="false" outlineLevel="0" collapsed="false">
      <c r="A19084" s="34" t="n">
        <v>81584278006358</v>
      </c>
      <c r="B19084" s="34" t="s">
        <v>34605</v>
      </c>
      <c r="C19084" s="34" t="s">
        <v>744</v>
      </c>
      <c r="E19084" s="30" t="s">
        <v>34606</v>
      </c>
      <c r="F19084" s="34" t="n">
        <f aca="false">IFERROR(VLOOKUP($A19084,'319'!$B:$H,7,0),0)</f>
        <v>0</v>
      </c>
      <c r="G19084" s="34" t="n">
        <f aca="false">SUMIFS('12.326ana'!$C:$C,'12.326ana'!$M:$M,redes!A19084)</f>
        <v>0</v>
      </c>
    </row>
    <row r="19085" customFormat="false" ht="14.4" hidden="true" customHeight="false" outlineLevel="0" collapsed="false">
      <c r="A19085" s="34" t="n">
        <v>82809088000666</v>
      </c>
      <c r="B19085" s="34" t="s">
        <v>34607</v>
      </c>
      <c r="C19085" s="34" t="s">
        <v>27232</v>
      </c>
      <c r="E19085" s="30" t="s">
        <v>34608</v>
      </c>
      <c r="F19085" s="34" t="n">
        <f aca="false">IFERROR(VLOOKUP($A19085,'319'!$B:$H,7,0),0)</f>
        <v>0</v>
      </c>
      <c r="G19085" s="34" t="n">
        <f aca="false">SUMIFS('12.326ana'!$C:$C,'12.326ana'!$M:$M,redes!A19085)</f>
        <v>0</v>
      </c>
    </row>
    <row r="19086" customFormat="false" ht="14.4" hidden="true" customHeight="false" outlineLevel="0" collapsed="false">
      <c r="A19086" s="34" t="n">
        <v>82809088000909</v>
      </c>
      <c r="B19086" s="34" t="s">
        <v>34607</v>
      </c>
      <c r="C19086" s="34" t="s">
        <v>77</v>
      </c>
      <c r="E19086" s="30"/>
      <c r="F19086" s="34" t="n">
        <f aca="false">IFERROR(VLOOKUP($A19086,'319'!$B:$H,7,0),0)</f>
        <v>0</v>
      </c>
      <c r="G19086" s="34" t="n">
        <f aca="false">SUMIFS('12.326ana'!$C:$C,'12.326ana'!$M:$M,redes!A19086)</f>
        <v>0</v>
      </c>
    </row>
    <row r="19087" customFormat="false" ht="14.4" hidden="true" customHeight="false" outlineLevel="0" collapsed="false">
      <c r="A19087" s="34" t="n">
        <v>82945932000171</v>
      </c>
      <c r="B19087" s="34" t="s">
        <v>34609</v>
      </c>
      <c r="C19087" s="34" t="s">
        <v>34610</v>
      </c>
      <c r="E19087" s="30" t="s">
        <v>34611</v>
      </c>
      <c r="F19087" s="34" t="n">
        <f aca="false">IFERROR(VLOOKUP($A19087,'319'!$B:$H,7,0),0)</f>
        <v>0</v>
      </c>
      <c r="G19087" s="34" t="n">
        <f aca="false">SUMIFS('12.326ana'!$C:$C,'12.326ana'!$M:$M,redes!A19087)</f>
        <v>0</v>
      </c>
    </row>
    <row r="19088" customFormat="false" ht="14.4" hidden="true" customHeight="false" outlineLevel="0" collapsed="false">
      <c r="A19088" s="34" t="n">
        <v>83914598000151</v>
      </c>
      <c r="B19088" s="34" t="s">
        <v>34612</v>
      </c>
      <c r="C19088" s="34" t="s">
        <v>34610</v>
      </c>
      <c r="E19088" s="30" t="s">
        <v>34613</v>
      </c>
      <c r="F19088" s="34" t="n">
        <f aca="false">IFERROR(VLOOKUP($A19088,'319'!$B:$H,7,0),0)</f>
        <v>0</v>
      </c>
      <c r="G19088" s="34" t="n">
        <f aca="false">SUMIFS('12.326ana'!$C:$C,'12.326ana'!$M:$M,redes!A19088)</f>
        <v>0</v>
      </c>
    </row>
    <row r="19089" customFormat="false" ht="14.4" hidden="true" customHeight="false" outlineLevel="0" collapsed="false">
      <c r="A19089" s="34" t="n">
        <v>84046101037194</v>
      </c>
      <c r="B19089" s="34" t="s">
        <v>34614</v>
      </c>
      <c r="C19089" s="34" t="s">
        <v>12327</v>
      </c>
      <c r="E19089" s="30" t="s">
        <v>34615</v>
      </c>
      <c r="F19089" s="34" t="n">
        <f aca="false">IFERROR(VLOOKUP($A19089,'319'!$B:$H,7,0),0)</f>
        <v>0</v>
      </c>
      <c r="G19089" s="34" t="n">
        <f aca="false">SUMIFS('12.326ana'!$C:$C,'12.326ana'!$M:$M,redes!A19089)</f>
        <v>0</v>
      </c>
    </row>
    <row r="19090" customFormat="false" ht="14.4" hidden="true" customHeight="false" outlineLevel="0" collapsed="false">
      <c r="A19090" s="34" t="n">
        <v>84432277000183</v>
      </c>
      <c r="B19090" s="34" t="s">
        <v>34616</v>
      </c>
      <c r="C19090" s="34" t="s">
        <v>34617</v>
      </c>
      <c r="E19090" s="30" t="s">
        <v>34618</v>
      </c>
      <c r="F19090" s="34" t="n">
        <f aca="false">IFERROR(VLOOKUP($A19090,'319'!$B:$H,7,0),0)</f>
        <v>0</v>
      </c>
      <c r="G19090" s="34" t="n">
        <f aca="false">SUMIFS('12.326ana'!$C:$C,'12.326ana'!$M:$M,redes!A19090)</f>
        <v>0</v>
      </c>
    </row>
    <row r="19091" customFormat="false" ht="14.4" hidden="true" customHeight="false" outlineLevel="0" collapsed="false">
      <c r="A19091" s="34" t="n">
        <v>86688116000180</v>
      </c>
      <c r="B19091" s="34" t="s">
        <v>34619</v>
      </c>
      <c r="C19091" s="34" t="s">
        <v>721</v>
      </c>
      <c r="E19091" s="30" t="s">
        <v>8653</v>
      </c>
      <c r="F19091" s="34" t="n">
        <f aca="false">IFERROR(VLOOKUP($A19091,'319'!$B:$H,7,0),0)</f>
        <v>0</v>
      </c>
      <c r="G19091" s="34" t="n">
        <f aca="false">SUMIFS('12.326ana'!$C:$C,'12.326ana'!$M:$M,redes!A19091)</f>
        <v>0</v>
      </c>
    </row>
    <row r="19092" customFormat="false" ht="14.4" hidden="true" customHeight="false" outlineLevel="0" collapsed="false">
      <c r="A19092" s="34" t="n">
        <v>86693389000113</v>
      </c>
      <c r="B19092" s="34" t="s">
        <v>34620</v>
      </c>
      <c r="C19092" s="34" t="s">
        <v>4462</v>
      </c>
      <c r="E19092" s="30" t="s">
        <v>3588</v>
      </c>
      <c r="F19092" s="34" t="n">
        <f aca="false">IFERROR(VLOOKUP($A19092,'319'!$B:$H,7,0),0)</f>
        <v>0</v>
      </c>
      <c r="G19092" s="34" t="n">
        <f aca="false">SUMIFS('12.326ana'!$C:$C,'12.326ana'!$M:$M,redes!A19092)</f>
        <v>0</v>
      </c>
    </row>
    <row r="19093" customFormat="false" ht="14.4" hidden="true" customHeight="false" outlineLevel="0" collapsed="false">
      <c r="A19093" s="34" t="n">
        <v>86730421000193</v>
      </c>
      <c r="B19093" s="34" t="s">
        <v>34621</v>
      </c>
      <c r="C19093" s="34" t="s">
        <v>594</v>
      </c>
      <c r="E19093" s="30" t="s">
        <v>34622</v>
      </c>
      <c r="F19093" s="34" t="n">
        <f aca="false">IFERROR(VLOOKUP($A19093,'319'!$B:$H,7,0),0)</f>
        <v>0</v>
      </c>
      <c r="G19093" s="34" t="n">
        <f aca="false">SUMIFS('12.326ana'!$C:$C,'12.326ana'!$M:$M,redes!A19093)</f>
        <v>0</v>
      </c>
    </row>
    <row r="19094" customFormat="false" ht="14.4" hidden="true" customHeight="false" outlineLevel="0" collapsed="false">
      <c r="A19094" s="34" t="n">
        <v>86741493000136</v>
      </c>
      <c r="B19094" s="34" t="s">
        <v>34623</v>
      </c>
      <c r="C19094" s="34" t="s">
        <v>77</v>
      </c>
      <c r="E19094" s="30" t="s">
        <v>20863</v>
      </c>
      <c r="F19094" s="34" t="n">
        <f aca="false">IFERROR(VLOOKUP($A19094,'319'!$B:$H,7,0),0)</f>
        <v>0</v>
      </c>
      <c r="G19094" s="34" t="n">
        <f aca="false">SUMIFS('12.326ana'!$C:$C,'12.326ana'!$M:$M,redes!A19094)</f>
        <v>0</v>
      </c>
    </row>
    <row r="19095" customFormat="false" ht="14.4" hidden="true" customHeight="false" outlineLevel="0" collapsed="false">
      <c r="A19095" s="34" t="n">
        <v>86744752000182</v>
      </c>
      <c r="B19095" s="34" t="s">
        <v>34624</v>
      </c>
      <c r="C19095" s="34" t="s">
        <v>103</v>
      </c>
      <c r="E19095" s="30" t="s">
        <v>34625</v>
      </c>
      <c r="F19095" s="34" t="n">
        <f aca="false">IFERROR(VLOOKUP($A19095,'319'!$B:$H,7,0),0)</f>
        <v>0</v>
      </c>
      <c r="G19095" s="34" t="n">
        <f aca="false">SUMIFS('12.326ana'!$C:$C,'12.326ana'!$M:$M,redes!A19095)</f>
        <v>0</v>
      </c>
    </row>
    <row r="19096" customFormat="false" ht="14.4" hidden="true" customHeight="false" outlineLevel="0" collapsed="false">
      <c r="A19096" s="34" t="n">
        <v>86745031000197</v>
      </c>
      <c r="B19096" s="34" t="s">
        <v>34626</v>
      </c>
      <c r="C19096" s="34" t="s">
        <v>77</v>
      </c>
      <c r="E19096" s="30"/>
      <c r="F19096" s="34" t="n">
        <f aca="false">IFERROR(VLOOKUP($A19096,'319'!$B:$H,7,0),0)</f>
        <v>0</v>
      </c>
      <c r="G19096" s="34" t="n">
        <f aca="false">SUMIFS('12.326ana'!$C:$C,'12.326ana'!$M:$M,redes!A19096)</f>
        <v>0</v>
      </c>
    </row>
    <row r="19097" customFormat="false" ht="14.4" hidden="true" customHeight="false" outlineLevel="0" collapsed="false">
      <c r="A19097" s="34" t="n">
        <v>86745254000154</v>
      </c>
      <c r="B19097" s="34" t="s">
        <v>34627</v>
      </c>
      <c r="C19097" s="34" t="s">
        <v>713</v>
      </c>
      <c r="E19097" s="30" t="s">
        <v>34628</v>
      </c>
      <c r="F19097" s="34" t="n">
        <f aca="false">IFERROR(VLOOKUP($A19097,'319'!$B:$H,7,0),0)</f>
        <v>0</v>
      </c>
      <c r="G19097" s="34" t="n">
        <f aca="false">SUMIFS('12.326ana'!$C:$C,'12.326ana'!$M:$M,redes!A19097)</f>
        <v>0</v>
      </c>
    </row>
    <row r="19098" customFormat="false" ht="14.4" hidden="true" customHeight="false" outlineLevel="0" collapsed="false">
      <c r="A19098" s="34" t="n">
        <v>86770971000136</v>
      </c>
      <c r="B19098" s="34" t="s">
        <v>34629</v>
      </c>
      <c r="C19098" s="34" t="s">
        <v>77</v>
      </c>
      <c r="E19098" s="30" t="s">
        <v>34630</v>
      </c>
      <c r="F19098" s="34" t="n">
        <f aca="false">IFERROR(VLOOKUP($A19098,'319'!$B:$H,7,0),0)</f>
        <v>0</v>
      </c>
      <c r="G19098" s="34" t="n">
        <f aca="false">SUMIFS('12.326ana'!$C:$C,'12.326ana'!$M:$M,redes!A19098)</f>
        <v>0</v>
      </c>
    </row>
    <row r="19099" customFormat="false" ht="14.4" hidden="true" customHeight="false" outlineLevel="0" collapsed="false">
      <c r="A19099" s="34" t="n">
        <v>86771037000139</v>
      </c>
      <c r="B19099" s="34" t="s">
        <v>34631</v>
      </c>
      <c r="C19099" s="34" t="s">
        <v>197</v>
      </c>
      <c r="E19099" s="30" t="s">
        <v>34632</v>
      </c>
      <c r="F19099" s="34" t="n">
        <f aca="false">IFERROR(VLOOKUP($A19099,'319'!$B:$H,7,0),0)</f>
        <v>0</v>
      </c>
      <c r="G19099" s="34" t="n">
        <f aca="false">SUMIFS('12.326ana'!$C:$C,'12.326ana'!$M:$M,redes!A19099)</f>
        <v>0</v>
      </c>
    </row>
    <row r="19100" customFormat="false" ht="14.4" hidden="true" customHeight="false" outlineLevel="0" collapsed="false">
      <c r="A19100" s="34" t="n">
        <v>86782539000165</v>
      </c>
      <c r="B19100" s="34" t="s">
        <v>34633</v>
      </c>
      <c r="C19100" s="34" t="s">
        <v>565</v>
      </c>
      <c r="E19100" s="30" t="s">
        <v>34634</v>
      </c>
      <c r="F19100" s="34" t="n">
        <f aca="false">IFERROR(VLOOKUP($A19100,'319'!$B:$H,7,0),0)</f>
        <v>0</v>
      </c>
      <c r="G19100" s="34" t="n">
        <f aca="false">SUMIFS('12.326ana'!$C:$C,'12.326ana'!$M:$M,redes!A19100)</f>
        <v>0</v>
      </c>
    </row>
    <row r="19101" customFormat="false" ht="14.4" hidden="true" customHeight="false" outlineLevel="0" collapsed="false">
      <c r="A19101" s="34" t="n">
        <v>86782554000103</v>
      </c>
      <c r="B19101" s="34" t="s">
        <v>34635</v>
      </c>
      <c r="C19101" s="34" t="s">
        <v>562</v>
      </c>
      <c r="E19101" s="30" t="s">
        <v>34636</v>
      </c>
      <c r="F19101" s="34" t="n">
        <f aca="false">IFERROR(VLOOKUP($A19101,'319'!$B:$H,7,0),0)</f>
        <v>0</v>
      </c>
      <c r="G19101" s="34" t="n">
        <f aca="false">SUMIFS('12.326ana'!$C:$C,'12.326ana'!$M:$M,redes!A19101)</f>
        <v>0</v>
      </c>
    </row>
    <row r="19102" customFormat="false" ht="14.4" hidden="true" customHeight="false" outlineLevel="0" collapsed="false">
      <c r="A19102" s="34" t="n">
        <v>86782570000104</v>
      </c>
      <c r="B19102" s="34" t="s">
        <v>34637</v>
      </c>
      <c r="C19102" s="34" t="s">
        <v>299</v>
      </c>
      <c r="E19102" s="30" t="s">
        <v>4499</v>
      </c>
      <c r="F19102" s="34" t="n">
        <f aca="false">IFERROR(VLOOKUP($A19102,'319'!$B:$H,7,0),0)</f>
        <v>0</v>
      </c>
      <c r="G19102" s="34" t="n">
        <f aca="false">SUMIFS('12.326ana'!$C:$C,'12.326ana'!$M:$M,redes!A19102)</f>
        <v>0</v>
      </c>
    </row>
    <row r="19103" customFormat="false" ht="14.4" hidden="true" customHeight="false" outlineLevel="0" collapsed="false">
      <c r="A19103" s="34" t="n">
        <v>86787108000191</v>
      </c>
      <c r="B19103" s="34" t="s">
        <v>34638</v>
      </c>
      <c r="C19103" s="34" t="s">
        <v>706</v>
      </c>
      <c r="E19103" s="30" t="s">
        <v>34639</v>
      </c>
      <c r="F19103" s="34" t="n">
        <f aca="false">IFERROR(VLOOKUP($A19103,'319'!$B:$H,7,0),0)</f>
        <v>0</v>
      </c>
      <c r="G19103" s="34" t="n">
        <f aca="false">SUMIFS('12.326ana'!$C:$C,'12.326ana'!$M:$M,redes!A19103)</f>
        <v>0</v>
      </c>
    </row>
    <row r="19104" customFormat="false" ht="14.4" hidden="true" customHeight="false" outlineLevel="0" collapsed="false">
      <c r="A19104" s="34" t="n">
        <v>86794674000120</v>
      </c>
      <c r="B19104" s="34" t="s">
        <v>34640</v>
      </c>
      <c r="C19104" s="34" t="s">
        <v>357</v>
      </c>
      <c r="E19104" s="30" t="s">
        <v>34641</v>
      </c>
      <c r="F19104" s="34" t="n">
        <f aca="false">IFERROR(VLOOKUP($A19104,'319'!$B:$H,7,0),0)</f>
        <v>0</v>
      </c>
      <c r="G19104" s="34" t="n">
        <f aca="false">SUMIFS('12.326ana'!$C:$C,'12.326ana'!$M:$M,redes!A19104)</f>
        <v>0</v>
      </c>
    </row>
    <row r="19105" customFormat="false" ht="14.4" hidden="true" customHeight="false" outlineLevel="0" collapsed="false">
      <c r="A19105" s="34" t="n">
        <v>86798683000190</v>
      </c>
      <c r="B19105" s="34" t="s">
        <v>34642</v>
      </c>
      <c r="C19105" s="34" t="s">
        <v>139</v>
      </c>
      <c r="E19105" s="30" t="s">
        <v>34643</v>
      </c>
      <c r="F19105" s="34" t="n">
        <f aca="false">IFERROR(VLOOKUP($A19105,'319'!$B:$H,7,0),0)</f>
        <v>0</v>
      </c>
      <c r="G19105" s="34" t="n">
        <f aca="false">SUMIFS('12.326ana'!$C:$C,'12.326ana'!$M:$M,redes!A19105)</f>
        <v>0</v>
      </c>
    </row>
    <row r="19106" customFormat="false" ht="14.4" hidden="true" customHeight="false" outlineLevel="0" collapsed="false">
      <c r="A19106" s="34" t="n">
        <v>86807609000192</v>
      </c>
      <c r="B19106" s="34" t="s">
        <v>34644</v>
      </c>
      <c r="C19106" s="34" t="s">
        <v>77</v>
      </c>
      <c r="E19106" s="30" t="s">
        <v>34645</v>
      </c>
      <c r="F19106" s="34" t="n">
        <f aca="false">IFERROR(VLOOKUP($A19106,'319'!$B:$H,7,0),0)</f>
        <v>0</v>
      </c>
      <c r="G19106" s="34" t="n">
        <f aca="false">SUMIFS('12.326ana'!$C:$C,'12.326ana'!$M:$M,redes!A19106)</f>
        <v>0</v>
      </c>
    </row>
    <row r="19107" customFormat="false" ht="14.4" hidden="true" customHeight="false" outlineLevel="0" collapsed="false">
      <c r="A19107" s="34" t="n">
        <v>86807609000435</v>
      </c>
      <c r="B19107" s="34" t="s">
        <v>34644</v>
      </c>
      <c r="C19107" s="34" t="s">
        <v>77</v>
      </c>
      <c r="E19107" s="30" t="s">
        <v>34646</v>
      </c>
      <c r="F19107" s="34" t="n">
        <f aca="false">IFERROR(VLOOKUP($A19107,'319'!$B:$H,7,0),0)</f>
        <v>0</v>
      </c>
      <c r="G19107" s="34" t="n">
        <f aca="false">SUMIFS('12.326ana'!$C:$C,'12.326ana'!$M:$M,redes!A19107)</f>
        <v>0</v>
      </c>
    </row>
    <row r="19108" customFormat="false" ht="14.4" hidden="true" customHeight="false" outlineLevel="0" collapsed="false">
      <c r="A19108" s="34" t="n">
        <v>86815230000124</v>
      </c>
      <c r="B19108" s="34" t="s">
        <v>34647</v>
      </c>
      <c r="C19108" s="34" t="s">
        <v>89</v>
      </c>
      <c r="E19108" s="30" t="s">
        <v>34648</v>
      </c>
      <c r="F19108" s="34" t="n">
        <f aca="false">IFERROR(VLOOKUP($A19108,'319'!$B:$H,7,0),0)</f>
        <v>0</v>
      </c>
      <c r="G19108" s="34" t="n">
        <f aca="false">SUMIFS('12.326ana'!$C:$C,'12.326ana'!$M:$M,redes!A19108)</f>
        <v>0</v>
      </c>
    </row>
    <row r="19109" customFormat="false" ht="14.4" hidden="true" customHeight="false" outlineLevel="0" collapsed="false">
      <c r="A19109" s="34" t="n">
        <v>86830635000212</v>
      </c>
      <c r="B19109" s="34" t="s">
        <v>34649</v>
      </c>
      <c r="C19109" s="34" t="s">
        <v>197</v>
      </c>
      <c r="E19109" s="30" t="s">
        <v>34650</v>
      </c>
      <c r="F19109" s="34" t="n">
        <f aca="false">IFERROR(VLOOKUP($A19109,'319'!$B:$H,7,0),0)</f>
        <v>0</v>
      </c>
      <c r="G19109" s="34" t="n">
        <f aca="false">SUMIFS('12.326ana'!$C:$C,'12.326ana'!$M:$M,redes!A19109)</f>
        <v>0</v>
      </c>
    </row>
    <row r="19110" customFormat="false" ht="14.4" hidden="true" customHeight="false" outlineLevel="0" collapsed="false">
      <c r="A19110" s="34" t="n">
        <v>86830668000181</v>
      </c>
      <c r="B19110" s="34" t="s">
        <v>34651</v>
      </c>
      <c r="C19110" s="34" t="s">
        <v>127</v>
      </c>
      <c r="E19110" s="30" t="s">
        <v>7906</v>
      </c>
      <c r="F19110" s="34" t="n">
        <f aca="false">IFERROR(VLOOKUP($A19110,'319'!$B:$H,7,0),0)</f>
        <v>0</v>
      </c>
      <c r="G19110" s="34" t="n">
        <f aca="false">SUMIFS('12.326ana'!$C:$C,'12.326ana'!$M:$M,redes!A19110)</f>
        <v>0</v>
      </c>
    </row>
    <row r="19111" customFormat="false" ht="14.4" hidden="true" customHeight="false" outlineLevel="0" collapsed="false">
      <c r="A19111" s="34" t="n">
        <v>86835535000106</v>
      </c>
      <c r="B19111" s="34" t="s">
        <v>34652</v>
      </c>
      <c r="C19111" s="34" t="s">
        <v>77</v>
      </c>
      <c r="E19111" s="30" t="s">
        <v>34652</v>
      </c>
      <c r="F19111" s="34" t="n">
        <f aca="false">IFERROR(VLOOKUP($A19111,'319'!$B:$H,7,0),0)</f>
        <v>0</v>
      </c>
      <c r="G19111" s="34" t="n">
        <f aca="false">SUMIFS('12.326ana'!$C:$C,'12.326ana'!$M:$M,redes!A19111)</f>
        <v>0</v>
      </c>
    </row>
    <row r="19112" customFormat="false" ht="14.4" hidden="true" customHeight="false" outlineLevel="0" collapsed="false">
      <c r="A19112" s="34" t="n">
        <v>86852548000185</v>
      </c>
      <c r="B19112" s="34" t="s">
        <v>34653</v>
      </c>
      <c r="C19112" s="34" t="s">
        <v>604</v>
      </c>
      <c r="E19112" s="30" t="s">
        <v>34654</v>
      </c>
      <c r="F19112" s="34" t="n">
        <f aca="false">IFERROR(VLOOKUP($A19112,'319'!$B:$H,7,0),0)</f>
        <v>0</v>
      </c>
      <c r="G19112" s="34" t="n">
        <f aca="false">SUMIFS('12.326ana'!$C:$C,'12.326ana'!$M:$M,redes!A19112)</f>
        <v>0</v>
      </c>
    </row>
    <row r="19113" customFormat="false" ht="14.4" hidden="true" customHeight="false" outlineLevel="0" collapsed="false">
      <c r="A19113" s="34" t="n">
        <v>86869567000114</v>
      </c>
      <c r="B19113" s="34" t="s">
        <v>34655</v>
      </c>
      <c r="C19113" s="34" t="s">
        <v>77</v>
      </c>
      <c r="E19113" s="30" t="s">
        <v>34656</v>
      </c>
      <c r="F19113" s="34" t="n">
        <f aca="false">IFERROR(VLOOKUP($A19113,'319'!$B:$H,7,0),0)</f>
        <v>0</v>
      </c>
      <c r="G19113" s="34" t="n">
        <f aca="false">SUMIFS('12.326ana'!$C:$C,'12.326ana'!$M:$M,redes!A19113)</f>
        <v>0</v>
      </c>
    </row>
    <row r="19114" customFormat="false" ht="14.4" hidden="true" customHeight="false" outlineLevel="0" collapsed="false">
      <c r="A19114" s="34" t="n">
        <v>86873593000116</v>
      </c>
      <c r="B19114" s="34" t="s">
        <v>34657</v>
      </c>
      <c r="C19114" s="34" t="s">
        <v>89</v>
      </c>
      <c r="E19114" s="30" t="s">
        <v>23730</v>
      </c>
      <c r="F19114" s="34" t="n">
        <f aca="false">IFERROR(VLOOKUP($A19114,'319'!$B:$H,7,0),0)</f>
        <v>0</v>
      </c>
      <c r="G19114" s="34" t="n">
        <f aca="false">SUMIFS('12.326ana'!$C:$C,'12.326ana'!$M:$M,redes!A19114)</f>
        <v>0</v>
      </c>
    </row>
    <row r="19115" customFormat="false" ht="14.4" hidden="true" customHeight="false" outlineLevel="0" collapsed="false">
      <c r="A19115" s="34" t="n">
        <v>86880671000100</v>
      </c>
      <c r="B19115" s="34" t="s">
        <v>34658</v>
      </c>
      <c r="C19115" s="34" t="s">
        <v>77</v>
      </c>
      <c r="E19115" s="30" t="s">
        <v>34659</v>
      </c>
      <c r="F19115" s="34" t="n">
        <f aca="false">IFERROR(VLOOKUP($A19115,'319'!$B:$H,7,0),0)</f>
        <v>0</v>
      </c>
      <c r="G19115" s="34" t="n">
        <f aca="false">SUMIFS('12.326ana'!$C:$C,'12.326ana'!$M:$M,redes!A19115)</f>
        <v>0</v>
      </c>
    </row>
    <row r="19116" customFormat="false" ht="14.4" hidden="true" customHeight="false" outlineLevel="0" collapsed="false">
      <c r="A19116" s="34" t="n">
        <v>86888682000136</v>
      </c>
      <c r="B19116" s="34" t="s">
        <v>34660</v>
      </c>
      <c r="C19116" s="34" t="s">
        <v>77</v>
      </c>
      <c r="E19116" s="30" t="s">
        <v>34660</v>
      </c>
      <c r="F19116" s="34" t="n">
        <f aca="false">IFERROR(VLOOKUP($A19116,'319'!$B:$H,7,0),0)</f>
        <v>0</v>
      </c>
      <c r="G19116" s="34" t="n">
        <f aca="false">SUMIFS('12.326ana'!$C:$C,'12.326ana'!$M:$M,redes!A19116)</f>
        <v>0</v>
      </c>
    </row>
    <row r="19117" customFormat="false" ht="14.4" hidden="true" customHeight="false" outlineLevel="0" collapsed="false">
      <c r="A19117" s="34" t="n">
        <v>86888708000146</v>
      </c>
      <c r="B19117" s="34" t="s">
        <v>34661</v>
      </c>
      <c r="C19117" s="34" t="s">
        <v>77</v>
      </c>
      <c r="E19117" s="30" t="s">
        <v>34341</v>
      </c>
      <c r="F19117" s="34" t="n">
        <f aca="false">IFERROR(VLOOKUP($A19117,'319'!$B:$H,7,0),0)</f>
        <v>0</v>
      </c>
      <c r="G19117" s="34" t="n">
        <f aca="false">SUMIFS('12.326ana'!$C:$C,'12.326ana'!$M:$M,redes!A19117)</f>
        <v>0</v>
      </c>
    </row>
    <row r="19118" customFormat="false" ht="14.4" hidden="true" customHeight="false" outlineLevel="0" collapsed="false">
      <c r="A19118" s="34" t="n">
        <v>86896545000143</v>
      </c>
      <c r="B19118" s="34" t="s">
        <v>34662</v>
      </c>
      <c r="C19118" s="34" t="s">
        <v>478</v>
      </c>
      <c r="E19118" s="30" t="s">
        <v>34663</v>
      </c>
      <c r="F19118" s="34" t="n">
        <f aca="false">IFERROR(VLOOKUP($A19118,'319'!$B:$H,7,0),0)</f>
        <v>0</v>
      </c>
      <c r="G19118" s="34" t="n">
        <f aca="false">SUMIFS('12.326ana'!$C:$C,'12.326ana'!$M:$M,redes!A19118)</f>
        <v>0</v>
      </c>
    </row>
    <row r="19119" customFormat="false" ht="14.4" hidden="true" customHeight="false" outlineLevel="0" collapsed="false">
      <c r="A19119" s="34" t="n">
        <v>86896651000127</v>
      </c>
      <c r="B19119" s="34" t="s">
        <v>34664</v>
      </c>
      <c r="C19119" s="34" t="s">
        <v>77</v>
      </c>
      <c r="E19119" s="30" t="s">
        <v>34665</v>
      </c>
      <c r="F19119" s="34" t="n">
        <f aca="false">IFERROR(VLOOKUP($A19119,'319'!$B:$H,7,0),0)</f>
        <v>0</v>
      </c>
      <c r="G19119" s="34" t="n">
        <f aca="false">SUMIFS('12.326ana'!$C:$C,'12.326ana'!$M:$M,redes!A19119)</f>
        <v>0</v>
      </c>
    </row>
    <row r="19120" customFormat="false" ht="14.4" hidden="true" customHeight="false" outlineLevel="0" collapsed="false">
      <c r="A19120" s="34" t="n">
        <v>86917234000113</v>
      </c>
      <c r="B19120" s="34" t="s">
        <v>34666</v>
      </c>
      <c r="C19120" s="34" t="s">
        <v>107</v>
      </c>
      <c r="E19120" s="30" t="s">
        <v>34667</v>
      </c>
      <c r="F19120" s="34" t="n">
        <f aca="false">IFERROR(VLOOKUP($A19120,'319'!$B:$H,7,0),0)</f>
        <v>0</v>
      </c>
      <c r="G19120" s="34" t="n">
        <f aca="false">SUMIFS('12.326ana'!$C:$C,'12.326ana'!$M:$M,redes!A19120)</f>
        <v>0</v>
      </c>
    </row>
    <row r="19121" customFormat="false" ht="14.4" hidden="true" customHeight="false" outlineLevel="0" collapsed="false">
      <c r="A19121" s="34" t="n">
        <v>86934114000124</v>
      </c>
      <c r="B19121" s="34" t="s">
        <v>34668</v>
      </c>
      <c r="C19121" s="34" t="s">
        <v>979</v>
      </c>
      <c r="E19121" s="30" t="s">
        <v>34669</v>
      </c>
      <c r="F19121" s="34" t="n">
        <f aca="false">IFERROR(VLOOKUP($A19121,'319'!$B:$H,7,0),0)</f>
        <v>0</v>
      </c>
      <c r="G19121" s="34" t="n">
        <f aca="false">SUMIFS('12.326ana'!$C:$C,'12.326ana'!$M:$M,redes!A19121)</f>
        <v>0</v>
      </c>
    </row>
    <row r="19122" customFormat="false" ht="14.4" hidden="true" customHeight="false" outlineLevel="0" collapsed="false">
      <c r="A19122" s="34" t="n">
        <v>86945839000118</v>
      </c>
      <c r="B19122" s="34" t="s">
        <v>34670</v>
      </c>
      <c r="C19122" s="34" t="s">
        <v>139</v>
      </c>
      <c r="E19122" s="30" t="s">
        <v>34671</v>
      </c>
      <c r="F19122" s="34" t="n">
        <f aca="false">IFERROR(VLOOKUP($A19122,'319'!$B:$H,7,0),0)</f>
        <v>0</v>
      </c>
      <c r="G19122" s="34" t="n">
        <f aca="false">SUMIFS('12.326ana'!$C:$C,'12.326ana'!$M:$M,redes!A19122)</f>
        <v>0</v>
      </c>
    </row>
    <row r="19123" customFormat="false" ht="14.4" hidden="true" customHeight="false" outlineLevel="0" collapsed="false">
      <c r="A19123" s="34" t="n">
        <v>86972056000123</v>
      </c>
      <c r="B19123" s="34" t="s">
        <v>34672</v>
      </c>
      <c r="C19123" s="34" t="s">
        <v>4139</v>
      </c>
      <c r="E19123" s="30" t="s">
        <v>30534</v>
      </c>
      <c r="F19123" s="34" t="n">
        <f aca="false">IFERROR(VLOOKUP($A19123,'319'!$B:$H,7,0),0)</f>
        <v>0</v>
      </c>
      <c r="G19123" s="34" t="n">
        <f aca="false">SUMIFS('12.326ana'!$C:$C,'12.326ana'!$M:$M,redes!A19123)</f>
        <v>0</v>
      </c>
    </row>
    <row r="19124" customFormat="false" ht="14.4" hidden="true" customHeight="false" outlineLevel="0" collapsed="false">
      <c r="A19124" s="34" t="n">
        <v>86972262000133</v>
      </c>
      <c r="B19124" s="34" t="s">
        <v>34673</v>
      </c>
      <c r="C19124" s="34" t="s">
        <v>473</v>
      </c>
      <c r="E19124" s="30" t="s">
        <v>14295</v>
      </c>
      <c r="F19124" s="34" t="n">
        <f aca="false">IFERROR(VLOOKUP($A19124,'319'!$B:$H,7,0),0)</f>
        <v>0</v>
      </c>
      <c r="G19124" s="34" t="n">
        <f aca="false">SUMIFS('12.326ana'!$C:$C,'12.326ana'!$M:$M,redes!A19124)</f>
        <v>0</v>
      </c>
    </row>
    <row r="19125" customFormat="false" ht="14.4" hidden="true" customHeight="false" outlineLevel="0" collapsed="false">
      <c r="A19125" s="34" t="n">
        <v>88317847000579</v>
      </c>
      <c r="B19125" s="34" t="s">
        <v>12750</v>
      </c>
      <c r="C19125" s="34" t="s">
        <v>17741</v>
      </c>
      <c r="E19125" s="30" t="s">
        <v>34674</v>
      </c>
      <c r="F19125" s="34" t="n">
        <f aca="false">IFERROR(VLOOKUP($A19125,'319'!$B:$H,7,0),0)</f>
        <v>0</v>
      </c>
      <c r="G19125" s="34" t="n">
        <f aca="false">SUMIFS('12.326ana'!$C:$C,'12.326ana'!$M:$M,redes!A19125)</f>
        <v>0</v>
      </c>
    </row>
    <row r="19126" customFormat="false" ht="14.4" hidden="true" customHeight="false" outlineLevel="0" collapsed="false">
      <c r="A19126" s="34" t="n">
        <v>88317847000650</v>
      </c>
      <c r="B19126" s="34" t="s">
        <v>12750</v>
      </c>
      <c r="C19126" s="34" t="s">
        <v>33600</v>
      </c>
      <c r="E19126" s="30" t="s">
        <v>34675</v>
      </c>
      <c r="F19126" s="34" t="n">
        <f aca="false">IFERROR(VLOOKUP($A19126,'319'!$B:$H,7,0),0)</f>
        <v>0</v>
      </c>
      <c r="G19126" s="34" t="n">
        <f aca="false">SUMIFS('12.326ana'!$C:$C,'12.326ana'!$M:$M,redes!A19126)</f>
        <v>0</v>
      </c>
    </row>
    <row r="19127" customFormat="false" ht="14.4" hidden="true" customHeight="false" outlineLevel="0" collapsed="false">
      <c r="A19127" s="34" t="n">
        <v>88317847001117</v>
      </c>
      <c r="B19127" s="34" t="s">
        <v>12750</v>
      </c>
      <c r="C19127" s="34" t="s">
        <v>77</v>
      </c>
      <c r="E19127" s="30" t="s">
        <v>34674</v>
      </c>
      <c r="F19127" s="34" t="n">
        <f aca="false">IFERROR(VLOOKUP($A19127,'319'!$B:$H,7,0),0)</f>
        <v>0</v>
      </c>
      <c r="G19127" s="34" t="n">
        <f aca="false">SUMIFS('12.326ana'!$C:$C,'12.326ana'!$M:$M,redes!A19127)</f>
        <v>0</v>
      </c>
    </row>
    <row r="19128" customFormat="false" ht="14.4" hidden="true" customHeight="false" outlineLevel="0" collapsed="false">
      <c r="A19128" s="34" t="n">
        <v>89548523002477</v>
      </c>
      <c r="B19128" s="34" t="s">
        <v>34676</v>
      </c>
      <c r="C19128" s="34" t="s">
        <v>14155</v>
      </c>
      <c r="E19128" s="30" t="s">
        <v>7803</v>
      </c>
      <c r="F19128" s="34" t="n">
        <f aca="false">IFERROR(VLOOKUP($A19128,'319'!$B:$H,7,0),0)</f>
        <v>0</v>
      </c>
      <c r="G19128" s="34" t="n">
        <f aca="false">SUMIFS('12.326ana'!$C:$C,'12.326ana'!$M:$M,redes!A19128)</f>
        <v>0</v>
      </c>
    </row>
    <row r="19129" customFormat="false" ht="14.4" hidden="true" customHeight="false" outlineLevel="0" collapsed="false">
      <c r="A19129" s="34" t="n">
        <v>89850341001212</v>
      </c>
      <c r="B19129" s="34" t="s">
        <v>34677</v>
      </c>
      <c r="C19129" s="34" t="s">
        <v>34678</v>
      </c>
      <c r="E19129" s="30" t="s">
        <v>34679</v>
      </c>
      <c r="F19129" s="34" t="n">
        <f aca="false">IFERROR(VLOOKUP($A19129,'319'!$B:$H,7,0),0)</f>
        <v>0</v>
      </c>
      <c r="G19129" s="34" t="n">
        <f aca="false">SUMIFS('12.326ana'!$C:$C,'12.326ana'!$M:$M,redes!A19129)</f>
        <v>0</v>
      </c>
    </row>
    <row r="19130" customFormat="false" ht="14.4" hidden="true" customHeight="false" outlineLevel="0" collapsed="false">
      <c r="A19130" s="34" t="n">
        <v>89940878026187</v>
      </c>
      <c r="B19130" s="34" t="s">
        <v>34680</v>
      </c>
      <c r="C19130" s="34" t="s">
        <v>27232</v>
      </c>
      <c r="E19130" s="30" t="s">
        <v>34681</v>
      </c>
      <c r="F19130" s="34" t="n">
        <f aca="false">IFERROR(VLOOKUP($A19130,'319'!$B:$H,7,0),0)</f>
        <v>0</v>
      </c>
      <c r="G19130" s="34" t="n">
        <f aca="false">SUMIFS('12.326ana'!$C:$C,'12.326ana'!$M:$M,redes!A19130)</f>
        <v>0</v>
      </c>
    </row>
    <row r="19131" customFormat="false" ht="14.4" hidden="true" customHeight="false" outlineLevel="0" collapsed="false">
      <c r="A19131" s="34" t="n">
        <v>91665919000150</v>
      </c>
      <c r="B19131" s="34" t="s">
        <v>34682</v>
      </c>
      <c r="C19131" s="34" t="s">
        <v>107</v>
      </c>
      <c r="E19131" s="30" t="s">
        <v>34683</v>
      </c>
      <c r="F19131" s="34" t="n">
        <f aca="false">IFERROR(VLOOKUP($A19131,'319'!$B:$H,7,0),0)</f>
        <v>0</v>
      </c>
      <c r="G19131" s="34" t="n">
        <f aca="false">SUMIFS('12.326ana'!$C:$C,'12.326ana'!$M:$M,redes!A19131)</f>
        <v>0</v>
      </c>
    </row>
    <row r="19132" customFormat="false" ht="14.4" hidden="true" customHeight="false" outlineLevel="0" collapsed="false">
      <c r="A19132" s="34" t="n">
        <v>95398368000166</v>
      </c>
      <c r="B19132" s="34" t="s">
        <v>16902</v>
      </c>
      <c r="C19132" s="34" t="s">
        <v>546</v>
      </c>
      <c r="E19132" s="30" t="s">
        <v>16902</v>
      </c>
      <c r="F19132" s="34" t="n">
        <f aca="false">IFERROR(VLOOKUP($A19132,'319'!$B:$H,7,0),0)</f>
        <v>0</v>
      </c>
      <c r="G19132" s="34" t="n">
        <f aca="false">SUMIFS('12.326ana'!$C:$C,'12.326ana'!$M:$M,redes!A19132)</f>
        <v>0</v>
      </c>
    </row>
    <row r="19133" customFormat="false" ht="14.4" hidden="true" customHeight="false" outlineLevel="0" collapsed="false">
      <c r="A19133" s="34" t="n">
        <v>97330260000167</v>
      </c>
      <c r="B19133" s="34" t="s">
        <v>34684</v>
      </c>
      <c r="C19133" s="34" t="s">
        <v>77</v>
      </c>
      <c r="E19133" s="30" t="s">
        <v>34685</v>
      </c>
      <c r="F19133" s="34" t="n">
        <f aca="false">IFERROR(VLOOKUP($A19133,'319'!$B:$H,7,0),0)</f>
        <v>0</v>
      </c>
      <c r="G19133" s="34" t="n">
        <f aca="false">SUMIFS('12.326ana'!$C:$C,'12.326ana'!$M:$M,redes!A19133)</f>
        <v>0</v>
      </c>
    </row>
    <row r="19134" customFormat="false" ht="14.4" hidden="true" customHeight="false" outlineLevel="0" collapsed="false">
      <c r="A19134" s="34" t="n">
        <v>97333512000101</v>
      </c>
      <c r="B19134" s="34" t="s">
        <v>34686</v>
      </c>
      <c r="C19134" s="34" t="s">
        <v>309</v>
      </c>
      <c r="E19134" s="30" t="s">
        <v>34687</v>
      </c>
      <c r="F19134" s="34" t="n">
        <f aca="false">IFERROR(VLOOKUP($A19134,'319'!$B:$H,7,0),0)</f>
        <v>0</v>
      </c>
      <c r="G19134" s="34" t="n">
        <f aca="false">SUMIFS('12.326ana'!$C:$C,'12.326ana'!$M:$M,redes!A19134)</f>
        <v>0</v>
      </c>
    </row>
    <row r="19135" customFormat="false" ht="14.4" hidden="true" customHeight="false" outlineLevel="0" collapsed="false">
      <c r="A19135" s="34" t="n">
        <v>97344063000105</v>
      </c>
      <c r="B19135" s="34" t="s">
        <v>34688</v>
      </c>
      <c r="C19135" s="34" t="s">
        <v>464</v>
      </c>
      <c r="E19135" s="30" t="s">
        <v>34689</v>
      </c>
      <c r="F19135" s="34" t="n">
        <f aca="false">IFERROR(VLOOKUP($A19135,'319'!$B:$H,7,0),0)</f>
        <v>0</v>
      </c>
      <c r="G19135" s="34" t="n">
        <f aca="false">SUMIFS('12.326ana'!$C:$C,'12.326ana'!$M:$M,redes!A19135)</f>
        <v>0</v>
      </c>
    </row>
    <row r="19136" customFormat="false" ht="14.4" hidden="true" customHeight="false" outlineLevel="0" collapsed="false">
      <c r="A19136" s="34" t="n">
        <v>97355135000101</v>
      </c>
      <c r="B19136" s="34" t="s">
        <v>34690</v>
      </c>
      <c r="C19136" s="34" t="s">
        <v>89</v>
      </c>
      <c r="D19136" s="34" t="s">
        <v>22291</v>
      </c>
      <c r="E19136" s="30" t="s">
        <v>34691</v>
      </c>
      <c r="F19136" s="34" t="n">
        <f aca="false">IFERROR(VLOOKUP($A19136,'319'!$B:$H,7,0),0)</f>
        <v>0</v>
      </c>
      <c r="G19136" s="34" t="n">
        <f aca="false">SUMIFS('12.326ana'!$C:$C,'12.326ana'!$M:$M,redes!A19136)</f>
        <v>0</v>
      </c>
    </row>
    <row r="19137" customFormat="false" ht="14.4" hidden="true" customHeight="false" outlineLevel="0" collapsed="false">
      <c r="A19137" s="34" t="n">
        <v>97362818000277</v>
      </c>
      <c r="B19137" s="34" t="s">
        <v>34692</v>
      </c>
      <c r="C19137" s="34" t="s">
        <v>77</v>
      </c>
      <c r="D19137" s="34" t="s">
        <v>4797</v>
      </c>
      <c r="E19137" s="30" t="s">
        <v>34693</v>
      </c>
      <c r="F19137" s="34" t="n">
        <f aca="false">IFERROR(VLOOKUP($A19137,'319'!$B:$H,7,0),0)</f>
        <v>0</v>
      </c>
      <c r="G19137" s="34" t="n">
        <f aca="false">SUMIFS('12.326ana'!$C:$C,'12.326ana'!$M:$M,redes!A19137)</f>
        <v>0</v>
      </c>
    </row>
    <row r="19138" customFormat="false" ht="14.4" hidden="true" customHeight="false" outlineLevel="0" collapsed="false">
      <c r="A19138" s="34" t="n">
        <v>97366397000171</v>
      </c>
      <c r="B19138" s="34" t="s">
        <v>34694</v>
      </c>
      <c r="C19138" s="34" t="s">
        <v>77</v>
      </c>
      <c r="D19138" s="34" t="s">
        <v>3324</v>
      </c>
      <c r="E19138" s="30" t="s">
        <v>18289</v>
      </c>
      <c r="F19138" s="34" t="n">
        <f aca="false">IFERROR(VLOOKUP($A19138,'319'!$B:$H,7,0),0)</f>
        <v>0</v>
      </c>
      <c r="G19138" s="34" t="n">
        <f aca="false">SUMIFS('12.326ana'!$C:$C,'12.326ana'!$M:$M,redes!A19138)</f>
        <v>0</v>
      </c>
    </row>
    <row r="19139" customFormat="false" ht="14.4" hidden="true" customHeight="false" outlineLevel="0" collapsed="false">
      <c r="A19139" s="34" t="n">
        <v>97375711000182</v>
      </c>
      <c r="B19139" s="34" t="s">
        <v>34695</v>
      </c>
      <c r="C19139" s="34" t="s">
        <v>77</v>
      </c>
      <c r="E19139" s="30" t="s">
        <v>34696</v>
      </c>
      <c r="F19139" s="34" t="n">
        <f aca="false">IFERROR(VLOOKUP($A19139,'319'!$B:$H,7,0),0)</f>
        <v>0</v>
      </c>
      <c r="G19139" s="34" t="n">
        <f aca="false">SUMIFS('12.326ana'!$C:$C,'12.326ana'!$M:$M,redes!A19139)</f>
        <v>0</v>
      </c>
    </row>
    <row r="19140" customFormat="false" ht="14.4" hidden="true" customHeight="false" outlineLevel="0" collapsed="false">
      <c r="A19140" s="34" t="n">
        <v>97380547000100</v>
      </c>
      <c r="B19140" s="34" t="s">
        <v>34697</v>
      </c>
      <c r="C19140" s="34" t="s">
        <v>139</v>
      </c>
      <c r="E19140" s="30" t="s">
        <v>34698</v>
      </c>
      <c r="F19140" s="34" t="n">
        <f aca="false">IFERROR(VLOOKUP($A19140,'319'!$B:$H,7,0),0)</f>
        <v>0</v>
      </c>
      <c r="G19140" s="34" t="n">
        <f aca="false">SUMIFS('12.326ana'!$C:$C,'12.326ana'!$M:$M,redes!A19140)</f>
        <v>0</v>
      </c>
    </row>
    <row r="19141" customFormat="false" ht="14.4" hidden="true" customHeight="false" outlineLevel="0" collapsed="false">
      <c r="A19141" s="34" t="n">
        <v>97383368000118</v>
      </c>
      <c r="B19141" s="34" t="s">
        <v>34699</v>
      </c>
      <c r="C19141" s="34" t="s">
        <v>405</v>
      </c>
      <c r="E19141" s="30" t="s">
        <v>8507</v>
      </c>
      <c r="F19141" s="34" t="n">
        <f aca="false">IFERROR(VLOOKUP($A19141,'319'!$B:$H,7,0),0)</f>
        <v>0</v>
      </c>
      <c r="G19141" s="34" t="n">
        <f aca="false">SUMIFS('12.326ana'!$C:$C,'12.326ana'!$M:$M,redes!A19141)</f>
        <v>0</v>
      </c>
    </row>
    <row r="19142" customFormat="false" ht="14.4" hidden="true" customHeight="false" outlineLevel="0" collapsed="false">
      <c r="A19142" s="34" t="n">
        <v>97393755000135</v>
      </c>
      <c r="B19142" s="34" t="s">
        <v>8298</v>
      </c>
      <c r="C19142" s="34" t="s">
        <v>197</v>
      </c>
      <c r="E19142" s="30" t="s">
        <v>8299</v>
      </c>
      <c r="F19142" s="34" t="n">
        <f aca="false">IFERROR(VLOOKUP($A19142,'319'!$B:$H,7,0),0)</f>
        <v>0</v>
      </c>
      <c r="G19142" s="34" t="n">
        <f aca="false">SUMIFS('12.326ana'!$C:$C,'12.326ana'!$M:$M,redes!A19142)</f>
        <v>0</v>
      </c>
    </row>
    <row r="19143" customFormat="false" ht="14.4" hidden="true" customHeight="false" outlineLevel="0" collapsed="false">
      <c r="A19143" s="34" t="n">
        <v>97393789000120</v>
      </c>
      <c r="B19143" s="34" t="s">
        <v>34700</v>
      </c>
      <c r="C19143" s="34" t="s">
        <v>77</v>
      </c>
      <c r="E19143" s="30" t="s">
        <v>34701</v>
      </c>
      <c r="F19143" s="34" t="n">
        <f aca="false">IFERROR(VLOOKUP($A19143,'319'!$B:$H,7,0),0)</f>
        <v>0</v>
      </c>
      <c r="G19143" s="34" t="n">
        <f aca="false">SUMIFS('12.326ana'!$C:$C,'12.326ana'!$M:$M,redes!A19143)</f>
        <v>0</v>
      </c>
    </row>
    <row r="19144" customFormat="false" ht="14.4" hidden="true" customHeight="false" outlineLevel="0" collapsed="false">
      <c r="A19144" s="34" t="n">
        <v>97416176000160</v>
      </c>
      <c r="B19144" s="34" t="s">
        <v>34702</v>
      </c>
      <c r="C19144" s="34" t="s">
        <v>565</v>
      </c>
      <c r="E19144" s="30" t="s">
        <v>34703</v>
      </c>
      <c r="F19144" s="34" t="n">
        <f aca="false">IFERROR(VLOOKUP($A19144,'319'!$B:$H,7,0),0)</f>
        <v>0</v>
      </c>
      <c r="G19144" s="34" t="n">
        <f aca="false">SUMIFS('12.326ana'!$C:$C,'12.326ana'!$M:$M,redes!A19144)</f>
        <v>0</v>
      </c>
    </row>
    <row r="19145" customFormat="false" ht="14.4" hidden="true" customHeight="false" outlineLevel="0" collapsed="false">
      <c r="A19145" s="34" t="n">
        <v>97423040000188</v>
      </c>
      <c r="B19145" s="34" t="s">
        <v>34704</v>
      </c>
      <c r="C19145" s="34" t="s">
        <v>139</v>
      </c>
      <c r="E19145" s="30" t="s">
        <v>34705</v>
      </c>
      <c r="F19145" s="34" t="n">
        <f aca="false">IFERROR(VLOOKUP($A19145,'319'!$B:$H,7,0),0)</f>
        <v>0</v>
      </c>
      <c r="G19145" s="34" t="n">
        <f aca="false">SUMIFS('12.326ana'!$C:$C,'12.326ana'!$M:$M,redes!A19145)</f>
        <v>0</v>
      </c>
    </row>
    <row r="19146" customFormat="false" ht="14.4" hidden="true" customHeight="false" outlineLevel="0" collapsed="false">
      <c r="A19146" s="34" t="n">
        <v>97466858000188</v>
      </c>
      <c r="B19146" s="34" t="s">
        <v>34706</v>
      </c>
      <c r="C19146" s="34" t="s">
        <v>77</v>
      </c>
      <c r="E19146" s="30" t="s">
        <v>34707</v>
      </c>
      <c r="F19146" s="34" t="n">
        <f aca="false">IFERROR(VLOOKUP($A19146,'319'!$B:$H,7,0),0)</f>
        <v>0</v>
      </c>
      <c r="G19146" s="34" t="n">
        <f aca="false">SUMIFS('12.326ana'!$C:$C,'12.326ana'!$M:$M,redes!A19146)</f>
        <v>0</v>
      </c>
    </row>
    <row r="19147" customFormat="false" ht="14.4" hidden="true" customHeight="false" outlineLevel="0" collapsed="false">
      <c r="A19147" s="34" t="n">
        <v>97467021000153</v>
      </c>
      <c r="B19147" s="34" t="s">
        <v>34708</v>
      </c>
      <c r="C19147" s="34" t="s">
        <v>77</v>
      </c>
      <c r="E19147" s="30" t="s">
        <v>8975</v>
      </c>
      <c r="F19147" s="34" t="n">
        <f aca="false">IFERROR(VLOOKUP($A19147,'319'!$B:$H,7,0),0)</f>
        <v>0</v>
      </c>
      <c r="G19147" s="34" t="n">
        <f aca="false">SUMIFS('12.326ana'!$C:$C,'12.326ana'!$M:$M,redes!A19147)</f>
        <v>0</v>
      </c>
    </row>
    <row r="19148" customFormat="false" ht="14.4" hidden="true" customHeight="false" outlineLevel="0" collapsed="false">
      <c r="A19148" s="34" t="n">
        <v>97467054000101</v>
      </c>
      <c r="B19148" s="34" t="s">
        <v>34709</v>
      </c>
      <c r="C19148" s="34" t="s">
        <v>464</v>
      </c>
      <c r="E19148" s="30" t="s">
        <v>34710</v>
      </c>
      <c r="F19148" s="34" t="n">
        <f aca="false">IFERROR(VLOOKUP($A19148,'319'!$B:$H,7,0),0)</f>
        <v>0</v>
      </c>
      <c r="G19148" s="34" t="n">
        <f aca="false">SUMIFS('12.326ana'!$C:$C,'12.326ana'!$M:$M,redes!A19148)</f>
        <v>0</v>
      </c>
    </row>
    <row r="19149" customFormat="false" ht="14.4" hidden="true" customHeight="false" outlineLevel="0" collapsed="false">
      <c r="A19149" s="34" t="n">
        <v>97485510000138</v>
      </c>
      <c r="B19149" s="34" t="s">
        <v>34711</v>
      </c>
      <c r="C19149" s="34" t="s">
        <v>77</v>
      </c>
      <c r="D19149" s="34" t="s">
        <v>17415</v>
      </c>
      <c r="E19149" s="30" t="s">
        <v>34712</v>
      </c>
      <c r="F19149" s="34" t="n">
        <f aca="false">IFERROR(VLOOKUP($A19149,'319'!$B:$H,7,0),0)</f>
        <v>0</v>
      </c>
      <c r="G19149" s="34" t="n">
        <f aca="false">SUMIFS('12.326ana'!$C:$C,'12.326ana'!$M:$M,redes!A19149)</f>
        <v>0</v>
      </c>
    </row>
    <row r="19150" customFormat="false" ht="14.4" hidden="true" customHeight="false" outlineLevel="0" collapsed="false">
      <c r="A19150" s="34" t="n">
        <v>97488019000160</v>
      </c>
      <c r="B19150" s="34" t="s">
        <v>34713</v>
      </c>
      <c r="C19150" s="34" t="s">
        <v>464</v>
      </c>
      <c r="E19150" s="30" t="s">
        <v>34714</v>
      </c>
      <c r="F19150" s="34" t="n">
        <f aca="false">IFERROR(VLOOKUP($A19150,'319'!$B:$H,7,0),0)</f>
        <v>0</v>
      </c>
      <c r="G19150" s="34" t="n">
        <f aca="false">SUMIFS('12.326ana'!$C:$C,'12.326ana'!$M:$M,redes!A19150)</f>
        <v>0</v>
      </c>
    </row>
    <row r="19151" customFormat="false" ht="14.4" hidden="true" customHeight="false" outlineLevel="0" collapsed="false">
      <c r="A19151" s="34" t="n">
        <v>97496442000102</v>
      </c>
      <c r="B19151" s="34" t="s">
        <v>34715</v>
      </c>
      <c r="C19151" s="34" t="s">
        <v>77</v>
      </c>
      <c r="E19151" s="30" t="s">
        <v>3238</v>
      </c>
      <c r="F19151" s="34" t="n">
        <f aca="false">IFERROR(VLOOKUP($A19151,'319'!$B:$H,7,0),0)</f>
        <v>0</v>
      </c>
      <c r="G19151" s="34" t="n">
        <f aca="false">SUMIFS('12.326ana'!$C:$C,'12.326ana'!$M:$M,redes!A19151)</f>
        <v>0</v>
      </c>
    </row>
    <row r="19152" customFormat="false" ht="14.4" hidden="true" customHeight="false" outlineLevel="0" collapsed="false">
      <c r="A19152" s="34" t="n">
        <v>97505846000115</v>
      </c>
      <c r="B19152" s="34" t="s">
        <v>34716</v>
      </c>
      <c r="C19152" s="34" t="s">
        <v>77</v>
      </c>
      <c r="E19152" s="30" t="s">
        <v>34717</v>
      </c>
      <c r="F19152" s="34" t="n">
        <f aca="false">IFERROR(VLOOKUP($A19152,'319'!$B:$H,7,0),0)</f>
        <v>0</v>
      </c>
      <c r="G19152" s="34" t="n">
        <f aca="false">SUMIFS('12.326ana'!$C:$C,'12.326ana'!$M:$M,redes!A19152)</f>
        <v>0</v>
      </c>
    </row>
    <row r="19153" customFormat="false" ht="14.4" hidden="true" customHeight="false" outlineLevel="0" collapsed="false">
      <c r="A19153" s="34" t="n">
        <v>97505846000204</v>
      </c>
      <c r="B19153" s="34" t="s">
        <v>34716</v>
      </c>
      <c r="C19153" s="34" t="s">
        <v>77</v>
      </c>
      <c r="E19153" s="30" t="s">
        <v>34717</v>
      </c>
      <c r="F19153" s="34" t="n">
        <f aca="false">IFERROR(VLOOKUP($A19153,'319'!$B:$H,7,0),0)</f>
        <v>0</v>
      </c>
      <c r="G19153" s="34" t="n">
        <f aca="false">SUMIFS('12.326ana'!$C:$C,'12.326ana'!$M:$M,redes!A19153)</f>
        <v>0</v>
      </c>
    </row>
    <row r="19154" customFormat="false" ht="14.4" hidden="true" customHeight="false" outlineLevel="0" collapsed="false">
      <c r="A19154" s="34" t="n">
        <v>97508824000109</v>
      </c>
      <c r="B19154" s="34" t="s">
        <v>34718</v>
      </c>
      <c r="C19154" s="34" t="s">
        <v>713</v>
      </c>
      <c r="E19154" s="30" t="s">
        <v>34719</v>
      </c>
      <c r="F19154" s="34" t="n">
        <f aca="false">IFERROR(VLOOKUP($A19154,'319'!$B:$H,7,0),0)</f>
        <v>0</v>
      </c>
      <c r="G19154" s="34" t="n">
        <f aca="false">SUMIFS('12.326ana'!$C:$C,'12.326ana'!$M:$M,redes!A19154)</f>
        <v>0</v>
      </c>
    </row>
    <row r="19155" customFormat="false" ht="14.4" hidden="true" customHeight="false" outlineLevel="0" collapsed="false">
      <c r="A19155" s="34" t="n">
        <v>97524505000197</v>
      </c>
      <c r="B19155" s="34" t="s">
        <v>34720</v>
      </c>
      <c r="C19155" s="34" t="s">
        <v>77</v>
      </c>
      <c r="E19155" s="30" t="s">
        <v>3001</v>
      </c>
      <c r="F19155" s="34" t="n">
        <f aca="false">IFERROR(VLOOKUP($A19155,'319'!$B:$H,7,0),0)</f>
        <v>0</v>
      </c>
      <c r="G19155" s="34" t="n">
        <f aca="false">SUMIFS('12.326ana'!$C:$C,'12.326ana'!$M:$M,redes!A19155)</f>
        <v>0</v>
      </c>
    </row>
    <row r="19156" customFormat="false" ht="14.4" hidden="true" customHeight="false" outlineLevel="0" collapsed="false">
      <c r="A19156" s="34" t="n">
        <v>97528120000106</v>
      </c>
      <c r="B19156" s="34" t="s">
        <v>34721</v>
      </c>
      <c r="C19156" s="34" t="s">
        <v>77</v>
      </c>
      <c r="E19156" s="30" t="s">
        <v>34722</v>
      </c>
      <c r="F19156" s="34" t="n">
        <f aca="false">IFERROR(VLOOKUP($A19156,'319'!$B:$H,7,0),0)</f>
        <v>0</v>
      </c>
      <c r="G19156" s="34" t="n">
        <f aca="false">SUMIFS('12.326ana'!$C:$C,'12.326ana'!$M:$M,redes!A19156)</f>
        <v>0</v>
      </c>
    </row>
    <row r="19157" customFormat="false" ht="14.4" hidden="true" customHeight="false" outlineLevel="0" collapsed="false">
      <c r="A19157" s="34" t="n">
        <v>97542561000154</v>
      </c>
      <c r="B19157" s="34" t="s">
        <v>34723</v>
      </c>
      <c r="C19157" s="34" t="s">
        <v>77</v>
      </c>
      <c r="E19157" s="30" t="s">
        <v>34723</v>
      </c>
      <c r="F19157" s="34" t="n">
        <f aca="false">IFERROR(VLOOKUP($A19157,'319'!$B:$H,7,0),0)</f>
        <v>0</v>
      </c>
      <c r="G19157" s="34" t="n">
        <f aca="false">SUMIFS('12.326ana'!$C:$C,'12.326ana'!$M:$M,redes!A19157)</f>
        <v>0</v>
      </c>
    </row>
    <row r="19158" customFormat="false" ht="14.4" hidden="true" customHeight="false" outlineLevel="0" collapsed="false">
      <c r="A19158" s="34" t="n">
        <v>97546186000110</v>
      </c>
      <c r="B19158" s="34" t="s">
        <v>34724</v>
      </c>
      <c r="C19158" s="34" t="s">
        <v>139</v>
      </c>
      <c r="E19158" s="30" t="s">
        <v>34725</v>
      </c>
      <c r="F19158" s="34" t="n">
        <f aca="false">IFERROR(VLOOKUP($A19158,'319'!$B:$H,7,0),0)</f>
        <v>0</v>
      </c>
      <c r="G19158" s="34" t="n">
        <f aca="false">SUMIFS('12.326ana'!$C:$C,'12.326ana'!$M:$M,redes!A19158)</f>
        <v>0</v>
      </c>
    </row>
    <row r="19159" customFormat="false" ht="14.4" hidden="true" customHeight="false" outlineLevel="0" collapsed="false">
      <c r="A19159" s="34" t="n">
        <v>97547247000164</v>
      </c>
      <c r="B19159" s="34" t="s">
        <v>34726</v>
      </c>
      <c r="C19159" s="34" t="s">
        <v>77</v>
      </c>
      <c r="E19159" s="30" t="s">
        <v>34727</v>
      </c>
      <c r="F19159" s="34" t="n">
        <f aca="false">IFERROR(VLOOKUP($A19159,'319'!$B:$H,7,0),0)</f>
        <v>0</v>
      </c>
      <c r="G19159" s="34" t="n">
        <f aca="false">SUMIFS('12.326ana'!$C:$C,'12.326ana'!$M:$M,redes!A19159)</f>
        <v>0</v>
      </c>
    </row>
    <row r="19160" customFormat="false" ht="14.4" hidden="true" customHeight="false" outlineLevel="0" collapsed="false">
      <c r="A19160" s="34" t="n">
        <v>97548613000108</v>
      </c>
      <c r="B19160" s="34" t="s">
        <v>34728</v>
      </c>
      <c r="C19160" s="34" t="s">
        <v>77</v>
      </c>
      <c r="E19160" s="30" t="s">
        <v>34729</v>
      </c>
      <c r="F19160" s="34" t="n">
        <f aca="false">IFERROR(VLOOKUP($A19160,'319'!$B:$H,7,0),0)</f>
        <v>0</v>
      </c>
      <c r="G19160" s="34" t="n">
        <f aca="false">SUMIFS('12.326ana'!$C:$C,'12.326ana'!$M:$M,redes!A19160)</f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20" activeCellId="0" sqref="I20"/>
    </sheetView>
  </sheetViews>
  <sheetFormatPr defaultColWidth="8.66796875" defaultRowHeight="14.4" customHeight="false" zeroHeight="false" outlineLevelRow="0" outlineLevelCol="0"/>
  <cols>
    <col collapsed="false" customWidth="true" hidden="false" outlineLevel="0" max="1" min="1" style="30" width="6.44"/>
    <col collapsed="false" customWidth="true" hidden="false" outlineLevel="0" max="2" min="2" style="30" width="35"/>
    <col collapsed="false" customWidth="true" hidden="false" outlineLevel="0" max="3" min="3" style="30" width="7"/>
    <col collapsed="false" customWidth="true" hidden="false" outlineLevel="0" max="4" min="4" style="30" width="31.56"/>
  </cols>
  <sheetData>
    <row r="1" customFormat="false" ht="14.4" hidden="false" customHeight="false" outlineLevel="0" collapsed="false">
      <c r="A1" s="53" t="s">
        <v>34730</v>
      </c>
      <c r="B1" s="54" t="s">
        <v>34731</v>
      </c>
      <c r="C1" s="54" t="s">
        <v>34732</v>
      </c>
      <c r="D1" s="54" t="s">
        <v>34733</v>
      </c>
      <c r="E1" s="54" t="s">
        <v>13</v>
      </c>
    </row>
    <row r="2" customFormat="false" ht="14.4" hidden="false" customHeight="false" outlineLevel="0" collapsed="false">
      <c r="A2" s="55" t="n">
        <v>100</v>
      </c>
      <c r="B2" s="55" t="s">
        <v>34734</v>
      </c>
      <c r="C2" s="55" t="n">
        <v>998</v>
      </c>
      <c r="D2" s="55" t="s">
        <v>34735</v>
      </c>
      <c r="E2" s="55" t="n">
        <v>1</v>
      </c>
    </row>
    <row r="3" customFormat="false" ht="14.4" hidden="false" customHeight="false" outlineLevel="0" collapsed="false">
      <c r="A3" s="55" t="n">
        <v>130</v>
      </c>
      <c r="B3" s="55" t="s">
        <v>34736</v>
      </c>
      <c r="C3" s="55" t="n">
        <v>906</v>
      </c>
      <c r="D3" s="55" t="s">
        <v>34737</v>
      </c>
      <c r="E3" s="55" t="n">
        <v>6</v>
      </c>
    </row>
    <row r="4" customFormat="false" ht="14.4" hidden="false" customHeight="false" outlineLevel="0" collapsed="false">
      <c r="A4" s="55" t="n">
        <v>135</v>
      </c>
      <c r="B4" s="55" t="s">
        <v>34738</v>
      </c>
      <c r="C4" s="55" t="n">
        <v>906</v>
      </c>
      <c r="D4" s="55" t="s">
        <v>34737</v>
      </c>
      <c r="E4" s="55" t="n">
        <v>6</v>
      </c>
    </row>
    <row r="5" customFormat="false" ht="14.4" hidden="false" customHeight="false" outlineLevel="0" collapsed="false">
      <c r="A5" s="55" t="n">
        <v>211</v>
      </c>
      <c r="B5" s="55" t="s">
        <v>34739</v>
      </c>
      <c r="C5" s="55" t="n">
        <v>906</v>
      </c>
      <c r="D5" s="55" t="s">
        <v>34737</v>
      </c>
      <c r="E5" s="55" t="n">
        <v>1</v>
      </c>
    </row>
    <row r="6" customFormat="false" ht="14.4" hidden="false" customHeight="false" outlineLevel="0" collapsed="false">
      <c r="A6" s="55" t="n">
        <v>301</v>
      </c>
      <c r="B6" s="55" t="s">
        <v>34740</v>
      </c>
      <c r="C6" s="55" t="n">
        <v>906</v>
      </c>
      <c r="D6" s="55" t="s">
        <v>34737</v>
      </c>
      <c r="E6" s="55" t="n">
        <v>1</v>
      </c>
    </row>
    <row r="7" customFormat="false" ht="14.4" hidden="false" customHeight="false" outlineLevel="0" collapsed="false">
      <c r="A7" s="55" t="n">
        <v>507</v>
      </c>
      <c r="B7" s="55" t="s">
        <v>34741</v>
      </c>
      <c r="C7" s="55" t="n">
        <v>906</v>
      </c>
      <c r="D7" s="55" t="s">
        <v>34737</v>
      </c>
      <c r="E7" s="55" t="n">
        <v>1</v>
      </c>
    </row>
    <row r="8" customFormat="false" ht="14.4" hidden="false" customHeight="false" outlineLevel="0" collapsed="false">
      <c r="A8" s="55" t="n">
        <v>702</v>
      </c>
      <c r="B8" s="55" t="s">
        <v>34742</v>
      </c>
      <c r="C8" s="55" t="n">
        <v>906</v>
      </c>
      <c r="D8" s="55" t="s">
        <v>34737</v>
      </c>
      <c r="E8" s="55" t="n">
        <v>1</v>
      </c>
    </row>
    <row r="9" customFormat="false" ht="14.4" hidden="false" customHeight="false" outlineLevel="0" collapsed="false">
      <c r="A9" s="55" t="n">
        <v>703</v>
      </c>
      <c r="B9" s="55" t="s">
        <v>34743</v>
      </c>
      <c r="C9" s="55" t="n">
        <v>902</v>
      </c>
      <c r="D9" s="55" t="s">
        <v>34744</v>
      </c>
      <c r="E9" s="55" t="n">
        <v>1</v>
      </c>
    </row>
    <row r="10" customFormat="false" ht="14.4" hidden="false" customHeight="false" outlineLevel="0" collapsed="false">
      <c r="A10" s="56" t="n">
        <v>704</v>
      </c>
      <c r="B10" s="55" t="s">
        <v>34745</v>
      </c>
      <c r="C10" s="55" t="n">
        <v>910</v>
      </c>
      <c r="D10" s="55" t="s">
        <v>34746</v>
      </c>
      <c r="E10" s="55" t="n">
        <v>1</v>
      </c>
    </row>
    <row r="11" customFormat="false" ht="14.4" hidden="false" customHeight="false" outlineLevel="0" collapsed="false">
      <c r="A11" s="56" t="n">
        <v>705</v>
      </c>
      <c r="B11" s="55" t="s">
        <v>34747</v>
      </c>
      <c r="C11" s="55" t="n">
        <v>910</v>
      </c>
      <c r="D11" s="55" t="s">
        <v>34746</v>
      </c>
      <c r="E11" s="55" t="n">
        <v>1</v>
      </c>
    </row>
    <row r="12" customFormat="false" ht="14.4" hidden="false" customHeight="false" outlineLevel="0" collapsed="false">
      <c r="A12" s="55" t="n">
        <v>706</v>
      </c>
      <c r="B12" s="55" t="s">
        <v>34748</v>
      </c>
      <c r="C12" s="55" t="n">
        <v>902</v>
      </c>
      <c r="D12" s="55" t="s">
        <v>34744</v>
      </c>
      <c r="E12" s="55" t="n">
        <v>1</v>
      </c>
    </row>
    <row r="13" customFormat="false" ht="14.4" hidden="false" customHeight="false" outlineLevel="0" collapsed="false">
      <c r="A13" s="55" t="n">
        <v>707</v>
      </c>
      <c r="B13" s="55" t="s">
        <v>34749</v>
      </c>
      <c r="C13" s="55" t="n">
        <v>910</v>
      </c>
      <c r="D13" s="55" t="s">
        <v>34746</v>
      </c>
      <c r="E13" s="55" t="n">
        <v>1</v>
      </c>
    </row>
    <row r="14" customFormat="false" ht="14.4" hidden="false" customHeight="false" outlineLevel="0" collapsed="false">
      <c r="A14" s="55" t="n">
        <v>708</v>
      </c>
      <c r="B14" s="55" t="s">
        <v>34750</v>
      </c>
      <c r="C14" s="55" t="n">
        <v>902</v>
      </c>
      <c r="D14" s="55" t="s">
        <v>34744</v>
      </c>
      <c r="E14" s="55" t="n">
        <v>1</v>
      </c>
    </row>
    <row r="15" customFormat="false" ht="14.4" hidden="false" customHeight="false" outlineLevel="0" collapsed="false">
      <c r="A15" s="55" t="n">
        <v>709</v>
      </c>
      <c r="B15" s="55" t="s">
        <v>34751</v>
      </c>
      <c r="C15" s="55" t="n">
        <v>902</v>
      </c>
      <c r="D15" s="55" t="s">
        <v>34744</v>
      </c>
      <c r="E15" s="55" t="n">
        <v>1</v>
      </c>
    </row>
    <row r="16" customFormat="false" ht="14.4" hidden="false" customHeight="false" outlineLevel="0" collapsed="false">
      <c r="A16" s="55" t="n">
        <v>710</v>
      </c>
      <c r="B16" s="55" t="s">
        <v>34752</v>
      </c>
      <c r="C16" s="55" t="n">
        <v>910</v>
      </c>
      <c r="D16" s="55" t="s">
        <v>34746</v>
      </c>
      <c r="E16" s="55" t="n">
        <v>1</v>
      </c>
    </row>
    <row r="17" customFormat="false" ht="14.4" hidden="false" customHeight="false" outlineLevel="0" collapsed="false">
      <c r="A17" s="55" t="n">
        <v>711</v>
      </c>
      <c r="B17" s="55" t="s">
        <v>34753</v>
      </c>
      <c r="C17" s="55" t="n">
        <v>902</v>
      </c>
      <c r="D17" s="55" t="s">
        <v>34744</v>
      </c>
      <c r="E17" s="55" t="n">
        <v>1</v>
      </c>
    </row>
    <row r="18" customFormat="false" ht="14.4" hidden="false" customHeight="false" outlineLevel="0" collapsed="false">
      <c r="A18" s="55" t="n">
        <v>712</v>
      </c>
      <c r="B18" s="55" t="s">
        <v>34754</v>
      </c>
      <c r="C18" s="55" t="n">
        <v>910</v>
      </c>
      <c r="D18" s="55" t="s">
        <v>34746</v>
      </c>
      <c r="E18" s="55" t="n">
        <v>1</v>
      </c>
    </row>
    <row r="19" customFormat="false" ht="14.4" hidden="false" customHeight="false" outlineLevel="0" collapsed="false">
      <c r="A19" s="55" t="n">
        <v>714</v>
      </c>
      <c r="B19" s="55" t="s">
        <v>34755</v>
      </c>
      <c r="C19" s="55" t="n">
        <v>902</v>
      </c>
      <c r="D19" s="55" t="s">
        <v>34744</v>
      </c>
      <c r="E19" s="55" t="n">
        <v>1</v>
      </c>
    </row>
    <row r="20" customFormat="false" ht="14.4" hidden="false" customHeight="false" outlineLevel="0" collapsed="false">
      <c r="A20" s="55" t="n">
        <v>715</v>
      </c>
      <c r="B20" s="55" t="s">
        <v>34756</v>
      </c>
      <c r="C20" s="55" t="n">
        <v>910</v>
      </c>
      <c r="D20" s="55" t="s">
        <v>34746</v>
      </c>
      <c r="E20" s="55" t="n">
        <v>1</v>
      </c>
    </row>
    <row r="21" customFormat="false" ht="14.4" hidden="false" customHeight="false" outlineLevel="0" collapsed="false">
      <c r="A21" s="55" t="n">
        <v>716</v>
      </c>
      <c r="B21" s="55" t="s">
        <v>34757</v>
      </c>
      <c r="C21" s="55" t="n">
        <v>910</v>
      </c>
      <c r="D21" s="55" t="s">
        <v>34746</v>
      </c>
      <c r="E21" s="55" t="n">
        <v>1</v>
      </c>
    </row>
    <row r="22" customFormat="false" ht="14.4" hidden="false" customHeight="false" outlineLevel="0" collapsed="false">
      <c r="A22" s="55" t="n">
        <v>718</v>
      </c>
      <c r="B22" s="55" t="s">
        <v>34758</v>
      </c>
      <c r="C22" s="55" t="n">
        <v>910</v>
      </c>
      <c r="D22" s="55" t="s">
        <v>34746</v>
      </c>
      <c r="E22" s="55" t="n">
        <v>1</v>
      </c>
    </row>
    <row r="23" customFormat="false" ht="14.4" hidden="false" customHeight="false" outlineLevel="0" collapsed="false">
      <c r="A23" s="55" t="n">
        <v>721</v>
      </c>
      <c r="B23" s="55" t="s">
        <v>34759</v>
      </c>
      <c r="C23" s="55" t="n">
        <v>906</v>
      </c>
      <c r="D23" s="55" t="s">
        <v>34737</v>
      </c>
      <c r="E23" s="55" t="n">
        <v>6</v>
      </c>
    </row>
    <row r="24" customFormat="false" ht="14.4" hidden="false" customHeight="false" outlineLevel="0" collapsed="false">
      <c r="A24" s="55" t="n">
        <v>752</v>
      </c>
      <c r="B24" s="55" t="s">
        <v>34760</v>
      </c>
      <c r="C24" s="55" t="n">
        <v>902</v>
      </c>
      <c r="D24" s="55" t="s">
        <v>34744</v>
      </c>
      <c r="E24" s="55" t="n">
        <v>1</v>
      </c>
    </row>
    <row r="25" customFormat="false" ht="14.4" hidden="false" customHeight="false" outlineLevel="0" collapsed="false">
      <c r="A25" s="55" t="n">
        <v>757</v>
      </c>
      <c r="B25" s="55" t="s">
        <v>34761</v>
      </c>
      <c r="C25" s="55" t="n">
        <v>902</v>
      </c>
      <c r="D25" s="55" t="s">
        <v>34744</v>
      </c>
      <c r="E25" s="55" t="n">
        <v>1</v>
      </c>
    </row>
    <row r="26" customFormat="false" ht="14.4" hidden="false" customHeight="false" outlineLevel="0" collapsed="false">
      <c r="A26" s="55" t="n">
        <v>759</v>
      </c>
      <c r="B26" s="55" t="s">
        <v>34762</v>
      </c>
      <c r="C26" s="55" t="n">
        <v>902</v>
      </c>
      <c r="D26" s="55" t="s">
        <v>34744</v>
      </c>
      <c r="E26" s="55" t="n">
        <v>1</v>
      </c>
    </row>
    <row r="27" customFormat="false" ht="14.4" hidden="false" customHeight="false" outlineLevel="0" collapsed="false">
      <c r="A27" s="55" t="n">
        <v>800</v>
      </c>
      <c r="B27" s="55" t="s">
        <v>34763</v>
      </c>
      <c r="C27" s="55" t="n">
        <v>902</v>
      </c>
      <c r="D27" s="55" t="s">
        <v>34744</v>
      </c>
      <c r="E27" s="55" t="n">
        <v>6</v>
      </c>
    </row>
    <row r="28" customFormat="false" ht="14.4" hidden="true" customHeight="false" outlineLevel="0" collapsed="false">
      <c r="A28" s="55" t="n">
        <v>759</v>
      </c>
      <c r="B28" s="55" t="s">
        <v>34764</v>
      </c>
      <c r="C28" s="55" t="n">
        <v>904</v>
      </c>
      <c r="D28" s="55" t="s">
        <v>34765</v>
      </c>
    </row>
  </sheetData>
  <autoFilter ref="A1:D24"/>
  <conditionalFormatting sqref="A1:A27">
    <cfRule type="duplicateValues" priority="2" aboveAverage="0" equalAverage="0" bottom="0" percent="0" rank="0" text="" dxfId="22"/>
  </conditionalFormatting>
  <conditionalFormatting sqref="A28">
    <cfRule type="duplicateValues" priority="3" aboveAverage="0" equalAverage="0" bottom="0" percent="0" rank="0" text="" dxfId="23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_rels/item7.xml.rels><?xml version="1.0" encoding="UTF-8"?>
<Relationships xmlns="http://schemas.openxmlformats.org/package/2006/relationships"><Relationship Id="rId1" Type="http://schemas.openxmlformats.org/officeDocument/2006/relationships/customXmlProps" Target="itemProps7.xml"/>
</Relationships>
</file>

<file path=customXml/_rels/item8.xml.rels><?xml version="1.0" encoding="UTF-8"?>
<Relationships xmlns="http://schemas.openxmlformats.org/package/2006/relationships"><Relationship Id="rId1" Type="http://schemas.openxmlformats.org/officeDocument/2006/relationships/customXmlProps" Target="itemProps8.xml"/>
</Relationships>
</file>

<file path=customXml/_rels/item9.xml.rels><?xml version="1.0" encoding="UTF-8"?>
<Relationships xmlns="http://schemas.openxmlformats.org/package/2006/relationships"><Relationship Id="rId1" Type="http://schemas.openxmlformats.org/officeDocument/2006/relationships/customXmlProps" Target="itemProps9.xml"/>
</Relationships>
</file>

<file path=customXml/_rels/item10.xml.rels><?xml version="1.0" encoding="UTF-8"?>
<Relationships xmlns="http://schemas.openxmlformats.org/package/2006/relationships"><Relationship Id="rId1" Type="http://schemas.openxmlformats.org/officeDocument/2006/relationships/customXmlProps" Target="itemProps10.xml"/>
</Relationships>
</file>

<file path=customXml/_rels/item11.xml.rels><?xml version="1.0" encoding="UTF-8"?>
<Relationships xmlns="http://schemas.openxmlformats.org/package/2006/relationships"><Relationship Id="rId1" Type="http://schemas.openxmlformats.org/officeDocument/2006/relationships/customXmlProps" Target="itemProps11.xml"/>
</Relationships>
</file>

<file path=customXml/_rels/item12.xml.rels><?xml version="1.0" encoding="UTF-8"?>
<Relationships xmlns="http://schemas.openxmlformats.org/package/2006/relationships"><Relationship Id="rId1" Type="http://schemas.openxmlformats.org/officeDocument/2006/relationships/customXmlProps" Target="itemProps12.xml"/>
</Relationships>
</file>

<file path=customXml/_rels/item13.xml.rels><?xml version="1.0" encoding="UTF-8"?>
<Relationships xmlns="http://schemas.openxmlformats.org/package/2006/relationships"><Relationship Id="rId1" Type="http://schemas.openxmlformats.org/officeDocument/2006/relationships/customXmlProps" Target="itemProps13.xml"/>
</Relationships>
</file>

<file path=customXml/_rels/item14.xml.rels><?xml version="1.0" encoding="UTF-8"?>
<Relationships xmlns="http://schemas.openxmlformats.org/package/2006/relationships"><Relationship Id="rId1" Type="http://schemas.openxmlformats.org/officeDocument/2006/relationships/customXmlProps" Target="itemProps14.xml"/>
</Relationships>
</file>

<file path=customXml/_rels/item15.xml.rels><?xml version="1.0" encoding="UTF-8"?>
<Relationships xmlns="http://schemas.openxmlformats.org/package/2006/relationships"><Relationship Id="rId1" Type="http://schemas.openxmlformats.org/officeDocument/2006/relationships/customXmlProps" Target="itemProps15.xml"/>
</Relationships>
</file>

<file path=customXml/_rels/item16.xml.rels><?xml version="1.0" encoding="UTF-8"?>
<Relationships xmlns="http://schemas.openxmlformats.org/package/2006/relationships"><Relationship Id="rId1" Type="http://schemas.openxmlformats.org/officeDocument/2006/relationships/customXmlProps" Target="itemProps16.xml"/>
</Relationships>
</file>

<file path=customXml/_rels/item17.xml.rels><?xml version="1.0" encoding="UTF-8"?>
<Relationships xmlns="http://schemas.openxmlformats.org/package/2006/relationships"><Relationship Id="rId1" Type="http://schemas.openxmlformats.org/officeDocument/2006/relationships/customXmlProps" Target="itemProps17.xml"/>
</Relationships>
</file>

<file path=customXml/_rels/item18.xml.rels><?xml version="1.0" encoding="UTF-8"?>
<Relationships xmlns="http://schemas.openxmlformats.org/package/2006/relationships"><Relationship Id="rId1" Type="http://schemas.openxmlformats.org/officeDocument/2006/relationships/customXmlProps" Target="itemProps18.xml"/>
</Relationships>
</file>

<file path=customXml/_rels/item19.xml.rels><?xml version="1.0" encoding="UTF-8"?>
<Relationships xmlns="http://schemas.openxmlformats.org/package/2006/relationships"><Relationship Id="rId1" Type="http://schemas.openxmlformats.org/officeDocument/2006/relationships/customXmlProps" Target="itemProps19.xml"/>
</Relationships>
</file>

<file path=customXml/_rels/item20.xml.rels><?xml version="1.0" encoding="UTF-8"?>
<Relationships xmlns="http://schemas.openxmlformats.org/package/2006/relationships"><Relationship Id="rId1" Type="http://schemas.openxmlformats.org/officeDocument/2006/relationships/customXmlProps" Target="itemProps20.xml"/>
</Relationships>
</file>

<file path=customXml/item1.xml><?xml version="1.0" encoding="utf-8"?>
<Gemini xmlns="http://gemini/pivotcustomization/TableOrder">
  <CustomContent><![CDATA[hoje12 319 rep-ce4e2c89-71a3-4675-9d99-a81784436ba9,hoje12 326 sp-d726b6fd-91df-4f5a-99f7-7dfc3df6d2ae]]></CustomContent>
</Gemini>
</file>

<file path=customXml/item2.xml><?xml version="1.0" encoding="UTF-8"?>
<Gemini xmlns="http://gemini/pivotcustomization/TableXML_hoje12 326 sp_6e9e57dd-39cd-4d30-b629-7e864c7550ef"><CustomContent><![CDATA[<TableWidgetGridSerialization xmlns:xsi="http://www.w3.org/2001/XMLSchema-instance" xmlns:xsd="http://www.w3.org/2001/XMLSchema"><ColumnSuggestedType /><ColumnFormat /><ColumnAccuracy /><ColumnCurrencySymbol /><ColumnPositivePattern /><ColumnNegativePattern /><ColumnWidths><item><key><string>Nº Pedido</string></key><value><int>91</int></value></item><item><key><string>Razao Social</string></key><value><int>105</int></value></item><item><key><string>CNPJ</string></key><value><int>61</int></value></item><item><key><string>Margem</string></key><value><int>84</int></value></item><item><key><string>Tp Venda</string></key><value><int>86</int></value></item><item><key><string>Portador</string></key><value><int>85</int></value></item><item><key><string>Lista</string></key><value><int>61</int></value></item><item><key><string>Saldo DMC</string></key><value><int>96</int></value></item><item><key><string>Trocas</string></key><value><int>71</int></value></item><item><key><string>Valor Pedido</string></key><value><int>105</int></value></item><item><key><string>Prazos Ped.</string></key><value><int>100</int></value></item><item><key><string>Data Dig. Ped.</string></key><value><int>117</int></value></item><item><key><string>Data Imp. Ped.</string></key><value><int>120</int></value></item><item><key><string>Ped. Broker</string></key><value><int>101</int></value></item><item><key><string>Vendedor RCA</string></key><value><int>115</int></value></item><item><key><string>Usuario</string></key><value><int>78</int></value></item><item><key><string>Reg</string></key><value><int>57</int></value></item><item><key><string>Qtd CX</string></key><value><int>73</int></value></item><item><key><string>Cidade</string></key><value><int>73</int></value></item></ColumnWidths><ColumnDisplayIndex><item><key><string>Nº Pedido</string></key><value><int>0</int></value></item><item><key><string>Razao Social</string></key><value><int>1</int></value></item><item><key><string>CNPJ</string></key><value><int>2</int></value></item><item><key><string>Margem</string></key><value><int>3</int></value></item><item><key><string>Tp Venda</string></key><value><int>4</int></value></item><item><key><string>Portador</string></key><value><int>5</int></value></item><item><key><string>Lista</string></key><value><int>6</int></value></item><item><key><string>Saldo DMC</string></key><value><int>7</int></value></item><item><key><string>Trocas</string></key><value><int>8</int></value></item><item><key><string>Valor Pedido</string></key><value><int>9</int></value></item><item><key><string>Prazos Ped.</string></key><value><int>10</int></value></item><item><key><string>Data Dig. Ped.</string></key><value><int>11</int></value></item><item><key><string>Data Imp. Ped.</string></key><value><int>12</int></value></item><item><key><string>Ped. Broker</string></key><value><int>13</int></value></item><item><key><string>Vendedor RCA</string></key><value><int>14</int></value></item><item><key><string>Usuario</string></key><value><int>15</int></value></item><item><key><string>Reg</string></key><value><int>16</int></value></item><item><key><string>Qtd CX</string></key><value><int>17</int></value></item><item><key><string>Cidade</string></key><value><int>18</int></value></item></ColumnDisplayIndex><ColumnFrozen /><ColumnChecked /><ColumnFilter /><SelectionFilter /><FilterParameters /><IsSortDescending>false</IsSortDescending></TableWidgetGridSerialization>]]></CustomContent></Gemini>
</file>

<file path=customXml/item3.xml><?xml version="1.0" encoding="utf-8"?>
<Gemini xmlns="http://gemini/pivotcustomization/MeasureGridState">
  <CustomContent><![CDATA[<ArrayOfKeyValueOfstringSandboxEditor.MeasureGridStateScdE35Ry xmlns="http://schemas.microsoft.com/2003/10/Serialization/Arrays" xmlns:i="http://www.w3.org/2001/XMLSchema-instance"><KeyValueOfstringSandboxEditor.MeasureGridStateScdE35Ry><Key>hoje12 319 rep-ce4e2c89-71a3-4675-9d99-a81784436ba9</Key><Value xmlns:a="http://schemas.datacontract.org/2004/07/Microsoft.AnalysisServices.Common"><a:HasFocus>true</a:HasFocus><a:SizeAtDpi96>113</a:SizeAtDpi96><a:Visible>true</a:Visible></Value></KeyValueOfstringSandboxEditor.MeasureGridStateScdE35Ry><KeyValueOfstringSandboxEditor.MeasureGridStateScdE35Ry><Key>hoje12 326 sp-d726b6fd-91df-4f5a-99f7-7dfc3df6d2ae</Key><Value xmlns:a="http://schemas.datacontract.org/2004/07/Microsoft.AnalysisServices.Common"><a:HasFocus>false</a:HasFocus><a:SizeAtDpi96>113</a:SizeAtDpi96><a:Visible>true</a:Visible></Value></KeyValueOfstringSandboxEditor.MeasureGridStateScdE35Ry></ArrayOfKeyValueOfstringSandboxEditor.MeasureGridStateScdE35Ry>]]></CustomContent>
</Gemini>
</file>

<file path=customXml/item4.xml><?xml version="1.0" encoding="UTF-8"?>
<Gemini xmlns="http://gemini/pivotcustomization/TableXML_hoje12 326 sp-d726b6fd-91df-4f5a-99f7-7dfc3df6d2ae"><CustomContent><![CDATA[<TableWidgetGridSerialization xmlns:xsi="http://www.w3.org/2001/XMLSchema-instance" xmlns:xsd="http://www.w3.org/2001/XMLSchema"><ColumnSuggestedType /><ColumnFormat /><ColumnAccuracy /><ColumnCurrencySymbol /><ColumnPositivePattern /><ColumnNegativePattern /><ColumnWidths><item><key><string>Nº Pedido</string></key><value><int>91</int></value></item><item><key><string>Razao Social</string></key><value><int>105</int></value></item><item><key><string>CNPJ</string></key><value><int>61</int></value></item><item><key><string>Margem</string></key><value><int>84</int></value></item><item><key><string>Tp Venda</string></key><value><int>86</int></value></item><item><key><string>Portador</string></key><value><int>85</int></value></item><item><key><string>Lista</string></key><value><int>61</int></value></item><item><key><string>Saldo DMC</string></key><value><int>96</int></value></item><item><key><string>Trocas</string></key><value><int>71</int></value></item><item><key><string>Valor Pedido</string></key><value><int>105</int></value></item><item><key><string>Prazos Ped.</string></key><value><int>100</int></value></item><item><key><string>Data Dig. Ped.</string></key><value><int>117</int></value></item><item><key><string>Data Imp. Ped.</string></key><value><int>120</int></value></item><item><key><string>Ped. Broker</string></key><value><int>101</int></value></item><item><key><string>Vendedor RCA</string></key><value><int>115</int></value></item><item><key><string>Usuario</string></key><value><int>78</int></value></item><item><key><string>Reg</string></key><value><int>57</int></value></item><item><key><string>Qtd CX</string></key><value><int>73</int></value></item><item><key><string>Cidade</string></key><value><int>73</int></value></item><item><key><string>Pedido x RCA</string></key><value><int>108</int></value></item></ColumnWidths><ColumnDisplayIndex><item><key><string>Nº Pedido</string></key><value><int>0</int></value></item><item><key><string>Razao Social</string></key><value><int>1</int></value></item><item><key><string>CNPJ</string></key><value><int>2</int></value></item><item><key><string>Margem</string></key><value><int>3</int></value></item><item><key><string>Tp Venda</string></key><value><int>4</int></value></item><item><key><string>Portador</string></key><value><int>5</int></value></item><item><key><string>Lista</string></key><value><int>6</int></value></item><item><key><string>Saldo DMC</string></key><value><int>7</int></value></item><item><key><string>Trocas</string></key><value><int>8</int></value></item><item><key><string>Valor Pedido</string></key><value><int>9</int></value></item><item><key><string>Prazos Ped.</string></key><value><int>10</int></value></item><item><key><string>Data Dig. Ped.</string></key><value><int>11</int></value></item><item><key><string>Data Imp. Ped.</string></key><value><int>12</int></value></item><item><key><string>Ped. Broker</string></key><value><int>13</int></value></item><item><key><string>Vendedor RCA</string></key><value><int>14</int></value></item><item><key><string>Usuario</string></key><value><int>15</int></value></item><item><key><string>Reg</string></key><value><int>16</int></value></item><item><key><string>Qtd CX</string></key><value><int>17</int></value></item><item><key><string>Cidade</string></key><value><int>18</int></value></item><item><key><string>Pedido x RCA</string></key><value><int>19</int></value></item></ColumnDisplayIndex><ColumnFrozen /><ColumnChecked /><ColumnFilter /><SelectionFilter /><FilterParameters /><IsSortDescending>false</IsSortDescending></TableWidgetGridSerialization>]]></CustomContent></Gemini>
</file>

<file path=customXml/item5.xml><?xml version="1.0" encoding="utf-8"?>
<Gemini xmlns="http://gemini/pivotcustomization/FormulaBarState">
  <CustomContent><![CDATA[<SandboxEditor.FormulaBarState xmlns="http://schemas.datacontract.org/2004/07/Microsoft.AnalysisServices.Common" xmlns:i="http://www.w3.org/2001/XMLSchema-instance"><Height>21</Height></SandboxEditor.FormulaBarState>]]></CustomContent>
</Gemini>
</file>

<file path=customXml/item6.xml><?xml version="1.0" encoding="utf-8"?>
<Gemini xmlns="http://gemini/pivotcustomization/ClientWindowXML">
  <CustomContent><![CDATA[hoje12 326 sp-d726b6fd-91df-4f5a-99f7-7dfc3df6d2ae]]></CustomContent>
</Gemini>
</file>

<file path=customXml/item7.xml><?xml version="1.0" encoding="utf-8"?>
<Gemini xmlns="http://gemini/pivotcustomization/TableWidget">
  <CustomContent><![CDATA[<ArrayOfDiagramManager.SerializableDiagram xmlns="http://schemas.datacontract.org/2004/07/Microsoft.AnalysisServices.Common" xmlns:i="http://www.w3.org/2001/XMLSchema-instance"><DiagramManager.SerializableDiagram><Adapter i:type="TableWidgetViewModelSandboxAdapter"><TableName>hoje12 319 rep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hoje12 319 rep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Columns\RANK</Key></a:Key><a:Value i:type="TableWidgetBaseViewState"/></a:KeyValueOfDiagramObjectKeyanyTypezbwNTnLX><a:KeyValueOfDiagramObjectKeyanyTypezbwNTnLX><a:Key><Key>Columns\CNPJ</Key></a:Key><a:Value i:type="TableWidgetBaseViewState"/></a:KeyValueOfDiagramObjectKeyanyTypezbwNTnLX><a:KeyValueOfDiagramObjectKeyanyTypezbwNTnLX><a:Key><Key>Columns\RAZÃO SOCIAL</Key></a:Key><a:Value i:type="TableWidgetBaseViewState"/></a:KeyValueOfDiagramObjectKeyanyTypezbwNTnLX><a:KeyValueOfDiagramObjectKeyanyTypezbwNTnLX><a:Key><Key>Columns\CIDADE</Key></a:Key><a:Value i:type="TableWidgetBaseViewState"/></a:KeyValueOfDiagramObjectKeyanyTypezbwNTnLX><a:KeyValueOfDiagramObjectKeyanyTypezbwNTnLX><a:Key><Key>Columns\ENDEREÇO</Key></a:Key><a:Value i:type="TableWidgetBaseViewState"/></a:KeyValueOfDiagramObjectKeyanyTypezbwNTnLX><a:KeyValueOfDiagramObjectKeyanyTypezbwNTnLX><a:Key><Key>Columns\PESO BRUTO</Key></a:Key><a:Value i:type="TableWidgetBaseViewState"/></a:KeyValueOfDiagramObjectKeyanyTypezbwNTnLX><a:KeyValueOfDiagramObjectKeyanyTypezbwNTnLX><a:Key><Key>Columns\CAIXA</Key></a:Key><a:Value i:type="TableWidgetBaseViewState"/></a:KeyValueOfDiagramObjectKeyanyTypezbwNTnLX><a:KeyValueOfDiagramObjectKeyanyTypezbwNTnLX><a:Key><Key>Columns\VALOR</Key></a:Key><a:Value i:type="TableWidgetBaseViewState"/></a:KeyValueOfDiagramObjectKeyanyTypezbwNTnLX><a:KeyValueOfDiagramObjectKeyanyTypezbwNTnLX><a:Key><Key>Columns\%PB</Key></a:Key><a:Value i:type="TableWidgetBaseViewState"/></a:KeyValueOfDiagramObjectKeyanyTypezbwNTnLX><a:KeyValueOfDiagramObjectKeyanyTypezbwNTnLX><a:Key><Key>Columns\%CX</Key></a:Key><a:Value i:type="TableWidgetBaseViewState"/></a:KeyValueOfDiagramObjectKeyanyTypezbwNTnLX><a:KeyValueOfDiagramObjectKeyanyTypezbwNTnLX><a:Key><Key>Columns\%VLR</Key></a:Key><a:Value i:type="TableWidgetBaseViewState"/></a:KeyValueOfDiagramObjectKeyanyTypezbwNTnLX><a:KeyValueOfDiagramObjectKeyanyTypezbwNTnLX><a:Key><Key>Columns\%ACP</Key></a:Key><a:Value i:type="TableWidgetBaseViewState"/></a:KeyValueOfDiagramObjectKeyanyTypezbwNTnLX><a:KeyValueOfDiagramObjectKeyanyTypezbwNTnLX><a:Key><Key>Columns\%ACG</Key></a:Key><a:Value i:type="TableWidgetBaseViewState"/></a:KeyValueOfDiagramObjectKeyanyTypezbwNTnLX><a:KeyValueOfDiagramObjectKeyanyTypezbwNTnLX><a:Key><Key>Columns\REP</Key></a:Key><a:Value i:type="TableWidgetBaseViewState"/></a:KeyValueOfDiagramObjectKeyanyTypezbwNTnLX><a:KeyValueOfDiagramObjectKeyanyTypezbwNTnLX><a:Key><Key>Columns\PR MED</Key></a:Key><a:Value i:type="TableWidgetBaseViewState"/></a:KeyValueOfDiagramObjectKeyanyTypezbwNTnLX><a:KeyValueOfDiagramObjectKeyanyTypezbwNTnLX><a:Key><Key>Columns\CENSO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DiagramManager.SerializableDiagram><Adapter i:type="TableWidgetViewModelSandboxAdapter"><TableName>hoje12 326 sp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hoje12 326 sp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Columns\Nº Pedido</Key></a:Key><a:Value i:type="TableWidgetBaseViewState"/></a:KeyValueOfDiagramObjectKeyanyTypezbwNTnLX><a:KeyValueOfDiagramObjectKeyanyTypezbwNTnLX><a:Key><Key>Columns\Razao Social</Key></a:Key><a:Value i:type="TableWidgetBaseViewState"/></a:KeyValueOfDiagramObjectKeyanyTypezbwNTnLX><a:KeyValueOfDiagramObjectKeyanyTypezbwNTnLX><a:Key><Key>Columns\CNPJ</Key></a:Key><a:Value i:type="TableWidgetBaseViewState"/></a:KeyValueOfDiagramObjectKeyanyTypezbwNTnLX><a:KeyValueOfDiagramObjectKeyanyTypezbwNTnLX><a:Key><Key>Columns\Margem</Key></a:Key><a:Value i:type="TableWidgetBaseViewState"/></a:KeyValueOfDiagramObjectKeyanyTypezbwNTnLX><a:KeyValueOfDiagramObjectKeyanyTypezbwNTnLX><a:Key><Key>Columns\Tp Venda</Key></a:Key><a:Value i:type="TableWidgetBaseViewState"/></a:KeyValueOfDiagramObjectKeyanyTypezbwNTnLX><a:KeyValueOfDiagramObjectKeyanyTypezbwNTnLX><a:Key><Key>Columns\Portador</Key></a:Key><a:Value i:type="TableWidgetBaseViewState"/></a:KeyValueOfDiagramObjectKeyanyTypezbwNTnLX><a:KeyValueOfDiagramObjectKeyanyTypezbwNTnLX><a:Key><Key>Columns\Lista</Key></a:Key><a:Value i:type="TableWidgetBaseViewState"/></a:KeyValueOfDiagramObjectKeyanyTypezbwNTnLX><a:KeyValueOfDiagramObjectKeyanyTypezbwNTnLX><a:Key><Key>Columns\Saldo DMC</Key></a:Key><a:Value i:type="TableWidgetBaseViewState"/></a:KeyValueOfDiagramObjectKeyanyTypezbwNTnLX><a:KeyValueOfDiagramObjectKeyanyTypezbwNTnLX><a:Key><Key>Columns\Trocas</Key></a:Key><a:Value i:type="TableWidgetBaseViewState"/></a:KeyValueOfDiagramObjectKeyanyTypezbwNTnLX><a:KeyValueOfDiagramObjectKeyanyTypezbwNTnLX><a:Key><Key>Columns\Valor Pedido</Key></a:Key><a:Value i:type="TableWidgetBaseViewState"/></a:KeyValueOfDiagramObjectKeyanyTypezbwNTnLX><a:KeyValueOfDiagramObjectKeyanyTypezbwNTnLX><a:Key><Key>Columns\Prazos Ped.</Key></a:Key><a:Value i:type="TableWidgetBaseViewState"/></a:KeyValueOfDiagramObjectKeyanyTypezbwNTnLX><a:KeyValueOfDiagramObjectKeyanyTypezbwNTnLX><a:Key><Key>Columns\Data Dig. Ped.</Key></a:Key><a:Value i:type="TableWidgetBaseViewState"/></a:KeyValueOfDiagramObjectKeyanyTypezbwNTnLX><a:KeyValueOfDiagramObjectKeyanyTypezbwNTnLX><a:Key><Key>Columns\Data Imp. Ped.</Key></a:Key><a:Value i:type="TableWidgetBaseViewState"/></a:KeyValueOfDiagramObjectKeyanyTypezbwNTnLX><a:KeyValueOfDiagramObjectKeyanyTypezbwNTnLX><a:Key><Key>Columns\Ped. Broker</Key></a:Key><a:Value i:type="TableWidgetBaseViewState"/></a:KeyValueOfDiagramObjectKeyanyTypezbwNTnLX><a:KeyValueOfDiagramObjectKeyanyTypezbwNTnLX><a:Key><Key>Columns\Vendedor RCA</Key></a:Key><a:Value i:type="TableWidgetBaseViewState"/></a:KeyValueOfDiagramObjectKeyanyTypezbwNTnLX><a:KeyValueOfDiagramObjectKeyanyTypezbwNTnLX><a:Key><Key>Columns\Usuario</Key></a:Key><a:Value i:type="TableWidgetBaseViewState"/></a:KeyValueOfDiagramObjectKeyanyTypezbwNTnLX><a:KeyValueOfDiagramObjectKeyanyTypezbwNTnLX><a:Key><Key>Columns\Reg</Key></a:Key><a:Value i:type="TableWidgetBaseViewState"/></a:KeyValueOfDiagramObjectKeyanyTypezbwNTnLX><a:KeyValueOfDiagramObjectKeyanyTypezbwNTnLX><a:Key><Key>Columns\Qtd CX</Key></a:Key><a:Value i:type="TableWidgetBaseViewState"/></a:KeyValueOfDiagramObjectKeyanyTypezbwNTnLX><a:KeyValueOfDiagramObjectKeyanyTypezbwNTnLX><a:Key><Key>Columns\Cidade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DiagramManager.SerializableDiagram><Adapter i:type="TableWidgetViewModelSandboxAdapter"><TableName>hoje12 326 sp1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hoje12 326 sp1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Columns\Nº Pedido</Key></a:Key><a:Value i:type="TableWidgetBaseViewState"/></a:KeyValueOfDiagramObjectKeyanyTypezbwNTnLX><a:KeyValueOfDiagramObjectKeyanyTypezbwNTnLX><a:Key><Key>Columns\Razao Social</Key></a:Key><a:Value i:type="TableWidgetBaseViewState"/></a:KeyValueOfDiagramObjectKeyanyTypezbwNTnLX><a:KeyValueOfDiagramObjectKeyanyTypezbwNTnLX><a:Key><Key>Columns\CNPJ</Key></a:Key><a:Value i:type="TableWidgetBaseViewState"/></a:KeyValueOfDiagramObjectKeyanyTypezbwNTnLX><a:KeyValueOfDiagramObjectKeyanyTypezbwNTnLX><a:Key><Key>Columns\Margem</Key></a:Key><a:Value i:type="TableWidgetBaseViewState"/></a:KeyValueOfDiagramObjectKeyanyTypezbwNTnLX><a:KeyValueOfDiagramObjectKeyanyTypezbwNTnLX><a:Key><Key>Columns\Tp Venda</Key></a:Key><a:Value i:type="TableWidgetBaseViewState"/></a:KeyValueOfDiagramObjectKeyanyTypezbwNTnLX><a:KeyValueOfDiagramObjectKeyanyTypezbwNTnLX><a:Key><Key>Columns\Portador</Key></a:Key><a:Value i:type="TableWidgetBaseViewState"/></a:KeyValueOfDiagramObjectKeyanyTypezbwNTnLX><a:KeyValueOfDiagramObjectKeyanyTypezbwNTnLX><a:Key><Key>Columns\Lista</Key></a:Key><a:Value i:type="TableWidgetBaseViewState"/></a:KeyValueOfDiagramObjectKeyanyTypezbwNTnLX><a:KeyValueOfDiagramObjectKeyanyTypezbwNTnLX><a:Key><Key>Columns\Saldo DMC</Key></a:Key><a:Value i:type="TableWidgetBaseViewState"/></a:KeyValueOfDiagramObjectKeyanyTypezbwNTnLX><a:KeyValueOfDiagramObjectKeyanyTypezbwNTnLX><a:Key><Key>Columns\Trocas</Key></a:Key><a:Value i:type="TableWidgetBaseViewState"/></a:KeyValueOfDiagramObjectKeyanyTypezbwNTnLX><a:KeyValueOfDiagramObjectKeyanyTypezbwNTnLX><a:Key><Key>Columns\Valor Pedido</Key></a:Key><a:Value i:type="TableWidgetBaseViewState"/></a:KeyValueOfDiagramObjectKeyanyTypezbwNTnLX><a:KeyValueOfDiagramObjectKeyanyTypezbwNTnLX><a:Key><Key>Columns\Prazos Ped.</Key></a:Key><a:Value i:type="TableWidgetBaseViewState"/></a:KeyValueOfDiagramObjectKeyanyTypezbwNTnLX><a:KeyValueOfDiagramObjectKeyanyTypezbwNTnLX><a:Key><Key>Columns\Data Dig. Ped.</Key></a:Key><a:Value i:type="TableWidgetBaseViewState"/></a:KeyValueOfDiagramObjectKeyanyTypezbwNTnLX><a:KeyValueOfDiagramObjectKeyanyTypezbwNTnLX><a:Key><Key>Columns\Data Imp. Ped.</Key></a:Key><a:Value i:type="TableWidgetBaseViewState"/></a:KeyValueOfDiagramObjectKeyanyTypezbwNTnLX><a:KeyValueOfDiagramObjectKeyanyTypezbwNTnLX><a:Key><Key>Columns\Ped. Broker</Key></a:Key><a:Value i:type="TableWidgetBaseViewState"/></a:KeyValueOfDiagramObjectKeyanyTypezbwNTnLX><a:KeyValueOfDiagramObjectKeyanyTypezbwNTnLX><a:Key><Key>Columns\Vendedor RCA</Key></a:Key><a:Value i:type="TableWidgetBaseViewState"/></a:KeyValueOfDiagramObjectKeyanyTypezbwNTnLX><a:KeyValueOfDiagramObjectKeyanyTypezbwNTnLX><a:Key><Key>Columns\Usuario</Key></a:Key><a:Value i:type="TableWidgetBaseViewState"/></a:KeyValueOfDiagramObjectKeyanyTypezbwNTnLX><a:KeyValueOfDiagramObjectKeyanyTypezbwNTnLX><a:Key><Key>Columns\Reg</Key></a:Key><a:Value i:type="TableWidgetBaseViewState"/></a:KeyValueOfDiagramObjectKeyanyTypezbwNTnLX><a:KeyValueOfDiagramObjectKeyanyTypezbwNTnLX><a:Key><Key>Columns\Qtd CX</Key></a:Key><a:Value i:type="TableWidgetBaseViewState"/></a:KeyValueOfDiagramObjectKeyanyTypezbwNTnLX><a:KeyValueOfDiagramObjectKeyanyTypezbwNTnLX><a:Key><Key>Columns\Cidade</Key></a:Key><a:Value i:type="TableWidgetBaseViewState"/></a:KeyValueOfDiagramObjectKeyanyTypezbwNTnLX><a:KeyValueOfDiagramObjectKeyanyTypezbwNTnLX><a:Key><Key>Columns\Pedido x RCA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/ArrayOfDiagramManager.SerializableDiagram>]]></CustomContent>
</Gemini>
</file>

<file path=customXml/item8.xml><?xml version="1.0" encoding="utf-8"?>
<Gemini xmlns="http://gemini/pivotcustomization/ShowHidden">
  <CustomContent><![CDATA[True]]></CustomContent>
</Gemini>
</file>

<file path=customXml/item9.xml><?xml version="1.0" encoding="utf-8"?>
<Gemini xmlns="http://gemini/pivotcustomization/ManualCalcMode">
  <CustomContent><![CDATA[False]]></CustomContent>
</Gemini>
</file>

<file path=customXml/item10.xml><?xml version="1.0" encoding="utf-8"?>
<Gemini xmlns="http://gemini/pivotcustomization/IsSandboxEmbedded">
  <CustomContent><![CDATA[yes]]></CustomContent>
</Gemini>
</file>

<file path=customXml/item11.xml><?xml version="1.0" encoding="utf-8"?>
<Gemini xmlns="http://gemini/pivotcustomization/LinkedTableUpdateMode">
  <CustomContent><![CDATA[True]]></CustomContent>
</Gemini>
</file>

<file path=customXml/item12.xml><?xml version="1.0" encoding="utf-8"?>
<Gemini xmlns="http://gemini/pivotcustomization/PowerPivotVersion">
  <CustomContent><![CDATA[2015.130.1605.1075]]></CustomContent>
</Gemini>
</file>

<file path=customXml/item13.xml><?xml version="1.0" encoding="utf-8"?>
<Gemini xmlns="http://gemini/pivotcustomization/ErrorCache">
  <CustomContent><![CDATA[<DataModelingSandbox.SerializedSandboxErrorCache xmlns="http://schemas.datacontract.org/2004/07/Microsoft.AnalysisServices.BackEnd" xmlns:i="http://www.w3.org/2001/XMLSchema-instance"><ErrorCacheDictionary xmlns:a="http://schemas.microsoft.com/2003/10/Serialization/Arrays"/><LastProcessedTime>2023-08-16T17:09:10.7257461-04:00</LastProcessedTime></DataModelingSandbox.SerializedSandboxErrorCache>]]></CustomContent>
</Gemini>
</file>

<file path=customXml/item14.xml><?xml version="1.0" encoding="utf-8"?>
<Gemini xmlns="http://gemini/pivotcustomization/ShowImplicitMeasures">
  <CustomContent><![CDATA[False]]></CustomContent>
</Gemini>
</file>

<file path=customXml/item15.xml><?xml version="1.0" encoding="utf-8"?>
<Gemini xmlns="http://gemini/pivotcustomization/SandboxNonEmpty">
  <CustomContent><![CDATA[1]]></CustomContent>
</Gemini>
</file>

<file path=customXml/item16.xml><?xml version="1.0" encoding="utf-8"?>
<Gemini xmlns="http://gemini/pivotcustomization/RelationshipAutoDetectionEnabled">
  <CustomContent><![CDATA[True]]></CustomContent>
</Gemini>
</file>

<file path=customXml/item17.xml><?xml version="1.0" encoding="utf-8"?>
<Gemini xmlns="http://gemini/pivotcustomization/Diagrams">
  <CustomContent><![CDATA[<ArrayOfDiagramManager.SerializableDiagram xmlns="http://schemas.datacontract.org/2004/07/Microsoft.AnalysisServices.Common" xmlns:i="http://www.w3.org/2001/XMLSchema-instance"><DiagramManager.SerializableDiagram><Adapter i:type="MeasureDiagramSandboxAdapter"><TableName>hoje12 326 sp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hoje12 326 sp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Columns\Nº Pedido</Key></DiagramObjectKey><DiagramObjectKey><Key>Columns\Razao Social</Key></DiagramObjectKey><DiagramObjectKey><Key>Columns\CNPJ</Key></DiagramObjectKey><DiagramObjectKey><Key>Columns\Margem</Key></DiagramObjectKey><DiagramObjectKey><Key>Columns\Tp Venda</Key></DiagramObjectKey><DiagramObjectKey><Key>Columns\Portador</Key></DiagramObjectKey><DiagramObjectKey><Key>Columns\Lista</Key></DiagramObjectKey><DiagramObjectKey><Key>Columns\Saldo DMC</Key></DiagramObjectKey><DiagramObjectKey><Key>Columns\Trocas</Key></DiagramObjectKey><DiagramObjectKey><Key>Columns\Valor Pedido</Key></DiagramObjectKey><DiagramObjectKey><Key>Columns\Prazos Ped.</Key></DiagramObjectKey><DiagramObjectKey><Key>Columns\Data Dig. Ped.</Key></DiagramObjectKey><DiagramObjectKey><Key>Columns\Data Imp. Ped.</Key></DiagramObjectKey><DiagramObjectKey><Key>Columns\Ped. Broker</Key></DiagramObjectKey><DiagramObjectKey><Key>Columns\Vendedor RCA</Key></DiagramObjectKey><DiagramObjectKey><Key>Columns\Usuario</Key></DiagramObjectKey><DiagramObjectKey><Key>Columns\Reg</Key></DiagramObjectKey><DiagramObjectKey><Key>Columns\Qtd CX</Key></DiagramObjectKey><DiagramObjectKey><Key>Columns\Cidade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FocusColumn>-1</FocusColumn><FocusRow>-1</FocusRow><SelectionEndColumn>-1</SelectionEndColumn><SelectionEndRow>-1</SelectionEndRow><SelectionStartColumn>-1</SelectionStartColumn><SelectionStartRow>-1</SelectionStartRow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Columns\Nº Pedido</Key></a:Key><a:Value i:type="MeasureGridNodeViewState"><LayedOut>true</LayedOut></a:Value></a:KeyValueOfDiagramObjectKeyanyTypezbwNTnLX><a:KeyValueOfDiagramObjectKeyanyTypezbwNTnLX><a:Key><Key>Columns\Razao Social</Key></a:Key><a:Value i:type="MeasureGridNodeViewState"><Column>1</Column><LayedOut>true</LayedOut></a:Value></a:KeyValueOfDiagramObjectKeyanyTypezbwNTnLX><a:KeyValueOfDiagramObjectKeyanyTypezbwNTnLX><a:Key><Key>Columns\CNPJ</Key></a:Key><a:Value i:type="MeasureGridNodeViewState"><Column>2</Column><LayedOut>true</LayedOut></a:Value></a:KeyValueOfDiagramObjectKeyanyTypezbwNTnLX><a:KeyValueOfDiagramObjectKeyanyTypezbwNTnLX><a:Key><Key>Columns\Margem</Key></a:Key><a:Value i:type="MeasureGridNodeViewState"><Column>3</Column><LayedOut>true</LayedOut></a:Value></a:KeyValueOfDiagramObjectKeyanyTypezbwNTnLX><a:KeyValueOfDiagramObjectKeyanyTypezbwNTnLX><a:Key><Key>Columns\Tp Venda</Key></a:Key><a:Value i:type="MeasureGridNodeViewState"><Column>4</Column><LayedOut>true</LayedOut></a:Value></a:KeyValueOfDiagramObjectKeyanyTypezbwNTnLX><a:KeyValueOfDiagramObjectKeyanyTypezbwNTnLX><a:Key><Key>Columns\Portador</Key></a:Key><a:Value i:type="MeasureGridNodeViewState"><Column>5</Column><LayedOut>true</LayedOut></a:Value></a:KeyValueOfDiagramObjectKeyanyTypezbwNTnLX><a:KeyValueOfDiagramObjectKeyanyTypezbwNTnLX><a:Key><Key>Columns\Lista</Key></a:Key><a:Value i:type="MeasureGridNodeViewState"><Column>6</Column><LayedOut>true</LayedOut></a:Value></a:KeyValueOfDiagramObjectKeyanyTypezbwNTnLX><a:KeyValueOfDiagramObjectKeyanyTypezbwNTnLX><a:Key><Key>Columns\Saldo DMC</Key></a:Key><a:Value i:type="MeasureGridNodeViewState"><Column>7</Column><LayedOut>true</LayedOut></a:Value></a:KeyValueOfDiagramObjectKeyanyTypezbwNTnLX><a:KeyValueOfDiagramObjectKeyanyTypezbwNTnLX><a:Key><Key>Columns\Trocas</Key></a:Key><a:Value i:type="MeasureGridNodeViewState"><Column>8</Column><LayedOut>true</LayedOut></a:Value></a:KeyValueOfDiagramObjectKeyanyTypezbwNTnLX><a:KeyValueOfDiagramObjectKeyanyTypezbwNTnLX><a:Key><Key>Columns\Valor Pedido</Key></a:Key><a:Value i:type="MeasureGridNodeViewState"><Column>9</Column><LayedOut>true</LayedOut></a:Value></a:KeyValueOfDiagramObjectKeyanyTypezbwNTnLX><a:KeyValueOfDiagramObjectKeyanyTypezbwNTnLX><a:Key><Key>Columns\Prazos Ped.</Key></a:Key><a:Value i:type="MeasureGridNodeViewState"><Column>10</Column><LayedOut>true</LayedOut></a:Value></a:KeyValueOfDiagramObjectKeyanyTypezbwNTnLX><a:KeyValueOfDiagramObjectKeyanyTypezbwNTnLX><a:Key><Key>Columns\Data Dig. Ped.</Key></a:Key><a:Value i:type="MeasureGridNodeViewState"><Column>11</Column><LayedOut>true</LayedOut></a:Value></a:KeyValueOfDiagramObjectKeyanyTypezbwNTnLX><a:KeyValueOfDiagramObjectKeyanyTypezbwNTnLX><a:Key><Key>Columns\Data Imp. Ped.</Key></a:Key><a:Value i:type="MeasureGridNodeViewState"><Column>12</Column><LayedOut>true</LayedOut></a:Value></a:KeyValueOfDiagramObjectKeyanyTypezbwNTnLX><a:KeyValueOfDiagramObjectKeyanyTypezbwNTnLX><a:Key><Key>Columns\Ped. Broker</Key></a:Key><a:Value i:type="MeasureGridNodeViewState"><Column>13</Column><LayedOut>true</LayedOut></a:Value></a:KeyValueOfDiagramObjectKeyanyTypezbwNTnLX><a:KeyValueOfDiagramObjectKeyanyTypezbwNTnLX><a:Key><Key>Columns\Vendedor RCA</Key></a:Key><a:Value i:type="MeasureGridNodeViewState"><Column>14</Column><LayedOut>true</LayedOut></a:Value></a:KeyValueOfDiagramObjectKeyanyTypezbwNTnLX><a:KeyValueOfDiagramObjectKeyanyTypezbwNTnLX><a:Key><Key>Columns\Usuario</Key></a:Key><a:Value i:type="MeasureGridNodeViewState"><Column>15</Column><LayedOut>true</LayedOut></a:Value></a:KeyValueOfDiagramObjectKeyanyTypezbwNTnLX><a:KeyValueOfDiagramObjectKeyanyTypezbwNTnLX><a:Key><Key>Columns\Reg</Key></a:Key><a:Value i:type="MeasureGridNodeViewState"><Column>16</Column><LayedOut>true</LayedOut></a:Value></a:KeyValueOfDiagramObjectKeyanyTypezbwNTnLX><a:KeyValueOfDiagramObjectKeyanyTypezbwNTnLX><a:Key><Key>Columns\Qtd CX</Key></a:Key><a:Value i:type="MeasureGridNodeViewState"><Column>17</Column><LayedOut>true</LayedOut></a:Value></a:KeyValueOfDiagramObjectKeyanyTypezbwNTnLX><a:KeyValueOfDiagramObjectKeyanyTypezbwNTnLX><a:Key><Key>Columns\Cidade</Key></a:Key><a:Value i:type="MeasureGridNodeViewState"><Column>18</Column><LayedOut>true</LayedOut></a:Value></a:KeyValueOfDiagramObjectKeyanyTypezbwNTnLX></ViewStates></DiagramManager.SerializableDiagram><DiagramManager.SerializableDiagram><Adapter i:type="MeasureDiagramSandboxAdapter"><TableName>hoje12 319 rep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hoje12 319 rep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Columns\RANK</Key></DiagramObjectKey><DiagramObjectKey><Key>Columns\CNPJ</Key></DiagramObjectKey><DiagramObjectKey><Key>Columns\RAZÃO SOCIAL</Key></DiagramObjectKey><DiagramObjectKey><Key>Columns\CIDADE</Key></DiagramObjectKey><DiagramObjectKey><Key>Columns\ENDEREÇO</Key></DiagramObjectKey><DiagramObjectKey><Key>Columns\PESO BRUTO</Key></DiagramObjectKey><DiagramObjectKey><Key>Columns\CAIXA</Key></DiagramObjectKey><DiagramObjectKey><Key>Columns\VALOR</Key></DiagramObjectKey><DiagramObjectKey><Key>Columns\%PB</Key></DiagramObjectKey><DiagramObjectKey><Key>Columns\%CX</Key></DiagramObjectKey><DiagramObjectKey><Key>Columns\%VLR</Key></DiagramObjectKey><DiagramObjectKey><Key>Columns\%ACP</Key></DiagramObjectKey><DiagramObjectKey><Key>Columns\%ACG</Key></DiagramObjectKey><DiagramObjectKey><Key>Columns\REP</Key></DiagramObjectKey><DiagramObjectKey><Key>Columns\PR MED</Key></DiagramObjectKey><DiagramObjectKey><Key>Columns\CENSO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Columns\RANK</Key></a:Key><a:Value i:type="MeasureGridNodeViewState"><LayedOut>true</LayedOut></a:Value></a:KeyValueOfDiagramObjectKeyanyTypezbwNTnLX><a:KeyValueOfDiagramObjectKeyanyTypezbwNTnLX><a:Key><Key>Columns\CNPJ</Key></a:Key><a:Value i:type="MeasureGridNodeViewState"><Column>1</Column><LayedOut>true</LayedOut></a:Value></a:KeyValueOfDiagramObjectKeyanyTypezbwNTnLX><a:KeyValueOfDiagramObjectKeyanyTypezbwNTnLX><a:Key><Key>Columns\RAZÃO SOCIAL</Key></a:Key><a:Value i:type="MeasureGridNodeViewState"><Column>2</Column><LayedOut>true</LayedOut></a:Value></a:KeyValueOfDiagramObjectKeyanyTypezbwNTnLX><a:KeyValueOfDiagramObjectKeyanyTypezbwNTnLX><a:Key><Key>Columns\CIDADE</Key></a:Key><a:Value i:type="MeasureGridNodeViewState"><Column>3</Column><LayedOut>true</LayedOut></a:Value></a:KeyValueOfDiagramObjectKeyanyTypezbwNTnLX><a:KeyValueOfDiagramObjectKeyanyTypezbwNTnLX><a:Key><Key>Columns\ENDEREÇO</Key></a:Key><a:Value i:type="MeasureGridNodeViewState"><Column>4</Column><LayedOut>true</LayedOut></a:Value></a:KeyValueOfDiagramObjectKeyanyTypezbwNTnLX><a:KeyValueOfDiagramObjectKeyanyTypezbwNTnLX><a:Key><Key>Columns\PESO BRUTO</Key></a:Key><a:Value i:type="MeasureGridNodeViewState"><Column>5</Column><LayedOut>true</LayedOut></a:Value></a:KeyValueOfDiagramObjectKeyanyTypezbwNTnLX><a:KeyValueOfDiagramObjectKeyanyTypezbwNTnLX><a:Key><Key>Columns\CAIXA</Key></a:Key><a:Value i:type="MeasureGridNodeViewState"><Column>6</Column><LayedOut>true</LayedOut></a:Value></a:KeyValueOfDiagramObjectKeyanyTypezbwNTnLX><a:KeyValueOfDiagramObjectKeyanyTypezbwNTnLX><a:Key><Key>Columns\VALOR</Key></a:Key><a:Value i:type="MeasureGridNodeViewState"><Column>7</Column><LayedOut>true</LayedOut></a:Value></a:KeyValueOfDiagramObjectKeyanyTypezbwNTnLX><a:KeyValueOfDiagramObjectKeyanyTypezbwNTnLX><a:Key><Key>Columns\%PB</Key></a:Key><a:Value i:type="MeasureGridNodeViewState"><Column>8</Column><LayedOut>true</LayedOut></a:Value></a:KeyValueOfDiagramObjectKeyanyTypezbwNTnLX><a:KeyValueOfDiagramObjectKeyanyTypezbwNTnLX><a:Key><Key>Columns\%CX</Key></a:Key><a:Value i:type="MeasureGridNodeViewState"><Column>9</Column><LayedOut>true</LayedOut></a:Value></a:KeyValueOfDiagramObjectKeyanyTypezbwNTnLX><a:KeyValueOfDiagramObjectKeyanyTypezbwNTnLX><a:Key><Key>Columns\%VLR</Key></a:Key><a:Value i:type="MeasureGridNodeViewState"><Column>10</Column><LayedOut>true</LayedOut></a:Value></a:KeyValueOfDiagramObjectKeyanyTypezbwNTnLX><a:KeyValueOfDiagramObjectKeyanyTypezbwNTnLX><a:Key><Key>Columns\%ACP</Key></a:Key><a:Value i:type="MeasureGridNodeViewState"><Column>11</Column><LayedOut>true</LayedOut></a:Value></a:KeyValueOfDiagramObjectKeyanyTypezbwNTnLX><a:KeyValueOfDiagramObjectKeyanyTypezbwNTnLX><a:Key><Key>Columns\%ACG</Key></a:Key><a:Value i:type="MeasureGridNodeViewState"><Column>12</Column><LayedOut>true</LayedOut></a:Value></a:KeyValueOfDiagramObjectKeyanyTypezbwNTnLX><a:KeyValueOfDiagramObjectKeyanyTypezbwNTnLX><a:Key><Key>Columns\REP</Key></a:Key><a:Value i:type="MeasureGridNodeViewState"><Column>13</Column><LayedOut>true</LayedOut></a:Value></a:KeyValueOfDiagramObjectKeyanyTypezbwNTnLX><a:KeyValueOfDiagramObjectKeyanyTypezbwNTnLX><a:Key><Key>Columns\PR MED</Key></a:Key><a:Value i:type="MeasureGridNodeViewState"><Column>14</Column><LayedOut>true</LayedOut></a:Value></a:KeyValueOfDiagramObjectKeyanyTypezbwNTnLX><a:KeyValueOfDiagramObjectKeyanyTypezbwNTnLX><a:Key><Key>Columns\CENSO</Key></a:Key><a:Value i:type="MeasureGridNodeViewState"><Column>15</Column><LayedOut>true</LayedOut></a:Value></a:KeyValueOfDiagramObjectKeyanyTypezbwNTnLX></ViewStates></DiagramManager.SerializableDiagram><DiagramManager.SerializableDiagram><Adapter i:type="MeasureDiagramSandboxAdapter"><TableName>hoje12 326 sp1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hoje12 326 sp1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Columns\Nº Pedido</Key></DiagramObjectKey><DiagramObjectKey><Key>Columns\Razao Social</Key></DiagramObjectKey><DiagramObjectKey><Key>Columns\CNPJ</Key></DiagramObjectKey><DiagramObjectKey><Key>Columns\Margem</Key></DiagramObjectKey><DiagramObjectKey><Key>Columns\Tp Venda</Key></DiagramObjectKey><DiagramObjectKey><Key>Columns\Portador</Key></DiagramObjectKey><DiagramObjectKey><Key>Columns\Lista</Key></DiagramObjectKey><DiagramObjectKey><Key>Columns\Saldo DMC</Key></DiagramObjectKey><DiagramObjectKey><Key>Columns\Trocas</Key></DiagramObjectKey><DiagramObjectKey><Key>Columns\Valor Pedido</Key></DiagramObjectKey><DiagramObjectKey><Key>Columns\Prazos Ped.</Key></DiagramObjectKey><DiagramObjectKey><Key>Columns\Data Dig. Ped.</Key></DiagramObjectKey><DiagramObjectKey><Key>Columns\Data Imp. Ped.</Key></DiagramObjectKey><DiagramObjectKey><Key>Columns\Ped. Broker</Key></DiagramObjectKey><DiagramObjectKey><Key>Columns\Vendedor RCA</Key></DiagramObjectKey><DiagramObjectKey><Key>Columns\Usuario</Key></DiagramObjectKey><DiagramObjectKey><Key>Columns\Reg</Key></DiagramObjectKey><DiagramObjectKey><Key>Columns\Qtd CX</Key></DiagramObjectKey><DiagramObjectKey><Key>Columns\Cidade</Key></DiagramObjectKey><DiagramObjectKey><Key>Columns\Pedido x RCA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FocusColumn>-1</FocusColumn><FocusRow>-1</FocusRow><SelectionEndColumn>-1</SelectionEndColumn><SelectionEndRow>-1</SelectionEndRow><SelectionStartColumn>-1</SelectionStartColumn><SelectionStartRow>-1</SelectionStartRow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Columns\Nº Pedido</Key></a:Key><a:Value i:type="MeasureGridNodeViewState"><LayedOut>true</LayedOut></a:Value></a:KeyValueOfDiagramObjectKeyanyTypezbwNTnLX><a:KeyValueOfDiagramObjectKeyanyTypezbwNTnLX><a:Key><Key>Columns\Razao Social</Key></a:Key><a:Value i:type="MeasureGridNodeViewState"><Column>1</Column><LayedOut>true</LayedOut></a:Value></a:KeyValueOfDiagramObjectKeyanyTypezbwNTnLX><a:KeyValueOfDiagramObjectKeyanyTypezbwNTnLX><a:Key><Key>Columns\CNPJ</Key></a:Key><a:Value i:type="MeasureGridNodeViewState"><Column>2</Column><LayedOut>true</LayedOut></a:Value></a:KeyValueOfDiagramObjectKeyanyTypezbwNTnLX><a:KeyValueOfDiagramObjectKeyanyTypezbwNTnLX><a:Key><Key>Columns\Margem</Key></a:Key><a:Value i:type="MeasureGridNodeViewState"><Column>3</Column><LayedOut>true</LayedOut></a:Value></a:KeyValueOfDiagramObjectKeyanyTypezbwNTnLX><a:KeyValueOfDiagramObjectKeyanyTypezbwNTnLX><a:Key><Key>Columns\Tp Venda</Key></a:Key><a:Value i:type="MeasureGridNodeViewState"><Column>4</Column><LayedOut>true</LayedOut></a:Value></a:KeyValueOfDiagramObjectKeyanyTypezbwNTnLX><a:KeyValueOfDiagramObjectKeyanyTypezbwNTnLX><a:Key><Key>Columns\Portador</Key></a:Key><a:Value i:type="MeasureGridNodeViewState"><Column>5</Column><LayedOut>true</LayedOut></a:Value></a:KeyValueOfDiagramObjectKeyanyTypezbwNTnLX><a:KeyValueOfDiagramObjectKeyanyTypezbwNTnLX><a:Key><Key>Columns\Lista</Key></a:Key><a:Value i:type="MeasureGridNodeViewState"><Column>6</Column><LayedOut>true</LayedOut></a:Value></a:KeyValueOfDiagramObjectKeyanyTypezbwNTnLX><a:KeyValueOfDiagramObjectKeyanyTypezbwNTnLX><a:Key><Key>Columns\Saldo DMC</Key></a:Key><a:Value i:type="MeasureGridNodeViewState"><Column>7</Column><LayedOut>true</LayedOut></a:Value></a:KeyValueOfDiagramObjectKeyanyTypezbwNTnLX><a:KeyValueOfDiagramObjectKeyanyTypezbwNTnLX><a:Key><Key>Columns\Trocas</Key></a:Key><a:Value i:type="MeasureGridNodeViewState"><Column>8</Column><LayedOut>true</LayedOut></a:Value></a:KeyValueOfDiagramObjectKeyanyTypezbwNTnLX><a:KeyValueOfDiagramObjectKeyanyTypezbwNTnLX><a:Key><Key>Columns\Valor Pedido</Key></a:Key><a:Value i:type="MeasureGridNodeViewState"><Column>9</Column><LayedOut>true</LayedOut></a:Value></a:KeyValueOfDiagramObjectKeyanyTypezbwNTnLX><a:KeyValueOfDiagramObjectKeyanyTypezbwNTnLX><a:Key><Key>Columns\Prazos Ped.</Key></a:Key><a:Value i:type="MeasureGridNodeViewState"><Column>10</Column><LayedOut>true</LayedOut></a:Value></a:KeyValueOfDiagramObjectKeyanyTypezbwNTnLX><a:KeyValueOfDiagramObjectKeyanyTypezbwNTnLX><a:Key><Key>Columns\Data Dig. Ped.</Key></a:Key><a:Value i:type="MeasureGridNodeViewState"><Column>11</Column><LayedOut>true</LayedOut></a:Value></a:KeyValueOfDiagramObjectKeyanyTypezbwNTnLX><a:KeyValueOfDiagramObjectKeyanyTypezbwNTnLX><a:Key><Key>Columns\Data Imp. Ped.</Key></a:Key><a:Value i:type="MeasureGridNodeViewState"><Column>12</Column><LayedOut>true</LayedOut></a:Value></a:KeyValueOfDiagramObjectKeyanyTypezbwNTnLX><a:KeyValueOfDiagramObjectKeyanyTypezbwNTnLX><a:Key><Key>Columns\Ped. Broker</Key></a:Key><a:Value i:type="MeasureGridNodeViewState"><Column>13</Column><LayedOut>true</LayedOut></a:Value></a:KeyValueOfDiagramObjectKeyanyTypezbwNTnLX><a:KeyValueOfDiagramObjectKeyanyTypezbwNTnLX><a:Key><Key>Columns\Vendedor RCA</Key></a:Key><a:Value i:type="MeasureGridNodeViewState"><Column>14</Column><LayedOut>true</LayedOut></a:Value></a:KeyValueOfDiagramObjectKeyanyTypezbwNTnLX><a:KeyValueOfDiagramObjectKeyanyTypezbwNTnLX><a:Key><Key>Columns\Usuario</Key></a:Key><a:Value i:type="MeasureGridNodeViewState"><Column>15</Column><LayedOut>true</LayedOut></a:Value></a:KeyValueOfDiagramObjectKeyanyTypezbwNTnLX><a:KeyValueOfDiagramObjectKeyanyTypezbwNTnLX><a:Key><Key>Columns\Reg</Key></a:Key><a:Value i:type="MeasureGridNodeViewState"><Column>16</Column><LayedOut>true</LayedOut></a:Value></a:KeyValueOfDiagramObjectKeyanyTypezbwNTnLX><a:KeyValueOfDiagramObjectKeyanyTypezbwNTnLX><a:Key><Key>Columns\Qtd CX</Key></a:Key><a:Value i:type="MeasureGridNodeViewState"><Column>17</Column><LayedOut>true</LayedOut></a:Value></a:KeyValueOfDiagramObjectKeyanyTypezbwNTnLX><a:KeyValueOfDiagramObjectKeyanyTypezbwNTnLX><a:Key><Key>Columns\Cidade</Key></a:Key><a:Value i:type="MeasureGridNodeViewState"><Column>18</Column><LayedOut>true</LayedOut></a:Value></a:KeyValueOfDiagramObjectKeyanyTypezbwNTnLX><a:KeyValueOfDiagramObjectKeyanyTypezbwNTnLX><a:Key><Key>Columns\Pedido x RCA</Key></a:Key><a:Value i:type="MeasureGridNodeViewState"><Column>19</Column><LayedOut>true</LayedOut></a:Value></a:KeyValueOfDiagramObjectKeyanyTypezbwNTnLX></ViewStates></DiagramManager.SerializableDiagram></ArrayOfDiagramManager.SerializableDiagram>]]></CustomContent>
</Gemini>
</file>

<file path=customXml/item18.xml><?xml version="1.0" encoding="utf-8"?>
<DataMashup xmlns="http://schemas.microsoft.com/DataMashup" sqmid="11dfeeeb-9add-4e07-a397-94787a0514fc">AAAAALQTAABQSwMEFAACAAgAfUQFXbv7kISlAAAA9gAAABIAHABDb25maWcvUGFja2FnZS54bWwgohgAKKAUAAAAAAAAAAAAAAAAAAAAAAAAAAAAhY9NDoIwGESvQrqnhfoTJR8l0a0kRhPjtikVGqEQWix3c+GRvIIYRd25nDdvMXO/3iDpq9K7yNaoWscoxAHypBZ1pnQeo86e/AVKGGy5OPNceoOsTdSbLEaFtU1EiHMOuwmu25zQIAjJMd3sRSErjj6y+i/7ShvLtZCIweE1hlEczuZ4Spc4ADJCSJX+CnTY+2x/IKy70natZI31VzsgYwTy/sAeUEsDBBQAAgAIAH1EBV1TcjgsmwAAAOEAAAATABwAW0NvbnRlbnRfVHlwZXNdLnhtbCCiGAAooBQAAAAAAAAAAAAAAAAAAAAAAAAAAABtjj0OwjAMRq8SeW9dGBBCTRmAG3CBKLg/onGixkXlbAwciSuQtmtHf37Pn3+fb3meXK9eNMTOs4ZdXoAitv7RcaNhlDo7wrkq7+9AUSWUo4ZWJJwQo23JmZj7QJw2tR+ckTQODQZjn6Yh3BfFAa1nIZZM5htQlVeqzdiLuk0pXmuTDuqycnOVBqFJcIlx03BbfOhNx4uBy8PVH1BLAwQUAAIACAB9RAVdunb/nrYQAACo8wAAEwAcAEZvcm11bGFzL1NlY3Rpb24xLm0gohgAKKAUAAAAAAAAAAAAAAAAAAAAAAAAAAAA7V1bj9vGFX434P8wYBpgF1AFU3tPui24EnejWLuSKe3GqG0EY2m8y4YiBZJy1zH2KQ/5HUEf8tSnoC99rP5Yh6S0IjkXDi+SJXsK1LE5Z27fOTOcOd/hkYeGvunYoB/9V/326ZOnT7w76KIR+Eq5c/6B1AbYU0+AiyYKOAUW8p8+Afh/547tI/xgAN9aqH7uOuOmY03HtrfzsWPayAsfnZk2dD/snJtYpBlUsH1vR2l+89rQO6Dfbp6/xk3X/Xtf2a0Be2pZiz/VxkFj92G3FvX1ldIy35sj0wVBHzYEE2RB0HM8c/b77F+O8jiM/sQy/WgcO+EAa0CJ/qkqNRCW+siNxAbo3j/7EDQSTBwP+1kNnDzUwDtoeQgP5+OiZj2o+/iPhhIb1sCcOECzcJtwFBvGwIW2985x55AMPkyQt5M1idrHZI8+rgV8PMiH+FgaiRJRhFQ6ROkJJKYpgpd6QAWskYKMA5paDjU1AVuDB1xB6BpC0BHzFUGvwUKPxI+DYKMcgo0UghkYFkRxTwjFBjlrISs8ZOJIQ5KD5V45LPcILDPRLIjnvhCee7S5C1nmMw6idEw5qO6XQ3WfgqoArgWRPRBCdp+OgJC1qlxsWehy8D0oh+8BFV8hhAtifCiE8QELByGUGxkos3HmIH1YDulDBtKCWBdE+0gI7UM2GqVOAmKIczA/Kof5ERNzYdQL4n4shPsRDxMR5I8EgOdDzwH/uBz4xxzwc8BfUAEnQgo45iNTnQqylMBRw0k5NZxw1ZBLEUUvIM+EdHGSBVCV2sjWB+/e8qzkxeVZhk5yaqWoXsRuhsFos5CqVjUiyuGpp+y9Mn2xrEBBRVUkeAMVwqu4E4TRopCaeIoqeX1VyftrJaoqqiyxi65K3nQLq2s/l7pEFcZTWclbskq7JlektKJqE7tPq7QLdWHFqfxLdhnd8bRX8jau0q/jXP3Z0/Fb5IpqMKVDcavO21f+Onlr5JPPIy0uG0g2p66L7OGHeqBipmwg2bb9w32eGFeIU5gqipmn7rqOBww0drDZOd7SPMNHyHD+6f1g+neBmOsRSzLwxMR7iTXcMe076AE0BmfY0IfOog8Y66OPLDT0gz52yJHUAILDO2A7PuiYnl9ve/p44n/YCf8Rje4S+sM7075t+2js7Rho6Lij+rmJrNENtKZ4Of0YLm4lIjYedneJ4TUt6HnmO3MIkwNzXH+HO4c0YdB1R3i70bwhskd4RA8kEuem5buQPX/qiOYgvHrs6g34y1/D2QBoj9LPFWXZa7R/BIDazhgl+8XP4BhFdWNdL0eYnp1iaFfPFYq9Kc2r3vfpgsaizt9nv3RBv9tsax1SZtFAu6W1dFrxXEC/aumGPvu1S5eZS/X0fhecGdcDptiiP639UmPLzKVutE7X4EnN5b7unfGlFnLNl1lyC8mbTkbHcWGt2RMRXopfiIkvVKgLNr/UgwEu9ZZ4pegspl/1sd4edp8+MW2OAdP50cYh8FZDjzYON4gepR81JT2a97or2VERDortwZfs6GNnAteMY8mOUvEszI7y6GZJjpYiR/nQSm60Gm50T3Kj6+RGRTx0khpdATUqEASQhb3kRktyo4I6kOToesjRzOgjcYVIdrRidjQj6i6vdiQ9uhJ6NMcKEtWT5EdXyI/mo7MlP0od0qfgR/Mqbmvp0TzqK6pAsZu7Sr+6F1Zhnnif/ErkqbHkvV9lXfwrVGRRVYp5CFSWi2CtysynTp5CS7oXVLZ/oVKVFlWqmCNCZXsiCqs1y+VWjWJ5qi3pxlB5foyKlVtUvWIOD5Xn8Vi7gvOrmKfkkt4Sle8uqVzNbEXPh9eaYryDCInlvOaPfMTQbsKbksBWBX/G056Y0KWGTzjuCNnp+IngoRs1EKBHDKv2kdY8awQUZVO0TzUIhpUwjYdjVVyDy7DGTGMVsGYhgxdcFcKLJ8cqy7Ugc67e3Iu9yt0h24dHWw10PpEbnSa+IRSOXuSEui0nkR0RlQaIpPKVq//9F/TQyBw5rPgn+DN0QN8ZmtBihz8R8VPh4z7yHRdvHJfNVCxNcjeJ+gf3wGgyYprC1i6he4vG3PipwQTcIBvvXPzoqZ7j+hgRNzOAKojS4zT2KNeHFp5A67IpFEY1cJ0hVptYJNUNtDCGLBUxKvVc+LPjBbXqOQKrWtDHu795W89RMV61PZ7kq7qcJFYawgphWwB7qrg/cOY6PyGuOhm1r70pdE0hYCm1X/gjEITEMSNHsn3YlOUcrNJ5y8ntg7sLqILbQCPbL06ZqYFu82MUeeDMERwhhRJKKh5US5vtagNr8wYU82JscRfJHY5lLdkedSK6GGsytoMzzUUoTjg9mKDx+A7ODQ9OjUwVRSwdKMzGKtVDI7MHYkhB6/H3nYhFqgyTJEaz/kBvldAgbxqEqXCUuVxvxLqMZrLcW+gDq6Uth6lVwbByckRzvHdeLSf1GFW+y1ph2UwINYg88Q6mfQqRenPO1+EI3+OWxcu3Y7p4eXogj4vzQ096ZcdDjNNTZMYXQxuuKMAYt7xBMcYyBVO8H4HgIpmCqUSQMScUTgYZP3ZWkhSXQcZEd2XZFhlkLDMwlcF4DVHGvM8O+DDLIGOi04q+JpdRxiuIMs429CzoZZAxt+OKso9la0EGGVcTZCweuSVjjNccYyy6UMSUswkhxpkZK9g64uSnoN0Gs7JoiMiI8opibXGwqCzBRuR6XcK0PQk2irq1WURA0h7y+0EpPu25G/QRXZoXlCRQyqTRaDoj0HOdETWVRgt5Q2rpgvx0fGiBG4vK1i1b+BOHCH7hB4QS596FWwfXNmUECamvW/VLeG9mksBYToR+ncteClHALfMda4qELI+iZ1Qx0EQp6NCnmEote0tkJb1YdBf3SeNS5ENPv584rk/zR+v3Q2TVf3Dcn946zk9p1/PFN69vulevNXv2m2V6CIxQxPl7r8861zr4Xms+1wev+z70px7ezd471nuEzdnxHa9+b3n3Sye1707RAqPEoH7s3yEUDC0c0cdXwcZxqiRElNpz0x6dKqGk8ubhVeDjf7MEHL5Fs9+hdRew8K5DbJvhMx99hwFGeN+g9F4Dr+ZCmmX1h9CCrncajPhNUcc1Y0zB8m6PyFeXMfvDn1oO8bYLO8WgR2MminsYMudRKaw34sGiHrQ/hI/PoD1Cpku214Q23i9GDui1bohCA93iYwm0iALd8+GIHLuBvAk+xsx+e4/IOj3kvjOtYOhwiDyPrI2HDt86AdYu6E8nyDUdlxAKuR7cRt+xzKHpwzktsKR8fHOMEpLYtIfW1MsSw8aB8SGai3SCxlgpt9Dzl6Ne1I9WAjHOxfohCq696ew3PDXAlAhHlC5NjPn7qefP2cC/EdUfC33zPanv6P2A5xuuWNJ+kuWgb9pD17HNn+f8cUp6oVO6+TRnf4zMW4dWzKHYeAl8wE5jd86xrTGHz2am8Nkcdm1bEvhsGrW2bel7NpFY+/S8WpHkPZtKq20Aq1Y0dc8mk2obwamVSdyz6YzahhBqpdP2bAOhtjF8WhVJe7aFTdsgMq2ylD3bRKZtFpdWZcKebaPSNo1Jqzxdz3YyaRtIpK0kWc/25ur5slL1bHemni8wUc/25+n5YtP0fB5Zer7wJD2fT44emaKHpc6tzdAjE/TwFbvV+Xlkeh4RFW99dp51JeeRuXkK+ONkbp5SwmvLzfMlpuaRmXlkZh7RyEyZmUdwZ6ssM896EvNsc16ezU/Ls56sPGtKyrPynDwrT8mzwow8m56QZ635eNaXjmfF2Xg+72Q8T0y7QCqeWKiwTMcj0/HEwoZYcUO0kGGZjkem45HpeDLjhmU6HpmOh3ZHkul4cqAs0/HIdDwyHY8Q9DIdD7djmY6nAl3IdDwyHU/OgB3RIGKZjqchLCPT8ch0PDIdD4/7lel4NjkdD5HBYu8TZLDgvFi9xRvkP8irzimtNmpgb78GDoKEdsc1cIj/foT/fxwcdtTg8tUI3AoHgeRR4FUM/ra/HxxMgz8OD/EfR4Hc0UnwiX3w7CRMWRD+cfDA83XH/pFwJiUcIImbeuImmbjeJI7aiaNe8nyR/CIm+c1FMpg/GRueDDBOxqYmgxlT4W/JY2fyrKNW6u5PGEgRh3+8ZI9Zss8sOWCWHDJLjpglx8ySE/ZR5xm7iI2Cyjk7sXFQ2UCobCRUNhQqGwuVDYbKRqORRKOKH08j37o9vdVudRXCrBRD+/vsl1RBtMCIUKxwpV1qxoWeek1Fi+6821MIc1J6XWOgtbqGQtiT0mn3B6konXBR9rVOq0sGQYVLdGB0m1pfIc1JGXQHWgfQ5hltJj080266ZghBvz241ma/EjBEG02rfQHal6mpRbtOz+heGNqlRnQYAtKrnxnXg3RRCEpfH6QRiXan6/61ZrTTdUJUDP1CIU1KeTFohaFDhEUpzXZLa+mpkigArnvD/hWw7GsT9SX/cWFilMtFYEnk4wgE8nlCkelLSGW3CqXs6Xl5eI6GGjs5x08zRON8kn1vVSS7dqXVBy8HkmSXJLsk2VO3ysT9RJLskmSXJHtiDJJklyS7JNklyf4lk+xivJUk2SXJzh/X50OyC+1FYgqRLLtk2TNGKFl2KhaSZZcsu2TZJcu+MpZdPQEumqzs6y/1RH76tbVeaeaBXHqlRfKpsq8z0iv92JmAFfLySUmvNNFd6Uy/0i0t3dJlMF7HL0dkp3SXfukq/dIirjnpl5Z+6SLwb7pfWtTZJt3S63BLi7s+pVdaeqU/5S9IiKlo3T8hkS+7vUi3PEVtzU9IiClr/b8hIfKrXfkVxlPZVv2IhJjaPsWvSOSgT/Pqjqe9T/A7Enlz1hbQe5G+8tfJWyOffB5pcVlxhlGIZeUKcQpXRVvuby1tKZRQk0dVpggDSkLGnMQlI6FmCAKFuwTQHqWfK7HPKqL9oypC09CunlPJTPI7pcetMvq2CfS7zbbWYeecpn0nExfQr1q6oc9+TX8+lZTq6f0uoHzxQ27gWvslNzlxxI9qnfQnQrRNQPm6dybEZn5NfCTElLzpZHQcF9aaPRHhpfiFmPhChbpg80s9GOBSb4lXis5i+lW/G9CxdIr00YDjHOnQMpHtI+/H8XBEo0ab3vt6yxlOx1iKx4G+6LSfv443NmdEX7WQZY5NvNGdKt8Gu3i0Wk4bag3oeC8IVvlpwJTWwIup46O+/8FCp8u/1q8cG72JrUf4Fs1+h9ZdkNDbdYj9Nnzmo+/wTBHeaecE6qv5Y82y+kNoQdc79d1pvN18LChjFOF6j74TS71BwrzxxJHAgGPcqR8cVYK80MSJgf7YQLcmdDB6votuIaWYUqfvQ3/qUc4ko3r77EInB9w3by2y7TNo4tcL8fgc2j70TFI+aF/z3xPPQ7R1G6sIv2yIUmbBFTbDsPvUYAf4BfAO2wnlzY2sqRXm1Sde6aN6E9meAwauSRYHoSEufnk4IBQiRhImtG0Gq8lf4vGYz5Z1fl+uxczoiPSXsKStkHaw1HJcsY+qXGovphdCFXH0l4DHIY6BSsBIAY7ASskZxJHYolghHHKfKrZPxc/fVVlqcbskjfzTWmr4wEAQjwhiyfjBPEqJ3Z++9XzTn87+HdeGgSYWHKLw9ExP3a0AgP9QanNJd1EluGPX5nt4cpVQ+uMtE8YnuCtbJnuf9zKRr/Mv+HWe3gWotdt2upx1HIiv6qSd8hb0vlzQckHLBb1lC/r/UEsBAi0AFAACAAgAfUQFXbv7kISlAAAA9gAAABIAAAAAAAAAAAAAAAAAAAAAAENvbmZpZy9QYWNrYWdlLnhtbFBLAQItABQAAgAIAH1EBV1TcjgsmwAAAOEAAAATAAAAAAAAAAAAAAAAAPEAAABbQ29udGVudF9UeXBlc10ueG1sUEsBAi0AFAACAAgAfUQFXbp2/562EAAAqPMAABMAAAAAAAAAAAAAAAAA2QEAAEZvcm11bGFzL1NlY3Rpb24xLm1QSwUGAAAAAAMAAwDCAAAA3B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UpIBAAAAAAAwkgEA77u/PD94bWwgdmVyc2lvbj0iMS4wIiBlbmNvZGluZz0idXRmLTgiPz48TG9jYWxQYWNrYWdlTWV0YWRhdGFGaWxlIHhtbG5zOnhzZD0iaHR0cDovL3d3dy53My5vcmcvMjAwMS9YTUxTY2hlbWEiIHhtbG5zOnhzaT0iaHR0cDovL3d3dy53My5vcmcvMjAwMS9YTUxTY2hlbWEtaW5zdGFuY2UiPjxJdGVtcz48SXRlbT48SXRlbUxvY2F0aW9uPjxJdGVtVHlwZT5Gb3JtdWxhPC9JdGVtVHlwZT48SXRlbVBhdGg+U2VjdGlvbjEvaG9qZTEyJTIwMzE5JTIwcmVwPC9JdGVtUGF0aD48L0l0ZW1Mb2NhdGlvbj48U3RhYmxlRW50cmllcz48RW50cnkgVHlwZT0iQnVmZmVyTmV4dFJlZnJlc2giIFZhbHVlPSJsMCIgLz48RW50cnkgVHlwZT0iRmlsbEVuYWJsZWQiIFZhbHVlPSJsMCIgLz48RW50cnkgVHlwZT0iRmlsbGVkQ29tcGxldGVSZXN1bHRUb1dvcmtzaGVldCIgVmFsdWU9ImwwIiAvPjxFbnRyeSBUeXBlPSJGaWxsVG9EYXRhTW9kZWxFbmFibGVkIiBWYWx1ZT0ibDEiIC8+PEVudHJ5IFR5cGU9IklzUHJpdmF0ZSIgVmFsdWU9ImwwIiAvPjxFbnRyeSBUeXBlPSJRdWVyeUlEIiBWYWx1ZT0iczYwNGZkYWQzLWQ5ZDAtNDZmZC1hMDdhLTZkNzVkYTE2ZjllZCIgLz48RW50cnkgVHlwZT0iUmVjb3ZlcnlUYXJnZXRDb2x1bW4iIFZhbHVlPSJsMSIgLz48RW50cnkgVHlwZT0iUmVjb3ZlcnlUYXJnZXRSb3ciIFZhbHVlPSJsMSIgLz48RW50cnkgVHlwZT0iUmVjb3ZlcnlUYXJnZXRTaGVldCIgVmFsdWU9InMxMi4zMTlyZXAiIC8+PEVudHJ5IFR5cGU9IlJlc3VsdFR5cGUiIFZhbHVlPSJzVGFibGUiIC8+PEVudHJ5IFR5cGU9Ik5hdmlnYXRpb25TdGVwTmFtZSIgVmFsdWU9InNOYXZlZ2HDp8OjbyIgLz48RW50cnkgVHlwZT0iRmlsbE9iamVjdFR5cGUiIFZhbHVlPSJzQ29ubmVjdGlvbk9ubHkiIC8+PEVudHJ5IFR5cGU9Ik5hbWVVcGRhdGVkQWZ0ZXJGaWxsIiBWYWx1ZT0ibDAiIC8+PEVudHJ5IFR5cGU9IkZpbGxMYXN0VXBkYXRlZCIgVmFsdWU9ImQyMDI2LTA4LTA1VDEyOjM1OjM3LjMwNDkzMDVaIiAvPjxFbnRyeSBUeXBlPSJGaWxsQ29sdW1uVHlwZXMiIFZhbHVlPSJzQXdNR0JnWURBeEVGQlFVRkJRVUZCZz09IiAvPjxFbnRyeSBUeXBlPSJGaWxsQ29sdW1uTmFtZXMiIFZhbHVlPSJzWyZxdW90O1JBTksmcXVvdDssJnF1b3Q7Q05QSiZxdW90OywmcXVvdDtSQVrDg08gU09DSUFMJnF1b3Q7LCZxdW90O0NJREFERSZxdW90OywmcXVvdDtFTkRFUkXDh08mcXVvdDssJnF1b3Q7UEVTTyBCUlVUTyZxdW90OywmcXVvdDtDQUlYQSZxdW90OywmcXVvdDtWQUxPUiZxdW90OywmcXVvdDslUEImcXVvdDssJnF1b3Q7JUNYJnF1b3Q7LCZxdW90OyVWTFImcXVvdDssJnF1b3Q7JUFDUCZxdW90OywmcXVvdDslQUNHJnF1b3Q7LCZxdW90O1JFUCZxdW90OywmcXVvdDtQUiBNRUQmcXVvdDssJnF1b3Q7Q0VOU08mcXVvdDtdIiAvPjxFbnRyeSBUeXBlPSJGaWxsRXJyb3JDb3VudCIgVmFsdWU9ImwwIiAvPjxFbnRyeSBUeXBlPSJGaWxsRXJyb3JDb2RlIiBWYWx1ZT0ic1Vua25vd24iIC8+PEVudHJ5IFR5cGU9IkZpbGxTdGF0dXMiIFZhbHVlPSJzQ29tcGxldGUiIC8+PEVudHJ5IFR5cGU9IkZpbGxDb3VudCIgVmFsdWU9Imw3NjEiIC8+PEVudHJ5IFR5cGU9IkFkZGVkVG9EYXRhTW9kZWwiIFZhbHVlPSJsMSIgLz48RW50cnkgVHlwZT0iUmVsYXRpb25zaGlwSW5mb0NvbnRhaW5lciIgVmFsdWU9InN7JnF1b3Q7Y29sdW1uQ291bnQmcXVvdDs6MTYsJnF1b3Q7a2V5Q29sdW1uTmFtZXMmcXVvdDs6W10sJnF1b3Q7cXVlcnlSZWxhdGlvbnNoaXBzJnF1b3Q7OltdLCZxdW90O2NvbHVtbklkZW50aXRpZXMmcXVvdDs6WyZxdW90O1NlY3Rpb24xL2hvamUxMiAzMTkgcmVwL0Vycm9zIFJlbW92aWRvcy57Q29sdW1uMS4xLDB9JnF1b3Q7LCZxdW90O1NlY3Rpb24xL2hvamUxMiAzMTkgcmVwL0Vycm9zIFJlbW92aWRvcy57Q29sdW1uMS4yLjEsMX0mcXVvdDssJnF1b3Q7U2VjdGlvbjEvaG9qZTEyIDMxOSByZXAvRXJyb3MgUmVtb3ZpZG9zLntDb2x1bW4xLjIuMi4xLDJ9JnF1b3Q7LCZxdW90O1NlY3Rpb24xL2hvamUxMiAzMTkgcmVwL0Vycm9zIFJlbW92aWRvcy57Q29sdW1uMS4yLjIuMi4xLDN9JnF1b3Q7LCZxdW90O1NlY3Rpb24xL2hvamUxMiAzMTkgcmVwL0Vycm9zIFJlbW92aWRvcy57Q29sdW1uMS4yLjIuMi4yLjEsNH0mcXVvdDssJnF1b3Q7U2VjdGlvbjEvaG9qZTEyIDMxOSByZXAvRXJyb3MgUmVtb3ZpZG9zLntDb2x1bW4xLjIuMi4yLjIuMi4xLDV9JnF1b3Q7LCZxdW90O1NlY3Rpb24xL2hvamUxMiAzMTkgcmVwL0Vycm9zIFJlbW92aWRvcy57Q29sdW1uMS4yLjIuMi4yLjIuMi4xLDZ9JnF1b3Q7LCZxdW90O1NlY3Rpb24xL2hvamUxMiAzMTkgcmVwL0Vycm9zIFJlbW92aWRvcy57Q29sdW1uMS4yLjIuMi4yLjIuMi4yLjEsN30mcXVvdDssJnF1b3Q7U2VjdGlvbjEvaG9qZTEyIDMxOSByZXAvRXJyb3MgUmVtb3ZpZG9zLntDb2x1bW4xLjIuMi4yLjIuMi4yLjIuMi4xLDh9JnF1b3Q7LCZxdW90O1NlY3Rpb24xL2hvamUxMiAzMTkgcmVwL0Vycm9zIFJlbW92aWRvcy57Q29sdW1uMS4yLjIuMi4yLjIuMi4yLjIuMi4xLDl9JnF1b3Q7LCZxdW90O1NlY3Rpb24xL2hvamUxMiAzMTkgcmVwL0Vycm9zIFJlbW92aWRvcy57Q29sdW1uMS4yLjIuMi4yLjIuMi4yLjIuMi4yLjEsMTB9JnF1b3Q7LCZxdW90O1NlY3Rpb24xL2hvamUxMiAzMTkgcmVwL0Vycm9zIFJlbW92aWRvcy57Q29sdW1uMS4yLjIuMi4yLjIuMi4yLjIuMi4yLjIuMSwxMX0mcXVvdDssJnF1b3Q7U2VjdGlvbjEvaG9qZTEyIDMxOSByZXAvRXJyb3MgUmVtb3ZpZG9zLntDb2x1bW4xLjIuMi4yLjIuMi4yLjIuMi4yLjIuMi4yLjEsMTJ9JnF1b3Q7LCZxdW90O1NlY3Rpb24xL2hvamUxMiAzMTkgcmVwL0Vycm9zIFJlbW92aWRvcy57Q29sdW1uMS4yLjIuMi4yLjIuMi4yLjIuMi4yLjIuMi4yLjEsMTN9JnF1b3Q7LCZxdW90O1NlY3Rpb24xL2hvamUxMiAzMTkgcmVwL0Vycm9zIFJlbW92aWRvcy57Q29sdW1uMS4yLjIuMi4yLjIuMi4yLjIuMi4yLjIuMi4yLjIuMSwxNH0mcXVvdDssJnF1b3Q7U2VjdGlvbjEvaG9qZTEyIDMxOSByZXAvRXJyb3MgUmVtb3ZpZG9zLntDb2x1bW4xLjIuMi4yLjIuMi4yLjIuMi4yLjIuMi4yLjIuMi4yLDE1fSZxdW90O10sJnF1b3Q7Q29sdW1uQ291bnQmcXVvdDs6MTYsJnF1b3Q7S2V5Q29sdW1uTmFtZXMmcXVvdDs6W10sJnF1b3Q7Q29sdW1uSWRlbnRpdGllcyZxdW90OzpbJnF1b3Q7U2VjdGlvbjEvaG9qZTEyIDMxOSByZXAvRXJyb3MgUmVtb3ZpZG9zLntDb2x1bW4xLjEsMH0mcXVvdDssJnF1b3Q7U2VjdGlvbjEvaG9qZTEyIDMxOSByZXAvRXJyb3MgUmVtb3ZpZG9zLntDb2x1bW4xLjIuMSwxfSZxdW90OywmcXVvdDtTZWN0aW9uMS9ob2plMTIgMzE5IHJlcC9FcnJvcyBSZW1vdmlkb3Mue0NvbHVtbjEuMi4yLjEsMn0mcXVvdDssJnF1b3Q7U2VjdGlvbjEvaG9qZTEyIDMxOSByZXAvRXJyb3MgUmVtb3ZpZG9zLntDb2x1bW4xLjIuMi4yLjEsM30mcXVvdDssJnF1b3Q7U2VjdGlvbjEvaG9qZTEyIDMxOSByZXAvRXJyb3MgUmVtb3ZpZG9zLntDb2x1bW4xLjIuMi4yLjIuMSw0fSZxdW90OywmcXVvdDtTZWN0aW9uMS9ob2plMTIgMzE5IHJlcC9FcnJvcyBSZW1vdmlkb3Mue0NvbHVtbjEuMi4yLjIuMi4yLjEsNX0mcXVvdDssJnF1b3Q7U2VjdGlvbjEvaG9qZTEyIDMxOSByZXAvRXJyb3MgUmVtb3ZpZG9zLntDb2x1bW4xLjIuMi4yLjIuMi4yLjEsNn0mcXVvdDssJnF1b3Q7U2VjdGlvbjEvaG9qZTEyIDMxOSByZXAvRXJyb3MgUmVtb3ZpZG9zLntDb2x1bW4xLjIuMi4yLjIuMi4yLjIuMSw3fSZxdW90OywmcXVvdDtTZWN0aW9uMS9ob2plMTIgMzE5IHJlcC9FcnJvcyBSZW1vdmlkb3Mue0NvbHVtbjEuMi4yLjIuMi4yLjIuMi4yLjEsOH0mcXVvdDssJnF1b3Q7U2VjdGlvbjEvaG9qZTEyIDMxOSByZXAvRXJyb3MgUmVtb3ZpZG9zLntDb2x1bW4xLjIuMi4yLjIuMi4yLjIuMi4yLjEsOX0mcXVvdDssJnF1b3Q7U2VjdGlvbjEvaG9qZTEyIDMxOSByZXAvRXJyb3MgUmVtb3ZpZG9zLntDb2x1bW4xLjIuMi4yLjIuMi4yLjIuMi4yLjIuMSwxMH0mcXVvdDssJnF1b3Q7U2VjdGlvbjEvaG9qZTEyIDMxOSByZXAvRXJyb3MgUmVtb3ZpZG9zLntDb2x1bW4xLjIuMi4yLjIuMi4yLjIuMi4yLjIuMi4xLDExfSZxdW90OywmcXVvdDtTZWN0aW9uMS9ob2plMTIgMzE5IHJlcC9FcnJvcyBSZW1vdmlkb3Mue0NvbHVtbjEuMi4yLjIuMi4yLjIuMi4yLjIuMi4yLjIuMSwxMn0mcXVvdDssJnF1b3Q7U2VjdGlvbjEvaG9qZTEyIDMxOSByZXAvRXJyb3MgUmVtb3ZpZG9zLntDb2x1bW4xLjIuMi4yLjIuMi4yLjIuMi4yLjIuMi4yLjIuMSwxM30mcXVvdDssJnF1b3Q7U2VjdGlvbjEvaG9qZTEyIDMxOSByZXAvRXJyb3MgUmVtb3ZpZG9zLntDb2x1bW4xLjIuMi4yLjIuMi4yLjIuMi4yLjIuMi4yLjIuMi4xLDE0fSZxdW90OywmcXVvdDtTZWN0aW9uMS9ob2plMTIgMzE5IHJlcC9FcnJvcyBSZW1vdmlkb3Mue0NvbHVtbjEuMi4yLjIuMi4yLjIuMi4yLjIuMi4yLjIuMi4yLjIsMTV9JnF1b3Q7XSwmcXVvdDtSZWxhdGlvbnNoaXBJbmZvJnF1b3Q7OltdfSIgLz48L1N0YWJsZUVudHJpZXM+PC9JdGVtPjxJdGVtPjxJdGVtTG9jYXRpb24+PEl0ZW1UeXBlPkZvcm11bGE8L0l0ZW1UeXBlPjxJdGVtUGF0aD5TZWN0aW9uMS9ob2plMTIlMjAzMjYlMjBzcDwvSXRlbVBhdGg+PC9JdGVtTG9jYXRpb24+PFN0YWJsZUVudHJpZXM+PEVudHJ5IFR5cGU9IkJ1ZmZlck5leHRSZWZyZXNoIiBWYWx1ZT0ibDAiIC8+PEVudHJ5IFR5cGU9IkZpbGxFbmFibGVkIiBWYWx1ZT0ibDAiIC8+PEVudHJ5IFR5cGU9IkZpbGxlZENvbXBsZXRlUmVzdWx0VG9Xb3Jrc2hlZXQiIFZhbHVlPSJsMCIgLz48RW50cnkgVHlwZT0iRmlsbFRvRGF0YU1vZGVsRW5hYmxlZCIgVmFsdWU9ImwxIiAvPjxFbnRyeSBUeXBlPSJJc1ByaXZhdGUiIFZhbHVlPSJsMCIgLz48RW50cnkgVHlwZT0iUXVlcnlJRCIgVmFsdWU9InNlMWFlMmQ4ZC0wZTZmLTRmOTQtOTkyMi00NmI2NDFjMGM2MzciIC8+PEVudHJ5IFR5cGU9IlJlc3VsdFR5cGUiIFZhbHVlPSJzVGFibGUiIC8+PEVudHJ5IFR5cGU9Ik5hdmlnYXRpb25TdGVwTmFtZSIgVmFsdWU9InNOYXZlZ2HDp8OjbyIgLz48RW50cnkgVHlwZT0iRmlsbE9iamVjdFR5cGUiIFZhbHVlPSJzQ29ubmVjdGlvbk9ubHkiIC8+PEVudHJ5IFR5cGU9Ik5hbWVVcGRhdGVkQWZ0ZXJGaWxsIiBWYWx1ZT0ibDAiIC8+PEVudHJ5IFR5cGU9IkZpbGxMYXN0VXBkYXRlZCIgVmFsdWU9ImQyMDI2LTA4LTA1VDEyOjM1OjM3LjMxMDYyOTNaIiAvPjxFbnRyeSBUeXBlPSJGaWxsQ29sdW1uVHlwZXMiIFZhbHVlPSJzQlFZREJRWUdCZ1VHRVFZSkNRWURCZ1lGQmc9PSIgLz48RW50cnkgVHlwZT0iRmlsbENvbHVtbk5hbWVzIiBWYWx1ZT0ic1smcXVvdDtOwrogUGVkaWRvJnF1b3Q7LCZxdW90O1JhemFvIFNvY2lhbCZxdW90OywmcXVvdDtDTlBKJnF1b3Q7LCZxdW90O01hcmdlbSZxdW90OywmcXVvdDtUcCBWZW5kYSZxdW90OywmcXVvdDtQb3J0YWRvciZxdW90OywmcXVvdDtMaXN0YSZxdW90OywmcXVvdDtTYWxkbyBETUMmcXVvdDssJnF1b3Q7VHJvY2FzJnF1b3Q7LCZxdW90O1ZhbG9yIFBlZGlkbyZxdW90OywmcXVvdDtQcmF6b3MgUGVkLiZxdW90OywmcXVvdDtEYXRhIERpZy4gUGVkLiZxdW90OywmcXVvdDtEYXRhIEltcC4gUGVkLiZxdW90OywmcXVvdDtQZWQuIEJyb2tlciZxdW90OywmcXVvdDtWZW5kZWRvciBSQ0EmcXVvdDssJnF1b3Q7VXN1YXJpbyZxdW90OywmcXVvdDtSZWcmcXVvdDssJnF1b3Q7UXRkIENYJnF1b3Q7LCZxdW90O0NpZGFkZSZxdW90O10iIC8+PEVudHJ5IFR5cGU9IkZpbGxFcnJvckNvdW50IiBWYWx1ZT0ibDEwNiIgLz48RW50cnkgVHlwZT0iRmlsbEVycm9yQ29kZSIgVmFsdWU9InNVbmtub3duIiAvPjxFbnRyeSBUeXBlPSJGaWxsU3RhdHVzIiBWYWx1ZT0ic0NvbXBsZXRlIiAvPjxFbnRyeSBUeXBlPSJGaWxsQ291bnQiIFZhbHVlPSJsMTA2IiAvPjxFbnRyeSBUeXBlPSJBZGRlZFRvRGF0YU1vZGVsIiBWYWx1ZT0ibDEiIC8+PEVudHJ5IFR5cGU9IlJlbGF0aW9uc2hpcEluZm9Db250YWluZXIiIFZhbHVlPSJzeyZxdW90O2NvbHVtbkNvdW50JnF1b3Q7OjE5LCZxdW90O2tleUNvbHVtbk5hbWVzJnF1b3Q7OltdLCZxdW90O3F1ZXJ5UmVsYXRpb25zaGlwcyZxdW90OzpbXSwmcXVvdDtjb2x1bW5JZGVudGl0aWVzJnF1b3Q7OlsmcXVvdDtTZWN0aW9uMS9ob2plMTIgMzI2IHNwL0Vycm9zIFJlbW92aWRvczIue07CuiBQZWRpZG8sMn0mcXVvdDssJnF1b3Q7U2VjdGlvbjEvaG9qZTEyIDMyNiBzcC9FcnJvcyBSZW1vdmlkb3MyLntSYXphbyBTb2NpYWwsM30mcXVvdDssJnF1b3Q7U2VjdGlvbjEvaG9qZTEyIDMyNiBzcC9FcnJvcyBSZW1vdmlkb3MyLntDTlBKLDR9JnF1b3Q7LCZxdW90O1NlY3Rpb24xL2hvamUxMiAzMjYgc3AvVGlwbyBBbHRlcmFkbzIyLntNYXJnZW0sM30mcXVvdDssJnF1b3Q7U2VjdGlvbjEvaG9qZTEyIDMyNiBzcC9FcnJvcyBSZW1vdmlkb3MyLntUcCBWZW5kYSw2fSZxdW90OywmcXVvdDtTZWN0aW9uMS9ob2plMTIgMzI2IHNwL0Vycm9zIFJlbW92aWRvczIue1BvcnRhZG9yLDd9JnF1b3Q7LCZxdW90O1NlY3Rpb24xL2hvamUxMiAzMjYgc3AvRXJyb3MgUmVtb3ZpZG9zMi57TGlzdGEsOH0mcXVvdDssJnF1b3Q7U2VjdGlvbjEvaG9qZTEyIDMyNiBzcC9UaXBvIEFsdGVyYWRvMjIue1NhbGRvIERNQyw3fSZxdW90OywmcXVvdDtTZWN0aW9uMS9ob2plMTIgMzI2IHNwL0Vycm9zIFJlbW92aWRvczIue1Ryb2NhcywxMH0mcXVvdDssJnF1b3Q7U2VjdGlvbjEvaG9qZTEyIDMyNiBzcC9UaXBvIEFsdGVyYWRvMjIue1ZhbG9yIFBlZGlkbyw5fSZxdW90OywmcXVvdDtTZWN0aW9uMS9ob2plMTIgMzI2IHNwL0Vycm9zIFJlbW92aWRvczIue1ByYXpvcyBQZWQuLDEyfSZxdW90OywmcXVvdDtTZWN0aW9uMS9ob2plMTIgMzI2IHNwL1RpcG8gQWx0ZXJhZG8yMi57RGF0YSBEaWcuIFBlZC4sMTF9JnF1b3Q7LCZxdW90O1NlY3Rpb24xL2hvamUxMiAzMjYgc3AvVGlwbyBBbHRlcmFkbzIyLntEYXRhIEltcC4gUGVkLiwxMn0mcXVvdDssJnF1b3Q7U2VjdGlvbjEvaG9qZTEyIDMyNiBzcC9FcnJvcyBSZW1vdmlkb3MyLntQZWQuIEJyb2tlciwxNX0mcXVvdDssJnF1b3Q7U2VjdGlvbjEvaG9qZTEyIDMyNiBzcC9FcnJvcyBSZW1vdmlkb3MyLntWZW5kZWRvciBSQ0EsMTZ9JnF1b3Q7LCZxdW90O1NlY3Rpb24xL2hvamUxMiAzMjYgc3AvRXJyb3MgUmVtb3ZpZG9zMi57VXN1YXJpbywxN30mcXVvdDssJnF1b3Q7U2VjdGlvbjEvaG9qZTEyIDMyNiBzcC9FcnJvcyBSZW1vdmlkb3MyLntSZWcsMTh9JnF1b3Q7LCZxdW90O1NlY3Rpb24xL2hvamUxMiAzMjYgc3AvRXJyb3MgUmVtb3ZpZG9zMi57UXRkIENYLDE5fSZxdW90OywmcXVvdDtTZWN0aW9uMS9ob2plMTIgMzI2IHNwL0Vycm9zIFJlbW92aWRvczIue0NpZGFkZSwyMH0mcXVvdDtdLCZxdW90O0NvbHVtbkNvdW50JnF1b3Q7OjE5LCZxdW90O0tleUNvbHVtbk5hbWVzJnF1b3Q7OltdLCZxdW90O0NvbHVtbklkZW50aXRpZXMmcXVvdDs6WyZxdW90O1NlY3Rpb24xL2hvamUxMiAzMjYgc3AvRXJyb3MgUmVtb3ZpZG9zMi57TsK6IFBlZGlkbywyfSZxdW90OywmcXVvdDtTZWN0aW9uMS9ob2plMTIgMzI2IHNwL0Vycm9zIFJlbW92aWRvczIue1JhemFvIFNvY2lhbCwzfSZxdW90OywmcXVvdDtTZWN0aW9uMS9ob2plMTIgMzI2IHNwL0Vycm9zIFJlbW92aWRvczIue0NOUEosNH0mcXVvdDssJnF1b3Q7U2VjdGlvbjEvaG9qZTEyIDMyNiBzcC9UaXBvIEFsdGVyYWRvMjIue01hcmdlbSwzfSZxdW90OywmcXVvdDtTZWN0aW9uMS9ob2plMTIgMzI2IHNwL0Vycm9zIFJlbW92aWRvczIue1RwIFZlbmRhLDZ9JnF1b3Q7LCZxdW90O1NlY3Rpb24xL2hvamUxMiAzMjYgc3AvRXJyb3MgUmVtb3ZpZG9zMi57UG9ydGFkb3IsN30mcXVvdDssJnF1b3Q7U2VjdGlvbjEvaG9qZTEyIDMyNiBzcC9FcnJvcyBSZW1vdmlkb3MyLntMaXN0YSw4fSZxdW90OywmcXVvdDtTZWN0aW9uMS9ob2plMTIgMzI2IHNwL1RpcG8gQWx0ZXJhZG8yMi57U2FsZG8gRE1DLDd9JnF1b3Q7LCZxdW90O1NlY3Rpb24xL2hvamUxMiAzMjYgc3AvRXJyb3MgUmVtb3ZpZG9zMi57VHJvY2FzLDEwfSZxdW90OywmcXVvdDtTZWN0aW9uMS9ob2plMTIgMzI2IHNwL1RpcG8gQWx0ZXJhZG8yMi57VmFsb3IgUGVkaWRvLDl9JnF1b3Q7LCZxdW90O1NlY3Rpb24xL2hvamUxMiAzMjYgc3AvRXJyb3MgUmVtb3ZpZG9zMi57UHJhem9zIFBlZC4sMTJ9JnF1b3Q7LCZxdW90O1NlY3Rpb24xL2hvamUxMiAzMjYgc3AvVGlwbyBBbHRlcmFkbzIyLntEYXRhIERpZy4gUGVkLiwxMX0mcXVvdDssJnF1b3Q7U2VjdGlvbjEvaG9qZTEyIDMyNiBzcC9UaXBvIEFsdGVyYWRvMjIue0RhdGEgSW1wLiBQZWQuLDEyfSZxdW90OywmcXVvdDtTZWN0aW9uMS9ob2plMTIgMzI2IHNwL0Vycm9zIFJlbW92aWRvczIue1BlZC4gQnJva2VyLDE1fSZxdW90OywmcXVvdDtTZWN0aW9uMS9ob2plMTIgMzI2IHNwL0Vycm9zIFJlbW92aWRvczIue1ZlbmRlZG9yIFJDQSwxNn0mcXVvdDssJnF1b3Q7U2VjdGlvbjEvaG9qZTEyIDMyNiBzcC9FcnJvcyBSZW1vdmlkb3MyLntVc3VhcmlvLDE3fSZxdW90OywmcXVvdDtTZWN0aW9uMS9ob2plMTIgMzI2IHNwL0Vycm9zIFJlbW92aWRvczIue1JlZywxOH0mcXVvdDssJnF1b3Q7U2VjdGlvbjEvaG9qZTEyIDMyNiBzcC9FcnJvcyBSZW1vdmlkb3MyLntRdGQgQ1gsMTl9JnF1b3Q7LCZxdW90O1NlY3Rpb24xL2hvamUxMiAzMjYgc3AvRXJyb3MgUmVtb3ZpZG9zMi57Q2lkYWRlLDIwfSZxdW90O10sJnF1b3Q7UmVsYXRpb25zaGlwSW5mbyZxdW90OzpbXX0iIC8+PC9TdGFibGVFbnRyaWVzPjwvSXRlbT48SXRlbT48SXRlbUxvY2F0aW9uPjxJdGVtVHlwZT5Gb3JtdWxhPC9JdGVtVHlwZT48SXRlbVBhdGg+U2VjdGlvbjEvaG9qZTEyJTIwMzI2JTIwYW5hPC9JdGVtUGF0aD48L0l0ZW1Mb2NhdGlvbj48U3RhYmxlRW50cmllcz48RW50cnkgVHlwZT0iQnVmZmVyTmV4dFJlZnJlc2giIFZhbHVlPSJsMCIgLz48RW50cnkgVHlwZT0iRmlsbEVuYWJsZWQiIFZhbHVlPSJsMCIgLz48RW50cnkgVHlwZT0iRmlsbGVkQ29tcGxldGVSZXN1bHRUb1dvcmtzaGVldCIgVmFsdWU9ImwxIiAvPjxFbnRyeSBUeXBlPSJGaWxsVG9EYXRhTW9kZWxFbmFibGVkIiBWYWx1ZT0ibDAiIC8+PEVudHJ5IFR5cGU9IklzUHJpdmF0ZSIgVmFsdWU9ImwwIiAvPjxFbnRyeSBUeXBlPSJRdWVyeUlEIiBWYWx1ZT0ic2Y0MDJhZmViLWY1MWYtNDJiNC1hZWY2LWE0NTQ1ZDdkZjBlOSIgLz48RW50cnkgVHlwZT0iUmVjb3ZlcnlUYXJnZXRDb2x1bW4iIFZhbHVlPSJsMSIgLz48RW50cnkgVHlwZT0iUmVjb3ZlcnlUYXJnZXRSb3ciIFZhbHVlPSJsMSIgLz48RW50cnkgVHlwZT0iUmVjb3ZlcnlUYXJnZXRTaGVldCIgVmFsdWU9InNQbGFuaWxoYTIiIC8+PEVudHJ5IFR5cGU9IlJlc3VsdFR5cGUiIFZhbHVlPSJzVGFibGUiIC8+PEVudHJ5IFR5cGU9Ik5hdmlnYXRpb25TdGVwTmFtZSIgVmFsdWU9InNOYXZlZ2HDp8OjbyIgLz48RW50cnkgVHlwZT0iRmlsbE9iamVjdFR5cGUiIFZhbHVlPSJzQ29ubmVjdGlvbk9ubHkiIC8+PEVudHJ5IFR5cGU9Ik5hbWVVcGRhdGVkQWZ0ZXJGaWxsIiBWYWx1ZT0ibDAiIC8+PEVudHJ5IFR5cGU9IkZpbGxMYXN0VXBkYXRlZCIgVmFsdWU9ImQyMDI2LTA4LTA1VDEyOjM1OjQ4Ljg0MDQ1MDdaIiAvPjxFbnRyeSBUeXBlPSJGaWxsQ29sdW1uVHlwZXMiIFZhbHVlPSJzQXdZUkVRVVJCZ1lHQmdNRCIgLz48RW50cnkgVHlwZT0iRmlsbENvbHVtbk5hbWVzIiBWYWx1ZT0ic1smcXVvdDtDb2QgUHJvZCZxdW90OywmcXVvdDtEZXNjIFByb2QmcXVvdDssJnF1b3Q7VG90YWwgVmxyJnF1b3Q7LCZxdW90O0Rlc2MgJCZxdW90OywmcXVvdDtRdGRlJnF1b3Q7LCZxdW90O1ZsciBVbmQmcXVvdDssJnF1b3Q7JUQuTWF4aSZxdW90OywmcXVvdDslRC5QZWRpZG8mcXVvdDssJnF1b3Q7JURNJnF1b3Q7LCZxdW90O0RpZiAkJnF1b3Q7LCZxdW90O07CuiBQZWRpZG8mcXVvdDssJnF1b3Q7UmVwJnF1b3Q7XSIgLz48RW50cnkgVHlwZT0iRmlsbEVycm9yQ291bnQiIFZhbHVlPSJsMCIgLz48RW50cnkgVHlwZT0iRmlsbEVycm9yQ29kZSIgVmFsdWU9InNVbmtub3duIiAvPjxFbnRyeSBUeXBlPSJGaWxsU3RhdHVzIiBWYWx1ZT0ic0NvbXBsZXRlIiAvPjxFbnRyeSBUeXBlPSJGaWxsQ291bnQiIFZhbHVlPSJsMTEzNyIgLz48RW50cnkgVHlwZT0iQWRkZWRUb0RhdGFNb2RlbCIgVmFsdWU9ImwwIiAvPjxFbnRyeSBUeXBlPSJSZWxhdGlvbnNoaXBJbmZvQ29udGFpbmVyIiBWYWx1ZT0ic3smcXVvdDtjb2x1bW5Db3VudCZxdW90OzoxMiwmcXVvdDtrZXlDb2x1bW5OYW1lcyZxdW90OzpbXSwmcXVvdDtxdWVyeVJlbGF0aW9uc2hpcHMmcXVvdDs6W10sJnF1b3Q7Y29sdW1uSWRlbnRpdGllcyZxdW90OzpbJnF1b3Q7U2VjdGlvbjEvaG9qZTEyIDMyNiBhbmEvRXJyb3MgUmVtb3ZpZG9zMS57Q29sdW1uMS4xLDB9JnF1b3Q7LCZxdW90O1NlY3Rpb24xL2hvamUxMiAzMjYgYW5hL0Vycm9zIFJlbW92aWRvczEue0NvbHVtbjEuMi4xLDF9JnF1b3Q7LCZxdW90O1NlY3Rpb24xL2hvamUxMiAzMjYgYW5hL0Vycm9zIFJlbW92aWRvczEue0NvbHVtbjEuMi4yLjEsMn0mcXVvdDssJnF1b3Q7U2VjdGlvbjEvaG9qZTEyIDMyNiBhbmEvRXJyb3MgUmVtb3ZpZG9zMS57Q29sdW1uMS4yLjIuMi4xLDN9JnF1b3Q7LCZxdW90O1NlY3Rpb24xL2hvamUxMiAzMjYgYW5hL0Vycm9zIFJlbW92aWRvczEue0NvbHVtbjEuMi4yLjIuMi4xLDR9JnF1b3Q7LCZxdW90O1NlY3Rpb24xL2hvamUxMiAzMjYgYW5hL0Vycm9zIFJlbW92aWRvczEue0NvbHVtbjEuMi4yLjIuMi4yLjEsNX0mcXVvdDssJnF1b3Q7U2VjdGlvbjEvaG9qZTEyIDMyNiBhbmEvRXJyb3MgUmVtb3ZpZG9zMS57Q29sdW1uMS4yLjIuMi4yLjIuMi4xLDZ9JnF1b3Q7LCZxdW90O1NlY3Rpb24xL2hvamUxMiAzMjYgYW5hL0Vycm9zIFJlbW92aWRvczEue0NvbHVtbjEuMi4yLjIuMi4yLjIuMi4xLDd9JnF1b3Q7LCZxdW90O1NlY3Rpb24xL2hvamUxMiAzMjYgYW5hL0Vycm9zIFJlbW92aWRvczEue0NvbHVtbjEuMi4yLjIuMi4yLjIuMi4yLjEsOH0mcXVvdDssJnF1b3Q7U2VjdGlvbjEvaG9qZTEyIDMyNiBhbmEvRXJyb3MgUmVtb3ZpZG9zMS57Q29sdW1uMS4yLjIuMi4yLjIuMi4yLjIuMi4xLDl9JnF1b3Q7LCZxdW90O1NlY3Rpb24xL2hvamUxMiAzMjYgYW5hL0Vycm9zIFJlbW92aWRvczEue0NvbHVtbjEuMi4yLjIuMi4yLjIuMi4yLjIuMi4xLDEwfSZxdW90OywmcXVvdDtTZWN0aW9uMS9ob2plMTIgMzI2IGFuYS9FcnJvcyBSZW1vdmlkb3MxLntDb2x1bW4xLjIuMi4yLjIuMi4yLjIuMi4yLjIuMi4xLDExfSZxdW90O10sJnF1b3Q7Q29sdW1uQ291bnQmcXVvdDs6MTIsJnF1b3Q7S2V5Q29sdW1uTmFtZXMmcXVvdDs6W10sJnF1b3Q7Q29sdW1uSWRlbnRpdGllcyZxdW90OzpbJnF1b3Q7U2VjdGlvbjEvaG9qZTEyIDMyNiBhbmEvRXJyb3MgUmVtb3ZpZG9zMS57Q29sdW1uMS4xLDB9JnF1b3Q7LCZxdW90O1NlY3Rpb24xL2hvamUxMiAzMjYgYW5hL0Vycm9zIFJlbW92aWRvczEue0NvbHVtbjEuMi4xLDF9JnF1b3Q7LCZxdW90O1NlY3Rpb24xL2hvamUxMiAzMjYgYW5hL0Vycm9zIFJlbW92aWRvczEue0NvbHVtbjEuMi4yLjEsMn0mcXVvdDssJnF1b3Q7U2VjdGlvbjEvaG9qZTEyIDMyNiBhbmEvRXJyb3MgUmVtb3ZpZG9zMS57Q29sdW1uMS4yLjIuMi4xLDN9JnF1b3Q7LCZxdW90O1NlY3Rpb24xL2hvamUxMiAzMjYgYW5hL0Vycm9zIFJlbW92aWRvczEue0NvbHVtbjEuMi4yLjIuMi4xLDR9JnF1b3Q7LCZxdW90O1NlY3Rpb24xL2hvamUxMiAzMjYgYW5hL0Vycm9zIFJlbW92aWRvczEue0NvbHVtbjEuMi4yLjIuMi4yLjEsNX0mcXVvdDssJnF1b3Q7U2VjdGlvbjEvaG9qZTEyIDMyNiBhbmEvRXJyb3MgUmVtb3ZpZG9zMS57Q29sdW1uMS4yLjIuMi4yLjIuMi4xLDZ9JnF1b3Q7LCZxdW90O1NlY3Rpb24xL2hvamUxMiAzMjYgYW5hL0Vycm9zIFJlbW92aWRvczEue0NvbHVtbjEuMi4yLjIuMi4yLjIuMi4xLDd9JnF1b3Q7LCZxdW90O1NlY3Rpb24xL2hvamUxMiAzMjYgYW5hL0Vycm9zIFJlbW92aWRvczEue0NvbHVtbjEuMi4yLjIuMi4yLjIuMi4yLjEsOH0mcXVvdDssJnF1b3Q7U2VjdGlvbjEvaG9qZTEyIDMyNiBhbmEvRXJyb3MgUmVtb3ZpZG9zMS57Q29sdW1uMS4yLjIuMi4yLjIuMi4yLjIuMi4xLDl9JnF1b3Q7LCZxdW90O1NlY3Rpb24xL2hvamUxMiAzMjYgYW5hL0Vycm9zIFJlbW92aWRvczEue0NvbHVtbjEuMi4yLjIuMi4yLjIuMi4yLjIuMi4xLDEwfSZxdW90OywmcXVvdDtTZWN0aW9uMS9ob2plMTIgMzI2IGFuYS9FcnJvcyBSZW1vdmlkb3MxLntDb2x1bW4xLjIuMi4yLjIuMi4yLjIuMi4yLjIuMi4xLDExfSZxdW90O10sJnF1b3Q7UmVsYXRpb25zaGlwSW5mbyZxdW90OzpbXX0iIC8+PC9TdGFibGVFbnRyaWVzPjwvSXRlbT48SXRlbT48SXRlbUxvY2F0aW9uPjxJdGVtVHlwZT5Gb3JtdWxhPC9JdGVtVHlwZT48SXRlbVBhdGg+U2VjdGlvbjEvQ29sZXRhc0V4cG9ydDwvSXRlbVBhdGg+PC9JdGVtTG9jYXRpb24+PFN0YWJsZUVudHJpZXM+PEVudHJ5IFR5cGU9Ik5hdmlnYXRpb25TdGVwTmFtZSIgVmFsdWU9InNOYXZlZ2HDp8OjbyIgLz48RW50cnkgVHlwZT0iRmlsbEVuYWJsZWQiIFZhbHVlPSJsMCIgLz48RW50cnkgVHlwZT0iRmlsbGVkQ29tcGxldGVSZXN1bHRUb1dvcmtzaGVldCIgVmFsdWU9ImwxIiAvPjxFbnRyeSBUeXBlPSJGaWxsVG9EYXRhTW9kZWxFbmFibGVkIiBWYWx1ZT0ibDAiIC8+PEVudHJ5IFR5cGU9IklzUHJpdmF0ZSIgVmFsdWU9ImwwIiAvPjxFbnRyeSBUeXBlPSJRdWVyeUlEIiBWYWx1ZT0iczk5Mjc3Mjg4LWRjY2YtNGE2Yy04NjJlLTNjYzgyNTQxNDI2ZiIgLz48RW50cnkgVHlwZT0iTmFtZVVwZGF0ZWRBZnRlckZpbGwiIFZhbHVlPSJsMCIgLz48RW50cnkgVHlwZT0iQnVmZmVyTmV4dFJlZnJlc2giIFZhbHVlPSJsMSIgLz48RW50cnkgVHlwZT0iRmlsbE9iamVjdFR5cGUiIFZhbHVlPSJzQ29ubmVjdGlvbk9ubHkiIC8+PEVudHJ5IFR5cGU9IlJlc3VsdFR5cGUiIFZhbHVlPSJzRXhjZXB0aW9uIiAvPjxFbnRyeSBUeXBlPSJGaWxsTGFzdFVwZGF0ZWQiIFZhbHVlPSJkMjAyNi0wOC0wNVQxMjozNTo0OC44NDA0NTA3WiIgLz48RW50cnkgVHlwZT0iRmlsbENvbHVtblR5cGVzIiBWYWx1ZT0ic0F3WUdBd0FHQmdZR0JnWUdCd2NKQ2dZR0JnY0dCZ01EQmdZPSIgLz48RW50cnkgVHlwZT0iRmlsbENvbHVtbk5hbWVzIiBWYWx1ZT0ic1smcXVvdDtJZCZxdW90OywmcXVvdDtSw7N0dWxvJnF1b3Q7LCZxdW90O1RpcG8gZGUgQ29sZXRhJnF1b3Q7LCZxdW90O1BvbnRvIGRlIFZlbmRhJnF1b3Q7LCZxdW90O0NvbHVtbjUmcXVvdDssJnF1b3Q7QmFuZGVpcmEmcXVvdDssJnF1b3Q7Q2FuYWwgZG8gUERWJnF1b3Q7LCZxdW90O1JlZ2lvbmFsJnF1b3Q7LCZxdW90O0VzdGFkbyZxdW90OywmcXVvdDtSZXNwb25zw6F2ZWwmcXVvdDssJnF1b3Q7UGVyZmlsIGRlIGFjZXNzbyZxdW90OywmcXVvdDtDb2xhYm9yYWRvciBTdXBlcmlvciZxdW90OywmcXVvdDtEYXRhIGRlIFNvbGljaXRhw6fDo28mcXVvdDssJnF1b3Q7RGF0YSBkZSBDb25jbHVzw6NvJnF1b3Q7LCZxdW90O0RhdGEgZGUgRXhwaXJhw6fDo28mcXVvdDssJnF1b3Q7VGVtcG8gZ2FzdG8mcXVvdDssJnF1b3Q7U3RhdHVzJnF1b3Q7LCZxdW90O0Fuw6FsaXNlJnF1b3Q7LCZxdW90O1VzdcOhcmlvIEFuw6FsaXNlJnF1b3Q7LCZxdW90O0RhdGEgQW7DoWxpc2UmcXVvdDssJnF1b3Q7SnVzdGlmaWNhZGE/JnF1b3Q7LCZxdW90O0p1c3RpZmljYXRpdmEmcXVvdDssJnF1b3Q7VG90YWwgZGUgRm90b3MmcXVvdDssJnF1b3Q7VG90YWwgZGUgRm90b3MgU2luY3Jvbml6YWRhcyZxdW90OywmcXVvdDtQZXJmaWwgZG8gUERWJnF1b3Q7LCZxdW90O0PDs2RpZ28gZG8gUERWJnF1b3Q7XSIgLz48RW50cnkgVHlwZT0iRmlsbEVycm9yQ291bnQiIFZhbHVlPSJsNDYiIC8+PEVudHJ5IFR5cGU9IkZpbGxFcnJvckNvZGUiIFZhbHVlPSJzVW5rbm93biIgLz48RW50cnkgVHlwZT0iRmlsbFN0YXR1cyIgVmFsdWU9InNDb21wbGV0ZSIgLz48RW50cnkgVHlwZT0iRmlsbENvdW50IiBWYWx1ZT0ibDQ4IiAvPjxFbnRyeSBUeXBlPSJBZGRlZFRvRGF0YU1vZGVsIiBWYWx1ZT0ibDAiIC8+PEVudHJ5IFR5cGU9IlJlbGF0aW9uc2hpcEluZm9Db250YWluZXIiIFZhbHVlPSJzeyZxdW90O2NvbHVtbkNvdW50JnF1b3Q7OjI2LCZxdW90O2tleUNvbHVtbk5hbWVzJnF1b3Q7OltdLCZxdW90O3F1ZXJ5UmVsYXRpb25zaGlwcyZxdW90OzpbXSwmcXVvdDtjb2x1bW5JZGVudGl0aWVzJnF1b3Q7OlsmcXVvdDtTZWN0aW9uMS9Db2xldGFzRXhwb3J0L1RpcG8gQWx0ZXJhZG8ue0lkLDB9JnF1b3Q7LCZxdW90O1NlY3Rpb24xL0NvbGV0YXNFeHBvcnQvVGlwbyBBbHRlcmFkby57UsOzdHVsbywxfSZxdW90OywmcXVvdDtTZWN0aW9uMS9Db2xldGFzRXhwb3J0L1RpcG8gQWx0ZXJhZG8ue1RpcG8gZGUgQ29sZXRhLDJ9JnF1b3Q7LCZxdW90O1NlY3Rpb24xL0NvbGV0YXNFeHBvcnQvVGlwbyBBbHRlcmFkby57UG9udG8gZGUgVmVuZGEsM30mcXVvdDssJnF1b3Q7U2VjdGlvbjEvQ29sZXRhc0V4cG9ydC9UaXBvIEFsdGVyYWRvLntDb2x1bW41LDR9JnF1b3Q7LCZxdW90O1NlY3Rpb24xL0NvbGV0YXNFeHBvcnQvVGlwbyBBbHRlcmFkby57QmFuZGVpcmEsNX0mcXVvdDssJnF1b3Q7U2VjdGlvbjEvQ29sZXRhc0V4cG9ydC9UaXBvIEFsdGVyYWRvLntDYW5hbCBkbyBQRFYsNn0mcXVvdDssJnF1b3Q7U2VjdGlvbjEvQ29sZXRhc0V4cG9ydC9UaXBvIEFsdGVyYWRvLntSZWdpb25hbCw3fSZxdW90OywmcXVvdDtTZWN0aW9uMS9Db2xldGFzRXhwb3J0L1RpcG8gQWx0ZXJhZG8ue0VzdGFkbyw4fSZxdW90OywmcXVvdDtTZWN0aW9uMS9Db2xldGFzRXhwb3J0L1RpcG8gQWx0ZXJhZG8ue1Jlc3BvbnPDoXZlbCw5fSZxdW90OywmcXVvdDtTZWN0aW9uMS9Db2xldGFzRXhwb3J0L1RpcG8gQWx0ZXJhZG8ue1BlcmZpbCBkZSBhY2Vzc28sMTB9JnF1b3Q7LCZxdW90O1NlY3Rpb24xL0NvbGV0YXNFeHBvcnQvVGlwbyBBbHRlcmFkby57Q29sYWJvcmFkb3IgU3VwZXJpb3IsMTF9JnF1b3Q7LCZxdW90O1NlY3Rpb24xL0NvbGV0YXNFeHBvcnQvVGlwbyBBbHRlcmFkby57RGF0YSBkZSBTb2xpY2l0YcOnw6NvLDEyfSZxdW90OywmcXVvdDtTZWN0aW9uMS9Db2xldGFzRXhwb3J0L1RpcG8gQWx0ZXJhZG8ue0RhdGEgZGUgQ29uY2x1c8OjbywxM30mcXVvdDssJnF1b3Q7U2VjdGlvbjEvQ29sZXRhc0V4cG9ydC9UaXBvIEFsdGVyYWRvLntEYXRhIGRlIEV4cGlyYcOnw6NvLDE0fSZxdW90OywmcXVvdDtTZWN0aW9uMS9Db2xldGFzRXhwb3J0L1RpcG8gQWx0ZXJhZG8ue1RlbXBvIGdhc3RvLDE1fSZxdW90OywmcXVvdDtTZWN0aW9uMS9Db2xldGFzRXhwb3J0L1RpcG8gQWx0ZXJhZG8ue1N0YXR1cywxNn0mcXVvdDssJnF1b3Q7U2VjdGlvbjEvQ29sZXRhc0V4cG9ydC9UaXBvIEFsdGVyYWRvLntBbsOhbGlzZSwxN30mcXVvdDssJnF1b3Q7U2VjdGlvbjEvQ29sZXRhc0V4cG9ydC9UaXBvIEFsdGVyYWRvLntVc3XDoXJpbyBBbsOhbGlzZSwxOH0mcXVvdDssJnF1b3Q7U2VjdGlvbjEvQ29sZXRhc0V4cG9ydC9UaXBvIEFsdGVyYWRvLntEYXRhIEFuw6FsaXNlLDE5fSZxdW90OywmcXVvdDtTZWN0aW9uMS9Db2xldGFzRXhwb3J0L1RpcG8gQWx0ZXJhZG8ue0p1c3RpZmljYWRhPywyMH0mcXVvdDssJnF1b3Q7U2VjdGlvbjEvQ29sZXRhc0V4cG9ydC9UaXBvIEFsdGVyYWRvLntKdXN0aWZpY2F0aXZhLDIxfSZxdW90OywmcXVvdDtTZWN0aW9uMS9Db2xldGFzRXhwb3J0L1RpcG8gQWx0ZXJhZG8ue1RvdGFsIGRlIEZvdG9zLDIyfSZxdW90OywmcXVvdDtTZWN0aW9uMS9Db2xldGFzRXhwb3J0L1RpcG8gQWx0ZXJhZG8ue1RvdGFsIGRlIEZvdG9zIFNpbmNyb25pemFkYXMsMjN9JnF1b3Q7LCZxdW90O1NlY3Rpb24xL0NvbGV0YXNFeHBvcnQvVGlwbyBBbHRlcmFkby57UGVyZmlsIGRvIFBEViwyNH0mcXVvdDssJnF1b3Q7U2VjdGlvbjEvQ29sZXRhc0V4cG9ydC9UaXBvIEFsdGVyYWRvLntDw7NkaWdvIGRvIFBEViwyNX0mcXVvdDtdLCZxdW90O0NvbHVtbkNvdW50JnF1b3Q7OjI2LCZxdW90O0tleUNvbHVtbk5hbWVzJnF1b3Q7OltdLCZxdW90O0NvbHVtbklkZW50aXRpZXMmcXVvdDs6WyZxdW90O1NlY3Rpb24xL0NvbGV0YXNFeHBvcnQvVGlwbyBBbHRlcmFkby57SWQsMH0mcXVvdDssJnF1b3Q7U2VjdGlvbjEvQ29sZXRhc0V4cG9ydC9UaXBvIEFsdGVyYWRvLntSw7N0dWxvLDF9JnF1b3Q7LCZxdW90O1NlY3Rpb24xL0NvbGV0YXNFeHBvcnQvVGlwbyBBbHRlcmFkby57VGlwbyBkZSBDb2xldGEsMn0mcXVvdDssJnF1b3Q7U2VjdGlvbjEvQ29sZXRhc0V4cG9ydC9UaXBvIEFsdGVyYWRvLntQb250byBkZSBWZW5kYSwzfSZxdW90OywmcXVvdDtTZWN0aW9uMS9Db2xldGFzRXhwb3J0L1RpcG8gQWx0ZXJhZG8ue0NvbHVtbjUsNH0mcXVvdDssJnF1b3Q7U2VjdGlvbjEvQ29sZXRhc0V4cG9ydC9UaXBvIEFsdGVyYWRvLntCYW5kZWlyYSw1fSZxdW90OywmcXVvdDtTZWN0aW9uMS9Db2xldGFzRXhwb3J0L1RpcG8gQWx0ZXJhZG8ue0NhbmFsIGRvIFBEViw2fSZxdW90OywmcXVvdDtTZWN0aW9uMS9Db2xldGFzRXhwb3J0L1RpcG8gQWx0ZXJhZG8ue1JlZ2lvbmFsLDd9JnF1b3Q7LCZxdW90O1NlY3Rpb24xL0NvbGV0YXNFeHBvcnQvVGlwbyBBbHRlcmFkby57RXN0YWRvLDh9JnF1b3Q7LCZxdW90O1NlY3Rpb24xL0NvbGV0YXNFeHBvcnQvVGlwbyBBbHRlcmFkby57UmVzcG9uc8OhdmVsLDl9JnF1b3Q7LCZxdW90O1NlY3Rpb24xL0NvbGV0YXNFeHBvcnQvVGlwbyBBbHRlcmFkby57UGVyZmlsIGRlIGFjZXNzbywxMH0mcXVvdDssJnF1b3Q7U2VjdGlvbjEvQ29sZXRhc0V4cG9ydC9UaXBvIEFsdGVyYWRvLntDb2xhYm9yYWRvciBTdXBlcmlvciwxMX0mcXVvdDssJnF1b3Q7U2VjdGlvbjEvQ29sZXRhc0V4cG9ydC9UaXBvIEFsdGVyYWRvLntEYXRhIGRlIFNvbGljaXRhw6fDo28sMTJ9JnF1b3Q7LCZxdW90O1NlY3Rpb24xL0NvbGV0YXNFeHBvcnQvVGlwbyBBbHRlcmFkby57RGF0YSBkZSBDb25jbHVzw6NvLDEzfSZxdW90OywmcXVvdDtTZWN0aW9uMS9Db2xldGFzRXhwb3J0L1RpcG8gQWx0ZXJhZG8ue0RhdGEgZGUgRXhwaXJhw6fDo28sMTR9JnF1b3Q7LCZxdW90O1NlY3Rpb24xL0NvbGV0YXNFeHBvcnQvVGlwbyBBbHRlcmFkby57VGVtcG8gZ2FzdG8sMTV9JnF1b3Q7LCZxdW90O1NlY3Rpb24xL0NvbGV0YXNFeHBvcnQvVGlwbyBBbHRlcmFkby57U3RhdHVzLDE2fSZxdW90OywmcXVvdDtTZWN0aW9uMS9Db2xldGFzRXhwb3J0L1RpcG8gQWx0ZXJhZG8ue0Fuw6FsaXNlLDE3fSZxdW90OywmcXVvdDtTZWN0aW9uMS9Db2xldGFzRXhwb3J0L1RpcG8gQWx0ZXJhZG8ue1VzdcOhcmlvIEFuw6FsaXNlLDE4fSZxdW90OywmcXVvdDtTZWN0aW9uMS9Db2xldGFzRXhwb3J0L1RpcG8gQWx0ZXJhZG8ue0RhdGEgQW7DoWxpc2UsMTl9JnF1b3Q7LCZxdW90O1NlY3Rpb24xL0NvbGV0YXNFeHBvcnQvVGlwbyBBbHRlcmFkby57SnVzdGlmaWNhZGE/LDIwfSZxdW90OywmcXVvdDtTZWN0aW9uMS9Db2xldGFzRXhwb3J0L1RpcG8gQWx0ZXJhZG8ue0p1c3RpZmljYXRpdmEsMjF9JnF1b3Q7LCZxdW90O1NlY3Rpb24xL0NvbGV0YXNFeHBvcnQvVGlwbyBBbHRlcmFkby57VG90YWwgZGUgRm90b3MsMjJ9JnF1b3Q7LCZxdW90O1NlY3Rpb24xL0NvbGV0YXNFeHBvcnQvVGlwbyBBbHRlcmFkby57VG90YWwgZGUgRm90b3MgU2luY3Jvbml6YWRhcywyM30mcXVvdDssJnF1b3Q7U2VjdGlvbjEvQ29sZXRhc0V4cG9ydC9UaXBvIEFsdGVyYWRvLntQZXJmaWwgZG8gUERWLDI0fSZxdW90OywmcXVvdDtTZWN0aW9uMS9Db2xldGFzRXhwb3J0L1RpcG8gQWx0ZXJhZG8ue0PDs2RpZ28gZG8gUERWLDI1fSZxdW90O10sJnF1b3Q7UmVsYXRpb25zaGlwSW5mbyZxdW90OzpbXX0iIC8+PC9TdGFibGVFbnRyaWVzPjwvSXRlbT48SXRlbT48SXRlbUxvY2F0aW9uPjxJdGVtVHlwZT5Gb3JtdWxhPC9JdGVtVHlwZT48SXRlbVBhdGg+U2VjdGlvbjEvaG9qZTEyJTIwMzI2JTIwc3AlMjAoMik8L0l0ZW1QYXRoPjwvSXRlbUxvY2F0aW9uPjxTdGFibGVFbnRyaWVzPjxFbnRyeSBUeXBlPSJCdWZmZXJOZXh0UmVmcmVzaCIgVmFsdWU9ImwwIiAvPjxFbnRyeSBUeXBlPSJGaWxsRW5hYmxlZCIgVmFsdWU9ImwwIiAvPjxFbnRyeSBUeXBlPSJGaWxsZWRDb21wbGV0ZVJlc3VsdFRvV29ya3NoZWV0IiBWYWx1ZT0ibDAiIC8+PEVudHJ5IFR5cGU9IkZpbGxUb0RhdGFNb2RlbEVuYWJsZWQiIFZhbHVlPSJsMSIgLz48RW50cnkgVHlwZT0iSXNQcml2YXRlIiBWYWx1ZT0ibDAiIC8+PEVudHJ5IFR5cGU9IlF1ZXJ5SUQiIFZhbHVlPSJzZjY4NjU0OTgtNjgzZi00ZGU0LTllYTEtYjUwNDg1NTYwY2E2IiAvPjxFbnRyeSBUeXBlPSJSZXN1bHRUeXBlIiBWYWx1ZT0ic1RhYmxlIiAvPjxFbnRyeSBUeXBlPSJOYXZpZ2F0aW9uU3RlcE5hbWUiIFZhbHVlPSJzTmF2ZWdhw6fDo28iIC8+PEVudHJ5IFR5cGU9IkZpbGxPYmplY3RUeXBlIiBWYWx1ZT0ic0Nvbm5lY3Rpb25Pbmx5IiAvPjxFbnRyeSBUeXBlPSJOYW1lVXBkYXRlZEFmdGVyRmlsbCIgVmFsdWU9ImwwIiAvPjxFbnRyeSBUeXBlPSJGaWxsTGFzdFVwZGF0ZWQiIFZhbHVlPSJkMjAyNi0wOC0wNVQxMjozNTozNy4zMzUwODMwWiIgLz48RW50cnkgVHlwZT0iRmlsbENvbHVtblR5cGVzIiBWYWx1ZT0ic0JRWURCUVlHQmdVR0VRWUpDUVlEQmdZRkJnPT0iIC8+PEVudHJ5IFR5cGU9IkZpbGxDb2x1bW5OYW1lcyIgVmFsdWU9InNbJnF1b3Q7TsK6IFBlZGlkbyZxdW90OywmcXVvdDtSYXphbyBTb2NpYWwmcXVvdDssJnF1b3Q7Q05QSiZxdW90OywmcXVvdDtNYXJnZW0mcXVvdDssJnF1b3Q7VHAgVmVuZGEmcXVvdDssJnF1b3Q7UG9ydGFkb3ImcXVvdDssJnF1b3Q7TGlzdGEmcXVvdDssJnF1b3Q7U2FsZG8gRE1DJnF1b3Q7LCZxdW90O1Ryb2NhcyZxdW90OywmcXVvdDtWYWxvciBQZWRpZG8mcXVvdDssJnF1b3Q7UHJhem9zIFBlZC4mcXVvdDssJnF1b3Q7RGF0YSBEaWcuIFBlZC4mcXVvdDssJnF1b3Q7RGF0YSBJbXAuIFBlZC4mcXVvdDssJnF1b3Q7UGVkLiBCcm9rZXImcXVvdDssJnF1b3Q7VmVuZGVkb3IgUkNBJnF1b3Q7LCZxdW90O1VzdWFyaW8mcXVvdDssJnF1b3Q7UmVnJnF1b3Q7LCZxdW90O1F0ZCBDWCZxdW90OywmcXVvdDtDaWRhZGUmcXVvdDtdIiAvPjxFbnRyeSBUeXBlPSJGaWxsRXJyb3JDb3VudCIgVmFsdWU9ImwxMDYiIC8+PEVudHJ5IFR5cGU9IkZpbGxFcnJvckNvZGUiIFZhbHVlPSJzVW5rbm93biIgLz48RW50cnkgVHlwZT0iRmlsbFN0YXR1cyIgVmFsdWU9InNDb21wbGV0ZSIgLz48RW50cnkgVHlwZT0iRmlsbENvdW50IiBWYWx1ZT0ibDEwNiIgLz48RW50cnkgVHlwZT0iQWRkZWRUb0RhdGFNb2RlbCIgVmFsdWU9ImwxIiAvPjxFbnRyeSBUeXBlPSJSZWxhdGlvbnNoaXBJbmZvQ29udGFpbmVyIiBWYWx1ZT0ic3smcXVvdDtjb2x1bW5Db3VudCZxdW90OzoxOSwmcXVvdDtrZXlDb2x1bW5OYW1lcyZxdW90OzpbXSwmcXVvdDtxdWVyeVJlbGF0aW9uc2hpcHMmcXVvdDs6W10sJnF1b3Q7Y29sdW1uSWRlbnRpdGllcyZxdW90OzpbJnF1b3Q7U2VjdGlvbjEvaG9qZTEyIDMyNiBzcCAoMikvRXJyb3MgUmVtb3ZpZG9zMi57TsK6IFBlZGlkbywyfSZxdW90OywmcXVvdDtTZWN0aW9uMS9ob2plMTIgMzI2IHNwICgyKS9FcnJvcyBSZW1vdmlkb3MyLntSYXphbyBTb2NpYWwsM30mcXVvdDssJnF1b3Q7U2VjdGlvbjEvaG9qZTEyIDMyNiBzcCAoMikvRXJyb3MgUmVtb3ZpZG9zMi57Q05QSiw0fSZxdW90OywmcXVvdDtTZWN0aW9uMS9ob2plMTIgMzI2IHNwICgyKS9UaXBvIEFsdGVyYWRvMjIue01hcmdlbSwzfSZxdW90OywmcXVvdDtTZWN0aW9uMS9ob2plMTIgMzI2IHNwICgyKS9FcnJvcyBSZW1vdmlkb3MyLntUcCBWZW5kYSw2fSZxdW90OywmcXVvdDtTZWN0aW9uMS9ob2plMTIgMzI2IHNwICgyKS9FcnJvcyBSZW1vdmlkb3MyLntQb3J0YWRvciw3fSZxdW90OywmcXVvdDtTZWN0aW9uMS9ob2plMTIgMzI2IHNwICgyKS9FcnJvcyBSZW1vdmlkb3MyLntMaXN0YSw4fSZxdW90OywmcXVvdDtTZWN0aW9uMS9ob2plMTIgMzI2IHNwICgyKS9UaXBvIEFsdGVyYWRvMjIue1NhbGRvIERNQyw3fSZxdW90OywmcXVvdDtTZWN0aW9uMS9ob2plMTIgMzI2IHNwICgyKS9FcnJvcyBSZW1vdmlkb3MyLntUcm9jYXMsMTB9JnF1b3Q7LCZxdW90O1NlY3Rpb24xL2hvamUxMiAzMjYgc3AgKDIpL1RpcG8gQWx0ZXJhZG8yMi57VmFsb3IgUGVkaWRvLDl9JnF1b3Q7LCZxdW90O1NlY3Rpb24xL2hvamUxMiAzMjYgc3AgKDIpL0Vycm9zIFJlbW92aWRvczIue1ByYXpvcyBQZWQuLDEyfSZxdW90OywmcXVvdDtTZWN0aW9uMS9ob2plMTIgMzI2IHNwICgyKS9UaXBvIEFsdGVyYWRvMjIue0RhdGEgRGlnLiBQZWQuLDExfSZxdW90OywmcXVvdDtTZWN0aW9uMS9ob2plMTIgMzI2IHNwICgyKS9UaXBvIEFsdGVyYWRvMjIue0RhdGEgSW1wLiBQZWQuLDEyfSZxdW90OywmcXVvdDtTZWN0aW9uMS9ob2plMTIgMzI2IHNwICgyKS9FcnJvcyBSZW1vdmlkb3MyLntQZWQuIEJyb2tlciwxNX0mcXVvdDssJnF1b3Q7U2VjdGlvbjEvaG9qZTEyIDMyNiBzcCAoMikvRXJyb3MgUmVtb3ZpZG9zMi57VmVuZGVkb3IgUkNBLDE2fSZxdW90OywmcXVvdDtTZWN0aW9uMS9ob2plMTIgMzI2IHNwICgyKS9FcnJvcyBSZW1vdmlkb3MyLntVc3VhcmlvLDE3fSZxdW90OywmcXVvdDtTZWN0aW9uMS9ob2plMTIgMzI2IHNwICgyKS9FcnJvcyBSZW1vdmlkb3MyLntSZWcsMTh9JnF1b3Q7LCZxdW90O1NlY3Rpb24xL2hvamUxMiAzMjYgc3AgKDIpL0Vycm9zIFJlbW92aWRvczIue1F0ZCBDWCwxOX0mcXVvdDssJnF1b3Q7U2VjdGlvbjEvaG9qZTEyIDMyNiBzcCAoMikvRXJyb3MgUmVtb3ZpZG9zMi57Q2lkYWRlLDIwfSZxdW90O10sJnF1b3Q7Q29sdW1uQ291bnQmcXVvdDs6MTksJnF1b3Q7S2V5Q29sdW1uTmFtZXMmcXVvdDs6W10sJnF1b3Q7Q29sdW1uSWRlbnRpdGllcyZxdW90OzpbJnF1b3Q7U2VjdGlvbjEvaG9qZTEyIDMyNiBzcCAoMikvRXJyb3MgUmVtb3ZpZG9zMi57TsK6IFBlZGlkbywyfSZxdW90OywmcXVvdDtTZWN0aW9uMS9ob2plMTIgMzI2IHNwICgyKS9FcnJvcyBSZW1vdmlkb3MyLntSYXphbyBTb2NpYWwsM30mcXVvdDssJnF1b3Q7U2VjdGlvbjEvaG9qZTEyIDMyNiBzcCAoMikvRXJyb3MgUmVtb3ZpZG9zMi57Q05QSiw0fSZxdW90OywmcXVvdDtTZWN0aW9uMS9ob2plMTIgMzI2IHNwICgyKS9UaXBvIEFsdGVyYWRvMjIue01hcmdlbSwzfSZxdW90OywmcXVvdDtTZWN0aW9uMS9ob2plMTIgMzI2IHNwICgyKS9FcnJvcyBSZW1vdmlkb3MyLntUcCBWZW5kYSw2fSZxdW90OywmcXVvdDtTZWN0aW9uMS9ob2plMTIgMzI2IHNwICgyKS9FcnJvcyBSZW1vdmlkb3MyLntQb3J0YWRvciw3fSZxdW90OywmcXVvdDtTZWN0aW9uMS9ob2plMTIgMzI2IHNwICgyKS9FcnJvcyBSZW1vdmlkb3MyLntMaXN0YSw4fSZxdW90OywmcXVvdDtTZWN0aW9uMS9ob2plMTIgMzI2IHNwICgyKS9UaXBvIEFsdGVyYWRvMjIue1NhbGRvIERNQyw3fSZxdW90OywmcXVvdDtTZWN0aW9uMS9ob2plMTIgMzI2IHNwICgyKS9FcnJvcyBSZW1vdmlkb3MyLntUcm9jYXMsMTB9JnF1b3Q7LCZxdW90O1NlY3Rpb24xL2hvamUxMiAzMjYgc3AgKDIpL1RpcG8gQWx0ZXJhZG8yMi57VmFsb3IgUGVkaWRvLDl9JnF1b3Q7LCZxdW90O1NlY3Rpb24xL2hvamUxMiAzMjYgc3AgKDIpL0Vycm9zIFJlbW92aWRvczIue1ByYXpvcyBQZWQuLDEyfSZxdW90OywmcXVvdDtTZWN0aW9uMS9ob2plMTIgMzI2IHNwICgyKS9UaXBvIEFsdGVyYWRvMjIue0RhdGEgRGlnLiBQZWQuLDExfSZxdW90OywmcXVvdDtTZWN0aW9uMS9ob2plMTIgMzI2IHNwICgyKS9UaXBvIEFsdGVyYWRvMjIue0RhdGEgSW1wLiBQZWQuLDEyfSZxdW90OywmcXVvdDtTZWN0aW9uMS9ob2plMTIgMzI2IHNwICgyKS9FcnJvcyBSZW1vdmlkb3MyLntQZWQuIEJyb2tlciwxNX0mcXVvdDssJnF1b3Q7U2VjdGlvbjEvaG9qZTEyIDMyNiBzcCAoMikvRXJyb3MgUmVtb3ZpZG9zMi57VmVuZGVkb3IgUkNBLDE2fSZxdW90OywmcXVvdDtTZWN0aW9uMS9ob2plMTIgMzI2IHNwICgyKS9FcnJvcyBSZW1vdmlkb3MyLntVc3VhcmlvLDE3fSZxdW90OywmcXVvdDtTZWN0aW9uMS9ob2plMTIgMzI2IHNwICgyKS9FcnJvcyBSZW1vdmlkb3MyLntSZWcsMTh9JnF1b3Q7LCZxdW90O1NlY3Rpb24xL2hvamUxMiAzMjYgc3AgKDIpL0Vycm9zIFJlbW92aWRvczIue1F0ZCBDWCwxOX0mcXVvdDssJnF1b3Q7U2VjdGlvbjEvaG9qZTEyIDMyNiBzcCAoMikvRXJyb3MgUmVtb3ZpZG9zMi57Q2lkYWRlLDIwfSZxdW90O10sJnF1b3Q7UmVsYXRpb25zaGlwSW5mbyZxdW90OzpbXX0iIC8+PC9TdGFibGVFbnRyaWVzPjwvSXRlbT48SXRlbT48SXRlbUxvY2F0aW9uPjxJdGVtVHlwZT5Gb3JtdWxhPC9JdGVtVHlwZT48SXRlbVBhdGg+U2VjdGlvbjEvaG9qZTEyJTIwMzI2JTIwYW5hJTIwKDIpPC9JdGVtUGF0aD48L0l0ZW1Mb2NhdGlvbj48U3RhYmxlRW50cmllcz48RW50cnkgVHlwZT0iQnVmZmVyTmV4dFJlZnJlc2giIFZhbHVlPSJsMSIgLz48RW50cnkgVHlwZT0iRmlsbEVuYWJsZWQiIFZhbHVlPSJsMCIgLz48RW50cnkgVHlwZT0iRmlsbGVkQ29tcGxldGVSZXN1bHRUb1dvcmtzaGVldCIgVmFsdWU9ImwxIiAvPjxFbnRyeSBUeXBlPSJGaWxsVG9EYXRhTW9kZWxFbmFibGVkIiBWYWx1ZT0ibDAiIC8+PEVudHJ5IFR5cGU9IklzUHJpdmF0ZSIgVmFsdWU9ImwwIiAvPjxFbnRyeSBUeXBlPSJRdWVyeUlEIiBWYWx1ZT0ic2NmZDY5NDU0LTJjOWUtNGRkMS04MzhiLTg3YjQxZTE3YTI0NyIgLz48RW50cnkgVHlwZT0iUmVjb3ZlcnlUYXJnZXRDb2x1bW4iIFZhbHVlPSJsMSIgLz48RW50cnkgVHlwZT0iUmVjb3ZlcnlUYXJnZXRSb3ciIFZhbHVlPSJsMSIgLz48RW50cnkgVHlwZT0iUmVjb3ZlcnlUYXJnZXRTaGVldCIgVmFsdWU9InNQbGFuaWxoYTIiIC8+PEVudHJ5IFR5cGU9IlJlc3VsdFR5cGUiIFZhbHVlPSJzVGFibGUiIC8+PEVudHJ5IFR5cGU9Ik5hdmlnYXRpb25TdGVwTmFtZSIgVmFsdWU9InNOYXZlZ2HDp8OjbyIgLz48RW50cnkgVHlwZT0iRmlsbE9iamVjdFR5cGUiIFZhbHVlPSJzQ29ubmVjdGlvbk9ubHkiIC8+PEVudHJ5IFR5cGU9Ik5hbWVVcGRhdGVkQWZ0ZXJGaWxsIiBWYWx1ZT0ibDAiIC8+PEVudHJ5IFR5cGU9IkZpbGxMYXN0VXBkYXRlZCIgVmFsdWU9ImQyMDI2LTA4LTA1VDEyOjM1OjQ4Ljg0ODY5MDZaIiAvPjxFbnRyeSBUeXBlPSJGaWxsQ29sdW1uVHlwZXMiIFZhbHVlPSJzQXdZUkVRVVJCZ1lHQmdNRCIgLz48RW50cnkgVHlwZT0iRmlsbENvbHVtbk5hbWVzIiBWYWx1ZT0ic1smcXVvdDtDb2QgUHJvZCZxdW90OywmcXVvdDtEZXNjIFByb2QmcXVvdDssJnF1b3Q7VG90YWwgVmxyJnF1b3Q7LCZxdW90O0Rlc2MgJCZxdW90OywmcXVvdDtRdGRlJnF1b3Q7LCZxdW90O1ZsciBVbmQmcXVvdDssJnF1b3Q7JUQuTWF4aSZxdW90OywmcXVvdDslRC5QZWRpZG8mcXVvdDssJnF1b3Q7JURNJnF1b3Q7LCZxdW90O0RpZiAkJnF1b3Q7LCZxdW90O07CuiBQZWRpZG8mcXVvdDssJnF1b3Q7UmVwJnF1b3Q7XSIgLz48RW50cnkgVHlwZT0iRmlsbEVycm9yQ291bnQiIFZhbHVlPSJsMCIgLz48RW50cnkgVHlwZT0iRmlsbEVycm9yQ29kZSIgVmFsdWU9InNVbmtub3duIiAvPjxFbnRyeSBUeXBlPSJGaWxsU3RhdHVzIiBWYWx1ZT0ic0NvbXBsZXRlIiAvPjxFbnRyeSBUeXBlPSJGaWxsQ291bnQiIFZhbHVlPSJsNDY4IiAvPjxFbnRyeSBUeXBlPSJBZGRlZFRvRGF0YU1vZGVsIiBWYWx1ZT0ibDAiIC8+PEVudHJ5IFR5cGU9IlJlbGF0aW9uc2hpcEluZm9Db250YWluZXIiIFZhbHVlPSJzeyZxdW90O2NvbHVtbkNvdW50JnF1b3Q7OjEyLCZxdW90O2tleUNvbHVtbk5hbWVzJnF1b3Q7OltdLCZxdW90O3F1ZXJ5UmVsYXRpb25zaGlwcyZxdW90OzpbXSwmcXVvdDtjb2x1bW5JZGVudGl0aWVzJnF1b3Q7OlsmcXVvdDtTZWN0aW9uMS9ob2plMTIgMzI2IGFuYSAoMikvRXJyb3MgUmVtb3ZpZG9zMS57Q29sdW1uMS4xLDB9JnF1b3Q7LCZxdW90O1NlY3Rpb24xL2hvamUxMiAzMjYgYW5hICgyKS9FcnJvcyBSZW1vdmlkb3MxLntDb2x1bW4xLjIuMSwxfSZxdW90OywmcXVvdDtTZWN0aW9uMS9ob2plMTIgMzI2IGFuYSAoMikvRXJyb3MgUmVtb3ZpZG9zMS57Q29sdW1uMS4yLjIuMSwyfSZxdW90OywmcXVvdDtTZWN0aW9uMS9ob2plMTIgMzI2IGFuYSAoMikvRXJyb3MgUmVtb3ZpZG9zMS57Q29sdW1uMS4yLjIuMi4xLDN9JnF1b3Q7LCZxdW90O1NlY3Rpb24xL2hvamUxMiAzMjYgYW5hICgyKS9FcnJvcyBSZW1vdmlkb3MxLntDb2x1bW4xLjIuMi4yLjIuMSw0fSZxdW90OywmcXVvdDtTZWN0aW9uMS9ob2plMTIgMzI2IGFuYSAoMikvRXJyb3MgUmVtb3ZpZG9zMS57Q29sdW1uMS4yLjIuMi4yLjIuMSw1fSZxdW90OywmcXVvdDtTZWN0aW9uMS9ob2plMTIgMzI2IGFuYSAoMikvRXJyb3MgUmVtb3ZpZG9zMS57Q29sdW1uMS4yLjIuMi4yLjIuMi4xLDZ9JnF1b3Q7LCZxdW90O1NlY3Rpb24xL2hvamUxMiAzMjYgYW5hICgyKS9FcnJvcyBSZW1vdmlkb3MxLntDb2x1bW4xLjIuMi4yLjIuMi4yLjIuMSw3fSZxdW90OywmcXVvdDtTZWN0aW9uMS9ob2plMTIgMzI2IGFuYSAoMikvRXJyb3MgUmVtb3ZpZG9zMS57Q29sdW1uMS4yLjIuMi4yLjIuMi4yLjIuMSw4fSZxdW90OywmcXVvdDtTZWN0aW9uMS9ob2plMTIgMzI2IGFuYSAoMikvRXJyb3MgUmVtb3ZpZG9zMS57Q29sdW1uMS4yLjIuMi4yLjIuMi4yLjIuMi4xLDl9JnF1b3Q7LCZxdW90O1NlY3Rpb24xL2hvamUxMiAzMjYgYW5hICgyKS9FcnJvcyBSZW1vdmlkb3MxLntDb2x1bW4xLjIuMi4yLjIuMi4yLjIuMi4yLjIuMSwxMH0mcXVvdDssJnF1b3Q7U2VjdGlvbjEvaG9qZTEyIDMyNiBhbmEgKDIpL0Vycm9zIFJlbW92aWRvczEue0NvbHVtbjEuMi4yLjIuMi4yLjIuMi4yLjIuMi4yLjEsMTF9JnF1b3Q7XSwmcXVvdDtDb2x1bW5Db3VudCZxdW90OzoxMiwmcXVvdDtLZXlDb2x1bW5OYW1lcyZxdW90OzpbXSwmcXVvdDtDb2x1bW5JZGVudGl0aWVzJnF1b3Q7OlsmcXVvdDtTZWN0aW9uMS9ob2plMTIgMzI2IGFuYSAoMikvRXJyb3MgUmVtb3ZpZG9zMS57Q29sdW1uMS4xLDB9JnF1b3Q7LCZxdW90O1NlY3Rpb24xL2hvamUxMiAzMjYgYW5hICgyKS9FcnJvcyBSZW1vdmlkb3MxLntDb2x1bW4xLjIuMSwxfSZxdW90OywmcXVvdDtTZWN0aW9uMS9ob2plMTIgMzI2IGFuYSAoMikvRXJyb3MgUmVtb3ZpZG9zMS57Q29sdW1uMS4yLjIuMSwyfSZxdW90OywmcXVvdDtTZWN0aW9uMS9ob2plMTIgMzI2IGFuYSAoMikvRXJyb3MgUmVtb3ZpZG9zMS57Q29sdW1uMS4yLjIuMi4xLDN9JnF1b3Q7LCZxdW90O1NlY3Rpb24xL2hvamUxMiAzMjYgYW5hICgyKS9FcnJvcyBSZW1vdmlkb3MxLntDb2x1bW4xLjIuMi4yLjIuMSw0fSZxdW90OywmcXVvdDtTZWN0aW9uMS9ob2plMTIgMzI2IGFuYSAoMikvRXJyb3MgUmVtb3ZpZG9zMS57Q29sdW1uMS4yLjIuMi4yLjIuMSw1fSZxdW90OywmcXVvdDtTZWN0aW9uMS9ob2plMTIgMzI2IGFuYSAoMikvRXJyb3MgUmVtb3ZpZG9zMS57Q29sdW1uMS4yLjIuMi4yLjIuMi4xLDZ9JnF1b3Q7LCZxdW90O1NlY3Rpb24xL2hvamUxMiAzMjYgYW5hICgyKS9FcnJvcyBSZW1vdmlkb3MxLntDb2x1bW4xLjIuMi4yLjIuMi4yLjIuMSw3fSZxdW90OywmcXVvdDtTZWN0aW9uMS9ob2plMTIgMzI2IGFuYSAoMikvRXJyb3MgUmVtb3ZpZG9zMS57Q29sdW1uMS4yLjIuMi4yLjIuMi4yLjIuMSw4fSZxdW90OywmcXVvdDtTZWN0aW9uMS9ob2plMTIgMzI2IGFuYSAoMikvRXJyb3MgUmVtb3ZpZG9zMS57Q29sdW1uMS4yLjIuMi4yLjIuMi4yLjIuMi4xLDl9JnF1b3Q7LCZxdW90O1NlY3Rpb24xL2hvamUxMiAzMjYgYW5hICgyKS9FcnJvcyBSZW1vdmlkb3MxLntDb2x1bW4xLjIuMi4yLjIuMi4yLjIuMi4yLjIuMSwxMH0mcXVvdDssJnF1b3Q7U2VjdGlvbjEvaG9qZTEyIDMyNiBhbmEgKDIpL0Vycm9zIFJlbW92aWRvczEue0NvbHVtbjEuMi4yLjIuMi4yLjIuMi4yLjIuMi4yLjEsMTF9JnF1b3Q7XSwmcXVvdDtSZWxhdGlvbnNoaXBJbmZvJnF1b3Q7OltdfSIgLz48L1N0YWJsZUVudHJpZXM+PC9JdGVtPjxJdGVtPjxJdGVtTG9jYXRpb24+PEl0ZW1UeXBlPkZvcm11bGE8L0l0ZW1UeXBlPjxJdGVtUGF0aD5TZWN0aW9uMS9ob2plMTIlMjAzMjYlMjBzcCUyMCgzKTwvSXRlbVBhdGg+PC9JdGVtTG9jYXRpb24+PFN0YWJsZUVudHJpZXM+PEVudHJ5IFR5cGU9IkJ1ZmZlck5leHRSZWZyZXNoIiBWYWx1ZT0ibDAiIC8+PEVudHJ5IFR5cGU9IkZpbGxFbmFibGVkIiBWYWx1ZT0ibDEiIC8+PEVudHJ5IFR5cGU9IkZpbGxlZENvbXBsZXRlUmVzdWx0VG9Xb3Jrc2hlZXQiIFZhbHVlPSJsMSIgLz48RW50cnkgVHlwZT0iRmlsbFRvRGF0YU1vZGVsRW5hYmxlZCIgVmFsdWU9ImwxIiAvPjxFbnRyeSBUeXBlPSJJc1ByaXZhdGUiIFZhbHVlPSJsMCIgLz48RW50cnkgVHlwZT0iUXVlcnlJRCIgVmFsdWU9InNiMjYxZTdjNC1kYmQ3LTRhNGYtYjMwMy04MjQ5ZGQ0OGMxZWYiIC8+PEVudHJ5IFR5cGU9IlJlc3VsdFR5cGUiIFZhbHVlPSJzVGFibGUiIC8+PEVudHJ5IFR5cGU9Ik5hdmlnYXRpb25TdGVwTmFtZSIgVmFsdWU9InNOYXZlZ2HDp8OjbyIgLz48RW50cnkgVHlwZT0iRmlsbE9iamVjdFR5cGUiIFZhbHVlPSJzVGFibGUiIC8+PEVudHJ5IFR5cGU9Ik5hbWVVcGRhdGVkQWZ0ZXJGaWxsIiBWYWx1ZT0ibDAiIC8+PEVudHJ5IFR5cGU9IkZpbGxUYXJnZXQiIFZhbHVlPSJzaG9qZTEyXzMyNl9zcDgiIC8+PEVudHJ5IFR5cGU9IkZpbGxMYXN0VXBkYXRlZCIgVmFsdWU9ImQyMDI2LTA4LTA1VDEyOjM1OjM3LjM0Mzc3MDJaIiAvPjxFbnRyeSBUeXBlPSJGaWxsQ29sdW1uVHlwZXMiIFZhbHVlPSJzQlFZRkJnWUdCZ1lHRVFZR0JnWUdCUVlHQmdZRyIgLz48RW50cnkgVHlwZT0iRmlsbENvbHVtbk5hbWVzIiBWYWx1ZT0ic1smcXVvdDtQRURJRE8mcXVvdDssJnF1b3Q7UkFaw4NPJnF1b3Q7LCZxdW90O0NOUEomcXVvdDssJnF1b3Q7TUFSR0VNJnF1b3Q7LCZxdW90O0NGT1AmcXVvdDssJnF1b3Q7UE9SVEFET1ImcXVvdDssJnF1b3Q7TElTVEEmcXVvdDssJnF1b3Q7U0FMRE8gRE1DJnF1b3Q7LCZxdW90O1RST0NBUyZxdW90OywmcXVvdDtUT1RBTCBQRURJRE8mcXVvdDssJnF1b3Q7UFJBWk9TJnF1b3Q7LCZxdW90O1NJVFVBw4fDg08mcXVvdDssJnF1b3Q7RElHIElNUCZxdW90OywmcXVvdDtQUk9HUkFNQURPJnF1b3Q7LCZxdW90O1AuQlJVVE8mcXVvdDssJnF1b3Q7U0VUT1ImcXVvdDssJnF1b3Q7VVNVQVJJTyZxdW90OywmcXVvdDtSRUcmcXVvdDssJnF1b3Q7UVREIENYJnF1b3Q7LCZxdW90O0NJREFERSZxdW90OywmcXVvdDtNT1YmcXVvdDtdIiAvPjxFbnRyeSBUeXBlPSJGaWxsRXJyb3JDb3VudCIgVmFsdWU9ImwwIiAvPjxFbnRyeSBUeXBlPSJGaWxsRXJyb3JDb2RlIiBWYWx1ZT0ic1Vua25vd24iIC8+PEVudHJ5IFR5cGU9IkZpbGxTdGF0dXMiIFZhbHVlPSJzQ29tcGxldGUiIC8+PEVudHJ5IFR5cGU9IkZpbGxDb3VudCIgVmFsdWU9ImwxMDYiIC8+PEVudHJ5IFR5cGU9IkFkZGVkVG9EYXRhTW9kZWwiIFZhbHVlPSJsMSIgLz48RW50cnkgVHlwZT0iUmVsYXRpb25zaGlwSW5mb0NvbnRhaW5lciIgVmFsdWU9InN7JnF1b3Q7Y29sdW1uQ291bnQmcXVvdDs6MjEsJnF1b3Q7a2V5Q29sdW1uTmFtZXMmcXVvdDs6W10sJnF1b3Q7cXVlcnlSZWxhdGlvbnNoaXBzJnF1b3Q7OltdLCZxdW90O2NvbHVtbklkZW50aXRpZXMmcXVvdDs6WyZxdW90O1NlY3Rpb24xL2hvamUxMiAzMjYgc3AgKDMpL0Vycm9zIFJlbW92aWRvcy57UEVESURPLDB9JnF1b3Q7LCZxdW90O1NlY3Rpb24xL2hvamUxMiAzMjYgc3AgKDMpL0Vycm9zIFJlbW92aWRvcy57UkFaw4NPLDF9JnF1b3Q7LCZxdW90O1NlY3Rpb24xL2hvamUxMiAzMjYgc3AgKDMpL0Vycm9zIFJlbW92aWRvcy57Q05QSiwyfSZxdW90OywmcXVvdDtTZWN0aW9uMS9ob2plMTIgMzI2IHNwICgzKS9FcnJvcyBSZW1vdmlkb3Mue01BUkdFTSwzfSZxdW90OywmcXVvdDtTZWN0aW9uMS9ob2plMTIgMzI2IHNwICgzKS9FcnJvcyBSZW1vdmlkb3Mue0NGT1AsNH0mcXVvdDssJnF1b3Q7U2VjdGlvbjEvaG9qZTEyIDMyNiBzcCAoMykvRXJyb3MgUmVtb3ZpZG9zLntQT1JUQURPUiw1fSZxdW90OywmcXVvdDtTZWN0aW9uMS9ob2plMTIgMzI2IHNwICgzKS9FcnJvcyBSZW1vdmlkb3Mue0xJU1RBLDZ9JnF1b3Q7LCZxdW90O1NlY3Rpb24xL2hvamUxMiAzMjYgc3AgKDMpL0Vycm9zIFJlbW92aWRvcy57U0FMRE8gRE1DLDd9JnF1b3Q7LCZxdW90O1NlY3Rpb24xL2hvamUxMiAzMjYgc3AgKDMpL0Vycm9zIFJlbW92aWRvcy57VFJPQ0FTLDh9JnF1b3Q7LCZxdW90O1NlY3Rpb24xL2hvamUxMiAzMjYgc3AgKDMpL0Vycm9zIFJlbW92aWRvcy57VE9UQUwgUEVESURPLDl9JnF1b3Q7LCZxdW90O1NlY3Rpb24xL2hvamUxMiAzMjYgc3AgKDMpL0Vycm9zIFJlbW92aWRvcy57UFJBWk9TLDEwfSZxdW90OywmcXVvdDtTZWN0aW9uMS9ob2plMTIgMzI2IHNwICgzKS9FcnJvcyBSZW1vdmlkb3Mue1NJVFVBw4fDg08sMTF9JnF1b3Q7LCZxdW90O1NlY3Rpb24xL2hvamUxMiAzMjYgc3AgKDMpL0Vycm9zIFJlbW92aWRvcy57RElHIElNUCwxMn0mcXVvdDssJnF1b3Q7U2VjdGlvbjEvaG9qZTEyIDMyNiBzcCAoMykvRXJyb3MgUmVtb3ZpZG9zLntQUk9HUkFNQURPLDEzfSZxdW90OywmcXVvdDtTZWN0aW9uMS9ob2plMTIgMzI2IHNwICgzKS9FcnJvcyBSZW1vdmlkb3Mue1AuQlJVVE8sMTR9JnF1b3Q7LCZxdW90O1NlY3Rpb24xL2hvamUxMiAzMjYgc3AgKDMpL0Vycm9zIFJlbW92aWRvcy57U0VUT1IsMTV9JnF1b3Q7LCZxdW90O1NlY3Rpb24xL2hvamUxMiAzMjYgc3AgKDMpL0Vycm9zIFJlbW92aWRvcy57VVNVQVJJTywxNn0mcXVvdDssJnF1b3Q7U2VjdGlvbjEvaG9qZTEyIDMyNiBzcCAoMykvRXJyb3MgUmVtb3ZpZG9zLntSRUcsMTd9JnF1b3Q7LCZxdW90O1NlY3Rpb24xL2hvamUxMiAzMjYgc3AgKDMpL0Vycm9zIFJlbW92aWRvcy57UVREIENYLDE4fSZxdW90OywmcXVvdDtTZWN0aW9uMS9ob2plMTIgMzI2IHNwICgzKS9FcnJvcyBSZW1vdmlkb3Mue0NJREFERSwxOX0mcXVvdDssJnF1b3Q7U2VjdGlvbjEvaG9qZTEyIDMyNiBzcCAoMykvRXJyb3MgUmVtb3ZpZG9zLntNT1YsMjB9JnF1b3Q7XSwmcXVvdDtDb2x1bW5Db3VudCZxdW90OzoyMSwmcXVvdDtLZXlDb2x1bW5OYW1lcyZxdW90OzpbXSwmcXVvdDtDb2x1bW5JZGVudGl0aWVzJnF1b3Q7OlsmcXVvdDtTZWN0aW9uMS9ob2plMTIgMzI2IHNwICgzKS9FcnJvcyBSZW1vdmlkb3Mue1BFRElETywwfSZxdW90OywmcXVvdDtTZWN0aW9uMS9ob2plMTIgMzI2IHNwICgzKS9FcnJvcyBSZW1vdmlkb3Mue1JBWsODTywxfSZxdW90OywmcXVvdDtTZWN0aW9uMS9ob2plMTIgMzI2IHNwICgzKS9FcnJvcyBSZW1vdmlkb3Mue0NOUEosMn0mcXVvdDssJnF1b3Q7U2VjdGlvbjEvaG9qZTEyIDMyNiBzcCAoMykvRXJyb3MgUmVtb3ZpZG9zLntNQVJHRU0sM30mcXVvdDssJnF1b3Q7U2VjdGlvbjEvaG9qZTEyIDMyNiBzcCAoMykvRXJyb3MgUmVtb3ZpZG9zLntDRk9QLDR9JnF1b3Q7LCZxdW90O1NlY3Rpb24xL2hvamUxMiAzMjYgc3AgKDMpL0Vycm9zIFJlbW92aWRvcy57UE9SVEFET1IsNX0mcXVvdDssJnF1b3Q7U2VjdGlvbjEvaG9qZTEyIDMyNiBzcCAoMykvRXJyb3MgUmVtb3ZpZG9zLntMSVNUQSw2fSZxdW90OywmcXVvdDtTZWN0aW9uMS9ob2plMTIgMzI2IHNwICgzKS9FcnJvcyBSZW1vdmlkb3Mue1NBTERPIERNQyw3fSZxdW90OywmcXVvdDtTZWN0aW9uMS9ob2plMTIgMzI2IHNwICgzKS9FcnJvcyBSZW1vdmlkb3Mue1RST0NBUyw4fSZxdW90OywmcXVvdDtTZWN0aW9uMS9ob2plMTIgMzI2IHNwICgzKS9FcnJvcyBSZW1vdmlkb3Mue1RPVEFMIFBFRElETyw5fSZxdW90OywmcXVvdDtTZWN0aW9uMS9ob2plMTIgMzI2IHNwICgzKS9FcnJvcyBSZW1vdmlkb3Mue1BSQVpPUywxMH0mcXVvdDssJnF1b3Q7U2VjdGlvbjEvaG9qZTEyIDMyNiBzcCAoMykvRXJyb3MgUmVtb3ZpZG9zLntTSVRVQcOHw4NPLDExfSZxdW90OywmcXVvdDtTZWN0aW9uMS9ob2plMTIgMzI2IHNwICgzKS9FcnJvcyBSZW1vdmlkb3Mue0RJRyBJTVAsMTJ9JnF1b3Q7LCZxdW90O1NlY3Rpb24xL2hvamUxMiAzMjYgc3AgKDMpL0Vycm9zIFJlbW92aWRvcy57UFJPR1JBTUFETywxM30mcXVvdDssJnF1b3Q7U2VjdGlvbjEvaG9qZTEyIDMyNiBzcCAoMykvRXJyb3MgUmVtb3ZpZG9zLntQLkJSVVRPLDE0fSZxdW90OywmcXVvdDtTZWN0aW9uMS9ob2plMTIgMzI2IHNwICgzKS9FcnJvcyBSZW1vdmlkb3Mue1NFVE9SLDE1fSZxdW90OywmcXVvdDtTZWN0aW9uMS9ob2plMTIgMzI2IHNwICgzKS9FcnJvcyBSZW1vdmlkb3Mue1VTVUFSSU8sMTZ9JnF1b3Q7LCZxdW90O1NlY3Rpb24xL2hvamUxMiAzMjYgc3AgKDMpL0Vycm9zIFJlbW92aWRvcy57UkVHLDE3fSZxdW90OywmcXVvdDtTZWN0aW9uMS9ob2plMTIgMzI2IHNwICgzKS9FcnJvcyBSZW1vdmlkb3Mue1FURCBDWCwxOH0mcXVvdDssJnF1b3Q7U2VjdGlvbjEvaG9qZTEyIDMyNiBzcCAoMykvRXJyb3MgUmVtb3ZpZG9zLntDSURBREUsMTl9JnF1b3Q7LCZxdW90O1NlY3Rpb24xL2hvamUxMiAzMjYgc3AgKDMpL0Vycm9zIFJlbW92aWRvcy57TU9WLDIwfSZxdW90O10sJnF1b3Q7UmVsYXRpb25zaGlwSW5mbyZxdW90OzpbXX0iIC8+PC9TdGFibGVFbnRyaWVzPjwvSXRlbT48SXRlbT48SXRlbUxvY2F0aW9uPjxJdGVtVHlwZT5Gb3JtdWxhPC9JdGVtVHlwZT48SXRlbVBhdGg+U2VjdGlvbjEvaG9qZTEyJTIwMzI2JTIwYW5hJTIwKDMpPC9JdGVtUGF0aD48L0l0ZW1Mb2NhdGlvbj48U3RhYmxlRW50cmllcz48RW50cnkgVHlwZT0iQnVmZmVyTmV4dFJlZnJlc2giIFZhbHVlPSJsMSIgLz48RW50cnkgVHlwZT0iRmlsbEVuYWJsZWQiIFZhbHVlPSJsMSIgLz48RW50cnkgVHlwZT0iRmlsbGVkQ29tcGxldGVSZXN1bHRUb1dvcmtzaGVldCIgVmFsdWU9ImwxIiAvPjxFbnRyeSBUeXBlPSJGaWxsVG9EYXRhTW9kZWxFbmFibGVkIiBWYWx1ZT0ibDAiIC8+PEVudHJ5IFR5cGU9IklzUHJpdmF0ZSIgVmFsdWU9ImwwIiAvPjxFbnRyeSBUeXBlPSJRdWVyeUlEIiBWYWx1ZT0ic2U0YzJmNzgzLWYwZTItNGJlNi1hNmI3LTQzZGU2OGU5MGFmZCIgLz48RW50cnkgVHlwZT0iUmVjb3ZlcnlUYXJnZXRDb2x1bW4iIFZhbHVlPSJsMSIgLz48RW50cnkgVHlwZT0iUmVjb3ZlcnlUYXJnZXRSb3ciIFZhbHVlPSJsMSIgLz48RW50cnkgVHlwZT0iUmVjb3ZlcnlUYXJnZXRTaGVldCIgVmFsdWU9InNQbGFuaWxoYTIiIC8+PEVudHJ5IFR5cGU9IlJlc3VsdFR5cGUiIFZhbHVlPSJzVGFibGUiIC8+PEVudHJ5IFR5cGU9Ik5hdmlnYXRpb25TdGVwTmFtZSIgVmFsdWU9InNOYXZlZ2HDp8OjbyIgLz48RW50cnkgVHlwZT0iRmlsbE9iamVjdFR5cGUiIFZhbHVlPSJzVGFibGUiIC8+PEVudHJ5IFR5cGU9Ik5hbWVVcGRhdGVkQWZ0ZXJGaWxsIiBWYWx1ZT0ibDAiIC8+PEVudHJ5IFR5cGU9IkZpbGxUYXJnZXQiIFZhbHVlPSJzaG9qZTEyXzMyNl9hbmE5IiAvPjxFbnRyeSBUeXBlPSJGaWxsTGFzdFVwZGF0ZWQiIFZhbHVlPSJkMjAyNi0wOC0wNVQxMjozNTo1Ni42OTI4NDQ5WiIgLz48RW50cnkgVHlwZT0iRmlsbENvbHVtblR5cGVzIiBWYWx1ZT0ic0F3WVJFUVVSQmdZR0JnTUQiIC8+PEVudHJ5IFR5cGU9IkZpbGxDb2x1bW5OYW1lcyIgVmFsdWU9InNbJnF1b3Q7Q29kIFByb2QmcXVvdDssJnF1b3Q7RGVzYyBQcm9kJnF1b3Q7LCZxdW90O1RvdGFsIFZsciZxdW90OywmcXVvdDtEZXNjICQmcXVvdDssJnF1b3Q7UXRkZSZxdW90OywmcXVvdDtWbHIgVW5kJnF1b3Q7LCZxdW90OyVELk1heGkmcXVvdDssJnF1b3Q7JUQuUGVkaWRvJnF1b3Q7LCZxdW90OyVETSZxdW90OywmcXVvdDtEaWYgJCZxdW90OywmcXVvdDtOwrogUGVkaWRvJnF1b3Q7LCZxdW90O1JlcCZxdW90O10iIC8+PEVudHJ5IFR5cGU9IkZpbGxFcnJvckNvdW50IiBWYWx1ZT0ibDAiIC8+PEVudHJ5IFR5cGU9IkZpbGxFcnJvckNvZGUiIFZhbHVlPSJzVW5rbm93biIgLz48RW50cnkgVHlwZT0iRmlsbFN0YXR1cyIgVmFsdWU9InNDb21wbGV0ZSIgLz48RW50cnkgVHlwZT0iRmlsbENvdW50IiBWYWx1ZT0ibDE1NzEiIC8+PEVudHJ5IFR5cGU9IkFkZGVkVG9EYXRhTW9kZWwiIFZhbHVlPSJsMCIgLz48RW50cnkgVHlwZT0iUmVsYXRpb25zaGlwSW5mb0NvbnRhaW5lciIgVmFsdWU9InN7JnF1b3Q7Y29sdW1uQ291bnQmcXVvdDs6MTIsJnF1b3Q7a2V5Q29sdW1uTmFtZXMmcXVvdDs6W10sJnF1b3Q7cXVlcnlSZWxhdGlvbnNoaXBzJnF1b3Q7OltdLCZxdW90O2NvbHVtbklkZW50aXRpZXMmcXVvdDs6WyZxdW90O1NlY3Rpb24xL2hvamUxMiAzMjYgYW5hICgzKS9BdXRvUmVtb3ZlZENvbHVtbnMxLntDb2QgUHJvZCwwfSZxdW90OywmcXVvdDtTZWN0aW9uMS9ob2plMTIgMzI2IGFuYSAoMykvQXV0b1JlbW92ZWRDb2x1bW5zMS57RGVzYyBQcm9kLDF9JnF1b3Q7LCZxdW90O1NlY3Rpb24xL2hvamUxMiAzMjYgYW5hICgzKS9BdXRvUmVtb3ZlZENvbHVtbnMxLntUb3RhbCBWbHIsMn0mcXVvdDssJnF1b3Q7U2VjdGlvbjEvaG9qZTEyIDMyNiBhbmEgKDMpL0F1dG9SZW1vdmVkQ29sdW1uczEue0Rlc2MgJCwzfSZxdW90OywmcXVvdDtTZWN0aW9uMS9ob2plMTIgMzI2IGFuYSAoMykvQXV0b1JlbW92ZWRDb2x1bW5zMS57UXRkZSw0fSZxdW90OywmcXVvdDtTZWN0aW9uMS9ob2plMTIgMzI2IGFuYSAoMykvQXV0b1JlbW92ZWRDb2x1bW5zMS57VmxyIFVuZCw1fSZxdW90OywmcXVvdDtTZWN0aW9uMS9ob2plMTIgMzI2IGFuYSAoMykvQXV0b1JlbW92ZWRDb2x1bW5zMS57JUQuTWF4aSw2fSZxdW90OywmcXVvdDtTZWN0aW9uMS9ob2plMTIgMzI2IGFuYSAoMykvQXV0b1JlbW92ZWRDb2x1bW5zMS57JUQuUGVkaWRvLDd9JnF1b3Q7LCZxdW90O1NlY3Rpb24xL2hvamUxMiAzMjYgYW5hICgzKS9BdXRvUmVtb3ZlZENvbHVtbnMxLnslRE0sOH0mcXVvdDssJnF1b3Q7U2VjdGlvbjEvaG9qZTEyIDMyNiBhbmEgKDMpL0F1dG9SZW1vdmVkQ29sdW1uczEue0RpZiAkLDl9JnF1b3Q7LCZxdW90O1NlY3Rpb24xL2hvamUxMiAzMjYgYW5hICgzKS9BdXRvUmVtb3ZlZENvbHVtbnMxLntOwrogUGVkaWRvLDEwfSZxdW90OywmcXVvdDtTZWN0aW9uMS9ob2plMTIgMzI2IGFuYSAoMykvQXV0b1JlbW92ZWRDb2x1bW5zMS57UmVwLDExfSZxdW90O10sJnF1b3Q7Q29sdW1uQ291bnQmcXVvdDs6MTIsJnF1b3Q7S2V5Q29sdW1uTmFtZXMmcXVvdDs6W10sJnF1b3Q7Q29sdW1uSWRlbnRpdGllcyZxdW90OzpbJnF1b3Q7U2VjdGlvbjEvaG9qZTEyIDMyNiBhbmEgKDMpL0F1dG9SZW1vdmVkQ29sdW1uczEue0NvZCBQcm9kLDB9JnF1b3Q7LCZxdW90O1NlY3Rpb24xL2hvamUxMiAzMjYgYW5hICgzKS9BdXRvUmVtb3ZlZENvbHVtbnMxLntEZXNjIFByb2QsMX0mcXVvdDssJnF1b3Q7U2VjdGlvbjEvaG9qZTEyIDMyNiBhbmEgKDMpL0F1dG9SZW1vdmVkQ29sdW1uczEue1RvdGFsIFZsciwyfSZxdW90OywmcXVvdDtTZWN0aW9uMS9ob2plMTIgMzI2IGFuYSAoMykvQXV0b1JlbW92ZWRDb2x1bW5zMS57RGVzYyAkLDN9JnF1b3Q7LCZxdW90O1NlY3Rpb24xL2hvamUxMiAzMjYgYW5hICgzKS9BdXRvUmVtb3ZlZENvbHVtbnMxLntRdGRlLDR9JnF1b3Q7LCZxdW90O1NlY3Rpb24xL2hvamUxMiAzMjYgYW5hICgzKS9BdXRvUmVtb3ZlZENvbHVtbnMxLntWbHIgVW5kLDV9JnF1b3Q7LCZxdW90O1NlY3Rpb24xL2hvamUxMiAzMjYgYW5hICgzKS9BdXRvUmVtb3ZlZENvbHVtbnMxLnslRC5NYXhpLDZ9JnF1b3Q7LCZxdW90O1NlY3Rpb24xL2hvamUxMiAzMjYgYW5hICgzKS9BdXRvUmVtb3ZlZENvbHVtbnMxLnslRC5QZWRpZG8sN30mcXVvdDssJnF1b3Q7U2VjdGlvbjEvaG9qZTEyIDMyNiBhbmEgKDMpL0F1dG9SZW1vdmVkQ29sdW1uczEueyVETSw4fSZxdW90OywmcXVvdDtTZWN0aW9uMS9ob2plMTIgMzI2IGFuYSAoMykvQXV0b1JlbW92ZWRDb2x1bW5zMS57RGlmICQsOX0mcXVvdDssJnF1b3Q7U2VjdGlvbjEvaG9qZTEyIDMyNiBhbmEgKDMpL0F1dG9SZW1vdmVkQ29sdW1uczEue07CuiBQZWRpZG8sMTB9JnF1b3Q7LCZxdW90O1NlY3Rpb24xL2hvamUxMiAzMjYgYW5hICgzKS9BdXRvUmVtb3ZlZENvbHVtbnMxLntSZXAsMTF9JnF1b3Q7XSwmcXVvdDtSZWxhdGlvbnNoaXBJbmZvJnF1b3Q7OltdfSIgLz48L1N0YWJsZUVudHJpZXM+PC9JdGVtPjxJdGVtPjxJdGVtTG9jYXRpb24+PEl0ZW1UeXBlPkZvcm11bGE8L0l0ZW1UeXBlPjxJdGVtUGF0aD5TZWN0aW9uMS9ob2plMTIlMjAzMTklMjByZXAlMjAoMik8L0l0ZW1QYXRoPjwvSXRlbUxvY2F0aW9uPjxTdGFibGVFbnRyaWVzPjxFbnRyeSBUeXBlPSJCdWZmZXJOZXh0UmVmcmVzaCIgVmFsdWU9ImwwIiAvPjxFbnRyeSBUeXBlPSJGaWxsRW5hYmxlZCIgVmFsdWU9ImwxIiAvPjxFbnRyeSBUeXBlPSJGaWxsZWRDb21wbGV0ZVJlc3VsdFRvV29ya3NoZWV0IiBWYWx1ZT0ibDEiIC8+PEVudHJ5IFR5cGU9IkZpbGxUb0RhdGFNb2RlbEVuYWJsZWQiIFZhbHVlPSJsMSIgLz48RW50cnkgVHlwZT0iSXNQcml2YXRlIiBWYWx1ZT0ibDAiIC8+PEVudHJ5IFR5cGU9IlF1ZXJ5SUQiIFZhbHVlPSJzODMxYmNmMjctMGU1Ny00ZjdiLTk3ZjEtZjE0OWQ1ZGE1ZDgxIiAvPjxFbnRyeSBUeXBlPSJSZWNvdmVyeVRhcmdldENvbHVtbiIgVmFsdWU9ImwxIiAvPjxFbnRyeSBUeXBlPSJSZWNvdmVyeVRhcmdldFJvdyIgVmFsdWU9ImwxIiAvPjxFbnRyeSBUeXBlPSJSZWNvdmVyeVRhcmdldFNoZWV0IiBWYWx1ZT0iczEyLjMxOXJlcCIgLz48RW50cnkgVHlwZT0iUmVzdWx0VHlwZSIgVmFsdWU9InNUYWJsZSIgLz48RW50cnkgVHlwZT0iTmF2aWdhdGlvblN0ZXBOYW1lIiBWYWx1ZT0ic05hdmVnYcOnw6NvIiAvPjxFbnRyeSBUeXBlPSJGaWxsT2JqZWN0VHlwZSIgVmFsdWU9InNUYWJsZSIgLz48RW50cnkgVHlwZT0iTmFtZVVwZGF0ZWRBZnRlckZpbGwiIFZhbHVlPSJsMCIgLz48RW50cnkgVHlwZT0iRmlsbFRhcmdldCIgVmFsdWU9InNob2plMTJfMzE5X3JlcDciIC8+PEVudHJ5IFR5cGU9IkZpbGxMYXN0VXBkYXRlZCIgVmFsdWU9ImQyMDI2LTA4LTA1VDEyOjM1OjM3LjM1MjE2MjBaIiAvPjxFbnRyeSBUeXBlPSJGaWxsQ29sdW1uVHlwZXMiIFZhbHVlPSJzQXdNR0JnWURBeEVGQlFVRkJRVUZCZz09IiAvPjxFbnRyeSBUeXBlPSJGaWxsQ29sdW1uTmFtZXMiIFZhbHVlPSJzWyZxdW90O1JBTksmcXVvdDssJnF1b3Q7Q05QSiZxdW90OywmcXVvdDtSQVrDg08gU09DSUFMJnF1b3Q7LCZxdW90O0NJREFERSZxdW90OywmcXVvdDtFTkRFUkXDh08mcXVvdDssJnF1b3Q7UEVTTyBCUlVUTyZxdW90OywmcXVvdDtDQUlYQSZxdW90OywmcXVvdDtWQUxPUiZxdW90OywmcXVvdDslUEImcXVvdDssJnF1b3Q7JUNYJnF1b3Q7LCZxdW90OyVWTFImcXVvdDssJnF1b3Q7JUFDUCZxdW90OywmcXVvdDslQUNHJnF1b3Q7LCZxdW90O1JFUCZxdW90OywmcXVvdDtQUiBNRUQmcXVvdDssJnF1b3Q7Q0VOU08mcXVvdDtdIiAvPjxFbnRyeSBUeXBlPSJGaWxsRXJyb3JDb3VudCIgVmFsdWU9ImwwIiAvPjxFbnRyeSBUeXBlPSJGaWxsRXJyb3JDb2RlIiBWYWx1ZT0ic1Vua25vd24iIC8+PEVudHJ5IFR5cGU9IkZpbGxTdGF0dXMiIFZhbHVlPSJzQ29tcGxldGUiIC8+PEVudHJ5IFR5cGU9IkZpbGxDb3VudCIgVmFsdWU9Imw3NjEiIC8+PEVudHJ5IFR5cGU9IkFkZGVkVG9EYXRhTW9kZWwiIFZhbHVlPSJsMSIgLz48RW50cnkgVHlwZT0iUmVsYXRpb25zaGlwSW5mb0NvbnRhaW5lciIgVmFsdWU9InN7JnF1b3Q7Y29sdW1uQ291bnQmcXVvdDs6MTYsJnF1b3Q7a2V5Q29sdW1uTmFtZXMmcXVvdDs6W10sJnF1b3Q7cXVlcnlSZWxhdGlvbnNoaXBzJnF1b3Q7OltdLCZxdW90O2NvbHVtbklkZW50aXRpZXMmcXVvdDs6WyZxdW90O1NlY3Rpb24xL2hvamUxMiAzMTkgcmVwICgyKS9FcnJvcyBSZW1vdmlkb3Mue0NvbHVtbjEuMSwwfSZxdW90OywmcXVvdDtTZWN0aW9uMS9ob2plMTIgMzE5IHJlcCAoMikvRXJyb3MgUmVtb3ZpZG9zLntDb2x1bW4xLjIuMSwxfSZxdW90OywmcXVvdDtTZWN0aW9uMS9ob2plMTIgMzE5IHJlcCAoMikvRXJyb3MgUmVtb3ZpZG9zLntDb2x1bW4xLjIuMi4xLDJ9JnF1b3Q7LCZxdW90O1NlY3Rpb24xL2hvamUxMiAzMTkgcmVwICgyKS9FcnJvcyBSZW1vdmlkb3Mue0NvbHVtbjEuMi4yLjIuMSwzfSZxdW90OywmcXVvdDtTZWN0aW9uMS9ob2plMTIgMzE5IHJlcCAoMikvRXJyb3MgUmVtb3ZpZG9zLntDb2x1bW4xLjIuMi4yLjIuMSw0fSZxdW90OywmcXVvdDtTZWN0aW9uMS9ob2plMTIgMzE5IHJlcCAoMikvRXJyb3MgUmVtb3ZpZG9zLntDb2x1bW4xLjIuMi4yLjIuMi4xLDV9JnF1b3Q7LCZxdW90O1NlY3Rpb24xL2hvamUxMiAzMTkgcmVwICgyKS9FcnJvcyBSZW1vdmlkb3Mue0NvbHVtbjEuMi4yLjIuMi4yLjIuMSw2fSZxdW90OywmcXVvdDtTZWN0aW9uMS9ob2plMTIgMzE5IHJlcCAoMikvRXJyb3MgUmVtb3ZpZG9zLntDb2x1bW4xLjIuMi4yLjIuMi4yLjIuMSw3fSZxdW90OywmcXVvdDtTZWN0aW9uMS9ob2plMTIgMzE5IHJlcCAoMikvRXJyb3MgUmVtb3ZpZG9zLntDb2x1bW4xLjIuMi4yLjIuMi4yLjIuMi4xLDh9JnF1b3Q7LCZxdW90O1NlY3Rpb24xL2hvamUxMiAzMTkgcmVwICgyKS9FcnJvcyBSZW1vdmlkb3Mue0NvbHVtbjEuMi4yLjIuMi4yLjIuMi4yLjIuMSw5fSZxdW90OywmcXVvdDtTZWN0aW9uMS9ob2plMTIgMzE5IHJlcCAoMikvRXJyb3MgUmVtb3ZpZG9zLntDb2x1bW4xLjIuMi4yLjIuMi4yLjIuMi4yLjIuMSwxMH0mcXVvdDssJnF1b3Q7U2VjdGlvbjEvaG9qZTEyIDMxOSByZXAgKDIpL0Vycm9zIFJlbW92aWRvcy57Q29sdW1uMS4yLjIuMi4yLjIuMi4yLjIuMi4yLjIuMSwxMX0mcXVvdDssJnF1b3Q7U2VjdGlvbjEvaG9qZTEyIDMxOSByZXAgKDIpL0Vycm9zIFJlbW92aWRvcy57Q29sdW1uMS4yLjIuMi4yLjIuMi4yLjIuMi4yLjIuMi4xLDEyfSZxdW90OywmcXVvdDtTZWN0aW9uMS9ob2plMTIgMzE5IHJlcCAoMikvRXJyb3MgUmVtb3ZpZG9zLntDb2x1bW4xLjIuMi4yLjIuMi4yLjIuMi4yLjIuMi4yLjIuMSwxM30mcXVvdDssJnF1b3Q7U2VjdGlvbjEvaG9qZTEyIDMxOSByZXAgKDIpL0Vycm9zIFJlbW92aWRvcy57Q29sdW1uMS4yLjIuMi4yLjIuMi4yLjIuMi4yLjIuMi4yLjIuMSwxNH0mcXVvdDssJnF1b3Q7U2VjdGlvbjEvaG9qZTEyIDMxOSByZXAgKDIpL0Vycm9zIFJlbW92aWRvcy57Q29sdW1uMS4yLjIuMi4yLjIuMi4yLjIuMi4yLjIuMi4yLjIuMiwxNX0mcXVvdDtdLCZxdW90O0NvbHVtbkNvdW50JnF1b3Q7OjE2LCZxdW90O0tleUNvbHVtbk5hbWVzJnF1b3Q7OltdLCZxdW90O0NvbHVtbklkZW50aXRpZXMmcXVvdDs6WyZxdW90O1NlY3Rpb24xL2hvamUxMiAzMTkgcmVwICgyKS9FcnJvcyBSZW1vdmlkb3Mue0NvbHVtbjEuMSwwfSZxdW90OywmcXVvdDtTZWN0aW9uMS9ob2plMTIgMzE5IHJlcCAoMikvRXJyb3MgUmVtb3ZpZG9zLntDb2x1bW4xLjIuMSwxfSZxdW90OywmcXVvdDtTZWN0aW9uMS9ob2plMTIgMzE5IHJlcCAoMikvRXJyb3MgUmVtb3ZpZG9zLntDb2x1bW4xLjIuMi4xLDJ9JnF1b3Q7LCZxdW90O1NlY3Rpb24xL2hvamUxMiAzMTkgcmVwICgyKS9FcnJvcyBSZW1vdmlkb3Mue0NvbHVtbjEuMi4yLjIuMSwzfSZxdW90OywmcXVvdDtTZWN0aW9uMS9ob2plMTIgMzE5IHJlcCAoMikvRXJyb3MgUmVtb3ZpZG9zLntDb2x1bW4xLjIuMi4yLjIuMSw0fSZxdW90OywmcXVvdDtTZWN0aW9uMS9ob2plMTIgMzE5IHJlcCAoMikvRXJyb3MgUmVtb3ZpZG9zLntDb2x1bW4xLjIuMi4yLjIuMi4xLDV9JnF1b3Q7LCZxdW90O1NlY3Rpb24xL2hvamUxMiAzMTkgcmVwICgyKS9FcnJvcyBSZW1vdmlkb3Mue0NvbHVtbjEuMi4yLjIuMi4yLjIuMSw2fSZxdW90OywmcXVvdDtTZWN0aW9uMS9ob2plMTIgMzE5IHJlcCAoMikvRXJyb3MgUmVtb3ZpZG9zLntDb2x1bW4xLjIuMi4yLjIuMi4yLjIuMSw3fSZxdW90OywmcXVvdDtTZWN0aW9uMS9ob2plMTIgMzE5IHJlcCAoMikvRXJyb3MgUmVtb3ZpZG9zLntDb2x1bW4xLjIuMi4yLjIuMi4yLjIuMi4xLDh9JnF1b3Q7LCZxdW90O1NlY3Rpb24xL2hvamUxMiAzMTkgcmVwICgyKS9FcnJvcyBSZW1vdmlkb3Mue0NvbHVtbjEuMi4yLjIuMi4yLjIuMi4yLjIuMSw5fSZxdW90OywmcXVvdDtTZWN0aW9uMS9ob2plMTIgMzE5IHJlcCAoMikvRXJyb3MgUmVtb3ZpZG9zLntDb2x1bW4xLjIuMi4yLjIuMi4yLjIuMi4yLjIuMSwxMH0mcXVvdDssJnF1b3Q7U2VjdGlvbjEvaG9qZTEyIDMxOSByZXAgKDIpL0Vycm9zIFJlbW92aWRvcy57Q29sdW1uMS4yLjIuMi4yLjIuMi4yLjIuMi4yLjIuMSwxMX0mcXVvdDssJnF1b3Q7U2VjdGlvbjEvaG9qZTEyIDMxOSByZXAgKDIpL0Vycm9zIFJlbW92aWRvcy57Q29sdW1uMS4yLjIuMi4yLjIuMi4yLjIuMi4yLjIuMi4xLDEyfSZxdW90OywmcXVvdDtTZWN0aW9uMS9ob2plMTIgMzE5IHJlcCAoMikvRXJyb3MgUmVtb3ZpZG9zLntDb2x1bW4xLjIuMi4yLjIuMi4yLjIuMi4yLjIuMi4yLjIuMSwxM30mcXVvdDssJnF1b3Q7U2VjdGlvbjEvaG9qZTEyIDMxOSByZXAgKDIpL0Vycm9zIFJlbW92aWRvcy57Q29sdW1uMS4yLjIuMi4yLjIuMi4yLjIuMi4yLjIuMi4yLjIuMSwxNH0mcXVvdDssJnF1b3Q7U2VjdGlvbjEvaG9qZTEyIDMxOSByZXAgKDIpL0Vycm9zIFJlbW92aWRvcy57Q29sdW1uMS4yLjIuMi4yLjIuMi4yLjIuMi4yLjIuMi4yLjIuMiwxNX0mcXVvdDtdLCZxdW90O1JlbGF0aW9uc2hpcEluZm8mcXVvdDs6W119IiAvPjwvU3RhYmxlRW50cmllcz48L0l0ZW0+PEl0ZW0+PEl0ZW1Mb2NhdGlvbj48SXRlbVR5cGU+Rm9ybXVsYTwvSXRlbVR5cGU+PEl0ZW1QYXRoPlNlY3Rpb24xL2hvamUxMiUyMDMxOSUyMHJlcC9Gb250ZTwvSXRlbVBhdGg+PC9JdGVtTG9jYXRpb24+PFN0YWJsZUVudHJpZXMgLz48L0l0ZW0+PEl0ZW0+PEl0ZW1Mb2NhdGlvbj48SXRlbVR5cGU+Rm9ybXVsYTwvSXRlbVR5cGU+PEl0ZW1QYXRoPlNlY3Rpb24xL2hvamUxMiUyMDMxOSUyMHJlcC9EaXZpZGlyJTIwQ29sdW5hJTIwcGVsYSUyMFBvc2klQzMlQTclQzMlQTNvPC9JdGVtUGF0aD48L0l0ZW1Mb2NhdGlvbj48U3RhYmxlRW50cmllcyAvPjwvSXRlbT48SXRlbT48SXRlbUxvY2F0aW9uPjxJdGVtVHlwZT5Gb3JtdWxhPC9JdGVtVHlwZT48SXRlbVBhdGg+U2VjdGlvbjEvaG9qZTEyJTIwMzE5JTIwcmVwL1RpcG8lMjBBbHRlcmFkbzwvSXRlbVBhdGg+PC9JdGVtTG9jYXRpb24+PFN0YWJsZUVudHJpZXMgLz48L0l0ZW0+PEl0ZW0+PEl0ZW1Mb2NhdGlvbj48SXRlbVR5cGU+Rm9ybXVsYTwvSXRlbVR5cGU+PEl0ZW1QYXRoPlNlY3Rpb24xL2hvamUxMiUyMDMxOSUyMHJlcC9EaXZpZGlyJTIwQ29sdW5hJTIwcGVsYSUyMFBvc2klQzMlQTclQzMlQTNvMTwvSXRlbVBhdGg+PC9JdGVtTG9jYXRpb24+PFN0YWJsZUVudHJpZXMgLz48L0l0ZW0+PEl0ZW0+PEl0ZW1Mb2NhdGlvbj48SXRlbVR5cGU+Rm9ybXVsYTwvSXRlbVR5cGU+PEl0ZW1QYXRoPlNlY3Rpb24xL2hvamUxMiUyMDMxOSUyMHJlcC9UaXBvJTIwQWx0ZXJhZG8xPC9JdGVtUGF0aD48L0l0ZW1Mb2NhdGlvbj48U3RhYmxlRW50cmllcyAvPjwvSXRlbT48SXRlbT48SXRlbUxvY2F0aW9uPjxJdGVtVHlwZT5Gb3JtdWxhPC9JdGVtVHlwZT48SXRlbVBhdGg+U2VjdGlvbjEvaG9qZTEyJTIwMzE5JTIwcmVwL0RpdmlkaXIlMjBDb2x1bmElMjBwZWxhJTIwUG9zaSVDMyVBNyVDMyVBM28yPC9JdGVtUGF0aD48L0l0ZW1Mb2NhdGlvbj48U3RhYmxlRW50cmllcyAvPjwvSXRlbT48SXRlbT48SXRlbUxvY2F0aW9uPjxJdGVtVHlwZT5Gb3JtdWxhPC9JdGVtVHlwZT48SXRlbVBhdGg+U2VjdGlvbjEvaG9qZTEyJTIwMzE5JTIwcmVwL1RpcG8lMjBBbHRlcmFkbzI8L0l0ZW1QYXRoPjwvSXRlbUxvY2F0aW9uPjxTdGFibGVFbnRyaWVzIC8+PC9JdGVtPjxJdGVtPjxJdGVtTG9jYXRpb24+PEl0ZW1UeXBlPkZvcm11bGE8L0l0ZW1UeXBlPjxJdGVtUGF0aD5TZWN0aW9uMS9ob2plMTIlMjAzMTklMjByZXAvRGl2aWRpciUyMENvbHVuYSUyMHBlbGElMjBQb3NpJUMzJUE3JUMzJUEzbzM8L0l0ZW1QYXRoPjwvSXRlbUxvY2F0aW9uPjxTdGFibGVFbnRyaWVzIC8+PC9JdGVtPjxJdGVtPjxJdGVtTG9jYXRpb24+PEl0ZW1UeXBlPkZvcm11bGE8L0l0ZW1UeXBlPjxJdGVtUGF0aD5TZWN0aW9uMS9ob2plMTIlMjAzMTklMjByZXAvVGlwbyUyMEFsdGVyYWRvMzwvSXRlbVBhdGg+PC9JdGVtTG9jYXRpb24+PFN0YWJsZUVudHJpZXMgLz48L0l0ZW0+PEl0ZW0+PEl0ZW1Mb2NhdGlvbj48SXRlbVR5cGU+Rm9ybXVsYTwvSXRlbVR5cGU+PEl0ZW1QYXRoPlNlY3Rpb24xL2hvamUxMiUyMDMxOSUyMHJlcC9EaXZpZGlyJTIwQ29sdW5hJTIwcGVsYSUyMFBvc2klQzMlQTclQzMlQTNvNDwvSXRlbVBhdGg+PC9JdGVtTG9jYXRpb24+PFN0YWJsZUVudHJpZXMgLz48L0l0ZW0+PEl0ZW0+PEl0ZW1Mb2NhdGlvbj48SXRlbVR5cGU+Rm9ybXVsYTwvSXRlbVR5cGU+PEl0ZW1QYXRoPlNlY3Rpb24xL2hvamUxMiUyMDMxOSUyMHJlcC9UaXBvJTIwQWx0ZXJhZG80PC9JdGVtUGF0aD48L0l0ZW1Mb2NhdGlvbj48U3RhYmxlRW50cmllcyAvPjwvSXRlbT48SXRlbT48SXRlbUxvY2F0aW9uPjxJdGVtVHlwZT5Gb3JtdWxhPC9JdGVtVHlwZT48SXRlbVBhdGg+U2VjdGlvbjEvaG9qZTEyJTIwMzE5JTIwcmVwL0RpdmlkaXIlMjBDb2x1bmElMjBwZWxhJTIwUG9zaSVDMyVBNyVDMyVBM281PC9JdGVtUGF0aD48L0l0ZW1Mb2NhdGlvbj48U3RhYmxlRW50cmllcyAvPjwvSXRlbT48SXRlbT48SXRlbUxvY2F0aW9uPjxJdGVtVHlwZT5Gb3JtdWxhPC9JdGVtVHlwZT48SXRlbVBhdGg+U2VjdGlvbjEvaG9qZTEyJTIwMzE5JTIwcmVwL1RpcG8lMjBBbHRlcmFkbzU8L0l0ZW1QYXRoPjwvSXRlbUxvY2F0aW9uPjxTdGFibGVFbnRyaWVzIC8+PC9JdGVtPjxJdGVtPjxJdGVtTG9jYXRpb24+PEl0ZW1UeXBlPkZvcm11bGE8L0l0ZW1UeXBlPjxJdGVtUGF0aD5TZWN0aW9uMS9ob2plMTIlMjAzMTklMjByZXAvRGl2aWRpciUyMENvbHVuYSUyMHBlbGElMjBQb3NpJUMzJUE3JUMzJUEzbzY8L0l0ZW1QYXRoPjwvSXRlbUxvY2F0aW9uPjxTdGFibGVFbnRyaWVzIC8+PC9JdGVtPjxJdGVtPjxJdGVtTG9jYXRpb24+PEl0ZW1UeXBlPkZvcm11bGE8L0l0ZW1UeXBlPjxJdGVtUGF0aD5TZWN0aW9uMS9ob2plMTIlMjAzMTklMjByZXAvVGlwbyUyMEFsdGVyYWRvNjwvSXRlbVBhdGg+PC9JdGVtTG9jYXRpb24+PFN0YWJsZUVudHJpZXMgLz48L0l0ZW0+PEl0ZW0+PEl0ZW1Mb2NhdGlvbj48SXRlbVR5cGU+Rm9ybXVsYTwvSXRlbVR5cGU+PEl0ZW1QYXRoPlNlY3Rpb24xL2hvamUxMiUyMDMxOSUyMHJlcC9EaXZpZGlyJTIwQ29sdW5hJTIwcGVsYSUyMFBvc2klQzMlQTclQzMlQTNvNzwvSXRlbVBhdGg+PC9JdGVtTG9jYXRpb24+PFN0YWJsZUVudHJpZXMgLz48L0l0ZW0+PEl0ZW0+PEl0ZW1Mb2NhdGlvbj48SXRlbVR5cGU+Rm9ybXVsYTwvSXRlbVR5cGU+PEl0ZW1QYXRoPlNlY3Rpb24xL2hvamUxMiUyMDMxOSUyMHJlcC9UaXBvJTIwQWx0ZXJhZG83PC9JdGVtUGF0aD48L0l0ZW1Mb2NhdGlvbj48U3RhYmxlRW50cmllcyAvPjwvSXRlbT48SXRlbT48SXRlbUxvY2F0aW9uPjxJdGVtVHlwZT5Gb3JtdWxhPC9JdGVtVHlwZT48SXRlbVBhdGg+U2VjdGlvbjEvaG9qZTEyJTIwMzE5JTIwcmVwL0RpdmlkaXIlMjBDb2x1bmElMjBwZWxhJTIwUG9zaSVDMyVBNyVDMyVBM284PC9JdGVtUGF0aD48L0l0ZW1Mb2NhdGlvbj48U3RhYmxlRW50cmllcyAvPjwvSXRlbT48SXRlbT48SXRlbUxvY2F0aW9uPjxJdGVtVHlwZT5Gb3JtdWxhPC9JdGVtVHlwZT48SXRlbVBhdGg+U2VjdGlvbjEvaG9qZTEyJTIwMzE5JTIwcmVwL1RpcG8lMjBBbHRlcmFkbzg8L0l0ZW1QYXRoPjwvSXRlbUxvY2F0aW9uPjxTdGFibGVFbnRyaWVzIC8+PC9JdGVtPjxJdGVtPjxJdGVtTG9jYXRpb24+PEl0ZW1UeXBlPkZvcm11bGE8L0l0ZW1UeXBlPjxJdGVtUGF0aD5TZWN0aW9uMS9ob2plMTIlMjAzMTklMjByZXAvRGl2aWRpciUyMENvbHVuYSUyMHBlbGElMjBQb3NpJUMzJUE3JUMzJUEzbzk8L0l0ZW1QYXRoPjwvSXRlbUxvY2F0aW9uPjxTdGFibGVFbnRyaWVzIC8+PC9JdGVtPjxJdGVtPjxJdGVtTG9jYXRpb24+PEl0ZW1UeXBlPkZvcm11bGE8L0l0ZW1UeXBlPjxJdGVtUGF0aD5TZWN0aW9uMS9ob2plMTIlMjAzMTklMjByZXAvVGlwbyUyMEFsdGVyYWRvOTwvSXRlbVBhdGg+PC9JdGVtTG9jYXRpb24+PFN0YWJsZUVudHJpZXMgLz48L0l0ZW0+PEl0ZW0+PEl0ZW1Mb2NhdGlvbj48SXRlbVR5cGU+Rm9ybXVsYTwvSXRlbVR5cGU+PEl0ZW1QYXRoPlNlY3Rpb24xL2hvamUxMiUyMDMxOSUyMHJlcC9EaXZpZGlyJTIwQ29sdW5hJTIwcGVsYSUyMFBvc2klQzMlQTclQzMlQTNvMTA8L0l0ZW1QYXRoPjwvSXRlbUxvY2F0aW9uPjxTdGFibGVFbnRyaWVzIC8+PC9JdGVtPjxJdGVtPjxJdGVtTG9jYXRpb24+PEl0ZW1UeXBlPkZvcm11bGE8L0l0ZW1UeXBlPjxJdGVtUGF0aD5TZWN0aW9uMS9ob2plMTIlMjAzMTklMjByZXAvVGlwbyUyMEFsdGVyYWRvMTA8L0l0ZW1QYXRoPjwvSXRlbUxvY2F0aW9uPjxTdGFibGVFbnRyaWVzIC8+PC9JdGVtPjxJdGVtPjxJdGVtTG9jYXRpb24+PEl0ZW1UeXBlPkZvcm11bGE8L0l0ZW1UeXBlPjxJdGVtUGF0aD5TZWN0aW9uMS9ob2plMTIlMjAzMTklMjByZXAvRGl2aWRpciUyMENvbHVuYSUyMHBlbGElMjBQb3NpJUMzJUE3JUMzJUEzbzExPC9JdGVtUGF0aD48L0l0ZW1Mb2NhdGlvbj48U3RhYmxlRW50cmllcyAvPjwvSXRlbT48SXRlbT48SXRlbUxvY2F0aW9uPjxJdGVtVHlwZT5Gb3JtdWxhPC9JdGVtVHlwZT48SXRlbVBhdGg+U2VjdGlvbjEvaG9qZTEyJTIwMzE5JTIwcmVwL1RpcG8lMjBBbHRlcmFkbzExPC9JdGVtUGF0aD48L0l0ZW1Mb2NhdGlvbj48U3RhYmxlRW50cmllcyAvPjwvSXRlbT48SXRlbT48SXRlbUxvY2F0aW9uPjxJdGVtVHlwZT5Gb3JtdWxhPC9JdGVtVHlwZT48SXRlbVBhdGg+U2VjdGlvbjEvaG9qZTEyJTIwMzE5JTIwcmVwL0RpdmlkaXIlMjBDb2x1bmElMjBwZWxhJTIwUG9zaSVDMyVBNyVDMyVBM28xMjwvSXRlbVBhdGg+PC9JdGVtTG9jYXRpb24+PFN0YWJsZUVudHJpZXMgLz48L0l0ZW0+PEl0ZW0+PEl0ZW1Mb2NhdGlvbj48SXRlbVR5cGU+Rm9ybXVsYTwvSXRlbVR5cGU+PEl0ZW1QYXRoPlNlY3Rpb24xL2hvamUxMiUyMDMxOSUyMHJlcC9UaXBvJTIwQWx0ZXJhZG8xMjwvSXRlbVBhdGg+PC9JdGVtTG9jYXRpb24+PFN0YWJsZUVudHJpZXMgLz48L0l0ZW0+PEl0ZW0+PEl0ZW1Mb2NhdGlvbj48SXRlbVR5cGU+Rm9ybXVsYTwvSXRlbVR5cGU+PEl0ZW1QYXRoPlNlY3Rpb24xL2hvamUxMiUyMDMxOSUyMHJlcC9EaXZpZGlyJTIwQ29sdW5hJTIwcGVsYSUyMFBvc2klQzMlQTclQzMlQTNvMTM8L0l0ZW1QYXRoPjwvSXRlbUxvY2F0aW9uPjxTdGFibGVFbnRyaWVzIC8+PC9JdGVtPjxJdGVtPjxJdGVtTG9jYXRpb24+PEl0ZW1UeXBlPkZvcm11bGE8L0l0ZW1UeXBlPjxJdGVtUGF0aD5TZWN0aW9uMS9ob2plMTIlMjAzMTklMjByZXAvVGlwbyUyMEFsdGVyYWRvMTM8L0l0ZW1QYXRoPjwvSXRlbUxvY2F0aW9uPjxTdGFibGVFbnRyaWVzIC8+PC9JdGVtPjxJdGVtPjxJdGVtTG9jYXRpb24+PEl0ZW1UeXBlPkZvcm11bGE8L0l0ZW1UeXBlPjxJdGVtUGF0aD5TZWN0aW9uMS9ob2plMTIlMjAzMTklMjByZXAvRGl2aWRpciUyMENvbHVuYSUyMHBlbGElMjBQb3NpJUMzJUE3JUMzJUEzbzE0PC9JdGVtUGF0aD48L0l0ZW1Mb2NhdGlvbj48U3RhYmxlRW50cmllcyAvPjwvSXRlbT48SXRlbT48SXRlbUxvY2F0aW9uPjxJdGVtVHlwZT5Gb3JtdWxhPC9JdGVtVHlwZT48SXRlbVBhdGg+U2VjdGlvbjEvaG9qZTEyJTIwMzE5JTIwcmVwL1RpcG8lMjBBbHRlcmFkbzE0PC9JdGVtUGF0aD48L0l0ZW1Mb2NhdGlvbj48U3RhYmxlRW50cmllcyAvPjwvSXRlbT48SXRlbT48SXRlbUxvY2F0aW9uPjxJdGVtVHlwZT5Gb3JtdWxhPC9JdGVtVHlwZT48SXRlbVBhdGg+U2VjdGlvbjEvaG9qZTEyJTIwMzE5JTIwcmVwL0Vycm9zJTIwUmVtb3ZpZG9zPC9JdGVtUGF0aD48L0l0ZW1Mb2NhdGlvbj48U3RhYmxlRW50cmllcyAvPjwvSXRlbT48SXRlbT48SXRlbUxvY2F0aW9uPjxJdGVtVHlwZT5Gb3JtdWxhPC9JdGVtVHlwZT48SXRlbVBhdGg+U2VjdGlvbjEvaG9qZTEyJTIwMzE5JTIwcmVwL0xpbmhhcyUyMGVtJTIwQnJhbmNvJTIwUmVtb3ZpZGFzPC9JdGVtUGF0aD48L0l0ZW1Mb2NhdGlvbj48U3RhYmxlRW50cmllcyAvPjwvSXRlbT48SXRlbT48SXRlbUxvY2F0aW9uPjxJdGVtVHlwZT5Gb3JtdWxhPC9JdGVtVHlwZT48SXRlbVBhdGg+U2VjdGlvbjEvaG9qZTEyJTIwMzE5JTIwcmVwL0xpbmhhcyUyMENsYXNzaWZpY2FkYXM8L0l0ZW1QYXRoPjwvSXRlbUxvY2F0aW9uPjxTdGFibGVFbnRyaWVzIC8+PC9JdGVtPjxJdGVtPjxJdGVtTG9jYXRpb24+PEl0ZW1UeXBlPkZvcm11bGE8L0l0ZW1UeXBlPjxJdGVtUGF0aD5TZWN0aW9uMS9ob2plMTIlMjAzMTklMjByZXAvTGluaGFzJTIwRmlsdHJhZGFzPC9JdGVtUGF0aD48L0l0ZW1Mb2NhdGlvbj48U3RhYmxlRW50cmllcyAvPjwvSXRlbT48SXRlbT48SXRlbUxvY2F0aW9uPjxJdGVtVHlwZT5Gb3JtdWxhPC9JdGVtVHlwZT48SXRlbVBhdGg+U2VjdGlvbjEvaG9qZTEyJTIwMzE5JTIwcmVwL0NvbHVuYXMlMjBSZW5vbWVhZGFzPC9JdGVtUGF0aD48L0l0ZW1Mb2NhdGlvbj48U3RhYmxlRW50cmllcyAvPjwvSXRlbT48SXRlbT48SXRlbUxvY2F0aW9uPjxJdGVtVHlwZT5Gb3JtdWxhPC9JdGVtVHlwZT48SXRlbVBhdGg+U2VjdGlvbjEvaG9qZTEyJTIwMzI2JTIwc3AvRm9udGU8L0l0ZW1QYXRoPjwvSXRlbUxvY2F0aW9uPjxTdGFibGVFbnRyaWVzIC8+PC9JdGVtPjxJdGVtPjxJdGVtTG9jYXRpb24+PEl0ZW1UeXBlPkZvcm11bGE8L0l0ZW1UeXBlPjxJdGVtUGF0aD5TZWN0aW9uMS9ob2plMTIlMjAzMjYlMjBzcC9EaXZpZGlyJTIwQ29sdW5hJTIwcGVsYSUyMFBvc2klQzMlQTclQzMlQTNvPC9JdGVtUGF0aD48L0l0ZW1Mb2NhdGlvbj48U3RhYmxlRW50cmllcyAvPjwvSXRlbT48SXRlbT48SXRlbUxvY2F0aW9uPjxJdGVtVHlwZT5Gb3JtdWxhPC9JdGVtVHlwZT48SXRlbVBhdGg+U2VjdGlvbjEvaG9qZTEyJTIwMzI2JTIwc3AvVGlwbyUyMEFsdGVyYWRvPC9JdGVtUGF0aD48L0l0ZW1Mb2NhdGlvbj48U3RhYmxlRW50cmllcyAvPjwvSXRlbT48SXRlbT48SXRlbUxvY2F0aW9uPjxJdGVtVHlwZT5Gb3JtdWxhPC9JdGVtVHlwZT48SXRlbVBhdGg+U2VjdGlvbjEvaG9qZTEyJTIwMzI2JTIwc3AvRGl2aWRpciUyMENvbHVuYSUyMHBlbGElMjBQb3NpJUMzJUE3JUMzJUEzbzE8L0l0ZW1QYXRoPjwvSXRlbUxvY2F0aW9uPjxTdGFibGVFbnRyaWVzIC8+PC9JdGVtPjxJdGVtPjxJdGVtTG9jYXRpb24+PEl0ZW1UeXBlPkZvcm11bGE8L0l0ZW1UeXBlPjxJdGVtUGF0aD5TZWN0aW9uMS9ob2plMTIlMjAzMjYlMjBzcC9UaXBvJTIwQWx0ZXJhZG8xPC9JdGVtUGF0aD48L0l0ZW1Mb2NhdGlvbj48U3RhYmxlRW50cmllcyAvPjwvSXRlbT48SXRlbT48SXRlbUxvY2F0aW9uPjxJdGVtVHlwZT5Gb3JtdWxhPC9JdGVtVHlwZT48SXRlbVBhdGg+U2VjdGlvbjEvaG9qZTEyJTIwMzI2JTIwc3AvRGl2aWRpciUyMENvbHVuYSUyMHBlbGElMjBQb3NpJUMzJUE3JUMzJUEzbzI8L0l0ZW1QYXRoPjwvSXRlbUxvY2F0aW9uPjxTdGFibGVFbnRyaWVzIC8+PC9JdGVtPjxJdGVtPjxJdGVtTG9jYXRpb24+PEl0ZW1UeXBlPkZvcm11bGE8L0l0ZW1UeXBlPjxJdGVtUGF0aD5TZWN0aW9uMS9ob2plMTIlMjAzMjYlMjBzcC9UaXBvJTIwQWx0ZXJhZG8yPC9JdGVtUGF0aD48L0l0ZW1Mb2NhdGlvbj48U3RhYmxlRW50cmllcyAvPjwvSXRlbT48SXRlbT48SXRlbUxvY2F0aW9uPjxJdGVtVHlwZT5Gb3JtdWxhPC9JdGVtVHlwZT48SXRlbVBhdGg+U2VjdGlvbjEvaG9qZTEyJTIwMzI2JTIwc3AvRGl2aWRpciUyMENvbHVuYSUyMHBlbGElMjBQb3NpJUMzJUE3JUMzJUEzbzM8L0l0ZW1QYXRoPjwvSXRlbUxvY2F0aW9uPjxTdGFibGVFbnRyaWVzIC8+PC9JdGVtPjxJdGVtPjxJdGVtTG9jYXRpb24+PEl0ZW1UeXBlPkZvcm11bGE8L0l0ZW1UeXBlPjxJdGVtUGF0aD5TZWN0aW9uMS9ob2plMTIlMjAzMjYlMjBzcC9UaXBvJTIwQWx0ZXJhZG8zPC9JdGVtUGF0aD48L0l0ZW1Mb2NhdGlvbj48U3RhYmxlRW50cmllcyAvPjwvSXRlbT48SXRlbT48SXRlbUxvY2F0aW9uPjxJdGVtVHlwZT5Gb3JtdWxhPC9JdGVtVHlwZT48SXRlbVBhdGg+U2VjdGlvbjEvaG9qZTEyJTIwMzI2JTIwc3AvRGl2aWRpciUyMENvbHVuYSUyMHBlbGElMjBQb3NpJUMzJUE3JUMzJUEzbzQ8L0l0ZW1QYXRoPjwvSXRlbUxvY2F0aW9uPjxTdGFibGVFbnRyaWVzIC8+PC9JdGVtPjxJdGVtPjxJdGVtTG9jYXRpb24+PEl0ZW1UeXBlPkZvcm11bGE8L0l0ZW1UeXBlPjxJdGVtUGF0aD5TZWN0aW9uMS9ob2plMTIlMjAzMjYlMjBzcC9UaXBvJTIwQWx0ZXJhZG80PC9JdGVtUGF0aD48L0l0ZW1Mb2NhdGlvbj48U3RhYmxlRW50cmllcyAvPjwvSXRlbT48SXRlbT48SXRlbUxvY2F0aW9uPjxJdGVtVHlwZT5Gb3JtdWxhPC9JdGVtVHlwZT48SXRlbVBhdGg+U2VjdGlvbjEvaG9qZTEyJTIwMzI2JTIwc3AvRGl2aWRpciUyMENvbHVuYSUyMHBlbGElMjBQb3NpJUMzJUE3JUMzJUEzbzU8L0l0ZW1QYXRoPjwvSXRlbUxvY2F0aW9uPjxTdGFibGVFbnRyaWVzIC8+PC9JdGVtPjxJdGVtPjxJdGVtTG9jYXRpb24+PEl0ZW1UeXBlPkZvcm11bGE8L0l0ZW1UeXBlPjxJdGVtUGF0aD5TZWN0aW9uMS9ob2plMTIlMjAzMjYlMjBzcC9UaXBvJTIwQWx0ZXJhZG81PC9JdGVtUGF0aD48L0l0ZW1Mb2NhdGlvbj48U3RhYmxlRW50cmllcyAvPjwvSXRlbT48SXRlbT48SXRlbUxvY2F0aW9uPjxJdGVtVHlwZT5Gb3JtdWxhPC9JdGVtVHlwZT48SXRlbVBhdGg+U2VjdGlvbjEvaG9qZTEyJTIwMzI2JTIwc3AvRGl2aWRpciUyMENvbHVuYSUyMHBlbGElMjBQb3NpJUMzJUE3JUMzJUEzbzY8L0l0ZW1QYXRoPjwvSXRlbUxvY2F0aW9uPjxTdGFibGVFbnRyaWVzIC8+PC9JdGVtPjxJdGVtPjxJdGVtTG9jYXRpb24+PEl0ZW1UeXBlPkZvcm11bGE8L0l0ZW1UeXBlPjxJdGVtUGF0aD5TZWN0aW9uMS9ob2plMTIlMjAzMjYlMjBzcC9UaXBvJTIwQWx0ZXJhZG82PC9JdGVtUGF0aD48L0l0ZW1Mb2NhdGlvbj48U3RhYmxlRW50cmllcyAvPjwvSXRlbT48SXRlbT48SXRlbUxvY2F0aW9uPjxJdGVtVHlwZT5Gb3JtdWxhPC9JdGVtVHlwZT48SXRlbVBhdGg+U2VjdGlvbjEvaG9qZTEyJTIwMzI2JTIwc3AvRGl2aWRpciUyMENvbHVuYSUyMHBlbGElMjBQb3NpJUMzJUE3JUMzJUEzbzc8L0l0ZW1QYXRoPjwvSXRlbUxvY2F0aW9uPjxTdGFibGVFbnRyaWVzIC8+PC9JdGVtPjxJdGVtPjxJdGVtTG9jYXRpb24+PEl0ZW1UeXBlPkZvcm11bGE8L0l0ZW1UeXBlPjxJdGVtUGF0aD5TZWN0aW9uMS9ob2plMTIlMjAzMjYlMjBzcC9UaXBvJTIwQWx0ZXJhZG83PC9JdGVtUGF0aD48L0l0ZW1Mb2NhdGlvbj48U3RhYmxlRW50cmllcyAvPjwvSXRlbT48SXRlbT48SXRlbUxvY2F0aW9uPjxJdGVtVHlwZT5Gb3JtdWxhPC9JdGVtVHlwZT48SXRlbVBhdGg+U2VjdGlvbjEvaG9qZTEyJTIwMzI2JTIwc3AvRGl2aWRpciUyMENvbHVuYSUyMHBlbGElMjBQb3NpJUMzJUE3JUMzJUEzbzg8L0l0ZW1QYXRoPjwvSXRlbUxvY2F0aW9uPjxTdGFibGVFbnRyaWVzIC8+PC9JdGVtPjxJdGVtPjxJdGVtTG9jYXRpb24+PEl0ZW1UeXBlPkZvcm11bGE8L0l0ZW1UeXBlPjxJdGVtUGF0aD5TZWN0aW9uMS9ob2plMTIlMjAzMjYlMjBzcC9UaXBvJTIwQWx0ZXJhZG84PC9JdGVtUGF0aD48L0l0ZW1Mb2NhdGlvbj48U3RhYmxlRW50cmllcyAvPjwvSXRlbT48SXRlbT48SXRlbUxvY2F0aW9uPjxJdGVtVHlwZT5Gb3JtdWxhPC9JdGVtVHlwZT48SXRlbVBhdGg+U2VjdGlvbjEvaG9qZTEyJTIwMzI2JTIwc3AvRGl2aWRpciUyMENvbHVuYSUyMHBlbGElMjBQb3NpJUMzJUE3JUMzJUEzbzk8L0l0ZW1QYXRoPjwvSXRlbUxvY2F0aW9uPjxTdGFibGVFbnRyaWVzIC8+PC9JdGVtPjxJdGVtPjxJdGVtTG9jYXRpb24+PEl0ZW1UeXBlPkZvcm11bGE8L0l0ZW1UeXBlPjxJdGVtUGF0aD5TZWN0aW9uMS9ob2plMTIlMjAzMjYlMjBzcC9UaXBvJTIwQWx0ZXJhZG85PC9JdGVtUGF0aD48L0l0ZW1Mb2NhdGlvbj48U3RhYmxlRW50cmllcyAvPjwvSXRlbT48SXRlbT48SXRlbUxvY2F0aW9uPjxJdGVtVHlwZT5Gb3JtdWxhPC9JdGVtVHlwZT48SXRlbVBhdGg+U2VjdGlvbjEvaG9qZTEyJTIwMzI2JTIwc3AvRGl2aWRpciUyMENvbHVuYSUyMHBlbGElMjBQb3NpJUMzJUE3JUMzJUEzbzEwPC9JdGVtUGF0aD48L0l0ZW1Mb2NhdGlvbj48U3RhYmxlRW50cmllcyAvPjwvSXRlbT48SXRlbT48SXRlbUxvY2F0aW9uPjxJdGVtVHlwZT5Gb3JtdWxhPC9JdGVtVHlwZT48SXRlbVBhdGg+U2VjdGlvbjEvaG9qZTEyJTIwMzI2JTIwc3AvVGlwbyUyMEFsdGVyYWRvMTA8L0l0ZW1QYXRoPjwvSXRlbUxvY2F0aW9uPjxTdGFibGVFbnRyaWVzIC8+PC9JdGVtPjxJdGVtPjxJdGVtTG9jYXRpb24+PEl0ZW1UeXBlPkZvcm11bGE8L0l0ZW1UeXBlPjxJdGVtUGF0aD5TZWN0aW9uMS9ob2plMTIlMjAzMjYlMjBzcC9EaXZpZGlyJTIwQ29sdW5hJTIwcGVsYSUyMFBvc2klQzMlQTclQzMlQTNvMTE8L0l0ZW1QYXRoPjwvSXRlbUxvY2F0aW9uPjxTdGFibGVFbnRyaWVzIC8+PC9JdGVtPjxJdGVtPjxJdGVtTG9jYXRpb24+PEl0ZW1UeXBlPkZvcm11bGE8L0l0ZW1UeXBlPjxJdGVtUGF0aD5TZWN0aW9uMS9ob2plMTIlMjAzMjYlMjBzcC9UaXBvJTIwQWx0ZXJhZG8xMTwvSXRlbVBhdGg+PC9JdGVtTG9jYXRpb24+PFN0YWJsZUVudHJpZXMgLz48L0l0ZW0+PEl0ZW0+PEl0ZW1Mb2NhdGlvbj48SXRlbVR5cGU+Rm9ybXVsYTwvSXRlbVR5cGU+PEl0ZW1QYXRoPlNlY3Rpb24xL2hvamUxMiUyMDMyNiUyMHNwL0RpdmlkaXIlMjBDb2x1bmElMjBwZWxhJTIwUG9zaSVDMyVBNyVDMyVBM28xMjwvSXRlbVBhdGg+PC9JdGVtTG9jYXRpb24+PFN0YWJsZUVudHJpZXMgLz48L0l0ZW0+PEl0ZW0+PEl0ZW1Mb2NhdGlvbj48SXRlbVR5cGU+Rm9ybXVsYTwvSXRlbVR5cGU+PEl0ZW1QYXRoPlNlY3Rpb24xL2hvamUxMiUyMDMyNiUyMHNwL1RpcG8lMjBBbHRlcmFkbzEyPC9JdGVtUGF0aD48L0l0ZW1Mb2NhdGlvbj48U3RhYmxlRW50cmllcyAvPjwvSXRlbT48SXRlbT48SXRlbUxvY2F0aW9uPjxJdGVtVHlwZT5Gb3JtdWxhPC9JdGVtVHlwZT48SXRlbVBhdGg+U2VjdGlvbjEvaG9qZTEyJTIwMzI2JTIwc3AvRGl2aWRpciUyMENvbHVuYSUyMHBlbGElMjBQb3NpJUMzJUE3JUMzJUEzbzEzPC9JdGVtUGF0aD48L0l0ZW1Mb2NhdGlvbj48U3RhYmxlRW50cmllcyAvPjwvSXRlbT48SXRlbT48SXRlbUxvY2F0aW9uPjxJdGVtVHlwZT5Gb3JtdWxhPC9JdGVtVHlwZT48SXRlbVBhdGg+U2VjdGlvbjEvaG9qZTEyJTIwMzI2JTIwc3AvVGlwbyUyMEFsdGVyYWRvMTM8L0l0ZW1QYXRoPjwvSXRlbUxvY2F0aW9uPjxTdGFibGVFbnRyaWVzIC8+PC9JdGVtPjxJdGVtPjxJdGVtTG9jYXRpb24+PEl0ZW1UeXBlPkZvcm11bGE8L0l0ZW1UeXBlPjxJdGVtUGF0aD5TZWN0aW9uMS9ob2plMTIlMjAzMjYlMjBzcC9EaXZpZGlyJTIwQ29sdW5hJTIwcGVsYSUyMFBvc2klQzMlQTclQzMlQTNvMTQ8L0l0ZW1QYXRoPjwvSXRlbUxvY2F0aW9uPjxTdGFibGVFbnRyaWVzIC8+PC9JdGVtPjxJdGVtPjxJdGVtTG9jYXRpb24+PEl0ZW1UeXBlPkZvcm11bGE8L0l0ZW1UeXBlPjxJdGVtUGF0aD5TZWN0aW9uMS9ob2plMTIlMjAzMjYlMjBzcC9UaXBvJTIwQWx0ZXJhZG8xNDwvSXRlbVBhdGg+PC9JdGVtTG9jYXRpb24+PFN0YWJsZUVudHJpZXMgLz48L0l0ZW0+PEl0ZW0+PEl0ZW1Mb2NhdGlvbj48SXRlbVR5cGU+Rm9ybXVsYTwvSXRlbVR5cGU+PEl0ZW1QYXRoPlNlY3Rpb24xL2hvamUxMiUyMDMyNiUyMHNwL0RpdmlkaXIlMjBDb2x1bmElMjBwZWxhJTIwUG9zaSVDMyVBNyVDMyVBM28xNTwvSXRlbVBhdGg+PC9JdGVtTG9jYXRpb24+PFN0YWJsZUVudHJpZXMgLz48L0l0ZW0+PEl0ZW0+PEl0ZW1Mb2NhdGlvbj48SXRlbVR5cGU+Rm9ybXVsYTwvSXRlbVR5cGU+PEl0ZW1QYXRoPlNlY3Rpb24xL2hvamUxMiUyMDMyNiUyMHNwL1RpcG8lMjBBbHRlcmFkbzE1PC9JdGVtUGF0aD48L0l0ZW1Mb2NhdGlvbj48U3RhYmxlRW50cmllcyAvPjwvSXRlbT48SXRlbT48SXRlbUxvY2F0aW9uPjxJdGVtVHlwZT5Gb3JtdWxhPC9JdGVtVHlwZT48SXRlbVBhdGg+U2VjdGlvbjEvaG9qZTEyJTIwMzI2JTIwc3AvRGl2aWRpciUyMENvbHVuYSUyMHBlbGElMjBQb3NpJUMzJUE3JUMzJUEzbzE2PC9JdGVtUGF0aD48L0l0ZW1Mb2NhdGlvbj48U3RhYmxlRW50cmllcyAvPjwvSXRlbT48SXRlbT48SXRlbUxvY2F0aW9uPjxJdGVtVHlwZT5Gb3JtdWxhPC9JdGVtVHlwZT48SXRlbVBhdGg+U2VjdGlvbjEvaG9qZTEyJTIwMzI2JTIwc3AvVGlwbyUyMEFsdGVyYWRvMTY8L0l0ZW1QYXRoPjwvSXRlbUxvY2F0aW9uPjxTdGFibGVFbnRyaWVzIC8+PC9JdGVtPjxJdGVtPjxJdGVtTG9jYXRpb24+PEl0ZW1UeXBlPkZvcm11bGE8L0l0ZW1UeXBlPjxJdGVtUGF0aD5TZWN0aW9uMS9ob2plMTIlMjAzMjYlMjBzcC9EaXZpZGlyJTIwQ29sdW5hJTIwcGVsYSUyMFBvc2klQzMlQTclQzMlQTNvMTc8L0l0ZW1QYXRoPjwvSXRlbUxvY2F0aW9uPjxTdGFibGVFbnRyaWVzIC8+PC9JdGVtPjxJdGVtPjxJdGVtTG9jYXRpb24+PEl0ZW1UeXBlPkZvcm11bGE8L0l0ZW1UeXBlPjxJdGVtUGF0aD5TZWN0aW9uMS9ob2plMTIlMjAzMjYlMjBzcC9UaXBvJTIwQWx0ZXJhZG8xNzwvSXRlbVBhdGg+PC9JdGVtTG9jYXRpb24+PFN0YWJsZUVudHJpZXMgLz48L0l0ZW0+PEl0ZW0+PEl0ZW1Mb2NhdGlvbj48SXRlbVR5cGU+Rm9ybXVsYTwvSXRlbVR5cGU+PEl0ZW1QYXRoPlNlY3Rpb24xL2hvamUxMiUyMDMyNiUyMHNwL0RpdmlkaXIlMjBDb2x1bmElMjBwZWxhJTIwUG9zaSVDMyVBNyVDMyVBM28xODwvSXRlbVBhdGg+PC9JdGVtTG9jYXRpb24+PFN0YWJsZUVudHJpZXMgLz48L0l0ZW0+PEl0ZW0+PEl0ZW1Mb2NhdGlvbj48SXRlbVR5cGU+Rm9ybXVsYTwvSXRlbVR5cGU+PEl0ZW1QYXRoPlNlY3Rpb24xL2hvamUxMiUyMDMyNiUyMHNwL1RpcG8lMjBBbHRlcmFkbzE4PC9JdGVtUGF0aD48L0l0ZW1Mb2NhdGlvbj48U3RhYmxlRW50cmllcyAvPjwvSXRlbT48SXRlbT48SXRlbUxvY2F0aW9uPjxJdGVtVHlwZT5Gb3JtdWxhPC9JdGVtVHlwZT48SXRlbVBhdGg+U2VjdGlvbjEvaG9qZTEyJTIwMzI2JTIwc3AvQ29sdW5hJTIwRHVwbGljYWRhPC9JdGVtUGF0aD48L0l0ZW1Mb2NhdGlvbj48U3RhYmxlRW50cmllcyAvPjwvSXRlbT48SXRlbT48SXRlbUxvY2F0aW9uPjxJdGVtVHlwZT5Gb3JtdWxhPC9JdGVtVHlwZT48SXRlbVBhdGg+U2VjdGlvbjEvaG9qZTEyJTIwMzI2JTIwc3AvQ29sdW5hcyUyMFJlb3JkZW5hZGFzPC9JdGVtUGF0aD48L0l0ZW1Mb2NhdGlvbj48U3RhYmxlRW50cmllcyAvPjwvSXRlbT48SXRlbT48SXRlbUxvY2F0aW9uPjxJdGVtVHlwZT5Gb3JtdWxhPC9JdGVtVHlwZT48SXRlbVBhdGg+U2VjdGlvbjEvaG9qZTEyJTIwMzI2JTIwc3AvVGlwbyUyMEFsdGVyYWRvMTk8L0l0ZW1QYXRoPjwvSXRlbUxvY2F0aW9uPjxTdGFibGVFbnRyaWVzIC8+PC9JdGVtPjxJdGVtPjxJdGVtTG9jYXRpb24+PEl0ZW1UeXBlPkZvcm11bGE8L0l0ZW1UeXBlPjxJdGVtUGF0aD5TZWN0aW9uMS9ob2plMTIlMjAzMjYlMjBzcC9Db2x1bmFzJTIwUmVub21lYWRhczwvSXRlbVBhdGg+PC9JdGVtTG9jYXRpb24+PFN0YWJsZUVudHJpZXMgLz48L0l0ZW0+PEl0ZW0+PEl0ZW1Mb2NhdGlvbj48SXRlbVR5cGU+Rm9ybXVsYTwvSXRlbVR5cGU+PEl0ZW1QYXRoPlNlY3Rpb24xL2hvamUxMiUyMDMyNiUyMHNwL1RpcG8lMjBBbHRlcmFkbzIwPC9JdGVtUGF0aD48L0l0ZW1Mb2NhdGlvbj48U3RhYmxlRW50cmllcyAvPjwvSXRlbT48SXRlbT48SXRlbUxvY2F0aW9uPjxJdGVtVHlwZT5Gb3JtdWxhPC9JdGVtVHlwZT48SXRlbVBhdGg+U2VjdGlvbjEvaG9qZTEyJTIwMzI2JTIwc3AvQ29sdW5hcyUyMFJlbm9tZWFkYXMxPC9JdGVtUGF0aD48L0l0ZW1Mb2NhdGlvbj48U3RhYmxlRW50cmllcyAvPjwvSXRlbT48SXRlbT48SXRlbUxvY2F0aW9uPjxJdGVtVHlwZT5Gb3JtdWxhPC9JdGVtVHlwZT48SXRlbVBhdGg+U2VjdGlvbjEvaG9qZTEyJTIwMzI2JTIwc3AvTGluaGFzJTIwZW0lMjBCcmFuY28lMjBSZW1vdmlkYXM8L0l0ZW1QYXRoPjwvSXRlbUxvY2F0aW9uPjxTdGFibGVFbnRyaWVzIC8+PC9JdGVtPjxJdGVtPjxJdGVtTG9jYXRpb24+PEl0ZW1UeXBlPkZvcm11bGE8L0l0ZW1UeXBlPjxJdGVtUGF0aD5TZWN0aW9uMS9ob2plMTIlMjAzMjYlMjBzcC9FcnJvcyUyMFJlbW92aWRvczwvSXRlbVBhdGg+PC9JdGVtTG9jYXRpb24+PFN0YWJsZUVudHJpZXMgLz48L0l0ZW0+PEl0ZW0+PEl0ZW1Mb2NhdGlvbj48SXRlbVR5cGU+Rm9ybXVsYTwvSXRlbVR5cGU+PEl0ZW1QYXRoPlNlY3Rpb24xL2hvamUxMiUyMDMyNiUyMHNwL1RpcG8lMjBBbHRlcmFkbzIxPC9JdGVtUGF0aD48L0l0ZW1Mb2NhdGlvbj48U3RhYmxlRW50cmllcyAvPjwvSXRlbT48SXRlbT48SXRlbUxvY2F0aW9uPjxJdGVtVHlwZT5Gb3JtdWxhPC9JdGVtVHlwZT48SXRlbVBhdGg+U2VjdGlvbjEvaG9qZTEyJTIwMzI2JTIwc3AvTGluaGFzJTIwQ2xhc3NpZmljYWRhczwvSXRlbVBhdGg+PC9JdGVtTG9jYXRpb24+PFN0YWJsZUVudHJpZXMgLz48L0l0ZW0+PEl0ZW0+PEl0ZW1Mb2NhdGlvbj48SXRlbVR5cGU+Rm9ybXVsYTwvSXRlbVR5cGU+PEl0ZW1QYXRoPlNlY3Rpb24xL2hvamUxMiUyMDMyNiUyMHNwL0Vycm9zJTIwUmVtb3ZpZG9zMTwvSXRlbVBhdGg+PC9JdGVtTG9jYXRpb24+PFN0YWJsZUVudHJpZXMgLz48L0l0ZW0+PEl0ZW0+PEl0ZW1Mb2NhdGlvbj48SXRlbVR5cGU+Rm9ybXVsYTwvSXRlbVR5cGU+PEl0ZW1QYXRoPlNlY3Rpb24xL2hvamUxMiUyMDMyNiUyMHNwL0xpbmhhcyUyMENsYXNzaWZpY2FkYXMxPC9JdGVtUGF0aD48L0l0ZW1Mb2NhdGlvbj48U3RhYmxlRW50cmllcyAvPjwvSXRlbT48SXRlbT48SXRlbUxvY2F0aW9uPjxJdGVtVHlwZT5Gb3JtdWxhPC9JdGVtVHlwZT48SXRlbVBhdGg+U2VjdGlvbjEvaG9qZTEyJTIwMzI2JTIwc3AvQ29sdW5hcyUyMFJlbW92aWRhczwvSXRlbVBhdGg+PC9JdGVtTG9jYXRpb24+PFN0YWJsZUVudHJpZXMgLz48L0l0ZW0+PEl0ZW0+PEl0ZW1Mb2NhdGlvbj48SXRlbVR5cGU+Rm9ybXVsYTwvSXRlbVR5cGU+PEl0ZW1QYXRoPlNlY3Rpb24xL2hvamUxMiUyMDMyNiUyMGFuYS9Gb250ZTwvSXRlbVBhdGg+PC9JdGVtTG9jYXRpb24+PFN0YWJsZUVudHJpZXMgLz48L0l0ZW0+PEl0ZW0+PEl0ZW1Mb2NhdGlvbj48SXRlbVR5cGU+Rm9ybXVsYTwvSXRlbVR5cGU+PEl0ZW1QYXRoPlNlY3Rpb24xL2hvamUxMiUyMDMyNiUyMGFuYS9EaXZpZGlyJTIwQ29sdW5hJTIwcGVsYSUyMFBvc2klQzMlQTclQzMlQTNvPC9JdGVtUGF0aD48L0l0ZW1Mb2NhdGlvbj48U3RhYmxlRW50cmllcyAvPjwvSXRlbT48SXRlbT48SXRlbUxvY2F0aW9uPjxJdGVtVHlwZT5Gb3JtdWxhPC9JdGVtVHlwZT48SXRlbVBhdGg+U2VjdGlvbjEvaG9qZTEyJTIwMzI2JTIwYW5hL1RpcG8lMjBBbHRlcmFkbzwvSXRlbVBhdGg+PC9JdGVtTG9jYXRpb24+PFN0YWJsZUVudHJpZXMgLz48L0l0ZW0+PEl0ZW0+PEl0ZW1Mb2NhdGlvbj48SXRlbVR5cGU+Rm9ybXVsYTwvSXRlbVR5cGU+PEl0ZW1QYXRoPlNlY3Rpb24xL2hvamUxMiUyMDMyNiUyMGFuYS9EaXZpZGlyJTIwQ29sdW5hJTIwcGVsYSUyMFBvc2klQzMlQTclQzMlQTNvMTwvSXRlbVBhdGg+PC9JdGVtTG9jYXRpb24+PFN0YWJsZUVudHJpZXMgLz48L0l0ZW0+PEl0ZW0+PEl0ZW1Mb2NhdGlvbj48SXRlbVR5cGU+Rm9ybXVsYTwvSXRlbVR5cGU+PEl0ZW1QYXRoPlNlY3Rpb24xL2hvamUxMiUyMDMyNiUyMGFuYS9UaXBvJTIwQWx0ZXJhZG8xPC9JdGVtUGF0aD48L0l0ZW1Mb2NhdGlvbj48U3RhYmxlRW50cmllcyAvPjwvSXRlbT48SXRlbT48SXRlbUxvY2F0aW9uPjxJdGVtVHlwZT5Gb3JtdWxhPC9JdGVtVHlwZT48SXRlbVBhdGg+U2VjdGlvbjEvaG9qZTEyJTIwMzI2JTIwYW5hL0RpdmlkaXIlMjBDb2x1bmElMjBwZWxhJTIwUG9zaSVDMyVBNyVDMyVBM28yPC9JdGVtUGF0aD48L0l0ZW1Mb2NhdGlvbj48U3RhYmxlRW50cmllcyAvPjwvSXRlbT48SXRlbT48SXRlbUxvY2F0aW9uPjxJdGVtVHlwZT5Gb3JtdWxhPC9JdGVtVHlwZT48SXRlbVBhdGg+U2VjdGlvbjEvaG9qZTEyJTIwMzI2JTIwYW5hL1RpcG8lMjBBbHRlcmFkbzI8L0l0ZW1QYXRoPjwvSXRlbUxvY2F0aW9uPjxTdGFibGVFbnRyaWVzIC8+PC9JdGVtPjxJdGVtPjxJdGVtTG9jYXRpb24+PEl0ZW1UeXBlPkZvcm11bGE8L0l0ZW1UeXBlPjxJdGVtUGF0aD5TZWN0aW9uMS9ob2plMTIlMjAzMjYlMjBhbmEvRGl2aWRpciUyMENvbHVuYSUyMHBlbGElMjBQb3NpJUMzJUE3JUMzJUEzbzM8L0l0ZW1QYXRoPjwvSXRlbUxvY2F0aW9uPjxTdGFibGVFbnRyaWVzIC8+PC9JdGVtPjxJdGVtPjxJdGVtTG9jYXRpb24+PEl0ZW1UeXBlPkZvcm11bGE8L0l0ZW1UeXBlPjxJdGVtUGF0aD5TZWN0aW9uMS9ob2plMTIlMjAzMjYlMjBhbmEvVGlwbyUyMEFsdGVyYWRvMzwvSXRlbVBhdGg+PC9JdGVtTG9jYXRpb24+PFN0YWJsZUVudHJpZXMgLz48L0l0ZW0+PEl0ZW0+PEl0ZW1Mb2NhdGlvbj48SXRlbVR5cGU+Rm9ybXVsYTwvSXRlbVR5cGU+PEl0ZW1QYXRoPlNlY3Rpb24xL2hvamUxMiUyMDMyNiUyMGFuYS9EaXZpZGlyJTIwQ29sdW5hJTIwcGVsYSUyMFBvc2klQzMlQTclQzMlQTNvNDwvSXRlbVBhdGg+PC9JdGVtTG9jYXRpb24+PFN0YWJsZUVudHJpZXMgLz48L0l0ZW0+PEl0ZW0+PEl0ZW1Mb2NhdGlvbj48SXRlbVR5cGU+Rm9ybXVsYTwvSXRlbVR5cGU+PEl0ZW1QYXRoPlNlY3Rpb24xL2hvamUxMiUyMDMyNiUyMGFuYS9UaXBvJTIwQWx0ZXJhZG80PC9JdGVtUGF0aD48L0l0ZW1Mb2NhdGlvbj48U3RhYmxlRW50cmllcyAvPjwvSXRlbT48SXRlbT48SXRlbUxvY2F0aW9uPjxJdGVtVHlwZT5Gb3JtdWxhPC9JdGVtVHlwZT48SXRlbVBhdGg+U2VjdGlvbjEvaG9qZTEyJTIwMzI2JTIwYW5hL0RpdmlkaXIlMjBDb2x1bmElMjBwZWxhJTIwUG9zaSVDMyVBNyVDMyVBM281PC9JdGVtUGF0aD48L0l0ZW1Mb2NhdGlvbj48U3RhYmxlRW50cmllcyAvPjwvSXRlbT48SXRlbT48SXRlbUxvY2F0aW9uPjxJdGVtVHlwZT5Gb3JtdWxhPC9JdGVtVHlwZT48SXRlbVBhdGg+U2VjdGlvbjEvaG9qZTEyJTIwMzI2JTIwYW5hL1RpcG8lMjBBbHRlcmFkbzU8L0l0ZW1QYXRoPjwvSXRlbUxvY2F0aW9uPjxTdGFibGVFbnRyaWVzIC8+PC9JdGVtPjxJdGVtPjxJdGVtTG9jYXRpb24+PEl0ZW1UeXBlPkZvcm11bGE8L0l0ZW1UeXBlPjxJdGVtUGF0aD5TZWN0aW9uMS9ob2plMTIlMjAzMjYlMjBhbmEvRGl2aWRpciUyMENvbHVuYSUyMHBlbGElMjBQb3NpJUMzJUE3JUMzJUEzbzY8L0l0ZW1QYXRoPjwvSXRlbUxvY2F0aW9uPjxTdGFibGVFbnRyaWVzIC8+PC9JdGVtPjxJdGVtPjxJdGVtTG9jYXRpb24+PEl0ZW1UeXBlPkZvcm11bGE8L0l0ZW1UeXBlPjxJdGVtUGF0aD5TZWN0aW9uMS9ob2plMTIlMjAzMjYlMjBhbmEvVGlwbyUyMEFsdGVyYWRvNjwvSXRlbVBhdGg+PC9JdGVtTG9jYXRpb24+PFN0YWJsZUVudHJpZXMgLz48L0l0ZW0+PEl0ZW0+PEl0ZW1Mb2NhdGlvbj48SXRlbVR5cGU+Rm9ybXVsYTwvSXRlbVR5cGU+PEl0ZW1QYXRoPlNlY3Rpb24xL2hvamUxMiUyMDMyNiUyMGFuYS9EaXZpZGlyJTIwQ29sdW5hJTIwcGVsYSUyMFBvc2klQzMlQTclQzMlQTNvNzwvSXRlbVBhdGg+PC9JdGVtTG9jYXRpb24+PFN0YWJsZUVudHJpZXMgLz48L0l0ZW0+PEl0ZW0+PEl0ZW1Mb2NhdGlvbj48SXRlbVR5cGU+Rm9ybXVsYTwvSXRlbVR5cGU+PEl0ZW1QYXRoPlNlY3Rpb24xL2hvamUxMiUyMDMyNiUyMGFuYS9UaXBvJTIwQWx0ZXJhZG83PC9JdGVtUGF0aD48L0l0ZW1Mb2NhdGlvbj48U3RhYmxlRW50cmllcyAvPjwvSXRlbT48SXRlbT48SXRlbUxvY2F0aW9uPjxJdGVtVHlwZT5Gb3JtdWxhPC9JdGVtVHlwZT48SXRlbVBhdGg+U2VjdGlvbjEvaG9qZTEyJTIwMzI2JTIwYW5hL0RpdmlkaXIlMjBDb2x1bmElMjBwZWxhJTIwUG9zaSVDMyVBNyVDMyVBM284PC9JdGVtUGF0aD48L0l0ZW1Mb2NhdGlvbj48U3RhYmxlRW50cmllcyAvPjwvSXRlbT48SXRlbT48SXRlbUxvY2F0aW9uPjxJdGVtVHlwZT5Gb3JtdWxhPC9JdGVtVHlwZT48SXRlbVBhdGg+U2VjdGlvbjEvaG9qZTEyJTIwMzI2JTIwYW5hL1RpcG8lMjBBbHRlcmFkbzg8L0l0ZW1QYXRoPjwvSXRlbUxvY2F0aW9uPjxTdGFibGVFbnRyaWVzIC8+PC9JdGVtPjxJdGVtPjxJdGVtTG9jYXRpb24+PEl0ZW1UeXBlPkZvcm11bGE8L0l0ZW1UeXBlPjxJdGVtUGF0aD5TZWN0aW9uMS9ob2plMTIlMjAzMjYlMjBhbmEvRGl2aWRpciUyMENvbHVuYSUyMHBlbGElMjBQb3NpJUMzJUE3JUMzJUEzbzk8L0l0ZW1QYXRoPjwvSXRlbUxvY2F0aW9uPjxTdGFibGVFbnRyaWVzIC8+PC9JdGVtPjxJdGVtPjxJdGVtTG9jYXRpb24+PEl0ZW1UeXBlPkZvcm11bGE8L0l0ZW1UeXBlPjxJdGVtUGF0aD5TZWN0aW9uMS9ob2plMTIlMjAzMjYlMjBhbmEvVGlwbyUyMEFsdGVyYWRvOTwvSXRlbVBhdGg+PC9JdGVtTG9jYXRpb24+PFN0YWJsZUVudHJpZXMgLz48L0l0ZW0+PEl0ZW0+PEl0ZW1Mb2NhdGlvbj48SXRlbVR5cGU+Rm9ybXVsYTwvSXRlbVR5cGU+PEl0ZW1QYXRoPlNlY3Rpb24xL2hvamUxMiUyMDMyNiUyMGFuYS9EaXZpZGlyJTIwQ29sdW5hJTIwcGVsYSUyMFBvc2klQzMlQTclQzMlQTNvMTA8L0l0ZW1QYXRoPjwvSXRlbUxvY2F0aW9uPjxTdGFibGVFbnRyaWVzIC8+PC9JdGVtPjxJdGVtPjxJdGVtTG9jYXRpb24+PEl0ZW1UeXBlPkZvcm11bGE8L0l0ZW1UeXBlPjxJdGVtUGF0aD5TZWN0aW9uMS9ob2plMTIlMjAzMjYlMjBhbmEvVGlwbyUyMEFsdGVyYWRvMTA8L0l0ZW1QYXRoPjwvSXRlbUxvY2F0aW9uPjxTdGFibGVFbnRyaWVzIC8+PC9JdGVtPjxJdGVtPjxJdGVtTG9jYXRpb24+PEl0ZW1UeXBlPkZvcm11bGE8L0l0ZW1UeXBlPjxJdGVtUGF0aD5TZWN0aW9uMS9ob2plMTIlMjAzMjYlMjBhbmEvRGl2aWRpciUyMENvbHVuYSUyMHBlbGElMjBQb3NpJUMzJUE3JUMzJUEzbzExPC9JdGVtUGF0aD48L0l0ZW1Mb2NhdGlvbj48U3RhYmxlRW50cmllcyAvPjwvSXRlbT48SXRlbT48SXRlbUxvY2F0aW9uPjxJdGVtVHlwZT5Gb3JtdWxhPC9JdGVtVHlwZT48SXRlbVBhdGg+U2VjdGlvbjEvaG9qZTEyJTIwMzI2JTIwYW5hL1RpcG8lMjBBbHRlcmFkbzExPC9JdGVtUGF0aD48L0l0ZW1Mb2NhdGlvbj48U3RhYmxlRW50cmllcyAvPjwvSXRlbT48SXRlbT48SXRlbUxvY2F0aW9uPjxJdGVtVHlwZT5Gb3JtdWxhPC9JdGVtVHlwZT48SXRlbVBhdGg+U2VjdGlvbjEvaG9qZTEyJTIwMzI2JTIwYW5hL0Vycm9zJTIwUmVtb3ZpZG9zPC9JdGVtUGF0aD48L0l0ZW1Mb2NhdGlvbj48U3RhYmxlRW50cmllcyAvPjwvSXRlbT48SXRlbT48SXRlbUxvY2F0aW9uPjxJdGVtVHlwZT5Gb3JtdWxhPC9JdGVtVHlwZT48SXRlbVBhdGg+U2VjdGlvbjEvaG9qZTEyJTIwMzI2JTIwYW5hL0xpbmhhcyUyMGVtJTIwQnJhbmNvJTIwUmVtb3ZpZGFzPC9JdGVtUGF0aD48L0l0ZW1Mb2NhdGlvbj48U3RhYmxlRW50cmllcyAvPjwvSXRlbT48SXRlbT48SXRlbUxvY2F0aW9uPjxJdGVtVHlwZT5Gb3JtdWxhPC9JdGVtVHlwZT48SXRlbVBhdGg+U2VjdGlvbjEvaG9qZTEyJTIwMzI2JTIwYW5hL0Vycm9zJTIwUmVtb3ZpZG9zMTwvSXRlbVBhdGg+PC9JdGVtTG9jYXRpb24+PFN0YWJsZUVudHJpZXMgLz48L0l0ZW0+PEl0ZW0+PEl0ZW1Mb2NhdGlvbj48SXRlbVR5cGU+Rm9ybXVsYTwvSXRlbVR5cGU+PEl0ZW1QYXRoPlNlY3Rpb24xL2hvamUxMiUyMDMyNiUyMGFuYS9MaW5oYXMlMjBGaWx0cmFkYXM8L0l0ZW1QYXRoPjwvSXRlbUxvY2F0aW9uPjxTdGFibGVFbnRyaWVzIC8+PC9JdGVtPjxJdGVtPjxJdGVtTG9jYXRpb24+PEl0ZW1UeXBlPkZvcm11bGE8L0l0ZW1UeXBlPjxJdGVtUGF0aD5TZWN0aW9uMS9ob2plMTIlMjAzMjYlMjBhbmEvQ29sdW5hcyUyMFJlbm9tZWFkYXM8L0l0ZW1QYXRoPjwvSXRlbUxvY2F0aW9uPjxTdGFibGVFbnRyaWVzIC8+PC9JdGVtPjxJdGVtPjxJdGVtTG9jYXRpb24+PEl0ZW1UeXBlPkZvcm11bGE8L0l0ZW1UeXBlPjxJdGVtUGF0aD5TZWN0aW9uMS9ob2plMTIlMjAzMjYlMjBhbmEvQ29sdW5hcyUyMFJlbW92aWRhczwvSXRlbVBhdGg+PC9JdGVtTG9jYXRpb24+PFN0YWJsZUVudHJpZXMgLz48L0l0ZW0+PEl0ZW0+PEl0ZW1Mb2NhdGlvbj48SXRlbVR5cGU+Rm9ybXVsYTwvSXRlbVR5cGU+PEl0ZW1QYXRoPlNlY3Rpb24xL2hvamUxMiUyMDMyNiUyMHNwL0Vycm9zJTIwUmVtb3ZpZG9zMjwvSXRlbVBhdGg+PC9JdGVtTG9jYXRpb24+PFN0YWJsZUVudHJpZXMgLz48L0l0ZW0+PEl0ZW0+PEl0ZW1Mb2NhdGlvbj48SXRlbVR5cGU+Rm9ybXVsYTwvSXRlbVR5cGU+PEl0ZW1QYXRoPlNlY3Rpb24xL2hvamUxMiUyMDMyNiUyMHNwL0xpbmhhcyUyMGVtJTIwQnJhbmNvJTIwUmVtb3ZpZGFzMTwvSXRlbVBhdGg+PC9JdGVtTG9jYXRpb24+PFN0YWJsZUVudHJpZXMgLz48L0l0ZW0+PEl0ZW0+PEl0ZW1Mb2NhdGlvbj48SXRlbVR5cGU+Rm9ybXVsYTwvSXRlbVR5cGU+PEl0ZW1QYXRoPlNlY3Rpb24xL2hvamUxMiUyMDMyNiUyMHNwL0xpbmhhcyUyMEZpbHRyYWRhczwvSXRlbVBhdGg+PC9JdGVtTG9jYXRpb24+PFN0YWJsZUVudHJpZXMgLz48L0l0ZW0+PEl0ZW0+PEl0ZW1Mb2NhdGlvbj48SXRlbVR5cGU+Rm9ybXVsYTwvSXRlbVR5cGU+PEl0ZW1QYXRoPlNlY3Rpb24xL2hvamUxMiUyMDMyNiUyMHNwL1RpcG8lMjBBbHRlcmFkbzIyPC9JdGVtUGF0aD48L0l0ZW1Mb2NhdGlvbj48U3RhYmxlRW50cmllcyAvPjwvSXRlbT48SXRlbT48SXRlbUxvY2F0aW9uPjxJdGVtVHlwZT5Gb3JtdWxhPC9JdGVtVHlwZT48SXRlbVBhdGg+U2VjdGlvbjEvQ29sZXRhc0V4cG9ydC9Gb250ZTwvSXRlbVBhdGg+PC9JdGVtTG9jYXRpb24+PFN0YWJsZUVudHJpZXMgLz48L0l0ZW0+PEl0ZW0+PEl0ZW1Mb2NhdGlvbj48SXRlbVR5cGU+Rm9ybXVsYTwvSXRlbVR5cGU+PEl0ZW1QYXRoPlNlY3Rpb24xL0NvbGV0YXNFeHBvcnQvQ29sZXRhc0V4cG9ydF9TaGVldDwvSXRlbVBhdGg+PC9JdGVtTG9jYXRpb24+PFN0YWJsZUVudHJpZXMgLz48L0l0ZW0+PEl0ZW0+PEl0ZW1Mb2NhdGlvbj48SXRlbVR5cGU+Rm9ybXVsYTwvSXRlbVR5cGU+PEl0ZW1QYXRoPlNlY3Rpb24xL0NvbGV0YXNFeHBvcnQvQ2FiZSVDMyVBN2FsaG9zJTIwUHJvbW92aWRvczwvSXRlbVBhdGg+PC9JdGVtTG9jYXRpb24+PFN0YWJsZUVudHJpZXMgLz48L0l0ZW0+PEl0ZW0+PEl0ZW1Mb2NhdGlvbj48SXRlbVR5cGU+Rm9ybXVsYTwvSXRlbVR5cGU+PEl0ZW1QYXRoPlNlY3Rpb24xL0NvbGV0YXNFeHBvcnQvVGlwbyUyMEFsdGVyYWRvPC9JdGVtUGF0aD48L0l0ZW1Mb2NhdGlvbj48U3RhYmxlRW50cmllcyAvPjwvSXRlbT48SXRlbT48SXRlbUxvY2F0aW9uPjxJdGVtVHlwZT5Gb3JtdWxhPC9JdGVtVHlwZT48SXRlbVBhdGg+U2VjdGlvbjEvaG9qZTEyJTIwMzI2JTIwc3AlMjAoMikvRm9udGU8L0l0ZW1QYXRoPjwvSXRlbUxvY2F0aW9uPjxTdGFibGVFbnRyaWVzIC8+PC9JdGVtPjxJdGVtPjxJdGVtTG9jYXRpb24+PEl0ZW1UeXBlPkZvcm11bGE8L0l0ZW1UeXBlPjxJdGVtUGF0aD5TZWN0aW9uMS9ob2plMTIlMjAzMjYlMjBzcCUyMCgyKS9EaXZpZGlyJTIwQ29sdW5hJTIwcGVsYSUyMFBvc2klQzMlQTclQzMlQTNvPC9JdGVtUGF0aD48L0l0ZW1Mb2NhdGlvbj48U3RhYmxlRW50cmllcyAvPjwvSXRlbT48SXRlbT48SXRlbUxvY2F0aW9uPjxJdGVtVHlwZT5Gb3JtdWxhPC9JdGVtVHlwZT48SXRlbVBhdGg+U2VjdGlvbjEvaG9qZTEyJTIwMzI2JTIwc3AlMjAoMikvVGlwbyUyMEFsdGVyYWRvPC9JdGVtUGF0aD48L0l0ZW1Mb2NhdGlvbj48U3RhYmxlRW50cmllcyAvPjwvSXRlbT48SXRlbT48SXRlbUxvY2F0aW9uPjxJdGVtVHlwZT5Gb3JtdWxhPC9JdGVtVHlwZT48SXRlbVBhdGg+U2VjdGlvbjEvaG9qZTEyJTIwMzI2JTIwc3AlMjAoMikvRGl2aWRpciUyMENvbHVuYSUyMHBlbGElMjBQb3NpJUMzJUE3JUMzJUEzbzE8L0l0ZW1QYXRoPjwvSXRlbUxvY2F0aW9uPjxTdGFibGVFbnRyaWVzIC8+PC9JdGVtPjxJdGVtPjxJdGVtTG9jYXRpb24+PEl0ZW1UeXBlPkZvcm11bGE8L0l0ZW1UeXBlPjxJdGVtUGF0aD5TZWN0aW9uMS9ob2plMTIlMjAzMjYlMjBzcCUyMCgyKS9UaXBvJTIwQWx0ZXJhZG8xPC9JdGVtUGF0aD48L0l0ZW1Mb2NhdGlvbj48U3RhYmxlRW50cmllcyAvPjwvSXRlbT48SXRlbT48SXRlbUxvY2F0aW9uPjxJdGVtVHlwZT5Gb3JtdWxhPC9JdGVtVHlwZT48SXRlbVBhdGg+U2VjdGlvbjEvaG9qZTEyJTIwMzI2JTIwc3AlMjAoMikvRGl2aWRpciUyMENvbHVuYSUyMHBlbGElMjBQb3NpJUMzJUE3JUMzJUEzbzI8L0l0ZW1QYXRoPjwvSXRlbUxvY2F0aW9uPjxTdGFibGVFbnRyaWVzIC8+PC9JdGVtPjxJdGVtPjxJdGVtTG9jYXRpb24+PEl0ZW1UeXBlPkZvcm11bGE8L0l0ZW1UeXBlPjxJdGVtUGF0aD5TZWN0aW9uMS9ob2plMTIlMjAzMjYlMjBzcCUyMCgyKS9UaXBvJTIwQWx0ZXJhZG8yPC9JdGVtUGF0aD48L0l0ZW1Mb2NhdGlvbj48U3RhYmxlRW50cmllcyAvPjwvSXRlbT48SXRlbT48SXRlbUxvY2F0aW9uPjxJdGVtVHlwZT5Gb3JtdWxhPC9JdGVtVHlwZT48SXRlbVBhdGg+U2VjdGlvbjEvaG9qZTEyJTIwMzI2JTIwc3AlMjAoMikvRGl2aWRpciUyMENvbHVuYSUyMHBlbGElMjBQb3NpJUMzJUE3JUMzJUEzbzM8L0l0ZW1QYXRoPjwvSXRlbUxvY2F0aW9uPjxTdGFibGVFbnRyaWVzIC8+PC9JdGVtPjxJdGVtPjxJdGVtTG9jYXRpb24+PEl0ZW1UeXBlPkZvcm11bGE8L0l0ZW1UeXBlPjxJdGVtUGF0aD5TZWN0aW9uMS9ob2plMTIlMjAzMjYlMjBzcCUyMCgyKS9UaXBvJTIwQWx0ZXJhZG8zPC9JdGVtUGF0aD48L0l0ZW1Mb2NhdGlvbj48U3RhYmxlRW50cmllcyAvPjwvSXRlbT48SXRlbT48SXRlbUxvY2F0aW9uPjxJdGVtVHlwZT5Gb3JtdWxhPC9JdGVtVHlwZT48SXRlbVBhdGg+U2VjdGlvbjEvaG9qZTEyJTIwMzI2JTIwc3AlMjAoMikvRGl2aWRpciUyMENvbHVuYSUyMHBlbGElMjBQb3NpJUMzJUE3JUMzJUEzbzQ8L0l0ZW1QYXRoPjwvSXRlbUxvY2F0aW9uPjxTdGFibGVFbnRyaWVzIC8+PC9JdGVtPjxJdGVtPjxJdGVtTG9jYXRpb24+PEl0ZW1UeXBlPkZvcm11bGE8L0l0ZW1UeXBlPjxJdGVtUGF0aD5TZWN0aW9uMS9ob2plMTIlMjAzMjYlMjBzcCUyMCgyKS9UaXBvJTIwQWx0ZXJhZG80PC9JdGVtUGF0aD48L0l0ZW1Mb2NhdGlvbj48U3RhYmxlRW50cmllcyAvPjwvSXRlbT48SXRlbT48SXRlbUxvY2F0aW9uPjxJdGVtVHlwZT5Gb3JtdWxhPC9JdGVtVHlwZT48SXRlbVBhdGg+U2VjdGlvbjEvaG9qZTEyJTIwMzI2JTIwc3AlMjAoMikvRGl2aWRpciUyMENvbHVuYSUyMHBlbGElMjBQb3NpJUMzJUE3JUMzJUEzbzU8L0l0ZW1QYXRoPjwvSXRlbUxvY2F0aW9uPjxTdGFibGVFbnRyaWVzIC8+PC9JdGVtPjxJdGVtPjxJdGVtTG9jYXRpb24+PEl0ZW1UeXBlPkZvcm11bGE8L0l0ZW1UeXBlPjxJdGVtUGF0aD5TZWN0aW9uMS9ob2plMTIlMjAzMjYlMjBzcCUyMCgyKS9UaXBvJTIwQWx0ZXJhZG81PC9JdGVtUGF0aD48L0l0ZW1Mb2NhdGlvbj48U3RhYmxlRW50cmllcyAvPjwvSXRlbT48SXRlbT48SXRlbUxvY2F0aW9uPjxJdGVtVHlwZT5Gb3JtdWxhPC9JdGVtVHlwZT48SXRlbVBhdGg+U2VjdGlvbjEvaG9qZTEyJTIwMzI2JTIwc3AlMjAoMikvRGl2aWRpciUyMENvbHVuYSUyMHBlbGElMjBQb3NpJUMzJUE3JUMzJUEzbzY8L0l0ZW1QYXRoPjwvSXRlbUxvY2F0aW9uPjxTdGFibGVFbnRyaWVzIC8+PC9JdGVtPjxJdGVtPjxJdGVtTG9jYXRpb24+PEl0ZW1UeXBlPkZvcm11bGE8L0l0ZW1UeXBlPjxJdGVtUGF0aD5TZWN0aW9uMS9ob2plMTIlMjAzMjYlMjBzcCUyMCgyKS9UaXBvJTIwQWx0ZXJhZG82PC9JdGVtUGF0aD48L0l0ZW1Mb2NhdGlvbj48U3RhYmxlRW50cmllcyAvPjwvSXRlbT48SXRlbT48SXRlbUxvY2F0aW9uPjxJdGVtVHlwZT5Gb3JtdWxhPC9JdGVtVHlwZT48SXRlbVBhdGg+U2VjdGlvbjEvaG9qZTEyJTIwMzI2JTIwc3AlMjAoMikvRGl2aWRpciUyMENvbHVuYSUyMHBlbGElMjBQb3NpJUMzJUE3JUMzJUEzbzc8L0l0ZW1QYXRoPjwvSXRlbUxvY2F0aW9uPjxTdGFibGVFbnRyaWVzIC8+PC9JdGVtPjxJdGVtPjxJdGVtTG9jYXRpb24+PEl0ZW1UeXBlPkZvcm11bGE8L0l0ZW1UeXBlPjxJdGVtUGF0aD5TZWN0aW9uMS9ob2plMTIlMjAzMjYlMjBzcCUyMCgyKS9UaXBvJTIwQWx0ZXJhZG83PC9JdGVtUGF0aD48L0l0ZW1Mb2NhdGlvbj48U3RhYmxlRW50cmllcyAvPjwvSXRlbT48SXRlbT48SXRlbUxvY2F0aW9uPjxJdGVtVHlwZT5Gb3JtdWxhPC9JdGVtVHlwZT48SXRlbVBhdGg+U2VjdGlvbjEvaG9qZTEyJTIwMzI2JTIwc3AlMjAoMikvRGl2aWRpciUyMENvbHVuYSUyMHBlbGElMjBQb3NpJUMzJUE3JUMzJUEzbzg8L0l0ZW1QYXRoPjwvSXRlbUxvY2F0aW9uPjxTdGFibGVFbnRyaWVzIC8+PC9JdGVtPjxJdGVtPjxJdGVtTG9jYXRpb24+PEl0ZW1UeXBlPkZvcm11bGE8L0l0ZW1UeXBlPjxJdGVtUGF0aD5TZWN0aW9uMS9ob2plMTIlMjAzMjYlMjBzcCUyMCgyKS9UaXBvJTIwQWx0ZXJhZG84PC9JdGVtUGF0aD48L0l0ZW1Mb2NhdGlvbj48U3RhYmxlRW50cmllcyAvPjwvSXRlbT48SXRlbT48SXRlbUxvY2F0aW9uPjxJdGVtVHlwZT5Gb3JtdWxhPC9JdGVtVHlwZT48SXRlbVBhdGg+U2VjdGlvbjEvaG9qZTEyJTIwMzI2JTIwc3AlMjAoMikvRGl2aWRpciUyMENvbHVuYSUyMHBlbGElMjBQb3NpJUMzJUE3JUMzJUEzbzk8L0l0ZW1QYXRoPjwvSXRlbUxvY2F0aW9uPjxTdGFibGVFbnRyaWVzIC8+PC9JdGVtPjxJdGVtPjxJdGVtTG9jYXRpb24+PEl0ZW1UeXBlPkZvcm11bGE8L0l0ZW1UeXBlPjxJdGVtUGF0aD5TZWN0aW9uMS9ob2plMTIlMjAzMjYlMjBzcCUyMCgyKS9UaXBvJTIwQWx0ZXJhZG85PC9JdGVtUGF0aD48L0l0ZW1Mb2NhdGlvbj48U3RhYmxlRW50cmllcyAvPjwvSXRlbT48SXRlbT48SXRlbUxvY2F0aW9uPjxJdGVtVHlwZT5Gb3JtdWxhPC9JdGVtVHlwZT48SXRlbVBhdGg+U2VjdGlvbjEvaG9qZTEyJTIwMzI2JTIwc3AlMjAoMikvRGl2aWRpciUyMENvbHVuYSUyMHBlbGElMjBQb3NpJUMzJUE3JUMzJUEzbzEwPC9JdGVtUGF0aD48L0l0ZW1Mb2NhdGlvbj48U3RhYmxlRW50cmllcyAvPjwvSXRlbT48SXRlbT48SXRlbUxvY2F0aW9uPjxJdGVtVHlwZT5Gb3JtdWxhPC9JdGVtVHlwZT48SXRlbVBhdGg+U2VjdGlvbjEvaG9qZTEyJTIwMzI2JTIwc3AlMjAoMikvVGlwbyUyMEFsdGVyYWRvMTA8L0l0ZW1QYXRoPjwvSXRlbUxvY2F0aW9uPjxTdGFibGVFbnRyaWVzIC8+PC9JdGVtPjxJdGVtPjxJdGVtTG9jYXRpb24+PEl0ZW1UeXBlPkZvcm11bGE8L0l0ZW1UeXBlPjxJdGVtUGF0aD5TZWN0aW9uMS9ob2plMTIlMjAzMjYlMjBzcCUyMCgyKS9EaXZpZGlyJTIwQ29sdW5hJTIwcGVsYSUyMFBvc2klQzMlQTclQzMlQTNvMTE8L0l0ZW1QYXRoPjwvSXRlbUxvY2F0aW9uPjxTdGFibGVFbnRyaWVzIC8+PC9JdGVtPjxJdGVtPjxJdGVtTG9jYXRpb24+PEl0ZW1UeXBlPkZvcm11bGE8L0l0ZW1UeXBlPjxJdGVtUGF0aD5TZWN0aW9uMS9ob2plMTIlMjAzMjYlMjBzcCUyMCgyKS9UaXBvJTIwQWx0ZXJhZG8xMTwvSXRlbVBhdGg+PC9JdGVtTG9jYXRpb24+PFN0YWJsZUVudHJpZXMgLz48L0l0ZW0+PEl0ZW0+PEl0ZW1Mb2NhdGlvbj48SXRlbVR5cGU+Rm9ybXVsYTwvSXRlbVR5cGU+PEl0ZW1QYXRoPlNlY3Rpb24xL2hvamUxMiUyMDMyNiUyMHNwJTIwKDIpL0RpdmlkaXIlMjBDb2x1bmElMjBwZWxhJTIwUG9zaSVDMyVBNyVDMyVBM28xMjwvSXRlbVBhdGg+PC9JdGVtTG9jYXRpb24+PFN0YWJsZUVudHJpZXMgLz48L0l0ZW0+PEl0ZW0+PEl0ZW1Mb2NhdGlvbj48SXRlbVR5cGU+Rm9ybXVsYTwvSXRlbVR5cGU+PEl0ZW1QYXRoPlNlY3Rpb24xL2hvamUxMiUyMDMyNiUyMHNwJTIwKDIpL1RpcG8lMjBBbHRlcmFkbzEyPC9JdGVtUGF0aD48L0l0ZW1Mb2NhdGlvbj48U3RhYmxlRW50cmllcyAvPjwvSXRlbT48SXRlbT48SXRlbUxvY2F0aW9uPjxJdGVtVHlwZT5Gb3JtdWxhPC9JdGVtVHlwZT48SXRlbVBhdGg+U2VjdGlvbjEvaG9qZTEyJTIwMzI2JTIwc3AlMjAoMikvRGl2aWRpciUyMENvbHVuYSUyMHBlbGElMjBQb3NpJUMzJUE3JUMzJUEzbzEzPC9JdGVtUGF0aD48L0l0ZW1Mb2NhdGlvbj48U3RhYmxlRW50cmllcyAvPjwvSXRlbT48SXRlbT48SXRlbUxvY2F0aW9uPjxJdGVtVHlwZT5Gb3JtdWxhPC9JdGVtVHlwZT48SXRlbVBhdGg+U2VjdGlvbjEvaG9qZTEyJTIwMzI2JTIwc3AlMjAoMikvVGlwbyUyMEFsdGVyYWRvMTM8L0l0ZW1QYXRoPjwvSXRlbUxvY2F0aW9uPjxTdGFibGVFbnRyaWVzIC8+PC9JdGVtPjxJdGVtPjxJdGVtTG9jYXRpb24+PEl0ZW1UeXBlPkZvcm11bGE8L0l0ZW1UeXBlPjxJdGVtUGF0aD5TZWN0aW9uMS9ob2plMTIlMjAzMjYlMjBzcCUyMCgyKS9EaXZpZGlyJTIwQ29sdW5hJTIwcGVsYSUyMFBvc2klQzMlQTclQzMlQTNvMTQ8L0l0ZW1QYXRoPjwvSXRlbUxvY2F0aW9uPjxTdGFibGVFbnRyaWVzIC8+PC9JdGVtPjxJdGVtPjxJdGVtTG9jYXRpb24+PEl0ZW1UeXBlPkZvcm11bGE8L0l0ZW1UeXBlPjxJdGVtUGF0aD5TZWN0aW9uMS9ob2plMTIlMjAzMjYlMjBzcCUyMCgyKS9UaXBvJTIwQWx0ZXJhZG8xNDwvSXRlbVBhdGg+PC9JdGVtTG9jYXRpb24+PFN0YWJsZUVudHJpZXMgLz48L0l0ZW0+PEl0ZW0+PEl0ZW1Mb2NhdGlvbj48SXRlbVR5cGU+Rm9ybXVsYTwvSXRlbVR5cGU+PEl0ZW1QYXRoPlNlY3Rpb24xL2hvamUxMiUyMDMyNiUyMHNwJTIwKDIpL0RpdmlkaXIlMjBDb2x1bmElMjBwZWxhJTIwUG9zaSVDMyVBNyVDMyVBM28xNTwvSXRlbVBhdGg+PC9JdGVtTG9jYXRpb24+PFN0YWJsZUVudHJpZXMgLz48L0l0ZW0+PEl0ZW0+PEl0ZW1Mb2NhdGlvbj48SXRlbVR5cGU+Rm9ybXVsYTwvSXRlbVR5cGU+PEl0ZW1QYXRoPlNlY3Rpb24xL2hvamUxMiUyMDMyNiUyMHNwJTIwKDIpL1RpcG8lMjBBbHRlcmFkbzE1PC9JdGVtUGF0aD48L0l0ZW1Mb2NhdGlvbj48U3RhYmxlRW50cmllcyAvPjwvSXRlbT48SXRlbT48SXRlbUxvY2F0aW9uPjxJdGVtVHlwZT5Gb3JtdWxhPC9JdGVtVHlwZT48SXRlbVBhdGg+U2VjdGlvbjEvaG9qZTEyJTIwMzI2JTIwc3AlMjAoMikvRGl2aWRpciUyMENvbHVuYSUyMHBlbGElMjBQb3NpJUMzJUE3JUMzJUEzbzE2PC9JdGVtUGF0aD48L0l0ZW1Mb2NhdGlvbj48U3RhYmxlRW50cmllcyAvPjwvSXRlbT48SXRlbT48SXRlbUxvY2F0aW9uPjxJdGVtVHlwZT5Gb3JtdWxhPC9JdGVtVHlwZT48SXRlbVBhdGg+U2VjdGlvbjEvaG9qZTEyJTIwMzI2JTIwc3AlMjAoMikvVGlwbyUyMEFsdGVyYWRvMTY8L0l0ZW1QYXRoPjwvSXRlbUxvY2F0aW9uPjxTdGFibGVFbnRyaWVzIC8+PC9JdGVtPjxJdGVtPjxJdGVtTG9jYXRpb24+PEl0ZW1UeXBlPkZvcm11bGE8L0l0ZW1UeXBlPjxJdGVtUGF0aD5TZWN0aW9uMS9ob2plMTIlMjAzMjYlMjBzcCUyMCgyKS9EaXZpZGlyJTIwQ29sdW5hJTIwcGVsYSUyMFBvc2klQzMlQTclQzMlQTNvMTc8L0l0ZW1QYXRoPjwvSXRlbUxvY2F0aW9uPjxTdGFibGVFbnRyaWVzIC8+PC9JdGVtPjxJdGVtPjxJdGVtTG9jYXRpb24+PEl0ZW1UeXBlPkZvcm11bGE8L0l0ZW1UeXBlPjxJdGVtUGF0aD5TZWN0aW9uMS9ob2plMTIlMjAzMjYlMjBzcCUyMCgyKS9UaXBvJTIwQWx0ZXJhZG8xNzwvSXRlbVBhdGg+PC9JdGVtTG9jYXRpb24+PFN0YWJsZUVudHJpZXMgLz48L0l0ZW0+PEl0ZW0+PEl0ZW1Mb2NhdGlvbj48SXRlbVR5cGU+Rm9ybXVsYTwvSXRlbVR5cGU+PEl0ZW1QYXRoPlNlY3Rpb24xL2hvamUxMiUyMDMyNiUyMHNwJTIwKDIpL0RpdmlkaXIlMjBDb2x1bmElMjBwZWxhJTIwUG9zaSVDMyVBNyVDMyVBM28xODwvSXRlbVBhdGg+PC9JdGVtTG9jYXRpb24+PFN0YWJsZUVudHJpZXMgLz48L0l0ZW0+PEl0ZW0+PEl0ZW1Mb2NhdGlvbj48SXRlbVR5cGU+Rm9ybXVsYTwvSXRlbVR5cGU+PEl0ZW1QYXRoPlNlY3Rpb24xL2hvamUxMiUyMDMyNiUyMHNwJTIwKDIpL1RpcG8lMjBBbHRlcmFkbzE4PC9JdGVtUGF0aD48L0l0ZW1Mb2NhdGlvbj48U3RhYmxlRW50cmllcyAvPjwvSXRlbT48SXRlbT48SXRlbUxvY2F0aW9uPjxJdGVtVHlwZT5Gb3JtdWxhPC9JdGVtVHlwZT48SXRlbVBhdGg+U2VjdGlvbjEvaG9qZTEyJTIwMzI2JTIwc3AlMjAoMikvQ29sdW5hJTIwRHVwbGljYWRhPC9JdGVtUGF0aD48L0l0ZW1Mb2NhdGlvbj48U3RhYmxlRW50cmllcyAvPjwvSXRlbT48SXRlbT48SXRlbUxvY2F0aW9uPjxJdGVtVHlwZT5Gb3JtdWxhPC9JdGVtVHlwZT48SXRlbVBhdGg+U2VjdGlvbjEvaG9qZTEyJTIwMzI2JTIwc3AlMjAoMikvQ29sdW5hcyUyMFJlb3JkZW5hZGFzPC9JdGVtUGF0aD48L0l0ZW1Mb2NhdGlvbj48U3RhYmxlRW50cmllcyAvPjwvSXRlbT48SXRlbT48SXRlbUxvY2F0aW9uPjxJdGVtVHlwZT5Gb3JtdWxhPC9JdGVtVHlwZT48SXRlbVBhdGg+U2VjdGlvbjEvaG9qZTEyJTIwMzI2JTIwc3AlMjAoMikvVGlwbyUyMEFsdGVyYWRvMTk8L0l0ZW1QYXRoPjwvSXRlbUxvY2F0aW9uPjxTdGFibGVFbnRyaWVzIC8+PC9JdGVtPjxJdGVtPjxJdGVtTG9jYXRpb24+PEl0ZW1UeXBlPkZvcm11bGE8L0l0ZW1UeXBlPjxJdGVtUGF0aD5TZWN0aW9uMS9ob2plMTIlMjAzMjYlMjBzcCUyMCgyKS9Db2x1bmFzJTIwUmVub21lYWRhczwvSXRlbVBhdGg+PC9JdGVtTG9jYXRpb24+PFN0YWJsZUVudHJpZXMgLz48L0l0ZW0+PEl0ZW0+PEl0ZW1Mb2NhdGlvbj48SXRlbVR5cGU+Rm9ybXVsYTwvSXRlbVR5cGU+PEl0ZW1QYXRoPlNlY3Rpb24xL2hvamUxMiUyMDMyNiUyMHNwJTIwKDIpL1RpcG8lMjBBbHRlcmFkbzIwPC9JdGVtUGF0aD48L0l0ZW1Mb2NhdGlvbj48U3RhYmxlRW50cmllcyAvPjwvSXRlbT48SXRlbT48SXRlbUxvY2F0aW9uPjxJdGVtVHlwZT5Gb3JtdWxhPC9JdGVtVHlwZT48SXRlbVBhdGg+U2VjdGlvbjEvaG9qZTEyJTIwMzI2JTIwc3AlMjAoMikvQ29sdW5hcyUyMFJlbm9tZWFkYXMxPC9JdGVtUGF0aD48L0l0ZW1Mb2NhdGlvbj48U3RhYmxlRW50cmllcyAvPjwvSXRlbT48SXRlbT48SXRlbUxvY2F0aW9uPjxJdGVtVHlwZT5Gb3JtdWxhPC9JdGVtVHlwZT48SXRlbVBhdGg+U2VjdGlvbjEvaG9qZTEyJTIwMzI2JTIwc3AlMjAoMikvTGluaGFzJTIwZW0lMjBCcmFuY28lMjBSZW1vdmlkYXM8L0l0ZW1QYXRoPjwvSXRlbUxvY2F0aW9uPjxTdGFibGVFbnRyaWVzIC8+PC9JdGVtPjxJdGVtPjxJdGVtTG9jYXRpb24+PEl0ZW1UeXBlPkZvcm11bGE8L0l0ZW1UeXBlPjxJdGVtUGF0aD5TZWN0aW9uMS9ob2plMTIlMjAzMjYlMjBzcCUyMCgyKS9FcnJvcyUyMFJlbW92aWRvczwvSXRlbVBhdGg+PC9JdGVtTG9jYXRpb24+PFN0YWJsZUVudHJpZXMgLz48L0l0ZW0+PEl0ZW0+PEl0ZW1Mb2NhdGlvbj48SXRlbVR5cGU+Rm9ybXVsYTwvSXRlbVR5cGU+PEl0ZW1QYXRoPlNlY3Rpb24xL2hvamUxMiUyMDMyNiUyMHNwJTIwKDIpL1RpcG8lMjBBbHRlcmFkbzIxPC9JdGVtUGF0aD48L0l0ZW1Mb2NhdGlvbj48U3RhYmxlRW50cmllcyAvPjwvSXRlbT48SXRlbT48SXRlbUxvY2F0aW9uPjxJdGVtVHlwZT5Gb3JtdWxhPC9JdGVtVHlwZT48SXRlbVBhdGg+U2VjdGlvbjEvaG9qZTEyJTIwMzI2JTIwc3AlMjAoMikvTGluaGFzJTIwQ2xhc3NpZmljYWRhczwvSXRlbVBhdGg+PC9JdGVtTG9jYXRpb24+PFN0YWJsZUVudHJpZXMgLz48L0l0ZW0+PEl0ZW0+PEl0ZW1Mb2NhdGlvbj48SXRlbVR5cGU+Rm9ybXVsYTwvSXRlbVR5cGU+PEl0ZW1QYXRoPlNlY3Rpb24xL2hvamUxMiUyMDMyNiUyMHNwJTIwKDIpL0Vycm9zJTIwUmVtb3ZpZG9zMTwvSXRlbVBhdGg+PC9JdGVtTG9jYXRpb24+PFN0YWJsZUVudHJpZXMgLz48L0l0ZW0+PEl0ZW0+PEl0ZW1Mb2NhdGlvbj48SXRlbVR5cGU+Rm9ybXVsYTwvSXRlbVR5cGU+PEl0ZW1QYXRoPlNlY3Rpb24xL2hvamUxMiUyMDMyNiUyMHNwJTIwKDIpL0Vycm9zJTIwUmVtb3ZpZG9zMjwvSXRlbVBhdGg+PC9JdGVtTG9jYXRpb24+PFN0YWJsZUVudHJpZXMgLz48L0l0ZW0+PEl0ZW0+PEl0ZW1Mb2NhdGlvbj48SXRlbVR5cGU+Rm9ybXVsYTwvSXRlbVR5cGU+PEl0ZW1QYXRoPlNlY3Rpb24xL2hvamUxMiUyMDMyNiUyMHNwJTIwKDIpL0xpbmhhcyUyMGVtJTIwQnJhbmNvJTIwUmVtb3ZpZGFzMTwvSXRlbVBhdGg+PC9JdGVtTG9jYXRpb24+PFN0YWJsZUVudHJpZXMgLz48L0l0ZW0+PEl0ZW0+PEl0ZW1Mb2NhdGlvbj48SXRlbVR5cGU+Rm9ybXVsYTwvSXRlbVR5cGU+PEl0ZW1QYXRoPlNlY3Rpb24xL2hvamUxMiUyMDMyNiUyMHNwJTIwKDIpL0xpbmhhcyUyMENsYXNzaWZpY2FkYXMxPC9JdGVtUGF0aD48L0l0ZW1Mb2NhdGlvbj48U3RhYmxlRW50cmllcyAvPjwvSXRlbT48SXRlbT48SXRlbUxvY2F0aW9uPjxJdGVtVHlwZT5Gb3JtdWxhPC9JdGVtVHlwZT48SXRlbVBhdGg+U2VjdGlvbjEvaG9qZTEyJTIwMzI2JTIwc3AlMjAoMikvQ29sdW5hcyUyMFJlbW92aWRhczwvSXRlbVBhdGg+PC9JdGVtTG9jYXRpb24+PFN0YWJsZUVudHJpZXMgLz48L0l0ZW0+PEl0ZW0+PEl0ZW1Mb2NhdGlvbj48SXRlbVR5cGU+Rm9ybXVsYTwvSXRlbVR5cGU+PEl0ZW1QYXRoPlNlY3Rpb24xL2hvamUxMiUyMDMyNiUyMHNwJTIwKDIpL0xpbmhhcyUyMEZpbHRyYWRhczwvSXRlbVBhdGg+PC9JdGVtTG9jYXRpb24+PFN0YWJsZUVudHJpZXMgLz48L0l0ZW0+PEl0ZW0+PEl0ZW1Mb2NhdGlvbj48SXRlbVR5cGU+Rm9ybXVsYTwvSXRlbVR5cGU+PEl0ZW1QYXRoPlNlY3Rpb24xL2hvamUxMiUyMDMyNiUyMHNwJTIwKDIpL1RpcG8lMjBBbHRlcmFkbzIyPC9JdGVtUGF0aD48L0l0ZW1Mb2NhdGlvbj48U3RhYmxlRW50cmllcyAvPjwvSXRlbT48SXRlbT48SXRlbUxvY2F0aW9uPjxJdGVtVHlwZT5Gb3JtdWxhPC9JdGVtVHlwZT48SXRlbVBhdGg+U2VjdGlvbjEvaG9qZTEyJTIwMzI2JTIwYW5hJTIwKDIpL0ZvbnRlPC9JdGVtUGF0aD48L0l0ZW1Mb2NhdGlvbj48U3RhYmxlRW50cmllcyAvPjwvSXRlbT48SXRlbT48SXRlbUxvY2F0aW9uPjxJdGVtVHlwZT5Gb3JtdWxhPC9JdGVtVHlwZT48SXRlbVBhdGg+U2VjdGlvbjEvaG9qZTEyJTIwMzI2JTIwYW5hJTIwKDIpL0RpdmlkaXIlMjBDb2x1bmElMjBwZWxhJTIwUG9zaSVDMyVBNyVDMyVBM288L0l0ZW1QYXRoPjwvSXRlbUxvY2F0aW9uPjxTdGFibGVFbnRyaWVzIC8+PC9JdGVtPjxJdGVtPjxJdGVtTG9jYXRpb24+PEl0ZW1UeXBlPkZvcm11bGE8L0l0ZW1UeXBlPjxJdGVtUGF0aD5TZWN0aW9uMS9ob2plMTIlMjAzMjYlMjBhbmElMjAoMikvVGlwbyUyMEFsdGVyYWRvPC9JdGVtUGF0aD48L0l0ZW1Mb2NhdGlvbj48U3RhYmxlRW50cmllcyAvPjwvSXRlbT48SXRlbT48SXRlbUxvY2F0aW9uPjxJdGVtVHlwZT5Gb3JtdWxhPC9JdGVtVHlwZT48SXRlbVBhdGg+U2VjdGlvbjEvaG9qZTEyJTIwMzI2JTIwYW5hJTIwKDIpL0RpdmlkaXIlMjBDb2x1bmElMjBwZWxhJTIwUG9zaSVDMyVBNyVDMyVBM28xPC9JdGVtUGF0aD48L0l0ZW1Mb2NhdGlvbj48U3RhYmxlRW50cmllcyAvPjwvSXRlbT48SXRlbT48SXRlbUxvY2F0aW9uPjxJdGVtVHlwZT5Gb3JtdWxhPC9JdGVtVHlwZT48SXRlbVBhdGg+U2VjdGlvbjEvaG9qZTEyJTIwMzI2JTIwYW5hJTIwKDIpL1RpcG8lMjBBbHRlcmFkbzE8L0l0ZW1QYXRoPjwvSXRlbUxvY2F0aW9uPjxTdGFibGVFbnRyaWVzIC8+PC9JdGVtPjxJdGVtPjxJdGVtTG9jYXRpb24+PEl0ZW1UeXBlPkZvcm11bGE8L0l0ZW1UeXBlPjxJdGVtUGF0aD5TZWN0aW9uMS9ob2plMTIlMjAzMjYlMjBhbmElMjAoMikvRGl2aWRpciUyMENvbHVuYSUyMHBlbGElMjBQb3NpJUMzJUE3JUMzJUEzbzI8L0l0ZW1QYXRoPjwvSXRlbUxvY2F0aW9uPjxTdGFibGVFbnRyaWVzIC8+PC9JdGVtPjxJdGVtPjxJdGVtTG9jYXRpb24+PEl0ZW1UeXBlPkZvcm11bGE8L0l0ZW1UeXBlPjxJdGVtUGF0aD5TZWN0aW9uMS9ob2plMTIlMjAzMjYlMjBhbmElMjAoMikvVGlwbyUyMEFsdGVyYWRvMjwvSXRlbVBhdGg+PC9JdGVtTG9jYXRpb24+PFN0YWJsZUVudHJpZXMgLz48L0l0ZW0+PEl0ZW0+PEl0ZW1Mb2NhdGlvbj48SXRlbVR5cGU+Rm9ybXVsYTwvSXRlbVR5cGU+PEl0ZW1QYXRoPlNlY3Rpb24xL2hvamUxMiUyMDMyNiUyMGFuYSUyMCgyKS9EaXZpZGlyJTIwQ29sdW5hJTIwcGVsYSUyMFBvc2klQzMlQTclQzMlQTNvMzwvSXRlbVBhdGg+PC9JdGVtTG9jYXRpb24+PFN0YWJsZUVudHJpZXMgLz48L0l0ZW0+PEl0ZW0+PEl0ZW1Mb2NhdGlvbj48SXRlbVR5cGU+Rm9ybXVsYTwvSXRlbVR5cGU+PEl0ZW1QYXRoPlNlY3Rpb24xL2hvamUxMiUyMDMyNiUyMGFuYSUyMCgyKS9UaXBvJTIwQWx0ZXJhZG8zPC9JdGVtUGF0aD48L0l0ZW1Mb2NhdGlvbj48U3RhYmxlRW50cmllcyAvPjwvSXRlbT48SXRlbT48SXRlbUxvY2F0aW9uPjxJdGVtVHlwZT5Gb3JtdWxhPC9JdGVtVHlwZT48SXRlbVBhdGg+U2VjdGlvbjEvaG9qZTEyJTIwMzI2JTIwYW5hJTIwKDIpL0RpdmlkaXIlMjBDb2x1bmElMjBwZWxhJTIwUG9zaSVDMyVBNyVDMyVBM280PC9JdGVtUGF0aD48L0l0ZW1Mb2NhdGlvbj48U3RhYmxlRW50cmllcyAvPjwvSXRlbT48SXRlbT48SXRlbUxvY2F0aW9uPjxJdGVtVHlwZT5Gb3JtdWxhPC9JdGVtVHlwZT48SXRlbVBhdGg+U2VjdGlvbjEvaG9qZTEyJTIwMzI2JTIwYW5hJTIwKDIpL1RpcG8lMjBBbHRlcmFkbzQ8L0l0ZW1QYXRoPjwvSXRlbUxvY2F0aW9uPjxTdGFibGVFbnRyaWVzIC8+PC9JdGVtPjxJdGVtPjxJdGVtTG9jYXRpb24+PEl0ZW1UeXBlPkZvcm11bGE8L0l0ZW1UeXBlPjxJdGVtUGF0aD5TZWN0aW9uMS9ob2plMTIlMjAzMjYlMjBhbmElMjAoMikvRGl2aWRpciUyMENvbHVuYSUyMHBlbGElMjBQb3NpJUMzJUE3JUMzJUEzbzU8L0l0ZW1QYXRoPjwvSXRlbUxvY2F0aW9uPjxTdGFibGVFbnRyaWVzIC8+PC9JdGVtPjxJdGVtPjxJdGVtTG9jYXRpb24+PEl0ZW1UeXBlPkZvcm11bGE8L0l0ZW1UeXBlPjxJdGVtUGF0aD5TZWN0aW9uMS9ob2plMTIlMjAzMjYlMjBhbmElMjAoMikvVGlwbyUyMEFsdGVyYWRvNTwvSXRlbVBhdGg+PC9JdGVtTG9jYXRpb24+PFN0YWJsZUVudHJpZXMgLz48L0l0ZW0+PEl0ZW0+PEl0ZW1Mb2NhdGlvbj48SXRlbVR5cGU+Rm9ybXVsYTwvSXRlbVR5cGU+PEl0ZW1QYXRoPlNlY3Rpb24xL2hvamUxMiUyMDMyNiUyMGFuYSUyMCgyKS9EaXZpZGlyJTIwQ29sdW5hJTIwcGVsYSUyMFBvc2klQzMlQTclQzMlQTNvNjwvSXRlbVBhdGg+PC9JdGVtTG9jYXRpb24+PFN0YWJsZUVudHJpZXMgLz48L0l0ZW0+PEl0ZW0+PEl0ZW1Mb2NhdGlvbj48SXRlbVR5cGU+Rm9ybXVsYTwvSXRlbVR5cGU+PEl0ZW1QYXRoPlNlY3Rpb24xL2hvamUxMiUyMDMyNiUyMGFuYSUyMCgyKS9UaXBvJTIwQWx0ZXJhZG82PC9JdGVtUGF0aD48L0l0ZW1Mb2NhdGlvbj48U3RhYmxlRW50cmllcyAvPjwvSXRlbT48SXRlbT48SXRlbUxvY2F0aW9uPjxJdGVtVHlwZT5Gb3JtdWxhPC9JdGVtVHlwZT48SXRlbVBhdGg+U2VjdGlvbjEvaG9qZTEyJTIwMzI2JTIwYW5hJTIwKDIpL0RpdmlkaXIlMjBDb2x1bmElMjBwZWxhJTIwUG9zaSVDMyVBNyVDMyVBM283PC9JdGVtUGF0aD48L0l0ZW1Mb2NhdGlvbj48U3RhYmxlRW50cmllcyAvPjwvSXRlbT48SXRlbT48SXRlbUxvY2F0aW9uPjxJdGVtVHlwZT5Gb3JtdWxhPC9JdGVtVHlwZT48SXRlbVBhdGg+U2VjdGlvbjEvaG9qZTEyJTIwMzI2JTIwYW5hJTIwKDIpL1RpcG8lMjBBbHRlcmFkbzc8L0l0ZW1QYXRoPjwvSXRlbUxvY2F0aW9uPjxTdGFibGVFbnRyaWVzIC8+PC9JdGVtPjxJdGVtPjxJdGVtTG9jYXRpb24+PEl0ZW1UeXBlPkZvcm11bGE8L0l0ZW1UeXBlPjxJdGVtUGF0aD5TZWN0aW9uMS9ob2plMTIlMjAzMjYlMjBhbmElMjAoMikvRGl2aWRpciUyMENvbHVuYSUyMHBlbGElMjBQb3NpJUMzJUE3JUMzJUEzbzg8L0l0ZW1QYXRoPjwvSXRlbUxvY2F0aW9uPjxTdGFibGVFbnRyaWVzIC8+PC9JdGVtPjxJdGVtPjxJdGVtTG9jYXRpb24+PEl0ZW1UeXBlPkZvcm11bGE8L0l0ZW1UeXBlPjxJdGVtUGF0aD5TZWN0aW9uMS9ob2plMTIlMjAzMjYlMjBhbmElMjAoMikvVGlwbyUyMEFsdGVyYWRvODwvSXRlbVBhdGg+PC9JdGVtTG9jYXRpb24+PFN0YWJsZUVudHJpZXMgLz48L0l0ZW0+PEl0ZW0+PEl0ZW1Mb2NhdGlvbj48SXRlbVR5cGU+Rm9ybXVsYTwvSXRlbVR5cGU+PEl0ZW1QYXRoPlNlY3Rpb24xL2hvamUxMiUyMDMyNiUyMGFuYSUyMCgyKS9EaXZpZGlyJTIwQ29sdW5hJTIwcGVsYSUyMFBvc2klQzMlQTclQzMlQTNvOTwvSXRlbVBhdGg+PC9JdGVtTG9jYXRpb24+PFN0YWJsZUVudHJpZXMgLz48L0l0ZW0+PEl0ZW0+PEl0ZW1Mb2NhdGlvbj48SXRlbVR5cGU+Rm9ybXVsYTwvSXRlbVR5cGU+PEl0ZW1QYXRoPlNlY3Rpb24xL2hvamUxMiUyMDMyNiUyMGFuYSUyMCgyKS9UaXBvJTIwQWx0ZXJhZG85PC9JdGVtUGF0aD48L0l0ZW1Mb2NhdGlvbj48U3RhYmxlRW50cmllcyAvPjwvSXRlbT48SXRlbT48SXRlbUxvY2F0aW9uPjxJdGVtVHlwZT5Gb3JtdWxhPC9JdGVtVHlwZT48SXRlbVBhdGg+U2VjdGlvbjEvaG9qZTEyJTIwMzI2JTIwYW5hJTIwKDIpL0RpdmlkaXIlMjBDb2x1bmElMjBwZWxhJTIwUG9zaSVDMyVBNyVDMyVBM28xMDwvSXRlbVBhdGg+PC9JdGVtTG9jYXRpb24+PFN0YWJsZUVudHJpZXMgLz48L0l0ZW0+PEl0ZW0+PEl0ZW1Mb2NhdGlvbj48SXRlbVR5cGU+Rm9ybXVsYTwvSXRlbVR5cGU+PEl0ZW1QYXRoPlNlY3Rpb24xL2hvamUxMiUyMDMyNiUyMGFuYSUyMCgyKS9UaXBvJTIwQWx0ZXJhZG8xMDwvSXRlbVBhdGg+PC9JdGVtTG9jYXRpb24+PFN0YWJsZUVudHJpZXMgLz48L0l0ZW0+PEl0ZW0+PEl0ZW1Mb2NhdGlvbj48SXRlbVR5cGU+Rm9ybXVsYTwvSXRlbVR5cGU+PEl0ZW1QYXRoPlNlY3Rpb24xL2hvamUxMiUyMDMyNiUyMGFuYSUyMCgyKS9EaXZpZGlyJTIwQ29sdW5hJTIwcGVsYSUyMFBvc2klQzMlQTclQzMlQTNvMTE8L0l0ZW1QYXRoPjwvSXRlbUxvY2F0aW9uPjxTdGFibGVFbnRyaWVzIC8+PC9JdGVtPjxJdGVtPjxJdGVtTG9jYXRpb24+PEl0ZW1UeXBlPkZvcm11bGE8L0l0ZW1UeXBlPjxJdGVtUGF0aD5TZWN0aW9uMS9ob2plMTIlMjAzMjYlMjBhbmElMjAoMikvVGlwbyUyMEFsdGVyYWRvMTE8L0l0ZW1QYXRoPjwvSXRlbUxvY2F0aW9uPjxTdGFibGVFbnRyaWVzIC8+PC9JdGVtPjxJdGVtPjxJdGVtTG9jYXRpb24+PEl0ZW1UeXBlPkZvcm11bGE8L0l0ZW1UeXBlPjxJdGVtUGF0aD5TZWN0aW9uMS9ob2plMTIlMjAzMjYlMjBhbmElMjAoMikvRXJyb3MlMjBSZW1vdmlkb3M8L0l0ZW1QYXRoPjwvSXRlbUxvY2F0aW9uPjxTdGFibGVFbnRyaWVzIC8+PC9JdGVtPjxJdGVtPjxJdGVtTG9jYXRpb24+PEl0ZW1UeXBlPkZvcm11bGE8L0l0ZW1UeXBlPjxJdGVtUGF0aD5TZWN0aW9uMS9ob2plMTIlMjAzMjYlMjBhbmElMjAoMikvTGluaGFzJTIwZW0lMjBCcmFuY28lMjBSZW1vdmlkYXM8L0l0ZW1QYXRoPjwvSXRlbUxvY2F0aW9uPjxTdGFibGVFbnRyaWVzIC8+PC9JdGVtPjxJdGVtPjxJdGVtTG9jYXRpb24+PEl0ZW1UeXBlPkZvcm11bGE8L0l0ZW1UeXBlPjxJdGVtUGF0aD5TZWN0aW9uMS9ob2plMTIlMjAzMjYlMjBhbmElMjAoMikvRXJyb3MlMjBSZW1vdmlkb3MxPC9JdGVtUGF0aD48L0l0ZW1Mb2NhdGlvbj48U3RhYmxlRW50cmllcyAvPjwvSXRlbT48SXRlbT48SXRlbUxvY2F0aW9uPjxJdGVtVHlwZT5Gb3JtdWxhPC9JdGVtVHlwZT48SXRlbVBhdGg+U2VjdGlvbjEvaG9qZTEyJTIwMzI2JTIwYW5hJTIwKDIpL0xpbmhhcyUyMEZpbHRyYWRhczwvSXRlbVBhdGg+PC9JdGVtTG9jYXRpb24+PFN0YWJsZUVudHJpZXMgLz48L0l0ZW0+PEl0ZW0+PEl0ZW1Mb2NhdGlvbj48SXRlbVR5cGU+Rm9ybXVsYTwvSXRlbVR5cGU+PEl0ZW1QYXRoPlNlY3Rpb24xL2hvamUxMiUyMDMyNiUyMGFuYSUyMCgyKS9Db2x1bmFzJTIwUmVub21lYWRhczwvSXRlbVBhdGg+PC9JdGVtTG9jYXRpb24+PFN0YWJsZUVudHJpZXMgLz48L0l0ZW0+PEl0ZW0+PEl0ZW1Mb2NhdGlvbj48SXRlbVR5cGU+Rm9ybXVsYTwvSXRlbVR5cGU+PEl0ZW1QYXRoPlNlY3Rpb24xL2hvamUxMiUyMDMyNiUyMGFuYSUyMCgyKS9Db2x1bmFzJTIwUmVtb3ZpZGFzPC9JdGVtUGF0aD48L0l0ZW1Mb2NhdGlvbj48U3RhYmxlRW50cmllcyAvPjwvSXRlbT48SXRlbT48SXRlbUxvY2F0aW9uPjxJdGVtVHlwZT5Gb3JtdWxhPC9JdGVtVHlwZT48SXRlbVBhdGg+U2VjdGlvbjEvaG9qZTEyJTIwMzI2JTIwc3AlMjAoMykvRm9udGU8L0l0ZW1QYXRoPjwvSXRlbUxvY2F0aW9uPjxTdGFibGVFbnRyaWVzIC8+PC9JdGVtPjxJdGVtPjxJdGVtTG9jYXRpb24+PEl0ZW1UeXBlPkZvcm11bGE8L0l0ZW1UeXBlPjxJdGVtUGF0aD5TZWN0aW9uMS9ob2plMTIlMjAzMjYlMjBzcCUyMCgzKS9EaXZpZGlyJTIwQ29sdW5hJTIwcGVsYXMlMjBQb3NpJUMzJUE3JUMzJUI1ZXM8L0l0ZW1QYXRoPjwvSXRlbUxvY2F0aW9uPjxTdGFibGVFbnRyaWVzIC8+PC9JdGVtPjxJdGVtPjxJdGVtTG9jYXRpb24+PEl0ZW1UeXBlPkZvcm11bGE8L0l0ZW1UeXBlPjxJdGVtUGF0aD5TZWN0aW9uMS9ob2plMTIlMjAzMjYlMjBzcCUyMCgzKS9UaXBvJTIwQWx0ZXJhZG88L0l0ZW1QYXRoPjwvSXRlbUxvY2F0aW9uPjxTdGFibGVFbnRyaWVzIC8+PC9JdGVtPjxJdGVtPjxJdGVtTG9jYXRpb24+PEl0ZW1UeXBlPkZvcm11bGE8L0l0ZW1UeXBlPjxJdGVtUGF0aD5TZWN0aW9uMS9ob2plMTIlMjAzMjYlMjBzcCUyMCgzKS9Db2x1bmFzJTIwUmVub21lYWRhczwvSXRlbVBhdGg+PC9JdGVtTG9jYXRpb24+PFN0YWJsZUVudHJpZXMgLz48L0l0ZW0+PEl0ZW0+PEl0ZW1Mb2NhdGlvbj48SXRlbVR5cGU+Rm9ybXVsYTwvSXRlbVR5cGU+PEl0ZW1QYXRoPlNlY3Rpb24xL2hvamUxMiUyMDMyNiUyMHNwJTIwKDMpL1RpcG8lMjBBbHRlcmFkbzE8L0l0ZW1QYXRoPjwvSXRlbUxvY2F0aW9uPjxTdGFibGVFbnRyaWVzIC8+PC9JdGVtPjxJdGVtPjxJdGVtTG9jYXRpb24+PEl0ZW1UeXBlPkZvcm11bGE8L0l0ZW1UeXBlPjxJdGVtUGF0aD5TZWN0aW9uMS9ob2plMTIlMjAzMjYlMjBzcCUyMCgzKS9FcnJvcyUyMFJlbW92aWRvczwvSXRlbVBhdGg+PC9JdGVtTG9jYXRpb24+PFN0YWJsZUVudHJpZXMgLz48L0l0ZW0+PEl0ZW0+PEl0ZW1Mb2NhdGlvbj48SXRlbVR5cGU+Rm9ybXVsYTwvSXRlbVR5cGU+PEl0ZW1QYXRoPlNlY3Rpb24xL2hvamUxMiUyMDMyNiUyMHNwJTIwKDMpL0xpbmhhcyUyMEZpbHRyYWRhczwvSXRlbVBhdGg+PC9JdGVtTG9jYXRpb24+PFN0YWJsZUVudHJpZXMgLz48L0l0ZW0+PEl0ZW0+PEl0ZW1Mb2NhdGlvbj48SXRlbVR5cGU+Rm9ybXVsYTwvSXRlbVR5cGU+PEl0ZW1QYXRoPlNlY3Rpb24xL2hvamUxMiUyMDMyNiUyMGFuYSUyMCgzKS9Gb250ZTwvSXRlbVBhdGg+PC9JdGVtTG9jYXRpb24+PFN0YWJsZUVudHJpZXMgLz48L0l0ZW0+PEl0ZW0+PEl0ZW1Mb2NhdGlvbj48SXRlbVR5cGU+Rm9ybXVsYTwvSXRlbVR5cGU+PEl0ZW1QYXRoPlNlY3Rpb24xL2hvamUxMiUyMDMyNiUyMGFuYSUyMCgzKS9EaXZpZGlyJTIwQ29sdW5hJTIwcGVsYSUyMFBvc2klQzMlQTclQzMlQTNvPC9JdGVtUGF0aD48L0l0ZW1Mb2NhdGlvbj48U3RhYmxlRW50cmllcyAvPjwvSXRlbT48SXRlbT48SXRlbUxvY2F0aW9uPjxJdGVtVHlwZT5Gb3JtdWxhPC9JdGVtVHlwZT48SXRlbVBhdGg+U2VjdGlvbjEvaG9qZTEyJTIwMzI2JTIwYW5hJTIwKDMpL1RpcG8lMjBBbHRlcmFkbzwvSXRlbVBhdGg+PC9JdGVtTG9jYXRpb24+PFN0YWJsZUVudHJpZXMgLz48L0l0ZW0+PEl0ZW0+PEl0ZW1Mb2NhdGlvbj48SXRlbVR5cGU+Rm9ybXVsYTwvSXRlbVR5cGU+PEl0ZW1QYXRoPlNlY3Rpb24xL2hvamUxMiUyMDMyNiUyMGFuYSUyMCgzKS9EaXZpZGlyJTIwQ29sdW5hJTIwcGVsYSUyMFBvc2klQzMlQTclQzMlQTNvMTwvSXRlbVBhdGg+PC9JdGVtTG9jYXRpb24+PFN0YWJsZUVudHJpZXMgLz48L0l0ZW0+PEl0ZW0+PEl0ZW1Mb2NhdGlvbj48SXRlbVR5cGU+Rm9ybXVsYTwvSXRlbVR5cGU+PEl0ZW1QYXRoPlNlY3Rpb24xL2hvamUxMiUyMDMyNiUyMGFuYSUyMCgzKS9UaXBvJTIwQWx0ZXJhZG8xPC9JdGVtUGF0aD48L0l0ZW1Mb2NhdGlvbj48U3RhYmxlRW50cmllcyAvPjwvSXRlbT48SXRlbT48SXRlbUxvY2F0aW9uPjxJdGVtVHlwZT5Gb3JtdWxhPC9JdGVtVHlwZT48SXRlbVBhdGg+U2VjdGlvbjEvaG9qZTEyJTIwMzI2JTIwYW5hJTIwKDMpL0RpdmlkaXIlMjBDb2x1bmElMjBwZWxhJTIwUG9zaSVDMyVBNyVDMyVBM28yPC9JdGVtUGF0aD48L0l0ZW1Mb2NhdGlvbj48U3RhYmxlRW50cmllcyAvPjwvSXRlbT48SXRlbT48SXRlbUxvY2F0aW9uPjxJdGVtVHlwZT5Gb3JtdWxhPC9JdGVtVHlwZT48SXRlbVBhdGg+U2VjdGlvbjEvaG9qZTEyJTIwMzI2JTIwYW5hJTIwKDMpL1RpcG8lMjBBbHRlcmFkbzI8L0l0ZW1QYXRoPjwvSXRlbUxvY2F0aW9uPjxTdGFibGVFbnRyaWVzIC8+PC9JdGVtPjxJdGVtPjxJdGVtTG9jYXRpb24+PEl0ZW1UeXBlPkZvcm11bGE8L0l0ZW1UeXBlPjxJdGVtUGF0aD5TZWN0aW9uMS9ob2plMTIlMjAzMjYlMjBhbmElMjAoMykvRGl2aWRpciUyMENvbHVuYSUyMHBlbGElMjBQb3NpJUMzJUE3JUMzJUEzbzM8L0l0ZW1QYXRoPjwvSXRlbUxvY2F0aW9uPjxTdGFibGVFbnRyaWVzIC8+PC9JdGVtPjxJdGVtPjxJdGVtTG9jYXRpb24+PEl0ZW1UeXBlPkZvcm11bGE8L0l0ZW1UeXBlPjxJdGVtUGF0aD5TZWN0aW9uMS9ob2plMTIlMjAzMjYlMjBhbmElMjAoMykvVGlwbyUyMEFsdGVyYWRvMzwvSXRlbVBhdGg+PC9JdGVtTG9jYXRpb24+PFN0YWJsZUVudHJpZXMgLz48L0l0ZW0+PEl0ZW0+PEl0ZW1Mb2NhdGlvbj48SXRlbVR5cGU+Rm9ybXVsYTwvSXRlbVR5cGU+PEl0ZW1QYXRoPlNlY3Rpb24xL2hvamUxMiUyMDMyNiUyMGFuYSUyMCgzKS9EaXZpZGlyJTIwQ29sdW5hJTIwcGVsYSUyMFBvc2klQzMlQTclQzMlQTNvNDwvSXRlbVBhdGg+PC9JdGVtTG9jYXRpb24+PFN0YWJsZUVudHJpZXMgLz48L0l0ZW0+PEl0ZW0+PEl0ZW1Mb2NhdGlvbj48SXRlbVR5cGU+Rm9ybXVsYTwvSXRlbVR5cGU+PEl0ZW1QYXRoPlNlY3Rpb24xL2hvamUxMiUyMDMyNiUyMGFuYSUyMCgzKS9UaXBvJTIwQWx0ZXJhZG80PC9JdGVtUGF0aD48L0l0ZW1Mb2NhdGlvbj48U3RhYmxlRW50cmllcyAvPjwvSXRlbT48SXRlbT48SXRlbUxvY2F0aW9uPjxJdGVtVHlwZT5Gb3JtdWxhPC9JdGVtVHlwZT48SXRlbVBhdGg+U2VjdGlvbjEvaG9qZTEyJTIwMzI2JTIwYW5hJTIwKDMpL0RpdmlkaXIlMjBDb2x1bmElMjBwZWxhJTIwUG9zaSVDMyVBNyVDMyVBM281PC9JdGVtUGF0aD48L0l0ZW1Mb2NhdGlvbj48U3RhYmxlRW50cmllcyAvPjwvSXRlbT48SXRlbT48SXRlbUxvY2F0aW9uPjxJdGVtVHlwZT5Gb3JtdWxhPC9JdGVtVHlwZT48SXRlbVBhdGg+U2VjdGlvbjEvaG9qZTEyJTIwMzI2JTIwYW5hJTIwKDMpL1RpcG8lMjBBbHRlcmFkbzU8L0l0ZW1QYXRoPjwvSXRlbUxvY2F0aW9uPjxTdGFibGVFbnRyaWVzIC8+PC9JdGVtPjxJdGVtPjxJdGVtTG9jYXRpb24+PEl0ZW1UeXBlPkZvcm11bGE8L0l0ZW1UeXBlPjxJdGVtUGF0aD5TZWN0aW9uMS9ob2plMTIlMjAzMjYlMjBhbmElMjAoMykvRGl2aWRpciUyMENvbHVuYSUyMHBlbGElMjBQb3NpJUMzJUE3JUMzJUEzbzY8L0l0ZW1QYXRoPjwvSXRlbUxvY2F0aW9uPjxTdGFibGVFbnRyaWVzIC8+PC9JdGVtPjxJdGVtPjxJdGVtTG9jYXRpb24+PEl0ZW1UeXBlPkZvcm11bGE8L0l0ZW1UeXBlPjxJdGVtUGF0aD5TZWN0aW9uMS9ob2plMTIlMjAzMjYlMjBhbmElMjAoMykvVGlwbyUyMEFsdGVyYWRvNjwvSXRlbVBhdGg+PC9JdGVtTG9jYXRpb24+PFN0YWJsZUVudHJpZXMgLz48L0l0ZW0+PEl0ZW0+PEl0ZW1Mb2NhdGlvbj48SXRlbVR5cGU+Rm9ybXVsYTwvSXRlbVR5cGU+PEl0ZW1QYXRoPlNlY3Rpb24xL2hvamUxMiUyMDMyNiUyMGFuYSUyMCgzKS9EaXZpZGlyJTIwQ29sdW5hJTIwcGVsYSUyMFBvc2klQzMlQTclQzMlQTNvNzwvSXRlbVBhdGg+PC9JdGVtTG9jYXRpb24+PFN0YWJsZUVudHJpZXMgLz48L0l0ZW0+PEl0ZW0+PEl0ZW1Mb2NhdGlvbj48SXRlbVR5cGU+Rm9ybXVsYTwvSXRlbVR5cGU+PEl0ZW1QYXRoPlNlY3Rpb24xL2hvamUxMiUyMDMyNiUyMGFuYSUyMCgzKS9UaXBvJTIwQWx0ZXJhZG83PC9JdGVtUGF0aD48L0l0ZW1Mb2NhdGlvbj48U3RhYmxlRW50cmllcyAvPjwvSXRlbT48SXRlbT48SXRlbUxvY2F0aW9uPjxJdGVtVHlwZT5Gb3JtdWxhPC9JdGVtVHlwZT48SXRlbVBhdGg+U2VjdGlvbjEvaG9qZTEyJTIwMzI2JTIwYW5hJTIwKDMpL0RpdmlkaXIlMjBDb2x1bmElMjBwZWxhJTIwUG9zaSVDMyVBNyVDMyVBM284PC9JdGVtUGF0aD48L0l0ZW1Mb2NhdGlvbj48U3RhYmxlRW50cmllcyAvPjwvSXRlbT48SXRlbT48SXRlbUxvY2F0aW9uPjxJdGVtVHlwZT5Gb3JtdWxhPC9JdGVtVHlwZT48SXRlbVBhdGg+U2VjdGlvbjEvaG9qZTEyJTIwMzI2JTIwYW5hJTIwKDMpL1RpcG8lMjBBbHRlcmFkbzg8L0l0ZW1QYXRoPjwvSXRlbUxvY2F0aW9uPjxTdGFibGVFbnRyaWVzIC8+PC9JdGVtPjxJdGVtPjxJdGVtTG9jYXRpb24+PEl0ZW1UeXBlPkZvcm11bGE8L0l0ZW1UeXBlPjxJdGVtUGF0aD5TZWN0aW9uMS9ob2plMTIlMjAzMjYlMjBhbmElMjAoMykvRGl2aWRpciUyMENvbHVuYSUyMHBlbGElMjBQb3NpJUMzJUE3JUMzJUEzbzk8L0l0ZW1QYXRoPjwvSXRlbUxvY2F0aW9uPjxTdGFibGVFbnRyaWVzIC8+PC9JdGVtPjxJdGVtPjxJdGVtTG9jYXRpb24+PEl0ZW1UeXBlPkZvcm11bGE8L0l0ZW1UeXBlPjxJdGVtUGF0aD5TZWN0aW9uMS9ob2plMTIlMjAzMjYlMjBhbmElMjAoMykvVGlwbyUyMEFsdGVyYWRvOTwvSXRlbVBhdGg+PC9JdGVtTG9jYXRpb24+PFN0YWJsZUVudHJpZXMgLz48L0l0ZW0+PEl0ZW0+PEl0ZW1Mb2NhdGlvbj48SXRlbVR5cGU+Rm9ybXVsYTwvSXRlbVR5cGU+PEl0ZW1QYXRoPlNlY3Rpb24xL2hvamUxMiUyMDMyNiUyMGFuYSUyMCgzKS9EaXZpZGlyJTIwQ29sdW5hJTIwcGVsYSUyMFBvc2klQzMlQTclQzMlQTNvMTA8L0l0ZW1QYXRoPjwvSXRlbUxvY2F0aW9uPjxTdGFibGVFbnRyaWVzIC8+PC9JdGVtPjxJdGVtPjxJdGVtTG9jYXRpb24+PEl0ZW1UeXBlPkZvcm11bGE8L0l0ZW1UeXBlPjxJdGVtUGF0aD5TZWN0aW9uMS9ob2plMTIlMjAzMjYlMjBhbmElMjAoMykvVGlwbyUyMEFsdGVyYWRvMTA8L0l0ZW1QYXRoPjwvSXRlbUxvY2F0aW9uPjxTdGFibGVFbnRyaWVzIC8+PC9JdGVtPjxJdGVtPjxJdGVtTG9jYXRpb24+PEl0ZW1UeXBlPkZvcm11bGE8L0l0ZW1UeXBlPjxJdGVtUGF0aD5TZWN0aW9uMS9ob2plMTIlMjAzMjYlMjBhbmElMjAoMykvRGl2aWRpciUyMENvbHVuYSUyMHBlbGElMjBQb3NpJUMzJUE3JUMzJUEzbzExPC9JdGVtUGF0aD48L0l0ZW1Mb2NhdGlvbj48U3RhYmxlRW50cmllcyAvPjwvSXRlbT48SXRlbT48SXRlbUxvY2F0aW9uPjxJdGVtVHlwZT5Gb3JtdWxhPC9JdGVtVHlwZT48SXRlbVBhdGg+U2VjdGlvbjEvaG9qZTEyJTIwMzI2JTIwYW5hJTIwKDMpL1RpcG8lMjBBbHRlcmFkbzExPC9JdGVtUGF0aD48L0l0ZW1Mb2NhdGlvbj48U3RhYmxlRW50cmllcyAvPjwvSXRlbT48SXRlbT48SXRlbUxvY2F0aW9uPjxJdGVtVHlwZT5Gb3JtdWxhPC9JdGVtVHlwZT48SXRlbVBhdGg+U2VjdGlvbjEvaG9qZTEyJTIwMzI2JTIwYW5hJTIwKDMpL0Vycm9zJTIwUmVtb3ZpZG9zPC9JdGVtUGF0aD48L0l0ZW1Mb2NhdGlvbj48U3RhYmxlRW50cmllcyAvPjwvSXRlbT48SXRlbT48SXRlbUxvY2F0aW9uPjxJdGVtVHlwZT5Gb3JtdWxhPC9JdGVtVHlwZT48SXRlbVBhdGg+U2VjdGlvbjEvaG9qZTEyJTIwMzI2JTIwYW5hJTIwKDMpL0xpbmhhcyUyMGVtJTIwQnJhbmNvJTIwUmVtb3ZpZGFzPC9JdGVtUGF0aD48L0l0ZW1Mb2NhdGlvbj48U3RhYmxlRW50cmllcyAvPjwvSXRlbT48SXRlbT48SXRlbUxvY2F0aW9uPjxJdGVtVHlwZT5Gb3JtdWxhPC9JdGVtVHlwZT48SXRlbVBhdGg+U2VjdGlvbjEvaG9qZTEyJTIwMzI2JTIwYW5hJTIwKDMpL0Vycm9zJTIwUmVtb3ZpZG9zMTwvSXRlbVBhdGg+PC9JdGVtTG9jYXRpb24+PFN0YWJsZUVudHJpZXMgLz48L0l0ZW0+PEl0ZW0+PEl0ZW1Mb2NhdGlvbj48SXRlbVR5cGU+Rm9ybXVsYTwvSXRlbVR5cGU+PEl0ZW1QYXRoPlNlY3Rpb24xL2hvamUxMiUyMDMyNiUyMGFuYSUyMCgzKS9MaW5oYXMlMjBGaWx0cmFkYXM8L0l0ZW1QYXRoPjwvSXRlbUxvY2F0aW9uPjxTdGFibGVFbnRyaWVzIC8+PC9JdGVtPjxJdGVtPjxJdGVtTG9jYXRpb24+PEl0ZW1UeXBlPkZvcm11bGE8L0l0ZW1UeXBlPjxJdGVtUGF0aD5TZWN0aW9uMS9ob2plMTIlMjAzMjYlMjBhbmElMjAoMykvQ29sdW5hcyUyMFJlbm9tZWFkYXM8L0l0ZW1QYXRoPjwvSXRlbUxvY2F0aW9uPjxTdGFibGVFbnRyaWVzIC8+PC9JdGVtPjxJdGVtPjxJdGVtTG9jYXRpb24+PEl0ZW1UeXBlPkZvcm11bGE8L0l0ZW1UeXBlPjxJdGVtUGF0aD5TZWN0aW9uMS9ob2plMTIlMjAzMjYlMjBhbmElMjAoMykvQ29sdW5hcyUyMFJlbW92aWRhczwvSXRlbVBhdGg+PC9JdGVtTG9jYXRpb24+PFN0YWJsZUVudHJpZXMgLz48L0l0ZW0+PEl0ZW0+PEl0ZW1Mb2NhdGlvbj48SXRlbVR5cGU+Rm9ybXVsYTwvSXRlbVR5cGU+PEl0ZW1QYXRoPlNlY3Rpb24xL2hvamUxMiUyMDMxOSUyMHJlcCUyMCgyKS9Gb250ZTwvSXRlbVBhdGg+PC9JdGVtTG9jYXRpb24+PFN0YWJsZUVudHJpZXMgLz48L0l0ZW0+PEl0ZW0+PEl0ZW1Mb2NhdGlvbj48SXRlbVR5cGU+Rm9ybXVsYTwvSXRlbVR5cGU+PEl0ZW1QYXRoPlNlY3Rpb24xL2hvamUxMiUyMDMxOSUyMHJlcCUyMCgyKS9EaXZpZGlyJTIwQ29sdW5hJTIwcGVsYSUyMFBvc2klQzMlQTclQzMlQTNvPC9JdGVtUGF0aD48L0l0ZW1Mb2NhdGlvbj48U3RhYmxlRW50cmllcyAvPjwvSXRlbT48SXRlbT48SXRlbUxvY2F0aW9uPjxJdGVtVHlwZT5Gb3JtdWxhPC9JdGVtVHlwZT48SXRlbVBhdGg+U2VjdGlvbjEvaG9qZTEyJTIwMzE5JTIwcmVwJTIwKDIpL1RpcG8lMjBBbHRlcmFkbzwvSXRlbVBhdGg+PC9JdGVtTG9jYXRpb24+PFN0YWJsZUVudHJpZXMgLz48L0l0ZW0+PEl0ZW0+PEl0ZW1Mb2NhdGlvbj48SXRlbVR5cGU+Rm9ybXVsYTwvSXRlbVR5cGU+PEl0ZW1QYXRoPlNlY3Rpb24xL2hvamUxMiUyMDMxOSUyMHJlcCUyMCgyKS9EaXZpZGlyJTIwQ29sdW5hJTIwcGVsYSUyMFBvc2klQzMlQTclQzMlQTNvMTwvSXRlbVBhdGg+PC9JdGVtTG9jYXRpb24+PFN0YWJsZUVudHJpZXMgLz48L0l0ZW0+PEl0ZW0+PEl0ZW1Mb2NhdGlvbj48SXRlbVR5cGU+Rm9ybXVsYTwvSXRlbVR5cGU+PEl0ZW1QYXRoPlNlY3Rpb24xL2hvamUxMiUyMDMxOSUyMHJlcCUyMCgyKS9UaXBvJTIwQWx0ZXJhZG8xPC9JdGVtUGF0aD48L0l0ZW1Mb2NhdGlvbj48U3RhYmxlRW50cmllcyAvPjwvSXRlbT48SXRlbT48SXRlbUxvY2F0aW9uPjxJdGVtVHlwZT5Gb3JtdWxhPC9JdGVtVHlwZT48SXRlbVBhdGg+U2VjdGlvbjEvaG9qZTEyJTIwMzE5JTIwcmVwJTIwKDIpL0RpdmlkaXIlMjBDb2x1bmElMjBwZWxhJTIwUG9zaSVDMyVBNyVDMyVBM28yPC9JdGVtUGF0aD48L0l0ZW1Mb2NhdGlvbj48U3RhYmxlRW50cmllcyAvPjwvSXRlbT48SXRlbT48SXRlbUxvY2F0aW9uPjxJdGVtVHlwZT5Gb3JtdWxhPC9JdGVtVHlwZT48SXRlbVBhdGg+U2VjdGlvbjEvaG9qZTEyJTIwMzE5JTIwcmVwJTIwKDIpL1RpcG8lMjBBbHRlcmFkbzI8L0l0ZW1QYXRoPjwvSXRlbUxvY2F0aW9uPjxTdGFibGVFbnRyaWVzIC8+PC9JdGVtPjxJdGVtPjxJdGVtTG9jYXRpb24+PEl0ZW1UeXBlPkZvcm11bGE8L0l0ZW1UeXBlPjxJdGVtUGF0aD5TZWN0aW9uMS9ob2plMTIlMjAzMTklMjByZXAlMjAoMikvRGl2aWRpciUyMENvbHVuYSUyMHBlbGElMjBQb3NpJUMzJUE3JUMzJUEzbzM8L0l0ZW1QYXRoPjwvSXRlbUxvY2F0aW9uPjxTdGFibGVFbnRyaWVzIC8+PC9JdGVtPjxJdGVtPjxJdGVtTG9jYXRpb24+PEl0ZW1UeXBlPkZvcm11bGE8L0l0ZW1UeXBlPjxJdGVtUGF0aD5TZWN0aW9uMS9ob2plMTIlMjAzMTklMjByZXAlMjAoMikvVGlwbyUyMEFsdGVyYWRvMzwvSXRlbVBhdGg+PC9JdGVtTG9jYXRpb24+PFN0YWJsZUVudHJpZXMgLz48L0l0ZW0+PEl0ZW0+PEl0ZW1Mb2NhdGlvbj48SXRlbVR5cGU+Rm9ybXVsYTwvSXRlbVR5cGU+PEl0ZW1QYXRoPlNlY3Rpb24xL2hvamUxMiUyMDMxOSUyMHJlcCUyMCgyKS9EaXZpZGlyJTIwQ29sdW5hJTIwcGVsYSUyMFBvc2klQzMlQTclQzMlQTNvNDwvSXRlbVBhdGg+PC9JdGVtTG9jYXRpb24+PFN0YWJsZUVudHJpZXMgLz48L0l0ZW0+PEl0ZW0+PEl0ZW1Mb2NhdGlvbj48SXRlbVR5cGU+Rm9ybXVsYTwvSXRlbVR5cGU+PEl0ZW1QYXRoPlNlY3Rpb24xL2hvamUxMiUyMDMxOSUyMHJlcCUyMCgyKS9UaXBvJTIwQWx0ZXJhZG80PC9JdGVtUGF0aD48L0l0ZW1Mb2NhdGlvbj48U3RhYmxlRW50cmllcyAvPjwvSXRlbT48SXRlbT48SXRlbUxvY2F0aW9uPjxJdGVtVHlwZT5Gb3JtdWxhPC9JdGVtVHlwZT48SXRlbVBhdGg+U2VjdGlvbjEvaG9qZTEyJTIwMzE5JTIwcmVwJTIwKDIpL0RpdmlkaXIlMjBDb2x1bmElMjBwZWxhJTIwUG9zaSVDMyVBNyVDMyVBM281PC9JdGVtUGF0aD48L0l0ZW1Mb2NhdGlvbj48U3RhYmxlRW50cmllcyAvPjwvSXRlbT48SXRlbT48SXRlbUxvY2F0aW9uPjxJdGVtVHlwZT5Gb3JtdWxhPC9JdGVtVHlwZT48SXRlbVBhdGg+U2VjdGlvbjEvaG9qZTEyJTIwMzE5JTIwcmVwJTIwKDIpL1RpcG8lMjBBbHRlcmFkbzU8L0l0ZW1QYXRoPjwvSXRlbUxvY2F0aW9uPjxTdGFibGVFbnRyaWVzIC8+PC9JdGVtPjxJdGVtPjxJdGVtTG9jYXRpb24+PEl0ZW1UeXBlPkZvcm11bGE8L0l0ZW1UeXBlPjxJdGVtUGF0aD5TZWN0aW9uMS9ob2plMTIlMjAzMTklMjByZXAlMjAoMikvRGl2aWRpciUyMENvbHVuYSUyMHBlbGElMjBQb3NpJUMzJUE3JUMzJUEzbzY8L0l0ZW1QYXRoPjwvSXRlbUxvY2F0aW9uPjxTdGFibGVFbnRyaWVzIC8+PC9JdGVtPjxJdGVtPjxJdGVtTG9jYXRpb24+PEl0ZW1UeXBlPkZvcm11bGE8L0l0ZW1UeXBlPjxJdGVtUGF0aD5TZWN0aW9uMS9ob2plMTIlMjAzMTklMjByZXAlMjAoMikvVGlwbyUyMEFsdGVyYWRvNjwvSXRlbVBhdGg+PC9JdGVtTG9jYXRpb24+PFN0YWJsZUVudHJpZXMgLz48L0l0ZW0+PEl0ZW0+PEl0ZW1Mb2NhdGlvbj48SXRlbVR5cGU+Rm9ybXVsYTwvSXRlbVR5cGU+PEl0ZW1QYXRoPlNlY3Rpb24xL2hvamUxMiUyMDMxOSUyMHJlcCUyMCgyKS9EaXZpZGlyJTIwQ29sdW5hJTIwcGVsYSUyMFBvc2klQzMlQTclQzMlQTNvNzwvSXRlbVBhdGg+PC9JdGVtTG9jYXRpb24+PFN0YWJsZUVudHJpZXMgLz48L0l0ZW0+PEl0ZW0+PEl0ZW1Mb2NhdGlvbj48SXRlbVR5cGU+Rm9ybXVsYTwvSXRlbVR5cGU+PEl0ZW1QYXRoPlNlY3Rpb24xL2hvamUxMiUyMDMxOSUyMHJlcCUyMCgyKS9UaXBvJTIwQWx0ZXJhZG83PC9JdGVtUGF0aD48L0l0ZW1Mb2NhdGlvbj48U3RhYmxlRW50cmllcyAvPjwvSXRlbT48SXRlbT48SXRlbUxvY2F0aW9uPjxJdGVtVHlwZT5Gb3JtdWxhPC9JdGVtVHlwZT48SXRlbVBhdGg+U2VjdGlvbjEvaG9qZTEyJTIwMzE5JTIwcmVwJTIwKDIpL0RpdmlkaXIlMjBDb2x1bmElMjBwZWxhJTIwUG9zaSVDMyVBNyVDMyVBM284PC9JdGVtUGF0aD48L0l0ZW1Mb2NhdGlvbj48U3RhYmxlRW50cmllcyAvPjwvSXRlbT48SXRlbT48SXRlbUxvY2F0aW9uPjxJdGVtVHlwZT5Gb3JtdWxhPC9JdGVtVHlwZT48SXRlbVBhdGg+U2VjdGlvbjEvaG9qZTEyJTIwMzE5JTIwcmVwJTIwKDIpL1RpcG8lMjBBbHRlcmFkbzg8L0l0ZW1QYXRoPjwvSXRlbUxvY2F0aW9uPjxTdGFibGVFbnRyaWVzIC8+PC9JdGVtPjxJdGVtPjxJdGVtTG9jYXRpb24+PEl0ZW1UeXBlPkZvcm11bGE8L0l0ZW1UeXBlPjxJdGVtUGF0aD5TZWN0aW9uMS9ob2plMTIlMjAzMTklMjByZXAlMjAoMikvRGl2aWRpciUyMENvbHVuYSUyMHBlbGElMjBQb3NpJUMzJUE3JUMzJUEzbzk8L0l0ZW1QYXRoPjwvSXRlbUxvY2F0aW9uPjxTdGFibGVFbnRyaWVzIC8+PC9JdGVtPjxJdGVtPjxJdGVtTG9jYXRpb24+PEl0ZW1UeXBlPkZvcm11bGE8L0l0ZW1UeXBlPjxJdGVtUGF0aD5TZWN0aW9uMS9ob2plMTIlMjAzMTklMjByZXAlMjAoMikvVGlwbyUyMEFsdGVyYWRvOTwvSXRlbVBhdGg+PC9JdGVtTG9jYXRpb24+PFN0YWJsZUVudHJpZXMgLz48L0l0ZW0+PEl0ZW0+PEl0ZW1Mb2NhdGlvbj48SXRlbVR5cGU+Rm9ybXVsYTwvSXRlbVR5cGU+PEl0ZW1QYXRoPlNlY3Rpb24xL2hvamUxMiUyMDMxOSUyMHJlcCUyMCgyKS9EaXZpZGlyJTIwQ29sdW5hJTIwcGVsYSUyMFBvc2klQzMlQTclQzMlQTNvMTA8L0l0ZW1QYXRoPjwvSXRlbUxvY2F0aW9uPjxTdGFibGVFbnRyaWVzIC8+PC9JdGVtPjxJdGVtPjxJdGVtTG9jYXRpb24+PEl0ZW1UeXBlPkZvcm11bGE8L0l0ZW1UeXBlPjxJdGVtUGF0aD5TZWN0aW9uMS9ob2plMTIlMjAzMTklMjByZXAlMjAoMikvVGlwbyUyMEFsdGVyYWRvMTA8L0l0ZW1QYXRoPjwvSXRlbUxvY2F0aW9uPjxTdGFibGVFbnRyaWVzIC8+PC9JdGVtPjxJdGVtPjxJdGVtTG9jYXRpb24+PEl0ZW1UeXBlPkZvcm11bGE8L0l0ZW1UeXBlPjxJdGVtUGF0aD5TZWN0aW9uMS9ob2plMTIlMjAzMTklMjByZXAlMjAoMikvRGl2aWRpciUyMENvbHVuYSUyMHBlbGElMjBQb3NpJUMzJUE3JUMzJUEzbzExPC9JdGVtUGF0aD48L0l0ZW1Mb2NhdGlvbj48U3RhYmxlRW50cmllcyAvPjwvSXRlbT48SXRlbT48SXRlbUxvY2F0aW9uPjxJdGVtVHlwZT5Gb3JtdWxhPC9JdGVtVHlwZT48SXRlbVBhdGg+U2VjdGlvbjEvaG9qZTEyJTIwMzE5JTIwcmVwJTIwKDIpL1RpcG8lMjBBbHRlcmFkbzExPC9JdGVtUGF0aD48L0l0ZW1Mb2NhdGlvbj48U3RhYmxlRW50cmllcyAvPjwvSXRlbT48SXRlbT48SXRlbUxvY2F0aW9uPjxJdGVtVHlwZT5Gb3JtdWxhPC9JdGVtVHlwZT48SXRlbVBhdGg+U2VjdGlvbjEvaG9qZTEyJTIwMzE5JTIwcmVwJTIwKDIpL0RpdmlkaXIlMjBDb2x1bmElMjBwZWxhJTIwUG9zaSVDMyVBNyVDMyVBM28xMjwvSXRlbVBhdGg+PC9JdGVtTG9jYXRpb24+PFN0YWJsZUVudHJpZXMgLz48L0l0ZW0+PEl0ZW0+PEl0ZW1Mb2NhdGlvbj48SXRlbVR5cGU+Rm9ybXVsYTwvSXRlbVR5cGU+PEl0ZW1QYXRoPlNlY3Rpb24xL2hvamUxMiUyMDMxOSUyMHJlcCUyMCgyKS9UaXBvJTIwQWx0ZXJhZG8xMjwvSXRlbVBhdGg+PC9JdGVtTG9jYXRpb24+PFN0YWJsZUVudHJpZXMgLz48L0l0ZW0+PEl0ZW0+PEl0ZW1Mb2NhdGlvbj48SXRlbVR5cGU+Rm9ybXVsYTwvSXRlbVR5cGU+PEl0ZW1QYXRoPlNlY3Rpb24xL2hvamUxMiUyMDMxOSUyMHJlcCUyMCgyKS9EaXZpZGlyJTIwQ29sdW5hJTIwcGVsYSUyMFBvc2klQzMlQTclQzMlQTNvMTM8L0l0ZW1QYXRoPjwvSXRlbUxvY2F0aW9uPjxTdGFibGVFbnRyaWVzIC8+PC9JdGVtPjxJdGVtPjxJdGVtTG9jYXRpb24+PEl0ZW1UeXBlPkZvcm11bGE8L0l0ZW1UeXBlPjxJdGVtUGF0aD5TZWN0aW9uMS9ob2plMTIlMjAzMTklMjByZXAlMjAoMikvVGlwbyUyMEFsdGVyYWRvMTM8L0l0ZW1QYXRoPjwvSXRlbUxvY2F0aW9uPjxTdGFibGVFbnRyaWVzIC8+PC9JdGVtPjxJdGVtPjxJdGVtTG9jYXRpb24+PEl0ZW1UeXBlPkZvcm11bGE8L0l0ZW1UeXBlPjxJdGVtUGF0aD5TZWN0aW9uMS9ob2plMTIlMjAzMTklMjByZXAlMjAoMikvRGl2aWRpciUyMENvbHVuYSUyMHBlbGElMjBQb3NpJUMzJUE3JUMzJUEzbzE0PC9JdGVtUGF0aD48L0l0ZW1Mb2NhdGlvbj48U3RhYmxlRW50cmllcyAvPjwvSXRlbT48SXRlbT48SXRlbUxvY2F0aW9uPjxJdGVtVHlwZT5Gb3JtdWxhPC9JdGVtVHlwZT48SXRlbVBhdGg+U2VjdGlvbjEvaG9qZTEyJTIwMzE5JTIwcmVwJTIwKDIpL1RpcG8lMjBBbHRlcmFkbzE0PC9JdGVtUGF0aD48L0l0ZW1Mb2NhdGlvbj48U3RhYmxlRW50cmllcyAvPjwvSXRlbT48SXRlbT48SXRlbUxvY2F0aW9uPjxJdGVtVHlwZT5Gb3JtdWxhPC9JdGVtVHlwZT48SXRlbVBhdGg+U2VjdGlvbjEvaG9qZTEyJTIwMzE5JTIwcmVwJTIwKDIpL0Vycm9zJTIwUmVtb3ZpZG9zPC9JdGVtUGF0aD48L0l0ZW1Mb2NhdGlvbj48U3RhYmxlRW50cmllcyAvPjwvSXRlbT48SXRlbT48SXRlbUxvY2F0aW9uPjxJdGVtVHlwZT5Gb3JtdWxhPC9JdGVtVHlwZT48SXRlbVBhdGg+U2VjdGlvbjEvaG9qZTEyJTIwMzE5JTIwcmVwJTIwKDIpL0xpbmhhcyUyMGVtJTIwQnJhbmNvJTIwUmVtb3ZpZGFzPC9JdGVtUGF0aD48L0l0ZW1Mb2NhdGlvbj48U3RhYmxlRW50cmllcyAvPjwvSXRlbT48SXRlbT48SXRlbUxvY2F0aW9uPjxJdGVtVHlwZT5Gb3JtdWxhPC9JdGVtVHlwZT48SXRlbVBhdGg+U2VjdGlvbjEvaG9qZTEyJTIwMzE5JTIwcmVwJTIwKDIpL0xpbmhhcyUyMENsYXNzaWZpY2FkYXM8L0l0ZW1QYXRoPjwvSXRlbUxvY2F0aW9uPjxTdGFibGVFbnRyaWVzIC8+PC9JdGVtPjxJdGVtPjxJdGVtTG9jYXRpb24+PEl0ZW1UeXBlPkZvcm11bGE8L0l0ZW1UeXBlPjxJdGVtUGF0aD5TZWN0aW9uMS9ob2plMTIlMjAzMTklMjByZXAlMjAoMikvTGluaGFzJTIwRmlsdHJhZGFzPC9JdGVtUGF0aD48L0l0ZW1Mb2NhdGlvbj48U3RhYmxlRW50cmllcyAvPjwvSXRlbT48SXRlbT48SXRlbUxvY2F0aW9uPjxJdGVtVHlwZT5Gb3JtdWxhPC9JdGVtVHlwZT48SXRlbVBhdGg+U2VjdGlvbjEvaG9qZTEyJTIwMzE5JTIwcmVwJTIwKDIpL0NvbHVuYXMlMjBSZW5vbWVhZGFzPC9JdGVtUGF0aD48L0l0ZW1Mb2NhdGlvbj48U3RhYmxlRW50cmllcyAvPjwvSXRlbT48SXRlbT48SXRlbUxvY2F0aW9uPjxJdGVtVHlwZT5BbGxGb3JtdWxhczwvSXRlbVR5cGU+PEl0ZW1QYXRoIC8+PC9JdGVtTG9jYXRpb24+PFN0YWJsZUVudHJpZXM+PEVudHJ5IFR5cGU9IlF1ZXJ5R3JvdXBzIiBWYWx1ZT0ic0FBQUFBQT09IiAvPjxFbnRyeSBUeXBlPSJSZWxhdGlvbnNoaXBzIiBWYWx1ZT0ic0FBQUFBQT09IiAvPjwvU3RhYmxlRW50cmllcz48L0l0ZW0+PEl0ZW0+PEl0ZW1Mb2NhdGlvbj48SXRlbVR5cGU+Rm9ybXVsYTwvSXRlbVR5cGU+PEl0ZW1QYXRoPlNlY3Rpb24xL2NsaWVudGVzX21jZDwvSXRlbVBhdGg+PC9JdGVtTG9jYXRpb24+PFN0YWJsZUVudHJpZXM+PEVudHJ5IFR5cGU9IklzUHJpdmF0ZSIgVmFsdWU9ImwwIiAvPjxFbnRyeSBUeXBlPSJGaWxsRW5hYmxlZCIgVmFsdWU9ImwwIiAvPjxFbnRyeSBUeXBlPSJGaWxsT2JqZWN0VHlwZSIgVmFsdWU9InNDb25uZWN0aW9uT25seSIgLz48RW50cnkgVHlwZT0iRmlsbFRvRGF0YU1vZGVsRW5hYmxlZCIgVmFsdWU9ImwwIiAvPjxFbnRyeSBUeXBlPSJRdWVyeUlEIiBWYWx1ZT0iczU1NjY3NjQ0LWE1MzAtNDI0OS05NmNjLWM3YWM5N2YyZmI3ZCIgLz48RW50cnkgVHlwZT0iQnVmZmVyTmV4dFJlZnJlc2giIFZhbHVlPSJsMSIgLz48RW50cnkgVHlwZT0iUmVzdWx0VHlwZSIgVmFsdWU9InNFeGNlcHRpb24iIC8+PEVudHJ5IFR5cGU9Ik5hbWVVcGRhdGVkQWZ0ZXJGaWxsIiBWYWx1ZT0ibDAiIC8+PEVudHJ5IFR5cGU9Ik5hdmlnYXRpb25TdGVwTmFtZSIgVmFsdWU9InNOYXZlZ2HDp8OjbyIgLz48RW50cnkgVHlwZT0iRmlsbGVkQ29tcGxldGVSZXN1bHRUb1dvcmtzaGVldCIgVmFsdWU9ImwxIiAvPjxFbnRyeSBUeXBlPSJGaWxsTGFzdFVwZGF0ZWQiIFZhbHVlPSJkMjAyNi0wOC0wNVQxMjozNTo0OC44NDg2OTA2WiIgLz48RW50cnkgVHlwZT0iRmlsbENvbHVtblR5cGVzIiBWYWx1ZT0ic0F3WUdCZ1k9IiAvPjxFbnRyeSBUeXBlPSJGaWxsQ29sdW1uTmFtZXMiIFZhbHVlPSJzWyZxdW90O0NOUEomcXVvdDssJnF1b3Q7UmF6YW8mcXVvdDssJnF1b3Q7Q2lkYWRlJnF1b3Q7LCZxdW90O1JlZGUmcXVvdDssJnF1b3Q7RmFudGFzaWEmcXVvdDtdIiAvPjxFbnRyeSBUeXBlPSJGaWxsRXJyb3JDb3VudCIgVmFsdWU9ImwwIiAvPjxFbnRyeSBUeXBlPSJGaWxsRXJyb3JDb2RlIiBWYWx1ZT0ic1Vua25vd24iIC8+PEVudHJ5IFR5cGU9IkZpbGxTdGF0dXMiIFZhbHVlPSJzQ29tcGxldGUiIC8+PEVudHJ5IFR5cGU9IkZpbGxDb3VudCIgVmFsdWU9ImwxODQxNCIgLz48RW50cnkgVHlwZT0iQWRkZWRUb0RhdGFNb2RlbCIgVmFsdWU9ImwwIiAvPjxFbnRyeSBUeXBlPSJSZWxhdGlvbnNoaXBJbmZvQ29udGFpbmVyIiBWYWx1ZT0ic3smcXVvdDtjb2x1bW5Db3VudCZxdW90Ozo1LCZxdW90O2tleUNvbHVtbk5hbWVzJnF1b3Q7OltdLCZxdW90O3F1ZXJ5UmVsYXRpb25zaGlwcyZxdW90OzpbXSwmcXVvdDtjb2x1bW5JZGVudGl0aWVzJnF1b3Q7OlsmcXVvdDtTZWN0aW9uMS9jbGllbnRlc19tY2QvVGlwbyBBbHRlcmFkby57Q05QSiwwfSZxdW90OywmcXVvdDtTZWN0aW9uMS9jbGllbnRlc19tY2QvVGlwbyBBbHRlcmFkby57UmF6YW8sMX0mcXVvdDssJnF1b3Q7U2VjdGlvbjEvY2xpZW50ZXNfbWNkL1RpcG8gQWx0ZXJhZG8ue0NpZGFkZSwzfSZxdW90OywmcXVvdDtTZWN0aW9uMS9jbGllbnRlc19tY2QvVGlwbyBBbHRlcmFkby57UmVkZSw1fSZxdW90OywmcXVvdDtTZWN0aW9uMS9jbGllbnRlc19tY2QvVGlwbyBBbHRlcmFkby57RmFudGFzaWEsMTB9JnF1b3Q7XSwmcXVvdDtDb2x1bW5Db3VudCZxdW90Ozo1LCZxdW90O0tleUNvbHVtbk5hbWVzJnF1b3Q7OltdLCZxdW90O0NvbHVtbklkZW50aXRpZXMmcXVvdDs6WyZxdW90O1NlY3Rpb24xL2NsaWVudGVzX21jZC9UaXBvIEFsdGVyYWRvLntDTlBKLDB9JnF1b3Q7LCZxdW90O1NlY3Rpb24xL2NsaWVudGVzX21jZC9UaXBvIEFsdGVyYWRvLntSYXphbywxfSZxdW90OywmcXVvdDtTZWN0aW9uMS9jbGllbnRlc19tY2QvVGlwbyBBbHRlcmFkby57Q2lkYWRlLDN9JnF1b3Q7LCZxdW90O1NlY3Rpb24xL2NsaWVudGVzX21jZC9UaXBvIEFsdGVyYWRvLntSZWRlLDV9JnF1b3Q7LCZxdW90O1NlY3Rpb24xL2NsaWVudGVzX21jZC9UaXBvIEFsdGVyYWRvLntGYW50YXNpYSwxMH0mcXVvdDtdLCZxdW90O1JlbGF0aW9uc2hpcEluZm8mcXVvdDs6W119IiAvPjwvU3RhYmxlRW50cmllcz48L0l0ZW0+PEl0ZW0+PEl0ZW1Mb2NhdGlvbj48SXRlbVR5cGU+Rm9ybXVsYTwvSXRlbVR5cGU+PEl0ZW1QYXRoPlNlY3Rpb24xL2NsaWVudGVzX21jZC9Gb250ZTwvSXRlbVBhdGg+PC9JdGVtTG9jYXRpb24+PFN0YWJsZUVudHJpZXMgLz48L0l0ZW0+PEl0ZW0+PEl0ZW1Mb2NhdGlvbj48SXRlbVR5cGU+Rm9ybXVsYTwvSXRlbVR5cGU+PEl0ZW1QYXRoPlNlY3Rpb24xL2NsaWVudGVzX21jZC9DYWJlJUMzJUE3YWxob3MlMjBQcm9tb3ZpZG9zPC9JdGVtUGF0aD48L0l0ZW1Mb2NhdGlvbj48U3RhYmxlRW50cmllcyAvPjwvSXRlbT48SXRlbT48SXRlbUxvY2F0aW9uPjxJdGVtVHlwZT5Gb3JtdWxhPC9JdGVtVHlwZT48SXRlbVBhdGg+U2VjdGlvbjEvY2xpZW50ZXNfbWNkL1RpcG8lMjBBbHRlcmFkbzwvSXRlbVBhdGg+PC9JdGVtTG9jYXRpb24+PFN0YWJsZUVudHJpZXMgLz48L0l0ZW0+PEl0ZW0+PEl0ZW1Mb2NhdGlvbj48SXRlbVR5cGU+Rm9ybXVsYTwvSXRlbVR5cGU+PEl0ZW1QYXRoPlNlY3Rpb24xL2NsaWVudGVzX21jZC9Db2x1bmFzJTIwUmVtb3ZpZGFzPC9JdGVtUGF0aD48L0l0ZW1Mb2NhdGlvbj48U3RhYmxlRW50cmllcyAvPjwvSXRlbT48SXRlbT48SXRlbUxvY2F0aW9uPjxJdGVtVHlwZT5Gb3JtdWxhPC9JdGVtVHlwZT48SXRlbVBhdGg+U2VjdGlvbjEvY2xpZW50ZXNfbWNkJTIwKDIp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lF1ZXJ5SUQiIFZhbHVlPSJzYmM4NWI1OWMtZDg1ZS00ZThlLTk5ZGYtNDY5Y2M3ODE5MjA0IiAvPjxFbnRyeSBUeXBlPSJOYW1lVXBkYXRlZEFmdGVyRmlsbCIgVmFsdWU9ImwwIiAvPjxFbnRyeSBUeXBlPSJSZXN1bHRUeXBlIiBWYWx1ZT0ic1RhYmxlIiAvPjxFbnRyeSBUeXBlPSJCdWZmZXJOZXh0UmVmcmVzaCIgVmFsdWU9ImwxIiAvPjxFbnRyeSBUeXBlPSJGaWxsVGFyZ2V0IiBWYWx1ZT0ic2NsaWVudGVzX21jZDMiIC8+PEVudHJ5IFR5cGU9IkZpbGxlZENvbXBsZXRlUmVzdWx0VG9Xb3Jrc2hlZXQiIFZhbHVlPSJsMSIgLz48RW50cnkgVHlwZT0iTG9hZGVkVG9BbmFseXNpc1NlcnZpY2VzIiBWYWx1ZT0ibDAiIC8+PEVudHJ5IFR5cGU9Ik5hdmlnYXRpb25TdGVwTmFtZSIgVmFsdWU9InNOYXZlZ2HDp8OjbyIgLz48RW50cnkgVHlwZT0iRmlsbExhc3RVcGRhdGVkIiBWYWx1ZT0iZDIwMjYtMDgtMDVUMTI6MzU6NTguNjM3NTIxNVoiIC8+PEVudHJ5IFR5cGU9IkZpbGxDb2x1bW5UeXBlcyIgVmFsdWU9InNCUVlHQmdZPSIgLz48RW50cnkgVHlwZT0iRmlsbENvbHVtbk5hbWVzIiBWYWx1ZT0ic1smcXVvdDtDTlBKJnF1b3Q7LCZxdW90O1JhemFvJnF1b3Q7LCZxdW90O0NpZGFkZSZxdW90OywmcXVvdDtSZWRlJnF1b3Q7LCZxdW90O0ZhbnRhc2lhJnF1b3Q7XSIgLz48RW50cnkgVHlwZT0iRmlsbEVycm9yQ291bnQiIFZhbHVlPSJsMCIgLz48RW50cnkgVHlwZT0iRmlsbEVycm9yQ29kZSIgVmFsdWU9InNVbmtub3duIiAvPjxFbnRyeSBUeXBlPSJGaWxsU3RhdHVzIiBWYWx1ZT0ic0NvbXBsZXRlIiAvPjxFbnRyeSBUeXBlPSJGaWxsQ291bnQiIFZhbHVlPSJsMTkxNTkiIC8+PEVudHJ5IFR5cGU9IkFkZGVkVG9EYXRhTW9kZWwiIFZhbHVlPSJsMCIgLz48RW50cnkgVHlwZT0iUmVsYXRpb25zaGlwSW5mb0NvbnRhaW5lciIgVmFsdWU9InN7JnF1b3Q7Y29sdW1uQ291bnQmcXVvdDs6NSwmcXVvdDtrZXlDb2x1bW5OYW1lcyZxdW90OzpbXSwmcXVvdDtxdWVyeVJlbGF0aW9uc2hpcHMmcXVvdDs6W10sJnF1b3Q7Y29sdW1uSWRlbnRpdGllcyZxdW90OzpbJnF1b3Q7U2VjdGlvbjEvY2xpZW50ZXNfbWNkICgyKS9BdXRvUmVtb3ZlZENvbHVtbnMxLntDTlBKLDB9JnF1b3Q7LCZxdW90O1NlY3Rpb24xL2NsaWVudGVzX21jZCAoMikvQXV0b1JlbW92ZWRDb2x1bW5zMS57UmF6YW8sMX0mcXVvdDssJnF1b3Q7U2VjdGlvbjEvY2xpZW50ZXNfbWNkICgyKS9BdXRvUmVtb3ZlZENvbHVtbnMxLntDaWRhZGUsMn0mcXVvdDssJnF1b3Q7U2VjdGlvbjEvY2xpZW50ZXNfbWNkICgyKS9BdXRvUmVtb3ZlZENvbHVtbnMxLntSZWRlLDN9JnF1b3Q7LCZxdW90O1NlY3Rpb24xL2NsaWVudGVzX21jZCAoMikvQXV0b1JlbW92ZWRDb2x1bW5zMS57RmFudGFzaWEsNH0mcXVvdDtdLCZxdW90O0NvbHVtbkNvdW50JnF1b3Q7OjUsJnF1b3Q7S2V5Q29sdW1uTmFtZXMmcXVvdDs6W10sJnF1b3Q7Q29sdW1uSWRlbnRpdGllcyZxdW90OzpbJnF1b3Q7U2VjdGlvbjEvY2xpZW50ZXNfbWNkICgyKS9BdXRvUmVtb3ZlZENvbHVtbnMxLntDTlBKLDB9JnF1b3Q7LCZxdW90O1NlY3Rpb24xL2NsaWVudGVzX21jZCAoMikvQXV0b1JlbW92ZWRDb2x1bW5zMS57UmF6YW8sMX0mcXVvdDssJnF1b3Q7U2VjdGlvbjEvY2xpZW50ZXNfbWNkICgyKS9BdXRvUmVtb3ZlZENvbHVtbnMxLntDaWRhZGUsMn0mcXVvdDssJnF1b3Q7U2VjdGlvbjEvY2xpZW50ZXNfbWNkICgyKS9BdXRvUmVtb3ZlZENvbHVtbnMxLntSZWRlLDN9JnF1b3Q7LCZxdW90O1NlY3Rpb24xL2NsaWVudGVzX21jZCAoMikvQXV0b1JlbW92ZWRDb2x1bW5zMS57RmFudGFzaWEsNH0mcXVvdDtdLCZxdW90O1JlbGF0aW9uc2hpcEluZm8mcXVvdDs6W119IiAvPjwvU3RhYmxlRW50cmllcz48L0l0ZW0+PEl0ZW0+PEl0ZW1Mb2NhdGlvbj48SXRlbVR5cGU+Rm9ybXVsYTwvSXRlbVR5cGU+PEl0ZW1QYXRoPlNlY3Rpb24xL2NsaWVudGVzX21jZCUyMCgyKS9Gb250ZTwvSXRlbVBhdGg+PC9JdGVtTG9jYXRpb24+PFN0YWJsZUVudHJpZXMgLz48L0l0ZW0+PEl0ZW0+PEl0ZW1Mb2NhdGlvbj48SXRlbVR5cGU+Rm9ybXVsYTwvSXRlbVR5cGU+PEl0ZW1QYXRoPlNlY3Rpb24xL2NsaWVudGVzX21jZCUyMCgyKS9DYWJlJUMzJUE3YWxob3MlMjBQcm9tb3ZpZG9zPC9JdGVtUGF0aD48L0l0ZW1Mb2NhdGlvbj48U3RhYmxlRW50cmllcyAvPjwvSXRlbT48SXRlbT48SXRlbUxvY2F0aW9uPjxJdGVtVHlwZT5Gb3JtdWxhPC9JdGVtVHlwZT48SXRlbVBhdGg+U2VjdGlvbjEvY2xpZW50ZXNfbWNkJTIwKDIpL1RpcG8lMjBBbHRlcmFkbzwvSXRlbVBhdGg+PC9JdGVtTG9jYXRpb24+PFN0YWJsZUVudHJpZXMgLz48L0l0ZW0+PEl0ZW0+PEl0ZW1Mb2NhdGlvbj48SXRlbVR5cGU+Rm9ybXVsYTwvSXRlbVR5cGU+PEl0ZW1QYXRoPlNlY3Rpb24xL2NsaWVudGVzX21jZCUyMCgyKS9Db2x1bmFzJTIwUmVtb3ZpZGFzPC9JdGVtUGF0aD48L0l0ZW1Mb2NhdGlvbj48U3RhYmxlRW50cmllcyAvPjwvSXRlbT48SXRlbT48SXRlbUxvY2F0aW9uPjxJdGVtVHlwZT5Gb3JtdWxhPC9JdGVtVHlwZT48SXRlbVBhdGg+U2VjdGlvbjEvY2xpZW50ZXNfbWNkJTIwKDMp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lF1ZXJ5SUQiIFZhbHVlPSJzMDhiNTI4YmQtMTRiNC00NWQ5LWFmZTMtODY4ODdhNmQ0ZTRhIiAvPjxFbnRyeSBUeXBlPSJOYW1lVXBkYXRlZEFmdGVyRmlsbCIgVmFsdWU9ImwwIiAvPjxFbnRyeSBUeXBlPSJSZXN1bHRUeXBlIiBWYWx1ZT0ic0V4Y2VwdGlvbiIgLz48RW50cnkgVHlwZT0iQnVmZmVyTmV4dFJlZnJlc2giIFZhbHVlPSJsMSIgLz48RW50cnkgVHlwZT0iRmlsbGVkQ29tcGxldGVSZXN1bHRUb1dvcmtzaGVldCIgVmFsdWU9ImwxIiAvPjxFbnRyeSBUeXBlPSJGaWxsTGFzdFVwZGF0ZWQiIFZhbHVlPSJkMjAyNi0wOC0wNVQxMjozNTo0OC44NTcwNzQzWiIgLz48RW50cnkgVHlwZT0iRmlsbENvbHVtblR5cGVzIiBWYWx1ZT0ic0F3WUdCZ1lHQmdNR0JnWUdCZ1lEQXdNREJna0dDUVk9IiAvPjxFbnRyeSBUeXBlPSJGaWxsQ29sdW1uTmFtZXMiIFZhbHVlPSJzWyZxdW90O0NOUEomcXVvdDssJnF1b3Q7UmF6YW8mcXVvdDssJnF1b3Q7UmFtbyBBdGl2aWRhZGUmcXVvdDssJnF1b3Q7Q2lkYWRlJnF1b3Q7LCZxdW90O1JlZ2lhbyBFbnRyZWdhJnF1b3Q7LCZxdW90O1JlZGUmcXVvdDssJnF1b3Q7U3RhdHVzJnF1b3Q7LCZxdW90O0NvZC5JQkdFJnF1b3Q7LCZxdW90O1NpZ2xhJnF1b3Q7LCZxdW90O0JhaXJybyZxdW90OywmcXVvdDtGYW50YXNpYSZxdW90OywmcXVvdDtDb2QuQXR2JnF1b3Q7LCZxdW90O1RpcG8gRW5kZXJlY28mcXVvdDssJnF1b3Q7RW5kZXJlY28mcXVvdDssJnF1b3Q7TnVtZXJvJnF1b3Q7LCZxdW90O1RlbGVmb25lJnF1b3Q7LCZxdW90O0NlbHVsYXImcXVvdDssJnF1b3Q7Q29kLkNlbnNvIFRyaSZxdW90OywmcXVvdDtEZXNjcmljYW8gQ2Vuc28mcXVvdDssJnF1b3Q7RGF0YSBDYWRhc3RybyZxdW90OywmcXVvdDtEYXRhIFJlYXRpdmFjYW8mcXVvdDssJnF1b3Q7RGF0YSBJbmF0aXZhY2FvJnF1b3Q7LCZxdW90O0NvbHVtbjEmcXVvdDtdIiAvPjxFbnRyeSBUeXBlPSJGaWxsRXJyb3JDb3VudCIgVmFsdWU9ImwzMTYzIiAvPjxFbnRyeSBUeXBlPSJGaWxsRXJyb3JDb2RlIiBWYWx1ZT0ic1Vua25vd24iIC8+PEVudHJ5IFR5cGU9IkZpbGxTdGF0dXMiIFZhbHVlPSJzQ29tcGxldGUiIC8+PEVudHJ5IFR5cGU9IkZpbGxDb3VudCIgVmFsdWU9ImwxODQ5OCIgLz48RW50cnkgVHlwZT0iQWRkZWRUb0RhdGFNb2RlbCIgVmFsdWU9ImwwIiAvPjxFbnRyeSBUeXBlPSJSZWxhdGlvbnNoaXBJbmZvQ29udGFpbmVyIiBWYWx1ZT0ic3smcXVvdDtjb2x1bW5Db3VudCZxdW90OzoyMywmcXVvdDtrZXlDb2x1bW5OYW1lcyZxdW90OzpbXSwmcXVvdDtxdWVyeVJlbGF0aW9uc2hpcHMmcXVvdDs6W10sJnF1b3Q7Y29sdW1uSWRlbnRpdGllcyZxdW90OzpbJnF1b3Q7U2VjdGlvbjEvY2xpZW50ZXNfbWNkICgzKS9UaXBvIEFsdGVyYWRvLntDTlBKLDB9JnF1b3Q7LCZxdW90O1NlY3Rpb24xL2NsaWVudGVzX21jZCAoMykvVGlwbyBBbHRlcmFkby57UmF6YW8sMX0mcXVvdDssJnF1b3Q7U2VjdGlvbjEvY2xpZW50ZXNfbWNkICgzKS9UaXBvIEFsdGVyYWRvLntSYW1vIEF0aXZpZGFkZSwyfSZxdW90OywmcXVvdDtTZWN0aW9uMS9jbGllbnRlc19tY2QgKDMpL1RpcG8gQWx0ZXJhZG8ue0NpZGFkZSwzfSZxdW90OywmcXVvdDtTZWN0aW9uMS9jbGllbnRlc19tY2QgKDMpL1RpcG8gQWx0ZXJhZG8ue1JlZ2lhbyBFbnRyZWdhLDR9JnF1b3Q7LCZxdW90O1NlY3Rpb24xL2NsaWVudGVzX21jZCAoMykvVGlwbyBBbHRlcmFkby57UmVkZSw1fSZxdW90OywmcXVvdDtTZWN0aW9uMS9jbGllbnRlc19tY2QgKDMpL1RpcG8gQWx0ZXJhZG8ue1N0YXR1cyw2fSZxdW90OywmcXVvdDtTZWN0aW9uMS9jbGllbnRlc19tY2QgKDMpL1RpcG8gQWx0ZXJhZG8ue0NvZC5JQkdFLDd9JnF1b3Q7LCZxdW90O1NlY3Rpb24xL2NsaWVudGVzX21jZCAoMykvVGlwbyBBbHRlcmFkby57U2lnbGEsOH0mcXVvdDssJnF1b3Q7U2VjdGlvbjEvY2xpZW50ZXNfbWNkICgzKS9UaXBvIEFsdGVyYWRvLntCYWlycm8sOX0mcXVvdDssJnF1b3Q7U2VjdGlvbjEvY2xpZW50ZXNfbWNkICgzKS9UaXBvIEFsdGVyYWRvLntGYW50YXNpYSwxMH0mcXVvdDssJnF1b3Q7U2VjdGlvbjEvY2xpZW50ZXNfbWNkICgzKS9UaXBvIEFsdGVyYWRvLntDb2QuQXR2LDExfSZxdW90OywmcXVvdDtTZWN0aW9uMS9jbGllbnRlc19tY2QgKDMpL1RpcG8gQWx0ZXJhZG8ue1RpcG8gRW5kZXJlY28sMTJ9JnF1b3Q7LCZxdW90O1NlY3Rpb24xL2NsaWVudGVzX21jZCAoMykvVGlwbyBBbHRlcmFkby57RW5kZXJlY28sMTN9JnF1b3Q7LCZxdW90O1NlY3Rpb24xL2NsaWVudGVzX21jZCAoMykvVGlwbyBBbHRlcmFkby57TnVtZXJvLDE0fSZxdW90OywmcXVvdDtTZWN0aW9uMS9jbGllbnRlc19tY2QgKDMpL1RpcG8gQWx0ZXJhZG8ue1RlbGVmb25lLDE1fSZxdW90OywmcXVvdDtTZWN0aW9uMS9jbGllbnRlc19tY2QgKDMpL1RpcG8gQWx0ZXJhZG8ue0NlbHVsYXIsMTZ9JnF1b3Q7LCZxdW90O1NlY3Rpb24xL2NsaWVudGVzX21jZCAoMykvVGlwbyBBbHRlcmFkby57Q29kLkNlbnNvIFRyaSwxN30mcXVvdDssJnF1b3Q7U2VjdGlvbjEvY2xpZW50ZXNfbWNkICgzKS9UaXBvIEFsdGVyYWRvLntEZXNjcmljYW8gQ2Vuc28sMTh9JnF1b3Q7LCZxdW90O1NlY3Rpb24xL2NsaWVudGVzX21jZCAoMykvVGlwbyBBbHRlcmFkby57RGF0YSBDYWRhc3RybywxOX0mcXVvdDssJnF1b3Q7U2VjdGlvbjEvY2xpZW50ZXNfbWNkICgzKS9UaXBvIEFsdGVyYWRvLntEYXRhIFJlYXRpdmFjYW8sMjB9JnF1b3Q7LCZxdW90O1NlY3Rpb24xL2NsaWVudGVzX21jZCAoMykvVGlwbyBBbHRlcmFkby57RGF0YSBJbmF0aXZhY2FvLDIxfSZxdW90OywmcXVvdDtTZWN0aW9uMS9jbGllbnRlc19tY2QgKDMpL1RpcG8gQWx0ZXJhZG8ueywyMn0mcXVvdDtdLCZxdW90O0NvbHVtbkNvdW50JnF1b3Q7OjIzLCZxdW90O0tleUNvbHVtbk5hbWVzJnF1b3Q7OltdLCZxdW90O0NvbHVtbklkZW50aXRpZXMmcXVvdDs6WyZxdW90O1NlY3Rpb24xL2NsaWVudGVzX21jZCAoMykvVGlwbyBBbHRlcmFkby57Q05QSiwwfSZxdW90OywmcXVvdDtTZWN0aW9uMS9jbGllbnRlc19tY2QgKDMpL1RpcG8gQWx0ZXJhZG8ue1JhemFvLDF9JnF1b3Q7LCZxdW90O1NlY3Rpb24xL2NsaWVudGVzX21jZCAoMykvVGlwbyBBbHRlcmFkby57UmFtbyBBdGl2aWRhZGUsMn0mcXVvdDssJnF1b3Q7U2VjdGlvbjEvY2xpZW50ZXNfbWNkICgzKS9UaXBvIEFsdGVyYWRvLntDaWRhZGUsM30mcXVvdDssJnF1b3Q7U2VjdGlvbjEvY2xpZW50ZXNfbWNkICgzKS9UaXBvIEFsdGVyYWRvLntSZWdpYW8gRW50cmVnYSw0fSZxdW90OywmcXVvdDtTZWN0aW9uMS9jbGllbnRlc19tY2QgKDMpL1RpcG8gQWx0ZXJhZG8ue1JlZGUsNX0mcXVvdDssJnF1b3Q7U2VjdGlvbjEvY2xpZW50ZXNfbWNkICgzKS9UaXBvIEFsdGVyYWRvLntTdGF0dXMsNn0mcXVvdDssJnF1b3Q7U2VjdGlvbjEvY2xpZW50ZXNfbWNkICgzKS9UaXBvIEFsdGVyYWRvLntDb2QuSUJHRSw3fSZxdW90OywmcXVvdDtTZWN0aW9uMS9jbGllbnRlc19tY2QgKDMpL1RpcG8gQWx0ZXJhZG8ue1NpZ2xhLDh9JnF1b3Q7LCZxdW90O1NlY3Rpb24xL2NsaWVudGVzX21jZCAoMykvVGlwbyBBbHRlcmFkby57QmFpcnJvLDl9JnF1b3Q7LCZxdW90O1NlY3Rpb24xL2NsaWVudGVzX21jZCAoMykvVGlwbyBBbHRlcmFkby57RmFudGFzaWEsMTB9JnF1b3Q7LCZxdW90O1NlY3Rpb24xL2NsaWVudGVzX21jZCAoMykvVGlwbyBBbHRlcmFkby57Q29kLkF0diwxMX0mcXVvdDssJnF1b3Q7U2VjdGlvbjEvY2xpZW50ZXNfbWNkICgzKS9UaXBvIEFsdGVyYWRvLntUaXBvIEVuZGVyZWNvLDEyfSZxdW90OywmcXVvdDtTZWN0aW9uMS9jbGllbnRlc19tY2QgKDMpL1RpcG8gQWx0ZXJhZG8ue0VuZGVyZWNvLDEzfSZxdW90OywmcXVvdDtTZWN0aW9uMS9jbGllbnRlc19tY2QgKDMpL1RpcG8gQWx0ZXJhZG8ue051bWVybywxNH0mcXVvdDssJnF1b3Q7U2VjdGlvbjEvY2xpZW50ZXNfbWNkICgzKS9UaXBvIEFsdGVyYWRvLntUZWxlZm9uZSwxNX0mcXVvdDssJnF1b3Q7U2VjdGlvbjEvY2xpZW50ZXNfbWNkICgzKS9UaXBvIEFsdGVyYWRvLntDZWx1bGFyLDE2fSZxdW90OywmcXVvdDtTZWN0aW9uMS9jbGllbnRlc19tY2QgKDMpL1RpcG8gQWx0ZXJhZG8ue0NvZC5DZW5zbyBUcmksMTd9JnF1b3Q7LCZxdW90O1NlY3Rpb24xL2NsaWVudGVzX21jZCAoMykvVGlwbyBBbHRlcmFkby57RGVzY3JpY2FvIENlbnNvLDE4fSZxdW90OywmcXVvdDtTZWN0aW9uMS9jbGllbnRlc19tY2QgKDMpL1RpcG8gQWx0ZXJhZG8ue0RhdGEgQ2FkYXN0cm8sMTl9JnF1b3Q7LCZxdW90O1NlY3Rpb24xL2NsaWVudGVzX21jZCAoMykvVGlwbyBBbHRlcmFkby57RGF0YSBSZWF0aXZhY2FvLDIwfSZxdW90OywmcXVvdDtTZWN0aW9uMS9jbGllbnRlc19tY2QgKDMpL1RpcG8gQWx0ZXJhZG8ue0RhdGEgSW5hdGl2YWNhbywyMX0mcXVvdDssJnF1b3Q7U2VjdGlvbjEvY2xpZW50ZXNfbWNkICgzKS9UaXBvIEFsdGVyYWRvLnssMjJ9JnF1b3Q7XSwmcXVvdDtSZWxhdGlvbnNoaXBJbmZvJnF1b3Q7OltdfSIgLz48L1N0YWJsZUVudHJpZXM+PC9JdGVtPjxJdGVtPjxJdGVtTG9jYXRpb24+PEl0ZW1UeXBlPkZvcm11bGE8L0l0ZW1UeXBlPjxJdGVtUGF0aD5TZWN0aW9uMS9jbGllbnRlc19tY2QlMjAoMykvRm9udGU8L0l0ZW1QYXRoPjwvSXRlbUxvY2F0aW9uPjxTdGFibGVFbnRyaWVzIC8+PC9JdGVtPjxJdGVtPjxJdGVtTG9jYXRpb24+PEl0ZW1UeXBlPkZvcm11bGE8L0l0ZW1UeXBlPjxJdGVtUGF0aD5TZWN0aW9uMS9jbGllbnRlc19tY2QlMjAoMykvQ2FiZSVDMyVBN2FsaG9zJTIwUHJvbW92aWRvczwvSXRlbVBhdGg+PC9JdGVtTG9jYXRpb24+PFN0YWJsZUVudHJpZXMgLz48L0l0ZW0+PEl0ZW0+PEl0ZW1Mb2NhdGlvbj48SXRlbVR5cGU+Rm9ybXVsYTwvSXRlbVR5cGU+PEl0ZW1QYXRoPlNlY3Rpb24xL2NsaWVudGVzX21jZCUyMCgzKS9UaXBvJTIwQWx0ZXJhZG88L0l0ZW1QYXRoPjwvSXRlbUxvY2F0aW9uPjxTdGFibGVFbnRyaWVzIC8+PC9JdGVtPjxJdGVtPjxJdGVtTG9jYXRpb24+PEl0ZW1UeXBlPkZvcm11bGE8L0l0ZW1UeXBlPjxJdGVtUGF0aD5TZWN0aW9uMS9jbGllbnRlc19tY2QlMjAoMikvVmFsb3IlMjBTdWJzdGl0dSVDMyVBRGRvPC9JdGVtUGF0aD48L0l0ZW1Mb2NhdGlvbj48U3RhYmxlRW50cmllcyAvPjwvSXRlbT48SXRlbT48SXRlbUxvY2F0aW9uPjxJdGVtVHlwZT5Gb3JtdWxhPC9JdGVtVHlwZT48SXRlbVBhdGg+U2VjdGlvbjEvY2xpZW50ZXNfbWNkJTIwKDQp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lF1ZXJ5SUQiIFZhbHVlPSJzYzdkYzY5MjQtM2UyMC00ODA3LThkYWEtZGI5MTA5NWJlMzg5IiAvPjxFbnRyeSBUeXBlPSJOYW1lVXBkYXRlZEFmdGVyRmlsbCIgVmFsdWU9ImwwIiAvPjxFbnRyeSBUeXBlPSJSZXN1bHRUeXBlIiBWYWx1ZT0ic0V4Y2VwdGlvbiIgLz48RW50cnkgVHlwZT0iQnVmZmVyTmV4dFJlZnJlc2giIFZhbHVlPSJsMSIgLz48RW50cnkgVHlwZT0iRmlsbGVkQ29tcGxldGVSZXN1bHRUb1dvcmtzaGVldCIgVmFsdWU9ImwxIiAvPjxFbnRyeSBUeXBlPSJGaWxsTGFzdFVwZGF0ZWQiIFZhbHVlPSJkMjAyNi0wOC0wNVQxMjozNTo0OC44NjU0NDQ1WiIgLz48RW50cnkgVHlwZT0iRmlsbENvbHVtblR5cGVzIiBWYWx1ZT0ic0F3WUdCZ1lHQmdNR0JnWUdCZ1lEQXdNREJna0dDUVk9IiAvPjxFbnRyeSBUeXBlPSJGaWxsQ29sdW1uTmFtZXMiIFZhbHVlPSJzWyZxdW90O0NOUEomcXVvdDssJnF1b3Q7UmF6YW8mcXVvdDssJnF1b3Q7UmFtbyBBdGl2aWRhZGUmcXVvdDssJnF1b3Q7Q2lkYWRlJnF1b3Q7LCZxdW90O1JlZ2lhbyBFbnRyZWdhJnF1b3Q7LCZxdW90O1JlZGUmcXVvdDssJnF1b3Q7U3RhdHVzJnF1b3Q7LCZxdW90O0NvZC5JQkdFJnF1b3Q7LCZxdW90O1NpZ2xhJnF1b3Q7LCZxdW90O0JhaXJybyZxdW90OywmcXVvdDtGYW50YXNpYSZxdW90OywmcXVvdDtDb2QuQXR2JnF1b3Q7LCZxdW90O1RpcG8gRW5kZXJlY28mcXVvdDssJnF1b3Q7RW5kZXJlY28mcXVvdDssJnF1b3Q7TnVtZXJvJnF1b3Q7LCZxdW90O1RlbGVmb25lJnF1b3Q7LCZxdW90O0NlbHVsYXImcXVvdDssJnF1b3Q7Q29kLkNlbnNvIFRyaSZxdW90OywmcXVvdDtEZXNjcmljYW8gQ2Vuc28mcXVvdDssJnF1b3Q7RGF0YSBDYWRhc3RybyZxdW90OywmcXVvdDtEYXRhIFJlYXRpdmFjYW8mcXVvdDssJnF1b3Q7RGF0YSBJbmF0aXZhY2FvJnF1b3Q7LCZxdW90O0NvbHVtbjEmcXVvdDtdIiAvPjxFbnRyeSBUeXBlPSJGaWxsRXJyb3JDb3VudCIgVmFsdWU9ImwzMjI5IiAvPjxFbnRyeSBUeXBlPSJGaWxsRXJyb3JDb2RlIiBWYWx1ZT0ic1Vua25vd24iIC8+PEVudHJ5IFR5cGU9IkZpbGxTdGF0dXMiIFZhbHVlPSJzQ29tcGxldGUiIC8+PEVudHJ5IFR5cGU9IkZpbGxDb3VudCIgVmFsdWU9ImwxODU1NCIgLz48RW50cnkgVHlwZT0iQWRkZWRUb0RhdGFNb2RlbCIgVmFsdWU9ImwwIiAvPjxFbnRyeSBUeXBlPSJSZWxhdGlvbnNoaXBJbmZvQ29udGFpbmVyIiBWYWx1ZT0ic3smcXVvdDtjb2x1bW5Db3VudCZxdW90OzoyMywmcXVvdDtrZXlDb2x1bW5OYW1lcyZxdW90OzpbXSwmcXVvdDtxdWVyeVJlbGF0aW9uc2hpcHMmcXVvdDs6W10sJnF1b3Q7Y29sdW1uSWRlbnRpdGllcyZxdW90OzpbJnF1b3Q7U2VjdGlvbjEvY2xpZW50ZXNfbWNkICg0KS9UaXBvIEFsdGVyYWRvLntDTlBKLDB9JnF1b3Q7LCZxdW90O1NlY3Rpb24xL2NsaWVudGVzX21jZCAoNCkvVGlwbyBBbHRlcmFkby57UmF6YW8sMX0mcXVvdDssJnF1b3Q7U2VjdGlvbjEvY2xpZW50ZXNfbWNkICg0KS9UaXBvIEFsdGVyYWRvLntSYW1vIEF0aXZpZGFkZSwyfSZxdW90OywmcXVvdDtTZWN0aW9uMS9jbGllbnRlc19tY2QgKDQpL1RpcG8gQWx0ZXJhZG8ue0NpZGFkZSwzfSZxdW90OywmcXVvdDtTZWN0aW9uMS9jbGllbnRlc19tY2QgKDQpL1RpcG8gQWx0ZXJhZG8ue1JlZ2lhbyBFbnRyZWdhLDR9JnF1b3Q7LCZxdW90O1NlY3Rpb24xL2NsaWVudGVzX21jZCAoNCkvVGlwbyBBbHRlcmFkby57UmVkZSw1fSZxdW90OywmcXVvdDtTZWN0aW9uMS9jbGllbnRlc19tY2QgKDQpL1RpcG8gQWx0ZXJhZG8ue1N0YXR1cyw2fSZxdW90OywmcXVvdDtTZWN0aW9uMS9jbGllbnRlc19tY2QgKDQpL1RpcG8gQWx0ZXJhZG8ue0NvZC5JQkdFLDd9JnF1b3Q7LCZxdW90O1NlY3Rpb24xL2NsaWVudGVzX21jZCAoNCkvVGlwbyBBbHRlcmFkby57U2lnbGEsOH0mcXVvdDssJnF1b3Q7U2VjdGlvbjEvY2xpZW50ZXNfbWNkICg0KS9UaXBvIEFsdGVyYWRvLntCYWlycm8sOX0mcXVvdDssJnF1b3Q7U2VjdGlvbjEvY2xpZW50ZXNfbWNkICg0KS9UaXBvIEFsdGVyYWRvLntGYW50YXNpYSwxMH0mcXVvdDssJnF1b3Q7U2VjdGlvbjEvY2xpZW50ZXNfbWNkICg0KS9UaXBvIEFsdGVyYWRvLntDb2QuQXR2LDExfSZxdW90OywmcXVvdDtTZWN0aW9uMS9jbGllbnRlc19tY2QgKDQpL1RpcG8gQWx0ZXJhZG8ue1RpcG8gRW5kZXJlY28sMTJ9JnF1b3Q7LCZxdW90O1NlY3Rpb24xL2NsaWVudGVzX21jZCAoNCkvVGlwbyBBbHRlcmFkby57RW5kZXJlY28sMTN9JnF1b3Q7LCZxdW90O1NlY3Rpb24xL2NsaWVudGVzX21jZCAoNCkvVGlwbyBBbHRlcmFkby57TnVtZXJvLDE0fSZxdW90OywmcXVvdDtTZWN0aW9uMS9jbGllbnRlc19tY2QgKDQpL1RpcG8gQWx0ZXJhZG8ue1RlbGVmb25lLDE1fSZxdW90OywmcXVvdDtTZWN0aW9uMS9jbGllbnRlc19tY2QgKDQpL1RpcG8gQWx0ZXJhZG8ue0NlbHVsYXIsMTZ9JnF1b3Q7LCZxdW90O1NlY3Rpb24xL2NsaWVudGVzX21jZCAoNCkvVGlwbyBBbHRlcmFkby57Q29kLkNlbnNvIFRyaSwxN30mcXVvdDssJnF1b3Q7U2VjdGlvbjEvY2xpZW50ZXNfbWNkICg0KS9UaXBvIEFsdGVyYWRvLntEZXNjcmljYW8gQ2Vuc28sMTh9JnF1b3Q7LCZxdW90O1NlY3Rpb24xL2NsaWVudGVzX21jZCAoNCkvVGlwbyBBbHRlcmFkby57RGF0YSBDYWRhc3RybywxOX0mcXVvdDssJnF1b3Q7U2VjdGlvbjEvY2xpZW50ZXNfbWNkICg0KS9UaXBvIEFsdGVyYWRvLntEYXRhIFJlYXRpdmFjYW8sMjB9JnF1b3Q7LCZxdW90O1NlY3Rpb24xL2NsaWVudGVzX21jZCAoNCkvVGlwbyBBbHRlcmFkby57RGF0YSBJbmF0aXZhY2FvLDIxfSZxdW90OywmcXVvdDtTZWN0aW9uMS9jbGllbnRlc19tY2QgKDQpL1RpcG8gQWx0ZXJhZG8ueywyMn0mcXVvdDtdLCZxdW90O0NvbHVtbkNvdW50JnF1b3Q7OjIzLCZxdW90O0tleUNvbHVtbk5hbWVzJnF1b3Q7OltdLCZxdW90O0NvbHVtbklkZW50aXRpZXMmcXVvdDs6WyZxdW90O1NlY3Rpb24xL2NsaWVudGVzX21jZCAoNCkvVGlwbyBBbHRlcmFkby57Q05QSiwwfSZxdW90OywmcXVvdDtTZWN0aW9uMS9jbGllbnRlc19tY2QgKDQpL1RpcG8gQWx0ZXJhZG8ue1JhemFvLDF9JnF1b3Q7LCZxdW90O1NlY3Rpb24xL2NsaWVudGVzX21jZCAoNCkvVGlwbyBBbHRlcmFkby57UmFtbyBBdGl2aWRhZGUsMn0mcXVvdDssJnF1b3Q7U2VjdGlvbjEvY2xpZW50ZXNfbWNkICg0KS9UaXBvIEFsdGVyYWRvLntDaWRhZGUsM30mcXVvdDssJnF1b3Q7U2VjdGlvbjEvY2xpZW50ZXNfbWNkICg0KS9UaXBvIEFsdGVyYWRvLntSZWdpYW8gRW50cmVnYSw0fSZxdW90OywmcXVvdDtTZWN0aW9uMS9jbGllbnRlc19tY2QgKDQpL1RpcG8gQWx0ZXJhZG8ue1JlZGUsNX0mcXVvdDssJnF1b3Q7U2VjdGlvbjEvY2xpZW50ZXNfbWNkICg0KS9UaXBvIEFsdGVyYWRvLntTdGF0dXMsNn0mcXVvdDssJnF1b3Q7U2VjdGlvbjEvY2xpZW50ZXNfbWNkICg0KS9UaXBvIEFsdGVyYWRvLntDb2QuSUJHRSw3fSZxdW90OywmcXVvdDtTZWN0aW9uMS9jbGllbnRlc19tY2QgKDQpL1RpcG8gQWx0ZXJhZG8ue1NpZ2xhLDh9JnF1b3Q7LCZxdW90O1NlY3Rpb24xL2NsaWVudGVzX21jZCAoNCkvVGlwbyBBbHRlcmFkby57QmFpcnJvLDl9JnF1b3Q7LCZxdW90O1NlY3Rpb24xL2NsaWVudGVzX21jZCAoNCkvVGlwbyBBbHRlcmFkby57RmFudGFzaWEsMTB9JnF1b3Q7LCZxdW90O1NlY3Rpb24xL2NsaWVudGVzX21jZCAoNCkvVGlwbyBBbHRlcmFkby57Q29kLkF0diwxMX0mcXVvdDssJnF1b3Q7U2VjdGlvbjEvY2xpZW50ZXNfbWNkICg0KS9UaXBvIEFsdGVyYWRvLntUaXBvIEVuZGVyZWNvLDEyfSZxdW90OywmcXVvdDtTZWN0aW9uMS9jbGllbnRlc19tY2QgKDQpL1RpcG8gQWx0ZXJhZG8ue0VuZGVyZWNvLDEzfSZxdW90OywmcXVvdDtTZWN0aW9uMS9jbGllbnRlc19tY2QgKDQpL1RpcG8gQWx0ZXJhZG8ue051bWVybywxNH0mcXVvdDssJnF1b3Q7U2VjdGlvbjEvY2xpZW50ZXNfbWNkICg0KS9UaXBvIEFsdGVyYWRvLntUZWxlZm9uZSwxNX0mcXVvdDssJnF1b3Q7U2VjdGlvbjEvY2xpZW50ZXNfbWNkICg0KS9UaXBvIEFsdGVyYWRvLntDZWx1bGFyLDE2fSZxdW90OywmcXVvdDtTZWN0aW9uMS9jbGllbnRlc19tY2QgKDQpL1RpcG8gQWx0ZXJhZG8ue0NvZC5DZW5zbyBUcmksMTd9JnF1b3Q7LCZxdW90O1NlY3Rpb24xL2NsaWVudGVzX21jZCAoNCkvVGlwbyBBbHRlcmFkby57RGVzY3JpY2FvIENlbnNvLDE4fSZxdW90OywmcXVvdDtTZWN0aW9uMS9jbGllbnRlc19tY2QgKDQpL1RpcG8gQWx0ZXJhZG8ue0RhdGEgQ2FkYXN0cm8sMTl9JnF1b3Q7LCZxdW90O1NlY3Rpb24xL2NsaWVudGVzX21jZCAoNCkvVGlwbyBBbHRlcmFkby57RGF0YSBSZWF0aXZhY2FvLDIwfSZxdW90OywmcXVvdDtTZWN0aW9uMS9jbGllbnRlc19tY2QgKDQpL1RpcG8gQWx0ZXJhZG8ue0RhdGEgSW5hdGl2YWNhbywyMX0mcXVvdDssJnF1b3Q7U2VjdGlvbjEvY2xpZW50ZXNfbWNkICg0KS9UaXBvIEFsdGVyYWRvLnssMjJ9JnF1b3Q7XSwmcXVvdDtSZWxhdGlvbnNoaXBJbmZvJnF1b3Q7OltdfSIgLz48L1N0YWJsZUVudHJpZXM+PC9JdGVtPjxJdGVtPjxJdGVtTG9jYXRpb24+PEl0ZW1UeXBlPkZvcm11bGE8L0l0ZW1UeXBlPjxJdGVtUGF0aD5TZWN0aW9uMS9jbGllbnRlc19tY2QlMjAoNCkvRm9udGU8L0l0ZW1QYXRoPjwvSXRlbUxvY2F0aW9uPjxTdGFibGVFbnRyaWVzIC8+PC9JdGVtPjxJdGVtPjxJdGVtTG9jYXRpb24+PEl0ZW1UeXBlPkZvcm11bGE8L0l0ZW1UeXBlPjxJdGVtUGF0aD5TZWN0aW9uMS9jbGllbnRlc19tY2QlMjAoNCkvQ2FiZSVDMyVBN2FsaG9zJTIwUHJvbW92aWRvczwvSXRlbVBhdGg+PC9JdGVtTG9jYXRpb24+PFN0YWJsZUVudHJpZXMgLz48L0l0ZW0+PEl0ZW0+PEl0ZW1Mb2NhdGlvbj48SXRlbVR5cGU+Rm9ybXVsYTwvSXRlbVR5cGU+PEl0ZW1QYXRoPlNlY3Rpb24xL2NsaWVudGVzX21jZCUyMCg0KS9UaXBvJTIwQWx0ZXJhZG88L0l0ZW1QYXRoPjwvSXRlbUxvY2F0aW9uPjxTdGFibGVFbnRyaWVzIC8+PC9JdGVtPjwvSXRlbXM+PC9Mb2NhbFBhY2thZ2VNZXRhZGF0YUZpbGU+FgAAAFBLBQYAAAAAAAAAAAAAAAAAAAAAAAAmAQAAAQAAANCMnd8BFdERjHoAwE/Cl+sBAAAAsYmpweGmOES1lWm6tBfxPwAAAAACAAAAAAAQZgAAAAEAACAAAACKshCTBQOtA91rI4G0CPy0T+1kgUKB878AdwL7ZSWKGgAAAAAOgAAAAAIAACAAAACFRsJaa1tcKnRNUDdxJYCNHxgPpWofDv/7vCqAce/Z7FAAAABMOPeH3PSJY7qVrRfVQ9gjIYjbXi2RsaI/VuT1rUhB+eEfIzGOv+/379xdAOCvXP9FZ87VIQPkVY1Oq9DcA4J7mT2W1kIZ0w/3UKrk9w6nikAAAADO45YXBUqTHFCoFQqKK3jO0LPe0pHWwUPH652FrpNvaDjFX+0VfNLsjMAM43MSsTthsaUL84HNB3cRv3eWREHC</DataMashup>
</file>

<file path=customXml/item19.xml><?xml version="1.0" encoding="UTF-8"?>
<Gemini xmlns="http://gemini/pivotcustomization/TableXML_hoje12 326 sp-7031892e-d38d-43ce-a689-11088cdd70b2"><CustomContent><![CDATA[<TableWidgetGridSerialization xmlns:xsi="http://www.w3.org/2001/XMLSchema-instance" xmlns:xsd="http://www.w3.org/2001/XMLSchema"><ColumnSuggestedType /><ColumnFormat /><ColumnAccuracy /><ColumnCurrencySymbol /><ColumnPositivePattern /><ColumnNegativePattern /><ColumnWidths><item><key><string>Pedido x RCA</string></key><value><int>108</int></value></item><item><key><string>Setor - MCD</string></key><value><int>103</int></value></item><item><key><string>Nº Pedido</string></key><value><int>91</int></value></item><item><key><string>Razao Social</string></key><value><int>105</int></value></item><item><key><string>CNPJ</string></key><value><int>61</int></value></item><item><key><string>Margem</string></key><value><int>84</int></value></item><item><key><string>Tp Venda</string></key><value><int>86</int></value></item><item><key><string>Portador</string></key><value><int>85</int></value></item><item><key><string>Lista</string></key><value><int>61</int></value></item><item><key><string>Saldo DMC</string></key><value><int>96</int></value></item><item><key><string>Trocas</string></key><value><int>71</int></value></item><item><key><string>Valor Pedido</string></key><value><int>105</int></value></item><item><key><string>Prazos Ped.</string></key><value><int>100</int></value></item><item><key><string>Data Dig. Ped.</string></key><value><int>117</int></value></item><item><key><string>Data Imp. Ped.</string></key><value><int>120</int></value></item><item><key><string>Ped. Broker</string></key><value><int>101</int></value></item><item><key><string>Vendedor RCA</string></key><value><int>115</int></value></item><item><key><string>Usuario</string></key><value><int>78</int></value></item><item><key><string>Reg</string></key><value><int>57</int></value></item><item><key><string>Qtd CX</string></key><value><int>73</int></value></item><item><key><string>Cidade</string></key><value><int>73</int></value></item></ColumnWidths><ColumnDisplayIndex><item><key><string>Pedido x RCA</string></key><value><int>0</int></value></item><item><key><string>Setor - MCD</string></key><value><int>1</int></value></item><item><key><string>Nº Pedido</string></key><value><int>2</int></value></item><item><key><string>Razao Social</string></key><value><int>3</int></value></item><item><key><string>CNPJ</string></key><value><int>4</int></value></item><item><key><string>Margem</string></key><value><int>5</int></value></item><item><key><string>Tp Venda</string></key><value><int>6</int></value></item><item><key><string>Portador</string></key><value><int>7</int></value></item><item><key><string>Lista</string></key><value><int>8</int></value></item><item><key><string>Saldo DMC</string></key><value><int>9</int></value></item><item><key><string>Trocas</string></key><value><int>10</int></value></item><item><key><string>Valor Pedido</string></key><value><int>11</int></value></item><item><key><string>Prazos Ped.</string></key><value><int>12</int></value></item><item><key><string>Data Dig. Ped.</string></key><value><int>13</int></value></item><item><key><string>Data Imp. Ped.</string></key><value><int>14</int></value></item><item><key><string>Ped. Broker</string></key><value><int>15</int></value></item><item><key><string>Vendedor RCA</string></key><value><int>16</int></value></item><item><key><string>Usuario</string></key><value><int>17</int></value></item><item><key><string>Reg</string></key><value><int>18</int></value></item><item><key><string>Qtd CX</string></key><value><int>19</int></value></item><item><key><string>Cidade</string></key><value><int>20</int></value></item></ColumnDisplayIndex><ColumnFrozen /><ColumnChecked /><ColumnFilter /><SelectionFilter /><FilterParameters /><IsSortDescending>false</IsSortDescending></TableWidgetGridSerialization>]]></CustomContent></Gemini>
</file>

<file path=customXml/item20.xml><?xml version="1.0" encoding="UTF-8"?>
<Gemini xmlns="http://gemini/pivotcustomization/TableXML_hoje12 319 rep-ce4e2c89-71a3-4675-9d99-a81784436ba9"><CustomContent><![CDATA[<TableWidgetGridSerialization xmlns:xsi="http://www.w3.org/2001/XMLSchema-instance" xmlns:xsd="http://www.w3.org/2001/XMLSchema"><ColumnSuggestedType /><ColumnFormat /><ColumnAccuracy /><ColumnCurrencySymbol /><ColumnPositivePattern /><ColumnNegativePattern /><ColumnWidths><item><key><string>RANK</string></key><value><int>67</int></value></item><item><key><string>CNPJ</string></key><value><int>61</int></value></item><item><key><string>RAZÃO SOCIAL</string></key><value><int>118</int></value></item><item><key><string>CIDADE</string></key><value><int>79</int></value></item><item><key><string>ENDEREÇO</string></key><value><int>98</int></value></item><item><key><string>PESO BRUTO</string></key><value><int>108</int></value></item><item><key><string>CAIXA</string></key><value><int>69</int></value></item><item><key><string>VALOR</string></key><value><int>73</int></value></item><item><key><string>%PB</string></key><value><int>60</int></value></item><item><key><string>%CX</string></key><value><int>59</int></value></item><item><key><string>%VLR</string></key><value><int>67</int></value></item><item><key><string>%ACP</string></key><value><int>67</int></value></item><item><key><string>%ACG</string></key><value><int>69</int></value></item><item><key><string>REP</string></key><value><int>57</int></value></item><item><key><string>PR MED</string></key><value><int>81</int></value></item><item><key><string>CENSO</string></key><value><int>73</int></value></item></ColumnWidths><ColumnDisplayIndex><item><key><string>RANK</string></key><value><int>0</int></value></item><item><key><string>CNPJ</string></key><value><int>1</int></value></item><item><key><string>RAZÃO SOCIAL</string></key><value><int>2</int></value></item><item><key><string>CIDADE</string></key><value><int>3</int></value></item><item><key><string>ENDEREÇO</string></key><value><int>4</int></value></item><item><key><string>PESO BRUTO</string></key><value><int>5</int></value></item><item><key><string>CAIXA</string></key><value><int>6</int></value></item><item><key><string>VALOR</string></key><value><int>7</int></value></item><item><key><string>%PB</string></key><value><int>8</int></value></item><item><key><string>%CX</string></key><value><int>9</int></value></item><item><key><string>%VLR</string></key><value><int>10</int></value></item><item><key><string>%ACP</string></key><value><int>11</int></value></item><item><key><string>%ACG</string></key><value><int>12</int></value></item><item><key><string>REP</string></key><value><int>13</int></value></item><item><key><string>PR MED</string></key><value><int>14</int></value></item><item><key><string>CENSO</string></key><value><int>15</int></value></item></ColumnDisplayIndex><ColumnFrozen /><ColumnChecked /><ColumnFilter /><SelectionFilter /><FilterParameters /><IsSortDescending>false</IsSortDescending></TableWidgetGridSerialization>]]></CustomContent></Gemini>
</file>

<file path=customXml/itemProps1.xml><?xml version="1.0" encoding="utf-8"?>
<ds:datastoreItem xmlns:ds="http://schemas.openxmlformats.org/officeDocument/2006/customXml" ds:itemID="{3258FBF1-8FB4-4A23-9CB7-4C3010E1860C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41360E5A-EDBF-4BAC-8E3B-706001A06CBB}">
  <ds:schemaRefs>
    <ds:schemaRef ds:uri="http://gemini/pivotcustomization/TableXML_hoje12 326 sp_6e9e57dd-39cd-4d30-b629-7e864c7550ef"/>
  </ds:schemaRefs>
</ds:datastoreItem>
</file>

<file path=customXml/itemProps3.xml><?xml version="1.0" encoding="utf-8"?>
<ds:datastoreItem xmlns:ds="http://schemas.openxmlformats.org/officeDocument/2006/customXml" ds:itemID="{2903E34B-2DA4-4C46-BACE-FBE9B2CE0036}">
  <ds:schemaRefs>
    <ds:schemaRef ds:uri="http://gemini/pivotcustomization/MeasureGridState"/>
  </ds:schemaRefs>
</ds:datastoreItem>
</file>

<file path=customXml/itemProps4.xml><?xml version="1.0" encoding="utf-8"?>
<ds:datastoreItem xmlns:ds="http://schemas.openxmlformats.org/officeDocument/2006/customXml" ds:itemID="{C3DDE450-BB0E-4E72-990D-830E1D7F9ECA}">
  <ds:schemaRefs>
    <ds:schemaRef ds:uri="http://gemini/pivotcustomization/TableXML_hoje12 326 sp-d726b6fd-91df-4f5a-99f7-7dfc3df6d2ae"/>
  </ds:schemaRefs>
</ds:datastoreItem>
</file>

<file path=customXml/itemProps5.xml><?xml version="1.0" encoding="utf-8"?>
<ds:datastoreItem xmlns:ds="http://schemas.openxmlformats.org/officeDocument/2006/customXml" ds:itemID="{9D7ED6B6-DD65-48F8-B10D-318CEB4F6BCE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8C480DCB-86A8-4EBD-AB5F-E99661EEE907}">
  <ds:schemaRefs>
    <ds:schemaRef ds:uri="http://gemini/pivotcustomization/ClientWindowXML"/>
  </ds:schemaRefs>
</ds:datastoreItem>
</file>

<file path=customXml/itemProps7.xml><?xml version="1.0" encoding="utf-8"?>
<ds:datastoreItem xmlns:ds="http://schemas.openxmlformats.org/officeDocument/2006/customXml" ds:itemID="{BF4AEC85-FC7E-4D3A-A73E-48994E0FA68C}">
  <ds:schemaRefs>
    <ds:schemaRef ds:uri="http://gemini/pivotcustomization/TableWidget"/>
  </ds:schemaRefs>
</ds:datastoreItem>
</file>

<file path=customXml/itemProps8.xml><?xml version="1.0" encoding="utf-8"?>
<ds:datastoreItem xmlns:ds="http://schemas.openxmlformats.org/officeDocument/2006/customXml" ds:itemID="{CFCEFDB3-37D9-4E4B-8805-E37DB3578551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E11D6405-1E7A-4E77-A71A-8D2A38A9E3C0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E37684B4-491A-4C53-8A2B-5089A92861C3}">
  <ds:schemaRefs>
    <ds:schemaRef ds:uri="http://gemini/pivotcustomization/IsSandboxEmbedded"/>
  </ds:schemaRefs>
</ds:datastoreItem>
</file>

<file path=customXml/itemProps11.xml><?xml version="1.0" encoding="utf-8"?>
<ds:datastoreItem xmlns:ds="http://schemas.openxmlformats.org/officeDocument/2006/customXml" ds:itemID="{11FEADD7-6451-420C-A909-8456F11FE711}">
  <ds:schemaRefs>
    <ds:schemaRef ds:uri="http://gemini/pivotcustomization/LinkedTableUpdateMode"/>
  </ds:schemaRefs>
</ds:datastoreItem>
</file>

<file path=customXml/itemProps12.xml><?xml version="1.0" encoding="utf-8"?>
<ds:datastoreItem xmlns:ds="http://schemas.openxmlformats.org/officeDocument/2006/customXml" ds:itemID="{7C81583D-B5A7-4D44-97A6-2609F4ACAC0A}">
  <ds:schemaRefs>
    <ds:schemaRef ds:uri="http://gemini/pivotcustomization/PowerPivotVersion"/>
  </ds:schemaRefs>
</ds:datastoreItem>
</file>

<file path=customXml/itemProps13.xml><?xml version="1.0" encoding="utf-8"?>
<ds:datastoreItem xmlns:ds="http://schemas.openxmlformats.org/officeDocument/2006/customXml" ds:itemID="{34FE86FA-791B-4615-A316-2EE8A46DAE4C}">
  <ds:schemaRefs>
    <ds:schemaRef ds:uri="http://gemini/pivotcustomization/ErrorCache"/>
  </ds:schemaRefs>
</ds:datastoreItem>
</file>

<file path=customXml/itemProps14.xml><?xml version="1.0" encoding="utf-8"?>
<ds:datastoreItem xmlns:ds="http://schemas.openxmlformats.org/officeDocument/2006/customXml" ds:itemID="{3FA26B3C-C7B5-4533-A069-BCCE4265F105}">
  <ds:schemaRefs>
    <ds:schemaRef ds:uri="http://gemini/pivotcustomization/ShowImplicitMeasures"/>
  </ds:schemaRefs>
</ds:datastoreItem>
</file>

<file path=customXml/itemProps15.xml><?xml version="1.0" encoding="utf-8"?>
<ds:datastoreItem xmlns:ds="http://schemas.openxmlformats.org/officeDocument/2006/customXml" ds:itemID="{3B096283-9873-4F59-B879-94AA8212140E}">
  <ds:schemaRefs>
    <ds:schemaRef ds:uri="http://gemini/pivotcustomization/SandboxNonEmpty"/>
  </ds:schemaRefs>
</ds:datastoreItem>
</file>

<file path=customXml/itemProps16.xml><?xml version="1.0" encoding="utf-8"?>
<ds:datastoreItem xmlns:ds="http://schemas.openxmlformats.org/officeDocument/2006/customXml" ds:itemID="{C00B7074-2CB0-4FCC-90F5-6287A5BCEA7A}">
  <ds:schemaRefs>
    <ds:schemaRef ds:uri="http://gemini/pivotcustomization/RelationshipAutoDetectionEnabled"/>
  </ds:schemaRefs>
</ds:datastoreItem>
</file>

<file path=customXml/itemProps17.xml><?xml version="1.0" encoding="utf-8"?>
<ds:datastoreItem xmlns:ds="http://schemas.openxmlformats.org/officeDocument/2006/customXml" ds:itemID="{D9A94B90-EE31-44E6-94B6-ECC0B3D996F6}">
  <ds:schemaRefs>
    <ds:schemaRef ds:uri="http://gemini/pivotcustomization/Diagrams"/>
  </ds:schemaRefs>
</ds:datastoreItem>
</file>

<file path=customXml/itemProps18.xml><?xml version="1.0" encoding="utf-8"?>
<ds:datastoreItem xmlns:ds="http://schemas.openxmlformats.org/officeDocument/2006/customXml" ds:itemID="{3AA6B7A6-26F0-4867-8A01-9B4C39184D5D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69486414-66AA-47A4-BCF1-AEB6BA45D915}">
  <ds:schemaRefs>
    <ds:schemaRef ds:uri="http://gemini/pivotcustomization/TableXML_hoje12 326 sp-7031892e-d38d-43ce-a689-11088cdd70b2"/>
  </ds:schemaRefs>
</ds:datastoreItem>
</file>

<file path=customXml/itemProps20.xml><?xml version="1.0" encoding="utf-8"?>
<ds:datastoreItem xmlns:ds="http://schemas.openxmlformats.org/officeDocument/2006/customXml" ds:itemID="{B174F1F7-6EC5-4E99-A6D3-DB57239440D6}">
  <ds:schemaRefs>
    <ds:schemaRef ds:uri="http://gemini/pivotcustomization/TableXML_hoje12 319 rep-ce4e2c89-71a3-4675-9d99-a81784436b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2014-09-12T12:00:43Z</dcterms:created>
  <dc:creator>PR</dc:creator>
  <dc:description/>
  <dc:language>en-US</dc:language>
  <cp:lastModifiedBy>Vinicius Nantes</cp:lastModifiedBy>
  <dcterms:modified xsi:type="dcterms:W3CDTF">2026-08-14T16:27:00Z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